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gi\Escritorio\"/>
    </mc:Choice>
  </mc:AlternateContent>
  <xr:revisionPtr revIDLastSave="0" documentId="8_{6A76C486-F78A-4131-87AE-146BCEAB3340}" xr6:coauthVersionLast="47" xr6:coauthVersionMax="47" xr10:uidLastSave="{00000000-0000-0000-0000-000000000000}"/>
  <bookViews>
    <workbookView xWindow="-120" yWindow="-120" windowWidth="29040" windowHeight="15720" xr2:uid="{9FDA84F8-2C34-4E68-8B19-24C2B7BA1E93}"/>
  </bookViews>
  <sheets>
    <sheet name="Filtros" sheetId="1" r:id="rId1"/>
  </sheets>
  <calcPr calcId="0"/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AJ41" i="1"/>
  <c r="AK41" i="1"/>
  <c r="AL41" i="1"/>
  <c r="AM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AJ56" i="1"/>
  <c r="AK56" i="1"/>
  <c r="AL56" i="1"/>
  <c r="AM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AA65" i="1"/>
  <c r="AB65" i="1"/>
  <c r="AC65" i="1"/>
  <c r="AD65" i="1"/>
  <c r="AE65" i="1"/>
  <c r="AF65" i="1"/>
  <c r="AG65" i="1"/>
  <c r="AH65" i="1"/>
  <c r="AI65" i="1"/>
  <c r="AJ65" i="1"/>
  <c r="AK65" i="1"/>
  <c r="AL65" i="1"/>
  <c r="AM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AJ68" i="1"/>
  <c r="AK68" i="1"/>
  <c r="AL68" i="1"/>
  <c r="AM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AJ71" i="1"/>
  <c r="AK71" i="1"/>
  <c r="AL71" i="1"/>
  <c r="AM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AG74" i="1"/>
  <c r="AH74" i="1"/>
  <c r="AI74" i="1"/>
  <c r="AJ74" i="1"/>
  <c r="AK74" i="1"/>
  <c r="AL74" i="1"/>
  <c r="AM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AG75" i="1"/>
  <c r="AH75" i="1"/>
  <c r="AI75" i="1"/>
  <c r="AJ75" i="1"/>
  <c r="AK75" i="1"/>
  <c r="AL75" i="1"/>
  <c r="AM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AJ76" i="1"/>
  <c r="AK76" i="1"/>
  <c r="AL76" i="1"/>
  <c r="AM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AI77" i="1"/>
  <c r="AJ77" i="1"/>
  <c r="AK77" i="1"/>
  <c r="AL77" i="1"/>
  <c r="AM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AI78" i="1"/>
  <c r="AJ78" i="1"/>
  <c r="AK78" i="1"/>
  <c r="AL78" i="1"/>
  <c r="AM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AA81" i="1"/>
  <c r="AB81" i="1"/>
  <c r="AC81" i="1"/>
  <c r="AD81" i="1"/>
  <c r="AE81" i="1"/>
  <c r="AF81" i="1"/>
  <c r="AG81" i="1"/>
  <c r="AH81" i="1"/>
  <c r="AI81" i="1"/>
  <c r="AJ81" i="1"/>
  <c r="AK81" i="1"/>
  <c r="AL81" i="1"/>
  <c r="AM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AI82" i="1"/>
  <c r="AJ82" i="1"/>
  <c r="AK82" i="1"/>
  <c r="AL82" i="1"/>
  <c r="AM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AG83" i="1"/>
  <c r="AH83" i="1"/>
  <c r="AI83" i="1"/>
  <c r="AJ83" i="1"/>
  <c r="AK83" i="1"/>
  <c r="AL83" i="1"/>
  <c r="AM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AJ84" i="1"/>
  <c r="AK84" i="1"/>
  <c r="AL84" i="1"/>
  <c r="AM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AG85" i="1"/>
  <c r="AH85" i="1"/>
  <c r="AI85" i="1"/>
  <c r="AJ85" i="1"/>
  <c r="AK85" i="1"/>
  <c r="AL85" i="1"/>
  <c r="AM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AK86" i="1"/>
  <c r="AL86" i="1"/>
  <c r="AM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AJ87" i="1"/>
  <c r="AK87" i="1"/>
  <c r="AL87" i="1"/>
  <c r="AM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J88" i="1"/>
  <c r="AK88" i="1"/>
  <c r="AL88" i="1"/>
  <c r="AM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AA89" i="1"/>
  <c r="AB89" i="1"/>
  <c r="AC89" i="1"/>
  <c r="AD89" i="1"/>
  <c r="AE89" i="1"/>
  <c r="AF89" i="1"/>
  <c r="AG89" i="1"/>
  <c r="AH89" i="1"/>
  <c r="AI89" i="1"/>
  <c r="AJ89" i="1"/>
  <c r="AK89" i="1"/>
  <c r="AL89" i="1"/>
  <c r="AM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AG90" i="1"/>
  <c r="AH90" i="1"/>
  <c r="AI90" i="1"/>
  <c r="AJ90" i="1"/>
  <c r="AK90" i="1"/>
  <c r="AL90" i="1"/>
  <c r="AM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AG91" i="1"/>
  <c r="AH91" i="1"/>
  <c r="AI91" i="1"/>
  <c r="AJ91" i="1"/>
  <c r="AK91" i="1"/>
  <c r="AL91" i="1"/>
  <c r="AM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AJ92" i="1"/>
  <c r="AK92" i="1"/>
  <c r="AL92" i="1"/>
  <c r="AM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AI93" i="1"/>
  <c r="AJ93" i="1"/>
  <c r="AK93" i="1"/>
  <c r="AL93" i="1"/>
  <c r="AM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AI94" i="1"/>
  <c r="AJ94" i="1"/>
  <c r="AK94" i="1"/>
  <c r="AL94" i="1"/>
  <c r="AM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AJ95" i="1"/>
  <c r="AK95" i="1"/>
  <c r="AL95" i="1"/>
  <c r="AM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AJ96" i="1"/>
  <c r="AK96" i="1"/>
  <c r="AL96" i="1"/>
  <c r="AM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AA97" i="1"/>
  <c r="AB97" i="1"/>
  <c r="AC97" i="1"/>
  <c r="AD97" i="1"/>
  <c r="AE97" i="1"/>
  <c r="AF97" i="1"/>
  <c r="AG97" i="1"/>
  <c r="AH97" i="1"/>
  <c r="AI97" i="1"/>
  <c r="AJ97" i="1"/>
  <c r="AK97" i="1"/>
  <c r="AL97" i="1"/>
  <c r="AM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AA98" i="1"/>
  <c r="AB98" i="1"/>
  <c r="AC98" i="1"/>
  <c r="AD98" i="1"/>
  <c r="AE98" i="1"/>
  <c r="AF98" i="1"/>
  <c r="AG98" i="1"/>
  <c r="AH98" i="1"/>
  <c r="AI98" i="1"/>
  <c r="AJ98" i="1"/>
  <c r="AK98" i="1"/>
  <c r="AL98" i="1"/>
  <c r="AM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AA99" i="1"/>
  <c r="AB99" i="1"/>
  <c r="AC99" i="1"/>
  <c r="AD99" i="1"/>
  <c r="AE99" i="1"/>
  <c r="AF99" i="1"/>
  <c r="AG99" i="1"/>
  <c r="AH99" i="1"/>
  <c r="AI99" i="1"/>
  <c r="AJ99" i="1"/>
  <c r="AK99" i="1"/>
  <c r="AL99" i="1"/>
  <c r="AM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AK100" i="1"/>
  <c r="AL100" i="1"/>
  <c r="AM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M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AI102" i="1"/>
  <c r="AJ102" i="1"/>
  <c r="AK102" i="1"/>
  <c r="AL102" i="1"/>
  <c r="AM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AJ103" i="1"/>
  <c r="AK103" i="1"/>
  <c r="AL103" i="1"/>
  <c r="AM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AJ104" i="1"/>
  <c r="AK104" i="1"/>
  <c r="AL104" i="1"/>
  <c r="AM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AL105" i="1"/>
  <c r="AM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AI106" i="1"/>
  <c r="AJ106" i="1"/>
  <c r="AK106" i="1"/>
  <c r="AL106" i="1"/>
  <c r="AM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AI107" i="1"/>
  <c r="AJ107" i="1"/>
  <c r="AK107" i="1"/>
  <c r="AL107" i="1"/>
  <c r="AM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AI109" i="1"/>
  <c r="AJ109" i="1"/>
  <c r="AK109" i="1"/>
  <c r="AL109" i="1"/>
  <c r="AM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AI110" i="1"/>
  <c r="AJ110" i="1"/>
  <c r="AK110" i="1"/>
  <c r="AL110" i="1"/>
  <c r="AM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AJ111" i="1"/>
  <c r="AK111" i="1"/>
  <c r="AL111" i="1"/>
  <c r="AM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AJ112" i="1"/>
  <c r="AK112" i="1"/>
  <c r="AL112" i="1"/>
  <c r="AM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AI113" i="1"/>
  <c r="AJ113" i="1"/>
  <c r="AK113" i="1"/>
  <c r="AL113" i="1"/>
  <c r="AM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AI114" i="1"/>
  <c r="AJ114" i="1"/>
  <c r="AK114" i="1"/>
  <c r="AL114" i="1"/>
  <c r="AM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AK115" i="1"/>
  <c r="AL115" i="1"/>
  <c r="AM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AJ116" i="1"/>
  <c r="AK116" i="1"/>
  <c r="AL116" i="1"/>
  <c r="AM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AI117" i="1"/>
  <c r="AJ117" i="1"/>
  <c r="AK117" i="1"/>
  <c r="AL117" i="1"/>
  <c r="AM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AI118" i="1"/>
  <c r="AJ118" i="1"/>
  <c r="AK118" i="1"/>
  <c r="AL118" i="1"/>
  <c r="AM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AJ119" i="1"/>
  <c r="AK119" i="1"/>
  <c r="AL119" i="1"/>
  <c r="AM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AJ120" i="1"/>
  <c r="AK120" i="1"/>
  <c r="AL120" i="1"/>
  <c r="AM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AI121" i="1"/>
  <c r="AJ121" i="1"/>
  <c r="AK121" i="1"/>
  <c r="AL121" i="1"/>
  <c r="AM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AI122" i="1"/>
  <c r="AJ122" i="1"/>
  <c r="AK122" i="1"/>
  <c r="AL122" i="1"/>
  <c r="AM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Z123" i="1"/>
  <c r="AA123" i="1"/>
  <c r="AB123" i="1"/>
  <c r="AC123" i="1"/>
  <c r="AD123" i="1"/>
  <c r="AE123" i="1"/>
  <c r="AF123" i="1"/>
  <c r="AG123" i="1"/>
  <c r="AH123" i="1"/>
  <c r="AI123" i="1"/>
  <c r="AJ123" i="1"/>
  <c r="AK123" i="1"/>
  <c r="AL123" i="1"/>
  <c r="AM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AJ124" i="1"/>
  <c r="AK124" i="1"/>
  <c r="AL124" i="1"/>
  <c r="AM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Z125" i="1"/>
  <c r="AA125" i="1"/>
  <c r="AB125" i="1"/>
  <c r="AC125" i="1"/>
  <c r="AD125" i="1"/>
  <c r="AE125" i="1"/>
  <c r="AF125" i="1"/>
  <c r="AG125" i="1"/>
  <c r="AH125" i="1"/>
  <c r="AI125" i="1"/>
  <c r="AJ125" i="1"/>
  <c r="AK125" i="1"/>
  <c r="AL125" i="1"/>
  <c r="AM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AI126" i="1"/>
  <c r="AJ126" i="1"/>
  <c r="AK126" i="1"/>
  <c r="AL126" i="1"/>
  <c r="AM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AJ127" i="1"/>
  <c r="AK127" i="1"/>
  <c r="AL127" i="1"/>
  <c r="AM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J128" i="1"/>
  <c r="AK128" i="1"/>
  <c r="AL128" i="1"/>
  <c r="AM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AI129" i="1"/>
  <c r="AJ129" i="1"/>
  <c r="AK129" i="1"/>
  <c r="AL129" i="1"/>
  <c r="AM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Z130" i="1"/>
  <c r="AA130" i="1"/>
  <c r="AB130" i="1"/>
  <c r="AC130" i="1"/>
  <c r="AD130" i="1"/>
  <c r="AE130" i="1"/>
  <c r="AF130" i="1"/>
  <c r="AG130" i="1"/>
  <c r="AH130" i="1"/>
  <c r="AI130" i="1"/>
  <c r="AJ130" i="1"/>
  <c r="AK130" i="1"/>
  <c r="AL130" i="1"/>
  <c r="AM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Z131" i="1"/>
  <c r="AA131" i="1"/>
  <c r="AB131" i="1"/>
  <c r="AC131" i="1"/>
  <c r="AD131" i="1"/>
  <c r="AE131" i="1"/>
  <c r="AF131" i="1"/>
  <c r="AG131" i="1"/>
  <c r="AH131" i="1"/>
  <c r="AI131" i="1"/>
  <c r="AJ131" i="1"/>
  <c r="AK131" i="1"/>
  <c r="AL131" i="1"/>
  <c r="AM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AJ132" i="1"/>
  <c r="AK132" i="1"/>
  <c r="AL132" i="1"/>
  <c r="AM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Z133" i="1"/>
  <c r="AA133" i="1"/>
  <c r="AB133" i="1"/>
  <c r="AC133" i="1"/>
  <c r="AD133" i="1"/>
  <c r="AE133" i="1"/>
  <c r="AF133" i="1"/>
  <c r="AG133" i="1"/>
  <c r="AH133" i="1"/>
  <c r="AI133" i="1"/>
  <c r="AJ133" i="1"/>
  <c r="AK133" i="1"/>
  <c r="AL133" i="1"/>
  <c r="AM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AG134" i="1"/>
  <c r="AH134" i="1"/>
  <c r="AI134" i="1"/>
  <c r="AJ134" i="1"/>
  <c r="AK134" i="1"/>
  <c r="AL134" i="1"/>
  <c r="AM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AJ135" i="1"/>
  <c r="AK135" i="1"/>
  <c r="AL135" i="1"/>
  <c r="AM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AJ136" i="1"/>
  <c r="AK136" i="1"/>
  <c r="AL136" i="1"/>
  <c r="AM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AI137" i="1"/>
  <c r="AJ137" i="1"/>
  <c r="AK137" i="1"/>
  <c r="AL137" i="1"/>
  <c r="AM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AB138" i="1"/>
  <c r="AC138" i="1"/>
  <c r="AD138" i="1"/>
  <c r="AE138" i="1"/>
  <c r="AF138" i="1"/>
  <c r="AG138" i="1"/>
  <c r="AH138" i="1"/>
  <c r="AI138" i="1"/>
  <c r="AJ138" i="1"/>
  <c r="AK138" i="1"/>
  <c r="AL138" i="1"/>
  <c r="AM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AB139" i="1"/>
  <c r="AC139" i="1"/>
  <c r="AD139" i="1"/>
  <c r="AE139" i="1"/>
  <c r="AF139" i="1"/>
  <c r="AG139" i="1"/>
  <c r="AH139" i="1"/>
  <c r="AI139" i="1"/>
  <c r="AJ139" i="1"/>
  <c r="AK139" i="1"/>
  <c r="AL139" i="1"/>
  <c r="AM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AJ140" i="1"/>
  <c r="AK140" i="1"/>
  <c r="AL140" i="1"/>
  <c r="AM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AI141" i="1"/>
  <c r="AJ141" i="1"/>
  <c r="AK141" i="1"/>
  <c r="AL141" i="1"/>
  <c r="AM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AJ142" i="1"/>
  <c r="AK142" i="1"/>
  <c r="AL142" i="1"/>
  <c r="AM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AJ143" i="1"/>
  <c r="AK143" i="1"/>
  <c r="AL143" i="1"/>
  <c r="AM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AJ144" i="1"/>
  <c r="AK144" i="1"/>
  <c r="AL144" i="1"/>
  <c r="AM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Z145" i="1"/>
  <c r="AA145" i="1"/>
  <c r="AB145" i="1"/>
  <c r="AC145" i="1"/>
  <c r="AD145" i="1"/>
  <c r="AE145" i="1"/>
  <c r="AF145" i="1"/>
  <c r="AG145" i="1"/>
  <c r="AH145" i="1"/>
  <c r="AI145" i="1"/>
  <c r="AJ145" i="1"/>
  <c r="AK145" i="1"/>
  <c r="AL145" i="1"/>
  <c r="AM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S146" i="1"/>
  <c r="T146" i="1"/>
  <c r="U146" i="1"/>
  <c r="V146" i="1"/>
  <c r="W146" i="1"/>
  <c r="X146" i="1"/>
  <c r="Y146" i="1"/>
  <c r="Z146" i="1"/>
  <c r="AA146" i="1"/>
  <c r="AB146" i="1"/>
  <c r="AC146" i="1"/>
  <c r="AD146" i="1"/>
  <c r="AE146" i="1"/>
  <c r="AF146" i="1"/>
  <c r="AG146" i="1"/>
  <c r="AH146" i="1"/>
  <c r="AI146" i="1"/>
  <c r="AJ146" i="1"/>
  <c r="AK146" i="1"/>
  <c r="AL146" i="1"/>
  <c r="AM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S147" i="1"/>
  <c r="T147" i="1"/>
  <c r="U147" i="1"/>
  <c r="V147" i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AI147" i="1"/>
  <c r="AJ147" i="1"/>
  <c r="AK147" i="1"/>
  <c r="AL147" i="1"/>
  <c r="AM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AJ148" i="1"/>
  <c r="AK148" i="1"/>
  <c r="AL148" i="1"/>
  <c r="AM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AI149" i="1"/>
  <c r="AJ149" i="1"/>
  <c r="AK149" i="1"/>
  <c r="AL149" i="1"/>
  <c r="AM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Z150" i="1"/>
  <c r="AA150" i="1"/>
  <c r="AB150" i="1"/>
  <c r="AC150" i="1"/>
  <c r="AD150" i="1"/>
  <c r="AE150" i="1"/>
  <c r="AF150" i="1"/>
  <c r="AG150" i="1"/>
  <c r="AH150" i="1"/>
  <c r="AI150" i="1"/>
  <c r="AJ150" i="1"/>
  <c r="AK150" i="1"/>
  <c r="AL150" i="1"/>
  <c r="AM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AJ151" i="1"/>
  <c r="AK151" i="1"/>
  <c r="AL151" i="1"/>
  <c r="AM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AJ152" i="1"/>
  <c r="AK152" i="1"/>
  <c r="AL152" i="1"/>
  <c r="AM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S153" i="1"/>
  <c r="T153" i="1"/>
  <c r="U153" i="1"/>
  <c r="V153" i="1"/>
  <c r="W153" i="1"/>
  <c r="X153" i="1"/>
  <c r="Y153" i="1"/>
  <c r="Z153" i="1"/>
  <c r="AA153" i="1"/>
  <c r="AB153" i="1"/>
  <c r="AC153" i="1"/>
  <c r="AD153" i="1"/>
  <c r="AE153" i="1"/>
  <c r="AF153" i="1"/>
  <c r="AG153" i="1"/>
  <c r="AH153" i="1"/>
  <c r="AI153" i="1"/>
  <c r="AJ153" i="1"/>
  <c r="AK153" i="1"/>
  <c r="AL153" i="1"/>
  <c r="AM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S154" i="1"/>
  <c r="T154" i="1"/>
  <c r="U154" i="1"/>
  <c r="V154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AI154" i="1"/>
  <c r="AJ154" i="1"/>
  <c r="AK154" i="1"/>
  <c r="AL154" i="1"/>
  <c r="AM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AA155" i="1"/>
  <c r="AB155" i="1"/>
  <c r="AC155" i="1"/>
  <c r="AD155" i="1"/>
  <c r="AE155" i="1"/>
  <c r="AF155" i="1"/>
  <c r="AG155" i="1"/>
  <c r="AH155" i="1"/>
  <c r="AI155" i="1"/>
  <c r="AJ155" i="1"/>
  <c r="AK155" i="1"/>
  <c r="AL155" i="1"/>
  <c r="AM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AJ156" i="1"/>
  <c r="AK156" i="1"/>
  <c r="AL156" i="1"/>
  <c r="AM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AI157" i="1"/>
  <c r="AJ157" i="1"/>
  <c r="AK157" i="1"/>
  <c r="AL157" i="1"/>
  <c r="AM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A158" i="1"/>
  <c r="AB158" i="1"/>
  <c r="AC158" i="1"/>
  <c r="AD158" i="1"/>
  <c r="AE158" i="1"/>
  <c r="AF158" i="1"/>
  <c r="AG158" i="1"/>
  <c r="AH158" i="1"/>
  <c r="AI158" i="1"/>
  <c r="AJ158" i="1"/>
  <c r="AK158" i="1"/>
  <c r="AL158" i="1"/>
  <c r="AM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AJ159" i="1"/>
  <c r="AK159" i="1"/>
  <c r="AL159" i="1"/>
  <c r="AM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J160" i="1"/>
  <c r="AK160" i="1"/>
  <c r="AL160" i="1"/>
  <c r="AM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A161" i="1"/>
  <c r="AB161" i="1"/>
  <c r="AC161" i="1"/>
  <c r="AD161" i="1"/>
  <c r="AE161" i="1"/>
  <c r="AF161" i="1"/>
  <c r="AG161" i="1"/>
  <c r="AH161" i="1"/>
  <c r="AI161" i="1"/>
  <c r="AJ161" i="1"/>
  <c r="AK161" i="1"/>
  <c r="AL161" i="1"/>
  <c r="AM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A162" i="1"/>
  <c r="AB162" i="1"/>
  <c r="AC162" i="1"/>
  <c r="AD162" i="1"/>
  <c r="AE162" i="1"/>
  <c r="AF162" i="1"/>
  <c r="AG162" i="1"/>
  <c r="AH162" i="1"/>
  <c r="AI162" i="1"/>
  <c r="AJ162" i="1"/>
  <c r="AK162" i="1"/>
  <c r="AL162" i="1"/>
  <c r="AM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AI163" i="1"/>
  <c r="AJ163" i="1"/>
  <c r="AK163" i="1"/>
  <c r="AL163" i="1"/>
  <c r="AM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AJ164" i="1"/>
  <c r="AK164" i="1"/>
  <c r="AL164" i="1"/>
  <c r="AM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S165" i="1"/>
  <c r="T165" i="1"/>
  <c r="U165" i="1"/>
  <c r="V165" i="1"/>
  <c r="W165" i="1"/>
  <c r="X165" i="1"/>
  <c r="Y165" i="1"/>
  <c r="Z165" i="1"/>
  <c r="AA165" i="1"/>
  <c r="AB165" i="1"/>
  <c r="AC165" i="1"/>
  <c r="AD165" i="1"/>
  <c r="AE165" i="1"/>
  <c r="AF165" i="1"/>
  <c r="AG165" i="1"/>
  <c r="AH165" i="1"/>
  <c r="AI165" i="1"/>
  <c r="AJ165" i="1"/>
  <c r="AK165" i="1"/>
  <c r="AL165" i="1"/>
  <c r="AM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A166" i="1"/>
  <c r="AB166" i="1"/>
  <c r="AC166" i="1"/>
  <c r="AD166" i="1"/>
  <c r="AE166" i="1"/>
  <c r="AF166" i="1"/>
  <c r="AG166" i="1"/>
  <c r="AH166" i="1"/>
  <c r="AI166" i="1"/>
  <c r="AJ166" i="1"/>
  <c r="AK166" i="1"/>
  <c r="AL166" i="1"/>
  <c r="AM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AJ167" i="1"/>
  <c r="AK167" i="1"/>
  <c r="AL167" i="1"/>
  <c r="AM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AJ168" i="1"/>
  <c r="AK168" i="1"/>
  <c r="AL168" i="1"/>
  <c r="AM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A169" i="1"/>
  <c r="AB169" i="1"/>
  <c r="AC169" i="1"/>
  <c r="AD169" i="1"/>
  <c r="AE169" i="1"/>
  <c r="AF169" i="1"/>
  <c r="AG169" i="1"/>
  <c r="AH169" i="1"/>
  <c r="AI169" i="1"/>
  <c r="AJ169" i="1"/>
  <c r="AK169" i="1"/>
  <c r="AL169" i="1"/>
  <c r="AM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AI170" i="1"/>
  <c r="AJ170" i="1"/>
  <c r="AK170" i="1"/>
  <c r="AL170" i="1"/>
  <c r="AM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A171" i="1"/>
  <c r="AB171" i="1"/>
  <c r="AC171" i="1"/>
  <c r="AD171" i="1"/>
  <c r="AE171" i="1"/>
  <c r="AF171" i="1"/>
  <c r="AG171" i="1"/>
  <c r="AH171" i="1"/>
  <c r="AI171" i="1"/>
  <c r="AJ171" i="1"/>
  <c r="AK171" i="1"/>
  <c r="AL171" i="1"/>
  <c r="AM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AJ172" i="1"/>
  <c r="AK172" i="1"/>
  <c r="AL172" i="1"/>
  <c r="AM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A173" i="1"/>
  <c r="AB173" i="1"/>
  <c r="AC173" i="1"/>
  <c r="AD173" i="1"/>
  <c r="AE173" i="1"/>
  <c r="AF173" i="1"/>
  <c r="AG173" i="1"/>
  <c r="AH173" i="1"/>
  <c r="AI173" i="1"/>
  <c r="AJ173" i="1"/>
  <c r="AK173" i="1"/>
  <c r="AL173" i="1"/>
  <c r="AM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A174" i="1"/>
  <c r="AB174" i="1"/>
  <c r="AC174" i="1"/>
  <c r="AD174" i="1"/>
  <c r="AE174" i="1"/>
  <c r="AF174" i="1"/>
  <c r="AG174" i="1"/>
  <c r="AH174" i="1"/>
  <c r="AI174" i="1"/>
  <c r="AJ174" i="1"/>
  <c r="AK174" i="1"/>
  <c r="AL174" i="1"/>
  <c r="AM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AJ175" i="1"/>
  <c r="AK175" i="1"/>
  <c r="AL175" i="1"/>
  <c r="AM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AJ176" i="1"/>
  <c r="AK176" i="1"/>
  <c r="AL176" i="1"/>
  <c r="AM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AI177" i="1"/>
  <c r="AJ177" i="1"/>
  <c r="AK177" i="1"/>
  <c r="AL177" i="1"/>
  <c r="AM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A178" i="1"/>
  <c r="AB178" i="1"/>
  <c r="AC178" i="1"/>
  <c r="AD178" i="1"/>
  <c r="AE178" i="1"/>
  <c r="AF178" i="1"/>
  <c r="AG178" i="1"/>
  <c r="AH178" i="1"/>
  <c r="AI178" i="1"/>
  <c r="AJ178" i="1"/>
  <c r="AK178" i="1"/>
  <c r="AL178" i="1"/>
  <c r="AM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A179" i="1"/>
  <c r="AB179" i="1"/>
  <c r="AC179" i="1"/>
  <c r="AD179" i="1"/>
  <c r="AE179" i="1"/>
  <c r="AF179" i="1"/>
  <c r="AG179" i="1"/>
  <c r="AH179" i="1"/>
  <c r="AI179" i="1"/>
  <c r="AJ179" i="1"/>
  <c r="AK179" i="1"/>
  <c r="AL179" i="1"/>
  <c r="AM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AJ180" i="1"/>
  <c r="AK180" i="1"/>
  <c r="AL180" i="1"/>
  <c r="AM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AI181" i="1"/>
  <c r="AJ181" i="1"/>
  <c r="AK181" i="1"/>
  <c r="AL181" i="1"/>
  <c r="AM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A182" i="1"/>
  <c r="AB182" i="1"/>
  <c r="AC182" i="1"/>
  <c r="AD182" i="1"/>
  <c r="AE182" i="1"/>
  <c r="AF182" i="1"/>
  <c r="AG182" i="1"/>
  <c r="AH182" i="1"/>
  <c r="AI182" i="1"/>
  <c r="AJ182" i="1"/>
  <c r="AK182" i="1"/>
  <c r="AL182" i="1"/>
  <c r="AM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AJ183" i="1"/>
  <c r="AK183" i="1"/>
  <c r="AL183" i="1"/>
  <c r="AM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AJ184" i="1"/>
  <c r="AK184" i="1"/>
  <c r="AL184" i="1"/>
  <c r="AM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S185" i="1"/>
  <c r="T185" i="1"/>
  <c r="U185" i="1"/>
  <c r="V185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AI185" i="1"/>
  <c r="AJ185" i="1"/>
  <c r="AK185" i="1"/>
  <c r="AL185" i="1"/>
  <c r="AM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A186" i="1"/>
  <c r="AB186" i="1"/>
  <c r="AC186" i="1"/>
  <c r="AD186" i="1"/>
  <c r="AE186" i="1"/>
  <c r="AF186" i="1"/>
  <c r="AG186" i="1"/>
  <c r="AH186" i="1"/>
  <c r="AI186" i="1"/>
  <c r="AJ186" i="1"/>
  <c r="AK186" i="1"/>
  <c r="AL186" i="1"/>
  <c r="AM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AI187" i="1"/>
  <c r="AJ187" i="1"/>
  <c r="AK187" i="1"/>
  <c r="AL187" i="1"/>
  <c r="AM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AJ188" i="1"/>
  <c r="AK188" i="1"/>
  <c r="AL188" i="1"/>
  <c r="AM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A189" i="1"/>
  <c r="AB189" i="1"/>
  <c r="AC189" i="1"/>
  <c r="AD189" i="1"/>
  <c r="AE189" i="1"/>
  <c r="AF189" i="1"/>
  <c r="AG189" i="1"/>
  <c r="AH189" i="1"/>
  <c r="AI189" i="1"/>
  <c r="AJ189" i="1"/>
  <c r="AK189" i="1"/>
  <c r="AL189" i="1"/>
  <c r="AM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A190" i="1"/>
  <c r="AB190" i="1"/>
  <c r="AC190" i="1"/>
  <c r="AD190" i="1"/>
  <c r="AE190" i="1"/>
  <c r="AF190" i="1"/>
  <c r="AG190" i="1"/>
  <c r="AH190" i="1"/>
  <c r="AI190" i="1"/>
  <c r="AJ190" i="1"/>
  <c r="AK190" i="1"/>
  <c r="AL190" i="1"/>
  <c r="AM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AJ191" i="1"/>
  <c r="AK191" i="1"/>
  <c r="AL191" i="1"/>
  <c r="AM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J192" i="1"/>
  <c r="AK192" i="1"/>
  <c r="AL192" i="1"/>
  <c r="AM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A193" i="1"/>
  <c r="AB193" i="1"/>
  <c r="AC193" i="1"/>
  <c r="AD193" i="1"/>
  <c r="AE193" i="1"/>
  <c r="AF193" i="1"/>
  <c r="AG193" i="1"/>
  <c r="AH193" i="1"/>
  <c r="AI193" i="1"/>
  <c r="AJ193" i="1"/>
  <c r="AK193" i="1"/>
  <c r="AL193" i="1"/>
  <c r="AM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A194" i="1"/>
  <c r="AB194" i="1"/>
  <c r="AC194" i="1"/>
  <c r="AD194" i="1"/>
  <c r="AE194" i="1"/>
  <c r="AF194" i="1"/>
  <c r="AG194" i="1"/>
  <c r="AH194" i="1"/>
  <c r="AI194" i="1"/>
  <c r="AJ194" i="1"/>
  <c r="AK194" i="1"/>
  <c r="AL194" i="1"/>
  <c r="AM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A195" i="1"/>
  <c r="AB195" i="1"/>
  <c r="AC195" i="1"/>
  <c r="AD195" i="1"/>
  <c r="AE195" i="1"/>
  <c r="AF195" i="1"/>
  <c r="AG195" i="1"/>
  <c r="AH195" i="1"/>
  <c r="AI195" i="1"/>
  <c r="AJ195" i="1"/>
  <c r="AK195" i="1"/>
  <c r="AL195" i="1"/>
  <c r="AM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J196" i="1"/>
  <c r="AK196" i="1"/>
  <c r="AL196" i="1"/>
  <c r="AM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A197" i="1"/>
  <c r="AB197" i="1"/>
  <c r="AC197" i="1"/>
  <c r="AD197" i="1"/>
  <c r="AE197" i="1"/>
  <c r="AF197" i="1"/>
  <c r="AG197" i="1"/>
  <c r="AH197" i="1"/>
  <c r="AI197" i="1"/>
  <c r="AJ197" i="1"/>
  <c r="AK197" i="1"/>
  <c r="AL197" i="1"/>
  <c r="AM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M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AJ199" i="1"/>
  <c r="AK199" i="1"/>
  <c r="AL199" i="1"/>
  <c r="AM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AJ200" i="1"/>
  <c r="AK200" i="1"/>
  <c r="AL200" i="1"/>
  <c r="AM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A201" i="1"/>
  <c r="AB201" i="1"/>
  <c r="AC201" i="1"/>
  <c r="AD201" i="1"/>
  <c r="AE201" i="1"/>
  <c r="AF201" i="1"/>
  <c r="AG201" i="1"/>
  <c r="AH201" i="1"/>
  <c r="AI201" i="1"/>
  <c r="AJ201" i="1"/>
  <c r="AK201" i="1"/>
  <c r="AL201" i="1"/>
  <c r="AM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A202" i="1"/>
  <c r="AB202" i="1"/>
  <c r="AC202" i="1"/>
  <c r="AD202" i="1"/>
  <c r="AE202" i="1"/>
  <c r="AF202" i="1"/>
  <c r="AG202" i="1"/>
  <c r="AH202" i="1"/>
  <c r="AI202" i="1"/>
  <c r="AJ202" i="1"/>
  <c r="AK202" i="1"/>
  <c r="AL202" i="1"/>
  <c r="AM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A203" i="1"/>
  <c r="AB203" i="1"/>
  <c r="AC203" i="1"/>
  <c r="AD203" i="1"/>
  <c r="AE203" i="1"/>
  <c r="AF203" i="1"/>
  <c r="AG203" i="1"/>
  <c r="AH203" i="1"/>
  <c r="AI203" i="1"/>
  <c r="AJ203" i="1"/>
  <c r="AK203" i="1"/>
  <c r="AL203" i="1"/>
  <c r="AM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J204" i="1"/>
  <c r="AK204" i="1"/>
  <c r="AL204" i="1"/>
  <c r="AM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AI205" i="1"/>
  <c r="AJ205" i="1"/>
  <c r="AK205" i="1"/>
  <c r="AL205" i="1"/>
  <c r="AM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AI206" i="1"/>
  <c r="AJ206" i="1"/>
  <c r="AK206" i="1"/>
  <c r="AL206" i="1"/>
  <c r="AM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AJ207" i="1"/>
  <c r="AK207" i="1"/>
  <c r="AL207" i="1"/>
  <c r="AM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AJ208" i="1"/>
  <c r="AK208" i="1"/>
  <c r="AL208" i="1"/>
  <c r="AM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A209" i="1"/>
  <c r="AB209" i="1"/>
  <c r="AC209" i="1"/>
  <c r="AD209" i="1"/>
  <c r="AE209" i="1"/>
  <c r="AF209" i="1"/>
  <c r="AG209" i="1"/>
  <c r="AH209" i="1"/>
  <c r="AI209" i="1"/>
  <c r="AJ209" i="1"/>
  <c r="AK209" i="1"/>
  <c r="AL209" i="1"/>
  <c r="AM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AI210" i="1"/>
  <c r="AJ210" i="1"/>
  <c r="AK210" i="1"/>
  <c r="AL210" i="1"/>
  <c r="AM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A211" i="1"/>
  <c r="AB211" i="1"/>
  <c r="AC211" i="1"/>
  <c r="AD211" i="1"/>
  <c r="AE211" i="1"/>
  <c r="AF211" i="1"/>
  <c r="AG211" i="1"/>
  <c r="AH211" i="1"/>
  <c r="AI211" i="1"/>
  <c r="AJ211" i="1"/>
  <c r="AK211" i="1"/>
  <c r="AL211" i="1"/>
  <c r="AM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AJ212" i="1"/>
  <c r="AK212" i="1"/>
  <c r="AL212" i="1"/>
  <c r="AM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AI213" i="1"/>
  <c r="AJ213" i="1"/>
  <c r="AK213" i="1"/>
  <c r="AL213" i="1"/>
  <c r="AM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A214" i="1"/>
  <c r="AB214" i="1"/>
  <c r="AC214" i="1"/>
  <c r="AD214" i="1"/>
  <c r="AE214" i="1"/>
  <c r="AF214" i="1"/>
  <c r="AG214" i="1"/>
  <c r="AH214" i="1"/>
  <c r="AI214" i="1"/>
  <c r="AJ214" i="1"/>
  <c r="AK214" i="1"/>
  <c r="AL214" i="1"/>
  <c r="AM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AJ215" i="1"/>
  <c r="AK215" i="1"/>
  <c r="AL215" i="1"/>
  <c r="AM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J216" i="1"/>
  <c r="AK216" i="1"/>
  <c r="AL216" i="1"/>
  <c r="AM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S217" i="1"/>
  <c r="T217" i="1"/>
  <c r="U217" i="1"/>
  <c r="V217" i="1"/>
  <c r="W217" i="1"/>
  <c r="X217" i="1"/>
  <c r="Y217" i="1"/>
  <c r="Z217" i="1"/>
  <c r="AA217" i="1"/>
  <c r="AB217" i="1"/>
  <c r="AC217" i="1"/>
  <c r="AD217" i="1"/>
  <c r="AE217" i="1"/>
  <c r="AF217" i="1"/>
  <c r="AG217" i="1"/>
  <c r="AH217" i="1"/>
  <c r="AI217" i="1"/>
  <c r="AJ217" i="1"/>
  <c r="AK217" i="1"/>
  <c r="AL217" i="1"/>
  <c r="AM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A218" i="1"/>
  <c r="AB218" i="1"/>
  <c r="AC218" i="1"/>
  <c r="AD218" i="1"/>
  <c r="AE218" i="1"/>
  <c r="AF218" i="1"/>
  <c r="AG218" i="1"/>
  <c r="AH218" i="1"/>
  <c r="AI218" i="1"/>
  <c r="AJ218" i="1"/>
  <c r="AK218" i="1"/>
  <c r="AL218" i="1"/>
  <c r="AM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A219" i="1"/>
  <c r="AB219" i="1"/>
  <c r="AC219" i="1"/>
  <c r="AD219" i="1"/>
  <c r="AE219" i="1"/>
  <c r="AF219" i="1"/>
  <c r="AG219" i="1"/>
  <c r="AH219" i="1"/>
  <c r="AI219" i="1"/>
  <c r="AJ219" i="1"/>
  <c r="AK219" i="1"/>
  <c r="AL219" i="1"/>
  <c r="AM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J220" i="1"/>
  <c r="AK220" i="1"/>
  <c r="AL220" i="1"/>
  <c r="AM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A221" i="1"/>
  <c r="AB221" i="1"/>
  <c r="AC221" i="1"/>
  <c r="AD221" i="1"/>
  <c r="AE221" i="1"/>
  <c r="AF221" i="1"/>
  <c r="AG221" i="1"/>
  <c r="AH221" i="1"/>
  <c r="AI221" i="1"/>
  <c r="AJ221" i="1"/>
  <c r="AK221" i="1"/>
  <c r="AL221" i="1"/>
  <c r="AM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A222" i="1"/>
  <c r="AB222" i="1"/>
  <c r="AC222" i="1"/>
  <c r="AD222" i="1"/>
  <c r="AE222" i="1"/>
  <c r="AF222" i="1"/>
  <c r="AG222" i="1"/>
  <c r="AH222" i="1"/>
  <c r="AI222" i="1"/>
  <c r="AJ222" i="1"/>
  <c r="AK222" i="1"/>
  <c r="AL222" i="1"/>
  <c r="AM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AJ223" i="1"/>
  <c r="AK223" i="1"/>
  <c r="AL223" i="1"/>
  <c r="AM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AJ224" i="1"/>
  <c r="AK224" i="1"/>
  <c r="AL224" i="1"/>
  <c r="AM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A225" i="1"/>
  <c r="AB225" i="1"/>
  <c r="AC225" i="1"/>
  <c r="AD225" i="1"/>
  <c r="AE225" i="1"/>
  <c r="AF225" i="1"/>
  <c r="AG225" i="1"/>
  <c r="AH225" i="1"/>
  <c r="AI225" i="1"/>
  <c r="AJ225" i="1"/>
  <c r="AK225" i="1"/>
  <c r="AL225" i="1"/>
  <c r="AM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Y226" i="1"/>
  <c r="Z226" i="1"/>
  <c r="AA226" i="1"/>
  <c r="AB226" i="1"/>
  <c r="AC226" i="1"/>
  <c r="AD226" i="1"/>
  <c r="AE226" i="1"/>
  <c r="AF226" i="1"/>
  <c r="AG226" i="1"/>
  <c r="AH226" i="1"/>
  <c r="AI226" i="1"/>
  <c r="AJ226" i="1"/>
  <c r="AK226" i="1"/>
  <c r="AL226" i="1"/>
  <c r="AM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AB227" i="1"/>
  <c r="AC227" i="1"/>
  <c r="AD227" i="1"/>
  <c r="AE227" i="1"/>
  <c r="AF227" i="1"/>
  <c r="AG227" i="1"/>
  <c r="AH227" i="1"/>
  <c r="AI227" i="1"/>
  <c r="AJ227" i="1"/>
  <c r="AK227" i="1"/>
  <c r="AL227" i="1"/>
  <c r="AM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AJ228" i="1"/>
  <c r="AK228" i="1"/>
  <c r="AL228" i="1"/>
  <c r="AM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Y229" i="1"/>
  <c r="Z229" i="1"/>
  <c r="AA229" i="1"/>
  <c r="AB229" i="1"/>
  <c r="AC229" i="1"/>
  <c r="AD229" i="1"/>
  <c r="AE229" i="1"/>
  <c r="AF229" i="1"/>
  <c r="AG229" i="1"/>
  <c r="AH229" i="1"/>
  <c r="AI229" i="1"/>
  <c r="AJ229" i="1"/>
  <c r="AK229" i="1"/>
  <c r="AL229" i="1"/>
  <c r="AM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S230" i="1"/>
  <c r="T230" i="1"/>
  <c r="U230" i="1"/>
  <c r="V230" i="1"/>
  <c r="W230" i="1"/>
  <c r="X230" i="1"/>
  <c r="Y230" i="1"/>
  <c r="Z230" i="1"/>
  <c r="AA230" i="1"/>
  <c r="AB230" i="1"/>
  <c r="AC230" i="1"/>
  <c r="AD230" i="1"/>
  <c r="AE230" i="1"/>
  <c r="AF230" i="1"/>
  <c r="AG230" i="1"/>
  <c r="AH230" i="1"/>
  <c r="AI230" i="1"/>
  <c r="AJ230" i="1"/>
  <c r="AK230" i="1"/>
  <c r="AL230" i="1"/>
  <c r="AM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S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AJ231" i="1"/>
  <c r="AK231" i="1"/>
  <c r="AL231" i="1"/>
  <c r="AM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S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J232" i="1"/>
  <c r="AK232" i="1"/>
  <c r="AL232" i="1"/>
  <c r="AM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AI233" i="1"/>
  <c r="AJ233" i="1"/>
  <c r="AK233" i="1"/>
  <c r="AL233" i="1"/>
  <c r="AM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AB234" i="1"/>
  <c r="AC234" i="1"/>
  <c r="AD234" i="1"/>
  <c r="AE234" i="1"/>
  <c r="AF234" i="1"/>
  <c r="AG234" i="1"/>
  <c r="AH234" i="1"/>
  <c r="AI234" i="1"/>
  <c r="AJ234" i="1"/>
  <c r="AK234" i="1"/>
  <c r="AL234" i="1"/>
  <c r="AM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Y235" i="1"/>
  <c r="Z235" i="1"/>
  <c r="AA235" i="1"/>
  <c r="AB235" i="1"/>
  <c r="AC235" i="1"/>
  <c r="AD235" i="1"/>
  <c r="AE235" i="1"/>
  <c r="AF235" i="1"/>
  <c r="AG235" i="1"/>
  <c r="AH235" i="1"/>
  <c r="AI235" i="1"/>
  <c r="AJ235" i="1"/>
  <c r="AK235" i="1"/>
  <c r="AL235" i="1"/>
  <c r="AM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S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AJ236" i="1"/>
  <c r="AK236" i="1"/>
  <c r="AL236" i="1"/>
  <c r="AM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S237" i="1"/>
  <c r="T237" i="1"/>
  <c r="U237" i="1"/>
  <c r="V237" i="1"/>
  <c r="W237" i="1"/>
  <c r="X237" i="1"/>
  <c r="Y237" i="1"/>
  <c r="Z237" i="1"/>
  <c r="AA237" i="1"/>
  <c r="AB237" i="1"/>
  <c r="AC237" i="1"/>
  <c r="AD237" i="1"/>
  <c r="AE237" i="1"/>
  <c r="AF237" i="1"/>
  <c r="AG237" i="1"/>
  <c r="AH237" i="1"/>
  <c r="AI237" i="1"/>
  <c r="AJ237" i="1"/>
  <c r="AK237" i="1"/>
  <c r="AL237" i="1"/>
  <c r="AM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S238" i="1"/>
  <c r="T238" i="1"/>
  <c r="U238" i="1"/>
  <c r="V238" i="1"/>
  <c r="W238" i="1"/>
  <c r="X238" i="1"/>
  <c r="Y238" i="1"/>
  <c r="Z238" i="1"/>
  <c r="AA238" i="1"/>
  <c r="AB238" i="1"/>
  <c r="AC238" i="1"/>
  <c r="AD238" i="1"/>
  <c r="AE238" i="1"/>
  <c r="AF238" i="1"/>
  <c r="AG238" i="1"/>
  <c r="AH238" i="1"/>
  <c r="AI238" i="1"/>
  <c r="AJ238" i="1"/>
  <c r="AK238" i="1"/>
  <c r="AL238" i="1"/>
  <c r="AM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S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AJ239" i="1"/>
  <c r="AK239" i="1"/>
  <c r="AL239" i="1"/>
  <c r="AM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S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AJ240" i="1"/>
  <c r="AK240" i="1"/>
  <c r="AL240" i="1"/>
  <c r="AM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S241" i="1"/>
  <c r="T241" i="1"/>
  <c r="U241" i="1"/>
  <c r="V241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AI241" i="1"/>
  <c r="AJ241" i="1"/>
  <c r="AK241" i="1"/>
  <c r="AL241" i="1"/>
  <c r="AM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S242" i="1"/>
  <c r="T242" i="1"/>
  <c r="U242" i="1"/>
  <c r="V242" i="1"/>
  <c r="W242" i="1"/>
  <c r="X242" i="1"/>
  <c r="Y242" i="1"/>
  <c r="Z242" i="1"/>
  <c r="AA242" i="1"/>
  <c r="AB242" i="1"/>
  <c r="AC242" i="1"/>
  <c r="AD242" i="1"/>
  <c r="AE242" i="1"/>
  <c r="AF242" i="1"/>
  <c r="AG242" i="1"/>
  <c r="AH242" i="1"/>
  <c r="AI242" i="1"/>
  <c r="AJ242" i="1"/>
  <c r="AK242" i="1"/>
  <c r="AL242" i="1"/>
  <c r="AM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S243" i="1"/>
  <c r="T243" i="1"/>
  <c r="U243" i="1"/>
  <c r="V243" i="1"/>
  <c r="W243" i="1"/>
  <c r="X243" i="1"/>
  <c r="Y243" i="1"/>
  <c r="Z243" i="1"/>
  <c r="AA243" i="1"/>
  <c r="AB243" i="1"/>
  <c r="AC243" i="1"/>
  <c r="AD243" i="1"/>
  <c r="AE243" i="1"/>
  <c r="AF243" i="1"/>
  <c r="AG243" i="1"/>
  <c r="AH243" i="1"/>
  <c r="AI243" i="1"/>
  <c r="AJ243" i="1"/>
  <c r="AK243" i="1"/>
  <c r="AL243" i="1"/>
  <c r="AM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S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AJ244" i="1"/>
  <c r="AK244" i="1"/>
  <c r="AL244" i="1"/>
  <c r="AM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S245" i="1"/>
  <c r="T245" i="1"/>
  <c r="U245" i="1"/>
  <c r="V245" i="1"/>
  <c r="W245" i="1"/>
  <c r="X245" i="1"/>
  <c r="Y245" i="1"/>
  <c r="Z245" i="1"/>
  <c r="AA245" i="1"/>
  <c r="AB245" i="1"/>
  <c r="AC245" i="1"/>
  <c r="AD245" i="1"/>
  <c r="AE245" i="1"/>
  <c r="AF245" i="1"/>
  <c r="AG245" i="1"/>
  <c r="AH245" i="1"/>
  <c r="AI245" i="1"/>
  <c r="AJ245" i="1"/>
  <c r="AK245" i="1"/>
  <c r="AL245" i="1"/>
  <c r="AM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S246" i="1"/>
  <c r="T246" i="1"/>
  <c r="U246" i="1"/>
  <c r="V246" i="1"/>
  <c r="W246" i="1"/>
  <c r="X246" i="1"/>
  <c r="Y246" i="1"/>
  <c r="Z246" i="1"/>
  <c r="AA246" i="1"/>
  <c r="AB246" i="1"/>
  <c r="AC246" i="1"/>
  <c r="AD246" i="1"/>
  <c r="AE246" i="1"/>
  <c r="AF246" i="1"/>
  <c r="AG246" i="1"/>
  <c r="AH246" i="1"/>
  <c r="AI246" i="1"/>
  <c r="AJ246" i="1"/>
  <c r="AK246" i="1"/>
  <c r="AL246" i="1"/>
  <c r="AM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AJ247" i="1"/>
  <c r="AK247" i="1"/>
  <c r="AL247" i="1"/>
  <c r="AM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S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AJ248" i="1"/>
  <c r="AK248" i="1"/>
  <c r="AL248" i="1"/>
  <c r="AM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S249" i="1"/>
  <c r="T249" i="1"/>
  <c r="U249" i="1"/>
  <c r="V249" i="1"/>
  <c r="W249" i="1"/>
  <c r="X249" i="1"/>
  <c r="Y249" i="1"/>
  <c r="Z249" i="1"/>
  <c r="AA249" i="1"/>
  <c r="AB249" i="1"/>
  <c r="AC249" i="1"/>
  <c r="AD249" i="1"/>
  <c r="AE249" i="1"/>
  <c r="AF249" i="1"/>
  <c r="AG249" i="1"/>
  <c r="AH249" i="1"/>
  <c r="AI249" i="1"/>
  <c r="AJ249" i="1"/>
  <c r="AK249" i="1"/>
  <c r="AL249" i="1"/>
  <c r="AM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S250" i="1"/>
  <c r="T250" i="1"/>
  <c r="U250" i="1"/>
  <c r="V250" i="1"/>
  <c r="W250" i="1"/>
  <c r="X250" i="1"/>
  <c r="Y250" i="1"/>
  <c r="Z250" i="1"/>
  <c r="AA250" i="1"/>
  <c r="AB250" i="1"/>
  <c r="AC250" i="1"/>
  <c r="AD250" i="1"/>
  <c r="AE250" i="1"/>
  <c r="AF250" i="1"/>
  <c r="AG250" i="1"/>
  <c r="AH250" i="1"/>
  <c r="AI250" i="1"/>
  <c r="AJ250" i="1"/>
  <c r="AK250" i="1"/>
  <c r="AL250" i="1"/>
  <c r="AM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S251" i="1"/>
  <c r="T251" i="1"/>
  <c r="U251" i="1"/>
  <c r="V251" i="1"/>
  <c r="W251" i="1"/>
  <c r="X251" i="1"/>
  <c r="Y251" i="1"/>
  <c r="Z251" i="1"/>
  <c r="AA251" i="1"/>
  <c r="AB251" i="1"/>
  <c r="AC251" i="1"/>
  <c r="AD251" i="1"/>
  <c r="AE251" i="1"/>
  <c r="AF251" i="1"/>
  <c r="AG251" i="1"/>
  <c r="AH251" i="1"/>
  <c r="AI251" i="1"/>
  <c r="AJ251" i="1"/>
  <c r="AK251" i="1"/>
  <c r="AL251" i="1"/>
  <c r="AM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S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AJ252" i="1"/>
  <c r="AK252" i="1"/>
  <c r="AL252" i="1"/>
  <c r="AM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S253" i="1"/>
  <c r="T253" i="1"/>
  <c r="U253" i="1"/>
  <c r="V253" i="1"/>
  <c r="W253" i="1"/>
  <c r="X253" i="1"/>
  <c r="Y253" i="1"/>
  <c r="Z253" i="1"/>
  <c r="AA253" i="1"/>
  <c r="AB253" i="1"/>
  <c r="AC253" i="1"/>
  <c r="AD253" i="1"/>
  <c r="AE253" i="1"/>
  <c r="AF253" i="1"/>
  <c r="AG253" i="1"/>
  <c r="AH253" i="1"/>
  <c r="AI253" i="1"/>
  <c r="AJ253" i="1"/>
  <c r="AK253" i="1"/>
  <c r="AL253" i="1"/>
  <c r="AM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S254" i="1"/>
  <c r="T254" i="1"/>
  <c r="U254" i="1"/>
  <c r="V254" i="1"/>
  <c r="W254" i="1"/>
  <c r="X254" i="1"/>
  <c r="Y254" i="1"/>
  <c r="Z254" i="1"/>
  <c r="AA254" i="1"/>
  <c r="AB254" i="1"/>
  <c r="AC254" i="1"/>
  <c r="AD254" i="1"/>
  <c r="AE254" i="1"/>
  <c r="AF254" i="1"/>
  <c r="AG254" i="1"/>
  <c r="AH254" i="1"/>
  <c r="AI254" i="1"/>
  <c r="AJ254" i="1"/>
  <c r="AK254" i="1"/>
  <c r="AL254" i="1"/>
  <c r="AM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S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AJ255" i="1"/>
  <c r="AK255" i="1"/>
  <c r="AL255" i="1"/>
  <c r="AM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S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AJ256" i="1"/>
  <c r="AK256" i="1"/>
  <c r="AL256" i="1"/>
  <c r="AM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S257" i="1"/>
  <c r="T257" i="1"/>
  <c r="U257" i="1"/>
  <c r="V257" i="1"/>
  <c r="W257" i="1"/>
  <c r="X257" i="1"/>
  <c r="Y257" i="1"/>
  <c r="Z257" i="1"/>
  <c r="AA257" i="1"/>
  <c r="AB257" i="1"/>
  <c r="AC257" i="1"/>
  <c r="AD257" i="1"/>
  <c r="AE257" i="1"/>
  <c r="AF257" i="1"/>
  <c r="AG257" i="1"/>
  <c r="AH257" i="1"/>
  <c r="AI257" i="1"/>
  <c r="AJ257" i="1"/>
  <c r="AK257" i="1"/>
  <c r="AL257" i="1"/>
  <c r="AM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S258" i="1"/>
  <c r="T258" i="1"/>
  <c r="U258" i="1"/>
  <c r="V258" i="1"/>
  <c r="W258" i="1"/>
  <c r="X258" i="1"/>
  <c r="Y258" i="1"/>
  <c r="Z258" i="1"/>
  <c r="AA258" i="1"/>
  <c r="AB258" i="1"/>
  <c r="AC258" i="1"/>
  <c r="AD258" i="1"/>
  <c r="AE258" i="1"/>
  <c r="AF258" i="1"/>
  <c r="AG258" i="1"/>
  <c r="AH258" i="1"/>
  <c r="AI258" i="1"/>
  <c r="AJ258" i="1"/>
  <c r="AK258" i="1"/>
  <c r="AL258" i="1"/>
  <c r="AM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S259" i="1"/>
  <c r="T259" i="1"/>
  <c r="U259" i="1"/>
  <c r="V259" i="1"/>
  <c r="W259" i="1"/>
  <c r="X259" i="1"/>
  <c r="Y259" i="1"/>
  <c r="Z259" i="1"/>
  <c r="AA259" i="1"/>
  <c r="AB259" i="1"/>
  <c r="AC259" i="1"/>
  <c r="AD259" i="1"/>
  <c r="AE259" i="1"/>
  <c r="AF259" i="1"/>
  <c r="AG259" i="1"/>
  <c r="AH259" i="1"/>
  <c r="AI259" i="1"/>
  <c r="AJ259" i="1"/>
  <c r="AK259" i="1"/>
  <c r="AL259" i="1"/>
  <c r="AM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S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AJ260" i="1"/>
  <c r="AK260" i="1"/>
  <c r="AL260" i="1"/>
  <c r="AM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S261" i="1"/>
  <c r="T261" i="1"/>
  <c r="U261" i="1"/>
  <c r="V261" i="1"/>
  <c r="W261" i="1"/>
  <c r="X261" i="1"/>
  <c r="Y261" i="1"/>
  <c r="Z261" i="1"/>
  <c r="AA261" i="1"/>
  <c r="AB261" i="1"/>
  <c r="AC261" i="1"/>
  <c r="AD261" i="1"/>
  <c r="AE261" i="1"/>
  <c r="AF261" i="1"/>
  <c r="AG261" i="1"/>
  <c r="AH261" i="1"/>
  <c r="AI261" i="1"/>
  <c r="AJ261" i="1"/>
  <c r="AK261" i="1"/>
  <c r="AL261" i="1"/>
  <c r="AM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S262" i="1"/>
  <c r="T262" i="1"/>
  <c r="U262" i="1"/>
  <c r="V262" i="1"/>
  <c r="W262" i="1"/>
  <c r="X262" i="1"/>
  <c r="Y262" i="1"/>
  <c r="Z262" i="1"/>
  <c r="AA262" i="1"/>
  <c r="AB262" i="1"/>
  <c r="AC262" i="1"/>
  <c r="AD262" i="1"/>
  <c r="AE262" i="1"/>
  <c r="AF262" i="1"/>
  <c r="AG262" i="1"/>
  <c r="AH262" i="1"/>
  <c r="AI262" i="1"/>
  <c r="AJ262" i="1"/>
  <c r="AK262" i="1"/>
  <c r="AL262" i="1"/>
  <c r="AM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S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AJ263" i="1"/>
  <c r="AK263" i="1"/>
  <c r="AL263" i="1"/>
  <c r="AM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S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J264" i="1"/>
  <c r="AK264" i="1"/>
  <c r="AL264" i="1"/>
  <c r="AM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S265" i="1"/>
  <c r="T265" i="1"/>
  <c r="U265" i="1"/>
  <c r="V265" i="1"/>
  <c r="W265" i="1"/>
  <c r="X265" i="1"/>
  <c r="Y265" i="1"/>
  <c r="Z265" i="1"/>
  <c r="AA265" i="1"/>
  <c r="AB265" i="1"/>
  <c r="AC265" i="1"/>
  <c r="AD265" i="1"/>
  <c r="AE265" i="1"/>
  <c r="AF265" i="1"/>
  <c r="AG265" i="1"/>
  <c r="AH265" i="1"/>
  <c r="AI265" i="1"/>
  <c r="AJ265" i="1"/>
  <c r="AK265" i="1"/>
  <c r="AL265" i="1"/>
  <c r="AM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S266" i="1"/>
  <c r="T266" i="1"/>
  <c r="U266" i="1"/>
  <c r="V266" i="1"/>
  <c r="W266" i="1"/>
  <c r="X266" i="1"/>
  <c r="Y266" i="1"/>
  <c r="Z266" i="1"/>
  <c r="AA266" i="1"/>
  <c r="AB266" i="1"/>
  <c r="AC266" i="1"/>
  <c r="AD266" i="1"/>
  <c r="AE266" i="1"/>
  <c r="AF266" i="1"/>
  <c r="AG266" i="1"/>
  <c r="AH266" i="1"/>
  <c r="AI266" i="1"/>
  <c r="AJ266" i="1"/>
  <c r="AK266" i="1"/>
  <c r="AL266" i="1"/>
  <c r="AM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S267" i="1"/>
  <c r="T267" i="1"/>
  <c r="U267" i="1"/>
  <c r="V267" i="1"/>
  <c r="W267" i="1"/>
  <c r="X267" i="1"/>
  <c r="Y267" i="1"/>
  <c r="Z267" i="1"/>
  <c r="AA267" i="1"/>
  <c r="AB267" i="1"/>
  <c r="AC267" i="1"/>
  <c r="AD267" i="1"/>
  <c r="AE267" i="1"/>
  <c r="AF267" i="1"/>
  <c r="AG267" i="1"/>
  <c r="AH267" i="1"/>
  <c r="AI267" i="1"/>
  <c r="AJ267" i="1"/>
  <c r="AK267" i="1"/>
  <c r="AL267" i="1"/>
  <c r="AM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S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AJ268" i="1"/>
  <c r="AK268" i="1"/>
  <c r="AL268" i="1"/>
  <c r="AM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S269" i="1"/>
  <c r="T269" i="1"/>
  <c r="U269" i="1"/>
  <c r="V269" i="1"/>
  <c r="W269" i="1"/>
  <c r="X269" i="1"/>
  <c r="Y269" i="1"/>
  <c r="Z269" i="1"/>
  <c r="AA269" i="1"/>
  <c r="AB269" i="1"/>
  <c r="AC269" i="1"/>
  <c r="AD269" i="1"/>
  <c r="AE269" i="1"/>
  <c r="AF269" i="1"/>
  <c r="AG269" i="1"/>
  <c r="AH269" i="1"/>
  <c r="AI269" i="1"/>
  <c r="AJ269" i="1"/>
  <c r="AK269" i="1"/>
  <c r="AL269" i="1"/>
  <c r="AM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S270" i="1"/>
  <c r="T270" i="1"/>
  <c r="U270" i="1"/>
  <c r="V270" i="1"/>
  <c r="W270" i="1"/>
  <c r="X270" i="1"/>
  <c r="Y270" i="1"/>
  <c r="Z270" i="1"/>
  <c r="AA270" i="1"/>
  <c r="AB270" i="1"/>
  <c r="AC270" i="1"/>
  <c r="AD270" i="1"/>
  <c r="AE270" i="1"/>
  <c r="AF270" i="1"/>
  <c r="AG270" i="1"/>
  <c r="AH270" i="1"/>
  <c r="AI270" i="1"/>
  <c r="AJ270" i="1"/>
  <c r="AK270" i="1"/>
  <c r="AL270" i="1"/>
  <c r="AM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S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AJ271" i="1"/>
  <c r="AK271" i="1"/>
  <c r="AL271" i="1"/>
  <c r="AM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S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J272" i="1"/>
  <c r="AK272" i="1"/>
  <c r="AL272" i="1"/>
  <c r="AM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S273" i="1"/>
  <c r="T273" i="1"/>
  <c r="U273" i="1"/>
  <c r="V273" i="1"/>
  <c r="W273" i="1"/>
  <c r="X273" i="1"/>
  <c r="Y273" i="1"/>
  <c r="Z273" i="1"/>
  <c r="AA273" i="1"/>
  <c r="AB273" i="1"/>
  <c r="AC273" i="1"/>
  <c r="AD273" i="1"/>
  <c r="AE273" i="1"/>
  <c r="AF273" i="1"/>
  <c r="AG273" i="1"/>
  <c r="AH273" i="1"/>
  <c r="AI273" i="1"/>
  <c r="AJ273" i="1"/>
  <c r="AK273" i="1"/>
  <c r="AL273" i="1"/>
  <c r="AM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S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AJ274" i="1"/>
  <c r="AK274" i="1"/>
  <c r="AL274" i="1"/>
  <c r="AM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S275" i="1"/>
  <c r="T275" i="1"/>
  <c r="U275" i="1"/>
  <c r="V275" i="1"/>
  <c r="W275" i="1"/>
  <c r="X275" i="1"/>
  <c r="Y275" i="1"/>
  <c r="Z275" i="1"/>
  <c r="AA275" i="1"/>
  <c r="AB275" i="1"/>
  <c r="AC275" i="1"/>
  <c r="AD275" i="1"/>
  <c r="AE275" i="1"/>
  <c r="AF275" i="1"/>
  <c r="AG275" i="1"/>
  <c r="AH275" i="1"/>
  <c r="AI275" i="1"/>
  <c r="AJ275" i="1"/>
  <c r="AK275" i="1"/>
  <c r="AL275" i="1"/>
  <c r="AM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S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AJ276" i="1"/>
  <c r="AK276" i="1"/>
  <c r="AL276" i="1"/>
  <c r="AM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S277" i="1"/>
  <c r="T277" i="1"/>
  <c r="U277" i="1"/>
  <c r="V277" i="1"/>
  <c r="W277" i="1"/>
  <c r="X277" i="1"/>
  <c r="Y277" i="1"/>
  <c r="Z277" i="1"/>
  <c r="AA277" i="1"/>
  <c r="AB277" i="1"/>
  <c r="AC277" i="1"/>
  <c r="AD277" i="1"/>
  <c r="AE277" i="1"/>
  <c r="AF277" i="1"/>
  <c r="AG277" i="1"/>
  <c r="AH277" i="1"/>
  <c r="AI277" i="1"/>
  <c r="AJ277" i="1"/>
  <c r="AK277" i="1"/>
  <c r="AL277" i="1"/>
  <c r="AM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S278" i="1"/>
  <c r="T278" i="1"/>
  <c r="U278" i="1"/>
  <c r="V278" i="1"/>
  <c r="W278" i="1"/>
  <c r="X278" i="1"/>
  <c r="Y278" i="1"/>
  <c r="Z278" i="1"/>
  <c r="AA278" i="1"/>
  <c r="AB278" i="1"/>
  <c r="AC278" i="1"/>
  <c r="AD278" i="1"/>
  <c r="AE278" i="1"/>
  <c r="AF278" i="1"/>
  <c r="AG278" i="1"/>
  <c r="AH278" i="1"/>
  <c r="AI278" i="1"/>
  <c r="AJ278" i="1"/>
  <c r="AK278" i="1"/>
  <c r="AL278" i="1"/>
  <c r="AM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S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AJ279" i="1"/>
  <c r="AK279" i="1"/>
  <c r="AL279" i="1"/>
  <c r="AM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S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J280" i="1"/>
  <c r="AK280" i="1"/>
  <c r="AL280" i="1"/>
  <c r="AM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S281" i="1"/>
  <c r="T281" i="1"/>
  <c r="U281" i="1"/>
  <c r="V281" i="1"/>
  <c r="W281" i="1"/>
  <c r="X281" i="1"/>
  <c r="Y281" i="1"/>
  <c r="Z281" i="1"/>
  <c r="AA281" i="1"/>
  <c r="AB281" i="1"/>
  <c r="AC281" i="1"/>
  <c r="AD281" i="1"/>
  <c r="AE281" i="1"/>
  <c r="AF281" i="1"/>
  <c r="AG281" i="1"/>
  <c r="AH281" i="1"/>
  <c r="AI281" i="1"/>
  <c r="AJ281" i="1"/>
  <c r="AK281" i="1"/>
  <c r="AL281" i="1"/>
  <c r="AM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S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AJ282" i="1"/>
  <c r="AK282" i="1"/>
  <c r="AL282" i="1"/>
  <c r="AM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S283" i="1"/>
  <c r="T283" i="1"/>
  <c r="U283" i="1"/>
  <c r="V283" i="1"/>
  <c r="W283" i="1"/>
  <c r="X283" i="1"/>
  <c r="Y283" i="1"/>
  <c r="Z283" i="1"/>
  <c r="AA283" i="1"/>
  <c r="AB283" i="1"/>
  <c r="AC283" i="1"/>
  <c r="AD283" i="1"/>
  <c r="AE283" i="1"/>
  <c r="AF283" i="1"/>
  <c r="AG283" i="1"/>
  <c r="AH283" i="1"/>
  <c r="AI283" i="1"/>
  <c r="AJ283" i="1"/>
  <c r="AK283" i="1"/>
  <c r="AL283" i="1"/>
  <c r="AM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S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AJ284" i="1"/>
  <c r="AK284" i="1"/>
  <c r="AL284" i="1"/>
  <c r="AM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S285" i="1"/>
  <c r="T285" i="1"/>
  <c r="U285" i="1"/>
  <c r="V285" i="1"/>
  <c r="W285" i="1"/>
  <c r="X285" i="1"/>
  <c r="Y285" i="1"/>
  <c r="Z285" i="1"/>
  <c r="AA285" i="1"/>
  <c r="AB285" i="1"/>
  <c r="AC285" i="1"/>
  <c r="AD285" i="1"/>
  <c r="AE285" i="1"/>
  <c r="AF285" i="1"/>
  <c r="AG285" i="1"/>
  <c r="AH285" i="1"/>
  <c r="AI285" i="1"/>
  <c r="AJ285" i="1"/>
  <c r="AK285" i="1"/>
  <c r="AL285" i="1"/>
  <c r="AM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S286" i="1"/>
  <c r="T286" i="1"/>
  <c r="U286" i="1"/>
  <c r="V286" i="1"/>
  <c r="W286" i="1"/>
  <c r="X286" i="1"/>
  <c r="Y286" i="1"/>
  <c r="Z286" i="1"/>
  <c r="AA286" i="1"/>
  <c r="AB286" i="1"/>
  <c r="AC286" i="1"/>
  <c r="AD286" i="1"/>
  <c r="AE286" i="1"/>
  <c r="AF286" i="1"/>
  <c r="AG286" i="1"/>
  <c r="AH286" i="1"/>
  <c r="AI286" i="1"/>
  <c r="AJ286" i="1"/>
  <c r="AK286" i="1"/>
  <c r="AL286" i="1"/>
  <c r="AM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S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AJ287" i="1"/>
  <c r="AK287" i="1"/>
  <c r="AL287" i="1"/>
  <c r="AM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S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AJ288" i="1"/>
  <c r="AK288" i="1"/>
  <c r="AL288" i="1"/>
  <c r="AM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S289" i="1"/>
  <c r="T289" i="1"/>
  <c r="U289" i="1"/>
  <c r="V289" i="1"/>
  <c r="W289" i="1"/>
  <c r="X289" i="1"/>
  <c r="Y289" i="1"/>
  <c r="Z289" i="1"/>
  <c r="AA289" i="1"/>
  <c r="AB289" i="1"/>
  <c r="AC289" i="1"/>
  <c r="AD289" i="1"/>
  <c r="AE289" i="1"/>
  <c r="AF289" i="1"/>
  <c r="AG289" i="1"/>
  <c r="AH289" i="1"/>
  <c r="AI289" i="1"/>
  <c r="AJ289" i="1"/>
  <c r="AK289" i="1"/>
  <c r="AL289" i="1"/>
  <c r="AM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S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AJ290" i="1"/>
  <c r="AK290" i="1"/>
  <c r="AL290" i="1"/>
  <c r="AM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S291" i="1"/>
  <c r="T291" i="1"/>
  <c r="U291" i="1"/>
  <c r="V291" i="1"/>
  <c r="W291" i="1"/>
  <c r="X291" i="1"/>
  <c r="Y291" i="1"/>
  <c r="Z291" i="1"/>
  <c r="AA291" i="1"/>
  <c r="AB291" i="1"/>
  <c r="AC291" i="1"/>
  <c r="AD291" i="1"/>
  <c r="AE291" i="1"/>
  <c r="AF291" i="1"/>
  <c r="AG291" i="1"/>
  <c r="AH291" i="1"/>
  <c r="AI291" i="1"/>
  <c r="AJ291" i="1"/>
  <c r="AK291" i="1"/>
  <c r="AL291" i="1"/>
  <c r="AM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S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AJ292" i="1"/>
  <c r="AK292" i="1"/>
  <c r="AL292" i="1"/>
  <c r="AM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S293" i="1"/>
  <c r="T293" i="1"/>
  <c r="U293" i="1"/>
  <c r="V293" i="1"/>
  <c r="W293" i="1"/>
  <c r="X293" i="1"/>
  <c r="Y293" i="1"/>
  <c r="Z293" i="1"/>
  <c r="AA293" i="1"/>
  <c r="AB293" i="1"/>
  <c r="AC293" i="1"/>
  <c r="AD293" i="1"/>
  <c r="AE293" i="1"/>
  <c r="AF293" i="1"/>
  <c r="AG293" i="1"/>
  <c r="AH293" i="1"/>
  <c r="AI293" i="1"/>
  <c r="AJ293" i="1"/>
  <c r="AK293" i="1"/>
  <c r="AL293" i="1"/>
  <c r="AM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S294" i="1"/>
  <c r="T294" i="1"/>
  <c r="U294" i="1"/>
  <c r="V294" i="1"/>
  <c r="W294" i="1"/>
  <c r="X294" i="1"/>
  <c r="Y294" i="1"/>
  <c r="Z294" i="1"/>
  <c r="AA294" i="1"/>
  <c r="AB294" i="1"/>
  <c r="AC294" i="1"/>
  <c r="AD294" i="1"/>
  <c r="AE294" i="1"/>
  <c r="AF294" i="1"/>
  <c r="AG294" i="1"/>
  <c r="AH294" i="1"/>
  <c r="AI294" i="1"/>
  <c r="AJ294" i="1"/>
  <c r="AK294" i="1"/>
  <c r="AL294" i="1"/>
  <c r="AM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S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AJ295" i="1"/>
  <c r="AK295" i="1"/>
  <c r="AL295" i="1"/>
  <c r="AM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S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AJ296" i="1"/>
  <c r="AK296" i="1"/>
  <c r="AL296" i="1"/>
  <c r="AM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S297" i="1"/>
  <c r="T297" i="1"/>
  <c r="U297" i="1"/>
  <c r="V297" i="1"/>
  <c r="W297" i="1"/>
  <c r="X297" i="1"/>
  <c r="Y297" i="1"/>
  <c r="Z297" i="1"/>
  <c r="AA297" i="1"/>
  <c r="AB297" i="1"/>
  <c r="AC297" i="1"/>
  <c r="AD297" i="1"/>
  <c r="AE297" i="1"/>
  <c r="AF297" i="1"/>
  <c r="AG297" i="1"/>
  <c r="AH297" i="1"/>
  <c r="AI297" i="1"/>
  <c r="AJ297" i="1"/>
  <c r="AK297" i="1"/>
  <c r="AL297" i="1"/>
  <c r="AM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S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AJ298" i="1"/>
  <c r="AK298" i="1"/>
  <c r="AL298" i="1"/>
  <c r="AM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S299" i="1"/>
  <c r="T299" i="1"/>
  <c r="U299" i="1"/>
  <c r="V299" i="1"/>
  <c r="W299" i="1"/>
  <c r="X299" i="1"/>
  <c r="Y299" i="1"/>
  <c r="Z299" i="1"/>
  <c r="AA299" i="1"/>
  <c r="AB299" i="1"/>
  <c r="AC299" i="1"/>
  <c r="AD299" i="1"/>
  <c r="AE299" i="1"/>
  <c r="AF299" i="1"/>
  <c r="AG299" i="1"/>
  <c r="AH299" i="1"/>
  <c r="AI299" i="1"/>
  <c r="AJ299" i="1"/>
  <c r="AK299" i="1"/>
  <c r="AL299" i="1"/>
  <c r="AM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S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AJ300" i="1"/>
  <c r="AK300" i="1"/>
  <c r="AL300" i="1"/>
  <c r="AM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S301" i="1"/>
  <c r="T301" i="1"/>
  <c r="U301" i="1"/>
  <c r="V301" i="1"/>
  <c r="W301" i="1"/>
  <c r="X301" i="1"/>
  <c r="Y301" i="1"/>
  <c r="Z301" i="1"/>
  <c r="AA301" i="1"/>
  <c r="AB301" i="1"/>
  <c r="AC301" i="1"/>
  <c r="AD301" i="1"/>
  <c r="AE301" i="1"/>
  <c r="AF301" i="1"/>
  <c r="AG301" i="1"/>
  <c r="AH301" i="1"/>
  <c r="AI301" i="1"/>
  <c r="AJ301" i="1"/>
  <c r="AK301" i="1"/>
  <c r="AL301" i="1"/>
  <c r="AM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S302" i="1"/>
  <c r="T302" i="1"/>
  <c r="U302" i="1"/>
  <c r="V302" i="1"/>
  <c r="W302" i="1"/>
  <c r="X302" i="1"/>
  <c r="Y302" i="1"/>
  <c r="Z302" i="1"/>
  <c r="AA302" i="1"/>
  <c r="AB302" i="1"/>
  <c r="AC302" i="1"/>
  <c r="AD302" i="1"/>
  <c r="AE302" i="1"/>
  <c r="AF302" i="1"/>
  <c r="AG302" i="1"/>
  <c r="AH302" i="1"/>
  <c r="AI302" i="1"/>
  <c r="AJ302" i="1"/>
  <c r="AK302" i="1"/>
  <c r="AL302" i="1"/>
  <c r="AM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S303" i="1"/>
  <c r="T303" i="1"/>
  <c r="U303" i="1"/>
  <c r="V303" i="1"/>
  <c r="W303" i="1"/>
  <c r="X303" i="1"/>
  <c r="Y303" i="1"/>
  <c r="Z303" i="1"/>
  <c r="AA303" i="1"/>
  <c r="AB303" i="1"/>
  <c r="AC303" i="1"/>
  <c r="AD303" i="1"/>
  <c r="AE303" i="1"/>
  <c r="AF303" i="1"/>
  <c r="AG303" i="1"/>
  <c r="AH303" i="1"/>
  <c r="AI303" i="1"/>
  <c r="AJ303" i="1"/>
  <c r="AK303" i="1"/>
  <c r="AL303" i="1"/>
  <c r="AM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S304" i="1"/>
  <c r="T304" i="1"/>
  <c r="U304" i="1"/>
  <c r="V304" i="1"/>
  <c r="W304" i="1"/>
  <c r="X304" i="1"/>
  <c r="Y304" i="1"/>
  <c r="Z304" i="1"/>
  <c r="AA304" i="1"/>
  <c r="AB304" i="1"/>
  <c r="AC304" i="1"/>
  <c r="AD304" i="1"/>
  <c r="AE304" i="1"/>
  <c r="AF304" i="1"/>
  <c r="AG304" i="1"/>
  <c r="AH304" i="1"/>
  <c r="AI304" i="1"/>
  <c r="AJ304" i="1"/>
  <c r="AK304" i="1"/>
  <c r="AL304" i="1"/>
  <c r="AM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S305" i="1"/>
  <c r="T305" i="1"/>
  <c r="U305" i="1"/>
  <c r="V305" i="1"/>
  <c r="W305" i="1"/>
  <c r="X305" i="1"/>
  <c r="Y305" i="1"/>
  <c r="Z305" i="1"/>
  <c r="AA305" i="1"/>
  <c r="AB305" i="1"/>
  <c r="AC305" i="1"/>
  <c r="AD305" i="1"/>
  <c r="AE305" i="1"/>
  <c r="AF305" i="1"/>
  <c r="AG305" i="1"/>
  <c r="AH305" i="1"/>
  <c r="AI305" i="1"/>
  <c r="AJ305" i="1"/>
  <c r="AK305" i="1"/>
  <c r="AL305" i="1"/>
  <c r="AM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S306" i="1"/>
  <c r="T306" i="1"/>
  <c r="U306" i="1"/>
  <c r="V306" i="1"/>
  <c r="W306" i="1"/>
  <c r="X306" i="1"/>
  <c r="Y306" i="1"/>
  <c r="Z306" i="1"/>
  <c r="AA306" i="1"/>
  <c r="AB306" i="1"/>
  <c r="AC306" i="1"/>
  <c r="AD306" i="1"/>
  <c r="AE306" i="1"/>
  <c r="AF306" i="1"/>
  <c r="AG306" i="1"/>
  <c r="AH306" i="1"/>
  <c r="AI306" i="1"/>
  <c r="AJ306" i="1"/>
  <c r="AK306" i="1"/>
  <c r="AL306" i="1"/>
  <c r="AM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S307" i="1"/>
  <c r="T307" i="1"/>
  <c r="U307" i="1"/>
  <c r="V307" i="1"/>
  <c r="W307" i="1"/>
  <c r="X307" i="1"/>
  <c r="Y307" i="1"/>
  <c r="Z307" i="1"/>
  <c r="AA307" i="1"/>
  <c r="AB307" i="1"/>
  <c r="AC307" i="1"/>
  <c r="AD307" i="1"/>
  <c r="AE307" i="1"/>
  <c r="AF307" i="1"/>
  <c r="AG307" i="1"/>
  <c r="AH307" i="1"/>
  <c r="AI307" i="1"/>
  <c r="AJ307" i="1"/>
  <c r="AK307" i="1"/>
  <c r="AL307" i="1"/>
  <c r="AM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S308" i="1"/>
  <c r="T308" i="1"/>
  <c r="U308" i="1"/>
  <c r="V308" i="1"/>
  <c r="W308" i="1"/>
  <c r="X308" i="1"/>
  <c r="Y308" i="1"/>
  <c r="Z308" i="1"/>
  <c r="AA308" i="1"/>
  <c r="AB308" i="1"/>
  <c r="AC308" i="1"/>
  <c r="AD308" i="1"/>
  <c r="AE308" i="1"/>
  <c r="AF308" i="1"/>
  <c r="AG308" i="1"/>
  <c r="AH308" i="1"/>
  <c r="AI308" i="1"/>
  <c r="AJ308" i="1"/>
  <c r="AK308" i="1"/>
  <c r="AL308" i="1"/>
  <c r="AM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S309" i="1"/>
  <c r="T309" i="1"/>
  <c r="U309" i="1"/>
  <c r="V309" i="1"/>
  <c r="W309" i="1"/>
  <c r="X309" i="1"/>
  <c r="Y309" i="1"/>
  <c r="Z309" i="1"/>
  <c r="AA309" i="1"/>
  <c r="AB309" i="1"/>
  <c r="AC309" i="1"/>
  <c r="AD309" i="1"/>
  <c r="AE309" i="1"/>
  <c r="AF309" i="1"/>
  <c r="AG309" i="1"/>
  <c r="AH309" i="1"/>
  <c r="AI309" i="1"/>
  <c r="AJ309" i="1"/>
  <c r="AK309" i="1"/>
  <c r="AL309" i="1"/>
  <c r="AM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S310" i="1"/>
  <c r="T310" i="1"/>
  <c r="U310" i="1"/>
  <c r="V310" i="1"/>
  <c r="W310" i="1"/>
  <c r="X310" i="1"/>
  <c r="Y310" i="1"/>
  <c r="Z310" i="1"/>
  <c r="AA310" i="1"/>
  <c r="AB310" i="1"/>
  <c r="AC310" i="1"/>
  <c r="AD310" i="1"/>
  <c r="AE310" i="1"/>
  <c r="AF310" i="1"/>
  <c r="AG310" i="1"/>
  <c r="AH310" i="1"/>
  <c r="AI310" i="1"/>
  <c r="AJ310" i="1"/>
  <c r="AK310" i="1"/>
  <c r="AL310" i="1"/>
  <c r="AM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S311" i="1"/>
  <c r="T311" i="1"/>
  <c r="U311" i="1"/>
  <c r="V311" i="1"/>
  <c r="W311" i="1"/>
  <c r="X311" i="1"/>
  <c r="Y311" i="1"/>
  <c r="Z311" i="1"/>
  <c r="AA311" i="1"/>
  <c r="AB311" i="1"/>
  <c r="AC311" i="1"/>
  <c r="AD311" i="1"/>
  <c r="AE311" i="1"/>
  <c r="AF311" i="1"/>
  <c r="AG311" i="1"/>
  <c r="AH311" i="1"/>
  <c r="AI311" i="1"/>
  <c r="AJ311" i="1"/>
  <c r="AK311" i="1"/>
  <c r="AL311" i="1"/>
  <c r="AM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S312" i="1"/>
  <c r="T312" i="1"/>
  <c r="U312" i="1"/>
  <c r="V312" i="1"/>
  <c r="W312" i="1"/>
  <c r="X312" i="1"/>
  <c r="Y312" i="1"/>
  <c r="Z312" i="1"/>
  <c r="AA312" i="1"/>
  <c r="AB312" i="1"/>
  <c r="AC312" i="1"/>
  <c r="AD312" i="1"/>
  <c r="AE312" i="1"/>
  <c r="AF312" i="1"/>
  <c r="AG312" i="1"/>
  <c r="AH312" i="1"/>
  <c r="AI312" i="1"/>
  <c r="AJ312" i="1"/>
  <c r="AK312" i="1"/>
  <c r="AL312" i="1"/>
  <c r="AM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S313" i="1"/>
  <c r="T313" i="1"/>
  <c r="U313" i="1"/>
  <c r="V313" i="1"/>
  <c r="W313" i="1"/>
  <c r="X313" i="1"/>
  <c r="Y313" i="1"/>
  <c r="Z313" i="1"/>
  <c r="AA313" i="1"/>
  <c r="AB313" i="1"/>
  <c r="AC313" i="1"/>
  <c r="AD313" i="1"/>
  <c r="AE313" i="1"/>
  <c r="AF313" i="1"/>
  <c r="AG313" i="1"/>
  <c r="AH313" i="1"/>
  <c r="AI313" i="1"/>
  <c r="AJ313" i="1"/>
  <c r="AK313" i="1"/>
  <c r="AL313" i="1"/>
  <c r="AM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S314" i="1"/>
  <c r="T314" i="1"/>
  <c r="U314" i="1"/>
  <c r="V314" i="1"/>
  <c r="W314" i="1"/>
  <c r="X314" i="1"/>
  <c r="Y314" i="1"/>
  <c r="Z314" i="1"/>
  <c r="AA314" i="1"/>
  <c r="AB314" i="1"/>
  <c r="AC314" i="1"/>
  <c r="AD314" i="1"/>
  <c r="AE314" i="1"/>
  <c r="AF314" i="1"/>
  <c r="AG314" i="1"/>
  <c r="AH314" i="1"/>
  <c r="AI314" i="1"/>
  <c r="AJ314" i="1"/>
  <c r="AK314" i="1"/>
  <c r="AL314" i="1"/>
  <c r="AM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S315" i="1"/>
  <c r="T315" i="1"/>
  <c r="U315" i="1"/>
  <c r="V315" i="1"/>
  <c r="W315" i="1"/>
  <c r="X315" i="1"/>
  <c r="Y315" i="1"/>
  <c r="Z315" i="1"/>
  <c r="AA315" i="1"/>
  <c r="AB315" i="1"/>
  <c r="AC315" i="1"/>
  <c r="AD315" i="1"/>
  <c r="AE315" i="1"/>
  <c r="AF315" i="1"/>
  <c r="AG315" i="1"/>
  <c r="AH315" i="1"/>
  <c r="AI315" i="1"/>
  <c r="AJ315" i="1"/>
  <c r="AK315" i="1"/>
  <c r="AL315" i="1"/>
  <c r="AM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S316" i="1"/>
  <c r="T316" i="1"/>
  <c r="U316" i="1"/>
  <c r="V316" i="1"/>
  <c r="W316" i="1"/>
  <c r="X316" i="1"/>
  <c r="Y316" i="1"/>
  <c r="Z316" i="1"/>
  <c r="AA316" i="1"/>
  <c r="AB316" i="1"/>
  <c r="AC316" i="1"/>
  <c r="AD316" i="1"/>
  <c r="AE316" i="1"/>
  <c r="AF316" i="1"/>
  <c r="AG316" i="1"/>
  <c r="AH316" i="1"/>
  <c r="AI316" i="1"/>
  <c r="AJ316" i="1"/>
  <c r="AK316" i="1"/>
  <c r="AL316" i="1"/>
  <c r="AM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S317" i="1"/>
  <c r="T317" i="1"/>
  <c r="U317" i="1"/>
  <c r="V317" i="1"/>
  <c r="W317" i="1"/>
  <c r="X317" i="1"/>
  <c r="Y317" i="1"/>
  <c r="Z317" i="1"/>
  <c r="AA317" i="1"/>
  <c r="AB317" i="1"/>
  <c r="AC317" i="1"/>
  <c r="AD317" i="1"/>
  <c r="AE317" i="1"/>
  <c r="AF317" i="1"/>
  <c r="AG317" i="1"/>
  <c r="AH317" i="1"/>
  <c r="AI317" i="1"/>
  <c r="AJ317" i="1"/>
  <c r="AK317" i="1"/>
  <c r="AL317" i="1"/>
  <c r="AM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S318" i="1"/>
  <c r="T318" i="1"/>
  <c r="U318" i="1"/>
  <c r="V318" i="1"/>
  <c r="W318" i="1"/>
  <c r="X318" i="1"/>
  <c r="Y318" i="1"/>
  <c r="Z318" i="1"/>
  <c r="AA318" i="1"/>
  <c r="AB318" i="1"/>
  <c r="AC318" i="1"/>
  <c r="AD318" i="1"/>
  <c r="AE318" i="1"/>
  <c r="AF318" i="1"/>
  <c r="AG318" i="1"/>
  <c r="AH318" i="1"/>
  <c r="AI318" i="1"/>
  <c r="AJ318" i="1"/>
  <c r="AK318" i="1"/>
  <c r="AL318" i="1"/>
  <c r="AM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S319" i="1"/>
  <c r="T319" i="1"/>
  <c r="U319" i="1"/>
  <c r="V319" i="1"/>
  <c r="W319" i="1"/>
  <c r="X319" i="1"/>
  <c r="Y319" i="1"/>
  <c r="Z319" i="1"/>
  <c r="AA319" i="1"/>
  <c r="AB319" i="1"/>
  <c r="AC319" i="1"/>
  <c r="AD319" i="1"/>
  <c r="AE319" i="1"/>
  <c r="AF319" i="1"/>
  <c r="AG319" i="1"/>
  <c r="AH319" i="1"/>
  <c r="AI319" i="1"/>
  <c r="AJ319" i="1"/>
  <c r="AK319" i="1"/>
  <c r="AL319" i="1"/>
  <c r="AM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S320" i="1"/>
  <c r="T320" i="1"/>
  <c r="U320" i="1"/>
  <c r="V320" i="1"/>
  <c r="W320" i="1"/>
  <c r="X320" i="1"/>
  <c r="Y320" i="1"/>
  <c r="Z320" i="1"/>
  <c r="AA320" i="1"/>
  <c r="AB320" i="1"/>
  <c r="AC320" i="1"/>
  <c r="AD320" i="1"/>
  <c r="AE320" i="1"/>
  <c r="AF320" i="1"/>
  <c r="AG320" i="1"/>
  <c r="AH320" i="1"/>
  <c r="AI320" i="1"/>
  <c r="AJ320" i="1"/>
  <c r="AK320" i="1"/>
  <c r="AL320" i="1"/>
  <c r="AM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S321" i="1"/>
  <c r="T321" i="1"/>
  <c r="U321" i="1"/>
  <c r="V321" i="1"/>
  <c r="W321" i="1"/>
  <c r="X321" i="1"/>
  <c r="Y321" i="1"/>
  <c r="Z321" i="1"/>
  <c r="AA321" i="1"/>
  <c r="AB321" i="1"/>
  <c r="AC321" i="1"/>
  <c r="AD321" i="1"/>
  <c r="AE321" i="1"/>
  <c r="AF321" i="1"/>
  <c r="AG321" i="1"/>
  <c r="AH321" i="1"/>
  <c r="AI321" i="1"/>
  <c r="AJ321" i="1"/>
  <c r="AK321" i="1"/>
  <c r="AL321" i="1"/>
  <c r="AM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S322" i="1"/>
  <c r="T322" i="1"/>
  <c r="U322" i="1"/>
  <c r="V322" i="1"/>
  <c r="W322" i="1"/>
  <c r="X322" i="1"/>
  <c r="Y322" i="1"/>
  <c r="Z322" i="1"/>
  <c r="AA322" i="1"/>
  <c r="AB322" i="1"/>
  <c r="AC322" i="1"/>
  <c r="AD322" i="1"/>
  <c r="AE322" i="1"/>
  <c r="AF322" i="1"/>
  <c r="AG322" i="1"/>
  <c r="AH322" i="1"/>
  <c r="AI322" i="1"/>
  <c r="AJ322" i="1"/>
  <c r="AK322" i="1"/>
  <c r="AL322" i="1"/>
  <c r="AM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S323" i="1"/>
  <c r="T323" i="1"/>
  <c r="U323" i="1"/>
  <c r="V323" i="1"/>
  <c r="W323" i="1"/>
  <c r="X323" i="1"/>
  <c r="Y323" i="1"/>
  <c r="Z323" i="1"/>
  <c r="AA323" i="1"/>
  <c r="AB323" i="1"/>
  <c r="AC323" i="1"/>
  <c r="AD323" i="1"/>
  <c r="AE323" i="1"/>
  <c r="AF323" i="1"/>
  <c r="AG323" i="1"/>
  <c r="AH323" i="1"/>
  <c r="AI323" i="1"/>
  <c r="AJ323" i="1"/>
  <c r="AK323" i="1"/>
  <c r="AL323" i="1"/>
  <c r="AM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S324" i="1"/>
  <c r="T324" i="1"/>
  <c r="U324" i="1"/>
  <c r="V324" i="1"/>
  <c r="W324" i="1"/>
  <c r="X324" i="1"/>
  <c r="Y324" i="1"/>
  <c r="Z324" i="1"/>
  <c r="AA324" i="1"/>
  <c r="AB324" i="1"/>
  <c r="AC324" i="1"/>
  <c r="AD324" i="1"/>
  <c r="AE324" i="1"/>
  <c r="AF324" i="1"/>
  <c r="AG324" i="1"/>
  <c r="AH324" i="1"/>
  <c r="AI324" i="1"/>
  <c r="AJ324" i="1"/>
  <c r="AK324" i="1"/>
  <c r="AL324" i="1"/>
  <c r="AM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S325" i="1"/>
  <c r="T325" i="1"/>
  <c r="U325" i="1"/>
  <c r="V325" i="1"/>
  <c r="W325" i="1"/>
  <c r="X325" i="1"/>
  <c r="Y325" i="1"/>
  <c r="Z325" i="1"/>
  <c r="AA325" i="1"/>
  <c r="AB325" i="1"/>
  <c r="AC325" i="1"/>
  <c r="AD325" i="1"/>
  <c r="AE325" i="1"/>
  <c r="AF325" i="1"/>
  <c r="AG325" i="1"/>
  <c r="AH325" i="1"/>
  <c r="AI325" i="1"/>
  <c r="AJ325" i="1"/>
  <c r="AK325" i="1"/>
  <c r="AL325" i="1"/>
  <c r="AM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S326" i="1"/>
  <c r="T326" i="1"/>
  <c r="U326" i="1"/>
  <c r="V326" i="1"/>
  <c r="W326" i="1"/>
  <c r="X326" i="1"/>
  <c r="Y326" i="1"/>
  <c r="Z326" i="1"/>
  <c r="AA326" i="1"/>
  <c r="AB326" i="1"/>
  <c r="AC326" i="1"/>
  <c r="AD326" i="1"/>
  <c r="AE326" i="1"/>
  <c r="AF326" i="1"/>
  <c r="AG326" i="1"/>
  <c r="AH326" i="1"/>
  <c r="AI326" i="1"/>
  <c r="AJ326" i="1"/>
  <c r="AK326" i="1"/>
  <c r="AL326" i="1"/>
  <c r="AM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S327" i="1"/>
  <c r="T327" i="1"/>
  <c r="U327" i="1"/>
  <c r="V327" i="1"/>
  <c r="W327" i="1"/>
  <c r="X327" i="1"/>
  <c r="Y327" i="1"/>
  <c r="Z327" i="1"/>
  <c r="AA327" i="1"/>
  <c r="AB327" i="1"/>
  <c r="AC327" i="1"/>
  <c r="AD327" i="1"/>
  <c r="AE327" i="1"/>
  <c r="AF327" i="1"/>
  <c r="AG327" i="1"/>
  <c r="AH327" i="1"/>
  <c r="AI327" i="1"/>
  <c r="AJ327" i="1"/>
  <c r="AK327" i="1"/>
  <c r="AL327" i="1"/>
  <c r="AM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S328" i="1"/>
  <c r="T328" i="1"/>
  <c r="U328" i="1"/>
  <c r="V328" i="1"/>
  <c r="W328" i="1"/>
  <c r="X328" i="1"/>
  <c r="Y328" i="1"/>
  <c r="Z328" i="1"/>
  <c r="AA328" i="1"/>
  <c r="AB328" i="1"/>
  <c r="AC328" i="1"/>
  <c r="AD328" i="1"/>
  <c r="AE328" i="1"/>
  <c r="AF328" i="1"/>
  <c r="AG328" i="1"/>
  <c r="AH328" i="1"/>
  <c r="AI328" i="1"/>
  <c r="AJ328" i="1"/>
  <c r="AK328" i="1"/>
  <c r="AL328" i="1"/>
  <c r="AM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S329" i="1"/>
  <c r="T329" i="1"/>
  <c r="U329" i="1"/>
  <c r="V329" i="1"/>
  <c r="W329" i="1"/>
  <c r="X329" i="1"/>
  <c r="Y329" i="1"/>
  <c r="Z329" i="1"/>
  <c r="AA329" i="1"/>
  <c r="AB329" i="1"/>
  <c r="AC329" i="1"/>
  <c r="AD329" i="1"/>
  <c r="AE329" i="1"/>
  <c r="AF329" i="1"/>
  <c r="AG329" i="1"/>
  <c r="AH329" i="1"/>
  <c r="AI329" i="1"/>
  <c r="AJ329" i="1"/>
  <c r="AK329" i="1"/>
  <c r="AL329" i="1"/>
  <c r="AM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S330" i="1"/>
  <c r="T330" i="1"/>
  <c r="U330" i="1"/>
  <c r="V330" i="1"/>
  <c r="W330" i="1"/>
  <c r="X330" i="1"/>
  <c r="Y330" i="1"/>
  <c r="Z330" i="1"/>
  <c r="AA330" i="1"/>
  <c r="AB330" i="1"/>
  <c r="AC330" i="1"/>
  <c r="AD330" i="1"/>
  <c r="AE330" i="1"/>
  <c r="AF330" i="1"/>
  <c r="AG330" i="1"/>
  <c r="AH330" i="1"/>
  <c r="AI330" i="1"/>
  <c r="AJ330" i="1"/>
  <c r="AK330" i="1"/>
  <c r="AL330" i="1"/>
  <c r="AM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S331" i="1"/>
  <c r="T331" i="1"/>
  <c r="U331" i="1"/>
  <c r="V331" i="1"/>
  <c r="W331" i="1"/>
  <c r="X331" i="1"/>
  <c r="Y331" i="1"/>
  <c r="Z331" i="1"/>
  <c r="AA331" i="1"/>
  <c r="AB331" i="1"/>
  <c r="AC331" i="1"/>
  <c r="AD331" i="1"/>
  <c r="AE331" i="1"/>
  <c r="AF331" i="1"/>
  <c r="AG331" i="1"/>
  <c r="AH331" i="1"/>
  <c r="AI331" i="1"/>
  <c r="AJ331" i="1"/>
  <c r="AK331" i="1"/>
  <c r="AL331" i="1"/>
  <c r="AM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S332" i="1"/>
  <c r="T332" i="1"/>
  <c r="U332" i="1"/>
  <c r="V332" i="1"/>
  <c r="W332" i="1"/>
  <c r="X332" i="1"/>
  <c r="Y332" i="1"/>
  <c r="Z332" i="1"/>
  <c r="AA332" i="1"/>
  <c r="AB332" i="1"/>
  <c r="AC332" i="1"/>
  <c r="AD332" i="1"/>
  <c r="AE332" i="1"/>
  <c r="AF332" i="1"/>
  <c r="AG332" i="1"/>
  <c r="AH332" i="1"/>
  <c r="AI332" i="1"/>
  <c r="AJ332" i="1"/>
  <c r="AK332" i="1"/>
  <c r="AL332" i="1"/>
  <c r="AM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S333" i="1"/>
  <c r="T333" i="1"/>
  <c r="U333" i="1"/>
  <c r="V333" i="1"/>
  <c r="W333" i="1"/>
  <c r="X333" i="1"/>
  <c r="Y333" i="1"/>
  <c r="Z333" i="1"/>
  <c r="AA333" i="1"/>
  <c r="AB333" i="1"/>
  <c r="AC333" i="1"/>
  <c r="AD333" i="1"/>
  <c r="AE333" i="1"/>
  <c r="AF333" i="1"/>
  <c r="AG333" i="1"/>
  <c r="AH333" i="1"/>
  <c r="AI333" i="1"/>
  <c r="AJ333" i="1"/>
  <c r="AK333" i="1"/>
  <c r="AL333" i="1"/>
  <c r="AM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S334" i="1"/>
  <c r="T334" i="1"/>
  <c r="U334" i="1"/>
  <c r="V334" i="1"/>
  <c r="W334" i="1"/>
  <c r="X334" i="1"/>
  <c r="Y334" i="1"/>
  <c r="Z334" i="1"/>
  <c r="AA334" i="1"/>
  <c r="AB334" i="1"/>
  <c r="AC334" i="1"/>
  <c r="AD334" i="1"/>
  <c r="AE334" i="1"/>
  <c r="AF334" i="1"/>
  <c r="AG334" i="1"/>
  <c r="AH334" i="1"/>
  <c r="AI334" i="1"/>
  <c r="AJ334" i="1"/>
  <c r="AK334" i="1"/>
  <c r="AL334" i="1"/>
  <c r="AM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S335" i="1"/>
  <c r="T335" i="1"/>
  <c r="U335" i="1"/>
  <c r="V335" i="1"/>
  <c r="W335" i="1"/>
  <c r="X335" i="1"/>
  <c r="Y335" i="1"/>
  <c r="Z335" i="1"/>
  <c r="AA335" i="1"/>
  <c r="AB335" i="1"/>
  <c r="AC335" i="1"/>
  <c r="AD335" i="1"/>
  <c r="AE335" i="1"/>
  <c r="AF335" i="1"/>
  <c r="AG335" i="1"/>
  <c r="AH335" i="1"/>
  <c r="AI335" i="1"/>
  <c r="AJ335" i="1"/>
  <c r="AK335" i="1"/>
  <c r="AL335" i="1"/>
  <c r="AM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S336" i="1"/>
  <c r="T336" i="1"/>
  <c r="U336" i="1"/>
  <c r="V336" i="1"/>
  <c r="W336" i="1"/>
  <c r="X336" i="1"/>
  <c r="Y336" i="1"/>
  <c r="Z336" i="1"/>
  <c r="AA336" i="1"/>
  <c r="AB336" i="1"/>
  <c r="AC336" i="1"/>
  <c r="AD336" i="1"/>
  <c r="AE336" i="1"/>
  <c r="AF336" i="1"/>
  <c r="AG336" i="1"/>
  <c r="AH336" i="1"/>
  <c r="AI336" i="1"/>
  <c r="AJ336" i="1"/>
  <c r="AK336" i="1"/>
  <c r="AL336" i="1"/>
  <c r="AM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S337" i="1"/>
  <c r="T337" i="1"/>
  <c r="U337" i="1"/>
  <c r="V337" i="1"/>
  <c r="W337" i="1"/>
  <c r="X337" i="1"/>
  <c r="Y337" i="1"/>
  <c r="Z337" i="1"/>
  <c r="AA337" i="1"/>
  <c r="AB337" i="1"/>
  <c r="AC337" i="1"/>
  <c r="AD337" i="1"/>
  <c r="AE337" i="1"/>
  <c r="AF337" i="1"/>
  <c r="AG337" i="1"/>
  <c r="AH337" i="1"/>
  <c r="AI337" i="1"/>
  <c r="AJ337" i="1"/>
  <c r="AK337" i="1"/>
  <c r="AL337" i="1"/>
  <c r="AM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S338" i="1"/>
  <c r="T338" i="1"/>
  <c r="U338" i="1"/>
  <c r="V338" i="1"/>
  <c r="W338" i="1"/>
  <c r="X338" i="1"/>
  <c r="Y338" i="1"/>
  <c r="Z338" i="1"/>
  <c r="AA338" i="1"/>
  <c r="AB338" i="1"/>
  <c r="AC338" i="1"/>
  <c r="AD338" i="1"/>
  <c r="AE338" i="1"/>
  <c r="AF338" i="1"/>
  <c r="AG338" i="1"/>
  <c r="AH338" i="1"/>
  <c r="AI338" i="1"/>
  <c r="AJ338" i="1"/>
  <c r="AK338" i="1"/>
  <c r="AL338" i="1"/>
  <c r="AM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S339" i="1"/>
  <c r="T339" i="1"/>
  <c r="U339" i="1"/>
  <c r="V339" i="1"/>
  <c r="W339" i="1"/>
  <c r="X339" i="1"/>
  <c r="Y339" i="1"/>
  <c r="Z339" i="1"/>
  <c r="AA339" i="1"/>
  <c r="AB339" i="1"/>
  <c r="AC339" i="1"/>
  <c r="AD339" i="1"/>
  <c r="AE339" i="1"/>
  <c r="AF339" i="1"/>
  <c r="AG339" i="1"/>
  <c r="AH339" i="1"/>
  <c r="AI339" i="1"/>
  <c r="AJ339" i="1"/>
  <c r="AK339" i="1"/>
  <c r="AL339" i="1"/>
  <c r="AM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S340" i="1"/>
  <c r="T340" i="1"/>
  <c r="U340" i="1"/>
  <c r="V340" i="1"/>
  <c r="W340" i="1"/>
  <c r="X340" i="1"/>
  <c r="Y340" i="1"/>
  <c r="Z340" i="1"/>
  <c r="AA340" i="1"/>
  <c r="AB340" i="1"/>
  <c r="AC340" i="1"/>
  <c r="AD340" i="1"/>
  <c r="AE340" i="1"/>
  <c r="AF340" i="1"/>
  <c r="AG340" i="1"/>
  <c r="AH340" i="1"/>
  <c r="AI340" i="1"/>
  <c r="AJ340" i="1"/>
  <c r="AK340" i="1"/>
  <c r="AL340" i="1"/>
  <c r="AM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S341" i="1"/>
  <c r="T341" i="1"/>
  <c r="U341" i="1"/>
  <c r="V341" i="1"/>
  <c r="W341" i="1"/>
  <c r="X341" i="1"/>
  <c r="Y341" i="1"/>
  <c r="Z341" i="1"/>
  <c r="AA341" i="1"/>
  <c r="AB341" i="1"/>
  <c r="AC341" i="1"/>
  <c r="AD341" i="1"/>
  <c r="AE341" i="1"/>
  <c r="AF341" i="1"/>
  <c r="AG341" i="1"/>
  <c r="AH341" i="1"/>
  <c r="AI341" i="1"/>
  <c r="AJ341" i="1"/>
  <c r="AK341" i="1"/>
  <c r="AL341" i="1"/>
  <c r="AM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S342" i="1"/>
  <c r="T342" i="1"/>
  <c r="U342" i="1"/>
  <c r="V342" i="1"/>
  <c r="W342" i="1"/>
  <c r="X342" i="1"/>
  <c r="Y342" i="1"/>
  <c r="Z342" i="1"/>
  <c r="AA342" i="1"/>
  <c r="AB342" i="1"/>
  <c r="AC342" i="1"/>
  <c r="AD342" i="1"/>
  <c r="AE342" i="1"/>
  <c r="AF342" i="1"/>
  <c r="AG342" i="1"/>
  <c r="AH342" i="1"/>
  <c r="AI342" i="1"/>
  <c r="AJ342" i="1"/>
  <c r="AK342" i="1"/>
  <c r="AL342" i="1"/>
  <c r="AM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S343" i="1"/>
  <c r="T343" i="1"/>
  <c r="U343" i="1"/>
  <c r="V343" i="1"/>
  <c r="W343" i="1"/>
  <c r="X343" i="1"/>
  <c r="Y343" i="1"/>
  <c r="Z343" i="1"/>
  <c r="AA343" i="1"/>
  <c r="AB343" i="1"/>
  <c r="AC343" i="1"/>
  <c r="AD343" i="1"/>
  <c r="AE343" i="1"/>
  <c r="AF343" i="1"/>
  <c r="AG343" i="1"/>
  <c r="AH343" i="1"/>
  <c r="AI343" i="1"/>
  <c r="AJ343" i="1"/>
  <c r="AK343" i="1"/>
  <c r="AL343" i="1"/>
  <c r="AM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S344" i="1"/>
  <c r="T344" i="1"/>
  <c r="U344" i="1"/>
  <c r="V344" i="1"/>
  <c r="W344" i="1"/>
  <c r="X344" i="1"/>
  <c r="Y344" i="1"/>
  <c r="Z344" i="1"/>
  <c r="AA344" i="1"/>
  <c r="AB344" i="1"/>
  <c r="AC344" i="1"/>
  <c r="AD344" i="1"/>
  <c r="AE344" i="1"/>
  <c r="AF344" i="1"/>
  <c r="AG344" i="1"/>
  <c r="AH344" i="1"/>
  <c r="AI344" i="1"/>
  <c r="AJ344" i="1"/>
  <c r="AK344" i="1"/>
  <c r="AL344" i="1"/>
  <c r="AM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S345" i="1"/>
  <c r="T345" i="1"/>
  <c r="U345" i="1"/>
  <c r="V345" i="1"/>
  <c r="W345" i="1"/>
  <c r="X345" i="1"/>
  <c r="Y345" i="1"/>
  <c r="Z345" i="1"/>
  <c r="AA345" i="1"/>
  <c r="AB345" i="1"/>
  <c r="AC345" i="1"/>
  <c r="AD345" i="1"/>
  <c r="AE345" i="1"/>
  <c r="AF345" i="1"/>
  <c r="AG345" i="1"/>
  <c r="AH345" i="1"/>
  <c r="AI345" i="1"/>
  <c r="AJ345" i="1"/>
  <c r="AK345" i="1"/>
  <c r="AL345" i="1"/>
  <c r="AM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S346" i="1"/>
  <c r="T346" i="1"/>
  <c r="U346" i="1"/>
  <c r="V346" i="1"/>
  <c r="W346" i="1"/>
  <c r="X346" i="1"/>
  <c r="Y346" i="1"/>
  <c r="Z346" i="1"/>
  <c r="AA346" i="1"/>
  <c r="AB346" i="1"/>
  <c r="AC346" i="1"/>
  <c r="AD346" i="1"/>
  <c r="AE346" i="1"/>
  <c r="AF346" i="1"/>
  <c r="AG346" i="1"/>
  <c r="AH346" i="1"/>
  <c r="AI346" i="1"/>
  <c r="AJ346" i="1"/>
  <c r="AK346" i="1"/>
  <c r="AL346" i="1"/>
  <c r="AM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S347" i="1"/>
  <c r="T347" i="1"/>
  <c r="U347" i="1"/>
  <c r="V347" i="1"/>
  <c r="W347" i="1"/>
  <c r="X347" i="1"/>
  <c r="Y347" i="1"/>
  <c r="Z347" i="1"/>
  <c r="AA347" i="1"/>
  <c r="AB347" i="1"/>
  <c r="AC347" i="1"/>
  <c r="AD347" i="1"/>
  <c r="AE347" i="1"/>
  <c r="AF347" i="1"/>
  <c r="AG347" i="1"/>
  <c r="AH347" i="1"/>
  <c r="AI347" i="1"/>
  <c r="AJ347" i="1"/>
  <c r="AK347" i="1"/>
  <c r="AL347" i="1"/>
  <c r="AM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S348" i="1"/>
  <c r="T348" i="1"/>
  <c r="U348" i="1"/>
  <c r="V348" i="1"/>
  <c r="W348" i="1"/>
  <c r="X348" i="1"/>
  <c r="Y348" i="1"/>
  <c r="Z348" i="1"/>
  <c r="AA348" i="1"/>
  <c r="AB348" i="1"/>
  <c r="AC348" i="1"/>
  <c r="AD348" i="1"/>
  <c r="AE348" i="1"/>
  <c r="AF348" i="1"/>
  <c r="AG348" i="1"/>
  <c r="AH348" i="1"/>
  <c r="AI348" i="1"/>
  <c r="AJ348" i="1"/>
  <c r="AK348" i="1"/>
  <c r="AL348" i="1"/>
  <c r="AM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S349" i="1"/>
  <c r="T349" i="1"/>
  <c r="U349" i="1"/>
  <c r="V349" i="1"/>
  <c r="W349" i="1"/>
  <c r="X349" i="1"/>
  <c r="Y349" i="1"/>
  <c r="Z349" i="1"/>
  <c r="AA349" i="1"/>
  <c r="AB349" i="1"/>
  <c r="AC349" i="1"/>
  <c r="AD349" i="1"/>
  <c r="AE349" i="1"/>
  <c r="AF349" i="1"/>
  <c r="AG349" i="1"/>
  <c r="AH349" i="1"/>
  <c r="AI349" i="1"/>
  <c r="AJ349" i="1"/>
  <c r="AK349" i="1"/>
  <c r="AL349" i="1"/>
  <c r="AM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S350" i="1"/>
  <c r="T350" i="1"/>
  <c r="U350" i="1"/>
  <c r="V350" i="1"/>
  <c r="W350" i="1"/>
  <c r="X350" i="1"/>
  <c r="Y350" i="1"/>
  <c r="Z350" i="1"/>
  <c r="AA350" i="1"/>
  <c r="AB350" i="1"/>
  <c r="AC350" i="1"/>
  <c r="AD350" i="1"/>
  <c r="AE350" i="1"/>
  <c r="AF350" i="1"/>
  <c r="AG350" i="1"/>
  <c r="AH350" i="1"/>
  <c r="AI350" i="1"/>
  <c r="AJ350" i="1"/>
  <c r="AK350" i="1"/>
  <c r="AL350" i="1"/>
  <c r="AM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S351" i="1"/>
  <c r="T351" i="1"/>
  <c r="U351" i="1"/>
  <c r="V351" i="1"/>
  <c r="W351" i="1"/>
  <c r="X351" i="1"/>
  <c r="Y351" i="1"/>
  <c r="Z351" i="1"/>
  <c r="AA351" i="1"/>
  <c r="AB351" i="1"/>
  <c r="AC351" i="1"/>
  <c r="AD351" i="1"/>
  <c r="AE351" i="1"/>
  <c r="AF351" i="1"/>
  <c r="AG351" i="1"/>
  <c r="AH351" i="1"/>
  <c r="AI351" i="1"/>
  <c r="AJ351" i="1"/>
  <c r="AK351" i="1"/>
  <c r="AL351" i="1"/>
  <c r="AM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S352" i="1"/>
  <c r="T352" i="1"/>
  <c r="U352" i="1"/>
  <c r="V352" i="1"/>
  <c r="W352" i="1"/>
  <c r="X352" i="1"/>
  <c r="Y352" i="1"/>
  <c r="Z352" i="1"/>
  <c r="AA352" i="1"/>
  <c r="AB352" i="1"/>
  <c r="AC352" i="1"/>
  <c r="AD352" i="1"/>
  <c r="AE352" i="1"/>
  <c r="AF352" i="1"/>
  <c r="AG352" i="1"/>
  <c r="AH352" i="1"/>
  <c r="AI352" i="1"/>
  <c r="AJ352" i="1"/>
  <c r="AK352" i="1"/>
  <c r="AL352" i="1"/>
  <c r="AM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S353" i="1"/>
  <c r="T353" i="1"/>
  <c r="U353" i="1"/>
  <c r="V353" i="1"/>
  <c r="W353" i="1"/>
  <c r="X353" i="1"/>
  <c r="Y353" i="1"/>
  <c r="Z353" i="1"/>
  <c r="AA353" i="1"/>
  <c r="AB353" i="1"/>
  <c r="AC353" i="1"/>
  <c r="AD353" i="1"/>
  <c r="AE353" i="1"/>
  <c r="AF353" i="1"/>
  <c r="AG353" i="1"/>
  <c r="AH353" i="1"/>
  <c r="AI353" i="1"/>
  <c r="AJ353" i="1"/>
  <c r="AK353" i="1"/>
  <c r="AL353" i="1"/>
  <c r="AM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S354" i="1"/>
  <c r="T354" i="1"/>
  <c r="U354" i="1"/>
  <c r="V354" i="1"/>
  <c r="W354" i="1"/>
  <c r="X354" i="1"/>
  <c r="Y354" i="1"/>
  <c r="Z354" i="1"/>
  <c r="AA354" i="1"/>
  <c r="AB354" i="1"/>
  <c r="AC354" i="1"/>
  <c r="AD354" i="1"/>
  <c r="AE354" i="1"/>
  <c r="AF354" i="1"/>
  <c r="AG354" i="1"/>
  <c r="AH354" i="1"/>
  <c r="AI354" i="1"/>
  <c r="AJ354" i="1"/>
  <c r="AK354" i="1"/>
  <c r="AL354" i="1"/>
  <c r="AM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S355" i="1"/>
  <c r="T355" i="1"/>
  <c r="U355" i="1"/>
  <c r="V355" i="1"/>
  <c r="W355" i="1"/>
  <c r="X355" i="1"/>
  <c r="Y355" i="1"/>
  <c r="Z355" i="1"/>
  <c r="AA355" i="1"/>
  <c r="AB355" i="1"/>
  <c r="AC355" i="1"/>
  <c r="AD355" i="1"/>
  <c r="AE355" i="1"/>
  <c r="AF355" i="1"/>
  <c r="AG355" i="1"/>
  <c r="AH355" i="1"/>
  <c r="AI355" i="1"/>
  <c r="AJ355" i="1"/>
  <c r="AK355" i="1"/>
  <c r="AL355" i="1"/>
  <c r="AM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S356" i="1"/>
  <c r="T356" i="1"/>
  <c r="U356" i="1"/>
  <c r="V356" i="1"/>
  <c r="W356" i="1"/>
  <c r="X356" i="1"/>
  <c r="Y356" i="1"/>
  <c r="Z356" i="1"/>
  <c r="AA356" i="1"/>
  <c r="AB356" i="1"/>
  <c r="AC356" i="1"/>
  <c r="AD356" i="1"/>
  <c r="AE356" i="1"/>
  <c r="AF356" i="1"/>
  <c r="AG356" i="1"/>
  <c r="AH356" i="1"/>
  <c r="AI356" i="1"/>
  <c r="AJ356" i="1"/>
  <c r="AK356" i="1"/>
  <c r="AL356" i="1"/>
  <c r="AM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S357" i="1"/>
  <c r="T357" i="1"/>
  <c r="U357" i="1"/>
  <c r="V357" i="1"/>
  <c r="W357" i="1"/>
  <c r="X357" i="1"/>
  <c r="Y357" i="1"/>
  <c r="Z357" i="1"/>
  <c r="AA357" i="1"/>
  <c r="AB357" i="1"/>
  <c r="AC357" i="1"/>
  <c r="AD357" i="1"/>
  <c r="AE357" i="1"/>
  <c r="AF357" i="1"/>
  <c r="AG357" i="1"/>
  <c r="AH357" i="1"/>
  <c r="AI357" i="1"/>
  <c r="AJ357" i="1"/>
  <c r="AK357" i="1"/>
  <c r="AL357" i="1"/>
  <c r="AM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S358" i="1"/>
  <c r="T358" i="1"/>
  <c r="U358" i="1"/>
  <c r="V358" i="1"/>
  <c r="W358" i="1"/>
  <c r="X358" i="1"/>
  <c r="Y358" i="1"/>
  <c r="Z358" i="1"/>
  <c r="AA358" i="1"/>
  <c r="AB358" i="1"/>
  <c r="AC358" i="1"/>
  <c r="AD358" i="1"/>
  <c r="AE358" i="1"/>
  <c r="AF358" i="1"/>
  <c r="AG358" i="1"/>
  <c r="AH358" i="1"/>
  <c r="AI358" i="1"/>
  <c r="AJ358" i="1"/>
  <c r="AK358" i="1"/>
  <c r="AL358" i="1"/>
  <c r="AM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S359" i="1"/>
  <c r="T359" i="1"/>
  <c r="U359" i="1"/>
  <c r="V359" i="1"/>
  <c r="W359" i="1"/>
  <c r="X359" i="1"/>
  <c r="Y359" i="1"/>
  <c r="Z359" i="1"/>
  <c r="AA359" i="1"/>
  <c r="AB359" i="1"/>
  <c r="AC359" i="1"/>
  <c r="AD359" i="1"/>
  <c r="AE359" i="1"/>
  <c r="AF359" i="1"/>
  <c r="AG359" i="1"/>
  <c r="AH359" i="1"/>
  <c r="AI359" i="1"/>
  <c r="AJ359" i="1"/>
  <c r="AK359" i="1"/>
  <c r="AL359" i="1"/>
  <c r="AM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S360" i="1"/>
  <c r="T360" i="1"/>
  <c r="U360" i="1"/>
  <c r="V360" i="1"/>
  <c r="W360" i="1"/>
  <c r="X360" i="1"/>
  <c r="Y360" i="1"/>
  <c r="Z360" i="1"/>
  <c r="AA360" i="1"/>
  <c r="AB360" i="1"/>
  <c r="AC360" i="1"/>
  <c r="AD360" i="1"/>
  <c r="AE360" i="1"/>
  <c r="AF360" i="1"/>
  <c r="AG360" i="1"/>
  <c r="AH360" i="1"/>
  <c r="AI360" i="1"/>
  <c r="AJ360" i="1"/>
  <c r="AK360" i="1"/>
  <c r="AL360" i="1"/>
  <c r="AM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S361" i="1"/>
  <c r="T361" i="1"/>
  <c r="U361" i="1"/>
  <c r="V361" i="1"/>
  <c r="W361" i="1"/>
  <c r="X361" i="1"/>
  <c r="Y361" i="1"/>
  <c r="Z361" i="1"/>
  <c r="AA361" i="1"/>
  <c r="AB361" i="1"/>
  <c r="AC361" i="1"/>
  <c r="AD361" i="1"/>
  <c r="AE361" i="1"/>
  <c r="AF361" i="1"/>
  <c r="AG361" i="1"/>
  <c r="AH361" i="1"/>
  <c r="AI361" i="1"/>
  <c r="AJ361" i="1"/>
  <c r="AK361" i="1"/>
  <c r="AL361" i="1"/>
  <c r="AM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S362" i="1"/>
  <c r="T362" i="1"/>
  <c r="U362" i="1"/>
  <c r="V362" i="1"/>
  <c r="W362" i="1"/>
  <c r="X362" i="1"/>
  <c r="Y362" i="1"/>
  <c r="Z362" i="1"/>
  <c r="AA362" i="1"/>
  <c r="AB362" i="1"/>
  <c r="AC362" i="1"/>
  <c r="AD362" i="1"/>
  <c r="AE362" i="1"/>
  <c r="AF362" i="1"/>
  <c r="AG362" i="1"/>
  <c r="AH362" i="1"/>
  <c r="AI362" i="1"/>
  <c r="AJ362" i="1"/>
  <c r="AK362" i="1"/>
  <c r="AL362" i="1"/>
  <c r="AM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S363" i="1"/>
  <c r="T363" i="1"/>
  <c r="U363" i="1"/>
  <c r="V363" i="1"/>
  <c r="W363" i="1"/>
  <c r="X363" i="1"/>
  <c r="Y363" i="1"/>
  <c r="Z363" i="1"/>
  <c r="AA363" i="1"/>
  <c r="AB363" i="1"/>
  <c r="AC363" i="1"/>
  <c r="AD363" i="1"/>
  <c r="AE363" i="1"/>
  <c r="AF363" i="1"/>
  <c r="AG363" i="1"/>
  <c r="AH363" i="1"/>
  <c r="AI363" i="1"/>
  <c r="AJ363" i="1"/>
  <c r="AK363" i="1"/>
  <c r="AL363" i="1"/>
  <c r="AM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S364" i="1"/>
  <c r="T364" i="1"/>
  <c r="U364" i="1"/>
  <c r="V364" i="1"/>
  <c r="W364" i="1"/>
  <c r="X364" i="1"/>
  <c r="Y364" i="1"/>
  <c r="Z364" i="1"/>
  <c r="AA364" i="1"/>
  <c r="AB364" i="1"/>
  <c r="AC364" i="1"/>
  <c r="AD364" i="1"/>
  <c r="AE364" i="1"/>
  <c r="AF364" i="1"/>
  <c r="AG364" i="1"/>
  <c r="AH364" i="1"/>
  <c r="AI364" i="1"/>
  <c r="AJ364" i="1"/>
  <c r="AK364" i="1"/>
  <c r="AL364" i="1"/>
  <c r="AM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S365" i="1"/>
  <c r="T365" i="1"/>
  <c r="U365" i="1"/>
  <c r="V365" i="1"/>
  <c r="W365" i="1"/>
  <c r="X365" i="1"/>
  <c r="Y365" i="1"/>
  <c r="Z365" i="1"/>
  <c r="AA365" i="1"/>
  <c r="AB365" i="1"/>
  <c r="AC365" i="1"/>
  <c r="AD365" i="1"/>
  <c r="AE365" i="1"/>
  <c r="AF365" i="1"/>
  <c r="AG365" i="1"/>
  <c r="AH365" i="1"/>
  <c r="AI365" i="1"/>
  <c r="AJ365" i="1"/>
  <c r="AK365" i="1"/>
  <c r="AL365" i="1"/>
  <c r="AM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S366" i="1"/>
  <c r="T366" i="1"/>
  <c r="U366" i="1"/>
  <c r="V366" i="1"/>
  <c r="W366" i="1"/>
  <c r="X366" i="1"/>
  <c r="Y366" i="1"/>
  <c r="Z366" i="1"/>
  <c r="AA366" i="1"/>
  <c r="AB366" i="1"/>
  <c r="AC366" i="1"/>
  <c r="AD366" i="1"/>
  <c r="AE366" i="1"/>
  <c r="AF366" i="1"/>
  <c r="AG366" i="1"/>
  <c r="AH366" i="1"/>
  <c r="AI366" i="1"/>
  <c r="AJ366" i="1"/>
  <c r="AK366" i="1"/>
  <c r="AL366" i="1"/>
  <c r="AM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S367" i="1"/>
  <c r="T367" i="1"/>
  <c r="U367" i="1"/>
  <c r="V367" i="1"/>
  <c r="W367" i="1"/>
  <c r="X367" i="1"/>
  <c r="Y367" i="1"/>
  <c r="Z367" i="1"/>
  <c r="AA367" i="1"/>
  <c r="AB367" i="1"/>
  <c r="AC367" i="1"/>
  <c r="AD367" i="1"/>
  <c r="AE367" i="1"/>
  <c r="AF367" i="1"/>
  <c r="AG367" i="1"/>
  <c r="AH367" i="1"/>
  <c r="AI367" i="1"/>
  <c r="AJ367" i="1"/>
  <c r="AK367" i="1"/>
  <c r="AL367" i="1"/>
  <c r="AM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S368" i="1"/>
  <c r="T368" i="1"/>
  <c r="U368" i="1"/>
  <c r="V368" i="1"/>
  <c r="W368" i="1"/>
  <c r="X368" i="1"/>
  <c r="Y368" i="1"/>
  <c r="Z368" i="1"/>
  <c r="AA368" i="1"/>
  <c r="AB368" i="1"/>
  <c r="AC368" i="1"/>
  <c r="AD368" i="1"/>
  <c r="AE368" i="1"/>
  <c r="AF368" i="1"/>
  <c r="AG368" i="1"/>
  <c r="AH368" i="1"/>
  <c r="AI368" i="1"/>
  <c r="AJ368" i="1"/>
  <c r="AK368" i="1"/>
  <c r="AL368" i="1"/>
  <c r="AM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S369" i="1"/>
  <c r="T369" i="1"/>
  <c r="U369" i="1"/>
  <c r="V369" i="1"/>
  <c r="W369" i="1"/>
  <c r="X369" i="1"/>
  <c r="Y369" i="1"/>
  <c r="Z369" i="1"/>
  <c r="AA369" i="1"/>
  <c r="AB369" i="1"/>
  <c r="AC369" i="1"/>
  <c r="AD369" i="1"/>
  <c r="AE369" i="1"/>
  <c r="AF369" i="1"/>
  <c r="AG369" i="1"/>
  <c r="AH369" i="1"/>
  <c r="AI369" i="1"/>
  <c r="AJ369" i="1"/>
  <c r="AK369" i="1"/>
  <c r="AL369" i="1"/>
  <c r="AM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S370" i="1"/>
  <c r="T370" i="1"/>
  <c r="U370" i="1"/>
  <c r="V370" i="1"/>
  <c r="W370" i="1"/>
  <c r="X370" i="1"/>
  <c r="Y370" i="1"/>
  <c r="Z370" i="1"/>
  <c r="AA370" i="1"/>
  <c r="AB370" i="1"/>
  <c r="AC370" i="1"/>
  <c r="AD370" i="1"/>
  <c r="AE370" i="1"/>
  <c r="AF370" i="1"/>
  <c r="AG370" i="1"/>
  <c r="AH370" i="1"/>
  <c r="AI370" i="1"/>
  <c r="AJ370" i="1"/>
  <c r="AK370" i="1"/>
  <c r="AL370" i="1"/>
  <c r="AM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S371" i="1"/>
  <c r="T371" i="1"/>
  <c r="U371" i="1"/>
  <c r="V371" i="1"/>
  <c r="W371" i="1"/>
  <c r="X371" i="1"/>
  <c r="Y371" i="1"/>
  <c r="Z371" i="1"/>
  <c r="AA371" i="1"/>
  <c r="AB371" i="1"/>
  <c r="AC371" i="1"/>
  <c r="AD371" i="1"/>
  <c r="AE371" i="1"/>
  <c r="AF371" i="1"/>
  <c r="AG371" i="1"/>
  <c r="AH371" i="1"/>
  <c r="AI371" i="1"/>
  <c r="AJ371" i="1"/>
  <c r="AK371" i="1"/>
  <c r="AL371" i="1"/>
  <c r="AM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S372" i="1"/>
  <c r="T372" i="1"/>
  <c r="U372" i="1"/>
  <c r="V372" i="1"/>
  <c r="W372" i="1"/>
  <c r="X372" i="1"/>
  <c r="Y372" i="1"/>
  <c r="Z372" i="1"/>
  <c r="AA372" i="1"/>
  <c r="AB372" i="1"/>
  <c r="AC372" i="1"/>
  <c r="AD372" i="1"/>
  <c r="AE372" i="1"/>
  <c r="AF372" i="1"/>
  <c r="AG372" i="1"/>
  <c r="AH372" i="1"/>
  <c r="AI372" i="1"/>
  <c r="AJ372" i="1"/>
  <c r="AK372" i="1"/>
  <c r="AL372" i="1"/>
  <c r="AM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S373" i="1"/>
  <c r="T373" i="1"/>
  <c r="U373" i="1"/>
  <c r="V373" i="1"/>
  <c r="W373" i="1"/>
  <c r="X373" i="1"/>
  <c r="Y373" i="1"/>
  <c r="Z373" i="1"/>
  <c r="AA373" i="1"/>
  <c r="AB373" i="1"/>
  <c r="AC373" i="1"/>
  <c r="AD373" i="1"/>
  <c r="AE373" i="1"/>
  <c r="AF373" i="1"/>
  <c r="AG373" i="1"/>
  <c r="AH373" i="1"/>
  <c r="AI373" i="1"/>
  <c r="AJ373" i="1"/>
  <c r="AK373" i="1"/>
  <c r="AL373" i="1"/>
  <c r="AM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S374" i="1"/>
  <c r="T374" i="1"/>
  <c r="U374" i="1"/>
  <c r="V374" i="1"/>
  <c r="W374" i="1"/>
  <c r="X374" i="1"/>
  <c r="Y374" i="1"/>
  <c r="Z374" i="1"/>
  <c r="AA374" i="1"/>
  <c r="AB374" i="1"/>
  <c r="AC374" i="1"/>
  <c r="AD374" i="1"/>
  <c r="AE374" i="1"/>
  <c r="AF374" i="1"/>
  <c r="AG374" i="1"/>
  <c r="AH374" i="1"/>
  <c r="AI374" i="1"/>
  <c r="AJ374" i="1"/>
  <c r="AK374" i="1"/>
  <c r="AL374" i="1"/>
  <c r="AM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S375" i="1"/>
  <c r="T375" i="1"/>
  <c r="U375" i="1"/>
  <c r="V375" i="1"/>
  <c r="W375" i="1"/>
  <c r="X375" i="1"/>
  <c r="Y375" i="1"/>
  <c r="Z375" i="1"/>
  <c r="AA375" i="1"/>
  <c r="AB375" i="1"/>
  <c r="AC375" i="1"/>
  <c r="AD375" i="1"/>
  <c r="AE375" i="1"/>
  <c r="AF375" i="1"/>
  <c r="AG375" i="1"/>
  <c r="AH375" i="1"/>
  <c r="AI375" i="1"/>
  <c r="AJ375" i="1"/>
  <c r="AK375" i="1"/>
  <c r="AL375" i="1"/>
  <c r="AM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S376" i="1"/>
  <c r="T376" i="1"/>
  <c r="U376" i="1"/>
  <c r="V376" i="1"/>
  <c r="W376" i="1"/>
  <c r="X376" i="1"/>
  <c r="Y376" i="1"/>
  <c r="Z376" i="1"/>
  <c r="AA376" i="1"/>
  <c r="AB376" i="1"/>
  <c r="AC376" i="1"/>
  <c r="AD376" i="1"/>
  <c r="AE376" i="1"/>
  <c r="AF376" i="1"/>
  <c r="AG376" i="1"/>
  <c r="AH376" i="1"/>
  <c r="AI376" i="1"/>
  <c r="AJ376" i="1"/>
  <c r="AK376" i="1"/>
  <c r="AL376" i="1"/>
  <c r="AM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S377" i="1"/>
  <c r="T377" i="1"/>
  <c r="U377" i="1"/>
  <c r="V377" i="1"/>
  <c r="W377" i="1"/>
  <c r="X377" i="1"/>
  <c r="Y377" i="1"/>
  <c r="Z377" i="1"/>
  <c r="AA377" i="1"/>
  <c r="AB377" i="1"/>
  <c r="AC377" i="1"/>
  <c r="AD377" i="1"/>
  <c r="AE377" i="1"/>
  <c r="AF377" i="1"/>
  <c r="AG377" i="1"/>
  <c r="AH377" i="1"/>
  <c r="AI377" i="1"/>
  <c r="AJ377" i="1"/>
  <c r="AK377" i="1"/>
  <c r="AL377" i="1"/>
  <c r="AM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S378" i="1"/>
  <c r="T378" i="1"/>
  <c r="U378" i="1"/>
  <c r="V378" i="1"/>
  <c r="W378" i="1"/>
  <c r="X378" i="1"/>
  <c r="Y378" i="1"/>
  <c r="Z378" i="1"/>
  <c r="AA378" i="1"/>
  <c r="AB378" i="1"/>
  <c r="AC378" i="1"/>
  <c r="AD378" i="1"/>
  <c r="AE378" i="1"/>
  <c r="AF378" i="1"/>
  <c r="AG378" i="1"/>
  <c r="AH378" i="1"/>
  <c r="AI378" i="1"/>
  <c r="AJ378" i="1"/>
  <c r="AK378" i="1"/>
  <c r="AL378" i="1"/>
  <c r="AM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S379" i="1"/>
  <c r="T379" i="1"/>
  <c r="U379" i="1"/>
  <c r="V379" i="1"/>
  <c r="W379" i="1"/>
  <c r="X379" i="1"/>
  <c r="Y379" i="1"/>
  <c r="Z379" i="1"/>
  <c r="AA379" i="1"/>
  <c r="AB379" i="1"/>
  <c r="AC379" i="1"/>
  <c r="AD379" i="1"/>
  <c r="AE379" i="1"/>
  <c r="AF379" i="1"/>
  <c r="AG379" i="1"/>
  <c r="AH379" i="1"/>
  <c r="AI379" i="1"/>
  <c r="AJ379" i="1"/>
  <c r="AK379" i="1"/>
  <c r="AL379" i="1"/>
  <c r="AM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S380" i="1"/>
  <c r="T380" i="1"/>
  <c r="U380" i="1"/>
  <c r="V380" i="1"/>
  <c r="W380" i="1"/>
  <c r="X380" i="1"/>
  <c r="Y380" i="1"/>
  <c r="Z380" i="1"/>
  <c r="AA380" i="1"/>
  <c r="AB380" i="1"/>
  <c r="AC380" i="1"/>
  <c r="AD380" i="1"/>
  <c r="AE380" i="1"/>
  <c r="AF380" i="1"/>
  <c r="AG380" i="1"/>
  <c r="AH380" i="1"/>
  <c r="AI380" i="1"/>
  <c r="AJ380" i="1"/>
  <c r="AK380" i="1"/>
  <c r="AL380" i="1"/>
  <c r="AM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S381" i="1"/>
  <c r="T381" i="1"/>
  <c r="U381" i="1"/>
  <c r="V381" i="1"/>
  <c r="W381" i="1"/>
  <c r="X381" i="1"/>
  <c r="Y381" i="1"/>
  <c r="Z381" i="1"/>
  <c r="AA381" i="1"/>
  <c r="AB381" i="1"/>
  <c r="AC381" i="1"/>
  <c r="AD381" i="1"/>
  <c r="AE381" i="1"/>
  <c r="AF381" i="1"/>
  <c r="AG381" i="1"/>
  <c r="AH381" i="1"/>
  <c r="AI381" i="1"/>
  <c r="AJ381" i="1"/>
  <c r="AK381" i="1"/>
  <c r="AL381" i="1"/>
  <c r="AM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S382" i="1"/>
  <c r="T382" i="1"/>
  <c r="U382" i="1"/>
  <c r="V382" i="1"/>
  <c r="W382" i="1"/>
  <c r="X382" i="1"/>
  <c r="Y382" i="1"/>
  <c r="Z382" i="1"/>
  <c r="AA382" i="1"/>
  <c r="AB382" i="1"/>
  <c r="AC382" i="1"/>
  <c r="AD382" i="1"/>
  <c r="AE382" i="1"/>
  <c r="AF382" i="1"/>
  <c r="AG382" i="1"/>
  <c r="AH382" i="1"/>
  <c r="AI382" i="1"/>
  <c r="AJ382" i="1"/>
  <c r="AK382" i="1"/>
  <c r="AL382" i="1"/>
  <c r="AM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S383" i="1"/>
  <c r="T383" i="1"/>
  <c r="U383" i="1"/>
  <c r="V383" i="1"/>
  <c r="W383" i="1"/>
  <c r="X383" i="1"/>
  <c r="Y383" i="1"/>
  <c r="Z383" i="1"/>
  <c r="AA383" i="1"/>
  <c r="AB383" i="1"/>
  <c r="AC383" i="1"/>
  <c r="AD383" i="1"/>
  <c r="AE383" i="1"/>
  <c r="AF383" i="1"/>
  <c r="AG383" i="1"/>
  <c r="AH383" i="1"/>
  <c r="AI383" i="1"/>
  <c r="AJ383" i="1"/>
  <c r="AK383" i="1"/>
  <c r="AL383" i="1"/>
  <c r="AM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S384" i="1"/>
  <c r="T384" i="1"/>
  <c r="U384" i="1"/>
  <c r="V384" i="1"/>
  <c r="W384" i="1"/>
  <c r="X384" i="1"/>
  <c r="Y384" i="1"/>
  <c r="Z384" i="1"/>
  <c r="AA384" i="1"/>
  <c r="AB384" i="1"/>
  <c r="AC384" i="1"/>
  <c r="AD384" i="1"/>
  <c r="AE384" i="1"/>
  <c r="AF384" i="1"/>
  <c r="AG384" i="1"/>
  <c r="AH384" i="1"/>
  <c r="AI384" i="1"/>
  <c r="AJ384" i="1"/>
  <c r="AK384" i="1"/>
  <c r="AL384" i="1"/>
  <c r="AM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S385" i="1"/>
  <c r="T385" i="1"/>
  <c r="U385" i="1"/>
  <c r="V385" i="1"/>
  <c r="W385" i="1"/>
  <c r="X385" i="1"/>
  <c r="Y385" i="1"/>
  <c r="Z385" i="1"/>
  <c r="AA385" i="1"/>
  <c r="AB385" i="1"/>
  <c r="AC385" i="1"/>
  <c r="AD385" i="1"/>
  <c r="AE385" i="1"/>
  <c r="AF385" i="1"/>
  <c r="AG385" i="1"/>
  <c r="AH385" i="1"/>
  <c r="AI385" i="1"/>
  <c r="AJ385" i="1"/>
  <c r="AK385" i="1"/>
  <c r="AL385" i="1"/>
  <c r="AM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S386" i="1"/>
  <c r="T386" i="1"/>
  <c r="U386" i="1"/>
  <c r="V386" i="1"/>
  <c r="W386" i="1"/>
  <c r="X386" i="1"/>
  <c r="Y386" i="1"/>
  <c r="Z386" i="1"/>
  <c r="AA386" i="1"/>
  <c r="AB386" i="1"/>
  <c r="AC386" i="1"/>
  <c r="AD386" i="1"/>
  <c r="AE386" i="1"/>
  <c r="AF386" i="1"/>
  <c r="AG386" i="1"/>
  <c r="AH386" i="1"/>
  <c r="AI386" i="1"/>
  <c r="AJ386" i="1"/>
  <c r="AK386" i="1"/>
  <c r="AL386" i="1"/>
  <c r="AM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S387" i="1"/>
  <c r="T387" i="1"/>
  <c r="U387" i="1"/>
  <c r="V387" i="1"/>
  <c r="W387" i="1"/>
  <c r="X387" i="1"/>
  <c r="Y387" i="1"/>
  <c r="Z387" i="1"/>
  <c r="AA387" i="1"/>
  <c r="AB387" i="1"/>
  <c r="AC387" i="1"/>
  <c r="AD387" i="1"/>
  <c r="AE387" i="1"/>
  <c r="AF387" i="1"/>
  <c r="AG387" i="1"/>
  <c r="AH387" i="1"/>
  <c r="AI387" i="1"/>
  <c r="AJ387" i="1"/>
  <c r="AK387" i="1"/>
  <c r="AL387" i="1"/>
  <c r="AM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S388" i="1"/>
  <c r="T388" i="1"/>
  <c r="U388" i="1"/>
  <c r="V388" i="1"/>
  <c r="W388" i="1"/>
  <c r="X388" i="1"/>
  <c r="Y388" i="1"/>
  <c r="Z388" i="1"/>
  <c r="AA388" i="1"/>
  <c r="AB388" i="1"/>
  <c r="AC388" i="1"/>
  <c r="AD388" i="1"/>
  <c r="AE388" i="1"/>
  <c r="AF388" i="1"/>
  <c r="AG388" i="1"/>
  <c r="AH388" i="1"/>
  <c r="AI388" i="1"/>
  <c r="AJ388" i="1"/>
  <c r="AK388" i="1"/>
  <c r="AL388" i="1"/>
  <c r="AM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S389" i="1"/>
  <c r="T389" i="1"/>
  <c r="U389" i="1"/>
  <c r="V389" i="1"/>
  <c r="W389" i="1"/>
  <c r="X389" i="1"/>
  <c r="Y389" i="1"/>
  <c r="Z389" i="1"/>
  <c r="AA389" i="1"/>
  <c r="AB389" i="1"/>
  <c r="AC389" i="1"/>
  <c r="AD389" i="1"/>
  <c r="AE389" i="1"/>
  <c r="AF389" i="1"/>
  <c r="AG389" i="1"/>
  <c r="AH389" i="1"/>
  <c r="AI389" i="1"/>
  <c r="AJ389" i="1"/>
  <c r="AK389" i="1"/>
  <c r="AL389" i="1"/>
  <c r="AM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S390" i="1"/>
  <c r="T390" i="1"/>
  <c r="U390" i="1"/>
  <c r="V390" i="1"/>
  <c r="W390" i="1"/>
  <c r="X390" i="1"/>
  <c r="Y390" i="1"/>
  <c r="Z390" i="1"/>
  <c r="AA390" i="1"/>
  <c r="AB390" i="1"/>
  <c r="AC390" i="1"/>
  <c r="AD390" i="1"/>
  <c r="AE390" i="1"/>
  <c r="AF390" i="1"/>
  <c r="AG390" i="1"/>
  <c r="AH390" i="1"/>
  <c r="AI390" i="1"/>
  <c r="AJ390" i="1"/>
  <c r="AK390" i="1"/>
  <c r="AL390" i="1"/>
  <c r="AM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S391" i="1"/>
  <c r="T391" i="1"/>
  <c r="U391" i="1"/>
  <c r="V391" i="1"/>
  <c r="W391" i="1"/>
  <c r="X391" i="1"/>
  <c r="Y391" i="1"/>
  <c r="Z391" i="1"/>
  <c r="AA391" i="1"/>
  <c r="AB391" i="1"/>
  <c r="AC391" i="1"/>
  <c r="AD391" i="1"/>
  <c r="AE391" i="1"/>
  <c r="AF391" i="1"/>
  <c r="AG391" i="1"/>
  <c r="AH391" i="1"/>
  <c r="AI391" i="1"/>
  <c r="AJ391" i="1"/>
  <c r="AK391" i="1"/>
  <c r="AL391" i="1"/>
  <c r="AM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S392" i="1"/>
  <c r="T392" i="1"/>
  <c r="U392" i="1"/>
  <c r="V392" i="1"/>
  <c r="W392" i="1"/>
  <c r="X392" i="1"/>
  <c r="Y392" i="1"/>
  <c r="Z392" i="1"/>
  <c r="AA392" i="1"/>
  <c r="AB392" i="1"/>
  <c r="AC392" i="1"/>
  <c r="AD392" i="1"/>
  <c r="AE392" i="1"/>
  <c r="AF392" i="1"/>
  <c r="AG392" i="1"/>
  <c r="AH392" i="1"/>
  <c r="AI392" i="1"/>
  <c r="AJ392" i="1"/>
  <c r="AK392" i="1"/>
  <c r="AL392" i="1"/>
  <c r="AM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S393" i="1"/>
  <c r="T393" i="1"/>
  <c r="U393" i="1"/>
  <c r="V393" i="1"/>
  <c r="W393" i="1"/>
  <c r="X393" i="1"/>
  <c r="Y393" i="1"/>
  <c r="Z393" i="1"/>
  <c r="AA393" i="1"/>
  <c r="AB393" i="1"/>
  <c r="AC393" i="1"/>
  <c r="AD393" i="1"/>
  <c r="AE393" i="1"/>
  <c r="AF393" i="1"/>
  <c r="AG393" i="1"/>
  <c r="AH393" i="1"/>
  <c r="AI393" i="1"/>
  <c r="AJ393" i="1"/>
  <c r="AK393" i="1"/>
  <c r="AL393" i="1"/>
  <c r="AM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S394" i="1"/>
  <c r="T394" i="1"/>
  <c r="U394" i="1"/>
  <c r="V394" i="1"/>
  <c r="W394" i="1"/>
  <c r="X394" i="1"/>
  <c r="Y394" i="1"/>
  <c r="Z394" i="1"/>
  <c r="AA394" i="1"/>
  <c r="AB394" i="1"/>
  <c r="AC394" i="1"/>
  <c r="AD394" i="1"/>
  <c r="AE394" i="1"/>
  <c r="AF394" i="1"/>
  <c r="AG394" i="1"/>
  <c r="AH394" i="1"/>
  <c r="AI394" i="1"/>
  <c r="AJ394" i="1"/>
  <c r="AK394" i="1"/>
  <c r="AL394" i="1"/>
  <c r="AM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S395" i="1"/>
  <c r="T395" i="1"/>
  <c r="U395" i="1"/>
  <c r="V395" i="1"/>
  <c r="W395" i="1"/>
  <c r="X395" i="1"/>
  <c r="Y395" i="1"/>
  <c r="Z395" i="1"/>
  <c r="AA395" i="1"/>
  <c r="AB395" i="1"/>
  <c r="AC395" i="1"/>
  <c r="AD395" i="1"/>
  <c r="AE395" i="1"/>
  <c r="AF395" i="1"/>
  <c r="AG395" i="1"/>
  <c r="AH395" i="1"/>
  <c r="AI395" i="1"/>
  <c r="AJ395" i="1"/>
  <c r="AK395" i="1"/>
  <c r="AL395" i="1"/>
  <c r="AM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S396" i="1"/>
  <c r="T396" i="1"/>
  <c r="U396" i="1"/>
  <c r="V396" i="1"/>
  <c r="W396" i="1"/>
  <c r="X396" i="1"/>
  <c r="Y396" i="1"/>
  <c r="Z396" i="1"/>
  <c r="AA396" i="1"/>
  <c r="AB396" i="1"/>
  <c r="AC396" i="1"/>
  <c r="AD396" i="1"/>
  <c r="AE396" i="1"/>
  <c r="AF396" i="1"/>
  <c r="AG396" i="1"/>
  <c r="AH396" i="1"/>
  <c r="AI396" i="1"/>
  <c r="AJ396" i="1"/>
  <c r="AK396" i="1"/>
  <c r="AL396" i="1"/>
  <c r="AM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S397" i="1"/>
  <c r="T397" i="1"/>
  <c r="U397" i="1"/>
  <c r="V397" i="1"/>
  <c r="W397" i="1"/>
  <c r="X397" i="1"/>
  <c r="Y397" i="1"/>
  <c r="Z397" i="1"/>
  <c r="AA397" i="1"/>
  <c r="AB397" i="1"/>
  <c r="AC397" i="1"/>
  <c r="AD397" i="1"/>
  <c r="AE397" i="1"/>
  <c r="AF397" i="1"/>
  <c r="AG397" i="1"/>
  <c r="AH397" i="1"/>
  <c r="AI397" i="1"/>
  <c r="AJ397" i="1"/>
  <c r="AK397" i="1"/>
  <c r="AL397" i="1"/>
  <c r="AM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S398" i="1"/>
  <c r="T398" i="1"/>
  <c r="U398" i="1"/>
  <c r="V398" i="1"/>
  <c r="W398" i="1"/>
  <c r="X398" i="1"/>
  <c r="Y398" i="1"/>
  <c r="Z398" i="1"/>
  <c r="AA398" i="1"/>
  <c r="AB398" i="1"/>
  <c r="AC398" i="1"/>
  <c r="AD398" i="1"/>
  <c r="AE398" i="1"/>
  <c r="AF398" i="1"/>
  <c r="AG398" i="1"/>
  <c r="AH398" i="1"/>
  <c r="AI398" i="1"/>
  <c r="AJ398" i="1"/>
  <c r="AK398" i="1"/>
  <c r="AL398" i="1"/>
  <c r="AM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S399" i="1"/>
  <c r="T399" i="1"/>
  <c r="U399" i="1"/>
  <c r="V399" i="1"/>
  <c r="W399" i="1"/>
  <c r="X399" i="1"/>
  <c r="Y399" i="1"/>
  <c r="Z399" i="1"/>
  <c r="AA399" i="1"/>
  <c r="AB399" i="1"/>
  <c r="AC399" i="1"/>
  <c r="AD399" i="1"/>
  <c r="AE399" i="1"/>
  <c r="AF399" i="1"/>
  <c r="AG399" i="1"/>
  <c r="AH399" i="1"/>
  <c r="AI399" i="1"/>
  <c r="AJ399" i="1"/>
  <c r="AK399" i="1"/>
  <c r="AL399" i="1"/>
  <c r="AM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S400" i="1"/>
  <c r="T400" i="1"/>
  <c r="U400" i="1"/>
  <c r="V400" i="1"/>
  <c r="W400" i="1"/>
  <c r="X400" i="1"/>
  <c r="Y400" i="1"/>
  <c r="Z400" i="1"/>
  <c r="AA400" i="1"/>
  <c r="AB400" i="1"/>
  <c r="AC400" i="1"/>
  <c r="AD400" i="1"/>
  <c r="AE400" i="1"/>
  <c r="AF400" i="1"/>
  <c r="AG400" i="1"/>
  <c r="AH400" i="1"/>
  <c r="AI400" i="1"/>
  <c r="AJ400" i="1"/>
  <c r="AK400" i="1"/>
  <c r="AL400" i="1"/>
  <c r="AM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S401" i="1"/>
  <c r="T401" i="1"/>
  <c r="U401" i="1"/>
  <c r="V401" i="1"/>
  <c r="W401" i="1"/>
  <c r="X401" i="1"/>
  <c r="Y401" i="1"/>
  <c r="Z401" i="1"/>
  <c r="AA401" i="1"/>
  <c r="AB401" i="1"/>
  <c r="AC401" i="1"/>
  <c r="AD401" i="1"/>
  <c r="AE401" i="1"/>
  <c r="AF401" i="1"/>
  <c r="AG401" i="1"/>
  <c r="AH401" i="1"/>
  <c r="AI401" i="1"/>
  <c r="AJ401" i="1"/>
  <c r="AK401" i="1"/>
  <c r="AL401" i="1"/>
  <c r="AM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S402" i="1"/>
  <c r="T402" i="1"/>
  <c r="U402" i="1"/>
  <c r="V402" i="1"/>
  <c r="W402" i="1"/>
  <c r="X402" i="1"/>
  <c r="Y402" i="1"/>
  <c r="Z402" i="1"/>
  <c r="AA402" i="1"/>
  <c r="AB402" i="1"/>
  <c r="AC402" i="1"/>
  <c r="AD402" i="1"/>
  <c r="AE402" i="1"/>
  <c r="AF402" i="1"/>
  <c r="AG402" i="1"/>
  <c r="AH402" i="1"/>
  <c r="AI402" i="1"/>
  <c r="AJ402" i="1"/>
  <c r="AK402" i="1"/>
  <c r="AL402" i="1"/>
  <c r="AM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S403" i="1"/>
  <c r="T403" i="1"/>
  <c r="U403" i="1"/>
  <c r="V403" i="1"/>
  <c r="W403" i="1"/>
  <c r="X403" i="1"/>
  <c r="Y403" i="1"/>
  <c r="Z403" i="1"/>
  <c r="AA403" i="1"/>
  <c r="AB403" i="1"/>
  <c r="AC403" i="1"/>
  <c r="AD403" i="1"/>
  <c r="AE403" i="1"/>
  <c r="AF403" i="1"/>
  <c r="AG403" i="1"/>
  <c r="AH403" i="1"/>
  <c r="AI403" i="1"/>
  <c r="AJ403" i="1"/>
  <c r="AK403" i="1"/>
  <c r="AL403" i="1"/>
  <c r="AM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S404" i="1"/>
  <c r="T404" i="1"/>
  <c r="U404" i="1"/>
  <c r="V404" i="1"/>
  <c r="W404" i="1"/>
  <c r="X404" i="1"/>
  <c r="Y404" i="1"/>
  <c r="Z404" i="1"/>
  <c r="AA404" i="1"/>
  <c r="AB404" i="1"/>
  <c r="AC404" i="1"/>
  <c r="AD404" i="1"/>
  <c r="AE404" i="1"/>
  <c r="AF404" i="1"/>
  <c r="AG404" i="1"/>
  <c r="AH404" i="1"/>
  <c r="AI404" i="1"/>
  <c r="AJ404" i="1"/>
  <c r="AK404" i="1"/>
  <c r="AL404" i="1"/>
  <c r="AM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S405" i="1"/>
  <c r="T405" i="1"/>
  <c r="U405" i="1"/>
  <c r="V405" i="1"/>
  <c r="W405" i="1"/>
  <c r="X405" i="1"/>
  <c r="Y405" i="1"/>
  <c r="Z405" i="1"/>
  <c r="AA405" i="1"/>
  <c r="AB405" i="1"/>
  <c r="AC405" i="1"/>
  <c r="AD405" i="1"/>
  <c r="AE405" i="1"/>
  <c r="AF405" i="1"/>
  <c r="AG405" i="1"/>
  <c r="AH405" i="1"/>
  <c r="AI405" i="1"/>
  <c r="AJ405" i="1"/>
  <c r="AK405" i="1"/>
  <c r="AL405" i="1"/>
  <c r="AM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S406" i="1"/>
  <c r="T406" i="1"/>
  <c r="U406" i="1"/>
  <c r="V406" i="1"/>
  <c r="W406" i="1"/>
  <c r="X406" i="1"/>
  <c r="Y406" i="1"/>
  <c r="Z406" i="1"/>
  <c r="AA406" i="1"/>
  <c r="AB406" i="1"/>
  <c r="AC406" i="1"/>
  <c r="AD406" i="1"/>
  <c r="AE406" i="1"/>
  <c r="AF406" i="1"/>
  <c r="AG406" i="1"/>
  <c r="AH406" i="1"/>
  <c r="AI406" i="1"/>
  <c r="AJ406" i="1"/>
  <c r="AK406" i="1"/>
  <c r="AL406" i="1"/>
  <c r="AM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S407" i="1"/>
  <c r="T407" i="1"/>
  <c r="U407" i="1"/>
  <c r="V407" i="1"/>
  <c r="W407" i="1"/>
  <c r="X407" i="1"/>
  <c r="Y407" i="1"/>
  <c r="Z407" i="1"/>
  <c r="AA407" i="1"/>
  <c r="AB407" i="1"/>
  <c r="AC407" i="1"/>
  <c r="AD407" i="1"/>
  <c r="AE407" i="1"/>
  <c r="AF407" i="1"/>
  <c r="AG407" i="1"/>
  <c r="AH407" i="1"/>
  <c r="AI407" i="1"/>
  <c r="AJ407" i="1"/>
  <c r="AK407" i="1"/>
  <c r="AL407" i="1"/>
  <c r="AM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S408" i="1"/>
  <c r="T408" i="1"/>
  <c r="U408" i="1"/>
  <c r="V408" i="1"/>
  <c r="W408" i="1"/>
  <c r="X408" i="1"/>
  <c r="Y408" i="1"/>
  <c r="Z408" i="1"/>
  <c r="AA408" i="1"/>
  <c r="AB408" i="1"/>
  <c r="AC408" i="1"/>
  <c r="AD408" i="1"/>
  <c r="AE408" i="1"/>
  <c r="AF408" i="1"/>
  <c r="AG408" i="1"/>
  <c r="AH408" i="1"/>
  <c r="AI408" i="1"/>
  <c r="AJ408" i="1"/>
  <c r="AK408" i="1"/>
  <c r="AL408" i="1"/>
  <c r="AM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S409" i="1"/>
  <c r="T409" i="1"/>
  <c r="U409" i="1"/>
  <c r="V409" i="1"/>
  <c r="W409" i="1"/>
  <c r="X409" i="1"/>
  <c r="Y409" i="1"/>
  <c r="Z409" i="1"/>
  <c r="AA409" i="1"/>
  <c r="AB409" i="1"/>
  <c r="AC409" i="1"/>
  <c r="AD409" i="1"/>
  <c r="AE409" i="1"/>
  <c r="AF409" i="1"/>
  <c r="AG409" i="1"/>
  <c r="AH409" i="1"/>
  <c r="AI409" i="1"/>
  <c r="AJ409" i="1"/>
  <c r="AK409" i="1"/>
  <c r="AL409" i="1"/>
  <c r="AM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S410" i="1"/>
  <c r="T410" i="1"/>
  <c r="U410" i="1"/>
  <c r="V410" i="1"/>
  <c r="W410" i="1"/>
  <c r="X410" i="1"/>
  <c r="Y410" i="1"/>
  <c r="Z410" i="1"/>
  <c r="AA410" i="1"/>
  <c r="AB410" i="1"/>
  <c r="AC410" i="1"/>
  <c r="AD410" i="1"/>
  <c r="AE410" i="1"/>
  <c r="AF410" i="1"/>
  <c r="AG410" i="1"/>
  <c r="AH410" i="1"/>
  <c r="AI410" i="1"/>
  <c r="AJ410" i="1"/>
  <c r="AK410" i="1"/>
  <c r="AL410" i="1"/>
  <c r="AM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S411" i="1"/>
  <c r="T411" i="1"/>
  <c r="U411" i="1"/>
  <c r="V411" i="1"/>
  <c r="W411" i="1"/>
  <c r="X411" i="1"/>
  <c r="Y411" i="1"/>
  <c r="Z411" i="1"/>
  <c r="AA411" i="1"/>
  <c r="AB411" i="1"/>
  <c r="AC411" i="1"/>
  <c r="AD411" i="1"/>
  <c r="AE411" i="1"/>
  <c r="AF411" i="1"/>
  <c r="AG411" i="1"/>
  <c r="AH411" i="1"/>
  <c r="AI411" i="1"/>
  <c r="AJ411" i="1"/>
  <c r="AK411" i="1"/>
  <c r="AL411" i="1"/>
  <c r="AM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S412" i="1"/>
  <c r="T412" i="1"/>
  <c r="U412" i="1"/>
  <c r="V412" i="1"/>
  <c r="W412" i="1"/>
  <c r="X412" i="1"/>
  <c r="Y412" i="1"/>
  <c r="Z412" i="1"/>
  <c r="AA412" i="1"/>
  <c r="AB412" i="1"/>
  <c r="AC412" i="1"/>
  <c r="AD412" i="1"/>
  <c r="AE412" i="1"/>
  <c r="AF412" i="1"/>
  <c r="AG412" i="1"/>
  <c r="AH412" i="1"/>
  <c r="AI412" i="1"/>
  <c r="AJ412" i="1"/>
  <c r="AK412" i="1"/>
  <c r="AL412" i="1"/>
  <c r="AM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S413" i="1"/>
  <c r="T413" i="1"/>
  <c r="U413" i="1"/>
  <c r="V413" i="1"/>
  <c r="W413" i="1"/>
  <c r="X413" i="1"/>
  <c r="Y413" i="1"/>
  <c r="Z413" i="1"/>
  <c r="AA413" i="1"/>
  <c r="AB413" i="1"/>
  <c r="AC413" i="1"/>
  <c r="AD413" i="1"/>
  <c r="AE413" i="1"/>
  <c r="AF413" i="1"/>
  <c r="AG413" i="1"/>
  <c r="AH413" i="1"/>
  <c r="AI413" i="1"/>
  <c r="AJ413" i="1"/>
  <c r="AK413" i="1"/>
  <c r="AL413" i="1"/>
  <c r="AM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S414" i="1"/>
  <c r="T414" i="1"/>
  <c r="U414" i="1"/>
  <c r="V414" i="1"/>
  <c r="W414" i="1"/>
  <c r="X414" i="1"/>
  <c r="Y414" i="1"/>
  <c r="Z414" i="1"/>
  <c r="AA414" i="1"/>
  <c r="AB414" i="1"/>
  <c r="AC414" i="1"/>
  <c r="AD414" i="1"/>
  <c r="AE414" i="1"/>
  <c r="AF414" i="1"/>
  <c r="AG414" i="1"/>
  <c r="AH414" i="1"/>
  <c r="AI414" i="1"/>
  <c r="AJ414" i="1"/>
  <c r="AK414" i="1"/>
  <c r="AL414" i="1"/>
  <c r="AM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S415" i="1"/>
  <c r="T415" i="1"/>
  <c r="U415" i="1"/>
  <c r="V415" i="1"/>
  <c r="W415" i="1"/>
  <c r="X415" i="1"/>
  <c r="Y415" i="1"/>
  <c r="Z415" i="1"/>
  <c r="AA415" i="1"/>
  <c r="AB415" i="1"/>
  <c r="AC415" i="1"/>
  <c r="AD415" i="1"/>
  <c r="AE415" i="1"/>
  <c r="AF415" i="1"/>
  <c r="AG415" i="1"/>
  <c r="AH415" i="1"/>
  <c r="AI415" i="1"/>
  <c r="AJ415" i="1"/>
  <c r="AK415" i="1"/>
  <c r="AL415" i="1"/>
  <c r="AM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S416" i="1"/>
  <c r="T416" i="1"/>
  <c r="U416" i="1"/>
  <c r="V416" i="1"/>
  <c r="W416" i="1"/>
  <c r="X416" i="1"/>
  <c r="Y416" i="1"/>
  <c r="Z416" i="1"/>
  <c r="AA416" i="1"/>
  <c r="AB416" i="1"/>
  <c r="AC416" i="1"/>
  <c r="AD416" i="1"/>
  <c r="AE416" i="1"/>
  <c r="AF416" i="1"/>
  <c r="AG416" i="1"/>
  <c r="AH416" i="1"/>
  <c r="AI416" i="1"/>
  <c r="AJ416" i="1"/>
  <c r="AK416" i="1"/>
  <c r="AL416" i="1"/>
  <c r="AM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S417" i="1"/>
  <c r="T417" i="1"/>
  <c r="U417" i="1"/>
  <c r="V417" i="1"/>
  <c r="W417" i="1"/>
  <c r="X417" i="1"/>
  <c r="Y417" i="1"/>
  <c r="Z417" i="1"/>
  <c r="AA417" i="1"/>
  <c r="AB417" i="1"/>
  <c r="AC417" i="1"/>
  <c r="AD417" i="1"/>
  <c r="AE417" i="1"/>
  <c r="AF417" i="1"/>
  <c r="AG417" i="1"/>
  <c r="AH417" i="1"/>
  <c r="AI417" i="1"/>
  <c r="AJ417" i="1"/>
  <c r="AK417" i="1"/>
  <c r="AL417" i="1"/>
  <c r="AM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S418" i="1"/>
  <c r="T418" i="1"/>
  <c r="U418" i="1"/>
  <c r="V418" i="1"/>
  <c r="W418" i="1"/>
  <c r="X418" i="1"/>
  <c r="Y418" i="1"/>
  <c r="Z418" i="1"/>
  <c r="AA418" i="1"/>
  <c r="AB418" i="1"/>
  <c r="AC418" i="1"/>
  <c r="AD418" i="1"/>
  <c r="AE418" i="1"/>
  <c r="AF418" i="1"/>
  <c r="AG418" i="1"/>
  <c r="AH418" i="1"/>
  <c r="AI418" i="1"/>
  <c r="AJ418" i="1"/>
  <c r="AK418" i="1"/>
  <c r="AL418" i="1"/>
  <c r="AM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S419" i="1"/>
  <c r="T419" i="1"/>
  <c r="U419" i="1"/>
  <c r="V419" i="1"/>
  <c r="W419" i="1"/>
  <c r="X419" i="1"/>
  <c r="Y419" i="1"/>
  <c r="Z419" i="1"/>
  <c r="AA419" i="1"/>
  <c r="AB419" i="1"/>
  <c r="AC419" i="1"/>
  <c r="AD419" i="1"/>
  <c r="AE419" i="1"/>
  <c r="AF419" i="1"/>
  <c r="AG419" i="1"/>
  <c r="AH419" i="1"/>
  <c r="AI419" i="1"/>
  <c r="AJ419" i="1"/>
  <c r="AK419" i="1"/>
  <c r="AL419" i="1"/>
  <c r="AM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S420" i="1"/>
  <c r="T420" i="1"/>
  <c r="U420" i="1"/>
  <c r="V420" i="1"/>
  <c r="W420" i="1"/>
  <c r="X420" i="1"/>
  <c r="Y420" i="1"/>
  <c r="Z420" i="1"/>
  <c r="AA420" i="1"/>
  <c r="AB420" i="1"/>
  <c r="AC420" i="1"/>
  <c r="AD420" i="1"/>
  <c r="AE420" i="1"/>
  <c r="AF420" i="1"/>
  <c r="AG420" i="1"/>
  <c r="AH420" i="1"/>
  <c r="AI420" i="1"/>
  <c r="AJ420" i="1"/>
  <c r="AK420" i="1"/>
  <c r="AL420" i="1"/>
  <c r="AM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S421" i="1"/>
  <c r="T421" i="1"/>
  <c r="U421" i="1"/>
  <c r="V421" i="1"/>
  <c r="W421" i="1"/>
  <c r="X421" i="1"/>
  <c r="Y421" i="1"/>
  <c r="Z421" i="1"/>
  <c r="AA421" i="1"/>
  <c r="AB421" i="1"/>
  <c r="AC421" i="1"/>
  <c r="AD421" i="1"/>
  <c r="AE421" i="1"/>
  <c r="AF421" i="1"/>
  <c r="AG421" i="1"/>
  <c r="AH421" i="1"/>
  <c r="AI421" i="1"/>
  <c r="AJ421" i="1"/>
  <c r="AK421" i="1"/>
  <c r="AL421" i="1"/>
  <c r="AM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S422" i="1"/>
  <c r="T422" i="1"/>
  <c r="U422" i="1"/>
  <c r="V422" i="1"/>
  <c r="W422" i="1"/>
  <c r="X422" i="1"/>
  <c r="Y422" i="1"/>
  <c r="Z422" i="1"/>
  <c r="AA422" i="1"/>
  <c r="AB422" i="1"/>
  <c r="AC422" i="1"/>
  <c r="AD422" i="1"/>
  <c r="AE422" i="1"/>
  <c r="AF422" i="1"/>
  <c r="AG422" i="1"/>
  <c r="AH422" i="1"/>
  <c r="AI422" i="1"/>
  <c r="AJ422" i="1"/>
  <c r="AK422" i="1"/>
  <c r="AL422" i="1"/>
  <c r="AM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S423" i="1"/>
  <c r="T423" i="1"/>
  <c r="U423" i="1"/>
  <c r="V423" i="1"/>
  <c r="W423" i="1"/>
  <c r="X423" i="1"/>
  <c r="Y423" i="1"/>
  <c r="Z423" i="1"/>
  <c r="AA423" i="1"/>
  <c r="AB423" i="1"/>
  <c r="AC423" i="1"/>
  <c r="AD423" i="1"/>
  <c r="AE423" i="1"/>
  <c r="AF423" i="1"/>
  <c r="AG423" i="1"/>
  <c r="AH423" i="1"/>
  <c r="AI423" i="1"/>
  <c r="AJ423" i="1"/>
  <c r="AK423" i="1"/>
  <c r="AL423" i="1"/>
  <c r="AM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S424" i="1"/>
  <c r="T424" i="1"/>
  <c r="U424" i="1"/>
  <c r="V424" i="1"/>
  <c r="W424" i="1"/>
  <c r="X424" i="1"/>
  <c r="Y424" i="1"/>
  <c r="Z424" i="1"/>
  <c r="AA424" i="1"/>
  <c r="AB424" i="1"/>
  <c r="AC424" i="1"/>
  <c r="AD424" i="1"/>
  <c r="AE424" i="1"/>
  <c r="AF424" i="1"/>
  <c r="AG424" i="1"/>
  <c r="AH424" i="1"/>
  <c r="AI424" i="1"/>
  <c r="AJ424" i="1"/>
  <c r="AK424" i="1"/>
  <c r="AL424" i="1"/>
  <c r="AM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S425" i="1"/>
  <c r="T425" i="1"/>
  <c r="U425" i="1"/>
  <c r="V425" i="1"/>
  <c r="W425" i="1"/>
  <c r="X425" i="1"/>
  <c r="Y425" i="1"/>
  <c r="Z425" i="1"/>
  <c r="AA425" i="1"/>
  <c r="AB425" i="1"/>
  <c r="AC425" i="1"/>
  <c r="AD425" i="1"/>
  <c r="AE425" i="1"/>
  <c r="AF425" i="1"/>
  <c r="AG425" i="1"/>
  <c r="AH425" i="1"/>
  <c r="AI425" i="1"/>
  <c r="AJ425" i="1"/>
  <c r="AK425" i="1"/>
  <c r="AL425" i="1"/>
  <c r="AM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S426" i="1"/>
  <c r="T426" i="1"/>
  <c r="U426" i="1"/>
  <c r="V426" i="1"/>
  <c r="W426" i="1"/>
  <c r="X426" i="1"/>
  <c r="Y426" i="1"/>
  <c r="Z426" i="1"/>
  <c r="AA426" i="1"/>
  <c r="AB426" i="1"/>
  <c r="AC426" i="1"/>
  <c r="AD426" i="1"/>
  <c r="AE426" i="1"/>
  <c r="AF426" i="1"/>
  <c r="AG426" i="1"/>
  <c r="AH426" i="1"/>
  <c r="AI426" i="1"/>
  <c r="AJ426" i="1"/>
  <c r="AK426" i="1"/>
  <c r="AL426" i="1"/>
  <c r="AM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S427" i="1"/>
  <c r="T427" i="1"/>
  <c r="U427" i="1"/>
  <c r="V427" i="1"/>
  <c r="W427" i="1"/>
  <c r="X427" i="1"/>
  <c r="Y427" i="1"/>
  <c r="Z427" i="1"/>
  <c r="AA427" i="1"/>
  <c r="AB427" i="1"/>
  <c r="AC427" i="1"/>
  <c r="AD427" i="1"/>
  <c r="AE427" i="1"/>
  <c r="AF427" i="1"/>
  <c r="AG427" i="1"/>
  <c r="AH427" i="1"/>
  <c r="AI427" i="1"/>
  <c r="AJ427" i="1"/>
  <c r="AK427" i="1"/>
  <c r="AL427" i="1"/>
  <c r="AM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S428" i="1"/>
  <c r="T428" i="1"/>
  <c r="U428" i="1"/>
  <c r="V428" i="1"/>
  <c r="W428" i="1"/>
  <c r="X428" i="1"/>
  <c r="Y428" i="1"/>
  <c r="Z428" i="1"/>
  <c r="AA428" i="1"/>
  <c r="AB428" i="1"/>
  <c r="AC428" i="1"/>
  <c r="AD428" i="1"/>
  <c r="AE428" i="1"/>
  <c r="AF428" i="1"/>
  <c r="AG428" i="1"/>
  <c r="AH428" i="1"/>
  <c r="AI428" i="1"/>
  <c r="AJ428" i="1"/>
  <c r="AK428" i="1"/>
  <c r="AL428" i="1"/>
  <c r="AM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S429" i="1"/>
  <c r="T429" i="1"/>
  <c r="U429" i="1"/>
  <c r="V429" i="1"/>
  <c r="W429" i="1"/>
  <c r="X429" i="1"/>
  <c r="Y429" i="1"/>
  <c r="Z429" i="1"/>
  <c r="AA429" i="1"/>
  <c r="AB429" i="1"/>
  <c r="AC429" i="1"/>
  <c r="AD429" i="1"/>
  <c r="AE429" i="1"/>
  <c r="AF429" i="1"/>
  <c r="AG429" i="1"/>
  <c r="AH429" i="1"/>
  <c r="AI429" i="1"/>
  <c r="AJ429" i="1"/>
  <c r="AK429" i="1"/>
  <c r="AL429" i="1"/>
  <c r="AM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S430" i="1"/>
  <c r="T430" i="1"/>
  <c r="U430" i="1"/>
  <c r="V430" i="1"/>
  <c r="W430" i="1"/>
  <c r="X430" i="1"/>
  <c r="Y430" i="1"/>
  <c r="Z430" i="1"/>
  <c r="AA430" i="1"/>
  <c r="AB430" i="1"/>
  <c r="AC430" i="1"/>
  <c r="AD430" i="1"/>
  <c r="AE430" i="1"/>
  <c r="AF430" i="1"/>
  <c r="AG430" i="1"/>
  <c r="AH430" i="1"/>
  <c r="AI430" i="1"/>
  <c r="AJ430" i="1"/>
  <c r="AK430" i="1"/>
  <c r="AL430" i="1"/>
  <c r="AM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S431" i="1"/>
  <c r="T431" i="1"/>
  <c r="U431" i="1"/>
  <c r="V431" i="1"/>
  <c r="W431" i="1"/>
  <c r="X431" i="1"/>
  <c r="Y431" i="1"/>
  <c r="Z431" i="1"/>
  <c r="AA431" i="1"/>
  <c r="AB431" i="1"/>
  <c r="AC431" i="1"/>
  <c r="AD431" i="1"/>
  <c r="AE431" i="1"/>
  <c r="AF431" i="1"/>
  <c r="AG431" i="1"/>
  <c r="AH431" i="1"/>
  <c r="AI431" i="1"/>
  <c r="AJ431" i="1"/>
  <c r="AK431" i="1"/>
  <c r="AL431" i="1"/>
  <c r="AM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S432" i="1"/>
  <c r="T432" i="1"/>
  <c r="U432" i="1"/>
  <c r="V432" i="1"/>
  <c r="W432" i="1"/>
  <c r="X432" i="1"/>
  <c r="Y432" i="1"/>
  <c r="Z432" i="1"/>
  <c r="AA432" i="1"/>
  <c r="AB432" i="1"/>
  <c r="AC432" i="1"/>
  <c r="AD432" i="1"/>
  <c r="AE432" i="1"/>
  <c r="AF432" i="1"/>
  <c r="AG432" i="1"/>
  <c r="AH432" i="1"/>
  <c r="AI432" i="1"/>
  <c r="AJ432" i="1"/>
  <c r="AK432" i="1"/>
  <c r="AL432" i="1"/>
  <c r="AM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S433" i="1"/>
  <c r="T433" i="1"/>
  <c r="U433" i="1"/>
  <c r="V433" i="1"/>
  <c r="W433" i="1"/>
  <c r="X433" i="1"/>
  <c r="Y433" i="1"/>
  <c r="Z433" i="1"/>
  <c r="AA433" i="1"/>
  <c r="AB433" i="1"/>
  <c r="AC433" i="1"/>
  <c r="AD433" i="1"/>
  <c r="AE433" i="1"/>
  <c r="AF433" i="1"/>
  <c r="AG433" i="1"/>
  <c r="AH433" i="1"/>
  <c r="AI433" i="1"/>
  <c r="AJ433" i="1"/>
  <c r="AK433" i="1"/>
  <c r="AL433" i="1"/>
  <c r="AM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S434" i="1"/>
  <c r="T434" i="1"/>
  <c r="U434" i="1"/>
  <c r="V434" i="1"/>
  <c r="W434" i="1"/>
  <c r="X434" i="1"/>
  <c r="Y434" i="1"/>
  <c r="Z434" i="1"/>
  <c r="AA434" i="1"/>
  <c r="AB434" i="1"/>
  <c r="AC434" i="1"/>
  <c r="AD434" i="1"/>
  <c r="AE434" i="1"/>
  <c r="AF434" i="1"/>
  <c r="AG434" i="1"/>
  <c r="AH434" i="1"/>
  <c r="AI434" i="1"/>
  <c r="AJ434" i="1"/>
  <c r="AK434" i="1"/>
  <c r="AL434" i="1"/>
  <c r="AM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S435" i="1"/>
  <c r="T435" i="1"/>
  <c r="U435" i="1"/>
  <c r="V435" i="1"/>
  <c r="W435" i="1"/>
  <c r="X435" i="1"/>
  <c r="Y435" i="1"/>
  <c r="Z435" i="1"/>
  <c r="AA435" i="1"/>
  <c r="AB435" i="1"/>
  <c r="AC435" i="1"/>
  <c r="AD435" i="1"/>
  <c r="AE435" i="1"/>
  <c r="AF435" i="1"/>
  <c r="AG435" i="1"/>
  <c r="AH435" i="1"/>
  <c r="AI435" i="1"/>
  <c r="AJ435" i="1"/>
  <c r="AK435" i="1"/>
  <c r="AL435" i="1"/>
  <c r="AM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S436" i="1"/>
  <c r="T436" i="1"/>
  <c r="U436" i="1"/>
  <c r="V436" i="1"/>
  <c r="W436" i="1"/>
  <c r="X436" i="1"/>
  <c r="Y436" i="1"/>
  <c r="Z436" i="1"/>
  <c r="AA436" i="1"/>
  <c r="AB436" i="1"/>
  <c r="AC436" i="1"/>
  <c r="AD436" i="1"/>
  <c r="AE436" i="1"/>
  <c r="AF436" i="1"/>
  <c r="AG436" i="1"/>
  <c r="AH436" i="1"/>
  <c r="AI436" i="1"/>
  <c r="AJ436" i="1"/>
  <c r="AK436" i="1"/>
  <c r="AL436" i="1"/>
  <c r="AM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S437" i="1"/>
  <c r="T437" i="1"/>
  <c r="U437" i="1"/>
  <c r="V437" i="1"/>
  <c r="W437" i="1"/>
  <c r="X437" i="1"/>
  <c r="Y437" i="1"/>
  <c r="Z437" i="1"/>
  <c r="AA437" i="1"/>
  <c r="AB437" i="1"/>
  <c r="AC437" i="1"/>
  <c r="AD437" i="1"/>
  <c r="AE437" i="1"/>
  <c r="AF437" i="1"/>
  <c r="AG437" i="1"/>
  <c r="AH437" i="1"/>
  <c r="AI437" i="1"/>
  <c r="AJ437" i="1"/>
  <c r="AK437" i="1"/>
  <c r="AL437" i="1"/>
  <c r="AM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S438" i="1"/>
  <c r="T438" i="1"/>
  <c r="U438" i="1"/>
  <c r="V438" i="1"/>
  <c r="W438" i="1"/>
  <c r="X438" i="1"/>
  <c r="Y438" i="1"/>
  <c r="Z438" i="1"/>
  <c r="AA438" i="1"/>
  <c r="AB438" i="1"/>
  <c r="AC438" i="1"/>
  <c r="AD438" i="1"/>
  <c r="AE438" i="1"/>
  <c r="AF438" i="1"/>
  <c r="AG438" i="1"/>
  <c r="AH438" i="1"/>
  <c r="AI438" i="1"/>
  <c r="AJ438" i="1"/>
  <c r="AK438" i="1"/>
  <c r="AL438" i="1"/>
  <c r="AM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S439" i="1"/>
  <c r="T439" i="1"/>
  <c r="U439" i="1"/>
  <c r="V439" i="1"/>
  <c r="W439" i="1"/>
  <c r="X439" i="1"/>
  <c r="Y439" i="1"/>
  <c r="Z439" i="1"/>
  <c r="AA439" i="1"/>
  <c r="AB439" i="1"/>
  <c r="AC439" i="1"/>
  <c r="AD439" i="1"/>
  <c r="AE439" i="1"/>
  <c r="AF439" i="1"/>
  <c r="AG439" i="1"/>
  <c r="AH439" i="1"/>
  <c r="AI439" i="1"/>
  <c r="AJ439" i="1"/>
  <c r="AK439" i="1"/>
  <c r="AL439" i="1"/>
  <c r="AM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S440" i="1"/>
  <c r="T440" i="1"/>
  <c r="U440" i="1"/>
  <c r="V440" i="1"/>
  <c r="W440" i="1"/>
  <c r="X440" i="1"/>
  <c r="Y440" i="1"/>
  <c r="Z440" i="1"/>
  <c r="AA440" i="1"/>
  <c r="AB440" i="1"/>
  <c r="AC440" i="1"/>
  <c r="AD440" i="1"/>
  <c r="AE440" i="1"/>
  <c r="AF440" i="1"/>
  <c r="AG440" i="1"/>
  <c r="AH440" i="1"/>
  <c r="AI440" i="1"/>
  <c r="AJ440" i="1"/>
  <c r="AK440" i="1"/>
  <c r="AL440" i="1"/>
  <c r="AM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S441" i="1"/>
  <c r="T441" i="1"/>
  <c r="U441" i="1"/>
  <c r="V441" i="1"/>
  <c r="W441" i="1"/>
  <c r="X441" i="1"/>
  <c r="Y441" i="1"/>
  <c r="Z441" i="1"/>
  <c r="AA441" i="1"/>
  <c r="AB441" i="1"/>
  <c r="AC441" i="1"/>
  <c r="AD441" i="1"/>
  <c r="AE441" i="1"/>
  <c r="AF441" i="1"/>
  <c r="AG441" i="1"/>
  <c r="AH441" i="1"/>
  <c r="AI441" i="1"/>
  <c r="AJ441" i="1"/>
  <c r="AK441" i="1"/>
  <c r="AL441" i="1"/>
  <c r="AM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S442" i="1"/>
  <c r="T442" i="1"/>
  <c r="U442" i="1"/>
  <c r="V442" i="1"/>
  <c r="W442" i="1"/>
  <c r="X442" i="1"/>
  <c r="Y442" i="1"/>
  <c r="Z442" i="1"/>
  <c r="AA442" i="1"/>
  <c r="AB442" i="1"/>
  <c r="AC442" i="1"/>
  <c r="AD442" i="1"/>
  <c r="AE442" i="1"/>
  <c r="AF442" i="1"/>
  <c r="AG442" i="1"/>
  <c r="AH442" i="1"/>
  <c r="AI442" i="1"/>
  <c r="AJ442" i="1"/>
  <c r="AK442" i="1"/>
  <c r="AL442" i="1"/>
  <c r="AM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S443" i="1"/>
  <c r="T443" i="1"/>
  <c r="U443" i="1"/>
  <c r="V443" i="1"/>
  <c r="W443" i="1"/>
  <c r="X443" i="1"/>
  <c r="Y443" i="1"/>
  <c r="Z443" i="1"/>
  <c r="AA443" i="1"/>
  <c r="AB443" i="1"/>
  <c r="AC443" i="1"/>
  <c r="AD443" i="1"/>
  <c r="AE443" i="1"/>
  <c r="AF443" i="1"/>
  <c r="AG443" i="1"/>
  <c r="AH443" i="1"/>
  <c r="AI443" i="1"/>
  <c r="AJ443" i="1"/>
  <c r="AK443" i="1"/>
  <c r="AL443" i="1"/>
  <c r="AM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S444" i="1"/>
  <c r="T444" i="1"/>
  <c r="U444" i="1"/>
  <c r="V444" i="1"/>
  <c r="W444" i="1"/>
  <c r="X444" i="1"/>
  <c r="Y444" i="1"/>
  <c r="Z444" i="1"/>
  <c r="AA444" i="1"/>
  <c r="AB444" i="1"/>
  <c r="AC444" i="1"/>
  <c r="AD444" i="1"/>
  <c r="AE444" i="1"/>
  <c r="AF444" i="1"/>
  <c r="AG444" i="1"/>
  <c r="AH444" i="1"/>
  <c r="AI444" i="1"/>
  <c r="AJ444" i="1"/>
  <c r="AK444" i="1"/>
  <c r="AL444" i="1"/>
  <c r="AM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S445" i="1"/>
  <c r="T445" i="1"/>
  <c r="U445" i="1"/>
  <c r="V445" i="1"/>
  <c r="W445" i="1"/>
  <c r="X445" i="1"/>
  <c r="Y445" i="1"/>
  <c r="Z445" i="1"/>
  <c r="AA445" i="1"/>
  <c r="AB445" i="1"/>
  <c r="AC445" i="1"/>
  <c r="AD445" i="1"/>
  <c r="AE445" i="1"/>
  <c r="AF445" i="1"/>
  <c r="AG445" i="1"/>
  <c r="AH445" i="1"/>
  <c r="AI445" i="1"/>
  <c r="AJ445" i="1"/>
  <c r="AK445" i="1"/>
  <c r="AL445" i="1"/>
  <c r="AM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S446" i="1"/>
  <c r="T446" i="1"/>
  <c r="U446" i="1"/>
  <c r="V446" i="1"/>
  <c r="W446" i="1"/>
  <c r="X446" i="1"/>
  <c r="Y446" i="1"/>
  <c r="Z446" i="1"/>
  <c r="AA446" i="1"/>
  <c r="AB446" i="1"/>
  <c r="AC446" i="1"/>
  <c r="AD446" i="1"/>
  <c r="AE446" i="1"/>
  <c r="AF446" i="1"/>
  <c r="AG446" i="1"/>
  <c r="AH446" i="1"/>
  <c r="AI446" i="1"/>
  <c r="AJ446" i="1"/>
  <c r="AK446" i="1"/>
  <c r="AL446" i="1"/>
  <c r="AM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S447" i="1"/>
  <c r="T447" i="1"/>
  <c r="U447" i="1"/>
  <c r="V447" i="1"/>
  <c r="W447" i="1"/>
  <c r="X447" i="1"/>
  <c r="Y447" i="1"/>
  <c r="Z447" i="1"/>
  <c r="AA447" i="1"/>
  <c r="AB447" i="1"/>
  <c r="AC447" i="1"/>
  <c r="AD447" i="1"/>
  <c r="AE447" i="1"/>
  <c r="AF447" i="1"/>
  <c r="AG447" i="1"/>
  <c r="AH447" i="1"/>
  <c r="AI447" i="1"/>
  <c r="AJ447" i="1"/>
  <c r="AK447" i="1"/>
  <c r="AL447" i="1"/>
  <c r="AM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S448" i="1"/>
  <c r="T448" i="1"/>
  <c r="U448" i="1"/>
  <c r="V448" i="1"/>
  <c r="W448" i="1"/>
  <c r="X448" i="1"/>
  <c r="Y448" i="1"/>
  <c r="Z448" i="1"/>
  <c r="AA448" i="1"/>
  <c r="AB448" i="1"/>
  <c r="AC448" i="1"/>
  <c r="AD448" i="1"/>
  <c r="AE448" i="1"/>
  <c r="AF448" i="1"/>
  <c r="AG448" i="1"/>
  <c r="AH448" i="1"/>
  <c r="AI448" i="1"/>
  <c r="AJ448" i="1"/>
  <c r="AK448" i="1"/>
  <c r="AL448" i="1"/>
  <c r="AM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S449" i="1"/>
  <c r="T449" i="1"/>
  <c r="U449" i="1"/>
  <c r="V449" i="1"/>
  <c r="W449" i="1"/>
  <c r="X449" i="1"/>
  <c r="Y449" i="1"/>
  <c r="Z449" i="1"/>
  <c r="AA449" i="1"/>
  <c r="AB449" i="1"/>
  <c r="AC449" i="1"/>
  <c r="AD449" i="1"/>
  <c r="AE449" i="1"/>
  <c r="AF449" i="1"/>
  <c r="AG449" i="1"/>
  <c r="AH449" i="1"/>
  <c r="AI449" i="1"/>
  <c r="AJ449" i="1"/>
  <c r="AK449" i="1"/>
  <c r="AL449" i="1"/>
  <c r="AM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S450" i="1"/>
  <c r="T450" i="1"/>
  <c r="U450" i="1"/>
  <c r="V450" i="1"/>
  <c r="W450" i="1"/>
  <c r="X450" i="1"/>
  <c r="Y450" i="1"/>
  <c r="Z450" i="1"/>
  <c r="AA450" i="1"/>
  <c r="AB450" i="1"/>
  <c r="AC450" i="1"/>
  <c r="AD450" i="1"/>
  <c r="AE450" i="1"/>
  <c r="AF450" i="1"/>
  <c r="AG450" i="1"/>
  <c r="AH450" i="1"/>
  <c r="AI450" i="1"/>
  <c r="AJ450" i="1"/>
  <c r="AK450" i="1"/>
  <c r="AL450" i="1"/>
  <c r="AM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Q451" i="1"/>
  <c r="R451" i="1"/>
  <c r="S451" i="1"/>
  <c r="T451" i="1"/>
  <c r="U451" i="1"/>
  <c r="V451" i="1"/>
  <c r="W451" i="1"/>
  <c r="X451" i="1"/>
  <c r="Y451" i="1"/>
  <c r="Z451" i="1"/>
  <c r="AA451" i="1"/>
  <c r="AB451" i="1"/>
  <c r="AC451" i="1"/>
  <c r="AD451" i="1"/>
  <c r="AE451" i="1"/>
  <c r="AF451" i="1"/>
  <c r="AG451" i="1"/>
  <c r="AH451" i="1"/>
  <c r="AI451" i="1"/>
  <c r="AJ451" i="1"/>
  <c r="AK451" i="1"/>
  <c r="AL451" i="1"/>
  <c r="AM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Q452" i="1"/>
  <c r="R452" i="1"/>
  <c r="S452" i="1"/>
  <c r="T452" i="1"/>
  <c r="U452" i="1"/>
  <c r="V452" i="1"/>
  <c r="W452" i="1"/>
  <c r="X452" i="1"/>
  <c r="Y452" i="1"/>
  <c r="Z452" i="1"/>
  <c r="AA452" i="1"/>
  <c r="AB452" i="1"/>
  <c r="AC452" i="1"/>
  <c r="AD452" i="1"/>
  <c r="AE452" i="1"/>
  <c r="AF452" i="1"/>
  <c r="AG452" i="1"/>
  <c r="AH452" i="1"/>
  <c r="AI452" i="1"/>
  <c r="AJ452" i="1"/>
  <c r="AK452" i="1"/>
  <c r="AL452" i="1"/>
  <c r="AM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Q453" i="1"/>
  <c r="R453" i="1"/>
  <c r="S453" i="1"/>
  <c r="T453" i="1"/>
  <c r="U453" i="1"/>
  <c r="V453" i="1"/>
  <c r="W453" i="1"/>
  <c r="X453" i="1"/>
  <c r="Y453" i="1"/>
  <c r="Z453" i="1"/>
  <c r="AA453" i="1"/>
  <c r="AB453" i="1"/>
  <c r="AC453" i="1"/>
  <c r="AD453" i="1"/>
  <c r="AE453" i="1"/>
  <c r="AF453" i="1"/>
  <c r="AG453" i="1"/>
  <c r="AH453" i="1"/>
  <c r="AI453" i="1"/>
  <c r="AJ453" i="1"/>
  <c r="AK453" i="1"/>
  <c r="AL453" i="1"/>
  <c r="AM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Q454" i="1"/>
  <c r="R454" i="1"/>
  <c r="S454" i="1"/>
  <c r="T454" i="1"/>
  <c r="U454" i="1"/>
  <c r="V454" i="1"/>
  <c r="W454" i="1"/>
  <c r="X454" i="1"/>
  <c r="Y454" i="1"/>
  <c r="Z454" i="1"/>
  <c r="AA454" i="1"/>
  <c r="AB454" i="1"/>
  <c r="AC454" i="1"/>
  <c r="AD454" i="1"/>
  <c r="AE454" i="1"/>
  <c r="AF454" i="1"/>
  <c r="AG454" i="1"/>
  <c r="AH454" i="1"/>
  <c r="AI454" i="1"/>
  <c r="AJ454" i="1"/>
  <c r="AK454" i="1"/>
  <c r="AL454" i="1"/>
  <c r="AM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Q455" i="1"/>
  <c r="R455" i="1"/>
  <c r="S455" i="1"/>
  <c r="T455" i="1"/>
  <c r="U455" i="1"/>
  <c r="V455" i="1"/>
  <c r="W455" i="1"/>
  <c r="X455" i="1"/>
  <c r="Y455" i="1"/>
  <c r="Z455" i="1"/>
  <c r="AA455" i="1"/>
  <c r="AB455" i="1"/>
  <c r="AC455" i="1"/>
  <c r="AD455" i="1"/>
  <c r="AE455" i="1"/>
  <c r="AF455" i="1"/>
  <c r="AG455" i="1"/>
  <c r="AH455" i="1"/>
  <c r="AI455" i="1"/>
  <c r="AJ455" i="1"/>
  <c r="AK455" i="1"/>
  <c r="AL455" i="1"/>
  <c r="AM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Q456" i="1"/>
  <c r="R456" i="1"/>
  <c r="S456" i="1"/>
  <c r="T456" i="1"/>
  <c r="U456" i="1"/>
  <c r="V456" i="1"/>
  <c r="W456" i="1"/>
  <c r="X456" i="1"/>
  <c r="Y456" i="1"/>
  <c r="Z456" i="1"/>
  <c r="AA456" i="1"/>
  <c r="AB456" i="1"/>
  <c r="AC456" i="1"/>
  <c r="AD456" i="1"/>
  <c r="AE456" i="1"/>
  <c r="AF456" i="1"/>
  <c r="AG456" i="1"/>
  <c r="AH456" i="1"/>
  <c r="AI456" i="1"/>
  <c r="AJ456" i="1"/>
  <c r="AK456" i="1"/>
  <c r="AL456" i="1"/>
  <c r="AM456" i="1"/>
  <c r="A457" i="1"/>
  <c r="B457" i="1"/>
  <c r="C457" i="1"/>
  <c r="D457" i="1"/>
  <c r="E457" i="1"/>
  <c r="F457" i="1"/>
  <c r="G457" i="1"/>
  <c r="H457" i="1"/>
  <c r="I457" i="1"/>
  <c r="J457" i="1"/>
  <c r="K457" i="1"/>
  <c r="L457" i="1"/>
  <c r="M457" i="1"/>
  <c r="N457" i="1"/>
  <c r="O457" i="1"/>
  <c r="P457" i="1"/>
  <c r="Q457" i="1"/>
  <c r="R457" i="1"/>
  <c r="S457" i="1"/>
  <c r="T457" i="1"/>
  <c r="U457" i="1"/>
  <c r="V457" i="1"/>
  <c r="W457" i="1"/>
  <c r="X457" i="1"/>
  <c r="Y457" i="1"/>
  <c r="Z457" i="1"/>
  <c r="AA457" i="1"/>
  <c r="AB457" i="1"/>
  <c r="AC457" i="1"/>
  <c r="AD457" i="1"/>
  <c r="AE457" i="1"/>
  <c r="AF457" i="1"/>
  <c r="AG457" i="1"/>
  <c r="AH457" i="1"/>
  <c r="AI457" i="1"/>
  <c r="AJ457" i="1"/>
  <c r="AK457" i="1"/>
  <c r="AL457" i="1"/>
  <c r="AM457" i="1"/>
  <c r="A458" i="1"/>
  <c r="B458" i="1"/>
  <c r="C458" i="1"/>
  <c r="D458" i="1"/>
  <c r="E458" i="1"/>
  <c r="F458" i="1"/>
  <c r="G458" i="1"/>
  <c r="H458" i="1"/>
  <c r="I458" i="1"/>
  <c r="J458" i="1"/>
  <c r="K458" i="1"/>
  <c r="L458" i="1"/>
  <c r="M458" i="1"/>
  <c r="N458" i="1"/>
  <c r="O458" i="1"/>
  <c r="P458" i="1"/>
  <c r="Q458" i="1"/>
  <c r="R458" i="1"/>
  <c r="S458" i="1"/>
  <c r="T458" i="1"/>
  <c r="U458" i="1"/>
  <c r="V458" i="1"/>
  <c r="W458" i="1"/>
  <c r="X458" i="1"/>
  <c r="Y458" i="1"/>
  <c r="Z458" i="1"/>
  <c r="AA458" i="1"/>
  <c r="AB458" i="1"/>
  <c r="AC458" i="1"/>
  <c r="AD458" i="1"/>
  <c r="AE458" i="1"/>
  <c r="AF458" i="1"/>
  <c r="AG458" i="1"/>
  <c r="AH458" i="1"/>
  <c r="AI458" i="1"/>
  <c r="AJ458" i="1"/>
  <c r="AK458" i="1"/>
  <c r="AL458" i="1"/>
  <c r="AM458" i="1"/>
  <c r="A459" i="1"/>
  <c r="B459" i="1"/>
  <c r="C459" i="1"/>
  <c r="D459" i="1"/>
  <c r="E459" i="1"/>
  <c r="F459" i="1"/>
  <c r="G459" i="1"/>
  <c r="H459" i="1"/>
  <c r="I459" i="1"/>
  <c r="J459" i="1"/>
  <c r="K459" i="1"/>
  <c r="L459" i="1"/>
  <c r="M459" i="1"/>
  <c r="N459" i="1"/>
  <c r="O459" i="1"/>
  <c r="P459" i="1"/>
  <c r="Q459" i="1"/>
  <c r="R459" i="1"/>
  <c r="S459" i="1"/>
  <c r="T459" i="1"/>
  <c r="U459" i="1"/>
  <c r="V459" i="1"/>
  <c r="W459" i="1"/>
  <c r="X459" i="1"/>
  <c r="Y459" i="1"/>
  <c r="Z459" i="1"/>
  <c r="AA459" i="1"/>
  <c r="AB459" i="1"/>
  <c r="AC459" i="1"/>
  <c r="AD459" i="1"/>
  <c r="AE459" i="1"/>
  <c r="AF459" i="1"/>
  <c r="AG459" i="1"/>
  <c r="AH459" i="1"/>
  <c r="AI459" i="1"/>
  <c r="AJ459" i="1"/>
  <c r="AK459" i="1"/>
  <c r="AL459" i="1"/>
  <c r="AM459" i="1"/>
  <c r="A460" i="1"/>
  <c r="B460" i="1"/>
  <c r="C460" i="1"/>
  <c r="D460" i="1"/>
  <c r="E460" i="1"/>
  <c r="F460" i="1"/>
  <c r="G460" i="1"/>
  <c r="H460" i="1"/>
  <c r="I460" i="1"/>
  <c r="J460" i="1"/>
  <c r="K460" i="1"/>
  <c r="L460" i="1"/>
  <c r="M460" i="1"/>
  <c r="N460" i="1"/>
  <c r="O460" i="1"/>
  <c r="P460" i="1"/>
  <c r="Q460" i="1"/>
  <c r="R460" i="1"/>
  <c r="S460" i="1"/>
  <c r="T460" i="1"/>
  <c r="U460" i="1"/>
  <c r="V460" i="1"/>
  <c r="W460" i="1"/>
  <c r="X460" i="1"/>
  <c r="Y460" i="1"/>
  <c r="Z460" i="1"/>
  <c r="AA460" i="1"/>
  <c r="AB460" i="1"/>
  <c r="AC460" i="1"/>
  <c r="AD460" i="1"/>
  <c r="AE460" i="1"/>
  <c r="AF460" i="1"/>
  <c r="AG460" i="1"/>
  <c r="AH460" i="1"/>
  <c r="AI460" i="1"/>
  <c r="AJ460" i="1"/>
  <c r="AK460" i="1"/>
  <c r="AL460" i="1"/>
  <c r="AM460" i="1"/>
  <c r="A461" i="1"/>
  <c r="B461" i="1"/>
  <c r="C461" i="1"/>
  <c r="D461" i="1"/>
  <c r="E461" i="1"/>
  <c r="F461" i="1"/>
  <c r="G461" i="1"/>
  <c r="H461" i="1"/>
  <c r="I461" i="1"/>
  <c r="J461" i="1"/>
  <c r="K461" i="1"/>
  <c r="L461" i="1"/>
  <c r="M461" i="1"/>
  <c r="N461" i="1"/>
  <c r="O461" i="1"/>
  <c r="P461" i="1"/>
  <c r="Q461" i="1"/>
  <c r="R461" i="1"/>
  <c r="S461" i="1"/>
  <c r="T461" i="1"/>
  <c r="U461" i="1"/>
  <c r="V461" i="1"/>
  <c r="W461" i="1"/>
  <c r="X461" i="1"/>
  <c r="Y461" i="1"/>
  <c r="Z461" i="1"/>
  <c r="AA461" i="1"/>
  <c r="AB461" i="1"/>
  <c r="AC461" i="1"/>
  <c r="AD461" i="1"/>
  <c r="AE461" i="1"/>
  <c r="AF461" i="1"/>
  <c r="AG461" i="1"/>
  <c r="AH461" i="1"/>
  <c r="AI461" i="1"/>
  <c r="AJ461" i="1"/>
  <c r="AK461" i="1"/>
  <c r="AL461" i="1"/>
  <c r="AM461" i="1"/>
  <c r="A462" i="1"/>
  <c r="B462" i="1"/>
  <c r="C462" i="1"/>
  <c r="D462" i="1"/>
  <c r="E462" i="1"/>
  <c r="F462" i="1"/>
  <c r="G462" i="1"/>
  <c r="H462" i="1"/>
  <c r="I462" i="1"/>
  <c r="J462" i="1"/>
  <c r="K462" i="1"/>
  <c r="L462" i="1"/>
  <c r="M462" i="1"/>
  <c r="N462" i="1"/>
  <c r="O462" i="1"/>
  <c r="P462" i="1"/>
  <c r="Q462" i="1"/>
  <c r="R462" i="1"/>
  <c r="S462" i="1"/>
  <c r="T462" i="1"/>
  <c r="U462" i="1"/>
  <c r="V462" i="1"/>
  <c r="W462" i="1"/>
  <c r="X462" i="1"/>
  <c r="Y462" i="1"/>
  <c r="Z462" i="1"/>
  <c r="AA462" i="1"/>
  <c r="AB462" i="1"/>
  <c r="AC462" i="1"/>
  <c r="AD462" i="1"/>
  <c r="AE462" i="1"/>
  <c r="AF462" i="1"/>
  <c r="AG462" i="1"/>
  <c r="AH462" i="1"/>
  <c r="AI462" i="1"/>
  <c r="AJ462" i="1"/>
  <c r="AK462" i="1"/>
  <c r="AL462" i="1"/>
  <c r="AM462" i="1"/>
  <c r="A463" i="1"/>
  <c r="B463" i="1"/>
  <c r="C463" i="1"/>
  <c r="D463" i="1"/>
  <c r="E463" i="1"/>
  <c r="F463" i="1"/>
  <c r="G463" i="1"/>
  <c r="H463" i="1"/>
  <c r="I463" i="1"/>
  <c r="J463" i="1"/>
  <c r="K463" i="1"/>
  <c r="L463" i="1"/>
  <c r="M463" i="1"/>
  <c r="N463" i="1"/>
  <c r="O463" i="1"/>
  <c r="P463" i="1"/>
  <c r="Q463" i="1"/>
  <c r="R463" i="1"/>
  <c r="S463" i="1"/>
  <c r="T463" i="1"/>
  <c r="U463" i="1"/>
  <c r="V463" i="1"/>
  <c r="W463" i="1"/>
  <c r="X463" i="1"/>
  <c r="Y463" i="1"/>
  <c r="Z463" i="1"/>
  <c r="AA463" i="1"/>
  <c r="AB463" i="1"/>
  <c r="AC463" i="1"/>
  <c r="AD463" i="1"/>
  <c r="AE463" i="1"/>
  <c r="AF463" i="1"/>
  <c r="AG463" i="1"/>
  <c r="AH463" i="1"/>
  <c r="AI463" i="1"/>
  <c r="AJ463" i="1"/>
  <c r="AK463" i="1"/>
  <c r="AL463" i="1"/>
  <c r="AM463" i="1"/>
  <c r="A464" i="1"/>
  <c r="B464" i="1"/>
  <c r="C464" i="1"/>
  <c r="D464" i="1"/>
  <c r="E464" i="1"/>
  <c r="F464" i="1"/>
  <c r="G464" i="1"/>
  <c r="H464" i="1"/>
  <c r="I464" i="1"/>
  <c r="J464" i="1"/>
  <c r="K464" i="1"/>
  <c r="L464" i="1"/>
  <c r="M464" i="1"/>
  <c r="N464" i="1"/>
  <c r="O464" i="1"/>
  <c r="P464" i="1"/>
  <c r="Q464" i="1"/>
  <c r="R464" i="1"/>
  <c r="S464" i="1"/>
  <c r="T464" i="1"/>
  <c r="U464" i="1"/>
  <c r="V464" i="1"/>
  <c r="W464" i="1"/>
  <c r="X464" i="1"/>
  <c r="Y464" i="1"/>
  <c r="Z464" i="1"/>
  <c r="AA464" i="1"/>
  <c r="AB464" i="1"/>
  <c r="AC464" i="1"/>
  <c r="AD464" i="1"/>
  <c r="AE464" i="1"/>
  <c r="AF464" i="1"/>
  <c r="AG464" i="1"/>
  <c r="AH464" i="1"/>
  <c r="AI464" i="1"/>
  <c r="AJ464" i="1"/>
  <c r="AK464" i="1"/>
  <c r="AL464" i="1"/>
  <c r="AM464" i="1"/>
  <c r="A465" i="1"/>
  <c r="B465" i="1"/>
  <c r="C465" i="1"/>
  <c r="D465" i="1"/>
  <c r="E465" i="1"/>
  <c r="F465" i="1"/>
  <c r="G465" i="1"/>
  <c r="H465" i="1"/>
  <c r="I465" i="1"/>
  <c r="J465" i="1"/>
  <c r="K465" i="1"/>
  <c r="L465" i="1"/>
  <c r="M465" i="1"/>
  <c r="N465" i="1"/>
  <c r="O465" i="1"/>
  <c r="P465" i="1"/>
  <c r="Q465" i="1"/>
  <c r="R465" i="1"/>
  <c r="S465" i="1"/>
  <c r="T465" i="1"/>
  <c r="U465" i="1"/>
  <c r="V465" i="1"/>
  <c r="W465" i="1"/>
  <c r="X465" i="1"/>
  <c r="Y465" i="1"/>
  <c r="Z465" i="1"/>
  <c r="AA465" i="1"/>
  <c r="AB465" i="1"/>
  <c r="AC465" i="1"/>
  <c r="AD465" i="1"/>
  <c r="AE465" i="1"/>
  <c r="AF465" i="1"/>
  <c r="AG465" i="1"/>
  <c r="AH465" i="1"/>
  <c r="AI465" i="1"/>
  <c r="AJ465" i="1"/>
  <c r="AK465" i="1"/>
  <c r="AL465" i="1"/>
  <c r="AM465" i="1"/>
  <c r="A466" i="1"/>
  <c r="B466" i="1"/>
  <c r="C466" i="1"/>
  <c r="D466" i="1"/>
  <c r="E466" i="1"/>
  <c r="F466" i="1"/>
  <c r="G466" i="1"/>
  <c r="H466" i="1"/>
  <c r="I466" i="1"/>
  <c r="J466" i="1"/>
  <c r="K466" i="1"/>
  <c r="L466" i="1"/>
  <c r="M466" i="1"/>
  <c r="N466" i="1"/>
  <c r="O466" i="1"/>
  <c r="P466" i="1"/>
  <c r="Q466" i="1"/>
  <c r="R466" i="1"/>
  <c r="S466" i="1"/>
  <c r="T466" i="1"/>
  <c r="U466" i="1"/>
  <c r="V466" i="1"/>
  <c r="W466" i="1"/>
  <c r="X466" i="1"/>
  <c r="Y466" i="1"/>
  <c r="Z466" i="1"/>
  <c r="AA466" i="1"/>
  <c r="AB466" i="1"/>
  <c r="AC466" i="1"/>
  <c r="AD466" i="1"/>
  <c r="AE466" i="1"/>
  <c r="AF466" i="1"/>
  <c r="AG466" i="1"/>
  <c r="AH466" i="1"/>
  <c r="AI466" i="1"/>
  <c r="AJ466" i="1"/>
  <c r="AK466" i="1"/>
  <c r="AL466" i="1"/>
  <c r="AM466" i="1"/>
  <c r="A467" i="1"/>
  <c r="B467" i="1"/>
  <c r="C467" i="1"/>
  <c r="D467" i="1"/>
  <c r="E467" i="1"/>
  <c r="F467" i="1"/>
  <c r="G467" i="1"/>
  <c r="H467" i="1"/>
  <c r="I467" i="1"/>
  <c r="J467" i="1"/>
  <c r="K467" i="1"/>
  <c r="L467" i="1"/>
  <c r="M467" i="1"/>
  <c r="N467" i="1"/>
  <c r="O467" i="1"/>
  <c r="P467" i="1"/>
  <c r="Q467" i="1"/>
  <c r="R467" i="1"/>
  <c r="S467" i="1"/>
  <c r="T467" i="1"/>
  <c r="U467" i="1"/>
  <c r="V467" i="1"/>
  <c r="W467" i="1"/>
  <c r="X467" i="1"/>
  <c r="Y467" i="1"/>
  <c r="Z467" i="1"/>
  <c r="AA467" i="1"/>
  <c r="AB467" i="1"/>
  <c r="AC467" i="1"/>
  <c r="AD467" i="1"/>
  <c r="AE467" i="1"/>
  <c r="AF467" i="1"/>
  <c r="AG467" i="1"/>
  <c r="AH467" i="1"/>
  <c r="AI467" i="1"/>
  <c r="AJ467" i="1"/>
  <c r="AK467" i="1"/>
  <c r="AL467" i="1"/>
  <c r="AM467" i="1"/>
  <c r="A468" i="1"/>
  <c r="B468" i="1"/>
  <c r="C468" i="1"/>
  <c r="D468" i="1"/>
  <c r="E468" i="1"/>
  <c r="F468" i="1"/>
  <c r="G468" i="1"/>
  <c r="H468" i="1"/>
  <c r="I468" i="1"/>
  <c r="J468" i="1"/>
  <c r="K468" i="1"/>
  <c r="L468" i="1"/>
  <c r="M468" i="1"/>
  <c r="N468" i="1"/>
  <c r="O468" i="1"/>
  <c r="P468" i="1"/>
  <c r="Q468" i="1"/>
  <c r="R468" i="1"/>
  <c r="S468" i="1"/>
  <c r="T468" i="1"/>
  <c r="U468" i="1"/>
  <c r="V468" i="1"/>
  <c r="W468" i="1"/>
  <c r="X468" i="1"/>
  <c r="Y468" i="1"/>
  <c r="Z468" i="1"/>
  <c r="AA468" i="1"/>
  <c r="AB468" i="1"/>
  <c r="AC468" i="1"/>
  <c r="AD468" i="1"/>
  <c r="AE468" i="1"/>
  <c r="AF468" i="1"/>
  <c r="AG468" i="1"/>
  <c r="AH468" i="1"/>
  <c r="AI468" i="1"/>
  <c r="AJ468" i="1"/>
  <c r="AK468" i="1"/>
  <c r="AL468" i="1"/>
  <c r="AM468" i="1"/>
  <c r="A469" i="1"/>
  <c r="B469" i="1"/>
  <c r="C469" i="1"/>
  <c r="D469" i="1"/>
  <c r="E469" i="1"/>
  <c r="F469" i="1"/>
  <c r="G469" i="1"/>
  <c r="H469" i="1"/>
  <c r="I469" i="1"/>
  <c r="J469" i="1"/>
  <c r="K469" i="1"/>
  <c r="L469" i="1"/>
  <c r="M469" i="1"/>
  <c r="N469" i="1"/>
  <c r="O469" i="1"/>
  <c r="P469" i="1"/>
  <c r="Q469" i="1"/>
  <c r="R469" i="1"/>
  <c r="S469" i="1"/>
  <c r="T469" i="1"/>
  <c r="U469" i="1"/>
  <c r="V469" i="1"/>
  <c r="W469" i="1"/>
  <c r="X469" i="1"/>
  <c r="Y469" i="1"/>
  <c r="Z469" i="1"/>
  <c r="AA469" i="1"/>
  <c r="AB469" i="1"/>
  <c r="AC469" i="1"/>
  <c r="AD469" i="1"/>
  <c r="AE469" i="1"/>
  <c r="AF469" i="1"/>
  <c r="AG469" i="1"/>
  <c r="AH469" i="1"/>
  <c r="AI469" i="1"/>
  <c r="AJ469" i="1"/>
  <c r="AK469" i="1"/>
  <c r="AL469" i="1"/>
  <c r="AM469" i="1"/>
  <c r="A470" i="1"/>
  <c r="B470" i="1"/>
  <c r="C470" i="1"/>
  <c r="D470" i="1"/>
  <c r="E470" i="1"/>
  <c r="F470" i="1"/>
  <c r="G470" i="1"/>
  <c r="H470" i="1"/>
  <c r="I470" i="1"/>
  <c r="J470" i="1"/>
  <c r="K470" i="1"/>
  <c r="L470" i="1"/>
  <c r="M470" i="1"/>
  <c r="N470" i="1"/>
  <c r="O470" i="1"/>
  <c r="P470" i="1"/>
  <c r="Q470" i="1"/>
  <c r="R470" i="1"/>
  <c r="S470" i="1"/>
  <c r="T470" i="1"/>
  <c r="U470" i="1"/>
  <c r="V470" i="1"/>
  <c r="W470" i="1"/>
  <c r="X470" i="1"/>
  <c r="Y470" i="1"/>
  <c r="Z470" i="1"/>
  <c r="AA470" i="1"/>
  <c r="AB470" i="1"/>
  <c r="AC470" i="1"/>
  <c r="AD470" i="1"/>
  <c r="AE470" i="1"/>
  <c r="AF470" i="1"/>
  <c r="AG470" i="1"/>
  <c r="AH470" i="1"/>
  <c r="AI470" i="1"/>
  <c r="AJ470" i="1"/>
  <c r="AK470" i="1"/>
  <c r="AL470" i="1"/>
  <c r="AM470" i="1"/>
  <c r="A471" i="1"/>
  <c r="B471" i="1"/>
  <c r="C471" i="1"/>
  <c r="D471" i="1"/>
  <c r="E471" i="1"/>
  <c r="F471" i="1"/>
  <c r="G471" i="1"/>
  <c r="H471" i="1"/>
  <c r="I471" i="1"/>
  <c r="J471" i="1"/>
  <c r="K471" i="1"/>
  <c r="L471" i="1"/>
  <c r="M471" i="1"/>
  <c r="N471" i="1"/>
  <c r="O471" i="1"/>
  <c r="P471" i="1"/>
  <c r="Q471" i="1"/>
  <c r="R471" i="1"/>
  <c r="S471" i="1"/>
  <c r="T471" i="1"/>
  <c r="U471" i="1"/>
  <c r="V471" i="1"/>
  <c r="W471" i="1"/>
  <c r="X471" i="1"/>
  <c r="Y471" i="1"/>
  <c r="Z471" i="1"/>
  <c r="AA471" i="1"/>
  <c r="AB471" i="1"/>
  <c r="AC471" i="1"/>
  <c r="AD471" i="1"/>
  <c r="AE471" i="1"/>
  <c r="AF471" i="1"/>
  <c r="AG471" i="1"/>
  <c r="AH471" i="1"/>
  <c r="AI471" i="1"/>
  <c r="AJ471" i="1"/>
  <c r="AK471" i="1"/>
  <c r="AL471" i="1"/>
  <c r="AM471" i="1"/>
  <c r="A472" i="1"/>
  <c r="B472" i="1"/>
  <c r="C472" i="1"/>
  <c r="D472" i="1"/>
  <c r="E472" i="1"/>
  <c r="F472" i="1"/>
  <c r="G472" i="1"/>
  <c r="H472" i="1"/>
  <c r="I472" i="1"/>
  <c r="J472" i="1"/>
  <c r="K472" i="1"/>
  <c r="L472" i="1"/>
  <c r="M472" i="1"/>
  <c r="N472" i="1"/>
  <c r="O472" i="1"/>
  <c r="P472" i="1"/>
  <c r="Q472" i="1"/>
  <c r="R472" i="1"/>
  <c r="S472" i="1"/>
  <c r="T472" i="1"/>
  <c r="U472" i="1"/>
  <c r="V472" i="1"/>
  <c r="W472" i="1"/>
  <c r="X472" i="1"/>
  <c r="Y472" i="1"/>
  <c r="Z472" i="1"/>
  <c r="AA472" i="1"/>
  <c r="AB472" i="1"/>
  <c r="AC472" i="1"/>
  <c r="AD472" i="1"/>
  <c r="AE472" i="1"/>
  <c r="AF472" i="1"/>
  <c r="AG472" i="1"/>
  <c r="AH472" i="1"/>
  <c r="AI472" i="1"/>
  <c r="AJ472" i="1"/>
  <c r="AK472" i="1"/>
  <c r="AL472" i="1"/>
  <c r="AM472" i="1"/>
  <c r="A473" i="1"/>
  <c r="B473" i="1"/>
  <c r="C473" i="1"/>
  <c r="D473" i="1"/>
  <c r="E473" i="1"/>
  <c r="F473" i="1"/>
  <c r="G473" i="1"/>
  <c r="H473" i="1"/>
  <c r="I473" i="1"/>
  <c r="J473" i="1"/>
  <c r="K473" i="1"/>
  <c r="L473" i="1"/>
  <c r="M473" i="1"/>
  <c r="N473" i="1"/>
  <c r="O473" i="1"/>
  <c r="P473" i="1"/>
  <c r="Q473" i="1"/>
  <c r="R473" i="1"/>
  <c r="S473" i="1"/>
  <c r="T473" i="1"/>
  <c r="U473" i="1"/>
  <c r="V473" i="1"/>
  <c r="W473" i="1"/>
  <c r="X473" i="1"/>
  <c r="Y473" i="1"/>
  <c r="Z473" i="1"/>
  <c r="AA473" i="1"/>
  <c r="AB473" i="1"/>
  <c r="AC473" i="1"/>
  <c r="AD473" i="1"/>
  <c r="AE473" i="1"/>
  <c r="AF473" i="1"/>
  <c r="AG473" i="1"/>
  <c r="AH473" i="1"/>
  <c r="AI473" i="1"/>
  <c r="AJ473" i="1"/>
  <c r="AK473" i="1"/>
  <c r="AL473" i="1"/>
  <c r="AM473" i="1"/>
  <c r="A474" i="1"/>
  <c r="B474" i="1"/>
  <c r="C474" i="1"/>
  <c r="D474" i="1"/>
  <c r="E474" i="1"/>
  <c r="F474" i="1"/>
  <c r="G474" i="1"/>
  <c r="H474" i="1"/>
  <c r="I474" i="1"/>
  <c r="J474" i="1"/>
  <c r="K474" i="1"/>
  <c r="L474" i="1"/>
  <c r="M474" i="1"/>
  <c r="N474" i="1"/>
  <c r="O474" i="1"/>
  <c r="P474" i="1"/>
  <c r="Q474" i="1"/>
  <c r="R474" i="1"/>
  <c r="S474" i="1"/>
  <c r="T474" i="1"/>
  <c r="U474" i="1"/>
  <c r="V474" i="1"/>
  <c r="W474" i="1"/>
  <c r="X474" i="1"/>
  <c r="Y474" i="1"/>
  <c r="Z474" i="1"/>
  <c r="AA474" i="1"/>
  <c r="AB474" i="1"/>
  <c r="AC474" i="1"/>
  <c r="AD474" i="1"/>
  <c r="AE474" i="1"/>
  <c r="AF474" i="1"/>
  <c r="AG474" i="1"/>
  <c r="AH474" i="1"/>
  <c r="AI474" i="1"/>
  <c r="AJ474" i="1"/>
  <c r="AK474" i="1"/>
  <c r="AL474" i="1"/>
  <c r="AM474" i="1"/>
  <c r="A475" i="1"/>
  <c r="B475" i="1"/>
  <c r="C475" i="1"/>
  <c r="D475" i="1"/>
  <c r="E475" i="1"/>
  <c r="F475" i="1"/>
  <c r="G475" i="1"/>
  <c r="H475" i="1"/>
  <c r="I475" i="1"/>
  <c r="J475" i="1"/>
  <c r="K475" i="1"/>
  <c r="L475" i="1"/>
  <c r="M475" i="1"/>
  <c r="N475" i="1"/>
  <c r="O475" i="1"/>
  <c r="P475" i="1"/>
  <c r="Q475" i="1"/>
  <c r="R475" i="1"/>
  <c r="S475" i="1"/>
  <c r="T475" i="1"/>
  <c r="U475" i="1"/>
  <c r="V475" i="1"/>
  <c r="W475" i="1"/>
  <c r="X475" i="1"/>
  <c r="Y475" i="1"/>
  <c r="Z475" i="1"/>
  <c r="AA475" i="1"/>
  <c r="AB475" i="1"/>
  <c r="AC475" i="1"/>
  <c r="AD475" i="1"/>
  <c r="AE475" i="1"/>
  <c r="AF475" i="1"/>
  <c r="AG475" i="1"/>
  <c r="AH475" i="1"/>
  <c r="AI475" i="1"/>
  <c r="AJ475" i="1"/>
  <c r="AK475" i="1"/>
  <c r="AL475" i="1"/>
  <c r="AM475" i="1"/>
  <c r="A476" i="1"/>
  <c r="B476" i="1"/>
  <c r="C476" i="1"/>
  <c r="D476" i="1"/>
  <c r="E476" i="1"/>
  <c r="F476" i="1"/>
  <c r="G476" i="1"/>
  <c r="H476" i="1"/>
  <c r="I476" i="1"/>
  <c r="J476" i="1"/>
  <c r="K476" i="1"/>
  <c r="L476" i="1"/>
  <c r="M476" i="1"/>
  <c r="N476" i="1"/>
  <c r="O476" i="1"/>
  <c r="P476" i="1"/>
  <c r="Q476" i="1"/>
  <c r="R476" i="1"/>
  <c r="S476" i="1"/>
  <c r="T476" i="1"/>
  <c r="U476" i="1"/>
  <c r="V476" i="1"/>
  <c r="W476" i="1"/>
  <c r="X476" i="1"/>
  <c r="Y476" i="1"/>
  <c r="Z476" i="1"/>
  <c r="AA476" i="1"/>
  <c r="AB476" i="1"/>
  <c r="AC476" i="1"/>
  <c r="AD476" i="1"/>
  <c r="AE476" i="1"/>
  <c r="AF476" i="1"/>
  <c r="AG476" i="1"/>
  <c r="AH476" i="1"/>
  <c r="AI476" i="1"/>
  <c r="AJ476" i="1"/>
  <c r="AK476" i="1"/>
  <c r="AL476" i="1"/>
  <c r="AM476" i="1"/>
  <c r="A477" i="1"/>
  <c r="B477" i="1"/>
  <c r="C477" i="1"/>
  <c r="D477" i="1"/>
  <c r="E477" i="1"/>
  <c r="F477" i="1"/>
  <c r="G477" i="1"/>
  <c r="H477" i="1"/>
  <c r="I477" i="1"/>
  <c r="J477" i="1"/>
  <c r="K477" i="1"/>
  <c r="L477" i="1"/>
  <c r="M477" i="1"/>
  <c r="N477" i="1"/>
  <c r="O477" i="1"/>
  <c r="P477" i="1"/>
  <c r="Q477" i="1"/>
  <c r="R477" i="1"/>
  <c r="S477" i="1"/>
  <c r="T477" i="1"/>
  <c r="U477" i="1"/>
  <c r="V477" i="1"/>
  <c r="W477" i="1"/>
  <c r="X477" i="1"/>
  <c r="Y477" i="1"/>
  <c r="Z477" i="1"/>
  <c r="AA477" i="1"/>
  <c r="AB477" i="1"/>
  <c r="AC477" i="1"/>
  <c r="AD477" i="1"/>
  <c r="AE477" i="1"/>
  <c r="AF477" i="1"/>
  <c r="AG477" i="1"/>
  <c r="AH477" i="1"/>
  <c r="AI477" i="1"/>
  <c r="AJ477" i="1"/>
  <c r="AK477" i="1"/>
  <c r="AL477" i="1"/>
  <c r="AM477" i="1"/>
  <c r="A478" i="1"/>
  <c r="B478" i="1"/>
  <c r="C478" i="1"/>
  <c r="D478" i="1"/>
  <c r="E478" i="1"/>
  <c r="F478" i="1"/>
  <c r="G478" i="1"/>
  <c r="H478" i="1"/>
  <c r="I478" i="1"/>
  <c r="J478" i="1"/>
  <c r="K478" i="1"/>
  <c r="L478" i="1"/>
  <c r="M478" i="1"/>
  <c r="N478" i="1"/>
  <c r="O478" i="1"/>
  <c r="P478" i="1"/>
  <c r="Q478" i="1"/>
  <c r="R478" i="1"/>
  <c r="S478" i="1"/>
  <c r="T478" i="1"/>
  <c r="U478" i="1"/>
  <c r="V478" i="1"/>
  <c r="W478" i="1"/>
  <c r="X478" i="1"/>
  <c r="Y478" i="1"/>
  <c r="Z478" i="1"/>
  <c r="AA478" i="1"/>
  <c r="AB478" i="1"/>
  <c r="AC478" i="1"/>
  <c r="AD478" i="1"/>
  <c r="AE478" i="1"/>
  <c r="AF478" i="1"/>
  <c r="AG478" i="1"/>
  <c r="AH478" i="1"/>
  <c r="AI478" i="1"/>
  <c r="AJ478" i="1"/>
  <c r="AK478" i="1"/>
  <c r="AL478" i="1"/>
  <c r="AM478" i="1"/>
  <c r="A479" i="1"/>
  <c r="B479" i="1"/>
  <c r="C479" i="1"/>
  <c r="D479" i="1"/>
  <c r="E479" i="1"/>
  <c r="F479" i="1"/>
  <c r="G479" i="1"/>
  <c r="H479" i="1"/>
  <c r="I479" i="1"/>
  <c r="J479" i="1"/>
  <c r="K479" i="1"/>
  <c r="L479" i="1"/>
  <c r="M479" i="1"/>
  <c r="N479" i="1"/>
  <c r="O479" i="1"/>
  <c r="P479" i="1"/>
  <c r="Q479" i="1"/>
  <c r="R479" i="1"/>
  <c r="S479" i="1"/>
  <c r="T479" i="1"/>
  <c r="U479" i="1"/>
  <c r="V479" i="1"/>
  <c r="W479" i="1"/>
  <c r="X479" i="1"/>
  <c r="Y479" i="1"/>
  <c r="Z479" i="1"/>
  <c r="AA479" i="1"/>
  <c r="AB479" i="1"/>
  <c r="AC479" i="1"/>
  <c r="AD479" i="1"/>
  <c r="AE479" i="1"/>
  <c r="AF479" i="1"/>
  <c r="AG479" i="1"/>
  <c r="AH479" i="1"/>
  <c r="AI479" i="1"/>
  <c r="AJ479" i="1"/>
  <c r="AK479" i="1"/>
  <c r="AL479" i="1"/>
  <c r="AM479" i="1"/>
  <c r="A480" i="1"/>
  <c r="B480" i="1"/>
  <c r="C480" i="1"/>
  <c r="D480" i="1"/>
  <c r="E480" i="1"/>
  <c r="F480" i="1"/>
  <c r="G480" i="1"/>
  <c r="H480" i="1"/>
  <c r="I480" i="1"/>
  <c r="J480" i="1"/>
  <c r="K480" i="1"/>
  <c r="L480" i="1"/>
  <c r="M480" i="1"/>
  <c r="N480" i="1"/>
  <c r="O480" i="1"/>
  <c r="P480" i="1"/>
  <c r="Q480" i="1"/>
  <c r="R480" i="1"/>
  <c r="S480" i="1"/>
  <c r="T480" i="1"/>
  <c r="U480" i="1"/>
  <c r="V480" i="1"/>
  <c r="W480" i="1"/>
  <c r="X480" i="1"/>
  <c r="Y480" i="1"/>
  <c r="Z480" i="1"/>
  <c r="AA480" i="1"/>
  <c r="AB480" i="1"/>
  <c r="AC480" i="1"/>
  <c r="AD480" i="1"/>
  <c r="AE480" i="1"/>
  <c r="AF480" i="1"/>
  <c r="AG480" i="1"/>
  <c r="AH480" i="1"/>
  <c r="AI480" i="1"/>
  <c r="AJ480" i="1"/>
  <c r="AK480" i="1"/>
  <c r="AL480" i="1"/>
  <c r="AM480" i="1"/>
  <c r="A481" i="1"/>
  <c r="B481" i="1"/>
  <c r="C481" i="1"/>
  <c r="D481" i="1"/>
  <c r="E481" i="1"/>
  <c r="F481" i="1"/>
  <c r="G481" i="1"/>
  <c r="H481" i="1"/>
  <c r="I481" i="1"/>
  <c r="J481" i="1"/>
  <c r="K481" i="1"/>
  <c r="L481" i="1"/>
  <c r="M481" i="1"/>
  <c r="N481" i="1"/>
  <c r="O481" i="1"/>
  <c r="P481" i="1"/>
  <c r="Q481" i="1"/>
  <c r="R481" i="1"/>
  <c r="S481" i="1"/>
  <c r="T481" i="1"/>
  <c r="U481" i="1"/>
  <c r="V481" i="1"/>
  <c r="W481" i="1"/>
  <c r="X481" i="1"/>
  <c r="Y481" i="1"/>
  <c r="Z481" i="1"/>
  <c r="AA481" i="1"/>
  <c r="AB481" i="1"/>
  <c r="AC481" i="1"/>
  <c r="AD481" i="1"/>
  <c r="AE481" i="1"/>
  <c r="AF481" i="1"/>
  <c r="AG481" i="1"/>
  <c r="AH481" i="1"/>
  <c r="AI481" i="1"/>
  <c r="AJ481" i="1"/>
  <c r="AK481" i="1"/>
  <c r="AL481" i="1"/>
  <c r="AM481" i="1"/>
  <c r="A482" i="1"/>
  <c r="B482" i="1"/>
  <c r="C482" i="1"/>
  <c r="D482" i="1"/>
  <c r="E482" i="1"/>
  <c r="F482" i="1"/>
  <c r="G482" i="1"/>
  <c r="H482" i="1"/>
  <c r="I482" i="1"/>
  <c r="J482" i="1"/>
  <c r="K482" i="1"/>
  <c r="L482" i="1"/>
  <c r="M482" i="1"/>
  <c r="N482" i="1"/>
  <c r="O482" i="1"/>
  <c r="P482" i="1"/>
  <c r="Q482" i="1"/>
  <c r="R482" i="1"/>
  <c r="S482" i="1"/>
  <c r="T482" i="1"/>
  <c r="U482" i="1"/>
  <c r="V482" i="1"/>
  <c r="W482" i="1"/>
  <c r="X482" i="1"/>
  <c r="Y482" i="1"/>
  <c r="Z482" i="1"/>
  <c r="AA482" i="1"/>
  <c r="AB482" i="1"/>
  <c r="AC482" i="1"/>
  <c r="AD482" i="1"/>
  <c r="AE482" i="1"/>
  <c r="AF482" i="1"/>
  <c r="AG482" i="1"/>
  <c r="AH482" i="1"/>
  <c r="AI482" i="1"/>
  <c r="AJ482" i="1"/>
  <c r="AK482" i="1"/>
  <c r="AL482" i="1"/>
  <c r="AM482" i="1"/>
  <c r="A483" i="1"/>
  <c r="B483" i="1"/>
  <c r="C483" i="1"/>
  <c r="D483" i="1"/>
  <c r="E483" i="1"/>
  <c r="F483" i="1"/>
  <c r="G483" i="1"/>
  <c r="H483" i="1"/>
  <c r="I483" i="1"/>
  <c r="J483" i="1"/>
  <c r="K483" i="1"/>
  <c r="L483" i="1"/>
  <c r="M483" i="1"/>
  <c r="N483" i="1"/>
  <c r="O483" i="1"/>
  <c r="P483" i="1"/>
  <c r="Q483" i="1"/>
  <c r="R483" i="1"/>
  <c r="S483" i="1"/>
  <c r="T483" i="1"/>
  <c r="U483" i="1"/>
  <c r="V483" i="1"/>
  <c r="W483" i="1"/>
  <c r="X483" i="1"/>
  <c r="Y483" i="1"/>
  <c r="Z483" i="1"/>
  <c r="AA483" i="1"/>
  <c r="AB483" i="1"/>
  <c r="AC483" i="1"/>
  <c r="AD483" i="1"/>
  <c r="AE483" i="1"/>
  <c r="AF483" i="1"/>
  <c r="AG483" i="1"/>
  <c r="AH483" i="1"/>
  <c r="AI483" i="1"/>
  <c r="AJ483" i="1"/>
  <c r="AK483" i="1"/>
  <c r="AL483" i="1"/>
  <c r="AM483" i="1"/>
  <c r="A484" i="1"/>
  <c r="B484" i="1"/>
  <c r="C484" i="1"/>
  <c r="D484" i="1"/>
  <c r="E484" i="1"/>
  <c r="F484" i="1"/>
  <c r="G484" i="1"/>
  <c r="H484" i="1"/>
  <c r="I484" i="1"/>
  <c r="J484" i="1"/>
  <c r="K484" i="1"/>
  <c r="L484" i="1"/>
  <c r="M484" i="1"/>
  <c r="N484" i="1"/>
  <c r="O484" i="1"/>
  <c r="P484" i="1"/>
  <c r="Q484" i="1"/>
  <c r="R484" i="1"/>
  <c r="S484" i="1"/>
  <c r="T484" i="1"/>
  <c r="U484" i="1"/>
  <c r="V484" i="1"/>
  <c r="W484" i="1"/>
  <c r="X484" i="1"/>
  <c r="Y484" i="1"/>
  <c r="Z484" i="1"/>
  <c r="AA484" i="1"/>
  <c r="AB484" i="1"/>
  <c r="AC484" i="1"/>
  <c r="AD484" i="1"/>
  <c r="AE484" i="1"/>
  <c r="AF484" i="1"/>
  <c r="AG484" i="1"/>
  <c r="AH484" i="1"/>
  <c r="AI484" i="1"/>
  <c r="AJ484" i="1"/>
  <c r="AK484" i="1"/>
  <c r="AL484" i="1"/>
  <c r="AM484" i="1"/>
  <c r="A485" i="1"/>
  <c r="B485" i="1"/>
  <c r="C485" i="1"/>
  <c r="D485" i="1"/>
  <c r="E485" i="1"/>
  <c r="F485" i="1"/>
  <c r="G485" i="1"/>
  <c r="H485" i="1"/>
  <c r="I485" i="1"/>
  <c r="J485" i="1"/>
  <c r="K485" i="1"/>
  <c r="L485" i="1"/>
  <c r="M485" i="1"/>
  <c r="N485" i="1"/>
  <c r="O485" i="1"/>
  <c r="P485" i="1"/>
  <c r="Q485" i="1"/>
  <c r="R485" i="1"/>
  <c r="S485" i="1"/>
  <c r="T485" i="1"/>
  <c r="U485" i="1"/>
  <c r="V485" i="1"/>
  <c r="W485" i="1"/>
  <c r="X485" i="1"/>
  <c r="Y485" i="1"/>
  <c r="Z485" i="1"/>
  <c r="AA485" i="1"/>
  <c r="AB485" i="1"/>
  <c r="AC485" i="1"/>
  <c r="AD485" i="1"/>
  <c r="AE485" i="1"/>
  <c r="AF485" i="1"/>
  <c r="AG485" i="1"/>
  <c r="AH485" i="1"/>
  <c r="AI485" i="1"/>
  <c r="AJ485" i="1"/>
  <c r="AK485" i="1"/>
  <c r="AL485" i="1"/>
  <c r="AM485" i="1"/>
  <c r="A486" i="1"/>
  <c r="B486" i="1"/>
  <c r="C486" i="1"/>
  <c r="D486" i="1"/>
  <c r="E486" i="1"/>
  <c r="F486" i="1"/>
  <c r="G486" i="1"/>
  <c r="H486" i="1"/>
  <c r="I486" i="1"/>
  <c r="J486" i="1"/>
  <c r="K486" i="1"/>
  <c r="L486" i="1"/>
  <c r="M486" i="1"/>
  <c r="N486" i="1"/>
  <c r="O486" i="1"/>
  <c r="P486" i="1"/>
  <c r="Q486" i="1"/>
  <c r="R486" i="1"/>
  <c r="S486" i="1"/>
  <c r="T486" i="1"/>
  <c r="U486" i="1"/>
  <c r="V486" i="1"/>
  <c r="W486" i="1"/>
  <c r="X486" i="1"/>
  <c r="Y486" i="1"/>
  <c r="Z486" i="1"/>
  <c r="AA486" i="1"/>
  <c r="AB486" i="1"/>
  <c r="AC486" i="1"/>
  <c r="AD486" i="1"/>
  <c r="AE486" i="1"/>
  <c r="AF486" i="1"/>
  <c r="AG486" i="1"/>
  <c r="AH486" i="1"/>
  <c r="AI486" i="1"/>
  <c r="AJ486" i="1"/>
  <c r="AK486" i="1"/>
  <c r="AL486" i="1"/>
  <c r="AM486" i="1"/>
  <c r="A487" i="1"/>
  <c r="B487" i="1"/>
  <c r="C487" i="1"/>
  <c r="D487" i="1"/>
  <c r="E487" i="1"/>
  <c r="F487" i="1"/>
  <c r="G487" i="1"/>
  <c r="H487" i="1"/>
  <c r="I487" i="1"/>
  <c r="J487" i="1"/>
  <c r="K487" i="1"/>
  <c r="L487" i="1"/>
  <c r="M487" i="1"/>
  <c r="N487" i="1"/>
  <c r="O487" i="1"/>
  <c r="P487" i="1"/>
  <c r="Q487" i="1"/>
  <c r="R487" i="1"/>
  <c r="S487" i="1"/>
  <c r="T487" i="1"/>
  <c r="U487" i="1"/>
  <c r="V487" i="1"/>
  <c r="W487" i="1"/>
  <c r="X487" i="1"/>
  <c r="Y487" i="1"/>
  <c r="Z487" i="1"/>
  <c r="AA487" i="1"/>
  <c r="AB487" i="1"/>
  <c r="AC487" i="1"/>
  <c r="AD487" i="1"/>
  <c r="AE487" i="1"/>
  <c r="AF487" i="1"/>
  <c r="AG487" i="1"/>
  <c r="AH487" i="1"/>
  <c r="AI487" i="1"/>
  <c r="AJ487" i="1"/>
  <c r="AK487" i="1"/>
  <c r="AL487" i="1"/>
  <c r="AM487" i="1"/>
  <c r="A488" i="1"/>
  <c r="B488" i="1"/>
  <c r="C488" i="1"/>
  <c r="D488" i="1"/>
  <c r="E488" i="1"/>
  <c r="F488" i="1"/>
  <c r="G488" i="1"/>
  <c r="H488" i="1"/>
  <c r="I488" i="1"/>
  <c r="J488" i="1"/>
  <c r="K488" i="1"/>
  <c r="L488" i="1"/>
  <c r="M488" i="1"/>
  <c r="N488" i="1"/>
  <c r="O488" i="1"/>
  <c r="P488" i="1"/>
  <c r="Q488" i="1"/>
  <c r="R488" i="1"/>
  <c r="S488" i="1"/>
  <c r="T488" i="1"/>
  <c r="U488" i="1"/>
  <c r="V488" i="1"/>
  <c r="W488" i="1"/>
  <c r="X488" i="1"/>
  <c r="Y488" i="1"/>
  <c r="Z488" i="1"/>
  <c r="AA488" i="1"/>
  <c r="AB488" i="1"/>
  <c r="AC488" i="1"/>
  <c r="AD488" i="1"/>
  <c r="AE488" i="1"/>
  <c r="AF488" i="1"/>
  <c r="AG488" i="1"/>
  <c r="AH488" i="1"/>
  <c r="AI488" i="1"/>
  <c r="AJ488" i="1"/>
  <c r="AK488" i="1"/>
  <c r="AL488" i="1"/>
  <c r="AM488" i="1"/>
  <c r="A489" i="1"/>
  <c r="B489" i="1"/>
  <c r="C489" i="1"/>
  <c r="D489" i="1"/>
  <c r="E489" i="1"/>
  <c r="F489" i="1"/>
  <c r="G489" i="1"/>
  <c r="H489" i="1"/>
  <c r="I489" i="1"/>
  <c r="J489" i="1"/>
  <c r="K489" i="1"/>
  <c r="L489" i="1"/>
  <c r="M489" i="1"/>
  <c r="N489" i="1"/>
  <c r="O489" i="1"/>
  <c r="P489" i="1"/>
  <c r="Q489" i="1"/>
  <c r="R489" i="1"/>
  <c r="S489" i="1"/>
  <c r="T489" i="1"/>
  <c r="U489" i="1"/>
  <c r="V489" i="1"/>
  <c r="W489" i="1"/>
  <c r="X489" i="1"/>
  <c r="Y489" i="1"/>
  <c r="Z489" i="1"/>
  <c r="AA489" i="1"/>
  <c r="AB489" i="1"/>
  <c r="AC489" i="1"/>
  <c r="AD489" i="1"/>
  <c r="AE489" i="1"/>
  <c r="AF489" i="1"/>
  <c r="AG489" i="1"/>
  <c r="AH489" i="1"/>
  <c r="AI489" i="1"/>
  <c r="AJ489" i="1"/>
  <c r="AK489" i="1"/>
  <c r="AL489" i="1"/>
  <c r="AM489" i="1"/>
  <c r="A490" i="1"/>
  <c r="B490" i="1"/>
  <c r="C490" i="1"/>
  <c r="D490" i="1"/>
  <c r="E490" i="1"/>
  <c r="F490" i="1"/>
  <c r="G490" i="1"/>
  <c r="H490" i="1"/>
  <c r="I490" i="1"/>
  <c r="J490" i="1"/>
  <c r="K490" i="1"/>
  <c r="L490" i="1"/>
  <c r="M490" i="1"/>
  <c r="N490" i="1"/>
  <c r="O490" i="1"/>
  <c r="P490" i="1"/>
  <c r="Q490" i="1"/>
  <c r="R490" i="1"/>
  <c r="S490" i="1"/>
  <c r="T490" i="1"/>
  <c r="U490" i="1"/>
  <c r="V490" i="1"/>
  <c r="W490" i="1"/>
  <c r="X490" i="1"/>
  <c r="Y490" i="1"/>
  <c r="Z490" i="1"/>
  <c r="AA490" i="1"/>
  <c r="AB490" i="1"/>
  <c r="AC490" i="1"/>
  <c r="AD490" i="1"/>
  <c r="AE490" i="1"/>
  <c r="AF490" i="1"/>
  <c r="AG490" i="1"/>
  <c r="AH490" i="1"/>
  <c r="AI490" i="1"/>
  <c r="AJ490" i="1"/>
  <c r="AK490" i="1"/>
  <c r="AL490" i="1"/>
  <c r="AM490" i="1"/>
  <c r="A491" i="1"/>
  <c r="B491" i="1"/>
  <c r="C491" i="1"/>
  <c r="D491" i="1"/>
  <c r="E491" i="1"/>
  <c r="F491" i="1"/>
  <c r="G491" i="1"/>
  <c r="H491" i="1"/>
  <c r="I491" i="1"/>
  <c r="J491" i="1"/>
  <c r="K491" i="1"/>
  <c r="L491" i="1"/>
  <c r="M491" i="1"/>
  <c r="N491" i="1"/>
  <c r="O491" i="1"/>
  <c r="P491" i="1"/>
  <c r="Q491" i="1"/>
  <c r="R491" i="1"/>
  <c r="S491" i="1"/>
  <c r="T491" i="1"/>
  <c r="U491" i="1"/>
  <c r="V491" i="1"/>
  <c r="W491" i="1"/>
  <c r="X491" i="1"/>
  <c r="Y491" i="1"/>
  <c r="Z491" i="1"/>
  <c r="AA491" i="1"/>
  <c r="AB491" i="1"/>
  <c r="AC491" i="1"/>
  <c r="AD491" i="1"/>
  <c r="AE491" i="1"/>
  <c r="AF491" i="1"/>
  <c r="AG491" i="1"/>
  <c r="AH491" i="1"/>
  <c r="AI491" i="1"/>
  <c r="AJ491" i="1"/>
  <c r="AK491" i="1"/>
  <c r="AL491" i="1"/>
  <c r="AM491" i="1"/>
  <c r="A492" i="1"/>
  <c r="B492" i="1"/>
  <c r="C492" i="1"/>
  <c r="D492" i="1"/>
  <c r="E492" i="1"/>
  <c r="F492" i="1"/>
  <c r="G492" i="1"/>
  <c r="H492" i="1"/>
  <c r="I492" i="1"/>
  <c r="J492" i="1"/>
  <c r="K492" i="1"/>
  <c r="L492" i="1"/>
  <c r="M492" i="1"/>
  <c r="N492" i="1"/>
  <c r="O492" i="1"/>
  <c r="P492" i="1"/>
  <c r="Q492" i="1"/>
  <c r="R492" i="1"/>
  <c r="S492" i="1"/>
  <c r="T492" i="1"/>
  <c r="U492" i="1"/>
  <c r="V492" i="1"/>
  <c r="W492" i="1"/>
  <c r="X492" i="1"/>
  <c r="Y492" i="1"/>
  <c r="Z492" i="1"/>
  <c r="AA492" i="1"/>
  <c r="AB492" i="1"/>
  <c r="AC492" i="1"/>
  <c r="AD492" i="1"/>
  <c r="AE492" i="1"/>
  <c r="AF492" i="1"/>
  <c r="AG492" i="1"/>
  <c r="AH492" i="1"/>
  <c r="AI492" i="1"/>
  <c r="AJ492" i="1"/>
  <c r="AK492" i="1"/>
  <c r="AL492" i="1"/>
  <c r="AM492" i="1"/>
  <c r="A493" i="1"/>
  <c r="B493" i="1"/>
  <c r="C493" i="1"/>
  <c r="D493" i="1"/>
  <c r="E493" i="1"/>
  <c r="F493" i="1"/>
  <c r="G493" i="1"/>
  <c r="H493" i="1"/>
  <c r="I493" i="1"/>
  <c r="J493" i="1"/>
  <c r="K493" i="1"/>
  <c r="L493" i="1"/>
  <c r="M493" i="1"/>
  <c r="N493" i="1"/>
  <c r="O493" i="1"/>
  <c r="P493" i="1"/>
  <c r="Q493" i="1"/>
  <c r="R493" i="1"/>
  <c r="S493" i="1"/>
  <c r="T493" i="1"/>
  <c r="U493" i="1"/>
  <c r="V493" i="1"/>
  <c r="W493" i="1"/>
  <c r="X493" i="1"/>
  <c r="Y493" i="1"/>
  <c r="Z493" i="1"/>
  <c r="AA493" i="1"/>
  <c r="AB493" i="1"/>
  <c r="AC493" i="1"/>
  <c r="AD493" i="1"/>
  <c r="AE493" i="1"/>
  <c r="AF493" i="1"/>
  <c r="AG493" i="1"/>
  <c r="AH493" i="1"/>
  <c r="AI493" i="1"/>
  <c r="AJ493" i="1"/>
  <c r="AK493" i="1"/>
  <c r="AL493" i="1"/>
  <c r="AM493" i="1"/>
  <c r="A494" i="1"/>
  <c r="B494" i="1"/>
  <c r="C494" i="1"/>
  <c r="D494" i="1"/>
  <c r="E494" i="1"/>
  <c r="F494" i="1"/>
  <c r="G494" i="1"/>
  <c r="H494" i="1"/>
  <c r="I494" i="1"/>
  <c r="J494" i="1"/>
  <c r="K494" i="1"/>
  <c r="L494" i="1"/>
  <c r="M494" i="1"/>
  <c r="N494" i="1"/>
  <c r="O494" i="1"/>
  <c r="P494" i="1"/>
  <c r="Q494" i="1"/>
  <c r="R494" i="1"/>
  <c r="S494" i="1"/>
  <c r="T494" i="1"/>
  <c r="U494" i="1"/>
  <c r="V494" i="1"/>
  <c r="W494" i="1"/>
  <c r="X494" i="1"/>
  <c r="Y494" i="1"/>
  <c r="Z494" i="1"/>
  <c r="AA494" i="1"/>
  <c r="AB494" i="1"/>
  <c r="AC494" i="1"/>
  <c r="AD494" i="1"/>
  <c r="AE494" i="1"/>
  <c r="AF494" i="1"/>
  <c r="AG494" i="1"/>
  <c r="AH494" i="1"/>
  <c r="AI494" i="1"/>
  <c r="AJ494" i="1"/>
  <c r="AK494" i="1"/>
  <c r="AL494" i="1"/>
  <c r="AM494" i="1"/>
  <c r="A495" i="1"/>
  <c r="B495" i="1"/>
  <c r="C495" i="1"/>
  <c r="D495" i="1"/>
  <c r="E495" i="1"/>
  <c r="F495" i="1"/>
  <c r="G495" i="1"/>
  <c r="H495" i="1"/>
  <c r="I495" i="1"/>
  <c r="J495" i="1"/>
  <c r="K495" i="1"/>
  <c r="L495" i="1"/>
  <c r="M495" i="1"/>
  <c r="N495" i="1"/>
  <c r="O495" i="1"/>
  <c r="P495" i="1"/>
  <c r="Q495" i="1"/>
  <c r="R495" i="1"/>
  <c r="S495" i="1"/>
  <c r="T495" i="1"/>
  <c r="U495" i="1"/>
  <c r="V495" i="1"/>
  <c r="W495" i="1"/>
  <c r="X495" i="1"/>
  <c r="Y495" i="1"/>
  <c r="Z495" i="1"/>
  <c r="AA495" i="1"/>
  <c r="AB495" i="1"/>
  <c r="AC495" i="1"/>
  <c r="AD495" i="1"/>
  <c r="AE495" i="1"/>
  <c r="AF495" i="1"/>
  <c r="AG495" i="1"/>
  <c r="AH495" i="1"/>
  <c r="AI495" i="1"/>
  <c r="AJ495" i="1"/>
  <c r="AK495" i="1"/>
  <c r="AL495" i="1"/>
  <c r="AM495" i="1"/>
  <c r="A496" i="1"/>
  <c r="B496" i="1"/>
  <c r="C496" i="1"/>
  <c r="D496" i="1"/>
  <c r="E496" i="1"/>
  <c r="F496" i="1"/>
  <c r="G496" i="1"/>
  <c r="H496" i="1"/>
  <c r="I496" i="1"/>
  <c r="J496" i="1"/>
  <c r="K496" i="1"/>
  <c r="L496" i="1"/>
  <c r="M496" i="1"/>
  <c r="N496" i="1"/>
  <c r="O496" i="1"/>
  <c r="P496" i="1"/>
  <c r="Q496" i="1"/>
  <c r="R496" i="1"/>
  <c r="S496" i="1"/>
  <c r="T496" i="1"/>
  <c r="U496" i="1"/>
  <c r="V496" i="1"/>
  <c r="W496" i="1"/>
  <c r="X496" i="1"/>
  <c r="Y496" i="1"/>
  <c r="Z496" i="1"/>
  <c r="AA496" i="1"/>
  <c r="AB496" i="1"/>
  <c r="AC496" i="1"/>
  <c r="AD496" i="1"/>
  <c r="AE496" i="1"/>
  <c r="AF496" i="1"/>
  <c r="AG496" i="1"/>
  <c r="AH496" i="1"/>
  <c r="AI496" i="1"/>
  <c r="AJ496" i="1"/>
  <c r="AK496" i="1"/>
  <c r="AL496" i="1"/>
  <c r="AM496" i="1"/>
  <c r="A497" i="1"/>
  <c r="B497" i="1"/>
  <c r="C497" i="1"/>
  <c r="D497" i="1"/>
  <c r="E497" i="1"/>
  <c r="F497" i="1"/>
  <c r="G497" i="1"/>
  <c r="H497" i="1"/>
  <c r="I497" i="1"/>
  <c r="J497" i="1"/>
  <c r="K497" i="1"/>
  <c r="L497" i="1"/>
  <c r="M497" i="1"/>
  <c r="N497" i="1"/>
  <c r="O497" i="1"/>
  <c r="P497" i="1"/>
  <c r="Q497" i="1"/>
  <c r="R497" i="1"/>
  <c r="S497" i="1"/>
  <c r="T497" i="1"/>
  <c r="U497" i="1"/>
  <c r="V497" i="1"/>
  <c r="W497" i="1"/>
  <c r="X497" i="1"/>
  <c r="Y497" i="1"/>
  <c r="Z497" i="1"/>
  <c r="AA497" i="1"/>
  <c r="AB497" i="1"/>
  <c r="AC497" i="1"/>
  <c r="AD497" i="1"/>
  <c r="AE497" i="1"/>
  <c r="AF497" i="1"/>
  <c r="AG497" i="1"/>
  <c r="AH497" i="1"/>
  <c r="AI497" i="1"/>
  <c r="AJ497" i="1"/>
  <c r="AK497" i="1"/>
  <c r="AL497" i="1"/>
  <c r="AM497" i="1"/>
  <c r="A498" i="1"/>
  <c r="B498" i="1"/>
  <c r="C498" i="1"/>
  <c r="D498" i="1"/>
  <c r="E498" i="1"/>
  <c r="F498" i="1"/>
  <c r="G498" i="1"/>
  <c r="H498" i="1"/>
  <c r="I498" i="1"/>
  <c r="J498" i="1"/>
  <c r="K498" i="1"/>
  <c r="L498" i="1"/>
  <c r="M498" i="1"/>
  <c r="N498" i="1"/>
  <c r="O498" i="1"/>
  <c r="P498" i="1"/>
  <c r="Q498" i="1"/>
  <c r="R498" i="1"/>
  <c r="S498" i="1"/>
  <c r="T498" i="1"/>
  <c r="U498" i="1"/>
  <c r="V498" i="1"/>
  <c r="W498" i="1"/>
  <c r="X498" i="1"/>
  <c r="Y498" i="1"/>
  <c r="Z498" i="1"/>
  <c r="AA498" i="1"/>
  <c r="AB498" i="1"/>
  <c r="AC498" i="1"/>
  <c r="AD498" i="1"/>
  <c r="AE498" i="1"/>
  <c r="AF498" i="1"/>
  <c r="AG498" i="1"/>
  <c r="AH498" i="1"/>
  <c r="AI498" i="1"/>
  <c r="AJ498" i="1"/>
  <c r="AK498" i="1"/>
  <c r="AL498" i="1"/>
  <c r="AM498" i="1"/>
  <c r="A499" i="1"/>
  <c r="B499" i="1"/>
  <c r="C499" i="1"/>
  <c r="D499" i="1"/>
  <c r="E499" i="1"/>
  <c r="F499" i="1"/>
  <c r="G499" i="1"/>
  <c r="H499" i="1"/>
  <c r="I499" i="1"/>
  <c r="J499" i="1"/>
  <c r="K499" i="1"/>
  <c r="L499" i="1"/>
  <c r="M499" i="1"/>
  <c r="N499" i="1"/>
  <c r="O499" i="1"/>
  <c r="P499" i="1"/>
  <c r="Q499" i="1"/>
  <c r="R499" i="1"/>
  <c r="S499" i="1"/>
  <c r="T499" i="1"/>
  <c r="U499" i="1"/>
  <c r="V499" i="1"/>
  <c r="W499" i="1"/>
  <c r="X499" i="1"/>
  <c r="Y499" i="1"/>
  <c r="Z499" i="1"/>
  <c r="AA499" i="1"/>
  <c r="AB499" i="1"/>
  <c r="AC499" i="1"/>
  <c r="AD499" i="1"/>
  <c r="AE499" i="1"/>
  <c r="AF499" i="1"/>
  <c r="AG499" i="1"/>
  <c r="AH499" i="1"/>
  <c r="AI499" i="1"/>
  <c r="AJ499" i="1"/>
  <c r="AK499" i="1"/>
  <c r="AL499" i="1"/>
  <c r="AM499" i="1"/>
  <c r="A500" i="1"/>
  <c r="B500" i="1"/>
  <c r="C500" i="1"/>
  <c r="D500" i="1"/>
  <c r="E500" i="1"/>
  <c r="F500" i="1"/>
  <c r="G500" i="1"/>
  <c r="H500" i="1"/>
  <c r="I500" i="1"/>
  <c r="J500" i="1"/>
  <c r="K500" i="1"/>
  <c r="L500" i="1"/>
  <c r="M500" i="1"/>
  <c r="N500" i="1"/>
  <c r="O500" i="1"/>
  <c r="P500" i="1"/>
  <c r="Q500" i="1"/>
  <c r="R500" i="1"/>
  <c r="S500" i="1"/>
  <c r="T500" i="1"/>
  <c r="U500" i="1"/>
  <c r="V500" i="1"/>
  <c r="W500" i="1"/>
  <c r="X500" i="1"/>
  <c r="Y500" i="1"/>
  <c r="Z500" i="1"/>
  <c r="AA500" i="1"/>
  <c r="AB500" i="1"/>
  <c r="AC500" i="1"/>
  <c r="AD500" i="1"/>
  <c r="AE500" i="1"/>
  <c r="AF500" i="1"/>
  <c r="AG500" i="1"/>
  <c r="AH500" i="1"/>
  <c r="AI500" i="1"/>
  <c r="AJ500" i="1"/>
  <c r="AK500" i="1"/>
  <c r="AL500" i="1"/>
  <c r="AM500" i="1"/>
  <c r="A501" i="1"/>
  <c r="B501" i="1"/>
  <c r="C501" i="1"/>
  <c r="D501" i="1"/>
  <c r="E501" i="1"/>
  <c r="F501" i="1"/>
  <c r="G501" i="1"/>
  <c r="H501" i="1"/>
  <c r="I501" i="1"/>
  <c r="J501" i="1"/>
  <c r="K501" i="1"/>
  <c r="L501" i="1"/>
  <c r="M501" i="1"/>
  <c r="N501" i="1"/>
  <c r="O501" i="1"/>
  <c r="P501" i="1"/>
  <c r="Q501" i="1"/>
  <c r="R501" i="1"/>
  <c r="S501" i="1"/>
  <c r="T501" i="1"/>
  <c r="U501" i="1"/>
  <c r="V501" i="1"/>
  <c r="W501" i="1"/>
  <c r="X501" i="1"/>
  <c r="Y501" i="1"/>
  <c r="Z501" i="1"/>
  <c r="AA501" i="1"/>
  <c r="AB501" i="1"/>
  <c r="AC501" i="1"/>
  <c r="AD501" i="1"/>
  <c r="AE501" i="1"/>
  <c r="AF501" i="1"/>
  <c r="AG501" i="1"/>
  <c r="AH501" i="1"/>
  <c r="AI501" i="1"/>
  <c r="AJ501" i="1"/>
  <c r="AK501" i="1"/>
  <c r="AL501" i="1"/>
  <c r="AM501" i="1"/>
  <c r="A502" i="1"/>
  <c r="B502" i="1"/>
  <c r="C502" i="1"/>
  <c r="D502" i="1"/>
  <c r="E502" i="1"/>
  <c r="F502" i="1"/>
  <c r="G502" i="1"/>
  <c r="H502" i="1"/>
  <c r="I502" i="1"/>
  <c r="J502" i="1"/>
  <c r="K502" i="1"/>
  <c r="L502" i="1"/>
  <c r="M502" i="1"/>
  <c r="N502" i="1"/>
  <c r="O502" i="1"/>
  <c r="P502" i="1"/>
  <c r="Q502" i="1"/>
  <c r="R502" i="1"/>
  <c r="S502" i="1"/>
  <c r="T502" i="1"/>
  <c r="U502" i="1"/>
  <c r="V502" i="1"/>
  <c r="W502" i="1"/>
  <c r="X502" i="1"/>
  <c r="Y502" i="1"/>
  <c r="Z502" i="1"/>
  <c r="AA502" i="1"/>
  <c r="AB502" i="1"/>
  <c r="AC502" i="1"/>
  <c r="AD502" i="1"/>
  <c r="AE502" i="1"/>
  <c r="AF502" i="1"/>
  <c r="AG502" i="1"/>
  <c r="AH502" i="1"/>
  <c r="AI502" i="1"/>
  <c r="AJ502" i="1"/>
  <c r="AK502" i="1"/>
  <c r="AL502" i="1"/>
  <c r="AM502" i="1"/>
  <c r="A503" i="1"/>
  <c r="B503" i="1"/>
  <c r="C503" i="1"/>
  <c r="D503" i="1"/>
  <c r="E503" i="1"/>
  <c r="F503" i="1"/>
  <c r="G503" i="1"/>
  <c r="H503" i="1"/>
  <c r="I503" i="1"/>
  <c r="J503" i="1"/>
  <c r="K503" i="1"/>
  <c r="L503" i="1"/>
  <c r="M503" i="1"/>
  <c r="N503" i="1"/>
  <c r="O503" i="1"/>
  <c r="P503" i="1"/>
  <c r="Q503" i="1"/>
  <c r="R503" i="1"/>
  <c r="S503" i="1"/>
  <c r="T503" i="1"/>
  <c r="U503" i="1"/>
  <c r="V503" i="1"/>
  <c r="W503" i="1"/>
  <c r="X503" i="1"/>
  <c r="Y503" i="1"/>
  <c r="Z503" i="1"/>
  <c r="AA503" i="1"/>
  <c r="AB503" i="1"/>
  <c r="AC503" i="1"/>
  <c r="AD503" i="1"/>
  <c r="AE503" i="1"/>
  <c r="AF503" i="1"/>
  <c r="AG503" i="1"/>
  <c r="AH503" i="1"/>
  <c r="AI503" i="1"/>
  <c r="AJ503" i="1"/>
  <c r="AK503" i="1"/>
  <c r="AL503" i="1"/>
  <c r="AM503" i="1"/>
  <c r="A504" i="1"/>
  <c r="B504" i="1"/>
  <c r="C504" i="1"/>
  <c r="D504" i="1"/>
  <c r="E504" i="1"/>
  <c r="F504" i="1"/>
  <c r="G504" i="1"/>
  <c r="H504" i="1"/>
  <c r="I504" i="1"/>
  <c r="J504" i="1"/>
  <c r="K504" i="1"/>
  <c r="L504" i="1"/>
  <c r="M504" i="1"/>
  <c r="N504" i="1"/>
  <c r="O504" i="1"/>
  <c r="P504" i="1"/>
  <c r="Q504" i="1"/>
  <c r="R504" i="1"/>
  <c r="S504" i="1"/>
  <c r="T504" i="1"/>
  <c r="U504" i="1"/>
  <c r="V504" i="1"/>
  <c r="W504" i="1"/>
  <c r="X504" i="1"/>
  <c r="Y504" i="1"/>
  <c r="Z504" i="1"/>
  <c r="AA504" i="1"/>
  <c r="AB504" i="1"/>
  <c r="AC504" i="1"/>
  <c r="AD504" i="1"/>
  <c r="AE504" i="1"/>
  <c r="AF504" i="1"/>
  <c r="AG504" i="1"/>
  <c r="AH504" i="1"/>
  <c r="AI504" i="1"/>
  <c r="AJ504" i="1"/>
  <c r="AK504" i="1"/>
  <c r="AL504" i="1"/>
  <c r="AM504" i="1"/>
  <c r="A505" i="1"/>
  <c r="B505" i="1"/>
  <c r="C505" i="1"/>
  <c r="D505" i="1"/>
  <c r="E505" i="1"/>
  <c r="F505" i="1"/>
  <c r="G505" i="1"/>
  <c r="H505" i="1"/>
  <c r="I505" i="1"/>
  <c r="J505" i="1"/>
  <c r="K505" i="1"/>
  <c r="L505" i="1"/>
  <c r="M505" i="1"/>
  <c r="N505" i="1"/>
  <c r="O505" i="1"/>
  <c r="P505" i="1"/>
  <c r="Q505" i="1"/>
  <c r="R505" i="1"/>
  <c r="S505" i="1"/>
  <c r="T505" i="1"/>
  <c r="U505" i="1"/>
  <c r="V505" i="1"/>
  <c r="W505" i="1"/>
  <c r="X505" i="1"/>
  <c r="Y505" i="1"/>
  <c r="Z505" i="1"/>
  <c r="AA505" i="1"/>
  <c r="AB505" i="1"/>
  <c r="AC505" i="1"/>
  <c r="AD505" i="1"/>
  <c r="AE505" i="1"/>
  <c r="AF505" i="1"/>
  <c r="AG505" i="1"/>
  <c r="AH505" i="1"/>
  <c r="AI505" i="1"/>
  <c r="AJ505" i="1"/>
  <c r="AK505" i="1"/>
  <c r="AL505" i="1"/>
  <c r="AM505" i="1"/>
  <c r="A506" i="1"/>
  <c r="B506" i="1"/>
  <c r="C506" i="1"/>
  <c r="D506" i="1"/>
  <c r="E506" i="1"/>
  <c r="F506" i="1"/>
  <c r="G506" i="1"/>
  <c r="H506" i="1"/>
  <c r="I506" i="1"/>
  <c r="J506" i="1"/>
  <c r="K506" i="1"/>
  <c r="L506" i="1"/>
  <c r="M506" i="1"/>
  <c r="N506" i="1"/>
  <c r="O506" i="1"/>
  <c r="P506" i="1"/>
  <c r="Q506" i="1"/>
  <c r="R506" i="1"/>
  <c r="S506" i="1"/>
  <c r="T506" i="1"/>
  <c r="U506" i="1"/>
  <c r="V506" i="1"/>
  <c r="W506" i="1"/>
  <c r="X506" i="1"/>
  <c r="Y506" i="1"/>
  <c r="Z506" i="1"/>
  <c r="AA506" i="1"/>
  <c r="AB506" i="1"/>
  <c r="AC506" i="1"/>
  <c r="AD506" i="1"/>
  <c r="AE506" i="1"/>
  <c r="AF506" i="1"/>
  <c r="AG506" i="1"/>
  <c r="AH506" i="1"/>
  <c r="AI506" i="1"/>
  <c r="AJ506" i="1"/>
  <c r="AK506" i="1"/>
  <c r="AL506" i="1"/>
  <c r="AM506" i="1"/>
  <c r="A507" i="1"/>
  <c r="B507" i="1"/>
  <c r="C507" i="1"/>
  <c r="D507" i="1"/>
  <c r="E507" i="1"/>
  <c r="F507" i="1"/>
  <c r="G507" i="1"/>
  <c r="H507" i="1"/>
  <c r="I507" i="1"/>
  <c r="J507" i="1"/>
  <c r="K507" i="1"/>
  <c r="L507" i="1"/>
  <c r="M507" i="1"/>
  <c r="N507" i="1"/>
  <c r="O507" i="1"/>
  <c r="P507" i="1"/>
  <c r="Q507" i="1"/>
  <c r="R507" i="1"/>
  <c r="S507" i="1"/>
  <c r="T507" i="1"/>
  <c r="U507" i="1"/>
  <c r="V507" i="1"/>
  <c r="W507" i="1"/>
  <c r="X507" i="1"/>
  <c r="Y507" i="1"/>
  <c r="Z507" i="1"/>
  <c r="AA507" i="1"/>
  <c r="AB507" i="1"/>
  <c r="AC507" i="1"/>
  <c r="AD507" i="1"/>
  <c r="AE507" i="1"/>
  <c r="AF507" i="1"/>
  <c r="AG507" i="1"/>
  <c r="AH507" i="1"/>
  <c r="AI507" i="1"/>
  <c r="AJ507" i="1"/>
  <c r="AK507" i="1"/>
  <c r="AL507" i="1"/>
  <c r="AM507" i="1"/>
  <c r="A508" i="1"/>
  <c r="B508" i="1"/>
  <c r="C508" i="1"/>
  <c r="D508" i="1"/>
  <c r="E508" i="1"/>
  <c r="F508" i="1"/>
  <c r="G508" i="1"/>
  <c r="H508" i="1"/>
  <c r="I508" i="1"/>
  <c r="J508" i="1"/>
  <c r="K508" i="1"/>
  <c r="L508" i="1"/>
  <c r="M508" i="1"/>
  <c r="N508" i="1"/>
  <c r="O508" i="1"/>
  <c r="P508" i="1"/>
  <c r="Q508" i="1"/>
  <c r="R508" i="1"/>
  <c r="S508" i="1"/>
  <c r="T508" i="1"/>
  <c r="U508" i="1"/>
  <c r="V508" i="1"/>
  <c r="W508" i="1"/>
  <c r="X508" i="1"/>
  <c r="Y508" i="1"/>
  <c r="Z508" i="1"/>
  <c r="AA508" i="1"/>
  <c r="AB508" i="1"/>
  <c r="AC508" i="1"/>
  <c r="AD508" i="1"/>
  <c r="AE508" i="1"/>
  <c r="AF508" i="1"/>
  <c r="AG508" i="1"/>
  <c r="AH508" i="1"/>
  <c r="AI508" i="1"/>
  <c r="AJ508" i="1"/>
  <c r="AK508" i="1"/>
  <c r="AL508" i="1"/>
  <c r="AM508" i="1"/>
  <c r="A509" i="1"/>
  <c r="B509" i="1"/>
  <c r="C509" i="1"/>
  <c r="D509" i="1"/>
  <c r="E509" i="1"/>
  <c r="F509" i="1"/>
  <c r="G509" i="1"/>
  <c r="H509" i="1"/>
  <c r="I509" i="1"/>
  <c r="J509" i="1"/>
  <c r="K509" i="1"/>
  <c r="L509" i="1"/>
  <c r="M509" i="1"/>
  <c r="N509" i="1"/>
  <c r="O509" i="1"/>
  <c r="P509" i="1"/>
  <c r="Q509" i="1"/>
  <c r="R509" i="1"/>
  <c r="S509" i="1"/>
  <c r="T509" i="1"/>
  <c r="U509" i="1"/>
  <c r="V509" i="1"/>
  <c r="W509" i="1"/>
  <c r="X509" i="1"/>
  <c r="Y509" i="1"/>
  <c r="Z509" i="1"/>
  <c r="AA509" i="1"/>
  <c r="AB509" i="1"/>
  <c r="AC509" i="1"/>
  <c r="AD509" i="1"/>
  <c r="AE509" i="1"/>
  <c r="AF509" i="1"/>
  <c r="AG509" i="1"/>
  <c r="AH509" i="1"/>
  <c r="AI509" i="1"/>
  <c r="AJ509" i="1"/>
  <c r="AK509" i="1"/>
  <c r="AL509" i="1"/>
  <c r="AM509" i="1"/>
  <c r="A510" i="1"/>
  <c r="B510" i="1"/>
  <c r="C510" i="1"/>
  <c r="D510" i="1"/>
  <c r="E510" i="1"/>
  <c r="F510" i="1"/>
  <c r="G510" i="1"/>
  <c r="H510" i="1"/>
  <c r="I510" i="1"/>
  <c r="J510" i="1"/>
  <c r="K510" i="1"/>
  <c r="L510" i="1"/>
  <c r="M510" i="1"/>
  <c r="N510" i="1"/>
  <c r="O510" i="1"/>
  <c r="P510" i="1"/>
  <c r="Q510" i="1"/>
  <c r="R510" i="1"/>
  <c r="S510" i="1"/>
  <c r="T510" i="1"/>
  <c r="U510" i="1"/>
  <c r="V510" i="1"/>
  <c r="W510" i="1"/>
  <c r="X510" i="1"/>
  <c r="Y510" i="1"/>
  <c r="Z510" i="1"/>
  <c r="AA510" i="1"/>
  <c r="AB510" i="1"/>
  <c r="AC510" i="1"/>
  <c r="AD510" i="1"/>
  <c r="AE510" i="1"/>
  <c r="AF510" i="1"/>
  <c r="AG510" i="1"/>
  <c r="AH510" i="1"/>
  <c r="AI510" i="1"/>
  <c r="AJ510" i="1"/>
  <c r="AK510" i="1"/>
  <c r="AL510" i="1"/>
  <c r="AM510" i="1"/>
  <c r="A511" i="1"/>
  <c r="B511" i="1"/>
  <c r="C511" i="1"/>
  <c r="D511" i="1"/>
  <c r="E511" i="1"/>
  <c r="F511" i="1"/>
  <c r="G511" i="1"/>
  <c r="H511" i="1"/>
  <c r="I511" i="1"/>
  <c r="J511" i="1"/>
  <c r="K511" i="1"/>
  <c r="L511" i="1"/>
  <c r="M511" i="1"/>
  <c r="N511" i="1"/>
  <c r="O511" i="1"/>
  <c r="P511" i="1"/>
  <c r="Q511" i="1"/>
  <c r="R511" i="1"/>
  <c r="S511" i="1"/>
  <c r="T511" i="1"/>
  <c r="U511" i="1"/>
  <c r="V511" i="1"/>
  <c r="W511" i="1"/>
  <c r="X511" i="1"/>
  <c r="Y511" i="1"/>
  <c r="Z511" i="1"/>
  <c r="AA511" i="1"/>
  <c r="AB511" i="1"/>
  <c r="AC511" i="1"/>
  <c r="AD511" i="1"/>
  <c r="AE511" i="1"/>
  <c r="AF511" i="1"/>
  <c r="AG511" i="1"/>
  <c r="AH511" i="1"/>
  <c r="AI511" i="1"/>
  <c r="AJ511" i="1"/>
  <c r="AK511" i="1"/>
  <c r="AL511" i="1"/>
  <c r="AM511" i="1"/>
  <c r="A512" i="1"/>
  <c r="B512" i="1"/>
  <c r="C512" i="1"/>
  <c r="D512" i="1"/>
  <c r="E512" i="1"/>
  <c r="F512" i="1"/>
  <c r="G512" i="1"/>
  <c r="H512" i="1"/>
  <c r="I512" i="1"/>
  <c r="J512" i="1"/>
  <c r="K512" i="1"/>
  <c r="L512" i="1"/>
  <c r="M512" i="1"/>
  <c r="N512" i="1"/>
  <c r="O512" i="1"/>
  <c r="P512" i="1"/>
  <c r="Q512" i="1"/>
  <c r="R512" i="1"/>
  <c r="S512" i="1"/>
  <c r="T512" i="1"/>
  <c r="U512" i="1"/>
  <c r="V512" i="1"/>
  <c r="W512" i="1"/>
  <c r="X512" i="1"/>
  <c r="Y512" i="1"/>
  <c r="Z512" i="1"/>
  <c r="AA512" i="1"/>
  <c r="AB512" i="1"/>
  <c r="AC512" i="1"/>
  <c r="AD512" i="1"/>
  <c r="AE512" i="1"/>
  <c r="AF512" i="1"/>
  <c r="AG512" i="1"/>
  <c r="AH512" i="1"/>
  <c r="AI512" i="1"/>
  <c r="AJ512" i="1"/>
  <c r="AK512" i="1"/>
  <c r="AL512" i="1"/>
  <c r="AM512" i="1"/>
  <c r="A513" i="1"/>
  <c r="B513" i="1"/>
  <c r="C513" i="1"/>
  <c r="D513" i="1"/>
  <c r="E513" i="1"/>
  <c r="F513" i="1"/>
  <c r="G513" i="1"/>
  <c r="H513" i="1"/>
  <c r="I513" i="1"/>
  <c r="J513" i="1"/>
  <c r="K513" i="1"/>
  <c r="L513" i="1"/>
  <c r="M513" i="1"/>
  <c r="N513" i="1"/>
  <c r="O513" i="1"/>
  <c r="P513" i="1"/>
  <c r="Q513" i="1"/>
  <c r="R513" i="1"/>
  <c r="S513" i="1"/>
  <c r="T513" i="1"/>
  <c r="U513" i="1"/>
  <c r="V513" i="1"/>
  <c r="W513" i="1"/>
  <c r="X513" i="1"/>
  <c r="Y513" i="1"/>
  <c r="Z513" i="1"/>
  <c r="AA513" i="1"/>
  <c r="AB513" i="1"/>
  <c r="AC513" i="1"/>
  <c r="AD513" i="1"/>
  <c r="AE513" i="1"/>
  <c r="AF513" i="1"/>
  <c r="AG513" i="1"/>
  <c r="AH513" i="1"/>
  <c r="AI513" i="1"/>
  <c r="AJ513" i="1"/>
  <c r="AK513" i="1"/>
  <c r="AL513" i="1"/>
  <c r="AM513" i="1"/>
  <c r="A514" i="1"/>
  <c r="B514" i="1"/>
  <c r="C514" i="1"/>
  <c r="D514" i="1"/>
  <c r="E514" i="1"/>
  <c r="F514" i="1"/>
  <c r="G514" i="1"/>
  <c r="H514" i="1"/>
  <c r="I514" i="1"/>
  <c r="J514" i="1"/>
  <c r="K514" i="1"/>
  <c r="L514" i="1"/>
  <c r="M514" i="1"/>
  <c r="N514" i="1"/>
  <c r="O514" i="1"/>
  <c r="P514" i="1"/>
  <c r="Q514" i="1"/>
  <c r="R514" i="1"/>
  <c r="S514" i="1"/>
  <c r="T514" i="1"/>
  <c r="U514" i="1"/>
  <c r="V514" i="1"/>
  <c r="W514" i="1"/>
  <c r="X514" i="1"/>
  <c r="Y514" i="1"/>
  <c r="Z514" i="1"/>
  <c r="AA514" i="1"/>
  <c r="AB514" i="1"/>
  <c r="AC514" i="1"/>
  <c r="AD514" i="1"/>
  <c r="AE514" i="1"/>
  <c r="AF514" i="1"/>
  <c r="AG514" i="1"/>
  <c r="AH514" i="1"/>
  <c r="AI514" i="1"/>
  <c r="AJ514" i="1"/>
  <c r="AK514" i="1"/>
  <c r="AL514" i="1"/>
  <c r="AM514" i="1"/>
  <c r="A515" i="1"/>
  <c r="B515" i="1"/>
  <c r="C515" i="1"/>
  <c r="D515" i="1"/>
  <c r="E515" i="1"/>
  <c r="F515" i="1"/>
  <c r="G515" i="1"/>
  <c r="H515" i="1"/>
  <c r="I515" i="1"/>
  <c r="J515" i="1"/>
  <c r="K515" i="1"/>
  <c r="L515" i="1"/>
  <c r="M515" i="1"/>
  <c r="N515" i="1"/>
  <c r="O515" i="1"/>
  <c r="P515" i="1"/>
  <c r="Q515" i="1"/>
  <c r="R515" i="1"/>
  <c r="S515" i="1"/>
  <c r="T515" i="1"/>
  <c r="U515" i="1"/>
  <c r="V515" i="1"/>
  <c r="W515" i="1"/>
  <c r="X515" i="1"/>
  <c r="Y515" i="1"/>
  <c r="Z515" i="1"/>
  <c r="AA515" i="1"/>
  <c r="AB515" i="1"/>
  <c r="AC515" i="1"/>
  <c r="AD515" i="1"/>
  <c r="AE515" i="1"/>
  <c r="AF515" i="1"/>
  <c r="AG515" i="1"/>
  <c r="AH515" i="1"/>
  <c r="AI515" i="1"/>
  <c r="AJ515" i="1"/>
  <c r="AK515" i="1"/>
  <c r="AL515" i="1"/>
  <c r="AM515" i="1"/>
  <c r="A516" i="1"/>
  <c r="B516" i="1"/>
  <c r="C516" i="1"/>
  <c r="D516" i="1"/>
  <c r="E516" i="1"/>
  <c r="F516" i="1"/>
  <c r="G516" i="1"/>
  <c r="H516" i="1"/>
  <c r="I516" i="1"/>
  <c r="J516" i="1"/>
  <c r="K516" i="1"/>
  <c r="L516" i="1"/>
  <c r="M516" i="1"/>
  <c r="N516" i="1"/>
  <c r="O516" i="1"/>
  <c r="P516" i="1"/>
  <c r="Q516" i="1"/>
  <c r="R516" i="1"/>
  <c r="S516" i="1"/>
  <c r="T516" i="1"/>
  <c r="U516" i="1"/>
  <c r="V516" i="1"/>
  <c r="W516" i="1"/>
  <c r="X516" i="1"/>
  <c r="Y516" i="1"/>
  <c r="Z516" i="1"/>
  <c r="AA516" i="1"/>
  <c r="AB516" i="1"/>
  <c r="AC516" i="1"/>
  <c r="AD516" i="1"/>
  <c r="AE516" i="1"/>
  <c r="AF516" i="1"/>
  <c r="AG516" i="1"/>
  <c r="AH516" i="1"/>
  <c r="AI516" i="1"/>
  <c r="AJ516" i="1"/>
  <c r="AK516" i="1"/>
  <c r="AL516" i="1"/>
  <c r="AM516" i="1"/>
  <c r="A517" i="1"/>
  <c r="B517" i="1"/>
  <c r="C517" i="1"/>
  <c r="D517" i="1"/>
  <c r="E517" i="1"/>
  <c r="F517" i="1"/>
  <c r="G517" i="1"/>
  <c r="H517" i="1"/>
  <c r="I517" i="1"/>
  <c r="J517" i="1"/>
  <c r="K517" i="1"/>
  <c r="L517" i="1"/>
  <c r="M517" i="1"/>
  <c r="N517" i="1"/>
  <c r="O517" i="1"/>
  <c r="P517" i="1"/>
  <c r="Q517" i="1"/>
  <c r="R517" i="1"/>
  <c r="S517" i="1"/>
  <c r="T517" i="1"/>
  <c r="U517" i="1"/>
  <c r="V517" i="1"/>
  <c r="W517" i="1"/>
  <c r="X517" i="1"/>
  <c r="Y517" i="1"/>
  <c r="Z517" i="1"/>
  <c r="AA517" i="1"/>
  <c r="AB517" i="1"/>
  <c r="AC517" i="1"/>
  <c r="AD517" i="1"/>
  <c r="AE517" i="1"/>
  <c r="AF517" i="1"/>
  <c r="AG517" i="1"/>
  <c r="AH517" i="1"/>
  <c r="AI517" i="1"/>
  <c r="AJ517" i="1"/>
  <c r="AK517" i="1"/>
  <c r="AL517" i="1"/>
  <c r="AM517" i="1"/>
  <c r="A518" i="1"/>
  <c r="B518" i="1"/>
  <c r="C518" i="1"/>
  <c r="D518" i="1"/>
  <c r="E518" i="1"/>
  <c r="F518" i="1"/>
  <c r="G518" i="1"/>
  <c r="H518" i="1"/>
  <c r="I518" i="1"/>
  <c r="J518" i="1"/>
  <c r="K518" i="1"/>
  <c r="L518" i="1"/>
  <c r="M518" i="1"/>
  <c r="N518" i="1"/>
  <c r="O518" i="1"/>
  <c r="P518" i="1"/>
  <c r="Q518" i="1"/>
  <c r="R518" i="1"/>
  <c r="S518" i="1"/>
  <c r="T518" i="1"/>
  <c r="U518" i="1"/>
  <c r="V518" i="1"/>
  <c r="W518" i="1"/>
  <c r="X518" i="1"/>
  <c r="Y518" i="1"/>
  <c r="Z518" i="1"/>
  <c r="AA518" i="1"/>
  <c r="AB518" i="1"/>
  <c r="AC518" i="1"/>
  <c r="AD518" i="1"/>
  <c r="AE518" i="1"/>
  <c r="AF518" i="1"/>
  <c r="AG518" i="1"/>
  <c r="AH518" i="1"/>
  <c r="AI518" i="1"/>
  <c r="AJ518" i="1"/>
  <c r="AK518" i="1"/>
  <c r="AL518" i="1"/>
  <c r="AM518" i="1"/>
  <c r="A519" i="1"/>
  <c r="B519" i="1"/>
  <c r="C519" i="1"/>
  <c r="D519" i="1"/>
  <c r="E519" i="1"/>
  <c r="F519" i="1"/>
  <c r="G519" i="1"/>
  <c r="H519" i="1"/>
  <c r="I519" i="1"/>
  <c r="J519" i="1"/>
  <c r="K519" i="1"/>
  <c r="L519" i="1"/>
  <c r="M519" i="1"/>
  <c r="N519" i="1"/>
  <c r="O519" i="1"/>
  <c r="P519" i="1"/>
  <c r="Q519" i="1"/>
  <c r="R519" i="1"/>
  <c r="S519" i="1"/>
  <c r="T519" i="1"/>
  <c r="U519" i="1"/>
  <c r="V519" i="1"/>
  <c r="W519" i="1"/>
  <c r="X519" i="1"/>
  <c r="Y519" i="1"/>
  <c r="Z519" i="1"/>
  <c r="AA519" i="1"/>
  <c r="AB519" i="1"/>
  <c r="AC519" i="1"/>
  <c r="AD519" i="1"/>
  <c r="AE519" i="1"/>
  <c r="AF519" i="1"/>
  <c r="AG519" i="1"/>
  <c r="AH519" i="1"/>
  <c r="AI519" i="1"/>
  <c r="AJ519" i="1"/>
  <c r="AK519" i="1"/>
  <c r="AL519" i="1"/>
  <c r="AM519" i="1"/>
  <c r="A520" i="1"/>
  <c r="B520" i="1"/>
  <c r="C520" i="1"/>
  <c r="D520" i="1"/>
  <c r="E520" i="1"/>
  <c r="F520" i="1"/>
  <c r="G520" i="1"/>
  <c r="H520" i="1"/>
  <c r="I520" i="1"/>
  <c r="J520" i="1"/>
  <c r="K520" i="1"/>
  <c r="L520" i="1"/>
  <c r="M520" i="1"/>
  <c r="N520" i="1"/>
  <c r="O520" i="1"/>
  <c r="P520" i="1"/>
  <c r="Q520" i="1"/>
  <c r="R520" i="1"/>
  <c r="S520" i="1"/>
  <c r="T520" i="1"/>
  <c r="U520" i="1"/>
  <c r="V520" i="1"/>
  <c r="W520" i="1"/>
  <c r="X520" i="1"/>
  <c r="Y520" i="1"/>
  <c r="Z520" i="1"/>
  <c r="AA520" i="1"/>
  <c r="AB520" i="1"/>
  <c r="AC520" i="1"/>
  <c r="AD520" i="1"/>
  <c r="AE520" i="1"/>
  <c r="AF520" i="1"/>
  <c r="AG520" i="1"/>
  <c r="AH520" i="1"/>
  <c r="AI520" i="1"/>
  <c r="AJ520" i="1"/>
  <c r="AK520" i="1"/>
  <c r="AL520" i="1"/>
  <c r="AM520" i="1"/>
  <c r="A521" i="1"/>
  <c r="B521" i="1"/>
  <c r="C521" i="1"/>
  <c r="D521" i="1"/>
  <c r="E521" i="1"/>
  <c r="F521" i="1"/>
  <c r="G521" i="1"/>
  <c r="H521" i="1"/>
  <c r="I521" i="1"/>
  <c r="J521" i="1"/>
  <c r="K521" i="1"/>
  <c r="L521" i="1"/>
  <c r="M521" i="1"/>
  <c r="N521" i="1"/>
  <c r="O521" i="1"/>
  <c r="P521" i="1"/>
  <c r="Q521" i="1"/>
  <c r="R521" i="1"/>
  <c r="S521" i="1"/>
  <c r="T521" i="1"/>
  <c r="U521" i="1"/>
  <c r="V521" i="1"/>
  <c r="W521" i="1"/>
  <c r="X521" i="1"/>
  <c r="Y521" i="1"/>
  <c r="Z521" i="1"/>
  <c r="AA521" i="1"/>
  <c r="AB521" i="1"/>
  <c r="AC521" i="1"/>
  <c r="AD521" i="1"/>
  <c r="AE521" i="1"/>
  <c r="AF521" i="1"/>
  <c r="AG521" i="1"/>
  <c r="AH521" i="1"/>
  <c r="AI521" i="1"/>
  <c r="AJ521" i="1"/>
  <c r="AK521" i="1"/>
  <c r="AL521" i="1"/>
  <c r="AM521" i="1"/>
  <c r="A522" i="1"/>
  <c r="B522" i="1"/>
  <c r="C522" i="1"/>
  <c r="D522" i="1"/>
  <c r="E522" i="1"/>
  <c r="F522" i="1"/>
  <c r="G522" i="1"/>
  <c r="H522" i="1"/>
  <c r="I522" i="1"/>
  <c r="J522" i="1"/>
  <c r="K522" i="1"/>
  <c r="L522" i="1"/>
  <c r="M522" i="1"/>
  <c r="N522" i="1"/>
  <c r="O522" i="1"/>
  <c r="P522" i="1"/>
  <c r="Q522" i="1"/>
  <c r="R522" i="1"/>
  <c r="S522" i="1"/>
  <c r="T522" i="1"/>
  <c r="U522" i="1"/>
  <c r="V522" i="1"/>
  <c r="W522" i="1"/>
  <c r="X522" i="1"/>
  <c r="Y522" i="1"/>
  <c r="Z522" i="1"/>
  <c r="AA522" i="1"/>
  <c r="AB522" i="1"/>
  <c r="AC522" i="1"/>
  <c r="AD522" i="1"/>
  <c r="AE522" i="1"/>
  <c r="AF522" i="1"/>
  <c r="AG522" i="1"/>
  <c r="AH522" i="1"/>
  <c r="AI522" i="1"/>
  <c r="AJ522" i="1"/>
  <c r="AK522" i="1"/>
  <c r="AL522" i="1"/>
  <c r="AM522" i="1"/>
  <c r="A523" i="1"/>
  <c r="B523" i="1"/>
  <c r="C523" i="1"/>
  <c r="D523" i="1"/>
  <c r="E523" i="1"/>
  <c r="F523" i="1"/>
  <c r="G523" i="1"/>
  <c r="H523" i="1"/>
  <c r="I523" i="1"/>
  <c r="J523" i="1"/>
  <c r="K523" i="1"/>
  <c r="L523" i="1"/>
  <c r="M523" i="1"/>
  <c r="N523" i="1"/>
  <c r="O523" i="1"/>
  <c r="P523" i="1"/>
  <c r="Q523" i="1"/>
  <c r="R523" i="1"/>
  <c r="S523" i="1"/>
  <c r="T523" i="1"/>
  <c r="U523" i="1"/>
  <c r="V523" i="1"/>
  <c r="W523" i="1"/>
  <c r="X523" i="1"/>
  <c r="Y523" i="1"/>
  <c r="Z523" i="1"/>
  <c r="AA523" i="1"/>
  <c r="AB523" i="1"/>
  <c r="AC523" i="1"/>
  <c r="AD523" i="1"/>
  <c r="AE523" i="1"/>
  <c r="AF523" i="1"/>
  <c r="AG523" i="1"/>
  <c r="AH523" i="1"/>
  <c r="AI523" i="1"/>
  <c r="AJ523" i="1"/>
  <c r="AK523" i="1"/>
  <c r="AL523" i="1"/>
  <c r="AM523" i="1"/>
  <c r="A524" i="1"/>
  <c r="B524" i="1"/>
  <c r="C524" i="1"/>
  <c r="D524" i="1"/>
  <c r="E524" i="1"/>
  <c r="F524" i="1"/>
  <c r="G524" i="1"/>
  <c r="H524" i="1"/>
  <c r="I524" i="1"/>
  <c r="J524" i="1"/>
  <c r="K524" i="1"/>
  <c r="L524" i="1"/>
  <c r="M524" i="1"/>
  <c r="N524" i="1"/>
  <c r="O524" i="1"/>
  <c r="P524" i="1"/>
  <c r="Q524" i="1"/>
  <c r="R524" i="1"/>
  <c r="S524" i="1"/>
  <c r="T524" i="1"/>
  <c r="U524" i="1"/>
  <c r="V524" i="1"/>
  <c r="W524" i="1"/>
  <c r="X524" i="1"/>
  <c r="Y524" i="1"/>
  <c r="Z524" i="1"/>
  <c r="AA524" i="1"/>
  <c r="AB524" i="1"/>
  <c r="AC524" i="1"/>
  <c r="AD524" i="1"/>
  <c r="AE524" i="1"/>
  <c r="AF524" i="1"/>
  <c r="AG524" i="1"/>
  <c r="AH524" i="1"/>
  <c r="AI524" i="1"/>
  <c r="AJ524" i="1"/>
  <c r="AK524" i="1"/>
  <c r="AL524" i="1"/>
  <c r="AM524" i="1"/>
  <c r="A525" i="1"/>
  <c r="B525" i="1"/>
  <c r="C525" i="1"/>
  <c r="D525" i="1"/>
  <c r="E525" i="1"/>
  <c r="F525" i="1"/>
  <c r="G525" i="1"/>
  <c r="H525" i="1"/>
  <c r="I525" i="1"/>
  <c r="J525" i="1"/>
  <c r="K525" i="1"/>
  <c r="L525" i="1"/>
  <c r="M525" i="1"/>
  <c r="N525" i="1"/>
  <c r="O525" i="1"/>
  <c r="P525" i="1"/>
  <c r="Q525" i="1"/>
  <c r="R525" i="1"/>
  <c r="S525" i="1"/>
  <c r="T525" i="1"/>
  <c r="U525" i="1"/>
  <c r="V525" i="1"/>
  <c r="W525" i="1"/>
  <c r="X525" i="1"/>
  <c r="Y525" i="1"/>
  <c r="Z525" i="1"/>
  <c r="AA525" i="1"/>
  <c r="AB525" i="1"/>
  <c r="AC525" i="1"/>
  <c r="AD525" i="1"/>
  <c r="AE525" i="1"/>
  <c r="AF525" i="1"/>
  <c r="AG525" i="1"/>
  <c r="AH525" i="1"/>
  <c r="AI525" i="1"/>
  <c r="AJ525" i="1"/>
  <c r="AK525" i="1"/>
  <c r="AL525" i="1"/>
  <c r="AM525" i="1"/>
  <c r="A526" i="1"/>
  <c r="B526" i="1"/>
  <c r="C526" i="1"/>
  <c r="D526" i="1"/>
  <c r="E526" i="1"/>
  <c r="F526" i="1"/>
  <c r="G526" i="1"/>
  <c r="H526" i="1"/>
  <c r="I526" i="1"/>
  <c r="J526" i="1"/>
  <c r="K526" i="1"/>
  <c r="L526" i="1"/>
  <c r="M526" i="1"/>
  <c r="N526" i="1"/>
  <c r="O526" i="1"/>
  <c r="P526" i="1"/>
  <c r="Q526" i="1"/>
  <c r="R526" i="1"/>
  <c r="S526" i="1"/>
  <c r="T526" i="1"/>
  <c r="U526" i="1"/>
  <c r="V526" i="1"/>
  <c r="W526" i="1"/>
  <c r="X526" i="1"/>
  <c r="Y526" i="1"/>
  <c r="Z526" i="1"/>
  <c r="AA526" i="1"/>
  <c r="AB526" i="1"/>
  <c r="AC526" i="1"/>
  <c r="AD526" i="1"/>
  <c r="AE526" i="1"/>
  <c r="AF526" i="1"/>
  <c r="AG526" i="1"/>
  <c r="AH526" i="1"/>
  <c r="AI526" i="1"/>
  <c r="AJ526" i="1"/>
  <c r="AK526" i="1"/>
  <c r="AL526" i="1"/>
  <c r="AM526" i="1"/>
  <c r="A527" i="1"/>
  <c r="B527" i="1"/>
  <c r="C527" i="1"/>
  <c r="D527" i="1"/>
  <c r="E527" i="1"/>
  <c r="F527" i="1"/>
  <c r="G527" i="1"/>
  <c r="H527" i="1"/>
  <c r="I527" i="1"/>
  <c r="J527" i="1"/>
  <c r="K527" i="1"/>
  <c r="L527" i="1"/>
  <c r="M527" i="1"/>
  <c r="N527" i="1"/>
  <c r="O527" i="1"/>
  <c r="P527" i="1"/>
  <c r="Q527" i="1"/>
  <c r="R527" i="1"/>
  <c r="S527" i="1"/>
  <c r="T527" i="1"/>
  <c r="U527" i="1"/>
  <c r="V527" i="1"/>
  <c r="W527" i="1"/>
  <c r="X527" i="1"/>
  <c r="Y527" i="1"/>
  <c r="Z527" i="1"/>
  <c r="AA527" i="1"/>
  <c r="AB527" i="1"/>
  <c r="AC527" i="1"/>
  <c r="AD527" i="1"/>
  <c r="AE527" i="1"/>
  <c r="AF527" i="1"/>
  <c r="AG527" i="1"/>
  <c r="AH527" i="1"/>
  <c r="AI527" i="1"/>
  <c r="AJ527" i="1"/>
  <c r="AK527" i="1"/>
  <c r="AL527" i="1"/>
  <c r="AM527" i="1"/>
  <c r="A528" i="1"/>
  <c r="B528" i="1"/>
  <c r="C528" i="1"/>
  <c r="D528" i="1"/>
  <c r="E528" i="1"/>
  <c r="F528" i="1"/>
  <c r="G528" i="1"/>
  <c r="H528" i="1"/>
  <c r="I528" i="1"/>
  <c r="J528" i="1"/>
  <c r="K528" i="1"/>
  <c r="L528" i="1"/>
  <c r="M528" i="1"/>
  <c r="N528" i="1"/>
  <c r="O528" i="1"/>
  <c r="P528" i="1"/>
  <c r="Q528" i="1"/>
  <c r="R528" i="1"/>
  <c r="S528" i="1"/>
  <c r="T528" i="1"/>
  <c r="U528" i="1"/>
  <c r="V528" i="1"/>
  <c r="W528" i="1"/>
  <c r="X528" i="1"/>
  <c r="Y528" i="1"/>
  <c r="Z528" i="1"/>
  <c r="AA528" i="1"/>
  <c r="AB528" i="1"/>
  <c r="AC528" i="1"/>
  <c r="AD528" i="1"/>
  <c r="AE528" i="1"/>
  <c r="AF528" i="1"/>
  <c r="AG528" i="1"/>
  <c r="AH528" i="1"/>
  <c r="AI528" i="1"/>
  <c r="AJ528" i="1"/>
  <c r="AK528" i="1"/>
  <c r="AL528" i="1"/>
  <c r="AM528" i="1"/>
  <c r="A529" i="1"/>
  <c r="B529" i="1"/>
  <c r="C529" i="1"/>
  <c r="D529" i="1"/>
  <c r="E529" i="1"/>
  <c r="F529" i="1"/>
  <c r="G529" i="1"/>
  <c r="H529" i="1"/>
  <c r="I529" i="1"/>
  <c r="J529" i="1"/>
  <c r="K529" i="1"/>
  <c r="L529" i="1"/>
  <c r="M529" i="1"/>
  <c r="N529" i="1"/>
  <c r="O529" i="1"/>
  <c r="P529" i="1"/>
  <c r="Q529" i="1"/>
  <c r="R529" i="1"/>
  <c r="S529" i="1"/>
  <c r="T529" i="1"/>
  <c r="U529" i="1"/>
  <c r="V529" i="1"/>
  <c r="W529" i="1"/>
  <c r="X529" i="1"/>
  <c r="Y529" i="1"/>
  <c r="Z529" i="1"/>
  <c r="AA529" i="1"/>
  <c r="AB529" i="1"/>
  <c r="AC529" i="1"/>
  <c r="AD529" i="1"/>
  <c r="AE529" i="1"/>
  <c r="AF529" i="1"/>
  <c r="AG529" i="1"/>
  <c r="AH529" i="1"/>
  <c r="AI529" i="1"/>
  <c r="AJ529" i="1"/>
  <c r="AK529" i="1"/>
  <c r="AL529" i="1"/>
  <c r="AM529" i="1"/>
  <c r="A530" i="1"/>
  <c r="B530" i="1"/>
  <c r="C530" i="1"/>
  <c r="D530" i="1"/>
  <c r="E530" i="1"/>
  <c r="F530" i="1"/>
  <c r="G530" i="1"/>
  <c r="H530" i="1"/>
  <c r="I530" i="1"/>
  <c r="J530" i="1"/>
  <c r="K530" i="1"/>
  <c r="L530" i="1"/>
  <c r="M530" i="1"/>
  <c r="N530" i="1"/>
  <c r="O530" i="1"/>
  <c r="P530" i="1"/>
  <c r="Q530" i="1"/>
  <c r="R530" i="1"/>
  <c r="S530" i="1"/>
  <c r="T530" i="1"/>
  <c r="U530" i="1"/>
  <c r="V530" i="1"/>
  <c r="W530" i="1"/>
  <c r="X530" i="1"/>
  <c r="Y530" i="1"/>
  <c r="Z530" i="1"/>
  <c r="AA530" i="1"/>
  <c r="AB530" i="1"/>
  <c r="AC530" i="1"/>
  <c r="AD530" i="1"/>
  <c r="AE530" i="1"/>
  <c r="AF530" i="1"/>
  <c r="AG530" i="1"/>
  <c r="AH530" i="1"/>
  <c r="AI530" i="1"/>
  <c r="AJ530" i="1"/>
  <c r="AK530" i="1"/>
  <c r="AL530" i="1"/>
  <c r="AM530" i="1"/>
  <c r="A531" i="1"/>
  <c r="B531" i="1"/>
  <c r="C531" i="1"/>
  <c r="D531" i="1"/>
  <c r="E531" i="1"/>
  <c r="F531" i="1"/>
  <c r="G531" i="1"/>
  <c r="H531" i="1"/>
  <c r="I531" i="1"/>
  <c r="J531" i="1"/>
  <c r="K531" i="1"/>
  <c r="L531" i="1"/>
  <c r="M531" i="1"/>
  <c r="N531" i="1"/>
  <c r="O531" i="1"/>
  <c r="P531" i="1"/>
  <c r="Q531" i="1"/>
  <c r="R531" i="1"/>
  <c r="S531" i="1"/>
  <c r="T531" i="1"/>
  <c r="U531" i="1"/>
  <c r="V531" i="1"/>
  <c r="W531" i="1"/>
  <c r="X531" i="1"/>
  <c r="Y531" i="1"/>
  <c r="Z531" i="1"/>
  <c r="AA531" i="1"/>
  <c r="AB531" i="1"/>
  <c r="AC531" i="1"/>
  <c r="AD531" i="1"/>
  <c r="AE531" i="1"/>
  <c r="AF531" i="1"/>
  <c r="AG531" i="1"/>
  <c r="AH531" i="1"/>
  <c r="AI531" i="1"/>
  <c r="AJ531" i="1"/>
  <c r="AK531" i="1"/>
  <c r="AL531" i="1"/>
  <c r="AM531" i="1"/>
  <c r="A532" i="1"/>
  <c r="B532" i="1"/>
  <c r="C532" i="1"/>
  <c r="D532" i="1"/>
  <c r="E532" i="1"/>
  <c r="F532" i="1"/>
  <c r="G532" i="1"/>
  <c r="H532" i="1"/>
  <c r="I532" i="1"/>
  <c r="J532" i="1"/>
  <c r="K532" i="1"/>
  <c r="L532" i="1"/>
  <c r="M532" i="1"/>
  <c r="N532" i="1"/>
  <c r="O532" i="1"/>
  <c r="P532" i="1"/>
  <c r="Q532" i="1"/>
  <c r="R532" i="1"/>
  <c r="S532" i="1"/>
  <c r="T532" i="1"/>
  <c r="U532" i="1"/>
  <c r="V532" i="1"/>
  <c r="W532" i="1"/>
  <c r="X532" i="1"/>
  <c r="Y532" i="1"/>
  <c r="Z532" i="1"/>
  <c r="AA532" i="1"/>
  <c r="AB532" i="1"/>
  <c r="AC532" i="1"/>
  <c r="AD532" i="1"/>
  <c r="AE532" i="1"/>
  <c r="AF532" i="1"/>
  <c r="AG532" i="1"/>
  <c r="AH532" i="1"/>
  <c r="AI532" i="1"/>
  <c r="AJ532" i="1"/>
  <c r="AK532" i="1"/>
  <c r="AL532" i="1"/>
  <c r="AM532" i="1"/>
  <c r="A533" i="1"/>
  <c r="B533" i="1"/>
  <c r="C533" i="1"/>
  <c r="D533" i="1"/>
  <c r="E533" i="1"/>
  <c r="F533" i="1"/>
  <c r="G533" i="1"/>
  <c r="H533" i="1"/>
  <c r="I533" i="1"/>
  <c r="J533" i="1"/>
  <c r="K533" i="1"/>
  <c r="L533" i="1"/>
  <c r="M533" i="1"/>
  <c r="N533" i="1"/>
  <c r="O533" i="1"/>
  <c r="P533" i="1"/>
  <c r="Q533" i="1"/>
  <c r="R533" i="1"/>
  <c r="S533" i="1"/>
  <c r="T533" i="1"/>
  <c r="U533" i="1"/>
  <c r="V533" i="1"/>
  <c r="W533" i="1"/>
  <c r="X533" i="1"/>
  <c r="Y533" i="1"/>
  <c r="Z533" i="1"/>
  <c r="AA533" i="1"/>
  <c r="AB533" i="1"/>
  <c r="AC533" i="1"/>
  <c r="AD533" i="1"/>
  <c r="AE533" i="1"/>
  <c r="AF533" i="1"/>
  <c r="AG533" i="1"/>
  <c r="AH533" i="1"/>
  <c r="AI533" i="1"/>
  <c r="AJ533" i="1"/>
  <c r="AK533" i="1"/>
  <c r="AL533" i="1"/>
  <c r="AM533" i="1"/>
  <c r="A534" i="1"/>
  <c r="B534" i="1"/>
  <c r="C534" i="1"/>
  <c r="D534" i="1"/>
  <c r="E534" i="1"/>
  <c r="F534" i="1"/>
  <c r="G534" i="1"/>
  <c r="H534" i="1"/>
  <c r="I534" i="1"/>
  <c r="J534" i="1"/>
  <c r="K534" i="1"/>
  <c r="L534" i="1"/>
  <c r="M534" i="1"/>
  <c r="N534" i="1"/>
  <c r="O534" i="1"/>
  <c r="P534" i="1"/>
  <c r="Q534" i="1"/>
  <c r="R534" i="1"/>
  <c r="S534" i="1"/>
  <c r="T534" i="1"/>
  <c r="U534" i="1"/>
  <c r="V534" i="1"/>
  <c r="W534" i="1"/>
  <c r="X534" i="1"/>
  <c r="Y534" i="1"/>
  <c r="Z534" i="1"/>
  <c r="AA534" i="1"/>
  <c r="AB534" i="1"/>
  <c r="AC534" i="1"/>
  <c r="AD534" i="1"/>
  <c r="AE534" i="1"/>
  <c r="AF534" i="1"/>
  <c r="AG534" i="1"/>
  <c r="AH534" i="1"/>
  <c r="AI534" i="1"/>
  <c r="AJ534" i="1"/>
  <c r="AK534" i="1"/>
  <c r="AL534" i="1"/>
  <c r="AM534" i="1"/>
  <c r="A535" i="1"/>
  <c r="B535" i="1"/>
  <c r="C535" i="1"/>
  <c r="D535" i="1"/>
  <c r="E535" i="1"/>
  <c r="F535" i="1"/>
  <c r="G535" i="1"/>
  <c r="H535" i="1"/>
  <c r="I535" i="1"/>
  <c r="J535" i="1"/>
  <c r="K535" i="1"/>
  <c r="L535" i="1"/>
  <c r="M535" i="1"/>
  <c r="N535" i="1"/>
  <c r="O535" i="1"/>
  <c r="P535" i="1"/>
  <c r="Q535" i="1"/>
  <c r="R535" i="1"/>
  <c r="S535" i="1"/>
  <c r="T535" i="1"/>
  <c r="U535" i="1"/>
  <c r="V535" i="1"/>
  <c r="W535" i="1"/>
  <c r="X535" i="1"/>
  <c r="Y535" i="1"/>
  <c r="Z535" i="1"/>
  <c r="AA535" i="1"/>
  <c r="AB535" i="1"/>
  <c r="AC535" i="1"/>
  <c r="AD535" i="1"/>
  <c r="AE535" i="1"/>
  <c r="AF535" i="1"/>
  <c r="AG535" i="1"/>
  <c r="AH535" i="1"/>
  <c r="AI535" i="1"/>
  <c r="AJ535" i="1"/>
  <c r="AK535" i="1"/>
  <c r="AL535" i="1"/>
  <c r="AM535" i="1"/>
  <c r="A536" i="1"/>
  <c r="B536" i="1"/>
  <c r="C536" i="1"/>
  <c r="D536" i="1"/>
  <c r="E536" i="1"/>
  <c r="F536" i="1"/>
  <c r="G536" i="1"/>
  <c r="H536" i="1"/>
  <c r="I536" i="1"/>
  <c r="J536" i="1"/>
  <c r="K536" i="1"/>
  <c r="L536" i="1"/>
  <c r="M536" i="1"/>
  <c r="N536" i="1"/>
  <c r="O536" i="1"/>
  <c r="P536" i="1"/>
  <c r="Q536" i="1"/>
  <c r="R536" i="1"/>
  <c r="S536" i="1"/>
  <c r="T536" i="1"/>
  <c r="U536" i="1"/>
  <c r="V536" i="1"/>
  <c r="W536" i="1"/>
  <c r="X536" i="1"/>
  <c r="Y536" i="1"/>
  <c r="Z536" i="1"/>
  <c r="AA536" i="1"/>
  <c r="AB536" i="1"/>
  <c r="AC536" i="1"/>
  <c r="AD536" i="1"/>
  <c r="AE536" i="1"/>
  <c r="AF536" i="1"/>
  <c r="AG536" i="1"/>
  <c r="AH536" i="1"/>
  <c r="AI536" i="1"/>
  <c r="AJ536" i="1"/>
  <c r="AK536" i="1"/>
  <c r="AL536" i="1"/>
  <c r="AM536" i="1"/>
  <c r="A537" i="1"/>
  <c r="B537" i="1"/>
  <c r="C537" i="1"/>
  <c r="D537" i="1"/>
  <c r="E537" i="1"/>
  <c r="F537" i="1"/>
  <c r="G537" i="1"/>
  <c r="H537" i="1"/>
  <c r="I537" i="1"/>
  <c r="J537" i="1"/>
  <c r="K537" i="1"/>
  <c r="L537" i="1"/>
  <c r="M537" i="1"/>
  <c r="N537" i="1"/>
  <c r="O537" i="1"/>
  <c r="P537" i="1"/>
  <c r="Q537" i="1"/>
  <c r="R537" i="1"/>
  <c r="S537" i="1"/>
  <c r="T537" i="1"/>
  <c r="U537" i="1"/>
  <c r="V537" i="1"/>
  <c r="W537" i="1"/>
  <c r="X537" i="1"/>
  <c r="Y537" i="1"/>
  <c r="Z537" i="1"/>
  <c r="AA537" i="1"/>
  <c r="AB537" i="1"/>
  <c r="AC537" i="1"/>
  <c r="AD537" i="1"/>
  <c r="AE537" i="1"/>
  <c r="AF537" i="1"/>
  <c r="AG537" i="1"/>
  <c r="AH537" i="1"/>
  <c r="AI537" i="1"/>
  <c r="AJ537" i="1"/>
  <c r="AK537" i="1"/>
  <c r="AL537" i="1"/>
  <c r="AM537" i="1"/>
  <c r="A538" i="1"/>
  <c r="B538" i="1"/>
  <c r="C538" i="1"/>
  <c r="D538" i="1"/>
  <c r="E538" i="1"/>
  <c r="F538" i="1"/>
  <c r="G538" i="1"/>
  <c r="H538" i="1"/>
  <c r="I538" i="1"/>
  <c r="J538" i="1"/>
  <c r="K538" i="1"/>
  <c r="L538" i="1"/>
  <c r="M538" i="1"/>
  <c r="N538" i="1"/>
  <c r="O538" i="1"/>
  <c r="P538" i="1"/>
  <c r="Q538" i="1"/>
  <c r="R538" i="1"/>
  <c r="S538" i="1"/>
  <c r="T538" i="1"/>
  <c r="U538" i="1"/>
  <c r="V538" i="1"/>
  <c r="W538" i="1"/>
  <c r="X538" i="1"/>
  <c r="Y538" i="1"/>
  <c r="Z538" i="1"/>
  <c r="AA538" i="1"/>
  <c r="AB538" i="1"/>
  <c r="AC538" i="1"/>
  <c r="AD538" i="1"/>
  <c r="AE538" i="1"/>
  <c r="AF538" i="1"/>
  <c r="AG538" i="1"/>
  <c r="AH538" i="1"/>
  <c r="AI538" i="1"/>
  <c r="AJ538" i="1"/>
  <c r="AK538" i="1"/>
  <c r="AL538" i="1"/>
  <c r="AM538" i="1"/>
  <c r="A539" i="1"/>
  <c r="B539" i="1"/>
  <c r="C539" i="1"/>
  <c r="D539" i="1"/>
  <c r="E539" i="1"/>
  <c r="F539" i="1"/>
  <c r="G539" i="1"/>
  <c r="H539" i="1"/>
  <c r="I539" i="1"/>
  <c r="J539" i="1"/>
  <c r="K539" i="1"/>
  <c r="L539" i="1"/>
  <c r="M539" i="1"/>
  <c r="N539" i="1"/>
  <c r="O539" i="1"/>
  <c r="P539" i="1"/>
  <c r="Q539" i="1"/>
  <c r="R539" i="1"/>
  <c r="S539" i="1"/>
  <c r="T539" i="1"/>
  <c r="U539" i="1"/>
  <c r="V539" i="1"/>
  <c r="W539" i="1"/>
  <c r="X539" i="1"/>
  <c r="Y539" i="1"/>
  <c r="Z539" i="1"/>
  <c r="AA539" i="1"/>
  <c r="AB539" i="1"/>
  <c r="AC539" i="1"/>
  <c r="AD539" i="1"/>
  <c r="AE539" i="1"/>
  <c r="AF539" i="1"/>
  <c r="AG539" i="1"/>
  <c r="AH539" i="1"/>
  <c r="AI539" i="1"/>
  <c r="AJ539" i="1"/>
  <c r="AK539" i="1"/>
  <c r="AL539" i="1"/>
  <c r="AM539" i="1"/>
  <c r="A540" i="1"/>
  <c r="B540" i="1"/>
  <c r="C540" i="1"/>
  <c r="D540" i="1"/>
  <c r="E540" i="1"/>
  <c r="F540" i="1"/>
  <c r="G540" i="1"/>
  <c r="H540" i="1"/>
  <c r="I540" i="1"/>
  <c r="J540" i="1"/>
  <c r="K540" i="1"/>
  <c r="L540" i="1"/>
  <c r="M540" i="1"/>
  <c r="N540" i="1"/>
  <c r="O540" i="1"/>
  <c r="P540" i="1"/>
  <c r="Q540" i="1"/>
  <c r="R540" i="1"/>
  <c r="S540" i="1"/>
  <c r="T540" i="1"/>
  <c r="U540" i="1"/>
  <c r="V540" i="1"/>
  <c r="W540" i="1"/>
  <c r="X540" i="1"/>
  <c r="Y540" i="1"/>
  <c r="Z540" i="1"/>
  <c r="AA540" i="1"/>
  <c r="AB540" i="1"/>
  <c r="AC540" i="1"/>
  <c r="AD540" i="1"/>
  <c r="AE540" i="1"/>
  <c r="AF540" i="1"/>
  <c r="AG540" i="1"/>
  <c r="AH540" i="1"/>
  <c r="AI540" i="1"/>
  <c r="AJ540" i="1"/>
  <c r="AK540" i="1"/>
  <c r="AL540" i="1"/>
  <c r="AM540" i="1"/>
  <c r="A541" i="1"/>
  <c r="B541" i="1"/>
  <c r="C541" i="1"/>
  <c r="D541" i="1"/>
  <c r="E541" i="1"/>
  <c r="F541" i="1"/>
  <c r="G541" i="1"/>
  <c r="H541" i="1"/>
  <c r="I541" i="1"/>
  <c r="J541" i="1"/>
  <c r="K541" i="1"/>
  <c r="L541" i="1"/>
  <c r="M541" i="1"/>
  <c r="N541" i="1"/>
  <c r="O541" i="1"/>
  <c r="P541" i="1"/>
  <c r="Q541" i="1"/>
  <c r="R541" i="1"/>
  <c r="S541" i="1"/>
  <c r="T541" i="1"/>
  <c r="U541" i="1"/>
  <c r="V541" i="1"/>
  <c r="W541" i="1"/>
  <c r="X541" i="1"/>
  <c r="Y541" i="1"/>
  <c r="Z541" i="1"/>
  <c r="AA541" i="1"/>
  <c r="AB541" i="1"/>
  <c r="AC541" i="1"/>
  <c r="AD541" i="1"/>
  <c r="AE541" i="1"/>
  <c r="AF541" i="1"/>
  <c r="AG541" i="1"/>
  <c r="AH541" i="1"/>
  <c r="AI541" i="1"/>
  <c r="AJ541" i="1"/>
  <c r="AK541" i="1"/>
  <c r="AL541" i="1"/>
  <c r="AM541" i="1"/>
  <c r="A542" i="1"/>
  <c r="B542" i="1"/>
  <c r="C542" i="1"/>
  <c r="D542" i="1"/>
  <c r="E542" i="1"/>
  <c r="F542" i="1"/>
  <c r="G542" i="1"/>
  <c r="H542" i="1"/>
  <c r="I542" i="1"/>
  <c r="J542" i="1"/>
  <c r="K542" i="1"/>
  <c r="L542" i="1"/>
  <c r="M542" i="1"/>
  <c r="N542" i="1"/>
  <c r="O542" i="1"/>
  <c r="P542" i="1"/>
  <c r="Q542" i="1"/>
  <c r="R542" i="1"/>
  <c r="S542" i="1"/>
  <c r="T542" i="1"/>
  <c r="U542" i="1"/>
  <c r="V542" i="1"/>
  <c r="W542" i="1"/>
  <c r="X542" i="1"/>
  <c r="Y542" i="1"/>
  <c r="Z542" i="1"/>
  <c r="AA542" i="1"/>
  <c r="AB542" i="1"/>
  <c r="AC542" i="1"/>
  <c r="AD542" i="1"/>
  <c r="AE542" i="1"/>
  <c r="AF542" i="1"/>
  <c r="AG542" i="1"/>
  <c r="AH542" i="1"/>
  <c r="AI542" i="1"/>
  <c r="AJ542" i="1"/>
  <c r="AK542" i="1"/>
  <c r="AL542" i="1"/>
  <c r="AM542" i="1"/>
  <c r="A543" i="1"/>
  <c r="B543" i="1"/>
  <c r="C543" i="1"/>
  <c r="D543" i="1"/>
  <c r="E543" i="1"/>
  <c r="F543" i="1"/>
  <c r="G543" i="1"/>
  <c r="H543" i="1"/>
  <c r="I543" i="1"/>
  <c r="J543" i="1"/>
  <c r="K543" i="1"/>
  <c r="L543" i="1"/>
  <c r="M543" i="1"/>
  <c r="N543" i="1"/>
  <c r="O543" i="1"/>
  <c r="P543" i="1"/>
  <c r="Q543" i="1"/>
  <c r="R543" i="1"/>
  <c r="S543" i="1"/>
  <c r="T543" i="1"/>
  <c r="U543" i="1"/>
  <c r="V543" i="1"/>
  <c r="W543" i="1"/>
  <c r="X543" i="1"/>
  <c r="Y543" i="1"/>
  <c r="Z543" i="1"/>
  <c r="AA543" i="1"/>
  <c r="AB543" i="1"/>
  <c r="AC543" i="1"/>
  <c r="AD543" i="1"/>
  <c r="AE543" i="1"/>
  <c r="AF543" i="1"/>
  <c r="AG543" i="1"/>
  <c r="AH543" i="1"/>
  <c r="AI543" i="1"/>
  <c r="AJ543" i="1"/>
  <c r="AK543" i="1"/>
  <c r="AL543" i="1"/>
  <c r="AM543" i="1"/>
  <c r="A544" i="1"/>
  <c r="B544" i="1"/>
  <c r="C544" i="1"/>
  <c r="D544" i="1"/>
  <c r="E544" i="1"/>
  <c r="F544" i="1"/>
  <c r="G544" i="1"/>
  <c r="H544" i="1"/>
  <c r="I544" i="1"/>
  <c r="J544" i="1"/>
  <c r="K544" i="1"/>
  <c r="L544" i="1"/>
  <c r="M544" i="1"/>
  <c r="N544" i="1"/>
  <c r="O544" i="1"/>
  <c r="P544" i="1"/>
  <c r="Q544" i="1"/>
  <c r="R544" i="1"/>
  <c r="S544" i="1"/>
  <c r="T544" i="1"/>
  <c r="U544" i="1"/>
  <c r="V544" i="1"/>
  <c r="W544" i="1"/>
  <c r="X544" i="1"/>
  <c r="Y544" i="1"/>
  <c r="Z544" i="1"/>
  <c r="AA544" i="1"/>
  <c r="AB544" i="1"/>
  <c r="AC544" i="1"/>
  <c r="AD544" i="1"/>
  <c r="AE544" i="1"/>
  <c r="AF544" i="1"/>
  <c r="AG544" i="1"/>
  <c r="AH544" i="1"/>
  <c r="AI544" i="1"/>
  <c r="AJ544" i="1"/>
  <c r="AK544" i="1"/>
  <c r="AL544" i="1"/>
  <c r="AM544" i="1"/>
  <c r="A545" i="1"/>
  <c r="B545" i="1"/>
  <c r="C545" i="1"/>
  <c r="D545" i="1"/>
  <c r="E545" i="1"/>
  <c r="F545" i="1"/>
  <c r="G545" i="1"/>
  <c r="H545" i="1"/>
  <c r="I545" i="1"/>
  <c r="J545" i="1"/>
  <c r="K545" i="1"/>
  <c r="L545" i="1"/>
  <c r="M545" i="1"/>
  <c r="N545" i="1"/>
  <c r="O545" i="1"/>
  <c r="P545" i="1"/>
  <c r="Q545" i="1"/>
  <c r="R545" i="1"/>
  <c r="S545" i="1"/>
  <c r="T545" i="1"/>
  <c r="U545" i="1"/>
  <c r="V545" i="1"/>
  <c r="W545" i="1"/>
  <c r="X545" i="1"/>
  <c r="Y545" i="1"/>
  <c r="Z545" i="1"/>
  <c r="AA545" i="1"/>
  <c r="AB545" i="1"/>
  <c r="AC545" i="1"/>
  <c r="AD545" i="1"/>
  <c r="AE545" i="1"/>
  <c r="AF545" i="1"/>
  <c r="AG545" i="1"/>
  <c r="AH545" i="1"/>
  <c r="AI545" i="1"/>
  <c r="AJ545" i="1"/>
  <c r="AK545" i="1"/>
  <c r="AL545" i="1"/>
  <c r="AM545" i="1"/>
  <c r="A546" i="1"/>
  <c r="B546" i="1"/>
  <c r="C546" i="1"/>
  <c r="D546" i="1"/>
  <c r="E546" i="1"/>
  <c r="F546" i="1"/>
  <c r="G546" i="1"/>
  <c r="H546" i="1"/>
  <c r="I546" i="1"/>
  <c r="J546" i="1"/>
  <c r="K546" i="1"/>
  <c r="L546" i="1"/>
  <c r="M546" i="1"/>
  <c r="N546" i="1"/>
  <c r="O546" i="1"/>
  <c r="P546" i="1"/>
  <c r="Q546" i="1"/>
  <c r="R546" i="1"/>
  <c r="S546" i="1"/>
  <c r="T546" i="1"/>
  <c r="U546" i="1"/>
  <c r="V546" i="1"/>
  <c r="W546" i="1"/>
  <c r="X546" i="1"/>
  <c r="Y546" i="1"/>
  <c r="Z546" i="1"/>
  <c r="AA546" i="1"/>
  <c r="AB546" i="1"/>
  <c r="AC546" i="1"/>
  <c r="AD546" i="1"/>
  <c r="AE546" i="1"/>
  <c r="AF546" i="1"/>
  <c r="AG546" i="1"/>
  <c r="AH546" i="1"/>
  <c r="AI546" i="1"/>
  <c r="AJ546" i="1"/>
  <c r="AK546" i="1"/>
  <c r="AL546" i="1"/>
  <c r="AM546" i="1"/>
  <c r="A547" i="1"/>
  <c r="B547" i="1"/>
  <c r="C547" i="1"/>
  <c r="D547" i="1"/>
  <c r="E547" i="1"/>
  <c r="F547" i="1"/>
  <c r="G547" i="1"/>
  <c r="H547" i="1"/>
  <c r="I547" i="1"/>
  <c r="J547" i="1"/>
  <c r="K547" i="1"/>
  <c r="L547" i="1"/>
  <c r="M547" i="1"/>
  <c r="N547" i="1"/>
  <c r="O547" i="1"/>
  <c r="P547" i="1"/>
  <c r="Q547" i="1"/>
  <c r="R547" i="1"/>
  <c r="S547" i="1"/>
  <c r="T547" i="1"/>
  <c r="U547" i="1"/>
  <c r="V547" i="1"/>
  <c r="W547" i="1"/>
  <c r="X547" i="1"/>
  <c r="Y547" i="1"/>
  <c r="Z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M547" i="1"/>
  <c r="A548" i="1"/>
  <c r="B548" i="1"/>
  <c r="C548" i="1"/>
  <c r="D548" i="1"/>
  <c r="E548" i="1"/>
  <c r="F548" i="1"/>
  <c r="G548" i="1"/>
  <c r="H548" i="1"/>
  <c r="I548" i="1"/>
  <c r="J548" i="1"/>
  <c r="K548" i="1"/>
  <c r="L548" i="1"/>
  <c r="M548" i="1"/>
  <c r="N548" i="1"/>
  <c r="O548" i="1"/>
  <c r="P548" i="1"/>
  <c r="Q548" i="1"/>
  <c r="R548" i="1"/>
  <c r="S548" i="1"/>
  <c r="T548" i="1"/>
  <c r="U548" i="1"/>
  <c r="V548" i="1"/>
  <c r="W548" i="1"/>
  <c r="X548" i="1"/>
  <c r="Y548" i="1"/>
  <c r="Z548" i="1"/>
  <c r="AA548" i="1"/>
  <c r="AB548" i="1"/>
  <c r="AC548" i="1"/>
  <c r="AD548" i="1"/>
  <c r="AE548" i="1"/>
  <c r="AF548" i="1"/>
  <c r="AG548" i="1"/>
  <c r="AH548" i="1"/>
  <c r="AI548" i="1"/>
  <c r="AJ548" i="1"/>
  <c r="AK548" i="1"/>
  <c r="AL548" i="1"/>
  <c r="AM548" i="1"/>
  <c r="A549" i="1"/>
  <c r="B549" i="1"/>
  <c r="C549" i="1"/>
  <c r="D549" i="1"/>
  <c r="E549" i="1"/>
  <c r="F549" i="1"/>
  <c r="G549" i="1"/>
  <c r="H549" i="1"/>
  <c r="I549" i="1"/>
  <c r="J549" i="1"/>
  <c r="K549" i="1"/>
  <c r="L549" i="1"/>
  <c r="M549" i="1"/>
  <c r="N549" i="1"/>
  <c r="O549" i="1"/>
  <c r="P549" i="1"/>
  <c r="Q549" i="1"/>
  <c r="R549" i="1"/>
  <c r="S549" i="1"/>
  <c r="T549" i="1"/>
  <c r="U549" i="1"/>
  <c r="V549" i="1"/>
  <c r="W549" i="1"/>
  <c r="X549" i="1"/>
  <c r="Y549" i="1"/>
  <c r="Z549" i="1"/>
  <c r="AA549" i="1"/>
  <c r="AB549" i="1"/>
  <c r="AC549" i="1"/>
  <c r="AD549" i="1"/>
  <c r="AE549" i="1"/>
  <c r="AF549" i="1"/>
  <c r="AG549" i="1"/>
  <c r="AH549" i="1"/>
  <c r="AI549" i="1"/>
  <c r="AJ549" i="1"/>
  <c r="AK549" i="1"/>
  <c r="AL549" i="1"/>
  <c r="AM549" i="1"/>
  <c r="A550" i="1"/>
  <c r="B550" i="1"/>
  <c r="C550" i="1"/>
  <c r="D550" i="1"/>
  <c r="E550" i="1"/>
  <c r="F550" i="1"/>
  <c r="G550" i="1"/>
  <c r="H550" i="1"/>
  <c r="I550" i="1"/>
  <c r="J550" i="1"/>
  <c r="K550" i="1"/>
  <c r="L550" i="1"/>
  <c r="M550" i="1"/>
  <c r="N550" i="1"/>
  <c r="O550" i="1"/>
  <c r="P550" i="1"/>
  <c r="Q550" i="1"/>
  <c r="R550" i="1"/>
  <c r="S550" i="1"/>
  <c r="T550" i="1"/>
  <c r="U550" i="1"/>
  <c r="V550" i="1"/>
  <c r="W550" i="1"/>
  <c r="X550" i="1"/>
  <c r="Y550" i="1"/>
  <c r="Z550" i="1"/>
  <c r="AA550" i="1"/>
  <c r="AB550" i="1"/>
  <c r="AC550" i="1"/>
  <c r="AD550" i="1"/>
  <c r="AE550" i="1"/>
  <c r="AF550" i="1"/>
  <c r="AG550" i="1"/>
  <c r="AH550" i="1"/>
  <c r="AI550" i="1"/>
  <c r="AJ550" i="1"/>
  <c r="AK550" i="1"/>
  <c r="AL550" i="1"/>
  <c r="AM550" i="1"/>
  <c r="A551" i="1"/>
  <c r="B551" i="1"/>
  <c r="C551" i="1"/>
  <c r="D551" i="1"/>
  <c r="E551" i="1"/>
  <c r="F551" i="1"/>
  <c r="G551" i="1"/>
  <c r="H551" i="1"/>
  <c r="I551" i="1"/>
  <c r="J551" i="1"/>
  <c r="K551" i="1"/>
  <c r="L551" i="1"/>
  <c r="M551" i="1"/>
  <c r="N551" i="1"/>
  <c r="O551" i="1"/>
  <c r="P551" i="1"/>
  <c r="Q551" i="1"/>
  <c r="R551" i="1"/>
  <c r="S551" i="1"/>
  <c r="T551" i="1"/>
  <c r="U551" i="1"/>
  <c r="V551" i="1"/>
  <c r="W551" i="1"/>
  <c r="X551" i="1"/>
  <c r="Y551" i="1"/>
  <c r="Z551" i="1"/>
  <c r="AA551" i="1"/>
  <c r="AB551" i="1"/>
  <c r="AC551" i="1"/>
  <c r="AD551" i="1"/>
  <c r="AE551" i="1"/>
  <c r="AF551" i="1"/>
  <c r="AG551" i="1"/>
  <c r="AH551" i="1"/>
  <c r="AI551" i="1"/>
  <c r="AJ551" i="1"/>
  <c r="AK551" i="1"/>
  <c r="AL551" i="1"/>
  <c r="AM551" i="1"/>
  <c r="A552" i="1"/>
  <c r="B552" i="1"/>
  <c r="C552" i="1"/>
  <c r="D552" i="1"/>
  <c r="E552" i="1"/>
  <c r="F552" i="1"/>
  <c r="G552" i="1"/>
  <c r="H552" i="1"/>
  <c r="I552" i="1"/>
  <c r="J552" i="1"/>
  <c r="K552" i="1"/>
  <c r="L552" i="1"/>
  <c r="M552" i="1"/>
  <c r="N552" i="1"/>
  <c r="O552" i="1"/>
  <c r="P552" i="1"/>
  <c r="Q552" i="1"/>
  <c r="R552" i="1"/>
  <c r="S552" i="1"/>
  <c r="T552" i="1"/>
  <c r="U552" i="1"/>
  <c r="V552" i="1"/>
  <c r="W552" i="1"/>
  <c r="X552" i="1"/>
  <c r="Y552" i="1"/>
  <c r="Z552" i="1"/>
  <c r="AA552" i="1"/>
  <c r="AB552" i="1"/>
  <c r="AC552" i="1"/>
  <c r="AD552" i="1"/>
  <c r="AE552" i="1"/>
  <c r="AF552" i="1"/>
  <c r="AG552" i="1"/>
  <c r="AH552" i="1"/>
  <c r="AI552" i="1"/>
  <c r="AJ552" i="1"/>
  <c r="AK552" i="1"/>
  <c r="AL552" i="1"/>
  <c r="AM552" i="1"/>
  <c r="A553" i="1"/>
  <c r="B553" i="1"/>
  <c r="C553" i="1"/>
  <c r="D553" i="1"/>
  <c r="E553" i="1"/>
  <c r="F553" i="1"/>
  <c r="G553" i="1"/>
  <c r="H553" i="1"/>
  <c r="I553" i="1"/>
  <c r="J553" i="1"/>
  <c r="K553" i="1"/>
  <c r="L553" i="1"/>
  <c r="M553" i="1"/>
  <c r="N553" i="1"/>
  <c r="O553" i="1"/>
  <c r="P553" i="1"/>
  <c r="Q553" i="1"/>
  <c r="R553" i="1"/>
  <c r="S553" i="1"/>
  <c r="T553" i="1"/>
  <c r="U553" i="1"/>
  <c r="V553" i="1"/>
  <c r="W553" i="1"/>
  <c r="X553" i="1"/>
  <c r="Y553" i="1"/>
  <c r="Z553" i="1"/>
  <c r="AA553" i="1"/>
  <c r="AB553" i="1"/>
  <c r="AC553" i="1"/>
  <c r="AD553" i="1"/>
  <c r="AE553" i="1"/>
  <c r="AF553" i="1"/>
  <c r="AG553" i="1"/>
  <c r="AH553" i="1"/>
  <c r="AI553" i="1"/>
  <c r="AJ553" i="1"/>
  <c r="AK553" i="1"/>
  <c r="AL553" i="1"/>
  <c r="AM553" i="1"/>
  <c r="A554" i="1"/>
  <c r="B554" i="1"/>
  <c r="C554" i="1"/>
  <c r="D554" i="1"/>
  <c r="E554" i="1"/>
  <c r="F554" i="1"/>
  <c r="G554" i="1"/>
  <c r="H554" i="1"/>
  <c r="I554" i="1"/>
  <c r="J554" i="1"/>
  <c r="K554" i="1"/>
  <c r="L554" i="1"/>
  <c r="M554" i="1"/>
  <c r="N554" i="1"/>
  <c r="O554" i="1"/>
  <c r="P554" i="1"/>
  <c r="Q554" i="1"/>
  <c r="R554" i="1"/>
  <c r="S554" i="1"/>
  <c r="T554" i="1"/>
  <c r="U554" i="1"/>
  <c r="V554" i="1"/>
  <c r="W554" i="1"/>
  <c r="X554" i="1"/>
  <c r="Y554" i="1"/>
  <c r="Z554" i="1"/>
  <c r="AA554" i="1"/>
  <c r="AB554" i="1"/>
  <c r="AC554" i="1"/>
  <c r="AD554" i="1"/>
  <c r="AE554" i="1"/>
  <c r="AF554" i="1"/>
  <c r="AG554" i="1"/>
  <c r="AH554" i="1"/>
  <c r="AI554" i="1"/>
  <c r="AJ554" i="1"/>
  <c r="AK554" i="1"/>
  <c r="AL554" i="1"/>
  <c r="AM554" i="1"/>
  <c r="A555" i="1"/>
  <c r="B555" i="1"/>
  <c r="C555" i="1"/>
  <c r="D555" i="1"/>
  <c r="E555" i="1"/>
  <c r="F555" i="1"/>
  <c r="G555" i="1"/>
  <c r="H555" i="1"/>
  <c r="I555" i="1"/>
  <c r="J555" i="1"/>
  <c r="K555" i="1"/>
  <c r="L555" i="1"/>
  <c r="M555" i="1"/>
  <c r="N555" i="1"/>
  <c r="O555" i="1"/>
  <c r="P555" i="1"/>
  <c r="Q555" i="1"/>
  <c r="R555" i="1"/>
  <c r="S555" i="1"/>
  <c r="T555" i="1"/>
  <c r="U555" i="1"/>
  <c r="V555" i="1"/>
  <c r="W555" i="1"/>
  <c r="X555" i="1"/>
  <c r="Y555" i="1"/>
  <c r="Z555" i="1"/>
  <c r="AA555" i="1"/>
  <c r="AB555" i="1"/>
  <c r="AC555" i="1"/>
  <c r="AD555" i="1"/>
  <c r="AE555" i="1"/>
  <c r="AF555" i="1"/>
  <c r="AG555" i="1"/>
  <c r="AH555" i="1"/>
  <c r="AI555" i="1"/>
  <c r="AJ555" i="1"/>
  <c r="AK555" i="1"/>
  <c r="AL555" i="1"/>
  <c r="AM555" i="1"/>
  <c r="A556" i="1"/>
  <c r="B556" i="1"/>
  <c r="C556" i="1"/>
  <c r="D556" i="1"/>
  <c r="E556" i="1"/>
  <c r="F556" i="1"/>
  <c r="G556" i="1"/>
  <c r="H556" i="1"/>
  <c r="I556" i="1"/>
  <c r="J556" i="1"/>
  <c r="K556" i="1"/>
  <c r="L556" i="1"/>
  <c r="M556" i="1"/>
  <c r="N556" i="1"/>
  <c r="O556" i="1"/>
  <c r="P556" i="1"/>
  <c r="Q556" i="1"/>
  <c r="R556" i="1"/>
  <c r="S556" i="1"/>
  <c r="T556" i="1"/>
  <c r="U556" i="1"/>
  <c r="V556" i="1"/>
  <c r="W556" i="1"/>
  <c r="X556" i="1"/>
  <c r="Y556" i="1"/>
  <c r="Z556" i="1"/>
  <c r="AA556" i="1"/>
  <c r="AB556" i="1"/>
  <c r="AC556" i="1"/>
  <c r="AD556" i="1"/>
  <c r="AE556" i="1"/>
  <c r="AF556" i="1"/>
  <c r="AG556" i="1"/>
  <c r="AH556" i="1"/>
  <c r="AI556" i="1"/>
  <c r="AJ556" i="1"/>
  <c r="AK556" i="1"/>
  <c r="AL556" i="1"/>
  <c r="AM556" i="1"/>
  <c r="A557" i="1"/>
  <c r="B557" i="1"/>
  <c r="C557" i="1"/>
  <c r="D557" i="1"/>
  <c r="E557" i="1"/>
  <c r="F557" i="1"/>
  <c r="G557" i="1"/>
  <c r="H557" i="1"/>
  <c r="I557" i="1"/>
  <c r="J557" i="1"/>
  <c r="K557" i="1"/>
  <c r="L557" i="1"/>
  <c r="M557" i="1"/>
  <c r="N557" i="1"/>
  <c r="O557" i="1"/>
  <c r="P557" i="1"/>
  <c r="Q557" i="1"/>
  <c r="R557" i="1"/>
  <c r="S557" i="1"/>
  <c r="T557" i="1"/>
  <c r="U557" i="1"/>
  <c r="V557" i="1"/>
  <c r="W557" i="1"/>
  <c r="X557" i="1"/>
  <c r="Y557" i="1"/>
  <c r="Z557" i="1"/>
  <c r="AA557" i="1"/>
  <c r="AB557" i="1"/>
  <c r="AC557" i="1"/>
  <c r="AD557" i="1"/>
  <c r="AE557" i="1"/>
  <c r="AF557" i="1"/>
  <c r="AG557" i="1"/>
  <c r="AH557" i="1"/>
  <c r="AI557" i="1"/>
  <c r="AJ557" i="1"/>
  <c r="AK557" i="1"/>
  <c r="AL557" i="1"/>
  <c r="AM557" i="1"/>
  <c r="A558" i="1"/>
  <c r="B558" i="1"/>
  <c r="C558" i="1"/>
  <c r="D558" i="1"/>
  <c r="E558" i="1"/>
  <c r="F558" i="1"/>
  <c r="G558" i="1"/>
  <c r="H558" i="1"/>
  <c r="I558" i="1"/>
  <c r="J558" i="1"/>
  <c r="K558" i="1"/>
  <c r="L558" i="1"/>
  <c r="M558" i="1"/>
  <c r="N558" i="1"/>
  <c r="O558" i="1"/>
  <c r="P558" i="1"/>
  <c r="Q558" i="1"/>
  <c r="R558" i="1"/>
  <c r="S558" i="1"/>
  <c r="T558" i="1"/>
  <c r="U558" i="1"/>
  <c r="V558" i="1"/>
  <c r="W558" i="1"/>
  <c r="X558" i="1"/>
  <c r="Y558" i="1"/>
  <c r="Z558" i="1"/>
  <c r="AA558" i="1"/>
  <c r="AB558" i="1"/>
  <c r="AC558" i="1"/>
  <c r="AD558" i="1"/>
  <c r="AE558" i="1"/>
  <c r="AF558" i="1"/>
  <c r="AG558" i="1"/>
  <c r="AH558" i="1"/>
  <c r="AI558" i="1"/>
  <c r="AJ558" i="1"/>
  <c r="AK558" i="1"/>
  <c r="AL558" i="1"/>
  <c r="AM558" i="1"/>
  <c r="A559" i="1"/>
  <c r="B559" i="1"/>
  <c r="C559" i="1"/>
  <c r="D559" i="1"/>
  <c r="E559" i="1"/>
  <c r="F559" i="1"/>
  <c r="G559" i="1"/>
  <c r="H559" i="1"/>
  <c r="I559" i="1"/>
  <c r="J559" i="1"/>
  <c r="K559" i="1"/>
  <c r="L559" i="1"/>
  <c r="M559" i="1"/>
  <c r="N559" i="1"/>
  <c r="O559" i="1"/>
  <c r="P559" i="1"/>
  <c r="Q559" i="1"/>
  <c r="R559" i="1"/>
  <c r="S559" i="1"/>
  <c r="T559" i="1"/>
  <c r="U559" i="1"/>
  <c r="V559" i="1"/>
  <c r="W559" i="1"/>
  <c r="X559" i="1"/>
  <c r="Y559" i="1"/>
  <c r="Z559" i="1"/>
  <c r="AA559" i="1"/>
  <c r="AB559" i="1"/>
  <c r="AC559" i="1"/>
  <c r="AD559" i="1"/>
  <c r="AE559" i="1"/>
  <c r="AF559" i="1"/>
  <c r="AG559" i="1"/>
  <c r="AH559" i="1"/>
  <c r="AI559" i="1"/>
  <c r="AJ559" i="1"/>
  <c r="AK559" i="1"/>
  <c r="AL559" i="1"/>
  <c r="AM559" i="1"/>
  <c r="A560" i="1"/>
  <c r="B560" i="1"/>
  <c r="C560" i="1"/>
  <c r="D560" i="1"/>
  <c r="E560" i="1"/>
  <c r="F560" i="1"/>
  <c r="G560" i="1"/>
  <c r="H560" i="1"/>
  <c r="I560" i="1"/>
  <c r="J560" i="1"/>
  <c r="K560" i="1"/>
  <c r="L560" i="1"/>
  <c r="M560" i="1"/>
  <c r="N560" i="1"/>
  <c r="O560" i="1"/>
  <c r="P560" i="1"/>
  <c r="Q560" i="1"/>
  <c r="R560" i="1"/>
  <c r="S560" i="1"/>
  <c r="T560" i="1"/>
  <c r="U560" i="1"/>
  <c r="V560" i="1"/>
  <c r="W560" i="1"/>
  <c r="X560" i="1"/>
  <c r="Y560" i="1"/>
  <c r="Z560" i="1"/>
  <c r="AA560" i="1"/>
  <c r="AB560" i="1"/>
  <c r="AC560" i="1"/>
  <c r="AD560" i="1"/>
  <c r="AE560" i="1"/>
  <c r="AF560" i="1"/>
  <c r="AG560" i="1"/>
  <c r="AH560" i="1"/>
  <c r="AI560" i="1"/>
  <c r="AJ560" i="1"/>
  <c r="AK560" i="1"/>
  <c r="AL560" i="1"/>
  <c r="AM560" i="1"/>
  <c r="A561" i="1"/>
  <c r="B561" i="1"/>
  <c r="C561" i="1"/>
  <c r="D561" i="1"/>
  <c r="E561" i="1"/>
  <c r="F561" i="1"/>
  <c r="G561" i="1"/>
  <c r="H561" i="1"/>
  <c r="I561" i="1"/>
  <c r="J561" i="1"/>
  <c r="K561" i="1"/>
  <c r="L561" i="1"/>
  <c r="M561" i="1"/>
  <c r="N561" i="1"/>
  <c r="O561" i="1"/>
  <c r="P561" i="1"/>
  <c r="Q561" i="1"/>
  <c r="R561" i="1"/>
  <c r="S561" i="1"/>
  <c r="T561" i="1"/>
  <c r="U561" i="1"/>
  <c r="V561" i="1"/>
  <c r="W561" i="1"/>
  <c r="X561" i="1"/>
  <c r="Y561" i="1"/>
  <c r="Z561" i="1"/>
  <c r="AA561" i="1"/>
  <c r="AB561" i="1"/>
  <c r="AC561" i="1"/>
  <c r="AD561" i="1"/>
  <c r="AE561" i="1"/>
  <c r="AF561" i="1"/>
  <c r="AG561" i="1"/>
  <c r="AH561" i="1"/>
  <c r="AI561" i="1"/>
  <c r="AJ561" i="1"/>
  <c r="AK561" i="1"/>
  <c r="AL561" i="1"/>
  <c r="AM561" i="1"/>
  <c r="A562" i="1"/>
  <c r="B562" i="1"/>
  <c r="C562" i="1"/>
  <c r="D562" i="1"/>
  <c r="E562" i="1"/>
  <c r="F562" i="1"/>
  <c r="G562" i="1"/>
  <c r="H562" i="1"/>
  <c r="I562" i="1"/>
  <c r="J562" i="1"/>
  <c r="K562" i="1"/>
  <c r="L562" i="1"/>
  <c r="M562" i="1"/>
  <c r="N562" i="1"/>
  <c r="O562" i="1"/>
  <c r="P562" i="1"/>
  <c r="Q562" i="1"/>
  <c r="R562" i="1"/>
  <c r="S562" i="1"/>
  <c r="T562" i="1"/>
  <c r="U562" i="1"/>
  <c r="V562" i="1"/>
  <c r="W562" i="1"/>
  <c r="X562" i="1"/>
  <c r="Y562" i="1"/>
  <c r="Z562" i="1"/>
  <c r="AA562" i="1"/>
  <c r="AB562" i="1"/>
  <c r="AC562" i="1"/>
  <c r="AD562" i="1"/>
  <c r="AE562" i="1"/>
  <c r="AF562" i="1"/>
  <c r="AG562" i="1"/>
  <c r="AH562" i="1"/>
  <c r="AI562" i="1"/>
  <c r="AJ562" i="1"/>
  <c r="AK562" i="1"/>
  <c r="AL562" i="1"/>
  <c r="AM562" i="1"/>
  <c r="A563" i="1"/>
  <c r="B563" i="1"/>
  <c r="C563" i="1"/>
  <c r="D563" i="1"/>
  <c r="E563" i="1"/>
  <c r="F563" i="1"/>
  <c r="G563" i="1"/>
  <c r="H563" i="1"/>
  <c r="I563" i="1"/>
  <c r="J563" i="1"/>
  <c r="K563" i="1"/>
  <c r="L563" i="1"/>
  <c r="M563" i="1"/>
  <c r="N563" i="1"/>
  <c r="O563" i="1"/>
  <c r="P563" i="1"/>
  <c r="Q563" i="1"/>
  <c r="R563" i="1"/>
  <c r="S563" i="1"/>
  <c r="T563" i="1"/>
  <c r="U563" i="1"/>
  <c r="V563" i="1"/>
  <c r="W563" i="1"/>
  <c r="X563" i="1"/>
  <c r="Y563" i="1"/>
  <c r="Z563" i="1"/>
  <c r="AA563" i="1"/>
  <c r="AB563" i="1"/>
  <c r="AC563" i="1"/>
  <c r="AD563" i="1"/>
  <c r="AE563" i="1"/>
  <c r="AF563" i="1"/>
  <c r="AG563" i="1"/>
  <c r="AH563" i="1"/>
  <c r="AI563" i="1"/>
  <c r="AJ563" i="1"/>
  <c r="AK563" i="1"/>
  <c r="AL563" i="1"/>
  <c r="AM563" i="1"/>
  <c r="A564" i="1"/>
  <c r="B564" i="1"/>
  <c r="C564" i="1"/>
  <c r="D564" i="1"/>
  <c r="E564" i="1"/>
  <c r="F564" i="1"/>
  <c r="G564" i="1"/>
  <c r="H564" i="1"/>
  <c r="I564" i="1"/>
  <c r="J564" i="1"/>
  <c r="K564" i="1"/>
  <c r="L564" i="1"/>
  <c r="M564" i="1"/>
  <c r="N564" i="1"/>
  <c r="O564" i="1"/>
  <c r="P564" i="1"/>
  <c r="Q564" i="1"/>
  <c r="R564" i="1"/>
  <c r="S564" i="1"/>
  <c r="T564" i="1"/>
  <c r="U564" i="1"/>
  <c r="V564" i="1"/>
  <c r="W564" i="1"/>
  <c r="X564" i="1"/>
  <c r="Y564" i="1"/>
  <c r="Z564" i="1"/>
  <c r="AA564" i="1"/>
  <c r="AB564" i="1"/>
  <c r="AC564" i="1"/>
  <c r="AD564" i="1"/>
  <c r="AE564" i="1"/>
  <c r="AF564" i="1"/>
  <c r="AG564" i="1"/>
  <c r="AH564" i="1"/>
  <c r="AI564" i="1"/>
  <c r="AJ564" i="1"/>
  <c r="AK564" i="1"/>
  <c r="AL564" i="1"/>
  <c r="AM564" i="1"/>
  <c r="A565" i="1"/>
  <c r="B565" i="1"/>
  <c r="C565" i="1"/>
  <c r="D565" i="1"/>
  <c r="E565" i="1"/>
  <c r="F565" i="1"/>
  <c r="G565" i="1"/>
  <c r="H565" i="1"/>
  <c r="I565" i="1"/>
  <c r="J565" i="1"/>
  <c r="K565" i="1"/>
  <c r="L565" i="1"/>
  <c r="M565" i="1"/>
  <c r="N565" i="1"/>
  <c r="O565" i="1"/>
  <c r="P565" i="1"/>
  <c r="Q565" i="1"/>
  <c r="R565" i="1"/>
  <c r="S565" i="1"/>
  <c r="T565" i="1"/>
  <c r="U565" i="1"/>
  <c r="V565" i="1"/>
  <c r="W565" i="1"/>
  <c r="X565" i="1"/>
  <c r="Y565" i="1"/>
  <c r="Z565" i="1"/>
  <c r="AA565" i="1"/>
  <c r="AB565" i="1"/>
  <c r="AC565" i="1"/>
  <c r="AD565" i="1"/>
  <c r="AE565" i="1"/>
  <c r="AF565" i="1"/>
  <c r="AG565" i="1"/>
  <c r="AH565" i="1"/>
  <c r="AI565" i="1"/>
  <c r="AJ565" i="1"/>
  <c r="AK565" i="1"/>
  <c r="AL565" i="1"/>
  <c r="AM565" i="1"/>
  <c r="A566" i="1"/>
  <c r="B566" i="1"/>
  <c r="C566" i="1"/>
  <c r="D566" i="1"/>
  <c r="E566" i="1"/>
  <c r="F566" i="1"/>
  <c r="G566" i="1"/>
  <c r="H566" i="1"/>
  <c r="I566" i="1"/>
  <c r="J566" i="1"/>
  <c r="K566" i="1"/>
  <c r="L566" i="1"/>
  <c r="M566" i="1"/>
  <c r="N566" i="1"/>
  <c r="O566" i="1"/>
  <c r="P566" i="1"/>
  <c r="Q566" i="1"/>
  <c r="R566" i="1"/>
  <c r="S566" i="1"/>
  <c r="T566" i="1"/>
  <c r="U566" i="1"/>
  <c r="V566" i="1"/>
  <c r="W566" i="1"/>
  <c r="X566" i="1"/>
  <c r="Y566" i="1"/>
  <c r="Z566" i="1"/>
  <c r="AA566" i="1"/>
  <c r="AB566" i="1"/>
  <c r="AC566" i="1"/>
  <c r="AD566" i="1"/>
  <c r="AE566" i="1"/>
  <c r="AF566" i="1"/>
  <c r="AG566" i="1"/>
  <c r="AH566" i="1"/>
  <c r="AI566" i="1"/>
  <c r="AJ566" i="1"/>
  <c r="AK566" i="1"/>
  <c r="AL566" i="1"/>
  <c r="AM566" i="1"/>
  <c r="A567" i="1"/>
  <c r="B567" i="1"/>
  <c r="C567" i="1"/>
  <c r="D567" i="1"/>
  <c r="E567" i="1"/>
  <c r="F567" i="1"/>
  <c r="G567" i="1"/>
  <c r="H567" i="1"/>
  <c r="I567" i="1"/>
  <c r="J567" i="1"/>
  <c r="K567" i="1"/>
  <c r="L567" i="1"/>
  <c r="M567" i="1"/>
  <c r="N567" i="1"/>
  <c r="O567" i="1"/>
  <c r="P567" i="1"/>
  <c r="Q567" i="1"/>
  <c r="R567" i="1"/>
  <c r="S567" i="1"/>
  <c r="T567" i="1"/>
  <c r="U567" i="1"/>
  <c r="V567" i="1"/>
  <c r="W567" i="1"/>
  <c r="X567" i="1"/>
  <c r="Y567" i="1"/>
  <c r="Z567" i="1"/>
  <c r="AA567" i="1"/>
  <c r="AB567" i="1"/>
  <c r="AC567" i="1"/>
  <c r="AD567" i="1"/>
  <c r="AE567" i="1"/>
  <c r="AF567" i="1"/>
  <c r="AG567" i="1"/>
  <c r="AH567" i="1"/>
  <c r="AI567" i="1"/>
  <c r="AJ567" i="1"/>
  <c r="AK567" i="1"/>
  <c r="AL567" i="1"/>
  <c r="AM567" i="1"/>
  <c r="A568" i="1"/>
  <c r="B568" i="1"/>
  <c r="C568" i="1"/>
  <c r="D568" i="1"/>
  <c r="E568" i="1"/>
  <c r="F568" i="1"/>
  <c r="G568" i="1"/>
  <c r="H568" i="1"/>
  <c r="I568" i="1"/>
  <c r="J568" i="1"/>
  <c r="K568" i="1"/>
  <c r="L568" i="1"/>
  <c r="M568" i="1"/>
  <c r="N568" i="1"/>
  <c r="O568" i="1"/>
  <c r="P568" i="1"/>
  <c r="Q568" i="1"/>
  <c r="R568" i="1"/>
  <c r="S568" i="1"/>
  <c r="T568" i="1"/>
  <c r="U568" i="1"/>
  <c r="V568" i="1"/>
  <c r="W568" i="1"/>
  <c r="X568" i="1"/>
  <c r="Y568" i="1"/>
  <c r="Z568" i="1"/>
  <c r="AA568" i="1"/>
  <c r="AB568" i="1"/>
  <c r="AC568" i="1"/>
  <c r="AD568" i="1"/>
  <c r="AE568" i="1"/>
  <c r="AF568" i="1"/>
  <c r="AG568" i="1"/>
  <c r="AH568" i="1"/>
  <c r="AI568" i="1"/>
  <c r="AJ568" i="1"/>
  <c r="AK568" i="1"/>
  <c r="AL568" i="1"/>
  <c r="AM568" i="1"/>
  <c r="A569" i="1"/>
  <c r="B569" i="1"/>
  <c r="C569" i="1"/>
  <c r="D569" i="1"/>
  <c r="E569" i="1"/>
  <c r="F569" i="1"/>
  <c r="G569" i="1"/>
  <c r="H569" i="1"/>
  <c r="I569" i="1"/>
  <c r="J569" i="1"/>
  <c r="K569" i="1"/>
  <c r="L569" i="1"/>
  <c r="M569" i="1"/>
  <c r="N569" i="1"/>
  <c r="O569" i="1"/>
  <c r="P569" i="1"/>
  <c r="Q569" i="1"/>
  <c r="R569" i="1"/>
  <c r="S569" i="1"/>
  <c r="T569" i="1"/>
  <c r="U569" i="1"/>
  <c r="V569" i="1"/>
  <c r="W569" i="1"/>
  <c r="X569" i="1"/>
  <c r="Y569" i="1"/>
  <c r="Z569" i="1"/>
  <c r="AA569" i="1"/>
  <c r="AB569" i="1"/>
  <c r="AC569" i="1"/>
  <c r="AD569" i="1"/>
  <c r="AE569" i="1"/>
  <c r="AF569" i="1"/>
  <c r="AG569" i="1"/>
  <c r="AH569" i="1"/>
  <c r="AI569" i="1"/>
  <c r="AJ569" i="1"/>
  <c r="AK569" i="1"/>
  <c r="AL569" i="1"/>
  <c r="AM569" i="1"/>
  <c r="A570" i="1"/>
  <c r="B570" i="1"/>
  <c r="C570" i="1"/>
  <c r="D570" i="1"/>
  <c r="E570" i="1"/>
  <c r="F570" i="1"/>
  <c r="G570" i="1"/>
  <c r="H570" i="1"/>
  <c r="I570" i="1"/>
  <c r="J570" i="1"/>
  <c r="K570" i="1"/>
  <c r="L570" i="1"/>
  <c r="M570" i="1"/>
  <c r="N570" i="1"/>
  <c r="O570" i="1"/>
  <c r="P570" i="1"/>
  <c r="Q570" i="1"/>
  <c r="R570" i="1"/>
  <c r="S570" i="1"/>
  <c r="T570" i="1"/>
  <c r="U570" i="1"/>
  <c r="V570" i="1"/>
  <c r="W570" i="1"/>
  <c r="X570" i="1"/>
  <c r="Y570" i="1"/>
  <c r="Z570" i="1"/>
  <c r="AA570" i="1"/>
  <c r="AB570" i="1"/>
  <c r="AC570" i="1"/>
  <c r="AD570" i="1"/>
  <c r="AE570" i="1"/>
  <c r="AF570" i="1"/>
  <c r="AG570" i="1"/>
  <c r="AH570" i="1"/>
  <c r="AI570" i="1"/>
  <c r="AJ570" i="1"/>
  <c r="AK570" i="1"/>
  <c r="AL570" i="1"/>
  <c r="AM570" i="1"/>
  <c r="A571" i="1"/>
  <c r="B571" i="1"/>
  <c r="C571" i="1"/>
  <c r="D571" i="1"/>
  <c r="E571" i="1"/>
  <c r="F571" i="1"/>
  <c r="G571" i="1"/>
  <c r="H571" i="1"/>
  <c r="I571" i="1"/>
  <c r="J571" i="1"/>
  <c r="K571" i="1"/>
  <c r="L571" i="1"/>
  <c r="M571" i="1"/>
  <c r="N571" i="1"/>
  <c r="O571" i="1"/>
  <c r="P571" i="1"/>
  <c r="Q571" i="1"/>
  <c r="R571" i="1"/>
  <c r="S571" i="1"/>
  <c r="T571" i="1"/>
  <c r="U571" i="1"/>
  <c r="V571" i="1"/>
  <c r="W571" i="1"/>
  <c r="X571" i="1"/>
  <c r="Y571" i="1"/>
  <c r="Z571" i="1"/>
  <c r="AA571" i="1"/>
  <c r="AB571" i="1"/>
  <c r="AC571" i="1"/>
  <c r="AD571" i="1"/>
  <c r="AE571" i="1"/>
  <c r="AF571" i="1"/>
  <c r="AG571" i="1"/>
  <c r="AH571" i="1"/>
  <c r="AI571" i="1"/>
  <c r="AJ571" i="1"/>
  <c r="AK571" i="1"/>
  <c r="AL571" i="1"/>
  <c r="AM571" i="1"/>
  <c r="A572" i="1"/>
  <c r="B572" i="1"/>
  <c r="C572" i="1"/>
  <c r="D572" i="1"/>
  <c r="E572" i="1"/>
  <c r="F572" i="1"/>
  <c r="G572" i="1"/>
  <c r="H572" i="1"/>
  <c r="I572" i="1"/>
  <c r="J572" i="1"/>
  <c r="K572" i="1"/>
  <c r="L572" i="1"/>
  <c r="M572" i="1"/>
  <c r="N572" i="1"/>
  <c r="O572" i="1"/>
  <c r="P572" i="1"/>
  <c r="Q572" i="1"/>
  <c r="R572" i="1"/>
  <c r="S572" i="1"/>
  <c r="T572" i="1"/>
  <c r="U572" i="1"/>
  <c r="V572" i="1"/>
  <c r="W572" i="1"/>
  <c r="X572" i="1"/>
  <c r="Y572" i="1"/>
  <c r="Z572" i="1"/>
  <c r="AA572" i="1"/>
  <c r="AB572" i="1"/>
  <c r="AC572" i="1"/>
  <c r="AD572" i="1"/>
  <c r="AE572" i="1"/>
  <c r="AF572" i="1"/>
  <c r="AG572" i="1"/>
  <c r="AH572" i="1"/>
  <c r="AI572" i="1"/>
  <c r="AJ572" i="1"/>
  <c r="AK572" i="1"/>
  <c r="AL572" i="1"/>
  <c r="AM572" i="1"/>
  <c r="A573" i="1"/>
  <c r="B573" i="1"/>
  <c r="C573" i="1"/>
  <c r="D573" i="1"/>
  <c r="E573" i="1"/>
  <c r="F573" i="1"/>
  <c r="G573" i="1"/>
  <c r="H573" i="1"/>
  <c r="I573" i="1"/>
  <c r="J573" i="1"/>
  <c r="K573" i="1"/>
  <c r="L573" i="1"/>
  <c r="M573" i="1"/>
  <c r="N573" i="1"/>
  <c r="O573" i="1"/>
  <c r="P573" i="1"/>
  <c r="Q573" i="1"/>
  <c r="R573" i="1"/>
  <c r="S573" i="1"/>
  <c r="T573" i="1"/>
  <c r="U573" i="1"/>
  <c r="V573" i="1"/>
  <c r="W573" i="1"/>
  <c r="X573" i="1"/>
  <c r="Y573" i="1"/>
  <c r="Z573" i="1"/>
  <c r="AA573" i="1"/>
  <c r="AB573" i="1"/>
  <c r="AC573" i="1"/>
  <c r="AD573" i="1"/>
  <c r="AE573" i="1"/>
  <c r="AF573" i="1"/>
  <c r="AG573" i="1"/>
  <c r="AH573" i="1"/>
  <c r="AI573" i="1"/>
  <c r="AJ573" i="1"/>
  <c r="AK573" i="1"/>
  <c r="AL573" i="1"/>
  <c r="AM573" i="1"/>
  <c r="A574" i="1"/>
  <c r="B574" i="1"/>
  <c r="C574" i="1"/>
  <c r="D574" i="1"/>
  <c r="E574" i="1"/>
  <c r="F574" i="1"/>
  <c r="G574" i="1"/>
  <c r="H574" i="1"/>
  <c r="I574" i="1"/>
  <c r="J574" i="1"/>
  <c r="K574" i="1"/>
  <c r="L574" i="1"/>
  <c r="M574" i="1"/>
  <c r="N574" i="1"/>
  <c r="O574" i="1"/>
  <c r="P574" i="1"/>
  <c r="Q574" i="1"/>
  <c r="R574" i="1"/>
  <c r="S574" i="1"/>
  <c r="T574" i="1"/>
  <c r="U574" i="1"/>
  <c r="V574" i="1"/>
  <c r="W574" i="1"/>
  <c r="X574" i="1"/>
  <c r="Y574" i="1"/>
  <c r="Z574" i="1"/>
  <c r="AA574" i="1"/>
  <c r="AB574" i="1"/>
  <c r="AC574" i="1"/>
  <c r="AD574" i="1"/>
  <c r="AE574" i="1"/>
  <c r="AF574" i="1"/>
  <c r="AG574" i="1"/>
  <c r="AH574" i="1"/>
  <c r="AI574" i="1"/>
  <c r="AJ574" i="1"/>
  <c r="AK574" i="1"/>
  <c r="AL574" i="1"/>
  <c r="AM574" i="1"/>
  <c r="A575" i="1"/>
  <c r="B575" i="1"/>
  <c r="C575" i="1"/>
  <c r="D575" i="1"/>
  <c r="E575" i="1"/>
  <c r="F575" i="1"/>
  <c r="G575" i="1"/>
  <c r="H575" i="1"/>
  <c r="I575" i="1"/>
  <c r="J575" i="1"/>
  <c r="K575" i="1"/>
  <c r="L575" i="1"/>
  <c r="M575" i="1"/>
  <c r="N575" i="1"/>
  <c r="O575" i="1"/>
  <c r="P575" i="1"/>
  <c r="Q575" i="1"/>
  <c r="R575" i="1"/>
  <c r="S575" i="1"/>
  <c r="T575" i="1"/>
  <c r="U575" i="1"/>
  <c r="V575" i="1"/>
  <c r="W575" i="1"/>
  <c r="X575" i="1"/>
  <c r="Y575" i="1"/>
  <c r="Z575" i="1"/>
  <c r="AA575" i="1"/>
  <c r="AB575" i="1"/>
  <c r="AC575" i="1"/>
  <c r="AD575" i="1"/>
  <c r="AE575" i="1"/>
  <c r="AF575" i="1"/>
  <c r="AG575" i="1"/>
  <c r="AH575" i="1"/>
  <c r="AI575" i="1"/>
  <c r="AJ575" i="1"/>
  <c r="AK575" i="1"/>
  <c r="AL575" i="1"/>
  <c r="AM575" i="1"/>
  <c r="A576" i="1"/>
  <c r="B576" i="1"/>
  <c r="C576" i="1"/>
  <c r="D576" i="1"/>
  <c r="E576" i="1"/>
  <c r="F576" i="1"/>
  <c r="G576" i="1"/>
  <c r="H576" i="1"/>
  <c r="I576" i="1"/>
  <c r="J576" i="1"/>
  <c r="K576" i="1"/>
  <c r="L576" i="1"/>
  <c r="M576" i="1"/>
  <c r="N576" i="1"/>
  <c r="O576" i="1"/>
  <c r="P576" i="1"/>
  <c r="Q576" i="1"/>
  <c r="R576" i="1"/>
  <c r="S576" i="1"/>
  <c r="T576" i="1"/>
  <c r="U576" i="1"/>
  <c r="V576" i="1"/>
  <c r="W576" i="1"/>
  <c r="X576" i="1"/>
  <c r="Y576" i="1"/>
  <c r="Z576" i="1"/>
  <c r="AA576" i="1"/>
  <c r="AB576" i="1"/>
  <c r="AC576" i="1"/>
  <c r="AD576" i="1"/>
  <c r="AE576" i="1"/>
  <c r="AF576" i="1"/>
  <c r="AG576" i="1"/>
  <c r="AH576" i="1"/>
  <c r="AI576" i="1"/>
  <c r="AJ576" i="1"/>
  <c r="AK576" i="1"/>
  <c r="AL576" i="1"/>
  <c r="AM576" i="1"/>
  <c r="A577" i="1"/>
  <c r="B577" i="1"/>
  <c r="C577" i="1"/>
  <c r="D577" i="1"/>
  <c r="E577" i="1"/>
  <c r="F577" i="1"/>
  <c r="G577" i="1"/>
  <c r="H577" i="1"/>
  <c r="I577" i="1"/>
  <c r="J577" i="1"/>
  <c r="K577" i="1"/>
  <c r="L577" i="1"/>
  <c r="M577" i="1"/>
  <c r="N577" i="1"/>
  <c r="O577" i="1"/>
  <c r="P577" i="1"/>
  <c r="Q577" i="1"/>
  <c r="R577" i="1"/>
  <c r="S577" i="1"/>
  <c r="T577" i="1"/>
  <c r="U577" i="1"/>
  <c r="V577" i="1"/>
  <c r="W577" i="1"/>
  <c r="X577" i="1"/>
  <c r="Y577" i="1"/>
  <c r="Z577" i="1"/>
  <c r="AA577" i="1"/>
  <c r="AB577" i="1"/>
  <c r="AC577" i="1"/>
  <c r="AD577" i="1"/>
  <c r="AE577" i="1"/>
  <c r="AF577" i="1"/>
  <c r="AG577" i="1"/>
  <c r="AH577" i="1"/>
  <c r="AI577" i="1"/>
  <c r="AJ577" i="1"/>
  <c r="AK577" i="1"/>
  <c r="AL577" i="1"/>
  <c r="AM577" i="1"/>
  <c r="A578" i="1"/>
  <c r="B578" i="1"/>
  <c r="C578" i="1"/>
  <c r="D578" i="1"/>
  <c r="E578" i="1"/>
  <c r="F578" i="1"/>
  <c r="G578" i="1"/>
  <c r="H578" i="1"/>
  <c r="I578" i="1"/>
  <c r="J578" i="1"/>
  <c r="K578" i="1"/>
  <c r="L578" i="1"/>
  <c r="M578" i="1"/>
  <c r="N578" i="1"/>
  <c r="O578" i="1"/>
  <c r="P578" i="1"/>
  <c r="Q578" i="1"/>
  <c r="R578" i="1"/>
  <c r="S578" i="1"/>
  <c r="T578" i="1"/>
  <c r="U578" i="1"/>
  <c r="V578" i="1"/>
  <c r="W578" i="1"/>
  <c r="X578" i="1"/>
  <c r="Y578" i="1"/>
  <c r="Z578" i="1"/>
  <c r="AA578" i="1"/>
  <c r="AB578" i="1"/>
  <c r="AC578" i="1"/>
  <c r="AD578" i="1"/>
  <c r="AE578" i="1"/>
  <c r="AF578" i="1"/>
  <c r="AG578" i="1"/>
  <c r="AH578" i="1"/>
  <c r="AI578" i="1"/>
  <c r="AJ578" i="1"/>
  <c r="AK578" i="1"/>
  <c r="AL578" i="1"/>
  <c r="AM578" i="1"/>
  <c r="A579" i="1"/>
  <c r="B579" i="1"/>
  <c r="C579" i="1"/>
  <c r="D579" i="1"/>
  <c r="E579" i="1"/>
  <c r="F579" i="1"/>
  <c r="G579" i="1"/>
  <c r="H579" i="1"/>
  <c r="I579" i="1"/>
  <c r="J579" i="1"/>
  <c r="K579" i="1"/>
  <c r="L579" i="1"/>
  <c r="M579" i="1"/>
  <c r="N579" i="1"/>
  <c r="O579" i="1"/>
  <c r="P579" i="1"/>
  <c r="Q579" i="1"/>
  <c r="R579" i="1"/>
  <c r="S579" i="1"/>
  <c r="T579" i="1"/>
  <c r="U579" i="1"/>
  <c r="V579" i="1"/>
  <c r="W579" i="1"/>
  <c r="X579" i="1"/>
  <c r="Y579" i="1"/>
  <c r="Z579" i="1"/>
  <c r="AA579" i="1"/>
  <c r="AB579" i="1"/>
  <c r="AC579" i="1"/>
  <c r="AD579" i="1"/>
  <c r="AE579" i="1"/>
  <c r="AF579" i="1"/>
  <c r="AG579" i="1"/>
  <c r="AH579" i="1"/>
  <c r="AI579" i="1"/>
  <c r="AJ579" i="1"/>
  <c r="AK579" i="1"/>
  <c r="AL579" i="1"/>
  <c r="AM579" i="1"/>
  <c r="A580" i="1"/>
  <c r="B580" i="1"/>
  <c r="C580" i="1"/>
  <c r="D580" i="1"/>
  <c r="E580" i="1"/>
  <c r="F580" i="1"/>
  <c r="G580" i="1"/>
  <c r="H580" i="1"/>
  <c r="I580" i="1"/>
  <c r="J580" i="1"/>
  <c r="K580" i="1"/>
  <c r="L580" i="1"/>
  <c r="M580" i="1"/>
  <c r="N580" i="1"/>
  <c r="O580" i="1"/>
  <c r="P580" i="1"/>
  <c r="Q580" i="1"/>
  <c r="R580" i="1"/>
  <c r="S580" i="1"/>
  <c r="T580" i="1"/>
  <c r="U580" i="1"/>
  <c r="V580" i="1"/>
  <c r="W580" i="1"/>
  <c r="X580" i="1"/>
  <c r="Y580" i="1"/>
  <c r="Z580" i="1"/>
  <c r="AA580" i="1"/>
  <c r="AB580" i="1"/>
  <c r="AC580" i="1"/>
  <c r="AD580" i="1"/>
  <c r="AE580" i="1"/>
  <c r="AF580" i="1"/>
  <c r="AG580" i="1"/>
  <c r="AH580" i="1"/>
  <c r="AI580" i="1"/>
  <c r="AJ580" i="1"/>
  <c r="AK580" i="1"/>
  <c r="AL580" i="1"/>
  <c r="AM580" i="1"/>
  <c r="A581" i="1"/>
  <c r="B581" i="1"/>
  <c r="C581" i="1"/>
  <c r="D581" i="1"/>
  <c r="E581" i="1"/>
  <c r="F581" i="1"/>
  <c r="G581" i="1"/>
  <c r="H581" i="1"/>
  <c r="I581" i="1"/>
  <c r="J581" i="1"/>
  <c r="K581" i="1"/>
  <c r="L581" i="1"/>
  <c r="M581" i="1"/>
  <c r="N581" i="1"/>
  <c r="O581" i="1"/>
  <c r="P581" i="1"/>
  <c r="Q581" i="1"/>
  <c r="R581" i="1"/>
  <c r="S581" i="1"/>
  <c r="T581" i="1"/>
  <c r="U581" i="1"/>
  <c r="V581" i="1"/>
  <c r="W581" i="1"/>
  <c r="X581" i="1"/>
  <c r="Y581" i="1"/>
  <c r="Z581" i="1"/>
  <c r="AA581" i="1"/>
  <c r="AB581" i="1"/>
  <c r="AC581" i="1"/>
  <c r="AD581" i="1"/>
  <c r="AE581" i="1"/>
  <c r="AF581" i="1"/>
  <c r="AG581" i="1"/>
  <c r="AH581" i="1"/>
  <c r="AI581" i="1"/>
  <c r="AJ581" i="1"/>
  <c r="AK581" i="1"/>
  <c r="AL581" i="1"/>
  <c r="AM581" i="1"/>
  <c r="A582" i="1"/>
  <c r="B582" i="1"/>
  <c r="C582" i="1"/>
  <c r="D582" i="1"/>
  <c r="E582" i="1"/>
  <c r="F582" i="1"/>
  <c r="G582" i="1"/>
  <c r="H582" i="1"/>
  <c r="I582" i="1"/>
  <c r="J582" i="1"/>
  <c r="K582" i="1"/>
  <c r="L582" i="1"/>
  <c r="M582" i="1"/>
  <c r="N582" i="1"/>
  <c r="O582" i="1"/>
  <c r="P582" i="1"/>
  <c r="Q582" i="1"/>
  <c r="R582" i="1"/>
  <c r="S582" i="1"/>
  <c r="T582" i="1"/>
  <c r="U582" i="1"/>
  <c r="V582" i="1"/>
  <c r="W582" i="1"/>
  <c r="X582" i="1"/>
  <c r="Y582" i="1"/>
  <c r="Z582" i="1"/>
  <c r="AA582" i="1"/>
  <c r="AB582" i="1"/>
  <c r="AC582" i="1"/>
  <c r="AD582" i="1"/>
  <c r="AE582" i="1"/>
  <c r="AF582" i="1"/>
  <c r="AG582" i="1"/>
  <c r="AH582" i="1"/>
  <c r="AI582" i="1"/>
  <c r="AJ582" i="1"/>
  <c r="AK582" i="1"/>
  <c r="AL582" i="1"/>
  <c r="AM582" i="1"/>
  <c r="A583" i="1"/>
  <c r="B583" i="1"/>
  <c r="C583" i="1"/>
  <c r="D583" i="1"/>
  <c r="E583" i="1"/>
  <c r="F583" i="1"/>
  <c r="G583" i="1"/>
  <c r="H583" i="1"/>
  <c r="I583" i="1"/>
  <c r="J583" i="1"/>
  <c r="K583" i="1"/>
  <c r="L583" i="1"/>
  <c r="M583" i="1"/>
  <c r="N583" i="1"/>
  <c r="O583" i="1"/>
  <c r="P583" i="1"/>
  <c r="Q583" i="1"/>
  <c r="R583" i="1"/>
  <c r="S583" i="1"/>
  <c r="T583" i="1"/>
  <c r="U583" i="1"/>
  <c r="V583" i="1"/>
  <c r="W583" i="1"/>
  <c r="X583" i="1"/>
  <c r="Y583" i="1"/>
  <c r="Z583" i="1"/>
  <c r="AA583" i="1"/>
  <c r="AB583" i="1"/>
  <c r="AC583" i="1"/>
  <c r="AD583" i="1"/>
  <c r="AE583" i="1"/>
  <c r="AF583" i="1"/>
  <c r="AG583" i="1"/>
  <c r="AH583" i="1"/>
  <c r="AI583" i="1"/>
  <c r="AJ583" i="1"/>
  <c r="AK583" i="1"/>
  <c r="AL583" i="1"/>
  <c r="AM583" i="1"/>
  <c r="A584" i="1"/>
  <c r="B584" i="1"/>
  <c r="C584" i="1"/>
  <c r="D584" i="1"/>
  <c r="E584" i="1"/>
  <c r="F584" i="1"/>
  <c r="G584" i="1"/>
  <c r="H584" i="1"/>
  <c r="I584" i="1"/>
  <c r="J584" i="1"/>
  <c r="K584" i="1"/>
  <c r="L584" i="1"/>
  <c r="M584" i="1"/>
  <c r="N584" i="1"/>
  <c r="O584" i="1"/>
  <c r="P584" i="1"/>
  <c r="Q584" i="1"/>
  <c r="R584" i="1"/>
  <c r="S584" i="1"/>
  <c r="T584" i="1"/>
  <c r="U584" i="1"/>
  <c r="V584" i="1"/>
  <c r="W584" i="1"/>
  <c r="X584" i="1"/>
  <c r="Y584" i="1"/>
  <c r="Z584" i="1"/>
  <c r="AA584" i="1"/>
  <c r="AB584" i="1"/>
  <c r="AC584" i="1"/>
  <c r="AD584" i="1"/>
  <c r="AE584" i="1"/>
  <c r="AF584" i="1"/>
  <c r="AG584" i="1"/>
  <c r="AH584" i="1"/>
  <c r="AI584" i="1"/>
  <c r="AJ584" i="1"/>
  <c r="AK584" i="1"/>
  <c r="AL584" i="1"/>
  <c r="AM584" i="1"/>
  <c r="A585" i="1"/>
  <c r="B585" i="1"/>
  <c r="C585" i="1"/>
  <c r="D585" i="1"/>
  <c r="E585" i="1"/>
  <c r="F585" i="1"/>
  <c r="G585" i="1"/>
  <c r="H585" i="1"/>
  <c r="I585" i="1"/>
  <c r="J585" i="1"/>
  <c r="K585" i="1"/>
  <c r="L585" i="1"/>
  <c r="M585" i="1"/>
  <c r="N585" i="1"/>
  <c r="O585" i="1"/>
  <c r="P585" i="1"/>
  <c r="Q585" i="1"/>
  <c r="R585" i="1"/>
  <c r="S585" i="1"/>
  <c r="T585" i="1"/>
  <c r="U585" i="1"/>
  <c r="V585" i="1"/>
  <c r="W585" i="1"/>
  <c r="X585" i="1"/>
  <c r="Y585" i="1"/>
  <c r="Z585" i="1"/>
  <c r="AA585" i="1"/>
  <c r="AB585" i="1"/>
  <c r="AC585" i="1"/>
  <c r="AD585" i="1"/>
  <c r="AE585" i="1"/>
  <c r="AF585" i="1"/>
  <c r="AG585" i="1"/>
  <c r="AH585" i="1"/>
  <c r="AI585" i="1"/>
  <c r="AJ585" i="1"/>
  <c r="AK585" i="1"/>
  <c r="AL585" i="1"/>
  <c r="AM585" i="1"/>
  <c r="A586" i="1"/>
  <c r="B586" i="1"/>
  <c r="C586" i="1"/>
  <c r="D586" i="1"/>
  <c r="E586" i="1"/>
  <c r="F586" i="1"/>
  <c r="G586" i="1"/>
  <c r="H586" i="1"/>
  <c r="I586" i="1"/>
  <c r="J586" i="1"/>
  <c r="K586" i="1"/>
  <c r="L586" i="1"/>
  <c r="M586" i="1"/>
  <c r="N586" i="1"/>
  <c r="O586" i="1"/>
  <c r="P586" i="1"/>
  <c r="Q586" i="1"/>
  <c r="R586" i="1"/>
  <c r="S586" i="1"/>
  <c r="T586" i="1"/>
  <c r="U586" i="1"/>
  <c r="V586" i="1"/>
  <c r="W586" i="1"/>
  <c r="X586" i="1"/>
  <c r="Y586" i="1"/>
  <c r="Z586" i="1"/>
  <c r="AA586" i="1"/>
  <c r="AB586" i="1"/>
  <c r="AC586" i="1"/>
  <c r="AD586" i="1"/>
  <c r="AE586" i="1"/>
  <c r="AF586" i="1"/>
  <c r="AG586" i="1"/>
  <c r="AH586" i="1"/>
  <c r="AI586" i="1"/>
  <c r="AJ586" i="1"/>
  <c r="AK586" i="1"/>
  <c r="AL586" i="1"/>
  <c r="AM586" i="1"/>
  <c r="A587" i="1"/>
  <c r="B587" i="1"/>
  <c r="C587" i="1"/>
  <c r="D587" i="1"/>
  <c r="E587" i="1"/>
  <c r="F587" i="1"/>
  <c r="G587" i="1"/>
  <c r="H587" i="1"/>
  <c r="I587" i="1"/>
  <c r="J587" i="1"/>
  <c r="K587" i="1"/>
  <c r="L587" i="1"/>
  <c r="M587" i="1"/>
  <c r="N587" i="1"/>
  <c r="O587" i="1"/>
  <c r="P587" i="1"/>
  <c r="Q587" i="1"/>
  <c r="R587" i="1"/>
  <c r="S587" i="1"/>
  <c r="T587" i="1"/>
  <c r="U587" i="1"/>
  <c r="V587" i="1"/>
  <c r="W587" i="1"/>
  <c r="X587" i="1"/>
  <c r="Y587" i="1"/>
  <c r="Z587" i="1"/>
  <c r="AA587" i="1"/>
  <c r="AB587" i="1"/>
  <c r="AC587" i="1"/>
  <c r="AD587" i="1"/>
  <c r="AE587" i="1"/>
  <c r="AF587" i="1"/>
  <c r="AG587" i="1"/>
  <c r="AH587" i="1"/>
  <c r="AI587" i="1"/>
  <c r="AJ587" i="1"/>
  <c r="AK587" i="1"/>
  <c r="AL587" i="1"/>
  <c r="AM587" i="1"/>
  <c r="A588" i="1"/>
  <c r="B588" i="1"/>
  <c r="C588" i="1"/>
  <c r="D588" i="1"/>
  <c r="E588" i="1"/>
  <c r="F588" i="1"/>
  <c r="G588" i="1"/>
  <c r="H588" i="1"/>
  <c r="I588" i="1"/>
  <c r="J588" i="1"/>
  <c r="K588" i="1"/>
  <c r="L588" i="1"/>
  <c r="M588" i="1"/>
  <c r="N588" i="1"/>
  <c r="O588" i="1"/>
  <c r="P588" i="1"/>
  <c r="Q588" i="1"/>
  <c r="R588" i="1"/>
  <c r="S588" i="1"/>
  <c r="T588" i="1"/>
  <c r="U588" i="1"/>
  <c r="V588" i="1"/>
  <c r="W588" i="1"/>
  <c r="X588" i="1"/>
  <c r="Y588" i="1"/>
  <c r="Z588" i="1"/>
  <c r="AA588" i="1"/>
  <c r="AB588" i="1"/>
  <c r="AC588" i="1"/>
  <c r="AD588" i="1"/>
  <c r="AE588" i="1"/>
  <c r="AF588" i="1"/>
  <c r="AG588" i="1"/>
  <c r="AH588" i="1"/>
  <c r="AI588" i="1"/>
  <c r="AJ588" i="1"/>
  <c r="AK588" i="1"/>
  <c r="AL588" i="1"/>
  <c r="AM588" i="1"/>
  <c r="A589" i="1"/>
  <c r="B589" i="1"/>
  <c r="C589" i="1"/>
  <c r="D589" i="1"/>
  <c r="E589" i="1"/>
  <c r="F589" i="1"/>
  <c r="G589" i="1"/>
  <c r="H589" i="1"/>
  <c r="I589" i="1"/>
  <c r="J589" i="1"/>
  <c r="K589" i="1"/>
  <c r="L589" i="1"/>
  <c r="M589" i="1"/>
  <c r="N589" i="1"/>
  <c r="O589" i="1"/>
  <c r="P589" i="1"/>
  <c r="Q589" i="1"/>
  <c r="R589" i="1"/>
  <c r="S589" i="1"/>
  <c r="T589" i="1"/>
  <c r="U589" i="1"/>
  <c r="V589" i="1"/>
  <c r="W589" i="1"/>
  <c r="X589" i="1"/>
  <c r="Y589" i="1"/>
  <c r="Z589" i="1"/>
  <c r="AA589" i="1"/>
  <c r="AB589" i="1"/>
  <c r="AC589" i="1"/>
  <c r="AD589" i="1"/>
  <c r="AE589" i="1"/>
  <c r="AF589" i="1"/>
  <c r="AG589" i="1"/>
  <c r="AH589" i="1"/>
  <c r="AI589" i="1"/>
  <c r="AJ589" i="1"/>
  <c r="AK589" i="1"/>
  <c r="AL589" i="1"/>
  <c r="AM589" i="1"/>
  <c r="A590" i="1"/>
  <c r="B590" i="1"/>
  <c r="C590" i="1"/>
  <c r="D590" i="1"/>
  <c r="E590" i="1"/>
  <c r="F590" i="1"/>
  <c r="G590" i="1"/>
  <c r="H590" i="1"/>
  <c r="I590" i="1"/>
  <c r="J590" i="1"/>
  <c r="K590" i="1"/>
  <c r="L590" i="1"/>
  <c r="M590" i="1"/>
  <c r="N590" i="1"/>
  <c r="O590" i="1"/>
  <c r="P590" i="1"/>
  <c r="Q590" i="1"/>
  <c r="R590" i="1"/>
  <c r="S590" i="1"/>
  <c r="T590" i="1"/>
  <c r="U590" i="1"/>
  <c r="V590" i="1"/>
  <c r="W590" i="1"/>
  <c r="X590" i="1"/>
  <c r="Y590" i="1"/>
  <c r="Z590" i="1"/>
  <c r="AA590" i="1"/>
  <c r="AB590" i="1"/>
  <c r="AC590" i="1"/>
  <c r="AD590" i="1"/>
  <c r="AE590" i="1"/>
  <c r="AF590" i="1"/>
  <c r="AG590" i="1"/>
  <c r="AH590" i="1"/>
  <c r="AI590" i="1"/>
  <c r="AJ590" i="1"/>
  <c r="AK590" i="1"/>
  <c r="AL590" i="1"/>
  <c r="AM590" i="1"/>
  <c r="A591" i="1"/>
  <c r="B591" i="1"/>
  <c r="C591" i="1"/>
  <c r="D591" i="1"/>
  <c r="E591" i="1"/>
  <c r="F591" i="1"/>
  <c r="G591" i="1"/>
  <c r="H591" i="1"/>
  <c r="I591" i="1"/>
  <c r="J591" i="1"/>
  <c r="K591" i="1"/>
  <c r="L591" i="1"/>
  <c r="M591" i="1"/>
  <c r="N591" i="1"/>
  <c r="O591" i="1"/>
  <c r="P591" i="1"/>
  <c r="Q591" i="1"/>
  <c r="R591" i="1"/>
  <c r="S591" i="1"/>
  <c r="T591" i="1"/>
  <c r="U591" i="1"/>
  <c r="V591" i="1"/>
  <c r="W591" i="1"/>
  <c r="X591" i="1"/>
  <c r="Y591" i="1"/>
  <c r="Z591" i="1"/>
  <c r="AA591" i="1"/>
  <c r="AB591" i="1"/>
  <c r="AC591" i="1"/>
  <c r="AD591" i="1"/>
  <c r="AE591" i="1"/>
  <c r="AF591" i="1"/>
  <c r="AG591" i="1"/>
  <c r="AH591" i="1"/>
  <c r="AI591" i="1"/>
  <c r="AJ591" i="1"/>
  <c r="AK591" i="1"/>
  <c r="AL591" i="1"/>
  <c r="AM591" i="1"/>
  <c r="A592" i="1"/>
  <c r="B592" i="1"/>
  <c r="C592" i="1"/>
  <c r="D592" i="1"/>
  <c r="E592" i="1"/>
  <c r="F592" i="1"/>
  <c r="G592" i="1"/>
  <c r="H592" i="1"/>
  <c r="I592" i="1"/>
  <c r="J592" i="1"/>
  <c r="K592" i="1"/>
  <c r="L592" i="1"/>
  <c r="M592" i="1"/>
  <c r="N592" i="1"/>
  <c r="O592" i="1"/>
  <c r="P592" i="1"/>
  <c r="Q592" i="1"/>
  <c r="R592" i="1"/>
  <c r="S592" i="1"/>
  <c r="T592" i="1"/>
  <c r="U592" i="1"/>
  <c r="V592" i="1"/>
  <c r="W592" i="1"/>
  <c r="X592" i="1"/>
  <c r="Y592" i="1"/>
  <c r="Z592" i="1"/>
  <c r="AA592" i="1"/>
  <c r="AB592" i="1"/>
  <c r="AC592" i="1"/>
  <c r="AD592" i="1"/>
  <c r="AE592" i="1"/>
  <c r="AF592" i="1"/>
  <c r="AG592" i="1"/>
  <c r="AH592" i="1"/>
  <c r="AI592" i="1"/>
  <c r="AJ592" i="1"/>
  <c r="AK592" i="1"/>
  <c r="AL592" i="1"/>
  <c r="AM592" i="1"/>
  <c r="A593" i="1"/>
  <c r="B593" i="1"/>
  <c r="C593" i="1"/>
  <c r="D593" i="1"/>
  <c r="E593" i="1"/>
  <c r="F593" i="1"/>
  <c r="G593" i="1"/>
  <c r="H593" i="1"/>
  <c r="I593" i="1"/>
  <c r="J593" i="1"/>
  <c r="K593" i="1"/>
  <c r="L593" i="1"/>
  <c r="M593" i="1"/>
  <c r="N593" i="1"/>
  <c r="O593" i="1"/>
  <c r="P593" i="1"/>
  <c r="Q593" i="1"/>
  <c r="R593" i="1"/>
  <c r="S593" i="1"/>
  <c r="T593" i="1"/>
  <c r="U593" i="1"/>
  <c r="V593" i="1"/>
  <c r="W593" i="1"/>
  <c r="X593" i="1"/>
  <c r="Y593" i="1"/>
  <c r="Z593" i="1"/>
  <c r="AA593" i="1"/>
  <c r="AB593" i="1"/>
  <c r="AC593" i="1"/>
  <c r="AD593" i="1"/>
  <c r="AE593" i="1"/>
  <c r="AF593" i="1"/>
  <c r="AG593" i="1"/>
  <c r="AH593" i="1"/>
  <c r="AI593" i="1"/>
  <c r="AJ593" i="1"/>
  <c r="AK593" i="1"/>
  <c r="AL593" i="1"/>
  <c r="AM593" i="1"/>
  <c r="A594" i="1"/>
  <c r="B594" i="1"/>
  <c r="C594" i="1"/>
  <c r="D594" i="1"/>
  <c r="E594" i="1"/>
  <c r="F594" i="1"/>
  <c r="G594" i="1"/>
  <c r="H594" i="1"/>
  <c r="I594" i="1"/>
  <c r="J594" i="1"/>
  <c r="K594" i="1"/>
  <c r="L594" i="1"/>
  <c r="M594" i="1"/>
  <c r="N594" i="1"/>
  <c r="O594" i="1"/>
  <c r="P594" i="1"/>
  <c r="Q594" i="1"/>
  <c r="R594" i="1"/>
  <c r="S594" i="1"/>
  <c r="T594" i="1"/>
  <c r="U594" i="1"/>
  <c r="V594" i="1"/>
  <c r="W594" i="1"/>
  <c r="X594" i="1"/>
  <c r="Y594" i="1"/>
  <c r="Z594" i="1"/>
  <c r="AA594" i="1"/>
  <c r="AB594" i="1"/>
  <c r="AC594" i="1"/>
  <c r="AD594" i="1"/>
  <c r="AE594" i="1"/>
  <c r="AF594" i="1"/>
  <c r="AG594" i="1"/>
  <c r="AH594" i="1"/>
  <c r="AI594" i="1"/>
  <c r="AJ594" i="1"/>
  <c r="AK594" i="1"/>
  <c r="AL594" i="1"/>
  <c r="AM594" i="1"/>
  <c r="A595" i="1"/>
  <c r="B595" i="1"/>
  <c r="C595" i="1"/>
  <c r="D595" i="1"/>
  <c r="E595" i="1"/>
  <c r="F595" i="1"/>
  <c r="G595" i="1"/>
  <c r="H595" i="1"/>
  <c r="I595" i="1"/>
  <c r="J595" i="1"/>
  <c r="K595" i="1"/>
  <c r="L595" i="1"/>
  <c r="M595" i="1"/>
  <c r="N595" i="1"/>
  <c r="O595" i="1"/>
  <c r="P595" i="1"/>
  <c r="Q595" i="1"/>
  <c r="R595" i="1"/>
  <c r="S595" i="1"/>
  <c r="T595" i="1"/>
  <c r="U595" i="1"/>
  <c r="V595" i="1"/>
  <c r="W595" i="1"/>
  <c r="X595" i="1"/>
  <c r="Y595" i="1"/>
  <c r="Z595" i="1"/>
  <c r="AA595" i="1"/>
  <c r="AB595" i="1"/>
  <c r="AC595" i="1"/>
  <c r="AD595" i="1"/>
  <c r="AE595" i="1"/>
  <c r="AF595" i="1"/>
  <c r="AG595" i="1"/>
  <c r="AH595" i="1"/>
  <c r="AI595" i="1"/>
  <c r="AJ595" i="1"/>
  <c r="AK595" i="1"/>
  <c r="AL595" i="1"/>
  <c r="AM595" i="1"/>
  <c r="A596" i="1"/>
  <c r="B596" i="1"/>
  <c r="C596" i="1"/>
  <c r="D596" i="1"/>
  <c r="E596" i="1"/>
  <c r="F596" i="1"/>
  <c r="G596" i="1"/>
  <c r="H596" i="1"/>
  <c r="I596" i="1"/>
  <c r="J596" i="1"/>
  <c r="K596" i="1"/>
  <c r="L596" i="1"/>
  <c r="M596" i="1"/>
  <c r="N596" i="1"/>
  <c r="O596" i="1"/>
  <c r="P596" i="1"/>
  <c r="Q596" i="1"/>
  <c r="R596" i="1"/>
  <c r="S596" i="1"/>
  <c r="T596" i="1"/>
  <c r="U596" i="1"/>
  <c r="V596" i="1"/>
  <c r="W596" i="1"/>
  <c r="X596" i="1"/>
  <c r="Y596" i="1"/>
  <c r="Z596" i="1"/>
  <c r="AA596" i="1"/>
  <c r="AB596" i="1"/>
  <c r="AC596" i="1"/>
  <c r="AD596" i="1"/>
  <c r="AE596" i="1"/>
  <c r="AF596" i="1"/>
  <c r="AG596" i="1"/>
  <c r="AH596" i="1"/>
  <c r="AI596" i="1"/>
  <c r="AJ596" i="1"/>
  <c r="AK596" i="1"/>
  <c r="AL596" i="1"/>
  <c r="AM596" i="1"/>
  <c r="A597" i="1"/>
  <c r="B597" i="1"/>
  <c r="C597" i="1"/>
  <c r="D597" i="1"/>
  <c r="E597" i="1"/>
  <c r="F597" i="1"/>
  <c r="G597" i="1"/>
  <c r="H597" i="1"/>
  <c r="I597" i="1"/>
  <c r="J597" i="1"/>
  <c r="K597" i="1"/>
  <c r="L597" i="1"/>
  <c r="M597" i="1"/>
  <c r="N597" i="1"/>
  <c r="O597" i="1"/>
  <c r="P597" i="1"/>
  <c r="Q597" i="1"/>
  <c r="R597" i="1"/>
  <c r="S597" i="1"/>
  <c r="T597" i="1"/>
  <c r="U597" i="1"/>
  <c r="V597" i="1"/>
  <c r="W597" i="1"/>
  <c r="X597" i="1"/>
  <c r="Y597" i="1"/>
  <c r="Z597" i="1"/>
  <c r="AA597" i="1"/>
  <c r="AB597" i="1"/>
  <c r="AC597" i="1"/>
  <c r="AD597" i="1"/>
  <c r="AE597" i="1"/>
  <c r="AF597" i="1"/>
  <c r="AG597" i="1"/>
  <c r="AH597" i="1"/>
  <c r="AI597" i="1"/>
  <c r="AJ597" i="1"/>
  <c r="AK597" i="1"/>
  <c r="AL597" i="1"/>
  <c r="AM597" i="1"/>
  <c r="A598" i="1"/>
  <c r="B598" i="1"/>
  <c r="C598" i="1"/>
  <c r="D598" i="1"/>
  <c r="E598" i="1"/>
  <c r="F598" i="1"/>
  <c r="G598" i="1"/>
  <c r="H598" i="1"/>
  <c r="I598" i="1"/>
  <c r="J598" i="1"/>
  <c r="K598" i="1"/>
  <c r="L598" i="1"/>
  <c r="M598" i="1"/>
  <c r="N598" i="1"/>
  <c r="O598" i="1"/>
  <c r="P598" i="1"/>
  <c r="Q598" i="1"/>
  <c r="R598" i="1"/>
  <c r="S598" i="1"/>
  <c r="T598" i="1"/>
  <c r="U598" i="1"/>
  <c r="V598" i="1"/>
  <c r="W598" i="1"/>
  <c r="X598" i="1"/>
  <c r="Y598" i="1"/>
  <c r="Z598" i="1"/>
  <c r="AA598" i="1"/>
  <c r="AB598" i="1"/>
  <c r="AC598" i="1"/>
  <c r="AD598" i="1"/>
  <c r="AE598" i="1"/>
  <c r="AF598" i="1"/>
  <c r="AG598" i="1"/>
  <c r="AH598" i="1"/>
  <c r="AI598" i="1"/>
  <c r="AJ598" i="1"/>
  <c r="AK598" i="1"/>
  <c r="AL598" i="1"/>
  <c r="AM598" i="1"/>
  <c r="A599" i="1"/>
  <c r="B599" i="1"/>
  <c r="C599" i="1"/>
  <c r="D599" i="1"/>
  <c r="E599" i="1"/>
  <c r="F599" i="1"/>
  <c r="G599" i="1"/>
  <c r="H599" i="1"/>
  <c r="I599" i="1"/>
  <c r="J599" i="1"/>
  <c r="K599" i="1"/>
  <c r="L599" i="1"/>
  <c r="M599" i="1"/>
  <c r="N599" i="1"/>
  <c r="O599" i="1"/>
  <c r="P599" i="1"/>
  <c r="Q599" i="1"/>
  <c r="R599" i="1"/>
  <c r="S599" i="1"/>
  <c r="T599" i="1"/>
  <c r="U599" i="1"/>
  <c r="V599" i="1"/>
  <c r="W599" i="1"/>
  <c r="X599" i="1"/>
  <c r="Y599" i="1"/>
  <c r="Z599" i="1"/>
  <c r="AA599" i="1"/>
  <c r="AB599" i="1"/>
  <c r="AC599" i="1"/>
  <c r="AD599" i="1"/>
  <c r="AE599" i="1"/>
  <c r="AF599" i="1"/>
  <c r="AG599" i="1"/>
  <c r="AH599" i="1"/>
  <c r="AI599" i="1"/>
  <c r="AJ599" i="1"/>
  <c r="AK599" i="1"/>
  <c r="AL599" i="1"/>
  <c r="AM599" i="1"/>
  <c r="A600" i="1"/>
  <c r="B600" i="1"/>
  <c r="C600" i="1"/>
  <c r="D600" i="1"/>
  <c r="E600" i="1"/>
  <c r="F600" i="1"/>
  <c r="G600" i="1"/>
  <c r="H600" i="1"/>
  <c r="I600" i="1"/>
  <c r="J600" i="1"/>
  <c r="K600" i="1"/>
  <c r="L600" i="1"/>
  <c r="M600" i="1"/>
  <c r="N600" i="1"/>
  <c r="O600" i="1"/>
  <c r="P600" i="1"/>
  <c r="Q600" i="1"/>
  <c r="R600" i="1"/>
  <c r="S600" i="1"/>
  <c r="T600" i="1"/>
  <c r="U600" i="1"/>
  <c r="V600" i="1"/>
  <c r="W600" i="1"/>
  <c r="X600" i="1"/>
  <c r="Y600" i="1"/>
  <c r="Z600" i="1"/>
  <c r="AA600" i="1"/>
  <c r="AB600" i="1"/>
  <c r="AC600" i="1"/>
  <c r="AD600" i="1"/>
  <c r="AE600" i="1"/>
  <c r="AF600" i="1"/>
  <c r="AG600" i="1"/>
  <c r="AH600" i="1"/>
  <c r="AI600" i="1"/>
  <c r="AJ600" i="1"/>
  <c r="AK600" i="1"/>
  <c r="AL600" i="1"/>
  <c r="AM600" i="1"/>
  <c r="A601" i="1"/>
  <c r="B601" i="1"/>
  <c r="C601" i="1"/>
  <c r="D601" i="1"/>
  <c r="E601" i="1"/>
  <c r="F601" i="1"/>
  <c r="G601" i="1"/>
  <c r="H601" i="1"/>
  <c r="I601" i="1"/>
  <c r="J601" i="1"/>
  <c r="K601" i="1"/>
  <c r="L601" i="1"/>
  <c r="M601" i="1"/>
  <c r="N601" i="1"/>
  <c r="O601" i="1"/>
  <c r="P601" i="1"/>
  <c r="Q601" i="1"/>
  <c r="R601" i="1"/>
  <c r="S601" i="1"/>
  <c r="T601" i="1"/>
  <c r="U601" i="1"/>
  <c r="V601" i="1"/>
  <c r="W601" i="1"/>
  <c r="X601" i="1"/>
  <c r="Y601" i="1"/>
  <c r="Z601" i="1"/>
  <c r="AA601" i="1"/>
  <c r="AB601" i="1"/>
  <c r="AC601" i="1"/>
  <c r="AD601" i="1"/>
  <c r="AE601" i="1"/>
  <c r="AF601" i="1"/>
  <c r="AG601" i="1"/>
  <c r="AH601" i="1"/>
  <c r="AI601" i="1"/>
  <c r="AJ601" i="1"/>
  <c r="AK601" i="1"/>
  <c r="AL601" i="1"/>
  <c r="AM601" i="1"/>
  <c r="A602" i="1"/>
  <c r="B602" i="1"/>
  <c r="C602" i="1"/>
  <c r="D602" i="1"/>
  <c r="E602" i="1"/>
  <c r="F602" i="1"/>
  <c r="G602" i="1"/>
  <c r="H602" i="1"/>
  <c r="I602" i="1"/>
  <c r="J602" i="1"/>
  <c r="K602" i="1"/>
  <c r="L602" i="1"/>
  <c r="M602" i="1"/>
  <c r="N602" i="1"/>
  <c r="O602" i="1"/>
  <c r="P602" i="1"/>
  <c r="Q602" i="1"/>
  <c r="R602" i="1"/>
  <c r="S602" i="1"/>
  <c r="T602" i="1"/>
  <c r="U602" i="1"/>
  <c r="V602" i="1"/>
  <c r="W602" i="1"/>
  <c r="X602" i="1"/>
  <c r="Y602" i="1"/>
  <c r="Z602" i="1"/>
  <c r="AA602" i="1"/>
  <c r="AB602" i="1"/>
  <c r="AC602" i="1"/>
  <c r="AD602" i="1"/>
  <c r="AE602" i="1"/>
  <c r="AF602" i="1"/>
  <c r="AG602" i="1"/>
  <c r="AH602" i="1"/>
  <c r="AI602" i="1"/>
  <c r="AJ602" i="1"/>
  <c r="AK602" i="1"/>
  <c r="AL602" i="1"/>
  <c r="AM602" i="1"/>
  <c r="A603" i="1"/>
  <c r="B603" i="1"/>
  <c r="C603" i="1"/>
  <c r="D603" i="1"/>
  <c r="E603" i="1"/>
  <c r="F603" i="1"/>
  <c r="G603" i="1"/>
  <c r="H603" i="1"/>
  <c r="I603" i="1"/>
  <c r="J603" i="1"/>
  <c r="K603" i="1"/>
  <c r="L603" i="1"/>
  <c r="M603" i="1"/>
  <c r="N603" i="1"/>
  <c r="O603" i="1"/>
  <c r="P603" i="1"/>
  <c r="Q603" i="1"/>
  <c r="R603" i="1"/>
  <c r="S603" i="1"/>
  <c r="T603" i="1"/>
  <c r="U603" i="1"/>
  <c r="V603" i="1"/>
  <c r="W603" i="1"/>
  <c r="X603" i="1"/>
  <c r="Y603" i="1"/>
  <c r="Z603" i="1"/>
  <c r="AA603" i="1"/>
  <c r="AB603" i="1"/>
  <c r="AC603" i="1"/>
  <c r="AD603" i="1"/>
  <c r="AE603" i="1"/>
  <c r="AF603" i="1"/>
  <c r="AG603" i="1"/>
  <c r="AH603" i="1"/>
  <c r="AI603" i="1"/>
  <c r="AJ603" i="1"/>
  <c r="AK603" i="1"/>
  <c r="AL603" i="1"/>
  <c r="AM603" i="1"/>
  <c r="A604" i="1"/>
  <c r="B604" i="1"/>
  <c r="C604" i="1"/>
  <c r="D604" i="1"/>
  <c r="E604" i="1"/>
  <c r="F604" i="1"/>
  <c r="G604" i="1"/>
  <c r="H604" i="1"/>
  <c r="I604" i="1"/>
  <c r="J604" i="1"/>
  <c r="K604" i="1"/>
  <c r="L604" i="1"/>
  <c r="M604" i="1"/>
  <c r="N604" i="1"/>
  <c r="O604" i="1"/>
  <c r="P604" i="1"/>
  <c r="Q604" i="1"/>
  <c r="R604" i="1"/>
  <c r="S604" i="1"/>
  <c r="T604" i="1"/>
  <c r="U604" i="1"/>
  <c r="V604" i="1"/>
  <c r="W604" i="1"/>
  <c r="X604" i="1"/>
  <c r="Y604" i="1"/>
  <c r="Z604" i="1"/>
  <c r="AA604" i="1"/>
  <c r="AB604" i="1"/>
  <c r="AC604" i="1"/>
  <c r="AD604" i="1"/>
  <c r="AE604" i="1"/>
  <c r="AF604" i="1"/>
  <c r="AG604" i="1"/>
  <c r="AH604" i="1"/>
  <c r="AI604" i="1"/>
  <c r="AJ604" i="1"/>
  <c r="AK604" i="1"/>
  <c r="AL604" i="1"/>
  <c r="AM604" i="1"/>
  <c r="A605" i="1"/>
  <c r="B605" i="1"/>
  <c r="C605" i="1"/>
  <c r="D605" i="1"/>
  <c r="E605" i="1"/>
  <c r="F605" i="1"/>
  <c r="G605" i="1"/>
  <c r="H605" i="1"/>
  <c r="I605" i="1"/>
  <c r="J605" i="1"/>
  <c r="K605" i="1"/>
  <c r="L605" i="1"/>
  <c r="M605" i="1"/>
  <c r="N605" i="1"/>
  <c r="O605" i="1"/>
  <c r="P605" i="1"/>
  <c r="Q605" i="1"/>
  <c r="R605" i="1"/>
  <c r="S605" i="1"/>
  <c r="T605" i="1"/>
  <c r="U605" i="1"/>
  <c r="V605" i="1"/>
  <c r="W605" i="1"/>
  <c r="X605" i="1"/>
  <c r="Y605" i="1"/>
  <c r="Z605" i="1"/>
  <c r="AA605" i="1"/>
  <c r="AB605" i="1"/>
  <c r="AC605" i="1"/>
  <c r="AD605" i="1"/>
  <c r="AE605" i="1"/>
  <c r="AF605" i="1"/>
  <c r="AG605" i="1"/>
  <c r="AH605" i="1"/>
  <c r="AI605" i="1"/>
  <c r="AJ605" i="1"/>
  <c r="AK605" i="1"/>
  <c r="AL605" i="1"/>
  <c r="AM605" i="1"/>
  <c r="A606" i="1"/>
  <c r="B606" i="1"/>
  <c r="C606" i="1"/>
  <c r="D606" i="1"/>
  <c r="E606" i="1"/>
  <c r="F606" i="1"/>
  <c r="G606" i="1"/>
  <c r="H606" i="1"/>
  <c r="I606" i="1"/>
  <c r="J606" i="1"/>
  <c r="K606" i="1"/>
  <c r="L606" i="1"/>
  <c r="M606" i="1"/>
  <c r="N606" i="1"/>
  <c r="O606" i="1"/>
  <c r="P606" i="1"/>
  <c r="Q606" i="1"/>
  <c r="R606" i="1"/>
  <c r="S606" i="1"/>
  <c r="T606" i="1"/>
  <c r="U606" i="1"/>
  <c r="V606" i="1"/>
  <c r="W606" i="1"/>
  <c r="X606" i="1"/>
  <c r="Y606" i="1"/>
  <c r="Z606" i="1"/>
  <c r="AA606" i="1"/>
  <c r="AB606" i="1"/>
  <c r="AC606" i="1"/>
  <c r="AD606" i="1"/>
  <c r="AE606" i="1"/>
  <c r="AF606" i="1"/>
  <c r="AG606" i="1"/>
  <c r="AH606" i="1"/>
  <c r="AI606" i="1"/>
  <c r="AJ606" i="1"/>
  <c r="AK606" i="1"/>
  <c r="AL606" i="1"/>
  <c r="AM606" i="1"/>
  <c r="A607" i="1"/>
  <c r="B607" i="1"/>
  <c r="C607" i="1"/>
  <c r="D607" i="1"/>
  <c r="E607" i="1"/>
  <c r="F607" i="1"/>
  <c r="G607" i="1"/>
  <c r="H607" i="1"/>
  <c r="I607" i="1"/>
  <c r="J607" i="1"/>
  <c r="K607" i="1"/>
  <c r="L607" i="1"/>
  <c r="M607" i="1"/>
  <c r="N607" i="1"/>
  <c r="O607" i="1"/>
  <c r="P607" i="1"/>
  <c r="Q607" i="1"/>
  <c r="R607" i="1"/>
  <c r="S607" i="1"/>
  <c r="T607" i="1"/>
  <c r="U607" i="1"/>
  <c r="V607" i="1"/>
  <c r="W607" i="1"/>
  <c r="X607" i="1"/>
  <c r="Y607" i="1"/>
  <c r="Z607" i="1"/>
  <c r="AA607" i="1"/>
  <c r="AB607" i="1"/>
  <c r="AC607" i="1"/>
  <c r="AD607" i="1"/>
  <c r="AE607" i="1"/>
  <c r="AF607" i="1"/>
  <c r="AG607" i="1"/>
  <c r="AH607" i="1"/>
  <c r="AI607" i="1"/>
  <c r="AJ607" i="1"/>
  <c r="AK607" i="1"/>
  <c r="AL607" i="1"/>
  <c r="AM607" i="1"/>
  <c r="A608" i="1"/>
  <c r="B608" i="1"/>
  <c r="C608" i="1"/>
  <c r="D608" i="1"/>
  <c r="E608" i="1"/>
  <c r="F608" i="1"/>
  <c r="G608" i="1"/>
  <c r="H608" i="1"/>
  <c r="I608" i="1"/>
  <c r="J608" i="1"/>
  <c r="K608" i="1"/>
  <c r="L608" i="1"/>
  <c r="M608" i="1"/>
  <c r="N608" i="1"/>
  <c r="O608" i="1"/>
  <c r="P608" i="1"/>
  <c r="Q608" i="1"/>
  <c r="R608" i="1"/>
  <c r="S608" i="1"/>
  <c r="T608" i="1"/>
  <c r="U608" i="1"/>
  <c r="V608" i="1"/>
  <c r="W608" i="1"/>
  <c r="X608" i="1"/>
  <c r="Y608" i="1"/>
  <c r="Z608" i="1"/>
  <c r="AA608" i="1"/>
  <c r="AB608" i="1"/>
  <c r="AC608" i="1"/>
  <c r="AD608" i="1"/>
  <c r="AE608" i="1"/>
  <c r="AF608" i="1"/>
  <c r="AG608" i="1"/>
  <c r="AH608" i="1"/>
  <c r="AI608" i="1"/>
  <c r="AJ608" i="1"/>
  <c r="AK608" i="1"/>
  <c r="AL608" i="1"/>
  <c r="AM608" i="1"/>
  <c r="A609" i="1"/>
  <c r="B609" i="1"/>
  <c r="C609" i="1"/>
  <c r="D609" i="1"/>
  <c r="E609" i="1"/>
  <c r="F609" i="1"/>
  <c r="G609" i="1"/>
  <c r="H609" i="1"/>
  <c r="I609" i="1"/>
  <c r="J609" i="1"/>
  <c r="K609" i="1"/>
  <c r="L609" i="1"/>
  <c r="M609" i="1"/>
  <c r="N609" i="1"/>
  <c r="O609" i="1"/>
  <c r="P609" i="1"/>
  <c r="Q609" i="1"/>
  <c r="R609" i="1"/>
  <c r="S609" i="1"/>
  <c r="T609" i="1"/>
  <c r="U609" i="1"/>
  <c r="V609" i="1"/>
  <c r="W609" i="1"/>
  <c r="X609" i="1"/>
  <c r="Y609" i="1"/>
  <c r="Z609" i="1"/>
  <c r="AA609" i="1"/>
  <c r="AB609" i="1"/>
  <c r="AC609" i="1"/>
  <c r="AD609" i="1"/>
  <c r="AE609" i="1"/>
  <c r="AF609" i="1"/>
  <c r="AG609" i="1"/>
  <c r="AH609" i="1"/>
  <c r="AI609" i="1"/>
  <c r="AJ609" i="1"/>
  <c r="AK609" i="1"/>
  <c r="AL609" i="1"/>
  <c r="AM609" i="1"/>
  <c r="A610" i="1"/>
  <c r="B610" i="1"/>
  <c r="C610" i="1"/>
  <c r="D610" i="1"/>
  <c r="E610" i="1"/>
  <c r="F610" i="1"/>
  <c r="G610" i="1"/>
  <c r="H610" i="1"/>
  <c r="I610" i="1"/>
  <c r="J610" i="1"/>
  <c r="K610" i="1"/>
  <c r="L610" i="1"/>
  <c r="M610" i="1"/>
  <c r="N610" i="1"/>
  <c r="O610" i="1"/>
  <c r="P610" i="1"/>
  <c r="Q610" i="1"/>
  <c r="R610" i="1"/>
  <c r="S610" i="1"/>
  <c r="T610" i="1"/>
  <c r="U610" i="1"/>
  <c r="V610" i="1"/>
  <c r="W610" i="1"/>
  <c r="X610" i="1"/>
  <c r="Y610" i="1"/>
  <c r="Z610" i="1"/>
  <c r="AA610" i="1"/>
  <c r="AB610" i="1"/>
  <c r="AC610" i="1"/>
  <c r="AD610" i="1"/>
  <c r="AE610" i="1"/>
  <c r="AF610" i="1"/>
  <c r="AG610" i="1"/>
  <c r="AH610" i="1"/>
  <c r="AI610" i="1"/>
  <c r="AJ610" i="1"/>
  <c r="AK610" i="1"/>
  <c r="AL610" i="1"/>
  <c r="AM610" i="1"/>
  <c r="A611" i="1"/>
  <c r="B611" i="1"/>
  <c r="C611" i="1"/>
  <c r="D611" i="1"/>
  <c r="E611" i="1"/>
  <c r="F611" i="1"/>
  <c r="G611" i="1"/>
  <c r="H611" i="1"/>
  <c r="I611" i="1"/>
  <c r="J611" i="1"/>
  <c r="K611" i="1"/>
  <c r="L611" i="1"/>
  <c r="M611" i="1"/>
  <c r="N611" i="1"/>
  <c r="O611" i="1"/>
  <c r="P611" i="1"/>
  <c r="Q611" i="1"/>
  <c r="R611" i="1"/>
  <c r="S611" i="1"/>
  <c r="T611" i="1"/>
  <c r="U611" i="1"/>
  <c r="V611" i="1"/>
  <c r="W611" i="1"/>
  <c r="X611" i="1"/>
  <c r="Y611" i="1"/>
  <c r="Z611" i="1"/>
  <c r="AA611" i="1"/>
  <c r="AB611" i="1"/>
  <c r="AC611" i="1"/>
  <c r="AD611" i="1"/>
  <c r="AE611" i="1"/>
  <c r="AF611" i="1"/>
  <c r="AG611" i="1"/>
  <c r="AH611" i="1"/>
  <c r="AI611" i="1"/>
  <c r="AJ611" i="1"/>
  <c r="AK611" i="1"/>
  <c r="AL611" i="1"/>
  <c r="AM611" i="1"/>
  <c r="A612" i="1"/>
  <c r="B612" i="1"/>
  <c r="C612" i="1"/>
  <c r="D612" i="1"/>
  <c r="E612" i="1"/>
  <c r="F612" i="1"/>
  <c r="G612" i="1"/>
  <c r="H612" i="1"/>
  <c r="I612" i="1"/>
  <c r="J612" i="1"/>
  <c r="K612" i="1"/>
  <c r="L612" i="1"/>
  <c r="M612" i="1"/>
  <c r="N612" i="1"/>
  <c r="O612" i="1"/>
  <c r="P612" i="1"/>
  <c r="Q612" i="1"/>
  <c r="R612" i="1"/>
  <c r="S612" i="1"/>
  <c r="T612" i="1"/>
  <c r="U612" i="1"/>
  <c r="V612" i="1"/>
  <c r="W612" i="1"/>
  <c r="X612" i="1"/>
  <c r="Y612" i="1"/>
  <c r="Z612" i="1"/>
  <c r="AA612" i="1"/>
  <c r="AB612" i="1"/>
  <c r="AC612" i="1"/>
  <c r="AD612" i="1"/>
  <c r="AE612" i="1"/>
  <c r="AF612" i="1"/>
  <c r="AG612" i="1"/>
  <c r="AH612" i="1"/>
  <c r="AI612" i="1"/>
  <c r="AJ612" i="1"/>
  <c r="AK612" i="1"/>
  <c r="AL612" i="1"/>
  <c r="AM612" i="1"/>
  <c r="A613" i="1"/>
  <c r="B613" i="1"/>
  <c r="C613" i="1"/>
  <c r="D613" i="1"/>
  <c r="E613" i="1"/>
  <c r="F613" i="1"/>
  <c r="G613" i="1"/>
  <c r="H613" i="1"/>
  <c r="I613" i="1"/>
  <c r="J613" i="1"/>
  <c r="K613" i="1"/>
  <c r="L613" i="1"/>
  <c r="M613" i="1"/>
  <c r="N613" i="1"/>
  <c r="O613" i="1"/>
  <c r="P613" i="1"/>
  <c r="Q613" i="1"/>
  <c r="R613" i="1"/>
  <c r="S613" i="1"/>
  <c r="T613" i="1"/>
  <c r="U613" i="1"/>
  <c r="V613" i="1"/>
  <c r="W613" i="1"/>
  <c r="X613" i="1"/>
  <c r="Y613" i="1"/>
  <c r="Z613" i="1"/>
  <c r="AA613" i="1"/>
  <c r="AB613" i="1"/>
  <c r="AC613" i="1"/>
  <c r="AD613" i="1"/>
  <c r="AE613" i="1"/>
  <c r="AF613" i="1"/>
  <c r="AG613" i="1"/>
  <c r="AH613" i="1"/>
  <c r="AI613" i="1"/>
  <c r="AJ613" i="1"/>
  <c r="AK613" i="1"/>
  <c r="AL613" i="1"/>
  <c r="AM613" i="1"/>
  <c r="A614" i="1"/>
  <c r="B614" i="1"/>
  <c r="C614" i="1"/>
  <c r="D614" i="1"/>
  <c r="E614" i="1"/>
  <c r="F614" i="1"/>
  <c r="G614" i="1"/>
  <c r="H614" i="1"/>
  <c r="I614" i="1"/>
  <c r="J614" i="1"/>
  <c r="K614" i="1"/>
  <c r="L614" i="1"/>
  <c r="M614" i="1"/>
  <c r="N614" i="1"/>
  <c r="O614" i="1"/>
  <c r="P614" i="1"/>
  <c r="Q614" i="1"/>
  <c r="R614" i="1"/>
  <c r="S614" i="1"/>
  <c r="T614" i="1"/>
  <c r="U614" i="1"/>
  <c r="V614" i="1"/>
  <c r="W614" i="1"/>
  <c r="X614" i="1"/>
  <c r="Y614" i="1"/>
  <c r="Z614" i="1"/>
  <c r="AA614" i="1"/>
  <c r="AB614" i="1"/>
  <c r="AC614" i="1"/>
  <c r="AD614" i="1"/>
  <c r="AE614" i="1"/>
  <c r="AF614" i="1"/>
  <c r="AG614" i="1"/>
  <c r="AH614" i="1"/>
  <c r="AI614" i="1"/>
  <c r="AJ614" i="1"/>
  <c r="AK614" i="1"/>
  <c r="AL614" i="1"/>
  <c r="AM614" i="1"/>
  <c r="A615" i="1"/>
  <c r="B615" i="1"/>
  <c r="C615" i="1"/>
  <c r="D615" i="1"/>
  <c r="E615" i="1"/>
  <c r="F615" i="1"/>
  <c r="G615" i="1"/>
  <c r="H615" i="1"/>
  <c r="I615" i="1"/>
  <c r="J615" i="1"/>
  <c r="K615" i="1"/>
  <c r="L615" i="1"/>
  <c r="M615" i="1"/>
  <c r="N615" i="1"/>
  <c r="O615" i="1"/>
  <c r="P615" i="1"/>
  <c r="Q615" i="1"/>
  <c r="R615" i="1"/>
  <c r="S615" i="1"/>
  <c r="T615" i="1"/>
  <c r="U615" i="1"/>
  <c r="V615" i="1"/>
  <c r="W615" i="1"/>
  <c r="X615" i="1"/>
  <c r="Y615" i="1"/>
  <c r="Z615" i="1"/>
  <c r="AA615" i="1"/>
  <c r="AB615" i="1"/>
  <c r="AC615" i="1"/>
  <c r="AD615" i="1"/>
  <c r="AE615" i="1"/>
  <c r="AF615" i="1"/>
  <c r="AG615" i="1"/>
  <c r="AH615" i="1"/>
  <c r="AI615" i="1"/>
  <c r="AJ615" i="1"/>
  <c r="AK615" i="1"/>
  <c r="AL615" i="1"/>
  <c r="AM615" i="1"/>
  <c r="A616" i="1"/>
  <c r="B616" i="1"/>
  <c r="C616" i="1"/>
  <c r="D616" i="1"/>
  <c r="E616" i="1"/>
  <c r="F616" i="1"/>
  <c r="G616" i="1"/>
  <c r="H616" i="1"/>
  <c r="I616" i="1"/>
  <c r="J616" i="1"/>
  <c r="K616" i="1"/>
  <c r="L616" i="1"/>
  <c r="M616" i="1"/>
  <c r="N616" i="1"/>
  <c r="O616" i="1"/>
  <c r="P616" i="1"/>
  <c r="Q616" i="1"/>
  <c r="R616" i="1"/>
  <c r="S616" i="1"/>
  <c r="T616" i="1"/>
  <c r="U616" i="1"/>
  <c r="V616" i="1"/>
  <c r="W616" i="1"/>
  <c r="X616" i="1"/>
  <c r="Y616" i="1"/>
  <c r="Z616" i="1"/>
  <c r="AA616" i="1"/>
  <c r="AB616" i="1"/>
  <c r="AC616" i="1"/>
  <c r="AD616" i="1"/>
  <c r="AE616" i="1"/>
  <c r="AF616" i="1"/>
  <c r="AG616" i="1"/>
  <c r="AH616" i="1"/>
  <c r="AI616" i="1"/>
  <c r="AJ616" i="1"/>
  <c r="AK616" i="1"/>
  <c r="AL616" i="1"/>
  <c r="AM616" i="1"/>
  <c r="A617" i="1"/>
  <c r="B617" i="1"/>
  <c r="C617" i="1"/>
  <c r="D617" i="1"/>
  <c r="E617" i="1"/>
  <c r="F617" i="1"/>
  <c r="G617" i="1"/>
  <c r="H617" i="1"/>
  <c r="I617" i="1"/>
  <c r="J617" i="1"/>
  <c r="K617" i="1"/>
  <c r="L617" i="1"/>
  <c r="M617" i="1"/>
  <c r="N617" i="1"/>
  <c r="O617" i="1"/>
  <c r="P617" i="1"/>
  <c r="Q617" i="1"/>
  <c r="R617" i="1"/>
  <c r="S617" i="1"/>
  <c r="T617" i="1"/>
  <c r="U617" i="1"/>
  <c r="V617" i="1"/>
  <c r="W617" i="1"/>
  <c r="X617" i="1"/>
  <c r="Y617" i="1"/>
  <c r="Z617" i="1"/>
  <c r="AA617" i="1"/>
  <c r="AB617" i="1"/>
  <c r="AC617" i="1"/>
  <c r="AD617" i="1"/>
  <c r="AE617" i="1"/>
  <c r="AF617" i="1"/>
  <c r="AG617" i="1"/>
  <c r="AH617" i="1"/>
  <c r="AI617" i="1"/>
  <c r="AJ617" i="1"/>
  <c r="AK617" i="1"/>
  <c r="AL617" i="1"/>
  <c r="AM617" i="1"/>
  <c r="A618" i="1"/>
  <c r="B618" i="1"/>
  <c r="C618" i="1"/>
  <c r="D618" i="1"/>
  <c r="E618" i="1"/>
  <c r="F618" i="1"/>
  <c r="G618" i="1"/>
  <c r="H618" i="1"/>
  <c r="I618" i="1"/>
  <c r="J618" i="1"/>
  <c r="K618" i="1"/>
  <c r="L618" i="1"/>
  <c r="M618" i="1"/>
  <c r="N618" i="1"/>
  <c r="O618" i="1"/>
  <c r="P618" i="1"/>
  <c r="Q618" i="1"/>
  <c r="R618" i="1"/>
  <c r="S618" i="1"/>
  <c r="T618" i="1"/>
  <c r="U618" i="1"/>
  <c r="V618" i="1"/>
  <c r="W618" i="1"/>
  <c r="X618" i="1"/>
  <c r="Y618" i="1"/>
  <c r="Z618" i="1"/>
  <c r="AA618" i="1"/>
  <c r="AB618" i="1"/>
  <c r="AC618" i="1"/>
  <c r="AD618" i="1"/>
  <c r="AE618" i="1"/>
  <c r="AF618" i="1"/>
  <c r="AG618" i="1"/>
  <c r="AH618" i="1"/>
  <c r="AI618" i="1"/>
  <c r="AJ618" i="1"/>
  <c r="AK618" i="1"/>
  <c r="AL618" i="1"/>
  <c r="AM618" i="1"/>
  <c r="A619" i="1"/>
  <c r="B619" i="1"/>
  <c r="C619" i="1"/>
  <c r="D619" i="1"/>
  <c r="E619" i="1"/>
  <c r="F619" i="1"/>
  <c r="G619" i="1"/>
  <c r="H619" i="1"/>
  <c r="I619" i="1"/>
  <c r="J619" i="1"/>
  <c r="K619" i="1"/>
  <c r="L619" i="1"/>
  <c r="M619" i="1"/>
  <c r="N619" i="1"/>
  <c r="O619" i="1"/>
  <c r="P619" i="1"/>
  <c r="Q619" i="1"/>
  <c r="R619" i="1"/>
  <c r="S619" i="1"/>
  <c r="T619" i="1"/>
  <c r="U619" i="1"/>
  <c r="V619" i="1"/>
  <c r="W619" i="1"/>
  <c r="X619" i="1"/>
  <c r="Y619" i="1"/>
  <c r="Z619" i="1"/>
  <c r="AA619" i="1"/>
  <c r="AB619" i="1"/>
  <c r="AC619" i="1"/>
  <c r="AD619" i="1"/>
  <c r="AE619" i="1"/>
  <c r="AF619" i="1"/>
  <c r="AG619" i="1"/>
  <c r="AH619" i="1"/>
  <c r="AI619" i="1"/>
  <c r="AJ619" i="1"/>
  <c r="AK619" i="1"/>
  <c r="AL619" i="1"/>
  <c r="AM619" i="1"/>
  <c r="A620" i="1"/>
  <c r="B620" i="1"/>
  <c r="C620" i="1"/>
  <c r="D620" i="1"/>
  <c r="E620" i="1"/>
  <c r="F620" i="1"/>
  <c r="G620" i="1"/>
  <c r="H620" i="1"/>
  <c r="I620" i="1"/>
  <c r="J620" i="1"/>
  <c r="K620" i="1"/>
  <c r="L620" i="1"/>
  <c r="M620" i="1"/>
  <c r="N620" i="1"/>
  <c r="O620" i="1"/>
  <c r="P620" i="1"/>
  <c r="Q620" i="1"/>
  <c r="R620" i="1"/>
  <c r="S620" i="1"/>
  <c r="T620" i="1"/>
  <c r="U620" i="1"/>
  <c r="V620" i="1"/>
  <c r="W620" i="1"/>
  <c r="X620" i="1"/>
  <c r="Y620" i="1"/>
  <c r="Z620" i="1"/>
  <c r="AA620" i="1"/>
  <c r="AB620" i="1"/>
  <c r="AC620" i="1"/>
  <c r="AD620" i="1"/>
  <c r="AE620" i="1"/>
  <c r="AF620" i="1"/>
  <c r="AG620" i="1"/>
  <c r="AH620" i="1"/>
  <c r="AI620" i="1"/>
  <c r="AJ620" i="1"/>
  <c r="AK620" i="1"/>
  <c r="AL620" i="1"/>
  <c r="AM620" i="1"/>
  <c r="A621" i="1"/>
  <c r="B621" i="1"/>
  <c r="C621" i="1"/>
  <c r="D621" i="1"/>
  <c r="E621" i="1"/>
  <c r="F621" i="1"/>
  <c r="G621" i="1"/>
  <c r="H621" i="1"/>
  <c r="I621" i="1"/>
  <c r="J621" i="1"/>
  <c r="K621" i="1"/>
  <c r="L621" i="1"/>
  <c r="M621" i="1"/>
  <c r="N621" i="1"/>
  <c r="O621" i="1"/>
  <c r="P621" i="1"/>
  <c r="Q621" i="1"/>
  <c r="R621" i="1"/>
  <c r="S621" i="1"/>
  <c r="T621" i="1"/>
  <c r="U621" i="1"/>
  <c r="V621" i="1"/>
  <c r="W621" i="1"/>
  <c r="X621" i="1"/>
  <c r="Y621" i="1"/>
  <c r="Z621" i="1"/>
  <c r="AA621" i="1"/>
  <c r="AB621" i="1"/>
  <c r="AC621" i="1"/>
  <c r="AD621" i="1"/>
  <c r="AE621" i="1"/>
  <c r="AF621" i="1"/>
  <c r="AG621" i="1"/>
  <c r="AH621" i="1"/>
  <c r="AI621" i="1"/>
  <c r="AJ621" i="1"/>
  <c r="AK621" i="1"/>
  <c r="AL621" i="1"/>
  <c r="AM621" i="1"/>
  <c r="A622" i="1"/>
  <c r="B622" i="1"/>
  <c r="C622" i="1"/>
  <c r="D622" i="1"/>
  <c r="E622" i="1"/>
  <c r="F622" i="1"/>
  <c r="G622" i="1"/>
  <c r="H622" i="1"/>
  <c r="I622" i="1"/>
  <c r="J622" i="1"/>
  <c r="K622" i="1"/>
  <c r="L622" i="1"/>
  <c r="M622" i="1"/>
  <c r="N622" i="1"/>
  <c r="O622" i="1"/>
  <c r="P622" i="1"/>
  <c r="Q622" i="1"/>
  <c r="R622" i="1"/>
  <c r="S622" i="1"/>
  <c r="T622" i="1"/>
  <c r="U622" i="1"/>
  <c r="V622" i="1"/>
  <c r="W622" i="1"/>
  <c r="X622" i="1"/>
  <c r="Y622" i="1"/>
  <c r="Z622" i="1"/>
  <c r="AA622" i="1"/>
  <c r="AB622" i="1"/>
  <c r="AC622" i="1"/>
  <c r="AD622" i="1"/>
  <c r="AE622" i="1"/>
  <c r="AF622" i="1"/>
  <c r="AG622" i="1"/>
  <c r="AH622" i="1"/>
  <c r="AI622" i="1"/>
  <c r="AJ622" i="1"/>
  <c r="AK622" i="1"/>
  <c r="AL622" i="1"/>
  <c r="AM622" i="1"/>
  <c r="A623" i="1"/>
  <c r="B623" i="1"/>
  <c r="C623" i="1"/>
  <c r="D623" i="1"/>
  <c r="E623" i="1"/>
  <c r="F623" i="1"/>
  <c r="G623" i="1"/>
  <c r="H623" i="1"/>
  <c r="I623" i="1"/>
  <c r="J623" i="1"/>
  <c r="K623" i="1"/>
  <c r="L623" i="1"/>
  <c r="M623" i="1"/>
  <c r="N623" i="1"/>
  <c r="O623" i="1"/>
  <c r="P623" i="1"/>
  <c r="Q623" i="1"/>
  <c r="R623" i="1"/>
  <c r="S623" i="1"/>
  <c r="T623" i="1"/>
  <c r="U623" i="1"/>
  <c r="V623" i="1"/>
  <c r="W623" i="1"/>
  <c r="X623" i="1"/>
  <c r="Y623" i="1"/>
  <c r="Z623" i="1"/>
  <c r="AA623" i="1"/>
  <c r="AB623" i="1"/>
  <c r="AC623" i="1"/>
  <c r="AD623" i="1"/>
  <c r="AE623" i="1"/>
  <c r="AF623" i="1"/>
  <c r="AG623" i="1"/>
  <c r="AH623" i="1"/>
  <c r="AI623" i="1"/>
  <c r="AJ623" i="1"/>
  <c r="AK623" i="1"/>
  <c r="AL623" i="1"/>
  <c r="AM623" i="1"/>
  <c r="A624" i="1"/>
  <c r="B624" i="1"/>
  <c r="C624" i="1"/>
  <c r="D624" i="1"/>
  <c r="E624" i="1"/>
  <c r="F624" i="1"/>
  <c r="G624" i="1"/>
  <c r="H624" i="1"/>
  <c r="I624" i="1"/>
  <c r="J624" i="1"/>
  <c r="K624" i="1"/>
  <c r="L624" i="1"/>
  <c r="M624" i="1"/>
  <c r="N624" i="1"/>
  <c r="O624" i="1"/>
  <c r="P624" i="1"/>
  <c r="Q624" i="1"/>
  <c r="R624" i="1"/>
  <c r="S624" i="1"/>
  <c r="T624" i="1"/>
  <c r="U624" i="1"/>
  <c r="V624" i="1"/>
  <c r="W624" i="1"/>
  <c r="X624" i="1"/>
  <c r="Y624" i="1"/>
  <c r="Z624" i="1"/>
  <c r="AA624" i="1"/>
  <c r="AB624" i="1"/>
  <c r="AC624" i="1"/>
  <c r="AD624" i="1"/>
  <c r="AE624" i="1"/>
  <c r="AF624" i="1"/>
  <c r="AG624" i="1"/>
  <c r="AH624" i="1"/>
  <c r="AI624" i="1"/>
  <c r="AJ624" i="1"/>
  <c r="AK624" i="1"/>
  <c r="AL624" i="1"/>
  <c r="AM624" i="1"/>
  <c r="A625" i="1"/>
  <c r="B625" i="1"/>
  <c r="C625" i="1"/>
  <c r="D625" i="1"/>
  <c r="E625" i="1"/>
  <c r="F625" i="1"/>
  <c r="G625" i="1"/>
  <c r="H625" i="1"/>
  <c r="I625" i="1"/>
  <c r="J625" i="1"/>
  <c r="K625" i="1"/>
  <c r="L625" i="1"/>
  <c r="M625" i="1"/>
  <c r="N625" i="1"/>
  <c r="O625" i="1"/>
  <c r="P625" i="1"/>
  <c r="Q625" i="1"/>
  <c r="R625" i="1"/>
  <c r="S625" i="1"/>
  <c r="T625" i="1"/>
  <c r="U625" i="1"/>
  <c r="V625" i="1"/>
  <c r="W625" i="1"/>
  <c r="X625" i="1"/>
  <c r="Y625" i="1"/>
  <c r="Z625" i="1"/>
  <c r="AA625" i="1"/>
  <c r="AB625" i="1"/>
  <c r="AC625" i="1"/>
  <c r="AD625" i="1"/>
  <c r="AE625" i="1"/>
  <c r="AF625" i="1"/>
  <c r="AG625" i="1"/>
  <c r="AH625" i="1"/>
  <c r="AI625" i="1"/>
  <c r="AJ625" i="1"/>
  <c r="AK625" i="1"/>
  <c r="AL625" i="1"/>
  <c r="AM625" i="1"/>
  <c r="A626" i="1"/>
  <c r="B626" i="1"/>
  <c r="C626" i="1"/>
  <c r="D626" i="1"/>
  <c r="E626" i="1"/>
  <c r="F626" i="1"/>
  <c r="G626" i="1"/>
  <c r="H626" i="1"/>
  <c r="I626" i="1"/>
  <c r="J626" i="1"/>
  <c r="K626" i="1"/>
  <c r="L626" i="1"/>
  <c r="M626" i="1"/>
  <c r="N626" i="1"/>
  <c r="O626" i="1"/>
  <c r="P626" i="1"/>
  <c r="Q626" i="1"/>
  <c r="R626" i="1"/>
  <c r="S626" i="1"/>
  <c r="T626" i="1"/>
  <c r="U626" i="1"/>
  <c r="V626" i="1"/>
  <c r="W626" i="1"/>
  <c r="X626" i="1"/>
  <c r="Y626" i="1"/>
  <c r="Z626" i="1"/>
  <c r="AA626" i="1"/>
  <c r="AB626" i="1"/>
  <c r="AC626" i="1"/>
  <c r="AD626" i="1"/>
  <c r="AE626" i="1"/>
  <c r="AF626" i="1"/>
  <c r="AG626" i="1"/>
  <c r="AH626" i="1"/>
  <c r="AI626" i="1"/>
  <c r="AJ626" i="1"/>
  <c r="AK626" i="1"/>
  <c r="AL626" i="1"/>
  <c r="AM626" i="1"/>
  <c r="A627" i="1"/>
  <c r="B627" i="1"/>
  <c r="C627" i="1"/>
  <c r="D627" i="1"/>
  <c r="E627" i="1"/>
  <c r="F627" i="1"/>
  <c r="G627" i="1"/>
  <c r="H627" i="1"/>
  <c r="I627" i="1"/>
  <c r="J627" i="1"/>
  <c r="K627" i="1"/>
  <c r="L627" i="1"/>
  <c r="M627" i="1"/>
  <c r="N627" i="1"/>
  <c r="O627" i="1"/>
  <c r="P627" i="1"/>
  <c r="Q627" i="1"/>
  <c r="R627" i="1"/>
  <c r="S627" i="1"/>
  <c r="T627" i="1"/>
  <c r="U627" i="1"/>
  <c r="V627" i="1"/>
  <c r="W627" i="1"/>
  <c r="X627" i="1"/>
  <c r="Y627" i="1"/>
  <c r="Z627" i="1"/>
  <c r="AA627" i="1"/>
  <c r="AB627" i="1"/>
  <c r="AC627" i="1"/>
  <c r="AD627" i="1"/>
  <c r="AE627" i="1"/>
  <c r="AF627" i="1"/>
  <c r="AG627" i="1"/>
  <c r="AH627" i="1"/>
  <c r="AI627" i="1"/>
  <c r="AJ627" i="1"/>
  <c r="AK627" i="1"/>
  <c r="AL627" i="1"/>
  <c r="AM627" i="1"/>
  <c r="A628" i="1"/>
  <c r="B628" i="1"/>
  <c r="C628" i="1"/>
  <c r="D628" i="1"/>
  <c r="E628" i="1"/>
  <c r="F628" i="1"/>
  <c r="G628" i="1"/>
  <c r="H628" i="1"/>
  <c r="I628" i="1"/>
  <c r="J628" i="1"/>
  <c r="K628" i="1"/>
  <c r="L628" i="1"/>
  <c r="M628" i="1"/>
  <c r="N628" i="1"/>
  <c r="O628" i="1"/>
  <c r="P628" i="1"/>
  <c r="Q628" i="1"/>
  <c r="R628" i="1"/>
  <c r="S628" i="1"/>
  <c r="T628" i="1"/>
  <c r="U628" i="1"/>
  <c r="V628" i="1"/>
  <c r="W628" i="1"/>
  <c r="X628" i="1"/>
  <c r="Y628" i="1"/>
  <c r="Z628" i="1"/>
  <c r="AA628" i="1"/>
  <c r="AB628" i="1"/>
  <c r="AC628" i="1"/>
  <c r="AD628" i="1"/>
  <c r="AE628" i="1"/>
  <c r="AF628" i="1"/>
  <c r="AG628" i="1"/>
  <c r="AH628" i="1"/>
  <c r="AI628" i="1"/>
  <c r="AJ628" i="1"/>
  <c r="AK628" i="1"/>
  <c r="AL628" i="1"/>
  <c r="AM628" i="1"/>
  <c r="A629" i="1"/>
  <c r="B629" i="1"/>
  <c r="C629" i="1"/>
  <c r="D629" i="1"/>
  <c r="E629" i="1"/>
  <c r="F629" i="1"/>
  <c r="G629" i="1"/>
  <c r="H629" i="1"/>
  <c r="I629" i="1"/>
  <c r="J629" i="1"/>
  <c r="K629" i="1"/>
  <c r="L629" i="1"/>
  <c r="M629" i="1"/>
  <c r="N629" i="1"/>
  <c r="O629" i="1"/>
  <c r="P629" i="1"/>
  <c r="Q629" i="1"/>
  <c r="R629" i="1"/>
  <c r="S629" i="1"/>
  <c r="T629" i="1"/>
  <c r="U629" i="1"/>
  <c r="V629" i="1"/>
  <c r="W629" i="1"/>
  <c r="X629" i="1"/>
  <c r="Y629" i="1"/>
  <c r="Z629" i="1"/>
  <c r="AA629" i="1"/>
  <c r="AB629" i="1"/>
  <c r="AC629" i="1"/>
  <c r="AD629" i="1"/>
  <c r="AE629" i="1"/>
  <c r="AF629" i="1"/>
  <c r="AG629" i="1"/>
  <c r="AH629" i="1"/>
  <c r="AI629" i="1"/>
  <c r="AJ629" i="1"/>
  <c r="AK629" i="1"/>
  <c r="AL629" i="1"/>
  <c r="AM629" i="1"/>
  <c r="A630" i="1"/>
  <c r="B630" i="1"/>
  <c r="C630" i="1"/>
  <c r="D630" i="1"/>
  <c r="E630" i="1"/>
  <c r="F630" i="1"/>
  <c r="G630" i="1"/>
  <c r="H630" i="1"/>
  <c r="I630" i="1"/>
  <c r="J630" i="1"/>
  <c r="K630" i="1"/>
  <c r="L630" i="1"/>
  <c r="M630" i="1"/>
  <c r="N630" i="1"/>
  <c r="O630" i="1"/>
  <c r="P630" i="1"/>
  <c r="Q630" i="1"/>
  <c r="R630" i="1"/>
  <c r="S630" i="1"/>
  <c r="T630" i="1"/>
  <c r="U630" i="1"/>
  <c r="V630" i="1"/>
  <c r="W630" i="1"/>
  <c r="X630" i="1"/>
  <c r="Y630" i="1"/>
  <c r="Z630" i="1"/>
  <c r="AA630" i="1"/>
  <c r="AB630" i="1"/>
  <c r="AC630" i="1"/>
  <c r="AD630" i="1"/>
  <c r="AE630" i="1"/>
  <c r="AF630" i="1"/>
  <c r="AG630" i="1"/>
  <c r="AH630" i="1"/>
  <c r="AI630" i="1"/>
  <c r="AJ630" i="1"/>
  <c r="AK630" i="1"/>
  <c r="AL630" i="1"/>
  <c r="AM630" i="1"/>
  <c r="A631" i="1"/>
  <c r="B631" i="1"/>
  <c r="C631" i="1"/>
  <c r="D631" i="1"/>
  <c r="E631" i="1"/>
  <c r="F631" i="1"/>
  <c r="G631" i="1"/>
  <c r="H631" i="1"/>
  <c r="I631" i="1"/>
  <c r="J631" i="1"/>
  <c r="K631" i="1"/>
  <c r="L631" i="1"/>
  <c r="M631" i="1"/>
  <c r="N631" i="1"/>
  <c r="O631" i="1"/>
  <c r="P631" i="1"/>
  <c r="Q631" i="1"/>
  <c r="R631" i="1"/>
  <c r="S631" i="1"/>
  <c r="T631" i="1"/>
  <c r="U631" i="1"/>
  <c r="V631" i="1"/>
  <c r="W631" i="1"/>
  <c r="X631" i="1"/>
  <c r="Y631" i="1"/>
  <c r="Z631" i="1"/>
  <c r="AA631" i="1"/>
  <c r="AB631" i="1"/>
  <c r="AC631" i="1"/>
  <c r="AD631" i="1"/>
  <c r="AE631" i="1"/>
  <c r="AF631" i="1"/>
  <c r="AG631" i="1"/>
  <c r="AH631" i="1"/>
  <c r="AI631" i="1"/>
  <c r="AJ631" i="1"/>
  <c r="AK631" i="1"/>
  <c r="AL631" i="1"/>
  <c r="AM631" i="1"/>
  <c r="A632" i="1"/>
  <c r="B632" i="1"/>
  <c r="C632" i="1"/>
  <c r="D632" i="1"/>
  <c r="E632" i="1"/>
  <c r="F632" i="1"/>
  <c r="G632" i="1"/>
  <c r="H632" i="1"/>
  <c r="I632" i="1"/>
  <c r="J632" i="1"/>
  <c r="K632" i="1"/>
  <c r="L632" i="1"/>
  <c r="M632" i="1"/>
  <c r="N632" i="1"/>
  <c r="O632" i="1"/>
  <c r="P632" i="1"/>
  <c r="Q632" i="1"/>
  <c r="R632" i="1"/>
  <c r="S632" i="1"/>
  <c r="T632" i="1"/>
  <c r="U632" i="1"/>
  <c r="V632" i="1"/>
  <c r="W632" i="1"/>
  <c r="X632" i="1"/>
  <c r="Y632" i="1"/>
  <c r="Z632" i="1"/>
  <c r="AA632" i="1"/>
  <c r="AB632" i="1"/>
  <c r="AC632" i="1"/>
  <c r="AD632" i="1"/>
  <c r="AE632" i="1"/>
  <c r="AF632" i="1"/>
  <c r="AG632" i="1"/>
  <c r="AH632" i="1"/>
  <c r="AI632" i="1"/>
  <c r="AJ632" i="1"/>
  <c r="AK632" i="1"/>
  <c r="AL632" i="1"/>
  <c r="AM632" i="1"/>
  <c r="A633" i="1"/>
  <c r="B633" i="1"/>
  <c r="C633" i="1"/>
  <c r="D633" i="1"/>
  <c r="E633" i="1"/>
  <c r="F633" i="1"/>
  <c r="G633" i="1"/>
  <c r="H633" i="1"/>
  <c r="I633" i="1"/>
  <c r="J633" i="1"/>
  <c r="K633" i="1"/>
  <c r="L633" i="1"/>
  <c r="M633" i="1"/>
  <c r="N633" i="1"/>
  <c r="O633" i="1"/>
  <c r="P633" i="1"/>
  <c r="Q633" i="1"/>
  <c r="R633" i="1"/>
  <c r="S633" i="1"/>
  <c r="T633" i="1"/>
  <c r="U633" i="1"/>
  <c r="V633" i="1"/>
  <c r="W633" i="1"/>
  <c r="X633" i="1"/>
  <c r="Y633" i="1"/>
  <c r="Z633" i="1"/>
  <c r="AA633" i="1"/>
  <c r="AB633" i="1"/>
  <c r="AC633" i="1"/>
  <c r="AD633" i="1"/>
  <c r="AE633" i="1"/>
  <c r="AF633" i="1"/>
  <c r="AG633" i="1"/>
  <c r="AH633" i="1"/>
  <c r="AI633" i="1"/>
  <c r="AJ633" i="1"/>
  <c r="AK633" i="1"/>
  <c r="AL633" i="1"/>
  <c r="AM633" i="1"/>
  <c r="A634" i="1"/>
  <c r="B634" i="1"/>
  <c r="C634" i="1"/>
  <c r="D634" i="1"/>
  <c r="E634" i="1"/>
  <c r="F634" i="1"/>
  <c r="G634" i="1"/>
  <c r="H634" i="1"/>
  <c r="I634" i="1"/>
  <c r="J634" i="1"/>
  <c r="K634" i="1"/>
  <c r="L634" i="1"/>
  <c r="M634" i="1"/>
  <c r="N634" i="1"/>
  <c r="O634" i="1"/>
  <c r="P634" i="1"/>
  <c r="Q634" i="1"/>
  <c r="R634" i="1"/>
  <c r="S634" i="1"/>
  <c r="T634" i="1"/>
  <c r="U634" i="1"/>
  <c r="V634" i="1"/>
  <c r="W634" i="1"/>
  <c r="X634" i="1"/>
  <c r="Y634" i="1"/>
  <c r="Z634" i="1"/>
  <c r="AA634" i="1"/>
  <c r="AB634" i="1"/>
  <c r="AC634" i="1"/>
  <c r="AD634" i="1"/>
  <c r="AE634" i="1"/>
  <c r="AF634" i="1"/>
  <c r="AG634" i="1"/>
  <c r="AH634" i="1"/>
  <c r="AI634" i="1"/>
  <c r="AJ634" i="1"/>
  <c r="AK634" i="1"/>
  <c r="AL634" i="1"/>
  <c r="AM634" i="1"/>
  <c r="A635" i="1"/>
  <c r="B635" i="1"/>
  <c r="C635" i="1"/>
  <c r="D635" i="1"/>
  <c r="E635" i="1"/>
  <c r="F635" i="1"/>
  <c r="G635" i="1"/>
  <c r="H635" i="1"/>
  <c r="I635" i="1"/>
  <c r="J635" i="1"/>
  <c r="K635" i="1"/>
  <c r="L635" i="1"/>
  <c r="M635" i="1"/>
  <c r="N635" i="1"/>
  <c r="O635" i="1"/>
  <c r="P635" i="1"/>
  <c r="Q635" i="1"/>
  <c r="R635" i="1"/>
  <c r="S635" i="1"/>
  <c r="T635" i="1"/>
  <c r="U635" i="1"/>
  <c r="V635" i="1"/>
  <c r="W635" i="1"/>
  <c r="X635" i="1"/>
  <c r="Y635" i="1"/>
  <c r="Z635" i="1"/>
  <c r="AA635" i="1"/>
  <c r="AB635" i="1"/>
  <c r="AC635" i="1"/>
  <c r="AD635" i="1"/>
  <c r="AE635" i="1"/>
  <c r="AF635" i="1"/>
  <c r="AG635" i="1"/>
  <c r="AH635" i="1"/>
  <c r="AI635" i="1"/>
  <c r="AJ635" i="1"/>
  <c r="AK635" i="1"/>
  <c r="AL635" i="1"/>
  <c r="AM635" i="1"/>
  <c r="A636" i="1"/>
  <c r="B636" i="1"/>
  <c r="C636" i="1"/>
  <c r="D636" i="1"/>
  <c r="E636" i="1"/>
  <c r="F636" i="1"/>
  <c r="G636" i="1"/>
  <c r="H636" i="1"/>
  <c r="I636" i="1"/>
  <c r="J636" i="1"/>
  <c r="K636" i="1"/>
  <c r="L636" i="1"/>
  <c r="M636" i="1"/>
  <c r="N636" i="1"/>
  <c r="O636" i="1"/>
  <c r="P636" i="1"/>
  <c r="Q636" i="1"/>
  <c r="R636" i="1"/>
  <c r="S636" i="1"/>
  <c r="T636" i="1"/>
  <c r="U636" i="1"/>
  <c r="V636" i="1"/>
  <c r="W636" i="1"/>
  <c r="X636" i="1"/>
  <c r="Y636" i="1"/>
  <c r="Z636" i="1"/>
  <c r="AA636" i="1"/>
  <c r="AB636" i="1"/>
  <c r="AC636" i="1"/>
  <c r="AD636" i="1"/>
  <c r="AE636" i="1"/>
  <c r="AF636" i="1"/>
  <c r="AG636" i="1"/>
  <c r="AH636" i="1"/>
  <c r="AI636" i="1"/>
  <c r="AJ636" i="1"/>
  <c r="AK636" i="1"/>
  <c r="AL636" i="1"/>
  <c r="AM636" i="1"/>
  <c r="A637" i="1"/>
  <c r="B637" i="1"/>
  <c r="C637" i="1"/>
  <c r="D637" i="1"/>
  <c r="E637" i="1"/>
  <c r="F637" i="1"/>
  <c r="G637" i="1"/>
  <c r="H637" i="1"/>
  <c r="I637" i="1"/>
  <c r="J637" i="1"/>
  <c r="K637" i="1"/>
  <c r="L637" i="1"/>
  <c r="M637" i="1"/>
  <c r="N637" i="1"/>
  <c r="O637" i="1"/>
  <c r="P637" i="1"/>
  <c r="Q637" i="1"/>
  <c r="R637" i="1"/>
  <c r="S637" i="1"/>
  <c r="T637" i="1"/>
  <c r="U637" i="1"/>
  <c r="V637" i="1"/>
  <c r="W637" i="1"/>
  <c r="X637" i="1"/>
  <c r="Y637" i="1"/>
  <c r="Z637" i="1"/>
  <c r="AA637" i="1"/>
  <c r="AB637" i="1"/>
  <c r="AC637" i="1"/>
  <c r="AD637" i="1"/>
  <c r="AE637" i="1"/>
  <c r="AF637" i="1"/>
  <c r="AG637" i="1"/>
  <c r="AH637" i="1"/>
  <c r="AI637" i="1"/>
  <c r="AJ637" i="1"/>
  <c r="AK637" i="1"/>
  <c r="AL637" i="1"/>
  <c r="AM637" i="1"/>
  <c r="A638" i="1"/>
  <c r="B638" i="1"/>
  <c r="C638" i="1"/>
  <c r="D638" i="1"/>
  <c r="E638" i="1"/>
  <c r="F638" i="1"/>
  <c r="G638" i="1"/>
  <c r="H638" i="1"/>
  <c r="I638" i="1"/>
  <c r="J638" i="1"/>
  <c r="K638" i="1"/>
  <c r="L638" i="1"/>
  <c r="M638" i="1"/>
  <c r="N638" i="1"/>
  <c r="O638" i="1"/>
  <c r="P638" i="1"/>
  <c r="Q638" i="1"/>
  <c r="R638" i="1"/>
  <c r="S638" i="1"/>
  <c r="T638" i="1"/>
  <c r="U638" i="1"/>
  <c r="V638" i="1"/>
  <c r="W638" i="1"/>
  <c r="X638" i="1"/>
  <c r="Y638" i="1"/>
  <c r="Z638" i="1"/>
  <c r="AA638" i="1"/>
  <c r="AB638" i="1"/>
  <c r="AC638" i="1"/>
  <c r="AD638" i="1"/>
  <c r="AE638" i="1"/>
  <c r="AF638" i="1"/>
  <c r="AG638" i="1"/>
  <c r="AH638" i="1"/>
  <c r="AI638" i="1"/>
  <c r="AJ638" i="1"/>
  <c r="AK638" i="1"/>
  <c r="AL638" i="1"/>
  <c r="AM638" i="1"/>
  <c r="A639" i="1"/>
  <c r="B639" i="1"/>
  <c r="C639" i="1"/>
  <c r="D639" i="1"/>
  <c r="E639" i="1"/>
  <c r="F639" i="1"/>
  <c r="G639" i="1"/>
  <c r="H639" i="1"/>
  <c r="I639" i="1"/>
  <c r="J639" i="1"/>
  <c r="K639" i="1"/>
  <c r="L639" i="1"/>
  <c r="M639" i="1"/>
  <c r="N639" i="1"/>
  <c r="O639" i="1"/>
  <c r="P639" i="1"/>
  <c r="Q639" i="1"/>
  <c r="R639" i="1"/>
  <c r="S639" i="1"/>
  <c r="T639" i="1"/>
  <c r="U639" i="1"/>
  <c r="V639" i="1"/>
  <c r="W639" i="1"/>
  <c r="X639" i="1"/>
  <c r="Y639" i="1"/>
  <c r="Z639" i="1"/>
  <c r="AA639" i="1"/>
  <c r="AB639" i="1"/>
  <c r="AC639" i="1"/>
  <c r="AD639" i="1"/>
  <c r="AE639" i="1"/>
  <c r="AF639" i="1"/>
  <c r="AG639" i="1"/>
  <c r="AH639" i="1"/>
  <c r="AI639" i="1"/>
  <c r="AJ639" i="1"/>
  <c r="AK639" i="1"/>
  <c r="AL639" i="1"/>
  <c r="AM639" i="1"/>
  <c r="A640" i="1"/>
  <c r="B640" i="1"/>
  <c r="C640" i="1"/>
  <c r="D640" i="1"/>
  <c r="E640" i="1"/>
  <c r="F640" i="1"/>
  <c r="G640" i="1"/>
  <c r="H640" i="1"/>
  <c r="I640" i="1"/>
  <c r="J640" i="1"/>
  <c r="K640" i="1"/>
  <c r="L640" i="1"/>
  <c r="M640" i="1"/>
  <c r="N640" i="1"/>
  <c r="O640" i="1"/>
  <c r="P640" i="1"/>
  <c r="Q640" i="1"/>
  <c r="R640" i="1"/>
  <c r="S640" i="1"/>
  <c r="T640" i="1"/>
  <c r="U640" i="1"/>
  <c r="V640" i="1"/>
  <c r="W640" i="1"/>
  <c r="X640" i="1"/>
  <c r="Y640" i="1"/>
  <c r="Z640" i="1"/>
  <c r="AA640" i="1"/>
  <c r="AB640" i="1"/>
  <c r="AC640" i="1"/>
  <c r="AD640" i="1"/>
  <c r="AE640" i="1"/>
  <c r="AF640" i="1"/>
  <c r="AG640" i="1"/>
  <c r="AH640" i="1"/>
  <c r="AI640" i="1"/>
  <c r="AJ640" i="1"/>
  <c r="AK640" i="1"/>
  <c r="AL640" i="1"/>
  <c r="AM640" i="1"/>
  <c r="A641" i="1"/>
  <c r="B641" i="1"/>
  <c r="C641" i="1"/>
  <c r="D641" i="1"/>
  <c r="E641" i="1"/>
  <c r="F641" i="1"/>
  <c r="G641" i="1"/>
  <c r="H641" i="1"/>
  <c r="I641" i="1"/>
  <c r="J641" i="1"/>
  <c r="K641" i="1"/>
  <c r="L641" i="1"/>
  <c r="M641" i="1"/>
  <c r="N641" i="1"/>
  <c r="O641" i="1"/>
  <c r="P641" i="1"/>
  <c r="Q641" i="1"/>
  <c r="R641" i="1"/>
  <c r="S641" i="1"/>
  <c r="T641" i="1"/>
  <c r="U641" i="1"/>
  <c r="V641" i="1"/>
  <c r="W641" i="1"/>
  <c r="X641" i="1"/>
  <c r="Y641" i="1"/>
  <c r="Z641" i="1"/>
  <c r="AA641" i="1"/>
  <c r="AB641" i="1"/>
  <c r="AC641" i="1"/>
  <c r="AD641" i="1"/>
  <c r="AE641" i="1"/>
  <c r="AF641" i="1"/>
  <c r="AG641" i="1"/>
  <c r="AH641" i="1"/>
  <c r="AI641" i="1"/>
  <c r="AJ641" i="1"/>
  <c r="AK641" i="1"/>
  <c r="AL641" i="1"/>
  <c r="AM641" i="1"/>
  <c r="A642" i="1"/>
  <c r="B642" i="1"/>
  <c r="C642" i="1"/>
  <c r="D642" i="1"/>
  <c r="E642" i="1"/>
  <c r="F642" i="1"/>
  <c r="G642" i="1"/>
  <c r="H642" i="1"/>
  <c r="I642" i="1"/>
  <c r="J642" i="1"/>
  <c r="K642" i="1"/>
  <c r="L642" i="1"/>
  <c r="M642" i="1"/>
  <c r="N642" i="1"/>
  <c r="O642" i="1"/>
  <c r="P642" i="1"/>
  <c r="Q642" i="1"/>
  <c r="R642" i="1"/>
  <c r="S642" i="1"/>
  <c r="T642" i="1"/>
  <c r="U642" i="1"/>
  <c r="V642" i="1"/>
  <c r="W642" i="1"/>
  <c r="X642" i="1"/>
  <c r="Y642" i="1"/>
  <c r="Z642" i="1"/>
  <c r="AA642" i="1"/>
  <c r="AB642" i="1"/>
  <c r="AC642" i="1"/>
  <c r="AD642" i="1"/>
  <c r="AE642" i="1"/>
  <c r="AF642" i="1"/>
  <c r="AG642" i="1"/>
  <c r="AH642" i="1"/>
  <c r="AI642" i="1"/>
  <c r="AJ642" i="1"/>
  <c r="AK642" i="1"/>
  <c r="AL642" i="1"/>
  <c r="AM642" i="1"/>
  <c r="A643" i="1"/>
  <c r="B643" i="1"/>
  <c r="C643" i="1"/>
  <c r="D643" i="1"/>
  <c r="E643" i="1"/>
  <c r="F643" i="1"/>
  <c r="G643" i="1"/>
  <c r="H643" i="1"/>
  <c r="I643" i="1"/>
  <c r="J643" i="1"/>
  <c r="K643" i="1"/>
  <c r="L643" i="1"/>
  <c r="M643" i="1"/>
  <c r="N643" i="1"/>
  <c r="O643" i="1"/>
  <c r="P643" i="1"/>
  <c r="Q643" i="1"/>
  <c r="R643" i="1"/>
  <c r="S643" i="1"/>
  <c r="T643" i="1"/>
  <c r="U643" i="1"/>
  <c r="V643" i="1"/>
  <c r="W643" i="1"/>
  <c r="X643" i="1"/>
  <c r="Y643" i="1"/>
  <c r="Z643" i="1"/>
  <c r="AA643" i="1"/>
  <c r="AB643" i="1"/>
  <c r="AC643" i="1"/>
  <c r="AD643" i="1"/>
  <c r="AE643" i="1"/>
  <c r="AF643" i="1"/>
  <c r="AG643" i="1"/>
  <c r="AH643" i="1"/>
  <c r="AI643" i="1"/>
  <c r="AJ643" i="1"/>
  <c r="AK643" i="1"/>
  <c r="AL643" i="1"/>
  <c r="AM643" i="1"/>
  <c r="A644" i="1"/>
  <c r="B644" i="1"/>
  <c r="C644" i="1"/>
  <c r="D644" i="1"/>
  <c r="E644" i="1"/>
  <c r="F644" i="1"/>
  <c r="G644" i="1"/>
  <c r="H644" i="1"/>
  <c r="I644" i="1"/>
  <c r="J644" i="1"/>
  <c r="K644" i="1"/>
  <c r="L644" i="1"/>
  <c r="M644" i="1"/>
  <c r="N644" i="1"/>
  <c r="O644" i="1"/>
  <c r="P644" i="1"/>
  <c r="Q644" i="1"/>
  <c r="R644" i="1"/>
  <c r="S644" i="1"/>
  <c r="T644" i="1"/>
  <c r="U644" i="1"/>
  <c r="V644" i="1"/>
  <c r="W644" i="1"/>
  <c r="X644" i="1"/>
  <c r="Y644" i="1"/>
  <c r="Z644" i="1"/>
  <c r="AA644" i="1"/>
  <c r="AB644" i="1"/>
  <c r="AC644" i="1"/>
  <c r="AD644" i="1"/>
  <c r="AE644" i="1"/>
  <c r="AF644" i="1"/>
  <c r="AG644" i="1"/>
  <c r="AH644" i="1"/>
  <c r="AI644" i="1"/>
  <c r="AJ644" i="1"/>
  <c r="AK644" i="1"/>
  <c r="AL644" i="1"/>
  <c r="AM644" i="1"/>
  <c r="A645" i="1"/>
  <c r="B645" i="1"/>
  <c r="C645" i="1"/>
  <c r="D645" i="1"/>
  <c r="E645" i="1"/>
  <c r="F645" i="1"/>
  <c r="G645" i="1"/>
  <c r="H645" i="1"/>
  <c r="I645" i="1"/>
  <c r="J645" i="1"/>
  <c r="K645" i="1"/>
  <c r="L645" i="1"/>
  <c r="M645" i="1"/>
  <c r="N645" i="1"/>
  <c r="O645" i="1"/>
  <c r="P645" i="1"/>
  <c r="Q645" i="1"/>
  <c r="R645" i="1"/>
  <c r="S645" i="1"/>
  <c r="T645" i="1"/>
  <c r="U645" i="1"/>
  <c r="V645" i="1"/>
  <c r="W645" i="1"/>
  <c r="X645" i="1"/>
  <c r="Y645" i="1"/>
  <c r="Z645" i="1"/>
  <c r="AA645" i="1"/>
  <c r="AB645" i="1"/>
  <c r="AC645" i="1"/>
  <c r="AD645" i="1"/>
  <c r="AE645" i="1"/>
  <c r="AF645" i="1"/>
  <c r="AG645" i="1"/>
  <c r="AH645" i="1"/>
  <c r="AI645" i="1"/>
  <c r="AJ645" i="1"/>
  <c r="AK645" i="1"/>
  <c r="AL645" i="1"/>
  <c r="AM645" i="1"/>
  <c r="A646" i="1"/>
  <c r="B646" i="1"/>
  <c r="C646" i="1"/>
  <c r="D646" i="1"/>
  <c r="E646" i="1"/>
  <c r="F646" i="1"/>
  <c r="G646" i="1"/>
  <c r="H646" i="1"/>
  <c r="I646" i="1"/>
  <c r="J646" i="1"/>
  <c r="K646" i="1"/>
  <c r="L646" i="1"/>
  <c r="M646" i="1"/>
  <c r="N646" i="1"/>
  <c r="O646" i="1"/>
  <c r="P646" i="1"/>
  <c r="Q646" i="1"/>
  <c r="R646" i="1"/>
  <c r="S646" i="1"/>
  <c r="T646" i="1"/>
  <c r="U646" i="1"/>
  <c r="V646" i="1"/>
  <c r="W646" i="1"/>
  <c r="X646" i="1"/>
  <c r="Y646" i="1"/>
  <c r="Z646" i="1"/>
  <c r="AA646" i="1"/>
  <c r="AB646" i="1"/>
  <c r="AC646" i="1"/>
  <c r="AD646" i="1"/>
  <c r="AE646" i="1"/>
  <c r="AF646" i="1"/>
  <c r="AG646" i="1"/>
  <c r="AH646" i="1"/>
  <c r="AI646" i="1"/>
  <c r="AJ646" i="1"/>
  <c r="AK646" i="1"/>
  <c r="AL646" i="1"/>
  <c r="AM646" i="1"/>
  <c r="A647" i="1"/>
  <c r="B647" i="1"/>
  <c r="C647" i="1"/>
  <c r="D647" i="1"/>
  <c r="E647" i="1"/>
  <c r="F647" i="1"/>
  <c r="G647" i="1"/>
  <c r="H647" i="1"/>
  <c r="I647" i="1"/>
  <c r="J647" i="1"/>
  <c r="K647" i="1"/>
  <c r="L647" i="1"/>
  <c r="M647" i="1"/>
  <c r="N647" i="1"/>
  <c r="O647" i="1"/>
  <c r="P647" i="1"/>
  <c r="Q647" i="1"/>
  <c r="R647" i="1"/>
  <c r="S647" i="1"/>
  <c r="T647" i="1"/>
  <c r="U647" i="1"/>
  <c r="V647" i="1"/>
  <c r="W647" i="1"/>
  <c r="X647" i="1"/>
  <c r="Y647" i="1"/>
  <c r="Z647" i="1"/>
  <c r="AA647" i="1"/>
  <c r="AB647" i="1"/>
  <c r="AC647" i="1"/>
  <c r="AD647" i="1"/>
  <c r="AE647" i="1"/>
  <c r="AF647" i="1"/>
  <c r="AG647" i="1"/>
  <c r="AH647" i="1"/>
  <c r="AI647" i="1"/>
  <c r="AJ647" i="1"/>
  <c r="AK647" i="1"/>
  <c r="AL647" i="1"/>
  <c r="AM647" i="1"/>
  <c r="A648" i="1"/>
  <c r="B648" i="1"/>
  <c r="C648" i="1"/>
  <c r="D648" i="1"/>
  <c r="E648" i="1"/>
  <c r="F648" i="1"/>
  <c r="G648" i="1"/>
  <c r="H648" i="1"/>
  <c r="I648" i="1"/>
  <c r="J648" i="1"/>
  <c r="K648" i="1"/>
  <c r="L648" i="1"/>
  <c r="M648" i="1"/>
  <c r="N648" i="1"/>
  <c r="O648" i="1"/>
  <c r="P648" i="1"/>
  <c r="Q648" i="1"/>
  <c r="R648" i="1"/>
  <c r="S648" i="1"/>
  <c r="T648" i="1"/>
  <c r="U648" i="1"/>
  <c r="V648" i="1"/>
  <c r="W648" i="1"/>
  <c r="X648" i="1"/>
  <c r="Y648" i="1"/>
  <c r="Z648" i="1"/>
  <c r="AA648" i="1"/>
  <c r="AB648" i="1"/>
  <c r="AC648" i="1"/>
  <c r="AD648" i="1"/>
  <c r="AE648" i="1"/>
  <c r="AF648" i="1"/>
  <c r="AG648" i="1"/>
  <c r="AH648" i="1"/>
  <c r="AI648" i="1"/>
  <c r="AJ648" i="1"/>
  <c r="AK648" i="1"/>
  <c r="AL648" i="1"/>
  <c r="AM648" i="1"/>
  <c r="A649" i="1"/>
  <c r="B649" i="1"/>
  <c r="C649" i="1"/>
  <c r="D649" i="1"/>
  <c r="E649" i="1"/>
  <c r="F649" i="1"/>
  <c r="G649" i="1"/>
  <c r="H649" i="1"/>
  <c r="I649" i="1"/>
  <c r="J649" i="1"/>
  <c r="K649" i="1"/>
  <c r="L649" i="1"/>
  <c r="M649" i="1"/>
  <c r="N649" i="1"/>
  <c r="O649" i="1"/>
  <c r="P649" i="1"/>
  <c r="Q649" i="1"/>
  <c r="R649" i="1"/>
  <c r="S649" i="1"/>
  <c r="T649" i="1"/>
  <c r="U649" i="1"/>
  <c r="V649" i="1"/>
  <c r="W649" i="1"/>
  <c r="X649" i="1"/>
  <c r="Y649" i="1"/>
  <c r="Z649" i="1"/>
  <c r="AA649" i="1"/>
  <c r="AB649" i="1"/>
  <c r="AC649" i="1"/>
  <c r="AD649" i="1"/>
  <c r="AE649" i="1"/>
  <c r="AF649" i="1"/>
  <c r="AG649" i="1"/>
  <c r="AH649" i="1"/>
  <c r="AI649" i="1"/>
  <c r="AJ649" i="1"/>
  <c r="AK649" i="1"/>
  <c r="AL649" i="1"/>
  <c r="AM649" i="1"/>
  <c r="A650" i="1"/>
  <c r="B650" i="1"/>
  <c r="C650" i="1"/>
  <c r="D650" i="1"/>
  <c r="E650" i="1"/>
  <c r="F650" i="1"/>
  <c r="G650" i="1"/>
  <c r="H650" i="1"/>
  <c r="I650" i="1"/>
  <c r="J650" i="1"/>
  <c r="K650" i="1"/>
  <c r="L650" i="1"/>
  <c r="M650" i="1"/>
  <c r="N650" i="1"/>
  <c r="O650" i="1"/>
  <c r="P650" i="1"/>
  <c r="Q650" i="1"/>
  <c r="R650" i="1"/>
  <c r="S650" i="1"/>
  <c r="T650" i="1"/>
  <c r="U650" i="1"/>
  <c r="V650" i="1"/>
  <c r="W650" i="1"/>
  <c r="X650" i="1"/>
  <c r="Y650" i="1"/>
  <c r="Z650" i="1"/>
  <c r="AA650" i="1"/>
  <c r="AB650" i="1"/>
  <c r="AC650" i="1"/>
  <c r="AD650" i="1"/>
  <c r="AE650" i="1"/>
  <c r="AF650" i="1"/>
  <c r="AG650" i="1"/>
  <c r="AH650" i="1"/>
  <c r="AI650" i="1"/>
  <c r="AJ650" i="1"/>
  <c r="AK650" i="1"/>
  <c r="AL650" i="1"/>
  <c r="AM650" i="1"/>
  <c r="A651" i="1"/>
  <c r="B651" i="1"/>
  <c r="C651" i="1"/>
  <c r="D651" i="1"/>
  <c r="E651" i="1"/>
  <c r="F651" i="1"/>
  <c r="G651" i="1"/>
  <c r="H651" i="1"/>
  <c r="I651" i="1"/>
  <c r="J651" i="1"/>
  <c r="K651" i="1"/>
  <c r="L651" i="1"/>
  <c r="M651" i="1"/>
  <c r="N651" i="1"/>
  <c r="O651" i="1"/>
  <c r="P651" i="1"/>
  <c r="Q651" i="1"/>
  <c r="R651" i="1"/>
  <c r="S651" i="1"/>
  <c r="T651" i="1"/>
  <c r="U651" i="1"/>
  <c r="V651" i="1"/>
  <c r="W651" i="1"/>
  <c r="X651" i="1"/>
  <c r="Y651" i="1"/>
  <c r="Z651" i="1"/>
  <c r="AA651" i="1"/>
  <c r="AB651" i="1"/>
  <c r="AC651" i="1"/>
  <c r="AD651" i="1"/>
  <c r="AE651" i="1"/>
  <c r="AF651" i="1"/>
  <c r="AG651" i="1"/>
  <c r="AH651" i="1"/>
  <c r="AI651" i="1"/>
  <c r="AJ651" i="1"/>
  <c r="AK651" i="1"/>
  <c r="AL651" i="1"/>
  <c r="AM651" i="1"/>
  <c r="A652" i="1"/>
  <c r="B652" i="1"/>
  <c r="C652" i="1"/>
  <c r="D652" i="1"/>
  <c r="E652" i="1"/>
  <c r="F652" i="1"/>
  <c r="G652" i="1"/>
  <c r="H652" i="1"/>
  <c r="I652" i="1"/>
  <c r="J652" i="1"/>
  <c r="K652" i="1"/>
  <c r="L652" i="1"/>
  <c r="M652" i="1"/>
  <c r="N652" i="1"/>
  <c r="O652" i="1"/>
  <c r="P652" i="1"/>
  <c r="Q652" i="1"/>
  <c r="R652" i="1"/>
  <c r="S652" i="1"/>
  <c r="T652" i="1"/>
  <c r="U652" i="1"/>
  <c r="V652" i="1"/>
  <c r="W652" i="1"/>
  <c r="X652" i="1"/>
  <c r="Y652" i="1"/>
  <c r="Z652" i="1"/>
  <c r="AA652" i="1"/>
  <c r="AB652" i="1"/>
  <c r="AC652" i="1"/>
  <c r="AD652" i="1"/>
  <c r="AE652" i="1"/>
  <c r="AF652" i="1"/>
  <c r="AG652" i="1"/>
  <c r="AH652" i="1"/>
  <c r="AI652" i="1"/>
  <c r="AJ652" i="1"/>
  <c r="AK652" i="1"/>
  <c r="AL652" i="1"/>
  <c r="AM652" i="1"/>
  <c r="A653" i="1"/>
  <c r="B653" i="1"/>
  <c r="C653" i="1"/>
  <c r="D653" i="1"/>
  <c r="E653" i="1"/>
  <c r="F653" i="1"/>
  <c r="G653" i="1"/>
  <c r="H653" i="1"/>
  <c r="I653" i="1"/>
  <c r="J653" i="1"/>
  <c r="K653" i="1"/>
  <c r="L653" i="1"/>
  <c r="M653" i="1"/>
  <c r="N653" i="1"/>
  <c r="O653" i="1"/>
  <c r="P653" i="1"/>
  <c r="Q653" i="1"/>
  <c r="R653" i="1"/>
  <c r="S653" i="1"/>
  <c r="T653" i="1"/>
  <c r="U653" i="1"/>
  <c r="V653" i="1"/>
  <c r="W653" i="1"/>
  <c r="X653" i="1"/>
  <c r="Y653" i="1"/>
  <c r="Z653" i="1"/>
  <c r="AA653" i="1"/>
  <c r="AB653" i="1"/>
  <c r="AC653" i="1"/>
  <c r="AD653" i="1"/>
  <c r="AE653" i="1"/>
  <c r="AF653" i="1"/>
  <c r="AG653" i="1"/>
  <c r="AH653" i="1"/>
  <c r="AI653" i="1"/>
  <c r="AJ653" i="1"/>
  <c r="AK653" i="1"/>
  <c r="AL653" i="1"/>
  <c r="AM653" i="1"/>
  <c r="A654" i="1"/>
  <c r="B654" i="1"/>
  <c r="C654" i="1"/>
  <c r="D654" i="1"/>
  <c r="E654" i="1"/>
  <c r="F654" i="1"/>
  <c r="G654" i="1"/>
  <c r="H654" i="1"/>
  <c r="I654" i="1"/>
  <c r="J654" i="1"/>
  <c r="K654" i="1"/>
  <c r="L654" i="1"/>
  <c r="M654" i="1"/>
  <c r="N654" i="1"/>
  <c r="O654" i="1"/>
  <c r="P654" i="1"/>
  <c r="Q654" i="1"/>
  <c r="R654" i="1"/>
  <c r="S654" i="1"/>
  <c r="T654" i="1"/>
  <c r="U654" i="1"/>
  <c r="V654" i="1"/>
  <c r="W654" i="1"/>
  <c r="X654" i="1"/>
  <c r="Y654" i="1"/>
  <c r="Z654" i="1"/>
  <c r="AA654" i="1"/>
  <c r="AB654" i="1"/>
  <c r="AC654" i="1"/>
  <c r="AD654" i="1"/>
  <c r="AE654" i="1"/>
  <c r="AF654" i="1"/>
  <c r="AG654" i="1"/>
  <c r="AH654" i="1"/>
  <c r="AI654" i="1"/>
  <c r="AJ654" i="1"/>
  <c r="AK654" i="1"/>
  <c r="AL654" i="1"/>
  <c r="AM654" i="1"/>
  <c r="A655" i="1"/>
  <c r="B655" i="1"/>
  <c r="C655" i="1"/>
  <c r="D655" i="1"/>
  <c r="E655" i="1"/>
  <c r="F655" i="1"/>
  <c r="G655" i="1"/>
  <c r="H655" i="1"/>
  <c r="I655" i="1"/>
  <c r="J655" i="1"/>
  <c r="K655" i="1"/>
  <c r="L655" i="1"/>
  <c r="M655" i="1"/>
  <c r="N655" i="1"/>
  <c r="O655" i="1"/>
  <c r="P655" i="1"/>
  <c r="Q655" i="1"/>
  <c r="R655" i="1"/>
  <c r="S655" i="1"/>
  <c r="T655" i="1"/>
  <c r="U655" i="1"/>
  <c r="V655" i="1"/>
  <c r="W655" i="1"/>
  <c r="X655" i="1"/>
  <c r="Y655" i="1"/>
  <c r="Z655" i="1"/>
  <c r="AA655" i="1"/>
  <c r="AB655" i="1"/>
  <c r="AC655" i="1"/>
  <c r="AD655" i="1"/>
  <c r="AE655" i="1"/>
  <c r="AF655" i="1"/>
  <c r="AG655" i="1"/>
  <c r="AH655" i="1"/>
  <c r="AI655" i="1"/>
  <c r="AJ655" i="1"/>
  <c r="AK655" i="1"/>
  <c r="AL655" i="1"/>
  <c r="AM655" i="1"/>
  <c r="A656" i="1"/>
  <c r="B656" i="1"/>
  <c r="C656" i="1"/>
  <c r="D656" i="1"/>
  <c r="E656" i="1"/>
  <c r="F656" i="1"/>
  <c r="G656" i="1"/>
  <c r="H656" i="1"/>
  <c r="I656" i="1"/>
  <c r="J656" i="1"/>
  <c r="K656" i="1"/>
  <c r="L656" i="1"/>
  <c r="M656" i="1"/>
  <c r="N656" i="1"/>
  <c r="O656" i="1"/>
  <c r="P656" i="1"/>
  <c r="Q656" i="1"/>
  <c r="R656" i="1"/>
  <c r="S656" i="1"/>
  <c r="T656" i="1"/>
  <c r="U656" i="1"/>
  <c r="V656" i="1"/>
  <c r="W656" i="1"/>
  <c r="X656" i="1"/>
  <c r="Y656" i="1"/>
  <c r="Z656" i="1"/>
  <c r="AA656" i="1"/>
  <c r="AB656" i="1"/>
  <c r="AC656" i="1"/>
  <c r="AD656" i="1"/>
  <c r="AE656" i="1"/>
  <c r="AF656" i="1"/>
  <c r="AG656" i="1"/>
  <c r="AH656" i="1"/>
  <c r="AI656" i="1"/>
  <c r="AJ656" i="1"/>
  <c r="AK656" i="1"/>
  <c r="AL656" i="1"/>
  <c r="AM656" i="1"/>
  <c r="A657" i="1"/>
  <c r="B657" i="1"/>
  <c r="C657" i="1"/>
  <c r="D657" i="1"/>
  <c r="E657" i="1"/>
  <c r="F657" i="1"/>
  <c r="G657" i="1"/>
  <c r="H657" i="1"/>
  <c r="I657" i="1"/>
  <c r="J657" i="1"/>
  <c r="K657" i="1"/>
  <c r="L657" i="1"/>
  <c r="M657" i="1"/>
  <c r="N657" i="1"/>
  <c r="O657" i="1"/>
  <c r="P657" i="1"/>
  <c r="Q657" i="1"/>
  <c r="R657" i="1"/>
  <c r="S657" i="1"/>
  <c r="T657" i="1"/>
  <c r="U657" i="1"/>
  <c r="V657" i="1"/>
  <c r="W657" i="1"/>
  <c r="X657" i="1"/>
  <c r="Y657" i="1"/>
  <c r="Z657" i="1"/>
  <c r="AA657" i="1"/>
  <c r="AB657" i="1"/>
  <c r="AC657" i="1"/>
  <c r="AD657" i="1"/>
  <c r="AE657" i="1"/>
  <c r="AF657" i="1"/>
  <c r="AG657" i="1"/>
  <c r="AH657" i="1"/>
  <c r="AI657" i="1"/>
  <c r="AJ657" i="1"/>
  <c r="AK657" i="1"/>
  <c r="AL657" i="1"/>
  <c r="AM657" i="1"/>
  <c r="A658" i="1"/>
  <c r="B658" i="1"/>
  <c r="C658" i="1"/>
  <c r="D658" i="1"/>
  <c r="E658" i="1"/>
  <c r="F658" i="1"/>
  <c r="G658" i="1"/>
  <c r="H658" i="1"/>
  <c r="I658" i="1"/>
  <c r="J658" i="1"/>
  <c r="K658" i="1"/>
  <c r="L658" i="1"/>
  <c r="M658" i="1"/>
  <c r="N658" i="1"/>
  <c r="O658" i="1"/>
  <c r="P658" i="1"/>
  <c r="Q658" i="1"/>
  <c r="R658" i="1"/>
  <c r="S658" i="1"/>
  <c r="T658" i="1"/>
  <c r="U658" i="1"/>
  <c r="V658" i="1"/>
  <c r="W658" i="1"/>
  <c r="X658" i="1"/>
  <c r="Y658" i="1"/>
  <c r="Z658" i="1"/>
  <c r="AA658" i="1"/>
  <c r="AB658" i="1"/>
  <c r="AC658" i="1"/>
  <c r="AD658" i="1"/>
  <c r="AE658" i="1"/>
  <c r="AF658" i="1"/>
  <c r="AG658" i="1"/>
  <c r="AH658" i="1"/>
  <c r="AI658" i="1"/>
  <c r="AJ658" i="1"/>
  <c r="AK658" i="1"/>
  <c r="AL658" i="1"/>
  <c r="AM658" i="1"/>
  <c r="A659" i="1"/>
  <c r="B659" i="1"/>
  <c r="C659" i="1"/>
  <c r="D659" i="1"/>
  <c r="E659" i="1"/>
  <c r="F659" i="1"/>
  <c r="G659" i="1"/>
  <c r="H659" i="1"/>
  <c r="I659" i="1"/>
  <c r="J659" i="1"/>
  <c r="K659" i="1"/>
  <c r="L659" i="1"/>
  <c r="M659" i="1"/>
  <c r="N659" i="1"/>
  <c r="O659" i="1"/>
  <c r="P659" i="1"/>
  <c r="Q659" i="1"/>
  <c r="R659" i="1"/>
  <c r="S659" i="1"/>
  <c r="T659" i="1"/>
  <c r="U659" i="1"/>
  <c r="V659" i="1"/>
  <c r="W659" i="1"/>
  <c r="X659" i="1"/>
  <c r="Y659" i="1"/>
  <c r="Z659" i="1"/>
  <c r="AA659" i="1"/>
  <c r="AB659" i="1"/>
  <c r="AC659" i="1"/>
  <c r="AD659" i="1"/>
  <c r="AE659" i="1"/>
  <c r="AF659" i="1"/>
  <c r="AG659" i="1"/>
  <c r="AH659" i="1"/>
  <c r="AI659" i="1"/>
  <c r="AJ659" i="1"/>
  <c r="AK659" i="1"/>
  <c r="AL659" i="1"/>
  <c r="AM659" i="1"/>
  <c r="A660" i="1"/>
  <c r="B660" i="1"/>
  <c r="C660" i="1"/>
  <c r="D660" i="1"/>
  <c r="E660" i="1"/>
  <c r="F660" i="1"/>
  <c r="G660" i="1"/>
  <c r="H660" i="1"/>
  <c r="I660" i="1"/>
  <c r="J660" i="1"/>
  <c r="K660" i="1"/>
  <c r="L660" i="1"/>
  <c r="M660" i="1"/>
  <c r="N660" i="1"/>
  <c r="O660" i="1"/>
  <c r="P660" i="1"/>
  <c r="Q660" i="1"/>
  <c r="R660" i="1"/>
  <c r="S660" i="1"/>
  <c r="T660" i="1"/>
  <c r="U660" i="1"/>
  <c r="V660" i="1"/>
  <c r="W660" i="1"/>
  <c r="X660" i="1"/>
  <c r="Y660" i="1"/>
  <c r="Z660" i="1"/>
  <c r="AA660" i="1"/>
  <c r="AB660" i="1"/>
  <c r="AC660" i="1"/>
  <c r="AD660" i="1"/>
  <c r="AE660" i="1"/>
  <c r="AF660" i="1"/>
  <c r="AG660" i="1"/>
  <c r="AH660" i="1"/>
  <c r="AI660" i="1"/>
  <c r="AJ660" i="1"/>
  <c r="AK660" i="1"/>
  <c r="AL660" i="1"/>
  <c r="AM660" i="1"/>
  <c r="A661" i="1"/>
  <c r="B661" i="1"/>
  <c r="C661" i="1"/>
  <c r="D661" i="1"/>
  <c r="E661" i="1"/>
  <c r="F661" i="1"/>
  <c r="G661" i="1"/>
  <c r="H661" i="1"/>
  <c r="I661" i="1"/>
  <c r="J661" i="1"/>
  <c r="K661" i="1"/>
  <c r="L661" i="1"/>
  <c r="M661" i="1"/>
  <c r="N661" i="1"/>
  <c r="O661" i="1"/>
  <c r="P661" i="1"/>
  <c r="Q661" i="1"/>
  <c r="R661" i="1"/>
  <c r="S661" i="1"/>
  <c r="T661" i="1"/>
  <c r="U661" i="1"/>
  <c r="V661" i="1"/>
  <c r="W661" i="1"/>
  <c r="X661" i="1"/>
  <c r="Y661" i="1"/>
  <c r="Z661" i="1"/>
  <c r="AA661" i="1"/>
  <c r="AB661" i="1"/>
  <c r="AC661" i="1"/>
  <c r="AD661" i="1"/>
  <c r="AE661" i="1"/>
  <c r="AF661" i="1"/>
  <c r="AG661" i="1"/>
  <c r="AH661" i="1"/>
  <c r="AI661" i="1"/>
  <c r="AJ661" i="1"/>
  <c r="AK661" i="1"/>
  <c r="AL661" i="1"/>
  <c r="AM661" i="1"/>
  <c r="A662" i="1"/>
  <c r="B662" i="1"/>
  <c r="C662" i="1"/>
  <c r="D662" i="1"/>
  <c r="E662" i="1"/>
  <c r="F662" i="1"/>
  <c r="G662" i="1"/>
  <c r="H662" i="1"/>
  <c r="I662" i="1"/>
  <c r="J662" i="1"/>
  <c r="K662" i="1"/>
  <c r="L662" i="1"/>
  <c r="M662" i="1"/>
  <c r="N662" i="1"/>
  <c r="O662" i="1"/>
  <c r="P662" i="1"/>
  <c r="Q662" i="1"/>
  <c r="R662" i="1"/>
  <c r="S662" i="1"/>
  <c r="T662" i="1"/>
  <c r="U662" i="1"/>
  <c r="V662" i="1"/>
  <c r="W662" i="1"/>
  <c r="X662" i="1"/>
  <c r="Y662" i="1"/>
  <c r="Z662" i="1"/>
  <c r="AA662" i="1"/>
  <c r="AB662" i="1"/>
  <c r="AC662" i="1"/>
  <c r="AD662" i="1"/>
  <c r="AE662" i="1"/>
  <c r="AF662" i="1"/>
  <c r="AG662" i="1"/>
  <c r="AH662" i="1"/>
  <c r="AI662" i="1"/>
  <c r="AJ662" i="1"/>
  <c r="AK662" i="1"/>
  <c r="AL662" i="1"/>
  <c r="AM662" i="1"/>
  <c r="A663" i="1"/>
  <c r="B663" i="1"/>
  <c r="C663" i="1"/>
  <c r="D663" i="1"/>
  <c r="E663" i="1"/>
  <c r="F663" i="1"/>
  <c r="G663" i="1"/>
  <c r="H663" i="1"/>
  <c r="I663" i="1"/>
  <c r="J663" i="1"/>
  <c r="K663" i="1"/>
  <c r="L663" i="1"/>
  <c r="M663" i="1"/>
  <c r="N663" i="1"/>
  <c r="O663" i="1"/>
  <c r="P663" i="1"/>
  <c r="Q663" i="1"/>
  <c r="R663" i="1"/>
  <c r="S663" i="1"/>
  <c r="T663" i="1"/>
  <c r="U663" i="1"/>
  <c r="V663" i="1"/>
  <c r="W663" i="1"/>
  <c r="X663" i="1"/>
  <c r="Y663" i="1"/>
  <c r="Z663" i="1"/>
  <c r="AA663" i="1"/>
  <c r="AB663" i="1"/>
  <c r="AC663" i="1"/>
  <c r="AD663" i="1"/>
  <c r="AE663" i="1"/>
  <c r="AF663" i="1"/>
  <c r="AG663" i="1"/>
  <c r="AH663" i="1"/>
  <c r="AI663" i="1"/>
  <c r="AJ663" i="1"/>
  <c r="AK663" i="1"/>
  <c r="AL663" i="1"/>
  <c r="AM663" i="1"/>
  <c r="A664" i="1"/>
  <c r="B664" i="1"/>
  <c r="C664" i="1"/>
  <c r="D664" i="1"/>
  <c r="E664" i="1"/>
  <c r="F664" i="1"/>
  <c r="G664" i="1"/>
  <c r="H664" i="1"/>
  <c r="I664" i="1"/>
  <c r="J664" i="1"/>
  <c r="K664" i="1"/>
  <c r="L664" i="1"/>
  <c r="M664" i="1"/>
  <c r="N664" i="1"/>
  <c r="O664" i="1"/>
  <c r="P664" i="1"/>
  <c r="Q664" i="1"/>
  <c r="R664" i="1"/>
  <c r="S664" i="1"/>
  <c r="T664" i="1"/>
  <c r="U664" i="1"/>
  <c r="V664" i="1"/>
  <c r="W664" i="1"/>
  <c r="X664" i="1"/>
  <c r="Y664" i="1"/>
  <c r="Z664" i="1"/>
  <c r="AA664" i="1"/>
  <c r="AB664" i="1"/>
  <c r="AC664" i="1"/>
  <c r="AD664" i="1"/>
  <c r="AE664" i="1"/>
  <c r="AF664" i="1"/>
  <c r="AG664" i="1"/>
  <c r="AH664" i="1"/>
  <c r="AI664" i="1"/>
  <c r="AJ664" i="1"/>
  <c r="AK664" i="1"/>
  <c r="AL664" i="1"/>
  <c r="AM664" i="1"/>
  <c r="A665" i="1"/>
  <c r="B665" i="1"/>
  <c r="C665" i="1"/>
  <c r="D665" i="1"/>
  <c r="E665" i="1"/>
  <c r="F665" i="1"/>
  <c r="G665" i="1"/>
  <c r="H665" i="1"/>
  <c r="I665" i="1"/>
  <c r="J665" i="1"/>
  <c r="K665" i="1"/>
  <c r="L665" i="1"/>
  <c r="M665" i="1"/>
  <c r="N665" i="1"/>
  <c r="O665" i="1"/>
  <c r="P665" i="1"/>
  <c r="Q665" i="1"/>
  <c r="R665" i="1"/>
  <c r="S665" i="1"/>
  <c r="T665" i="1"/>
  <c r="U665" i="1"/>
  <c r="V665" i="1"/>
  <c r="W665" i="1"/>
  <c r="X665" i="1"/>
  <c r="Y665" i="1"/>
  <c r="Z665" i="1"/>
  <c r="AA665" i="1"/>
  <c r="AB665" i="1"/>
  <c r="AC665" i="1"/>
  <c r="AD665" i="1"/>
  <c r="AE665" i="1"/>
  <c r="AF665" i="1"/>
  <c r="AG665" i="1"/>
  <c r="AH665" i="1"/>
  <c r="AI665" i="1"/>
  <c r="AJ665" i="1"/>
  <c r="AK665" i="1"/>
  <c r="AL665" i="1"/>
  <c r="AM665" i="1"/>
  <c r="A666" i="1"/>
  <c r="B666" i="1"/>
  <c r="C666" i="1"/>
  <c r="D666" i="1"/>
  <c r="E666" i="1"/>
  <c r="F666" i="1"/>
  <c r="G666" i="1"/>
  <c r="H666" i="1"/>
  <c r="I666" i="1"/>
  <c r="J666" i="1"/>
  <c r="K666" i="1"/>
  <c r="L666" i="1"/>
  <c r="M666" i="1"/>
  <c r="N666" i="1"/>
  <c r="O666" i="1"/>
  <c r="P666" i="1"/>
  <c r="Q666" i="1"/>
  <c r="R666" i="1"/>
  <c r="S666" i="1"/>
  <c r="T666" i="1"/>
  <c r="U666" i="1"/>
  <c r="V666" i="1"/>
  <c r="W666" i="1"/>
  <c r="X666" i="1"/>
  <c r="Y666" i="1"/>
  <c r="Z666" i="1"/>
  <c r="AA666" i="1"/>
  <c r="AB666" i="1"/>
  <c r="AC666" i="1"/>
  <c r="AD666" i="1"/>
  <c r="AE666" i="1"/>
  <c r="AF666" i="1"/>
  <c r="AG666" i="1"/>
  <c r="AH666" i="1"/>
  <c r="AI666" i="1"/>
  <c r="AJ666" i="1"/>
  <c r="AK666" i="1"/>
  <c r="AL666" i="1"/>
  <c r="AM666" i="1"/>
  <c r="A667" i="1"/>
  <c r="B667" i="1"/>
  <c r="C667" i="1"/>
  <c r="D667" i="1"/>
  <c r="E667" i="1"/>
  <c r="F667" i="1"/>
  <c r="G667" i="1"/>
  <c r="H667" i="1"/>
  <c r="I667" i="1"/>
  <c r="J667" i="1"/>
  <c r="K667" i="1"/>
  <c r="L667" i="1"/>
  <c r="M667" i="1"/>
  <c r="N667" i="1"/>
  <c r="O667" i="1"/>
  <c r="P667" i="1"/>
  <c r="Q667" i="1"/>
  <c r="R667" i="1"/>
  <c r="S667" i="1"/>
  <c r="T667" i="1"/>
  <c r="U667" i="1"/>
  <c r="V667" i="1"/>
  <c r="W667" i="1"/>
  <c r="X667" i="1"/>
  <c r="Y667" i="1"/>
  <c r="Z667" i="1"/>
  <c r="AA667" i="1"/>
  <c r="AB667" i="1"/>
  <c r="AC667" i="1"/>
  <c r="AD667" i="1"/>
  <c r="AE667" i="1"/>
  <c r="AF667" i="1"/>
  <c r="AG667" i="1"/>
  <c r="AH667" i="1"/>
  <c r="AI667" i="1"/>
  <c r="AJ667" i="1"/>
  <c r="AK667" i="1"/>
  <c r="AL667" i="1"/>
  <c r="AM667" i="1"/>
  <c r="A668" i="1"/>
  <c r="B668" i="1"/>
  <c r="C668" i="1"/>
  <c r="D668" i="1"/>
  <c r="E668" i="1"/>
  <c r="F668" i="1"/>
  <c r="G668" i="1"/>
  <c r="H668" i="1"/>
  <c r="I668" i="1"/>
  <c r="J668" i="1"/>
  <c r="K668" i="1"/>
  <c r="L668" i="1"/>
  <c r="M668" i="1"/>
  <c r="N668" i="1"/>
  <c r="O668" i="1"/>
  <c r="P668" i="1"/>
  <c r="Q668" i="1"/>
  <c r="R668" i="1"/>
  <c r="S668" i="1"/>
  <c r="T668" i="1"/>
  <c r="U668" i="1"/>
  <c r="V668" i="1"/>
  <c r="W668" i="1"/>
  <c r="X668" i="1"/>
  <c r="Y668" i="1"/>
  <c r="Z668" i="1"/>
  <c r="AA668" i="1"/>
  <c r="AB668" i="1"/>
  <c r="AC668" i="1"/>
  <c r="AD668" i="1"/>
  <c r="AE668" i="1"/>
  <c r="AF668" i="1"/>
  <c r="AG668" i="1"/>
  <c r="AH668" i="1"/>
  <c r="AI668" i="1"/>
  <c r="AJ668" i="1"/>
  <c r="AK668" i="1"/>
  <c r="AL668" i="1"/>
  <c r="AM668" i="1"/>
  <c r="A669" i="1"/>
  <c r="B669" i="1"/>
  <c r="C669" i="1"/>
  <c r="D669" i="1"/>
  <c r="E669" i="1"/>
  <c r="F669" i="1"/>
  <c r="G669" i="1"/>
  <c r="H669" i="1"/>
  <c r="I669" i="1"/>
  <c r="J669" i="1"/>
  <c r="K669" i="1"/>
  <c r="L669" i="1"/>
  <c r="M669" i="1"/>
  <c r="N669" i="1"/>
  <c r="O669" i="1"/>
  <c r="P669" i="1"/>
  <c r="Q669" i="1"/>
  <c r="R669" i="1"/>
  <c r="S669" i="1"/>
  <c r="T669" i="1"/>
  <c r="U669" i="1"/>
  <c r="V669" i="1"/>
  <c r="W669" i="1"/>
  <c r="X669" i="1"/>
  <c r="Y669" i="1"/>
  <c r="Z669" i="1"/>
  <c r="AA669" i="1"/>
  <c r="AB669" i="1"/>
  <c r="AC669" i="1"/>
  <c r="AD669" i="1"/>
  <c r="AE669" i="1"/>
  <c r="AF669" i="1"/>
  <c r="AG669" i="1"/>
  <c r="AH669" i="1"/>
  <c r="AI669" i="1"/>
  <c r="AJ669" i="1"/>
  <c r="AK669" i="1"/>
  <c r="AL669" i="1"/>
  <c r="AM669" i="1"/>
  <c r="A670" i="1"/>
  <c r="B670" i="1"/>
  <c r="C670" i="1"/>
  <c r="D670" i="1"/>
  <c r="E670" i="1"/>
  <c r="F670" i="1"/>
  <c r="G670" i="1"/>
  <c r="H670" i="1"/>
  <c r="I670" i="1"/>
  <c r="J670" i="1"/>
  <c r="K670" i="1"/>
  <c r="L670" i="1"/>
  <c r="M670" i="1"/>
  <c r="N670" i="1"/>
  <c r="O670" i="1"/>
  <c r="P670" i="1"/>
  <c r="Q670" i="1"/>
  <c r="R670" i="1"/>
  <c r="S670" i="1"/>
  <c r="T670" i="1"/>
  <c r="U670" i="1"/>
  <c r="V670" i="1"/>
  <c r="W670" i="1"/>
  <c r="X670" i="1"/>
  <c r="Y670" i="1"/>
  <c r="Z670" i="1"/>
  <c r="AA670" i="1"/>
  <c r="AB670" i="1"/>
  <c r="AC670" i="1"/>
  <c r="AD670" i="1"/>
  <c r="AE670" i="1"/>
  <c r="AF670" i="1"/>
  <c r="AG670" i="1"/>
  <c r="AH670" i="1"/>
  <c r="AI670" i="1"/>
  <c r="AJ670" i="1"/>
  <c r="AK670" i="1"/>
  <c r="AL670" i="1"/>
  <c r="AM670" i="1"/>
  <c r="A671" i="1"/>
  <c r="B671" i="1"/>
  <c r="C671" i="1"/>
  <c r="D671" i="1"/>
  <c r="E671" i="1"/>
  <c r="F671" i="1"/>
  <c r="G671" i="1"/>
  <c r="H671" i="1"/>
  <c r="I671" i="1"/>
  <c r="J671" i="1"/>
  <c r="K671" i="1"/>
  <c r="L671" i="1"/>
  <c r="M671" i="1"/>
  <c r="N671" i="1"/>
  <c r="O671" i="1"/>
  <c r="P671" i="1"/>
  <c r="Q671" i="1"/>
  <c r="R671" i="1"/>
  <c r="S671" i="1"/>
  <c r="T671" i="1"/>
  <c r="U671" i="1"/>
  <c r="V671" i="1"/>
  <c r="W671" i="1"/>
  <c r="X671" i="1"/>
  <c r="Y671" i="1"/>
  <c r="Z671" i="1"/>
  <c r="AA671" i="1"/>
  <c r="AB671" i="1"/>
  <c r="AC671" i="1"/>
  <c r="AD671" i="1"/>
  <c r="AE671" i="1"/>
  <c r="AF671" i="1"/>
  <c r="AG671" i="1"/>
  <c r="AH671" i="1"/>
  <c r="AI671" i="1"/>
  <c r="AJ671" i="1"/>
  <c r="AK671" i="1"/>
  <c r="AL671" i="1"/>
  <c r="AM671" i="1"/>
  <c r="A672" i="1"/>
  <c r="B672" i="1"/>
  <c r="C672" i="1"/>
  <c r="D672" i="1"/>
  <c r="E672" i="1"/>
  <c r="F672" i="1"/>
  <c r="G672" i="1"/>
  <c r="H672" i="1"/>
  <c r="I672" i="1"/>
  <c r="J672" i="1"/>
  <c r="K672" i="1"/>
  <c r="L672" i="1"/>
  <c r="M672" i="1"/>
  <c r="N672" i="1"/>
  <c r="O672" i="1"/>
  <c r="P672" i="1"/>
  <c r="Q672" i="1"/>
  <c r="R672" i="1"/>
  <c r="S672" i="1"/>
  <c r="T672" i="1"/>
  <c r="U672" i="1"/>
  <c r="V672" i="1"/>
  <c r="W672" i="1"/>
  <c r="X672" i="1"/>
  <c r="Y672" i="1"/>
  <c r="Z672" i="1"/>
  <c r="AA672" i="1"/>
  <c r="AB672" i="1"/>
  <c r="AC672" i="1"/>
  <c r="AD672" i="1"/>
  <c r="AE672" i="1"/>
  <c r="AF672" i="1"/>
  <c r="AG672" i="1"/>
  <c r="AH672" i="1"/>
  <c r="AI672" i="1"/>
  <c r="AJ672" i="1"/>
  <c r="AK672" i="1"/>
  <c r="AL672" i="1"/>
  <c r="AM672" i="1"/>
  <c r="A673" i="1"/>
  <c r="B673" i="1"/>
  <c r="C673" i="1"/>
  <c r="D673" i="1"/>
  <c r="E673" i="1"/>
  <c r="F673" i="1"/>
  <c r="G673" i="1"/>
  <c r="H673" i="1"/>
  <c r="I673" i="1"/>
  <c r="J673" i="1"/>
  <c r="K673" i="1"/>
  <c r="L673" i="1"/>
  <c r="M673" i="1"/>
  <c r="N673" i="1"/>
  <c r="O673" i="1"/>
  <c r="P673" i="1"/>
  <c r="Q673" i="1"/>
  <c r="R673" i="1"/>
  <c r="S673" i="1"/>
  <c r="T673" i="1"/>
  <c r="U673" i="1"/>
  <c r="V673" i="1"/>
  <c r="W673" i="1"/>
  <c r="X673" i="1"/>
  <c r="Y673" i="1"/>
  <c r="Z673" i="1"/>
  <c r="AA673" i="1"/>
  <c r="AB673" i="1"/>
  <c r="AC673" i="1"/>
  <c r="AD673" i="1"/>
  <c r="AE673" i="1"/>
  <c r="AF673" i="1"/>
  <c r="AG673" i="1"/>
  <c r="AH673" i="1"/>
  <c r="AI673" i="1"/>
  <c r="AJ673" i="1"/>
  <c r="AK673" i="1"/>
  <c r="AL673" i="1"/>
  <c r="AM673" i="1"/>
  <c r="A674" i="1"/>
  <c r="B674" i="1"/>
  <c r="C674" i="1"/>
  <c r="D674" i="1"/>
  <c r="E674" i="1"/>
  <c r="F674" i="1"/>
  <c r="G674" i="1"/>
  <c r="H674" i="1"/>
  <c r="I674" i="1"/>
  <c r="J674" i="1"/>
  <c r="K674" i="1"/>
  <c r="L674" i="1"/>
  <c r="M674" i="1"/>
  <c r="N674" i="1"/>
  <c r="O674" i="1"/>
  <c r="P674" i="1"/>
  <c r="Q674" i="1"/>
  <c r="R674" i="1"/>
  <c r="S674" i="1"/>
  <c r="T674" i="1"/>
  <c r="U674" i="1"/>
  <c r="V674" i="1"/>
  <c r="W674" i="1"/>
  <c r="X674" i="1"/>
  <c r="Y674" i="1"/>
  <c r="Z674" i="1"/>
  <c r="AA674" i="1"/>
  <c r="AB674" i="1"/>
  <c r="AC674" i="1"/>
  <c r="AD674" i="1"/>
  <c r="AE674" i="1"/>
  <c r="AF674" i="1"/>
  <c r="AG674" i="1"/>
  <c r="AH674" i="1"/>
  <c r="AI674" i="1"/>
  <c r="AJ674" i="1"/>
  <c r="AK674" i="1"/>
  <c r="AL674" i="1"/>
  <c r="AM674" i="1"/>
  <c r="A675" i="1"/>
  <c r="B675" i="1"/>
  <c r="C675" i="1"/>
  <c r="D675" i="1"/>
  <c r="E675" i="1"/>
  <c r="F675" i="1"/>
  <c r="G675" i="1"/>
  <c r="H675" i="1"/>
  <c r="I675" i="1"/>
  <c r="J675" i="1"/>
  <c r="K675" i="1"/>
  <c r="L675" i="1"/>
  <c r="M675" i="1"/>
  <c r="N675" i="1"/>
  <c r="O675" i="1"/>
  <c r="P675" i="1"/>
  <c r="Q675" i="1"/>
  <c r="R675" i="1"/>
  <c r="S675" i="1"/>
  <c r="T675" i="1"/>
  <c r="U675" i="1"/>
  <c r="V675" i="1"/>
  <c r="W675" i="1"/>
  <c r="X675" i="1"/>
  <c r="Y675" i="1"/>
  <c r="Z675" i="1"/>
  <c r="AA675" i="1"/>
  <c r="AB675" i="1"/>
  <c r="AC675" i="1"/>
  <c r="AD675" i="1"/>
  <c r="AE675" i="1"/>
  <c r="AF675" i="1"/>
  <c r="AG675" i="1"/>
  <c r="AH675" i="1"/>
  <c r="AI675" i="1"/>
  <c r="AJ675" i="1"/>
  <c r="AK675" i="1"/>
  <c r="AL675" i="1"/>
  <c r="AM675" i="1"/>
  <c r="A676" i="1"/>
  <c r="B676" i="1"/>
  <c r="C676" i="1"/>
  <c r="D676" i="1"/>
  <c r="E676" i="1"/>
  <c r="F676" i="1"/>
  <c r="G676" i="1"/>
  <c r="H676" i="1"/>
  <c r="I676" i="1"/>
  <c r="J676" i="1"/>
  <c r="K676" i="1"/>
  <c r="L676" i="1"/>
  <c r="M676" i="1"/>
  <c r="N676" i="1"/>
  <c r="O676" i="1"/>
  <c r="P676" i="1"/>
  <c r="Q676" i="1"/>
  <c r="R676" i="1"/>
  <c r="S676" i="1"/>
  <c r="T676" i="1"/>
  <c r="U676" i="1"/>
  <c r="V676" i="1"/>
  <c r="W676" i="1"/>
  <c r="X676" i="1"/>
  <c r="Y676" i="1"/>
  <c r="Z676" i="1"/>
  <c r="AA676" i="1"/>
  <c r="AB676" i="1"/>
  <c r="AC676" i="1"/>
  <c r="AD676" i="1"/>
  <c r="AE676" i="1"/>
  <c r="AF676" i="1"/>
  <c r="AG676" i="1"/>
  <c r="AH676" i="1"/>
  <c r="AI676" i="1"/>
  <c r="AJ676" i="1"/>
  <c r="AK676" i="1"/>
  <c r="AL676" i="1"/>
  <c r="AM676" i="1"/>
  <c r="A677" i="1"/>
  <c r="B677" i="1"/>
  <c r="C677" i="1"/>
  <c r="D677" i="1"/>
  <c r="E677" i="1"/>
  <c r="F677" i="1"/>
  <c r="G677" i="1"/>
  <c r="H677" i="1"/>
  <c r="I677" i="1"/>
  <c r="J677" i="1"/>
  <c r="K677" i="1"/>
  <c r="L677" i="1"/>
  <c r="M677" i="1"/>
  <c r="N677" i="1"/>
  <c r="O677" i="1"/>
  <c r="P677" i="1"/>
  <c r="Q677" i="1"/>
  <c r="R677" i="1"/>
  <c r="S677" i="1"/>
  <c r="T677" i="1"/>
  <c r="U677" i="1"/>
  <c r="V677" i="1"/>
  <c r="W677" i="1"/>
  <c r="X677" i="1"/>
  <c r="Y677" i="1"/>
  <c r="Z677" i="1"/>
  <c r="AA677" i="1"/>
  <c r="AB677" i="1"/>
  <c r="AC677" i="1"/>
  <c r="AD677" i="1"/>
  <c r="AE677" i="1"/>
  <c r="AF677" i="1"/>
  <c r="AG677" i="1"/>
  <c r="AH677" i="1"/>
  <c r="AI677" i="1"/>
  <c r="AJ677" i="1"/>
  <c r="AK677" i="1"/>
  <c r="AL677" i="1"/>
  <c r="AM677" i="1"/>
  <c r="A678" i="1"/>
  <c r="B678" i="1"/>
  <c r="C678" i="1"/>
  <c r="D678" i="1"/>
  <c r="E678" i="1"/>
  <c r="F678" i="1"/>
  <c r="G678" i="1"/>
  <c r="H678" i="1"/>
  <c r="I678" i="1"/>
  <c r="J678" i="1"/>
  <c r="K678" i="1"/>
  <c r="L678" i="1"/>
  <c r="M678" i="1"/>
  <c r="N678" i="1"/>
  <c r="O678" i="1"/>
  <c r="P678" i="1"/>
  <c r="Q678" i="1"/>
  <c r="R678" i="1"/>
  <c r="S678" i="1"/>
  <c r="T678" i="1"/>
  <c r="U678" i="1"/>
  <c r="V678" i="1"/>
  <c r="W678" i="1"/>
  <c r="X678" i="1"/>
  <c r="Y678" i="1"/>
  <c r="Z678" i="1"/>
  <c r="AA678" i="1"/>
  <c r="AB678" i="1"/>
  <c r="AC678" i="1"/>
  <c r="AD678" i="1"/>
  <c r="AE678" i="1"/>
  <c r="AF678" i="1"/>
  <c r="AG678" i="1"/>
  <c r="AH678" i="1"/>
  <c r="AI678" i="1"/>
  <c r="AJ678" i="1"/>
  <c r="AK678" i="1"/>
  <c r="AL678" i="1"/>
  <c r="AM678" i="1"/>
  <c r="A679" i="1"/>
  <c r="B679" i="1"/>
  <c r="C679" i="1"/>
  <c r="D679" i="1"/>
  <c r="E679" i="1"/>
  <c r="F679" i="1"/>
  <c r="G679" i="1"/>
  <c r="H679" i="1"/>
  <c r="I679" i="1"/>
  <c r="J679" i="1"/>
  <c r="K679" i="1"/>
  <c r="L679" i="1"/>
  <c r="M679" i="1"/>
  <c r="N679" i="1"/>
  <c r="O679" i="1"/>
  <c r="P679" i="1"/>
  <c r="Q679" i="1"/>
  <c r="R679" i="1"/>
  <c r="S679" i="1"/>
  <c r="T679" i="1"/>
  <c r="U679" i="1"/>
  <c r="V679" i="1"/>
  <c r="W679" i="1"/>
  <c r="X679" i="1"/>
  <c r="Y679" i="1"/>
  <c r="Z679" i="1"/>
  <c r="AA679" i="1"/>
  <c r="AB679" i="1"/>
  <c r="AC679" i="1"/>
  <c r="AD679" i="1"/>
  <c r="AE679" i="1"/>
  <c r="AF679" i="1"/>
  <c r="AG679" i="1"/>
  <c r="AH679" i="1"/>
  <c r="AI679" i="1"/>
  <c r="AJ679" i="1"/>
  <c r="AK679" i="1"/>
  <c r="AL679" i="1"/>
  <c r="AM679" i="1"/>
  <c r="A680" i="1"/>
  <c r="B680" i="1"/>
  <c r="C680" i="1"/>
  <c r="D680" i="1"/>
  <c r="E680" i="1"/>
  <c r="F680" i="1"/>
  <c r="G680" i="1"/>
  <c r="H680" i="1"/>
  <c r="I680" i="1"/>
  <c r="J680" i="1"/>
  <c r="K680" i="1"/>
  <c r="L680" i="1"/>
  <c r="M680" i="1"/>
  <c r="N680" i="1"/>
  <c r="O680" i="1"/>
  <c r="P680" i="1"/>
  <c r="Q680" i="1"/>
  <c r="R680" i="1"/>
  <c r="S680" i="1"/>
  <c r="T680" i="1"/>
  <c r="U680" i="1"/>
  <c r="V680" i="1"/>
  <c r="W680" i="1"/>
  <c r="X680" i="1"/>
  <c r="Y680" i="1"/>
  <c r="Z680" i="1"/>
  <c r="AA680" i="1"/>
  <c r="AB680" i="1"/>
  <c r="AC680" i="1"/>
  <c r="AD680" i="1"/>
  <c r="AE680" i="1"/>
  <c r="AF680" i="1"/>
  <c r="AG680" i="1"/>
  <c r="AH680" i="1"/>
  <c r="AI680" i="1"/>
  <c r="AJ680" i="1"/>
  <c r="AK680" i="1"/>
  <c r="AL680" i="1"/>
  <c r="AM680" i="1"/>
  <c r="A681" i="1"/>
  <c r="B681" i="1"/>
  <c r="C681" i="1"/>
  <c r="D681" i="1"/>
  <c r="E681" i="1"/>
  <c r="F681" i="1"/>
  <c r="G681" i="1"/>
  <c r="H681" i="1"/>
  <c r="I681" i="1"/>
  <c r="J681" i="1"/>
  <c r="K681" i="1"/>
  <c r="L681" i="1"/>
  <c r="M681" i="1"/>
  <c r="N681" i="1"/>
  <c r="O681" i="1"/>
  <c r="P681" i="1"/>
  <c r="Q681" i="1"/>
  <c r="R681" i="1"/>
  <c r="S681" i="1"/>
  <c r="T681" i="1"/>
  <c r="U681" i="1"/>
  <c r="V681" i="1"/>
  <c r="W681" i="1"/>
  <c r="X681" i="1"/>
  <c r="Y681" i="1"/>
  <c r="Z681" i="1"/>
  <c r="AA681" i="1"/>
  <c r="AB681" i="1"/>
  <c r="AC681" i="1"/>
  <c r="AD681" i="1"/>
  <c r="AE681" i="1"/>
  <c r="AF681" i="1"/>
  <c r="AG681" i="1"/>
  <c r="AH681" i="1"/>
  <c r="AI681" i="1"/>
  <c r="AJ681" i="1"/>
  <c r="AK681" i="1"/>
  <c r="AL681" i="1"/>
  <c r="AM681" i="1"/>
  <c r="A682" i="1"/>
  <c r="B682" i="1"/>
  <c r="C682" i="1"/>
  <c r="D682" i="1"/>
  <c r="E682" i="1"/>
  <c r="F682" i="1"/>
  <c r="G682" i="1"/>
  <c r="H682" i="1"/>
  <c r="I682" i="1"/>
  <c r="J682" i="1"/>
  <c r="K682" i="1"/>
  <c r="L682" i="1"/>
  <c r="M682" i="1"/>
  <c r="N682" i="1"/>
  <c r="O682" i="1"/>
  <c r="P682" i="1"/>
  <c r="Q682" i="1"/>
  <c r="R682" i="1"/>
  <c r="S682" i="1"/>
  <c r="T682" i="1"/>
  <c r="U682" i="1"/>
  <c r="V682" i="1"/>
  <c r="W682" i="1"/>
  <c r="X682" i="1"/>
  <c r="Y682" i="1"/>
  <c r="Z682" i="1"/>
  <c r="AA682" i="1"/>
  <c r="AB682" i="1"/>
  <c r="AC682" i="1"/>
  <c r="AD682" i="1"/>
  <c r="AE682" i="1"/>
  <c r="AF682" i="1"/>
  <c r="AG682" i="1"/>
  <c r="AH682" i="1"/>
  <c r="AI682" i="1"/>
  <c r="AJ682" i="1"/>
  <c r="AK682" i="1"/>
  <c r="AL682" i="1"/>
  <c r="AM682" i="1"/>
  <c r="A683" i="1"/>
  <c r="B683" i="1"/>
  <c r="C683" i="1"/>
  <c r="D683" i="1"/>
  <c r="E683" i="1"/>
  <c r="F683" i="1"/>
  <c r="G683" i="1"/>
  <c r="H683" i="1"/>
  <c r="I683" i="1"/>
  <c r="J683" i="1"/>
  <c r="K683" i="1"/>
  <c r="L683" i="1"/>
  <c r="M683" i="1"/>
  <c r="N683" i="1"/>
  <c r="O683" i="1"/>
  <c r="P683" i="1"/>
  <c r="Q683" i="1"/>
  <c r="R683" i="1"/>
  <c r="S683" i="1"/>
  <c r="T683" i="1"/>
  <c r="U683" i="1"/>
  <c r="V683" i="1"/>
  <c r="W683" i="1"/>
  <c r="X683" i="1"/>
  <c r="Y683" i="1"/>
  <c r="Z683" i="1"/>
  <c r="AA683" i="1"/>
  <c r="AB683" i="1"/>
  <c r="AC683" i="1"/>
  <c r="AD683" i="1"/>
  <c r="AE683" i="1"/>
  <c r="AF683" i="1"/>
  <c r="AG683" i="1"/>
  <c r="AH683" i="1"/>
  <c r="AI683" i="1"/>
  <c r="AJ683" i="1"/>
  <c r="AK683" i="1"/>
  <c r="AL683" i="1"/>
  <c r="AM683" i="1"/>
  <c r="A684" i="1"/>
  <c r="B684" i="1"/>
  <c r="C684" i="1"/>
  <c r="D684" i="1"/>
  <c r="E684" i="1"/>
  <c r="F684" i="1"/>
  <c r="G684" i="1"/>
  <c r="H684" i="1"/>
  <c r="I684" i="1"/>
  <c r="J684" i="1"/>
  <c r="K684" i="1"/>
  <c r="L684" i="1"/>
  <c r="M684" i="1"/>
  <c r="N684" i="1"/>
  <c r="O684" i="1"/>
  <c r="P684" i="1"/>
  <c r="Q684" i="1"/>
  <c r="R684" i="1"/>
  <c r="S684" i="1"/>
  <c r="T684" i="1"/>
  <c r="U684" i="1"/>
  <c r="V684" i="1"/>
  <c r="W684" i="1"/>
  <c r="X684" i="1"/>
  <c r="Y684" i="1"/>
  <c r="Z684" i="1"/>
  <c r="AA684" i="1"/>
  <c r="AB684" i="1"/>
  <c r="AC684" i="1"/>
  <c r="AD684" i="1"/>
  <c r="AE684" i="1"/>
  <c r="AF684" i="1"/>
  <c r="AG684" i="1"/>
  <c r="AH684" i="1"/>
  <c r="AI684" i="1"/>
  <c r="AJ684" i="1"/>
  <c r="AK684" i="1"/>
  <c r="AL684" i="1"/>
  <c r="AM684" i="1"/>
  <c r="A685" i="1"/>
  <c r="B685" i="1"/>
  <c r="C685" i="1"/>
  <c r="D685" i="1"/>
  <c r="E685" i="1"/>
  <c r="F685" i="1"/>
  <c r="G685" i="1"/>
  <c r="H685" i="1"/>
  <c r="I685" i="1"/>
  <c r="J685" i="1"/>
  <c r="K685" i="1"/>
  <c r="L685" i="1"/>
  <c r="M685" i="1"/>
  <c r="N685" i="1"/>
  <c r="O685" i="1"/>
  <c r="P685" i="1"/>
  <c r="Q685" i="1"/>
  <c r="R685" i="1"/>
  <c r="S685" i="1"/>
  <c r="T685" i="1"/>
  <c r="U685" i="1"/>
  <c r="V685" i="1"/>
  <c r="W685" i="1"/>
  <c r="X685" i="1"/>
  <c r="Y685" i="1"/>
  <c r="Z685" i="1"/>
  <c r="AA685" i="1"/>
  <c r="AB685" i="1"/>
  <c r="AC685" i="1"/>
  <c r="AD685" i="1"/>
  <c r="AE685" i="1"/>
  <c r="AF685" i="1"/>
  <c r="AG685" i="1"/>
  <c r="AH685" i="1"/>
  <c r="AI685" i="1"/>
  <c r="AJ685" i="1"/>
  <c r="AK685" i="1"/>
  <c r="AL685" i="1"/>
  <c r="AM685" i="1"/>
  <c r="A686" i="1"/>
  <c r="B686" i="1"/>
  <c r="C686" i="1"/>
  <c r="D686" i="1"/>
  <c r="E686" i="1"/>
  <c r="F686" i="1"/>
  <c r="G686" i="1"/>
  <c r="H686" i="1"/>
  <c r="I686" i="1"/>
  <c r="J686" i="1"/>
  <c r="K686" i="1"/>
  <c r="L686" i="1"/>
  <c r="M686" i="1"/>
  <c r="N686" i="1"/>
  <c r="O686" i="1"/>
  <c r="P686" i="1"/>
  <c r="Q686" i="1"/>
  <c r="R686" i="1"/>
  <c r="S686" i="1"/>
  <c r="T686" i="1"/>
  <c r="U686" i="1"/>
  <c r="V686" i="1"/>
  <c r="W686" i="1"/>
  <c r="X686" i="1"/>
  <c r="Y686" i="1"/>
  <c r="Z686" i="1"/>
  <c r="AA686" i="1"/>
  <c r="AB686" i="1"/>
  <c r="AC686" i="1"/>
  <c r="AD686" i="1"/>
  <c r="AE686" i="1"/>
  <c r="AF686" i="1"/>
  <c r="AG686" i="1"/>
  <c r="AH686" i="1"/>
  <c r="AI686" i="1"/>
  <c r="AJ686" i="1"/>
  <c r="AK686" i="1"/>
  <c r="AL686" i="1"/>
  <c r="AM686" i="1"/>
  <c r="A687" i="1"/>
  <c r="B687" i="1"/>
  <c r="C687" i="1"/>
  <c r="D687" i="1"/>
  <c r="E687" i="1"/>
  <c r="F687" i="1"/>
  <c r="G687" i="1"/>
  <c r="H687" i="1"/>
  <c r="I687" i="1"/>
  <c r="J687" i="1"/>
  <c r="K687" i="1"/>
  <c r="L687" i="1"/>
  <c r="M687" i="1"/>
  <c r="N687" i="1"/>
  <c r="O687" i="1"/>
  <c r="P687" i="1"/>
  <c r="Q687" i="1"/>
  <c r="R687" i="1"/>
  <c r="S687" i="1"/>
  <c r="T687" i="1"/>
  <c r="U687" i="1"/>
  <c r="V687" i="1"/>
  <c r="W687" i="1"/>
  <c r="X687" i="1"/>
  <c r="Y687" i="1"/>
  <c r="Z687" i="1"/>
  <c r="AA687" i="1"/>
  <c r="AB687" i="1"/>
  <c r="AC687" i="1"/>
  <c r="AD687" i="1"/>
  <c r="AE687" i="1"/>
  <c r="AF687" i="1"/>
  <c r="AG687" i="1"/>
  <c r="AH687" i="1"/>
  <c r="AI687" i="1"/>
  <c r="AJ687" i="1"/>
  <c r="AK687" i="1"/>
  <c r="AL687" i="1"/>
  <c r="AM687" i="1"/>
  <c r="A688" i="1"/>
  <c r="B688" i="1"/>
  <c r="C688" i="1"/>
  <c r="D688" i="1"/>
  <c r="E688" i="1"/>
  <c r="F688" i="1"/>
  <c r="G688" i="1"/>
  <c r="H688" i="1"/>
  <c r="I688" i="1"/>
  <c r="J688" i="1"/>
  <c r="K688" i="1"/>
  <c r="L688" i="1"/>
  <c r="M688" i="1"/>
  <c r="N688" i="1"/>
  <c r="O688" i="1"/>
  <c r="P688" i="1"/>
  <c r="Q688" i="1"/>
  <c r="R688" i="1"/>
  <c r="S688" i="1"/>
  <c r="T688" i="1"/>
  <c r="U688" i="1"/>
  <c r="V688" i="1"/>
  <c r="W688" i="1"/>
  <c r="X688" i="1"/>
  <c r="Y688" i="1"/>
  <c r="Z688" i="1"/>
  <c r="AA688" i="1"/>
  <c r="AB688" i="1"/>
  <c r="AC688" i="1"/>
  <c r="AD688" i="1"/>
  <c r="AE688" i="1"/>
  <c r="AF688" i="1"/>
  <c r="AG688" i="1"/>
  <c r="AH688" i="1"/>
  <c r="AI688" i="1"/>
  <c r="AJ688" i="1"/>
  <c r="AK688" i="1"/>
  <c r="AL688" i="1"/>
  <c r="AM688" i="1"/>
  <c r="A689" i="1"/>
  <c r="B689" i="1"/>
  <c r="C689" i="1"/>
  <c r="D689" i="1"/>
  <c r="E689" i="1"/>
  <c r="F689" i="1"/>
  <c r="G689" i="1"/>
  <c r="H689" i="1"/>
  <c r="I689" i="1"/>
  <c r="J689" i="1"/>
  <c r="K689" i="1"/>
  <c r="L689" i="1"/>
  <c r="M689" i="1"/>
  <c r="N689" i="1"/>
  <c r="O689" i="1"/>
  <c r="P689" i="1"/>
  <c r="Q689" i="1"/>
  <c r="R689" i="1"/>
  <c r="S689" i="1"/>
  <c r="T689" i="1"/>
  <c r="U689" i="1"/>
  <c r="V689" i="1"/>
  <c r="W689" i="1"/>
  <c r="X689" i="1"/>
  <c r="Y689" i="1"/>
  <c r="Z689" i="1"/>
  <c r="AA689" i="1"/>
  <c r="AB689" i="1"/>
  <c r="AC689" i="1"/>
  <c r="AD689" i="1"/>
  <c r="AE689" i="1"/>
  <c r="AF689" i="1"/>
  <c r="AG689" i="1"/>
  <c r="AH689" i="1"/>
  <c r="AI689" i="1"/>
  <c r="AJ689" i="1"/>
  <c r="AK689" i="1"/>
  <c r="AL689" i="1"/>
  <c r="AM689" i="1"/>
  <c r="A690" i="1"/>
  <c r="B690" i="1"/>
  <c r="C690" i="1"/>
  <c r="D690" i="1"/>
  <c r="E690" i="1"/>
  <c r="F690" i="1"/>
  <c r="G690" i="1"/>
  <c r="H690" i="1"/>
  <c r="I690" i="1"/>
  <c r="J690" i="1"/>
  <c r="K690" i="1"/>
  <c r="L690" i="1"/>
  <c r="M690" i="1"/>
  <c r="N690" i="1"/>
  <c r="O690" i="1"/>
  <c r="P690" i="1"/>
  <c r="Q690" i="1"/>
  <c r="R690" i="1"/>
  <c r="S690" i="1"/>
  <c r="T690" i="1"/>
  <c r="U690" i="1"/>
  <c r="V690" i="1"/>
  <c r="W690" i="1"/>
  <c r="X690" i="1"/>
  <c r="Y690" i="1"/>
  <c r="Z690" i="1"/>
  <c r="AA690" i="1"/>
  <c r="AB690" i="1"/>
  <c r="AC690" i="1"/>
  <c r="AD690" i="1"/>
  <c r="AE690" i="1"/>
  <c r="AF690" i="1"/>
  <c r="AG690" i="1"/>
  <c r="AH690" i="1"/>
  <c r="AI690" i="1"/>
  <c r="AJ690" i="1"/>
  <c r="AK690" i="1"/>
  <c r="AL690" i="1"/>
  <c r="AM690" i="1"/>
  <c r="A691" i="1"/>
  <c r="B691" i="1"/>
  <c r="C691" i="1"/>
  <c r="D691" i="1"/>
  <c r="E691" i="1"/>
  <c r="F691" i="1"/>
  <c r="G691" i="1"/>
  <c r="H691" i="1"/>
  <c r="I691" i="1"/>
  <c r="J691" i="1"/>
  <c r="K691" i="1"/>
  <c r="L691" i="1"/>
  <c r="M691" i="1"/>
  <c r="N691" i="1"/>
  <c r="O691" i="1"/>
  <c r="P691" i="1"/>
  <c r="Q691" i="1"/>
  <c r="R691" i="1"/>
  <c r="S691" i="1"/>
  <c r="T691" i="1"/>
  <c r="U691" i="1"/>
  <c r="V691" i="1"/>
  <c r="W691" i="1"/>
  <c r="X691" i="1"/>
  <c r="Y691" i="1"/>
  <c r="Z691" i="1"/>
  <c r="AA691" i="1"/>
  <c r="AB691" i="1"/>
  <c r="AC691" i="1"/>
  <c r="AD691" i="1"/>
  <c r="AE691" i="1"/>
  <c r="AF691" i="1"/>
  <c r="AG691" i="1"/>
  <c r="AH691" i="1"/>
  <c r="AI691" i="1"/>
  <c r="AJ691" i="1"/>
  <c r="AK691" i="1"/>
  <c r="AL691" i="1"/>
  <c r="AM691" i="1"/>
  <c r="A692" i="1"/>
  <c r="B692" i="1"/>
  <c r="C692" i="1"/>
  <c r="D692" i="1"/>
  <c r="E692" i="1"/>
  <c r="F692" i="1"/>
  <c r="G692" i="1"/>
  <c r="H692" i="1"/>
  <c r="I692" i="1"/>
  <c r="J692" i="1"/>
  <c r="K692" i="1"/>
  <c r="L692" i="1"/>
  <c r="M692" i="1"/>
  <c r="N692" i="1"/>
  <c r="O692" i="1"/>
  <c r="P692" i="1"/>
  <c r="Q692" i="1"/>
  <c r="R692" i="1"/>
  <c r="S692" i="1"/>
  <c r="T692" i="1"/>
  <c r="U692" i="1"/>
  <c r="V692" i="1"/>
  <c r="W692" i="1"/>
  <c r="X692" i="1"/>
  <c r="Y692" i="1"/>
  <c r="Z692" i="1"/>
  <c r="AA692" i="1"/>
  <c r="AB692" i="1"/>
  <c r="AC692" i="1"/>
  <c r="AD692" i="1"/>
  <c r="AE692" i="1"/>
  <c r="AF692" i="1"/>
  <c r="AG692" i="1"/>
  <c r="AH692" i="1"/>
  <c r="AI692" i="1"/>
  <c r="AJ692" i="1"/>
  <c r="AK692" i="1"/>
  <c r="AL692" i="1"/>
  <c r="AM692" i="1"/>
  <c r="A693" i="1"/>
  <c r="B693" i="1"/>
  <c r="C693" i="1"/>
  <c r="D693" i="1"/>
  <c r="E693" i="1"/>
  <c r="F693" i="1"/>
  <c r="G693" i="1"/>
  <c r="H693" i="1"/>
  <c r="I693" i="1"/>
  <c r="J693" i="1"/>
  <c r="K693" i="1"/>
  <c r="L693" i="1"/>
  <c r="M693" i="1"/>
  <c r="N693" i="1"/>
  <c r="O693" i="1"/>
  <c r="P693" i="1"/>
  <c r="Q693" i="1"/>
  <c r="R693" i="1"/>
  <c r="S693" i="1"/>
  <c r="T693" i="1"/>
  <c r="U693" i="1"/>
  <c r="V693" i="1"/>
  <c r="W693" i="1"/>
  <c r="X693" i="1"/>
  <c r="Y693" i="1"/>
  <c r="Z693" i="1"/>
  <c r="AA693" i="1"/>
  <c r="AB693" i="1"/>
  <c r="AC693" i="1"/>
  <c r="AD693" i="1"/>
  <c r="AE693" i="1"/>
  <c r="AF693" i="1"/>
  <c r="AG693" i="1"/>
  <c r="AH693" i="1"/>
  <c r="AI693" i="1"/>
  <c r="AJ693" i="1"/>
  <c r="AK693" i="1"/>
  <c r="AL693" i="1"/>
  <c r="AM693" i="1"/>
  <c r="A694" i="1"/>
  <c r="B694" i="1"/>
  <c r="C694" i="1"/>
  <c r="D694" i="1"/>
  <c r="E694" i="1"/>
  <c r="F694" i="1"/>
  <c r="G694" i="1"/>
  <c r="H694" i="1"/>
  <c r="I694" i="1"/>
  <c r="J694" i="1"/>
  <c r="K694" i="1"/>
  <c r="L694" i="1"/>
  <c r="M694" i="1"/>
  <c r="N694" i="1"/>
  <c r="O694" i="1"/>
  <c r="P694" i="1"/>
  <c r="Q694" i="1"/>
  <c r="R694" i="1"/>
  <c r="S694" i="1"/>
  <c r="T694" i="1"/>
  <c r="U694" i="1"/>
  <c r="V694" i="1"/>
  <c r="W694" i="1"/>
  <c r="X694" i="1"/>
  <c r="Y694" i="1"/>
  <c r="Z694" i="1"/>
  <c r="AA694" i="1"/>
  <c r="AB694" i="1"/>
  <c r="AC694" i="1"/>
  <c r="AD694" i="1"/>
  <c r="AE694" i="1"/>
  <c r="AF694" i="1"/>
  <c r="AG694" i="1"/>
  <c r="AH694" i="1"/>
  <c r="AI694" i="1"/>
  <c r="AJ694" i="1"/>
  <c r="AK694" i="1"/>
  <c r="AL694" i="1"/>
  <c r="AM694" i="1"/>
  <c r="A695" i="1"/>
  <c r="B695" i="1"/>
  <c r="C695" i="1"/>
  <c r="D695" i="1"/>
  <c r="E695" i="1"/>
  <c r="F695" i="1"/>
  <c r="G695" i="1"/>
  <c r="H695" i="1"/>
  <c r="I695" i="1"/>
  <c r="J695" i="1"/>
  <c r="K695" i="1"/>
  <c r="L695" i="1"/>
  <c r="M695" i="1"/>
  <c r="N695" i="1"/>
  <c r="O695" i="1"/>
  <c r="P695" i="1"/>
  <c r="Q695" i="1"/>
  <c r="R695" i="1"/>
  <c r="S695" i="1"/>
  <c r="T695" i="1"/>
  <c r="U695" i="1"/>
  <c r="V695" i="1"/>
  <c r="W695" i="1"/>
  <c r="X695" i="1"/>
  <c r="Y695" i="1"/>
  <c r="Z695" i="1"/>
  <c r="AA695" i="1"/>
  <c r="AB695" i="1"/>
  <c r="AC695" i="1"/>
  <c r="AD695" i="1"/>
  <c r="AE695" i="1"/>
  <c r="AF695" i="1"/>
  <c r="AG695" i="1"/>
  <c r="AH695" i="1"/>
  <c r="AI695" i="1"/>
  <c r="AJ695" i="1"/>
  <c r="AK695" i="1"/>
  <c r="AL695" i="1"/>
  <c r="AM695" i="1"/>
  <c r="A696" i="1"/>
  <c r="B696" i="1"/>
  <c r="C696" i="1"/>
  <c r="D696" i="1"/>
  <c r="E696" i="1"/>
  <c r="F696" i="1"/>
  <c r="G696" i="1"/>
  <c r="H696" i="1"/>
  <c r="I696" i="1"/>
  <c r="J696" i="1"/>
  <c r="K696" i="1"/>
  <c r="L696" i="1"/>
  <c r="M696" i="1"/>
  <c r="N696" i="1"/>
  <c r="O696" i="1"/>
  <c r="P696" i="1"/>
  <c r="Q696" i="1"/>
  <c r="R696" i="1"/>
  <c r="S696" i="1"/>
  <c r="T696" i="1"/>
  <c r="U696" i="1"/>
  <c r="V696" i="1"/>
  <c r="W696" i="1"/>
  <c r="X696" i="1"/>
  <c r="Y696" i="1"/>
  <c r="Z696" i="1"/>
  <c r="AA696" i="1"/>
  <c r="AB696" i="1"/>
  <c r="AC696" i="1"/>
  <c r="AD696" i="1"/>
  <c r="AE696" i="1"/>
  <c r="AF696" i="1"/>
  <c r="AG696" i="1"/>
  <c r="AH696" i="1"/>
  <c r="AI696" i="1"/>
  <c r="AJ696" i="1"/>
  <c r="AK696" i="1"/>
  <c r="AL696" i="1"/>
  <c r="AM696" i="1"/>
  <c r="A697" i="1"/>
  <c r="B697" i="1"/>
  <c r="C697" i="1"/>
  <c r="D697" i="1"/>
  <c r="E697" i="1"/>
  <c r="F697" i="1"/>
  <c r="G697" i="1"/>
  <c r="H697" i="1"/>
  <c r="I697" i="1"/>
  <c r="J697" i="1"/>
  <c r="K697" i="1"/>
  <c r="L697" i="1"/>
  <c r="M697" i="1"/>
  <c r="N697" i="1"/>
  <c r="O697" i="1"/>
  <c r="P697" i="1"/>
  <c r="Q697" i="1"/>
  <c r="R697" i="1"/>
  <c r="S697" i="1"/>
  <c r="T697" i="1"/>
  <c r="U697" i="1"/>
  <c r="V697" i="1"/>
  <c r="W697" i="1"/>
  <c r="X697" i="1"/>
  <c r="Y697" i="1"/>
  <c r="Z697" i="1"/>
  <c r="AA697" i="1"/>
  <c r="AB697" i="1"/>
  <c r="AC697" i="1"/>
  <c r="AD697" i="1"/>
  <c r="AE697" i="1"/>
  <c r="AF697" i="1"/>
  <c r="AG697" i="1"/>
  <c r="AH697" i="1"/>
  <c r="AI697" i="1"/>
  <c r="AJ697" i="1"/>
  <c r="AK697" i="1"/>
  <c r="AL697" i="1"/>
  <c r="AM697" i="1"/>
  <c r="A698" i="1"/>
  <c r="B698" i="1"/>
  <c r="C698" i="1"/>
  <c r="D698" i="1"/>
  <c r="E698" i="1"/>
  <c r="F698" i="1"/>
  <c r="G698" i="1"/>
  <c r="H698" i="1"/>
  <c r="I698" i="1"/>
  <c r="J698" i="1"/>
  <c r="K698" i="1"/>
  <c r="L698" i="1"/>
  <c r="M698" i="1"/>
  <c r="N698" i="1"/>
  <c r="O698" i="1"/>
  <c r="P698" i="1"/>
  <c r="Q698" i="1"/>
  <c r="R698" i="1"/>
  <c r="S698" i="1"/>
  <c r="T698" i="1"/>
  <c r="U698" i="1"/>
  <c r="V698" i="1"/>
  <c r="W698" i="1"/>
  <c r="X698" i="1"/>
  <c r="Y698" i="1"/>
  <c r="Z698" i="1"/>
  <c r="AA698" i="1"/>
  <c r="AB698" i="1"/>
  <c r="AC698" i="1"/>
  <c r="AD698" i="1"/>
  <c r="AE698" i="1"/>
  <c r="AF698" i="1"/>
  <c r="AG698" i="1"/>
  <c r="AH698" i="1"/>
  <c r="AI698" i="1"/>
  <c r="AJ698" i="1"/>
  <c r="AK698" i="1"/>
  <c r="AL698" i="1"/>
  <c r="AM698" i="1"/>
  <c r="A699" i="1"/>
  <c r="B699" i="1"/>
  <c r="C699" i="1"/>
  <c r="D699" i="1"/>
  <c r="E699" i="1"/>
  <c r="F699" i="1"/>
  <c r="G699" i="1"/>
  <c r="H699" i="1"/>
  <c r="I699" i="1"/>
  <c r="J699" i="1"/>
  <c r="K699" i="1"/>
  <c r="L699" i="1"/>
  <c r="M699" i="1"/>
  <c r="N699" i="1"/>
  <c r="O699" i="1"/>
  <c r="P699" i="1"/>
  <c r="Q699" i="1"/>
  <c r="R699" i="1"/>
  <c r="S699" i="1"/>
  <c r="T699" i="1"/>
  <c r="U699" i="1"/>
  <c r="V699" i="1"/>
  <c r="W699" i="1"/>
  <c r="X699" i="1"/>
  <c r="Y699" i="1"/>
  <c r="Z699" i="1"/>
  <c r="AA699" i="1"/>
  <c r="AB699" i="1"/>
  <c r="AC699" i="1"/>
  <c r="AD699" i="1"/>
  <c r="AE699" i="1"/>
  <c r="AF699" i="1"/>
  <c r="AG699" i="1"/>
  <c r="AH699" i="1"/>
  <c r="AI699" i="1"/>
  <c r="AJ699" i="1"/>
  <c r="AK699" i="1"/>
  <c r="AL699" i="1"/>
  <c r="AM699" i="1"/>
  <c r="A700" i="1"/>
  <c r="B700" i="1"/>
  <c r="C700" i="1"/>
  <c r="D700" i="1"/>
  <c r="E700" i="1"/>
  <c r="F700" i="1"/>
  <c r="G700" i="1"/>
  <c r="H700" i="1"/>
  <c r="I700" i="1"/>
  <c r="J700" i="1"/>
  <c r="K700" i="1"/>
  <c r="L700" i="1"/>
  <c r="M700" i="1"/>
  <c r="N700" i="1"/>
  <c r="O700" i="1"/>
  <c r="P700" i="1"/>
  <c r="Q700" i="1"/>
  <c r="R700" i="1"/>
  <c r="S700" i="1"/>
  <c r="T700" i="1"/>
  <c r="U700" i="1"/>
  <c r="V700" i="1"/>
  <c r="W700" i="1"/>
  <c r="X700" i="1"/>
  <c r="Y700" i="1"/>
  <c r="Z700" i="1"/>
  <c r="AA700" i="1"/>
  <c r="AB700" i="1"/>
  <c r="AC700" i="1"/>
  <c r="AD700" i="1"/>
  <c r="AE700" i="1"/>
  <c r="AF700" i="1"/>
  <c r="AG700" i="1"/>
  <c r="AH700" i="1"/>
  <c r="AI700" i="1"/>
  <c r="AJ700" i="1"/>
  <c r="AK700" i="1"/>
  <c r="AL700" i="1"/>
  <c r="AM700" i="1"/>
  <c r="A701" i="1"/>
  <c r="B701" i="1"/>
  <c r="C701" i="1"/>
  <c r="D701" i="1"/>
  <c r="E701" i="1"/>
  <c r="F701" i="1"/>
  <c r="G701" i="1"/>
  <c r="H701" i="1"/>
  <c r="I701" i="1"/>
  <c r="J701" i="1"/>
  <c r="K701" i="1"/>
  <c r="L701" i="1"/>
  <c r="M701" i="1"/>
  <c r="N701" i="1"/>
  <c r="O701" i="1"/>
  <c r="P701" i="1"/>
  <c r="Q701" i="1"/>
  <c r="R701" i="1"/>
  <c r="S701" i="1"/>
  <c r="T701" i="1"/>
  <c r="U701" i="1"/>
  <c r="V701" i="1"/>
  <c r="W701" i="1"/>
  <c r="X701" i="1"/>
  <c r="Y701" i="1"/>
  <c r="Z701" i="1"/>
  <c r="AA701" i="1"/>
  <c r="AB701" i="1"/>
  <c r="AC701" i="1"/>
  <c r="AD701" i="1"/>
  <c r="AE701" i="1"/>
  <c r="AF701" i="1"/>
  <c r="AG701" i="1"/>
  <c r="AH701" i="1"/>
  <c r="AI701" i="1"/>
  <c r="AJ701" i="1"/>
  <c r="AK701" i="1"/>
  <c r="AL701" i="1"/>
  <c r="AM701" i="1"/>
  <c r="A702" i="1"/>
  <c r="B702" i="1"/>
  <c r="C702" i="1"/>
  <c r="D702" i="1"/>
  <c r="E702" i="1"/>
  <c r="F702" i="1"/>
  <c r="G702" i="1"/>
  <c r="H702" i="1"/>
  <c r="I702" i="1"/>
  <c r="J702" i="1"/>
  <c r="K702" i="1"/>
  <c r="L702" i="1"/>
  <c r="M702" i="1"/>
  <c r="N702" i="1"/>
  <c r="O702" i="1"/>
  <c r="P702" i="1"/>
  <c r="Q702" i="1"/>
  <c r="R702" i="1"/>
  <c r="S702" i="1"/>
  <c r="T702" i="1"/>
  <c r="U702" i="1"/>
  <c r="V702" i="1"/>
  <c r="W702" i="1"/>
  <c r="X702" i="1"/>
  <c r="Y702" i="1"/>
  <c r="Z702" i="1"/>
  <c r="AA702" i="1"/>
  <c r="AB702" i="1"/>
  <c r="AC702" i="1"/>
  <c r="AD702" i="1"/>
  <c r="AE702" i="1"/>
  <c r="AF702" i="1"/>
  <c r="AG702" i="1"/>
  <c r="AH702" i="1"/>
  <c r="AI702" i="1"/>
  <c r="AJ702" i="1"/>
  <c r="AK702" i="1"/>
  <c r="AL702" i="1"/>
  <c r="AM702" i="1"/>
  <c r="A703" i="1"/>
  <c r="B703" i="1"/>
  <c r="C703" i="1"/>
  <c r="D703" i="1"/>
  <c r="E703" i="1"/>
  <c r="F703" i="1"/>
  <c r="G703" i="1"/>
  <c r="H703" i="1"/>
  <c r="I703" i="1"/>
  <c r="J703" i="1"/>
  <c r="K703" i="1"/>
  <c r="L703" i="1"/>
  <c r="M703" i="1"/>
  <c r="N703" i="1"/>
  <c r="O703" i="1"/>
  <c r="P703" i="1"/>
  <c r="Q703" i="1"/>
  <c r="R703" i="1"/>
  <c r="S703" i="1"/>
  <c r="T703" i="1"/>
  <c r="U703" i="1"/>
  <c r="V703" i="1"/>
  <c r="W703" i="1"/>
  <c r="X703" i="1"/>
  <c r="Y703" i="1"/>
  <c r="Z703" i="1"/>
  <c r="AA703" i="1"/>
  <c r="AB703" i="1"/>
  <c r="AC703" i="1"/>
  <c r="AD703" i="1"/>
  <c r="AE703" i="1"/>
  <c r="AF703" i="1"/>
  <c r="AG703" i="1"/>
  <c r="AH703" i="1"/>
  <c r="AI703" i="1"/>
  <c r="AJ703" i="1"/>
  <c r="AK703" i="1"/>
  <c r="AL703" i="1"/>
  <c r="AM703" i="1"/>
  <c r="A704" i="1"/>
  <c r="B704" i="1"/>
  <c r="C704" i="1"/>
  <c r="D704" i="1"/>
  <c r="E704" i="1"/>
  <c r="F704" i="1"/>
  <c r="G704" i="1"/>
  <c r="H704" i="1"/>
  <c r="I704" i="1"/>
  <c r="J704" i="1"/>
  <c r="K704" i="1"/>
  <c r="L704" i="1"/>
  <c r="M704" i="1"/>
  <c r="N704" i="1"/>
  <c r="O704" i="1"/>
  <c r="P704" i="1"/>
  <c r="Q704" i="1"/>
  <c r="R704" i="1"/>
  <c r="S704" i="1"/>
  <c r="T704" i="1"/>
  <c r="U704" i="1"/>
  <c r="V704" i="1"/>
  <c r="W704" i="1"/>
  <c r="X704" i="1"/>
  <c r="Y704" i="1"/>
  <c r="Z704" i="1"/>
  <c r="AA704" i="1"/>
  <c r="AB704" i="1"/>
  <c r="AC704" i="1"/>
  <c r="AD704" i="1"/>
  <c r="AE704" i="1"/>
  <c r="AF704" i="1"/>
  <c r="AG704" i="1"/>
  <c r="AH704" i="1"/>
  <c r="AI704" i="1"/>
  <c r="AJ704" i="1"/>
  <c r="AK704" i="1"/>
  <c r="AL704" i="1"/>
  <c r="AM704" i="1"/>
  <c r="A705" i="1"/>
  <c r="B705" i="1"/>
  <c r="C705" i="1"/>
  <c r="D705" i="1"/>
  <c r="E705" i="1"/>
  <c r="F705" i="1"/>
  <c r="G705" i="1"/>
  <c r="H705" i="1"/>
  <c r="I705" i="1"/>
  <c r="J705" i="1"/>
  <c r="K705" i="1"/>
  <c r="L705" i="1"/>
  <c r="M705" i="1"/>
  <c r="N705" i="1"/>
  <c r="O705" i="1"/>
  <c r="P705" i="1"/>
  <c r="Q705" i="1"/>
  <c r="R705" i="1"/>
  <c r="S705" i="1"/>
  <c r="T705" i="1"/>
  <c r="U705" i="1"/>
  <c r="V705" i="1"/>
  <c r="W705" i="1"/>
  <c r="X705" i="1"/>
  <c r="Y705" i="1"/>
  <c r="Z705" i="1"/>
  <c r="AA705" i="1"/>
  <c r="AB705" i="1"/>
  <c r="AC705" i="1"/>
  <c r="AD705" i="1"/>
  <c r="AE705" i="1"/>
  <c r="AF705" i="1"/>
  <c r="AG705" i="1"/>
  <c r="AH705" i="1"/>
  <c r="AI705" i="1"/>
  <c r="AJ705" i="1"/>
  <c r="AK705" i="1"/>
  <c r="AL705" i="1"/>
  <c r="AM705" i="1"/>
  <c r="A706" i="1"/>
  <c r="B706" i="1"/>
  <c r="C706" i="1"/>
  <c r="D706" i="1"/>
  <c r="E706" i="1"/>
  <c r="F706" i="1"/>
  <c r="G706" i="1"/>
  <c r="H706" i="1"/>
  <c r="I706" i="1"/>
  <c r="J706" i="1"/>
  <c r="K706" i="1"/>
  <c r="L706" i="1"/>
  <c r="M706" i="1"/>
  <c r="N706" i="1"/>
  <c r="O706" i="1"/>
  <c r="P706" i="1"/>
  <c r="Q706" i="1"/>
  <c r="R706" i="1"/>
  <c r="S706" i="1"/>
  <c r="T706" i="1"/>
  <c r="U706" i="1"/>
  <c r="V706" i="1"/>
  <c r="W706" i="1"/>
  <c r="X706" i="1"/>
  <c r="Y706" i="1"/>
  <c r="Z706" i="1"/>
  <c r="AA706" i="1"/>
  <c r="AB706" i="1"/>
  <c r="AC706" i="1"/>
  <c r="AD706" i="1"/>
  <c r="AE706" i="1"/>
  <c r="AF706" i="1"/>
  <c r="AG706" i="1"/>
  <c r="AH706" i="1"/>
  <c r="AI706" i="1"/>
  <c r="AJ706" i="1"/>
  <c r="AK706" i="1"/>
  <c r="AL706" i="1"/>
  <c r="AM706" i="1"/>
  <c r="A707" i="1"/>
  <c r="B707" i="1"/>
  <c r="C707" i="1"/>
  <c r="D707" i="1"/>
  <c r="E707" i="1"/>
  <c r="F707" i="1"/>
  <c r="G707" i="1"/>
  <c r="H707" i="1"/>
  <c r="I707" i="1"/>
  <c r="J707" i="1"/>
  <c r="K707" i="1"/>
  <c r="L707" i="1"/>
  <c r="M707" i="1"/>
  <c r="N707" i="1"/>
  <c r="O707" i="1"/>
  <c r="P707" i="1"/>
  <c r="Q707" i="1"/>
  <c r="R707" i="1"/>
  <c r="S707" i="1"/>
  <c r="T707" i="1"/>
  <c r="U707" i="1"/>
  <c r="V707" i="1"/>
  <c r="W707" i="1"/>
  <c r="X707" i="1"/>
  <c r="Y707" i="1"/>
  <c r="Z707" i="1"/>
  <c r="AA707" i="1"/>
  <c r="AB707" i="1"/>
  <c r="AC707" i="1"/>
  <c r="AD707" i="1"/>
  <c r="AE707" i="1"/>
  <c r="AF707" i="1"/>
  <c r="AG707" i="1"/>
  <c r="AH707" i="1"/>
  <c r="AI707" i="1"/>
  <c r="AJ707" i="1"/>
  <c r="AK707" i="1"/>
  <c r="AL707" i="1"/>
  <c r="AM707" i="1"/>
  <c r="A708" i="1"/>
  <c r="B708" i="1"/>
  <c r="C708" i="1"/>
  <c r="D708" i="1"/>
  <c r="E708" i="1"/>
  <c r="F708" i="1"/>
  <c r="G708" i="1"/>
  <c r="H708" i="1"/>
  <c r="I708" i="1"/>
  <c r="J708" i="1"/>
  <c r="K708" i="1"/>
  <c r="L708" i="1"/>
  <c r="M708" i="1"/>
  <c r="N708" i="1"/>
  <c r="O708" i="1"/>
  <c r="P708" i="1"/>
  <c r="Q708" i="1"/>
  <c r="R708" i="1"/>
  <c r="S708" i="1"/>
  <c r="T708" i="1"/>
  <c r="U708" i="1"/>
  <c r="V708" i="1"/>
  <c r="W708" i="1"/>
  <c r="X708" i="1"/>
  <c r="Y708" i="1"/>
  <c r="Z708" i="1"/>
  <c r="AA708" i="1"/>
  <c r="AB708" i="1"/>
  <c r="AC708" i="1"/>
  <c r="AD708" i="1"/>
  <c r="AE708" i="1"/>
  <c r="AF708" i="1"/>
  <c r="AG708" i="1"/>
  <c r="AH708" i="1"/>
  <c r="AI708" i="1"/>
  <c r="AJ708" i="1"/>
  <c r="AK708" i="1"/>
  <c r="AL708" i="1"/>
  <c r="AM708" i="1"/>
  <c r="A709" i="1"/>
  <c r="B709" i="1"/>
  <c r="C709" i="1"/>
  <c r="D709" i="1"/>
  <c r="E709" i="1"/>
  <c r="F709" i="1"/>
  <c r="G709" i="1"/>
  <c r="H709" i="1"/>
  <c r="I709" i="1"/>
  <c r="J709" i="1"/>
  <c r="K709" i="1"/>
  <c r="L709" i="1"/>
  <c r="M709" i="1"/>
  <c r="N709" i="1"/>
  <c r="O709" i="1"/>
  <c r="P709" i="1"/>
  <c r="Q709" i="1"/>
  <c r="R709" i="1"/>
  <c r="S709" i="1"/>
  <c r="T709" i="1"/>
  <c r="U709" i="1"/>
  <c r="V709" i="1"/>
  <c r="W709" i="1"/>
  <c r="X709" i="1"/>
  <c r="Y709" i="1"/>
  <c r="Z709" i="1"/>
  <c r="AA709" i="1"/>
  <c r="AB709" i="1"/>
  <c r="AC709" i="1"/>
  <c r="AD709" i="1"/>
  <c r="AE709" i="1"/>
  <c r="AF709" i="1"/>
  <c r="AG709" i="1"/>
  <c r="AH709" i="1"/>
  <c r="AI709" i="1"/>
  <c r="AJ709" i="1"/>
  <c r="AK709" i="1"/>
  <c r="AL709" i="1"/>
  <c r="AM709" i="1"/>
  <c r="A710" i="1"/>
  <c r="B710" i="1"/>
  <c r="C710" i="1"/>
  <c r="D710" i="1"/>
  <c r="E710" i="1"/>
  <c r="F710" i="1"/>
  <c r="G710" i="1"/>
  <c r="H710" i="1"/>
  <c r="I710" i="1"/>
  <c r="J710" i="1"/>
  <c r="K710" i="1"/>
  <c r="L710" i="1"/>
  <c r="M710" i="1"/>
  <c r="N710" i="1"/>
  <c r="O710" i="1"/>
  <c r="P710" i="1"/>
  <c r="Q710" i="1"/>
  <c r="R710" i="1"/>
  <c r="S710" i="1"/>
  <c r="T710" i="1"/>
  <c r="U710" i="1"/>
  <c r="V710" i="1"/>
  <c r="W710" i="1"/>
  <c r="X710" i="1"/>
  <c r="Y710" i="1"/>
  <c r="Z710" i="1"/>
  <c r="AA710" i="1"/>
  <c r="AB710" i="1"/>
  <c r="AC710" i="1"/>
  <c r="AD710" i="1"/>
  <c r="AE710" i="1"/>
  <c r="AF710" i="1"/>
  <c r="AG710" i="1"/>
  <c r="AH710" i="1"/>
  <c r="AI710" i="1"/>
  <c r="AJ710" i="1"/>
  <c r="AK710" i="1"/>
  <c r="AL710" i="1"/>
  <c r="AM710" i="1"/>
  <c r="A711" i="1"/>
  <c r="B711" i="1"/>
  <c r="C711" i="1"/>
  <c r="D711" i="1"/>
  <c r="E711" i="1"/>
  <c r="F711" i="1"/>
  <c r="G711" i="1"/>
  <c r="H711" i="1"/>
  <c r="I711" i="1"/>
  <c r="J711" i="1"/>
  <c r="K711" i="1"/>
  <c r="L711" i="1"/>
  <c r="M711" i="1"/>
  <c r="N711" i="1"/>
  <c r="O711" i="1"/>
  <c r="P711" i="1"/>
  <c r="Q711" i="1"/>
  <c r="R711" i="1"/>
  <c r="S711" i="1"/>
  <c r="T711" i="1"/>
  <c r="U711" i="1"/>
  <c r="V711" i="1"/>
  <c r="W711" i="1"/>
  <c r="X711" i="1"/>
  <c r="Y711" i="1"/>
  <c r="Z711" i="1"/>
  <c r="AA711" i="1"/>
  <c r="AB711" i="1"/>
  <c r="AC711" i="1"/>
  <c r="AD711" i="1"/>
  <c r="AE711" i="1"/>
  <c r="AF711" i="1"/>
  <c r="AG711" i="1"/>
  <c r="AH711" i="1"/>
  <c r="AI711" i="1"/>
  <c r="AJ711" i="1"/>
  <c r="AK711" i="1"/>
  <c r="AL711" i="1"/>
  <c r="AM711" i="1"/>
  <c r="A712" i="1"/>
  <c r="B712" i="1"/>
  <c r="C712" i="1"/>
  <c r="D712" i="1"/>
  <c r="E712" i="1"/>
  <c r="F712" i="1"/>
  <c r="G712" i="1"/>
  <c r="H712" i="1"/>
  <c r="I712" i="1"/>
  <c r="J712" i="1"/>
  <c r="K712" i="1"/>
  <c r="L712" i="1"/>
  <c r="M712" i="1"/>
  <c r="N712" i="1"/>
  <c r="O712" i="1"/>
  <c r="P712" i="1"/>
  <c r="Q712" i="1"/>
  <c r="R712" i="1"/>
  <c r="S712" i="1"/>
  <c r="T712" i="1"/>
  <c r="U712" i="1"/>
  <c r="V712" i="1"/>
  <c r="W712" i="1"/>
  <c r="X712" i="1"/>
  <c r="Y712" i="1"/>
  <c r="Z712" i="1"/>
  <c r="AA712" i="1"/>
  <c r="AB712" i="1"/>
  <c r="AC712" i="1"/>
  <c r="AD712" i="1"/>
  <c r="AE712" i="1"/>
  <c r="AF712" i="1"/>
  <c r="AG712" i="1"/>
  <c r="AH712" i="1"/>
  <c r="AI712" i="1"/>
  <c r="AJ712" i="1"/>
  <c r="AK712" i="1"/>
  <c r="AL712" i="1"/>
  <c r="AM712" i="1"/>
  <c r="A713" i="1"/>
  <c r="B713" i="1"/>
  <c r="C713" i="1"/>
  <c r="D713" i="1"/>
  <c r="E713" i="1"/>
  <c r="F713" i="1"/>
  <c r="G713" i="1"/>
  <c r="H713" i="1"/>
  <c r="I713" i="1"/>
  <c r="J713" i="1"/>
  <c r="K713" i="1"/>
  <c r="L713" i="1"/>
  <c r="M713" i="1"/>
  <c r="N713" i="1"/>
  <c r="O713" i="1"/>
  <c r="P713" i="1"/>
  <c r="Q713" i="1"/>
  <c r="R713" i="1"/>
  <c r="S713" i="1"/>
  <c r="T713" i="1"/>
  <c r="U713" i="1"/>
  <c r="V713" i="1"/>
  <c r="W713" i="1"/>
  <c r="X713" i="1"/>
  <c r="Y713" i="1"/>
  <c r="Z713" i="1"/>
  <c r="AA713" i="1"/>
  <c r="AB713" i="1"/>
  <c r="AC713" i="1"/>
  <c r="AD713" i="1"/>
  <c r="AE713" i="1"/>
  <c r="AF713" i="1"/>
  <c r="AG713" i="1"/>
  <c r="AH713" i="1"/>
  <c r="AI713" i="1"/>
  <c r="AJ713" i="1"/>
  <c r="AK713" i="1"/>
  <c r="AL713" i="1"/>
  <c r="AM713" i="1"/>
  <c r="A714" i="1"/>
  <c r="B714" i="1"/>
  <c r="C714" i="1"/>
  <c r="D714" i="1"/>
  <c r="E714" i="1"/>
  <c r="F714" i="1"/>
  <c r="G714" i="1"/>
  <c r="H714" i="1"/>
  <c r="I714" i="1"/>
  <c r="J714" i="1"/>
  <c r="K714" i="1"/>
  <c r="L714" i="1"/>
  <c r="M714" i="1"/>
  <c r="N714" i="1"/>
  <c r="O714" i="1"/>
  <c r="P714" i="1"/>
  <c r="Q714" i="1"/>
  <c r="R714" i="1"/>
  <c r="S714" i="1"/>
  <c r="T714" i="1"/>
  <c r="U714" i="1"/>
  <c r="V714" i="1"/>
  <c r="W714" i="1"/>
  <c r="X714" i="1"/>
  <c r="Y714" i="1"/>
  <c r="Z714" i="1"/>
  <c r="AA714" i="1"/>
  <c r="AB714" i="1"/>
  <c r="AC714" i="1"/>
  <c r="AD714" i="1"/>
  <c r="AE714" i="1"/>
  <c r="AF714" i="1"/>
  <c r="AG714" i="1"/>
  <c r="AH714" i="1"/>
  <c r="AI714" i="1"/>
  <c r="AJ714" i="1"/>
  <c r="AK714" i="1"/>
  <c r="AL714" i="1"/>
  <c r="AM714" i="1"/>
  <c r="A715" i="1"/>
  <c r="B715" i="1"/>
  <c r="C715" i="1"/>
  <c r="D715" i="1"/>
  <c r="E715" i="1"/>
  <c r="F715" i="1"/>
  <c r="G715" i="1"/>
  <c r="H715" i="1"/>
  <c r="I715" i="1"/>
  <c r="J715" i="1"/>
  <c r="K715" i="1"/>
  <c r="L715" i="1"/>
  <c r="M715" i="1"/>
  <c r="N715" i="1"/>
  <c r="O715" i="1"/>
  <c r="P715" i="1"/>
  <c r="Q715" i="1"/>
  <c r="R715" i="1"/>
  <c r="S715" i="1"/>
  <c r="T715" i="1"/>
  <c r="U715" i="1"/>
  <c r="V715" i="1"/>
  <c r="W715" i="1"/>
  <c r="X715" i="1"/>
  <c r="Y715" i="1"/>
  <c r="Z715" i="1"/>
  <c r="AA715" i="1"/>
  <c r="AB715" i="1"/>
  <c r="AC715" i="1"/>
  <c r="AD715" i="1"/>
  <c r="AE715" i="1"/>
  <c r="AF715" i="1"/>
  <c r="AG715" i="1"/>
  <c r="AH715" i="1"/>
  <c r="AI715" i="1"/>
  <c r="AJ715" i="1"/>
  <c r="AK715" i="1"/>
  <c r="AL715" i="1"/>
  <c r="AM715" i="1"/>
  <c r="A716" i="1"/>
  <c r="B716" i="1"/>
  <c r="C716" i="1"/>
  <c r="D716" i="1"/>
  <c r="E716" i="1"/>
  <c r="F716" i="1"/>
  <c r="G716" i="1"/>
  <c r="H716" i="1"/>
  <c r="I716" i="1"/>
  <c r="J716" i="1"/>
  <c r="K716" i="1"/>
  <c r="L716" i="1"/>
  <c r="M716" i="1"/>
  <c r="N716" i="1"/>
  <c r="O716" i="1"/>
  <c r="P716" i="1"/>
  <c r="Q716" i="1"/>
  <c r="R716" i="1"/>
  <c r="S716" i="1"/>
  <c r="T716" i="1"/>
  <c r="U716" i="1"/>
  <c r="V716" i="1"/>
  <c r="W716" i="1"/>
  <c r="X716" i="1"/>
  <c r="Y716" i="1"/>
  <c r="Z716" i="1"/>
  <c r="AA716" i="1"/>
  <c r="AB716" i="1"/>
  <c r="AC716" i="1"/>
  <c r="AD716" i="1"/>
  <c r="AE716" i="1"/>
  <c r="AF716" i="1"/>
  <c r="AG716" i="1"/>
  <c r="AH716" i="1"/>
  <c r="AI716" i="1"/>
  <c r="AJ716" i="1"/>
  <c r="AK716" i="1"/>
  <c r="AL716" i="1"/>
  <c r="AM716" i="1"/>
  <c r="A717" i="1"/>
  <c r="B717" i="1"/>
  <c r="C717" i="1"/>
  <c r="D717" i="1"/>
  <c r="E717" i="1"/>
  <c r="F717" i="1"/>
  <c r="G717" i="1"/>
  <c r="H717" i="1"/>
  <c r="I717" i="1"/>
  <c r="J717" i="1"/>
  <c r="K717" i="1"/>
  <c r="L717" i="1"/>
  <c r="M717" i="1"/>
  <c r="N717" i="1"/>
  <c r="O717" i="1"/>
  <c r="P717" i="1"/>
  <c r="Q717" i="1"/>
  <c r="R717" i="1"/>
  <c r="S717" i="1"/>
  <c r="T717" i="1"/>
  <c r="U717" i="1"/>
  <c r="V717" i="1"/>
  <c r="W717" i="1"/>
  <c r="X717" i="1"/>
  <c r="Y717" i="1"/>
  <c r="Z717" i="1"/>
  <c r="AA717" i="1"/>
  <c r="AB717" i="1"/>
  <c r="AC717" i="1"/>
  <c r="AD717" i="1"/>
  <c r="AE717" i="1"/>
  <c r="AF717" i="1"/>
  <c r="AG717" i="1"/>
  <c r="AH717" i="1"/>
  <c r="AI717" i="1"/>
  <c r="AJ717" i="1"/>
  <c r="AK717" i="1"/>
  <c r="AL717" i="1"/>
  <c r="AM717" i="1"/>
  <c r="A718" i="1"/>
  <c r="B718" i="1"/>
  <c r="C718" i="1"/>
  <c r="D718" i="1"/>
  <c r="E718" i="1"/>
  <c r="F718" i="1"/>
  <c r="G718" i="1"/>
  <c r="H718" i="1"/>
  <c r="I718" i="1"/>
  <c r="J718" i="1"/>
  <c r="K718" i="1"/>
  <c r="L718" i="1"/>
  <c r="M718" i="1"/>
  <c r="N718" i="1"/>
  <c r="O718" i="1"/>
  <c r="P718" i="1"/>
  <c r="Q718" i="1"/>
  <c r="R718" i="1"/>
  <c r="S718" i="1"/>
  <c r="T718" i="1"/>
  <c r="U718" i="1"/>
  <c r="V718" i="1"/>
  <c r="W718" i="1"/>
  <c r="X718" i="1"/>
  <c r="Y718" i="1"/>
  <c r="Z718" i="1"/>
  <c r="AA718" i="1"/>
  <c r="AB718" i="1"/>
  <c r="AC718" i="1"/>
  <c r="AD718" i="1"/>
  <c r="AE718" i="1"/>
  <c r="AF718" i="1"/>
  <c r="AG718" i="1"/>
  <c r="AH718" i="1"/>
  <c r="AI718" i="1"/>
  <c r="AJ718" i="1"/>
  <c r="AK718" i="1"/>
  <c r="AL718" i="1"/>
  <c r="AM718" i="1"/>
  <c r="A719" i="1"/>
  <c r="B719" i="1"/>
  <c r="C719" i="1"/>
  <c r="D719" i="1"/>
  <c r="E719" i="1"/>
  <c r="F719" i="1"/>
  <c r="G719" i="1"/>
  <c r="H719" i="1"/>
  <c r="I719" i="1"/>
  <c r="J719" i="1"/>
  <c r="K719" i="1"/>
  <c r="L719" i="1"/>
  <c r="M719" i="1"/>
  <c r="N719" i="1"/>
  <c r="O719" i="1"/>
  <c r="P719" i="1"/>
  <c r="Q719" i="1"/>
  <c r="R719" i="1"/>
  <c r="S719" i="1"/>
  <c r="T719" i="1"/>
  <c r="U719" i="1"/>
  <c r="V719" i="1"/>
  <c r="W719" i="1"/>
  <c r="X719" i="1"/>
  <c r="Y719" i="1"/>
  <c r="Z719" i="1"/>
  <c r="AA719" i="1"/>
  <c r="AB719" i="1"/>
  <c r="AC719" i="1"/>
  <c r="AD719" i="1"/>
  <c r="AE719" i="1"/>
  <c r="AF719" i="1"/>
  <c r="AG719" i="1"/>
  <c r="AH719" i="1"/>
  <c r="AI719" i="1"/>
  <c r="AJ719" i="1"/>
  <c r="AK719" i="1"/>
  <c r="AL719" i="1"/>
  <c r="AM719" i="1"/>
  <c r="A720" i="1"/>
  <c r="B720" i="1"/>
  <c r="C720" i="1"/>
  <c r="D720" i="1"/>
  <c r="E720" i="1"/>
  <c r="F720" i="1"/>
  <c r="G720" i="1"/>
  <c r="H720" i="1"/>
  <c r="I720" i="1"/>
  <c r="J720" i="1"/>
  <c r="K720" i="1"/>
  <c r="L720" i="1"/>
  <c r="M720" i="1"/>
  <c r="N720" i="1"/>
  <c r="O720" i="1"/>
  <c r="P720" i="1"/>
  <c r="Q720" i="1"/>
  <c r="R720" i="1"/>
  <c r="S720" i="1"/>
  <c r="T720" i="1"/>
  <c r="U720" i="1"/>
  <c r="V720" i="1"/>
  <c r="W720" i="1"/>
  <c r="X720" i="1"/>
  <c r="Y720" i="1"/>
  <c r="Z720" i="1"/>
  <c r="AA720" i="1"/>
  <c r="AB720" i="1"/>
  <c r="AC720" i="1"/>
  <c r="AD720" i="1"/>
  <c r="AE720" i="1"/>
  <c r="AF720" i="1"/>
  <c r="AG720" i="1"/>
  <c r="AH720" i="1"/>
  <c r="AI720" i="1"/>
  <c r="AJ720" i="1"/>
  <c r="AK720" i="1"/>
  <c r="AL720" i="1"/>
  <c r="AM720" i="1"/>
  <c r="A721" i="1"/>
  <c r="B721" i="1"/>
  <c r="C721" i="1"/>
  <c r="D721" i="1"/>
  <c r="E721" i="1"/>
  <c r="F721" i="1"/>
  <c r="G721" i="1"/>
  <c r="H721" i="1"/>
  <c r="I721" i="1"/>
  <c r="J721" i="1"/>
  <c r="K721" i="1"/>
  <c r="L721" i="1"/>
  <c r="M721" i="1"/>
  <c r="N721" i="1"/>
  <c r="O721" i="1"/>
  <c r="P721" i="1"/>
  <c r="Q721" i="1"/>
  <c r="R721" i="1"/>
  <c r="S721" i="1"/>
  <c r="T721" i="1"/>
  <c r="U721" i="1"/>
  <c r="V721" i="1"/>
  <c r="W721" i="1"/>
  <c r="X721" i="1"/>
  <c r="Y721" i="1"/>
  <c r="Z721" i="1"/>
  <c r="AA721" i="1"/>
  <c r="AB721" i="1"/>
  <c r="AC721" i="1"/>
  <c r="AD721" i="1"/>
  <c r="AE721" i="1"/>
  <c r="AF721" i="1"/>
  <c r="AG721" i="1"/>
  <c r="AH721" i="1"/>
  <c r="AI721" i="1"/>
  <c r="AJ721" i="1"/>
  <c r="AK721" i="1"/>
  <c r="AL721" i="1"/>
  <c r="AM721" i="1"/>
  <c r="A722" i="1"/>
  <c r="B722" i="1"/>
  <c r="C722" i="1"/>
  <c r="D722" i="1"/>
  <c r="E722" i="1"/>
  <c r="F722" i="1"/>
  <c r="G722" i="1"/>
  <c r="H722" i="1"/>
  <c r="I722" i="1"/>
  <c r="J722" i="1"/>
  <c r="K722" i="1"/>
  <c r="L722" i="1"/>
  <c r="M722" i="1"/>
  <c r="N722" i="1"/>
  <c r="O722" i="1"/>
  <c r="P722" i="1"/>
  <c r="Q722" i="1"/>
  <c r="R722" i="1"/>
  <c r="S722" i="1"/>
  <c r="T722" i="1"/>
  <c r="U722" i="1"/>
  <c r="V722" i="1"/>
  <c r="W722" i="1"/>
  <c r="X722" i="1"/>
  <c r="Y722" i="1"/>
  <c r="Z722" i="1"/>
  <c r="AA722" i="1"/>
  <c r="AB722" i="1"/>
  <c r="AC722" i="1"/>
  <c r="AD722" i="1"/>
  <c r="AE722" i="1"/>
  <c r="AF722" i="1"/>
  <c r="AG722" i="1"/>
  <c r="AH722" i="1"/>
  <c r="AI722" i="1"/>
  <c r="AJ722" i="1"/>
  <c r="AK722" i="1"/>
  <c r="AL722" i="1"/>
  <c r="AM722" i="1"/>
  <c r="A723" i="1"/>
  <c r="B723" i="1"/>
  <c r="C723" i="1"/>
  <c r="D723" i="1"/>
  <c r="E723" i="1"/>
  <c r="F723" i="1"/>
  <c r="G723" i="1"/>
  <c r="H723" i="1"/>
  <c r="I723" i="1"/>
  <c r="J723" i="1"/>
  <c r="K723" i="1"/>
  <c r="L723" i="1"/>
  <c r="M723" i="1"/>
  <c r="N723" i="1"/>
  <c r="O723" i="1"/>
  <c r="P723" i="1"/>
  <c r="Q723" i="1"/>
  <c r="R723" i="1"/>
  <c r="S723" i="1"/>
  <c r="T723" i="1"/>
  <c r="U723" i="1"/>
  <c r="V723" i="1"/>
  <c r="W723" i="1"/>
  <c r="X723" i="1"/>
  <c r="Y723" i="1"/>
  <c r="Z723" i="1"/>
  <c r="AA723" i="1"/>
  <c r="AB723" i="1"/>
  <c r="AC723" i="1"/>
  <c r="AD723" i="1"/>
  <c r="AE723" i="1"/>
  <c r="AF723" i="1"/>
  <c r="AG723" i="1"/>
  <c r="AH723" i="1"/>
  <c r="AI723" i="1"/>
  <c r="AJ723" i="1"/>
  <c r="AK723" i="1"/>
  <c r="AL723" i="1"/>
  <c r="AM723" i="1"/>
  <c r="A724" i="1"/>
  <c r="B724" i="1"/>
  <c r="C724" i="1"/>
  <c r="D724" i="1"/>
  <c r="E724" i="1"/>
  <c r="F724" i="1"/>
  <c r="G724" i="1"/>
  <c r="H724" i="1"/>
  <c r="I724" i="1"/>
  <c r="J724" i="1"/>
  <c r="K724" i="1"/>
  <c r="L724" i="1"/>
  <c r="M724" i="1"/>
  <c r="N724" i="1"/>
  <c r="O724" i="1"/>
  <c r="P724" i="1"/>
  <c r="Q724" i="1"/>
  <c r="R724" i="1"/>
  <c r="S724" i="1"/>
  <c r="T724" i="1"/>
  <c r="U724" i="1"/>
  <c r="V724" i="1"/>
  <c r="W724" i="1"/>
  <c r="X724" i="1"/>
  <c r="Y724" i="1"/>
  <c r="Z724" i="1"/>
  <c r="AA724" i="1"/>
  <c r="AB724" i="1"/>
  <c r="AC724" i="1"/>
  <c r="AD724" i="1"/>
  <c r="AE724" i="1"/>
  <c r="AF724" i="1"/>
  <c r="AG724" i="1"/>
  <c r="AH724" i="1"/>
  <c r="AI724" i="1"/>
  <c r="AJ724" i="1"/>
  <c r="AK724" i="1"/>
  <c r="AL724" i="1"/>
  <c r="AM724" i="1"/>
  <c r="A725" i="1"/>
  <c r="B725" i="1"/>
  <c r="C725" i="1"/>
  <c r="D725" i="1"/>
  <c r="E725" i="1"/>
  <c r="F725" i="1"/>
  <c r="G725" i="1"/>
  <c r="H725" i="1"/>
  <c r="I725" i="1"/>
  <c r="J725" i="1"/>
  <c r="K725" i="1"/>
  <c r="L725" i="1"/>
  <c r="M725" i="1"/>
  <c r="N725" i="1"/>
  <c r="O725" i="1"/>
  <c r="P725" i="1"/>
  <c r="Q725" i="1"/>
  <c r="R725" i="1"/>
  <c r="S725" i="1"/>
  <c r="T725" i="1"/>
  <c r="U725" i="1"/>
  <c r="V725" i="1"/>
  <c r="W725" i="1"/>
  <c r="X725" i="1"/>
  <c r="Y725" i="1"/>
  <c r="Z725" i="1"/>
  <c r="AA725" i="1"/>
  <c r="AB725" i="1"/>
  <c r="AC725" i="1"/>
  <c r="AD725" i="1"/>
  <c r="AE725" i="1"/>
  <c r="AF725" i="1"/>
  <c r="AG725" i="1"/>
  <c r="AH725" i="1"/>
  <c r="AI725" i="1"/>
  <c r="AJ725" i="1"/>
  <c r="AK725" i="1"/>
  <c r="AL725" i="1"/>
  <c r="AM725" i="1"/>
  <c r="A726" i="1"/>
  <c r="B726" i="1"/>
  <c r="C726" i="1"/>
  <c r="D726" i="1"/>
  <c r="E726" i="1"/>
  <c r="F726" i="1"/>
  <c r="G726" i="1"/>
  <c r="H726" i="1"/>
  <c r="I726" i="1"/>
  <c r="J726" i="1"/>
  <c r="K726" i="1"/>
  <c r="L726" i="1"/>
  <c r="M726" i="1"/>
  <c r="N726" i="1"/>
  <c r="O726" i="1"/>
  <c r="P726" i="1"/>
  <c r="Q726" i="1"/>
  <c r="R726" i="1"/>
  <c r="S726" i="1"/>
  <c r="T726" i="1"/>
  <c r="U726" i="1"/>
  <c r="V726" i="1"/>
  <c r="W726" i="1"/>
  <c r="X726" i="1"/>
  <c r="Y726" i="1"/>
  <c r="Z726" i="1"/>
  <c r="AA726" i="1"/>
  <c r="AB726" i="1"/>
  <c r="AC726" i="1"/>
  <c r="AD726" i="1"/>
  <c r="AE726" i="1"/>
  <c r="AF726" i="1"/>
  <c r="AG726" i="1"/>
  <c r="AH726" i="1"/>
  <c r="AI726" i="1"/>
  <c r="AJ726" i="1"/>
  <c r="AK726" i="1"/>
  <c r="AL726" i="1"/>
  <c r="AM726" i="1"/>
  <c r="A727" i="1"/>
  <c r="B727" i="1"/>
  <c r="C727" i="1"/>
  <c r="D727" i="1"/>
  <c r="E727" i="1"/>
  <c r="F727" i="1"/>
  <c r="G727" i="1"/>
  <c r="H727" i="1"/>
  <c r="I727" i="1"/>
  <c r="J727" i="1"/>
  <c r="K727" i="1"/>
  <c r="L727" i="1"/>
  <c r="M727" i="1"/>
  <c r="N727" i="1"/>
  <c r="O727" i="1"/>
  <c r="P727" i="1"/>
  <c r="Q727" i="1"/>
  <c r="R727" i="1"/>
  <c r="S727" i="1"/>
  <c r="T727" i="1"/>
  <c r="U727" i="1"/>
  <c r="V727" i="1"/>
  <c r="W727" i="1"/>
  <c r="X727" i="1"/>
  <c r="Y727" i="1"/>
  <c r="Z727" i="1"/>
  <c r="AA727" i="1"/>
  <c r="AB727" i="1"/>
  <c r="AC727" i="1"/>
  <c r="AD727" i="1"/>
  <c r="AE727" i="1"/>
  <c r="AF727" i="1"/>
  <c r="AG727" i="1"/>
  <c r="AH727" i="1"/>
  <c r="AI727" i="1"/>
  <c r="AJ727" i="1"/>
  <c r="AK727" i="1"/>
  <c r="AL727" i="1"/>
  <c r="AM727" i="1"/>
  <c r="A728" i="1"/>
  <c r="B728" i="1"/>
  <c r="C728" i="1"/>
  <c r="D728" i="1"/>
  <c r="E728" i="1"/>
  <c r="F728" i="1"/>
  <c r="G728" i="1"/>
  <c r="H728" i="1"/>
  <c r="I728" i="1"/>
  <c r="J728" i="1"/>
  <c r="K728" i="1"/>
  <c r="L728" i="1"/>
  <c r="M728" i="1"/>
  <c r="N728" i="1"/>
  <c r="O728" i="1"/>
  <c r="P728" i="1"/>
  <c r="Q728" i="1"/>
  <c r="R728" i="1"/>
  <c r="S728" i="1"/>
  <c r="T728" i="1"/>
  <c r="U728" i="1"/>
  <c r="V728" i="1"/>
  <c r="W728" i="1"/>
  <c r="X728" i="1"/>
  <c r="Y728" i="1"/>
  <c r="Z728" i="1"/>
  <c r="AA728" i="1"/>
  <c r="AB728" i="1"/>
  <c r="AC728" i="1"/>
  <c r="AD728" i="1"/>
  <c r="AE728" i="1"/>
  <c r="AF728" i="1"/>
  <c r="AG728" i="1"/>
  <c r="AH728" i="1"/>
  <c r="AI728" i="1"/>
  <c r="AJ728" i="1"/>
  <c r="AK728" i="1"/>
  <c r="AL728" i="1"/>
  <c r="AM728" i="1"/>
  <c r="A729" i="1"/>
  <c r="B729" i="1"/>
  <c r="C729" i="1"/>
  <c r="D729" i="1"/>
  <c r="E729" i="1"/>
  <c r="F729" i="1"/>
  <c r="G729" i="1"/>
  <c r="H729" i="1"/>
  <c r="I729" i="1"/>
  <c r="J729" i="1"/>
  <c r="K729" i="1"/>
  <c r="L729" i="1"/>
  <c r="M729" i="1"/>
  <c r="N729" i="1"/>
  <c r="O729" i="1"/>
  <c r="P729" i="1"/>
  <c r="Q729" i="1"/>
  <c r="R729" i="1"/>
  <c r="S729" i="1"/>
  <c r="T729" i="1"/>
  <c r="U729" i="1"/>
  <c r="V729" i="1"/>
  <c r="W729" i="1"/>
  <c r="X729" i="1"/>
  <c r="Y729" i="1"/>
  <c r="Z729" i="1"/>
  <c r="AA729" i="1"/>
  <c r="AB729" i="1"/>
  <c r="AC729" i="1"/>
  <c r="AD729" i="1"/>
  <c r="AE729" i="1"/>
  <c r="AF729" i="1"/>
  <c r="AG729" i="1"/>
  <c r="AH729" i="1"/>
  <c r="AI729" i="1"/>
  <c r="AJ729" i="1"/>
  <c r="AK729" i="1"/>
  <c r="AL729" i="1"/>
  <c r="AM729" i="1"/>
  <c r="A730" i="1"/>
  <c r="B730" i="1"/>
  <c r="C730" i="1"/>
  <c r="D730" i="1"/>
  <c r="E730" i="1"/>
  <c r="F730" i="1"/>
  <c r="G730" i="1"/>
  <c r="H730" i="1"/>
  <c r="I730" i="1"/>
  <c r="J730" i="1"/>
  <c r="K730" i="1"/>
  <c r="L730" i="1"/>
  <c r="M730" i="1"/>
  <c r="N730" i="1"/>
  <c r="O730" i="1"/>
  <c r="P730" i="1"/>
  <c r="Q730" i="1"/>
  <c r="R730" i="1"/>
  <c r="S730" i="1"/>
  <c r="T730" i="1"/>
  <c r="U730" i="1"/>
  <c r="V730" i="1"/>
  <c r="W730" i="1"/>
  <c r="X730" i="1"/>
  <c r="Y730" i="1"/>
  <c r="Z730" i="1"/>
  <c r="AA730" i="1"/>
  <c r="AB730" i="1"/>
  <c r="AC730" i="1"/>
  <c r="AD730" i="1"/>
  <c r="AE730" i="1"/>
  <c r="AF730" i="1"/>
  <c r="AG730" i="1"/>
  <c r="AH730" i="1"/>
  <c r="AI730" i="1"/>
  <c r="AJ730" i="1"/>
  <c r="AK730" i="1"/>
  <c r="AL730" i="1"/>
  <c r="AM730" i="1"/>
  <c r="A731" i="1"/>
  <c r="B731" i="1"/>
  <c r="C731" i="1"/>
  <c r="D731" i="1"/>
  <c r="E731" i="1"/>
  <c r="F731" i="1"/>
  <c r="G731" i="1"/>
  <c r="H731" i="1"/>
  <c r="I731" i="1"/>
  <c r="J731" i="1"/>
  <c r="K731" i="1"/>
  <c r="L731" i="1"/>
  <c r="M731" i="1"/>
  <c r="N731" i="1"/>
  <c r="O731" i="1"/>
  <c r="P731" i="1"/>
  <c r="Q731" i="1"/>
  <c r="R731" i="1"/>
  <c r="S731" i="1"/>
  <c r="T731" i="1"/>
  <c r="U731" i="1"/>
  <c r="V731" i="1"/>
  <c r="W731" i="1"/>
  <c r="X731" i="1"/>
  <c r="Y731" i="1"/>
  <c r="Z731" i="1"/>
  <c r="AA731" i="1"/>
  <c r="AB731" i="1"/>
  <c r="AC731" i="1"/>
  <c r="AD731" i="1"/>
  <c r="AE731" i="1"/>
  <c r="AF731" i="1"/>
  <c r="AG731" i="1"/>
  <c r="AH731" i="1"/>
  <c r="AI731" i="1"/>
  <c r="AJ731" i="1"/>
  <c r="AK731" i="1"/>
  <c r="AL731" i="1"/>
  <c r="AM731" i="1"/>
  <c r="A732" i="1"/>
  <c r="B732" i="1"/>
  <c r="C732" i="1"/>
  <c r="D732" i="1"/>
  <c r="E732" i="1"/>
  <c r="F732" i="1"/>
  <c r="G732" i="1"/>
  <c r="H732" i="1"/>
  <c r="I732" i="1"/>
  <c r="J732" i="1"/>
  <c r="K732" i="1"/>
  <c r="L732" i="1"/>
  <c r="M732" i="1"/>
  <c r="N732" i="1"/>
  <c r="O732" i="1"/>
  <c r="P732" i="1"/>
  <c r="Q732" i="1"/>
  <c r="R732" i="1"/>
  <c r="S732" i="1"/>
  <c r="T732" i="1"/>
  <c r="U732" i="1"/>
  <c r="V732" i="1"/>
  <c r="W732" i="1"/>
  <c r="X732" i="1"/>
  <c r="Y732" i="1"/>
  <c r="Z732" i="1"/>
  <c r="AA732" i="1"/>
  <c r="AB732" i="1"/>
  <c r="AC732" i="1"/>
  <c r="AD732" i="1"/>
  <c r="AE732" i="1"/>
  <c r="AF732" i="1"/>
  <c r="AG732" i="1"/>
  <c r="AH732" i="1"/>
  <c r="AI732" i="1"/>
  <c r="AJ732" i="1"/>
  <c r="AK732" i="1"/>
  <c r="AL732" i="1"/>
  <c r="AM732" i="1"/>
  <c r="A733" i="1"/>
  <c r="B733" i="1"/>
  <c r="C733" i="1"/>
  <c r="D733" i="1"/>
  <c r="E733" i="1"/>
  <c r="F733" i="1"/>
  <c r="G733" i="1"/>
  <c r="H733" i="1"/>
  <c r="I733" i="1"/>
  <c r="J733" i="1"/>
  <c r="K733" i="1"/>
  <c r="L733" i="1"/>
  <c r="M733" i="1"/>
  <c r="N733" i="1"/>
  <c r="O733" i="1"/>
  <c r="P733" i="1"/>
  <c r="Q733" i="1"/>
  <c r="R733" i="1"/>
  <c r="S733" i="1"/>
  <c r="T733" i="1"/>
  <c r="U733" i="1"/>
  <c r="V733" i="1"/>
  <c r="W733" i="1"/>
  <c r="X733" i="1"/>
  <c r="Y733" i="1"/>
  <c r="Z733" i="1"/>
  <c r="AA733" i="1"/>
  <c r="AB733" i="1"/>
  <c r="AC733" i="1"/>
  <c r="AD733" i="1"/>
  <c r="AE733" i="1"/>
  <c r="AF733" i="1"/>
  <c r="AG733" i="1"/>
  <c r="AH733" i="1"/>
  <c r="AI733" i="1"/>
  <c r="AJ733" i="1"/>
  <c r="AK733" i="1"/>
  <c r="AL733" i="1"/>
  <c r="AM733" i="1"/>
  <c r="A734" i="1"/>
  <c r="B734" i="1"/>
  <c r="C734" i="1"/>
  <c r="D734" i="1"/>
  <c r="E734" i="1"/>
  <c r="F734" i="1"/>
  <c r="G734" i="1"/>
  <c r="H734" i="1"/>
  <c r="I734" i="1"/>
  <c r="J734" i="1"/>
  <c r="K734" i="1"/>
  <c r="L734" i="1"/>
  <c r="M734" i="1"/>
  <c r="N734" i="1"/>
  <c r="O734" i="1"/>
  <c r="P734" i="1"/>
  <c r="Q734" i="1"/>
  <c r="R734" i="1"/>
  <c r="S734" i="1"/>
  <c r="T734" i="1"/>
  <c r="U734" i="1"/>
  <c r="V734" i="1"/>
  <c r="W734" i="1"/>
  <c r="X734" i="1"/>
  <c r="Y734" i="1"/>
  <c r="Z734" i="1"/>
  <c r="AA734" i="1"/>
  <c r="AB734" i="1"/>
  <c r="AC734" i="1"/>
  <c r="AD734" i="1"/>
  <c r="AE734" i="1"/>
  <c r="AF734" i="1"/>
  <c r="AG734" i="1"/>
  <c r="AH734" i="1"/>
  <c r="AI734" i="1"/>
  <c r="AJ734" i="1"/>
  <c r="AK734" i="1"/>
  <c r="AL734" i="1"/>
  <c r="AM734" i="1"/>
  <c r="A735" i="1"/>
  <c r="B735" i="1"/>
  <c r="C735" i="1"/>
  <c r="D735" i="1"/>
  <c r="E735" i="1"/>
  <c r="F735" i="1"/>
  <c r="G735" i="1"/>
  <c r="H735" i="1"/>
  <c r="I735" i="1"/>
  <c r="J735" i="1"/>
  <c r="K735" i="1"/>
  <c r="L735" i="1"/>
  <c r="M735" i="1"/>
  <c r="N735" i="1"/>
  <c r="O735" i="1"/>
  <c r="P735" i="1"/>
  <c r="Q735" i="1"/>
  <c r="R735" i="1"/>
  <c r="S735" i="1"/>
  <c r="T735" i="1"/>
  <c r="U735" i="1"/>
  <c r="V735" i="1"/>
  <c r="W735" i="1"/>
  <c r="X735" i="1"/>
  <c r="Y735" i="1"/>
  <c r="Z735" i="1"/>
  <c r="AA735" i="1"/>
  <c r="AB735" i="1"/>
  <c r="AC735" i="1"/>
  <c r="AD735" i="1"/>
  <c r="AE735" i="1"/>
  <c r="AF735" i="1"/>
  <c r="AG735" i="1"/>
  <c r="AH735" i="1"/>
  <c r="AI735" i="1"/>
  <c r="AJ735" i="1"/>
  <c r="AK735" i="1"/>
  <c r="AL735" i="1"/>
  <c r="AM735" i="1"/>
  <c r="A736" i="1"/>
  <c r="B736" i="1"/>
  <c r="C736" i="1"/>
  <c r="D736" i="1"/>
  <c r="E736" i="1"/>
  <c r="F736" i="1"/>
  <c r="G736" i="1"/>
  <c r="H736" i="1"/>
  <c r="I736" i="1"/>
  <c r="J736" i="1"/>
  <c r="K736" i="1"/>
  <c r="L736" i="1"/>
  <c r="M736" i="1"/>
  <c r="N736" i="1"/>
  <c r="O736" i="1"/>
  <c r="P736" i="1"/>
  <c r="Q736" i="1"/>
  <c r="R736" i="1"/>
  <c r="S736" i="1"/>
  <c r="T736" i="1"/>
  <c r="U736" i="1"/>
  <c r="V736" i="1"/>
  <c r="W736" i="1"/>
  <c r="X736" i="1"/>
  <c r="Y736" i="1"/>
  <c r="Z736" i="1"/>
  <c r="AA736" i="1"/>
  <c r="AB736" i="1"/>
  <c r="AC736" i="1"/>
  <c r="AD736" i="1"/>
  <c r="AE736" i="1"/>
  <c r="AF736" i="1"/>
  <c r="AG736" i="1"/>
  <c r="AH736" i="1"/>
  <c r="AI736" i="1"/>
  <c r="AJ736" i="1"/>
  <c r="AK736" i="1"/>
  <c r="AL736" i="1"/>
  <c r="AM736" i="1"/>
  <c r="A737" i="1"/>
  <c r="B737" i="1"/>
  <c r="C737" i="1"/>
  <c r="D737" i="1"/>
  <c r="E737" i="1"/>
  <c r="F737" i="1"/>
  <c r="G737" i="1"/>
  <c r="H737" i="1"/>
  <c r="I737" i="1"/>
  <c r="J737" i="1"/>
  <c r="K737" i="1"/>
  <c r="L737" i="1"/>
  <c r="M737" i="1"/>
  <c r="N737" i="1"/>
  <c r="O737" i="1"/>
  <c r="P737" i="1"/>
  <c r="Q737" i="1"/>
  <c r="R737" i="1"/>
  <c r="S737" i="1"/>
  <c r="T737" i="1"/>
  <c r="U737" i="1"/>
  <c r="V737" i="1"/>
  <c r="W737" i="1"/>
  <c r="X737" i="1"/>
  <c r="Y737" i="1"/>
  <c r="Z737" i="1"/>
  <c r="AA737" i="1"/>
  <c r="AB737" i="1"/>
  <c r="AC737" i="1"/>
  <c r="AD737" i="1"/>
  <c r="AE737" i="1"/>
  <c r="AF737" i="1"/>
  <c r="AG737" i="1"/>
  <c r="AH737" i="1"/>
  <c r="AI737" i="1"/>
  <c r="AJ737" i="1"/>
  <c r="AK737" i="1"/>
  <c r="AL737" i="1"/>
  <c r="AM737" i="1"/>
  <c r="A738" i="1"/>
  <c r="B738" i="1"/>
  <c r="C738" i="1"/>
  <c r="D738" i="1"/>
  <c r="E738" i="1"/>
  <c r="F738" i="1"/>
  <c r="G738" i="1"/>
  <c r="H738" i="1"/>
  <c r="I738" i="1"/>
  <c r="J738" i="1"/>
  <c r="K738" i="1"/>
  <c r="L738" i="1"/>
  <c r="M738" i="1"/>
  <c r="N738" i="1"/>
  <c r="O738" i="1"/>
  <c r="P738" i="1"/>
  <c r="Q738" i="1"/>
  <c r="R738" i="1"/>
  <c r="S738" i="1"/>
  <c r="T738" i="1"/>
  <c r="U738" i="1"/>
  <c r="V738" i="1"/>
  <c r="W738" i="1"/>
  <c r="X738" i="1"/>
  <c r="Y738" i="1"/>
  <c r="Z738" i="1"/>
  <c r="AA738" i="1"/>
  <c r="AB738" i="1"/>
  <c r="AC738" i="1"/>
  <c r="AD738" i="1"/>
  <c r="AE738" i="1"/>
  <c r="AF738" i="1"/>
  <c r="AG738" i="1"/>
  <c r="AH738" i="1"/>
  <c r="AI738" i="1"/>
  <c r="AJ738" i="1"/>
  <c r="AK738" i="1"/>
  <c r="AL738" i="1"/>
  <c r="AM738" i="1"/>
  <c r="A739" i="1"/>
  <c r="B739" i="1"/>
  <c r="C739" i="1"/>
  <c r="D739" i="1"/>
  <c r="E739" i="1"/>
  <c r="F739" i="1"/>
  <c r="G739" i="1"/>
  <c r="H739" i="1"/>
  <c r="I739" i="1"/>
  <c r="J739" i="1"/>
  <c r="K739" i="1"/>
  <c r="L739" i="1"/>
  <c r="M739" i="1"/>
  <c r="N739" i="1"/>
  <c r="O739" i="1"/>
  <c r="P739" i="1"/>
  <c r="Q739" i="1"/>
  <c r="R739" i="1"/>
  <c r="S739" i="1"/>
  <c r="T739" i="1"/>
  <c r="U739" i="1"/>
  <c r="V739" i="1"/>
  <c r="W739" i="1"/>
  <c r="X739" i="1"/>
  <c r="Y739" i="1"/>
  <c r="Z739" i="1"/>
  <c r="AA739" i="1"/>
  <c r="AB739" i="1"/>
  <c r="AC739" i="1"/>
  <c r="AD739" i="1"/>
  <c r="AE739" i="1"/>
  <c r="AF739" i="1"/>
  <c r="AG739" i="1"/>
  <c r="AH739" i="1"/>
  <c r="AI739" i="1"/>
  <c r="AJ739" i="1"/>
  <c r="AK739" i="1"/>
  <c r="AL739" i="1"/>
  <c r="AM739" i="1"/>
  <c r="A740" i="1"/>
  <c r="B740" i="1"/>
  <c r="C740" i="1"/>
  <c r="D740" i="1"/>
  <c r="E740" i="1"/>
  <c r="F740" i="1"/>
  <c r="G740" i="1"/>
  <c r="H740" i="1"/>
  <c r="I740" i="1"/>
  <c r="J740" i="1"/>
  <c r="K740" i="1"/>
  <c r="L740" i="1"/>
  <c r="M740" i="1"/>
  <c r="N740" i="1"/>
  <c r="O740" i="1"/>
  <c r="P740" i="1"/>
  <c r="Q740" i="1"/>
  <c r="R740" i="1"/>
  <c r="S740" i="1"/>
  <c r="T740" i="1"/>
  <c r="U740" i="1"/>
  <c r="V740" i="1"/>
  <c r="W740" i="1"/>
  <c r="X740" i="1"/>
  <c r="Y740" i="1"/>
  <c r="Z740" i="1"/>
  <c r="AA740" i="1"/>
  <c r="AB740" i="1"/>
  <c r="AC740" i="1"/>
  <c r="AD740" i="1"/>
  <c r="AE740" i="1"/>
  <c r="AF740" i="1"/>
  <c r="AG740" i="1"/>
  <c r="AH740" i="1"/>
  <c r="AI740" i="1"/>
  <c r="AJ740" i="1"/>
  <c r="AK740" i="1"/>
  <c r="AL740" i="1"/>
  <c r="AM740" i="1"/>
  <c r="A741" i="1"/>
  <c r="B741" i="1"/>
  <c r="C741" i="1"/>
  <c r="D741" i="1"/>
  <c r="E741" i="1"/>
  <c r="F741" i="1"/>
  <c r="G741" i="1"/>
  <c r="H741" i="1"/>
  <c r="I741" i="1"/>
  <c r="J741" i="1"/>
  <c r="K741" i="1"/>
  <c r="L741" i="1"/>
  <c r="M741" i="1"/>
  <c r="N741" i="1"/>
  <c r="O741" i="1"/>
  <c r="P741" i="1"/>
  <c r="Q741" i="1"/>
  <c r="R741" i="1"/>
  <c r="S741" i="1"/>
  <c r="T741" i="1"/>
  <c r="U741" i="1"/>
  <c r="V741" i="1"/>
  <c r="W741" i="1"/>
  <c r="X741" i="1"/>
  <c r="Y741" i="1"/>
  <c r="Z741" i="1"/>
  <c r="AA741" i="1"/>
  <c r="AB741" i="1"/>
  <c r="AC741" i="1"/>
  <c r="AD741" i="1"/>
  <c r="AE741" i="1"/>
  <c r="AF741" i="1"/>
  <c r="AG741" i="1"/>
  <c r="AH741" i="1"/>
  <c r="AI741" i="1"/>
  <c r="AJ741" i="1"/>
  <c r="AK741" i="1"/>
  <c r="AL741" i="1"/>
  <c r="AM741" i="1"/>
  <c r="A742" i="1"/>
  <c r="B742" i="1"/>
  <c r="C742" i="1"/>
  <c r="D742" i="1"/>
  <c r="E742" i="1"/>
  <c r="F742" i="1"/>
  <c r="G742" i="1"/>
  <c r="H742" i="1"/>
  <c r="I742" i="1"/>
  <c r="J742" i="1"/>
  <c r="K742" i="1"/>
  <c r="L742" i="1"/>
  <c r="M742" i="1"/>
  <c r="N742" i="1"/>
  <c r="O742" i="1"/>
  <c r="P742" i="1"/>
  <c r="Q742" i="1"/>
  <c r="R742" i="1"/>
  <c r="S742" i="1"/>
  <c r="T742" i="1"/>
  <c r="U742" i="1"/>
  <c r="V742" i="1"/>
  <c r="W742" i="1"/>
  <c r="X742" i="1"/>
  <c r="Y742" i="1"/>
  <c r="Z742" i="1"/>
  <c r="AA742" i="1"/>
  <c r="AB742" i="1"/>
  <c r="AC742" i="1"/>
  <c r="AD742" i="1"/>
  <c r="AE742" i="1"/>
  <c r="AF742" i="1"/>
  <c r="AG742" i="1"/>
  <c r="AH742" i="1"/>
  <c r="AI742" i="1"/>
  <c r="AJ742" i="1"/>
  <c r="AK742" i="1"/>
  <c r="AL742" i="1"/>
  <c r="AM742" i="1"/>
  <c r="A743" i="1"/>
  <c r="B743" i="1"/>
  <c r="C743" i="1"/>
  <c r="D743" i="1"/>
  <c r="E743" i="1"/>
  <c r="F743" i="1"/>
  <c r="G743" i="1"/>
  <c r="H743" i="1"/>
  <c r="I743" i="1"/>
  <c r="J743" i="1"/>
  <c r="K743" i="1"/>
  <c r="L743" i="1"/>
  <c r="M743" i="1"/>
  <c r="N743" i="1"/>
  <c r="O743" i="1"/>
  <c r="P743" i="1"/>
  <c r="Q743" i="1"/>
  <c r="R743" i="1"/>
  <c r="S743" i="1"/>
  <c r="T743" i="1"/>
  <c r="U743" i="1"/>
  <c r="V743" i="1"/>
  <c r="W743" i="1"/>
  <c r="X743" i="1"/>
  <c r="Y743" i="1"/>
  <c r="Z743" i="1"/>
  <c r="AA743" i="1"/>
  <c r="AB743" i="1"/>
  <c r="AC743" i="1"/>
  <c r="AD743" i="1"/>
  <c r="AE743" i="1"/>
  <c r="AF743" i="1"/>
  <c r="AG743" i="1"/>
  <c r="AH743" i="1"/>
  <c r="AI743" i="1"/>
  <c r="AJ743" i="1"/>
  <c r="AK743" i="1"/>
  <c r="AL743" i="1"/>
  <c r="AM743" i="1"/>
  <c r="A744" i="1"/>
  <c r="B744" i="1"/>
  <c r="C744" i="1"/>
  <c r="D744" i="1"/>
  <c r="E744" i="1"/>
  <c r="F744" i="1"/>
  <c r="G744" i="1"/>
  <c r="H744" i="1"/>
  <c r="I744" i="1"/>
  <c r="J744" i="1"/>
  <c r="K744" i="1"/>
  <c r="L744" i="1"/>
  <c r="M744" i="1"/>
  <c r="N744" i="1"/>
  <c r="O744" i="1"/>
  <c r="P744" i="1"/>
  <c r="Q744" i="1"/>
  <c r="R744" i="1"/>
  <c r="S744" i="1"/>
  <c r="T744" i="1"/>
  <c r="U744" i="1"/>
  <c r="V744" i="1"/>
  <c r="W744" i="1"/>
  <c r="X744" i="1"/>
  <c r="Y744" i="1"/>
  <c r="Z744" i="1"/>
  <c r="AA744" i="1"/>
  <c r="AB744" i="1"/>
  <c r="AC744" i="1"/>
  <c r="AD744" i="1"/>
  <c r="AE744" i="1"/>
  <c r="AF744" i="1"/>
  <c r="AG744" i="1"/>
  <c r="AH744" i="1"/>
  <c r="AI744" i="1"/>
  <c r="AJ744" i="1"/>
  <c r="AK744" i="1"/>
  <c r="AL744" i="1"/>
  <c r="AM744" i="1"/>
  <c r="A745" i="1"/>
  <c r="B745" i="1"/>
  <c r="C745" i="1"/>
  <c r="D745" i="1"/>
  <c r="E745" i="1"/>
  <c r="F745" i="1"/>
  <c r="G745" i="1"/>
  <c r="H745" i="1"/>
  <c r="I745" i="1"/>
  <c r="J745" i="1"/>
  <c r="K745" i="1"/>
  <c r="L745" i="1"/>
  <c r="M745" i="1"/>
  <c r="N745" i="1"/>
  <c r="O745" i="1"/>
  <c r="P745" i="1"/>
  <c r="Q745" i="1"/>
  <c r="R745" i="1"/>
  <c r="S745" i="1"/>
  <c r="T745" i="1"/>
  <c r="U745" i="1"/>
  <c r="V745" i="1"/>
  <c r="W745" i="1"/>
  <c r="X745" i="1"/>
  <c r="Y745" i="1"/>
  <c r="Z745" i="1"/>
  <c r="AA745" i="1"/>
  <c r="AB745" i="1"/>
  <c r="AC745" i="1"/>
  <c r="AD745" i="1"/>
  <c r="AE745" i="1"/>
  <c r="AF745" i="1"/>
  <c r="AG745" i="1"/>
  <c r="AH745" i="1"/>
  <c r="AI745" i="1"/>
  <c r="AJ745" i="1"/>
  <c r="AK745" i="1"/>
  <c r="AL745" i="1"/>
  <c r="AM745" i="1"/>
  <c r="A746" i="1"/>
  <c r="B746" i="1"/>
  <c r="C746" i="1"/>
  <c r="D746" i="1"/>
  <c r="E746" i="1"/>
  <c r="F746" i="1"/>
  <c r="G746" i="1"/>
  <c r="H746" i="1"/>
  <c r="I746" i="1"/>
  <c r="J746" i="1"/>
  <c r="K746" i="1"/>
  <c r="L746" i="1"/>
  <c r="M746" i="1"/>
  <c r="N746" i="1"/>
  <c r="O746" i="1"/>
  <c r="P746" i="1"/>
  <c r="Q746" i="1"/>
  <c r="R746" i="1"/>
  <c r="S746" i="1"/>
  <c r="T746" i="1"/>
  <c r="U746" i="1"/>
  <c r="V746" i="1"/>
  <c r="W746" i="1"/>
  <c r="X746" i="1"/>
  <c r="Y746" i="1"/>
  <c r="Z746" i="1"/>
  <c r="AA746" i="1"/>
  <c r="AB746" i="1"/>
  <c r="AC746" i="1"/>
  <c r="AD746" i="1"/>
  <c r="AE746" i="1"/>
  <c r="AF746" i="1"/>
  <c r="AG746" i="1"/>
  <c r="AH746" i="1"/>
  <c r="AI746" i="1"/>
  <c r="AJ746" i="1"/>
  <c r="AK746" i="1"/>
  <c r="AL746" i="1"/>
  <c r="AM746" i="1"/>
  <c r="A747" i="1"/>
  <c r="B747" i="1"/>
  <c r="C747" i="1"/>
  <c r="D747" i="1"/>
  <c r="E747" i="1"/>
  <c r="F747" i="1"/>
  <c r="G747" i="1"/>
  <c r="H747" i="1"/>
  <c r="I747" i="1"/>
  <c r="J747" i="1"/>
  <c r="K747" i="1"/>
  <c r="L747" i="1"/>
  <c r="M747" i="1"/>
  <c r="N747" i="1"/>
  <c r="O747" i="1"/>
  <c r="P747" i="1"/>
  <c r="Q747" i="1"/>
  <c r="R747" i="1"/>
  <c r="S747" i="1"/>
  <c r="T747" i="1"/>
  <c r="U747" i="1"/>
  <c r="V747" i="1"/>
  <c r="W747" i="1"/>
  <c r="X747" i="1"/>
  <c r="Y747" i="1"/>
  <c r="Z747" i="1"/>
  <c r="AA747" i="1"/>
  <c r="AB747" i="1"/>
  <c r="AC747" i="1"/>
  <c r="AD747" i="1"/>
  <c r="AE747" i="1"/>
  <c r="AF747" i="1"/>
  <c r="AG747" i="1"/>
  <c r="AH747" i="1"/>
  <c r="AI747" i="1"/>
  <c r="AJ747" i="1"/>
  <c r="AK747" i="1"/>
  <c r="AL747" i="1"/>
  <c r="AM747" i="1"/>
  <c r="A748" i="1"/>
  <c r="B748" i="1"/>
  <c r="C748" i="1"/>
  <c r="D748" i="1"/>
  <c r="E748" i="1"/>
  <c r="F748" i="1"/>
  <c r="G748" i="1"/>
  <c r="H748" i="1"/>
  <c r="I748" i="1"/>
  <c r="J748" i="1"/>
  <c r="K748" i="1"/>
  <c r="L748" i="1"/>
  <c r="M748" i="1"/>
  <c r="N748" i="1"/>
  <c r="O748" i="1"/>
  <c r="P748" i="1"/>
  <c r="Q748" i="1"/>
  <c r="R748" i="1"/>
  <c r="S748" i="1"/>
  <c r="T748" i="1"/>
  <c r="U748" i="1"/>
  <c r="V748" i="1"/>
  <c r="W748" i="1"/>
  <c r="X748" i="1"/>
  <c r="Y748" i="1"/>
  <c r="Z748" i="1"/>
  <c r="AA748" i="1"/>
  <c r="AB748" i="1"/>
  <c r="AC748" i="1"/>
  <c r="AD748" i="1"/>
  <c r="AE748" i="1"/>
  <c r="AF748" i="1"/>
  <c r="AG748" i="1"/>
  <c r="AH748" i="1"/>
  <c r="AI748" i="1"/>
  <c r="AJ748" i="1"/>
  <c r="AK748" i="1"/>
  <c r="AL748" i="1"/>
  <c r="AM748" i="1"/>
  <c r="A749" i="1"/>
  <c r="B749" i="1"/>
  <c r="C749" i="1"/>
  <c r="D749" i="1"/>
  <c r="E749" i="1"/>
  <c r="F749" i="1"/>
  <c r="G749" i="1"/>
  <c r="H749" i="1"/>
  <c r="I749" i="1"/>
  <c r="J749" i="1"/>
  <c r="K749" i="1"/>
  <c r="L749" i="1"/>
  <c r="M749" i="1"/>
  <c r="N749" i="1"/>
  <c r="O749" i="1"/>
  <c r="P749" i="1"/>
  <c r="Q749" i="1"/>
  <c r="R749" i="1"/>
  <c r="S749" i="1"/>
  <c r="T749" i="1"/>
  <c r="U749" i="1"/>
  <c r="V749" i="1"/>
  <c r="W749" i="1"/>
  <c r="X749" i="1"/>
  <c r="Y749" i="1"/>
  <c r="Z749" i="1"/>
  <c r="AA749" i="1"/>
  <c r="AB749" i="1"/>
  <c r="AC749" i="1"/>
  <c r="AD749" i="1"/>
  <c r="AE749" i="1"/>
  <c r="AF749" i="1"/>
  <c r="AG749" i="1"/>
  <c r="AH749" i="1"/>
  <c r="AI749" i="1"/>
  <c r="AJ749" i="1"/>
  <c r="AK749" i="1"/>
  <c r="AL749" i="1"/>
  <c r="AM749" i="1"/>
  <c r="A750" i="1"/>
  <c r="B750" i="1"/>
  <c r="C750" i="1"/>
  <c r="D750" i="1"/>
  <c r="E750" i="1"/>
  <c r="F750" i="1"/>
  <c r="G750" i="1"/>
  <c r="H750" i="1"/>
  <c r="I750" i="1"/>
  <c r="J750" i="1"/>
  <c r="K750" i="1"/>
  <c r="L750" i="1"/>
  <c r="M750" i="1"/>
  <c r="N750" i="1"/>
  <c r="O750" i="1"/>
  <c r="P750" i="1"/>
  <c r="Q750" i="1"/>
  <c r="R750" i="1"/>
  <c r="S750" i="1"/>
  <c r="T750" i="1"/>
  <c r="U750" i="1"/>
  <c r="V750" i="1"/>
  <c r="W750" i="1"/>
  <c r="X750" i="1"/>
  <c r="Y750" i="1"/>
  <c r="Z750" i="1"/>
  <c r="AA750" i="1"/>
  <c r="AB750" i="1"/>
  <c r="AC750" i="1"/>
  <c r="AD750" i="1"/>
  <c r="AE750" i="1"/>
  <c r="AF750" i="1"/>
  <c r="AG750" i="1"/>
  <c r="AH750" i="1"/>
  <c r="AI750" i="1"/>
  <c r="AJ750" i="1"/>
  <c r="AK750" i="1"/>
  <c r="AL750" i="1"/>
  <c r="AM750" i="1"/>
  <c r="A751" i="1"/>
  <c r="B751" i="1"/>
  <c r="C751" i="1"/>
  <c r="D751" i="1"/>
  <c r="E751" i="1"/>
  <c r="F751" i="1"/>
  <c r="G751" i="1"/>
  <c r="H751" i="1"/>
  <c r="I751" i="1"/>
  <c r="J751" i="1"/>
  <c r="K751" i="1"/>
  <c r="L751" i="1"/>
  <c r="M751" i="1"/>
  <c r="N751" i="1"/>
  <c r="O751" i="1"/>
  <c r="P751" i="1"/>
  <c r="Q751" i="1"/>
  <c r="R751" i="1"/>
  <c r="S751" i="1"/>
  <c r="T751" i="1"/>
  <c r="U751" i="1"/>
  <c r="V751" i="1"/>
  <c r="W751" i="1"/>
  <c r="X751" i="1"/>
  <c r="Y751" i="1"/>
  <c r="Z751" i="1"/>
  <c r="AA751" i="1"/>
  <c r="AB751" i="1"/>
  <c r="AC751" i="1"/>
  <c r="AD751" i="1"/>
  <c r="AE751" i="1"/>
  <c r="AF751" i="1"/>
  <c r="AG751" i="1"/>
  <c r="AH751" i="1"/>
  <c r="AI751" i="1"/>
  <c r="AJ751" i="1"/>
  <c r="AK751" i="1"/>
  <c r="AL751" i="1"/>
  <c r="AM751" i="1"/>
  <c r="A752" i="1"/>
  <c r="B752" i="1"/>
  <c r="C752" i="1"/>
  <c r="D752" i="1"/>
  <c r="E752" i="1"/>
  <c r="F752" i="1"/>
  <c r="G752" i="1"/>
  <c r="H752" i="1"/>
  <c r="I752" i="1"/>
  <c r="J752" i="1"/>
  <c r="K752" i="1"/>
  <c r="L752" i="1"/>
  <c r="M752" i="1"/>
  <c r="N752" i="1"/>
  <c r="O752" i="1"/>
  <c r="P752" i="1"/>
  <c r="Q752" i="1"/>
  <c r="R752" i="1"/>
  <c r="S752" i="1"/>
  <c r="T752" i="1"/>
  <c r="U752" i="1"/>
  <c r="V752" i="1"/>
  <c r="W752" i="1"/>
  <c r="X752" i="1"/>
  <c r="Y752" i="1"/>
  <c r="Z752" i="1"/>
  <c r="AA752" i="1"/>
  <c r="AB752" i="1"/>
  <c r="AC752" i="1"/>
  <c r="AD752" i="1"/>
  <c r="AE752" i="1"/>
  <c r="AF752" i="1"/>
  <c r="AG752" i="1"/>
  <c r="AH752" i="1"/>
  <c r="AI752" i="1"/>
  <c r="AJ752" i="1"/>
  <c r="AK752" i="1"/>
  <c r="AL752" i="1"/>
  <c r="AM752" i="1"/>
  <c r="A753" i="1"/>
  <c r="B753" i="1"/>
  <c r="C753" i="1"/>
  <c r="D753" i="1"/>
  <c r="E753" i="1"/>
  <c r="F753" i="1"/>
  <c r="G753" i="1"/>
  <c r="H753" i="1"/>
  <c r="I753" i="1"/>
  <c r="J753" i="1"/>
  <c r="K753" i="1"/>
  <c r="L753" i="1"/>
  <c r="M753" i="1"/>
  <c r="N753" i="1"/>
  <c r="O753" i="1"/>
  <c r="P753" i="1"/>
  <c r="Q753" i="1"/>
  <c r="R753" i="1"/>
  <c r="S753" i="1"/>
  <c r="T753" i="1"/>
  <c r="U753" i="1"/>
  <c r="V753" i="1"/>
  <c r="W753" i="1"/>
  <c r="X753" i="1"/>
  <c r="Y753" i="1"/>
  <c r="Z753" i="1"/>
  <c r="AA753" i="1"/>
  <c r="AB753" i="1"/>
  <c r="AC753" i="1"/>
  <c r="AD753" i="1"/>
  <c r="AE753" i="1"/>
  <c r="AF753" i="1"/>
  <c r="AG753" i="1"/>
  <c r="AH753" i="1"/>
  <c r="AI753" i="1"/>
  <c r="AJ753" i="1"/>
  <c r="AK753" i="1"/>
  <c r="AL753" i="1"/>
  <c r="AM753" i="1"/>
  <c r="A754" i="1"/>
  <c r="B754" i="1"/>
  <c r="C754" i="1"/>
  <c r="D754" i="1"/>
  <c r="E754" i="1"/>
  <c r="F754" i="1"/>
  <c r="G754" i="1"/>
  <c r="H754" i="1"/>
  <c r="I754" i="1"/>
  <c r="J754" i="1"/>
  <c r="K754" i="1"/>
  <c r="L754" i="1"/>
  <c r="M754" i="1"/>
  <c r="N754" i="1"/>
  <c r="O754" i="1"/>
  <c r="P754" i="1"/>
  <c r="Q754" i="1"/>
  <c r="R754" i="1"/>
  <c r="S754" i="1"/>
  <c r="T754" i="1"/>
  <c r="U754" i="1"/>
  <c r="V754" i="1"/>
  <c r="W754" i="1"/>
  <c r="X754" i="1"/>
  <c r="Y754" i="1"/>
  <c r="Z754" i="1"/>
  <c r="AA754" i="1"/>
  <c r="AB754" i="1"/>
  <c r="AC754" i="1"/>
  <c r="AD754" i="1"/>
  <c r="AE754" i="1"/>
  <c r="AF754" i="1"/>
  <c r="AG754" i="1"/>
  <c r="AH754" i="1"/>
  <c r="AI754" i="1"/>
  <c r="AJ754" i="1"/>
  <c r="AK754" i="1"/>
  <c r="AL754" i="1"/>
  <c r="AM754" i="1"/>
  <c r="A755" i="1"/>
  <c r="B755" i="1"/>
  <c r="C755" i="1"/>
  <c r="D755" i="1"/>
  <c r="E755" i="1"/>
  <c r="F755" i="1"/>
  <c r="G755" i="1"/>
  <c r="H755" i="1"/>
  <c r="I755" i="1"/>
  <c r="J755" i="1"/>
  <c r="K755" i="1"/>
  <c r="L755" i="1"/>
  <c r="M755" i="1"/>
  <c r="N755" i="1"/>
  <c r="O755" i="1"/>
  <c r="P755" i="1"/>
  <c r="Q755" i="1"/>
  <c r="R755" i="1"/>
  <c r="S755" i="1"/>
  <c r="T755" i="1"/>
  <c r="U755" i="1"/>
  <c r="V755" i="1"/>
  <c r="W755" i="1"/>
  <c r="X755" i="1"/>
  <c r="Y755" i="1"/>
  <c r="Z755" i="1"/>
  <c r="AA755" i="1"/>
  <c r="AB755" i="1"/>
  <c r="AC755" i="1"/>
  <c r="AD755" i="1"/>
  <c r="AE755" i="1"/>
  <c r="AF755" i="1"/>
  <c r="AG755" i="1"/>
  <c r="AH755" i="1"/>
  <c r="AI755" i="1"/>
  <c r="AJ755" i="1"/>
  <c r="AK755" i="1"/>
  <c r="AL755" i="1"/>
  <c r="AM755" i="1"/>
  <c r="A756" i="1"/>
  <c r="B756" i="1"/>
  <c r="C756" i="1"/>
  <c r="D756" i="1"/>
  <c r="E756" i="1"/>
  <c r="F756" i="1"/>
  <c r="G756" i="1"/>
  <c r="H756" i="1"/>
  <c r="I756" i="1"/>
  <c r="J756" i="1"/>
  <c r="K756" i="1"/>
  <c r="L756" i="1"/>
  <c r="M756" i="1"/>
  <c r="N756" i="1"/>
  <c r="O756" i="1"/>
  <c r="P756" i="1"/>
  <c r="Q756" i="1"/>
  <c r="R756" i="1"/>
  <c r="S756" i="1"/>
  <c r="T756" i="1"/>
  <c r="U756" i="1"/>
  <c r="V756" i="1"/>
  <c r="W756" i="1"/>
  <c r="X756" i="1"/>
  <c r="Y756" i="1"/>
  <c r="Z756" i="1"/>
  <c r="AA756" i="1"/>
  <c r="AB756" i="1"/>
  <c r="AC756" i="1"/>
  <c r="AD756" i="1"/>
  <c r="AE756" i="1"/>
  <c r="AF756" i="1"/>
  <c r="AG756" i="1"/>
  <c r="AH756" i="1"/>
  <c r="AI756" i="1"/>
  <c r="AJ756" i="1"/>
  <c r="AK756" i="1"/>
  <c r="AL756" i="1"/>
  <c r="AM756" i="1"/>
  <c r="A757" i="1"/>
  <c r="B757" i="1"/>
  <c r="C757" i="1"/>
  <c r="D757" i="1"/>
  <c r="E757" i="1"/>
  <c r="F757" i="1"/>
  <c r="G757" i="1"/>
  <c r="H757" i="1"/>
  <c r="I757" i="1"/>
  <c r="J757" i="1"/>
  <c r="K757" i="1"/>
  <c r="L757" i="1"/>
  <c r="M757" i="1"/>
  <c r="N757" i="1"/>
  <c r="O757" i="1"/>
  <c r="P757" i="1"/>
  <c r="Q757" i="1"/>
  <c r="R757" i="1"/>
  <c r="S757" i="1"/>
  <c r="T757" i="1"/>
  <c r="U757" i="1"/>
  <c r="V757" i="1"/>
  <c r="W757" i="1"/>
  <c r="X757" i="1"/>
  <c r="Y757" i="1"/>
  <c r="Z757" i="1"/>
  <c r="AA757" i="1"/>
  <c r="AB757" i="1"/>
  <c r="AC757" i="1"/>
  <c r="AD757" i="1"/>
  <c r="AE757" i="1"/>
  <c r="AF757" i="1"/>
  <c r="AG757" i="1"/>
  <c r="AH757" i="1"/>
  <c r="AI757" i="1"/>
  <c r="AJ757" i="1"/>
  <c r="AK757" i="1"/>
  <c r="AL757" i="1"/>
  <c r="AM757" i="1"/>
  <c r="A758" i="1"/>
  <c r="B758" i="1"/>
  <c r="C758" i="1"/>
  <c r="D758" i="1"/>
  <c r="E758" i="1"/>
  <c r="F758" i="1"/>
  <c r="G758" i="1"/>
  <c r="H758" i="1"/>
  <c r="I758" i="1"/>
  <c r="J758" i="1"/>
  <c r="K758" i="1"/>
  <c r="L758" i="1"/>
  <c r="M758" i="1"/>
  <c r="N758" i="1"/>
  <c r="O758" i="1"/>
  <c r="P758" i="1"/>
  <c r="Q758" i="1"/>
  <c r="R758" i="1"/>
  <c r="S758" i="1"/>
  <c r="T758" i="1"/>
  <c r="U758" i="1"/>
  <c r="V758" i="1"/>
  <c r="W758" i="1"/>
  <c r="X758" i="1"/>
  <c r="Y758" i="1"/>
  <c r="Z758" i="1"/>
  <c r="AA758" i="1"/>
  <c r="AB758" i="1"/>
  <c r="AC758" i="1"/>
  <c r="AD758" i="1"/>
  <c r="AE758" i="1"/>
  <c r="AF758" i="1"/>
  <c r="AG758" i="1"/>
  <c r="AH758" i="1"/>
  <c r="AI758" i="1"/>
  <c r="AJ758" i="1"/>
  <c r="AK758" i="1"/>
  <c r="AL758" i="1"/>
  <c r="AM758" i="1"/>
  <c r="A759" i="1"/>
  <c r="B759" i="1"/>
  <c r="C759" i="1"/>
  <c r="D759" i="1"/>
  <c r="E759" i="1"/>
  <c r="F759" i="1"/>
  <c r="G759" i="1"/>
  <c r="H759" i="1"/>
  <c r="I759" i="1"/>
  <c r="J759" i="1"/>
  <c r="K759" i="1"/>
  <c r="L759" i="1"/>
  <c r="M759" i="1"/>
  <c r="N759" i="1"/>
  <c r="O759" i="1"/>
  <c r="P759" i="1"/>
  <c r="Q759" i="1"/>
  <c r="R759" i="1"/>
  <c r="S759" i="1"/>
  <c r="T759" i="1"/>
  <c r="U759" i="1"/>
  <c r="V759" i="1"/>
  <c r="W759" i="1"/>
  <c r="X759" i="1"/>
  <c r="Y759" i="1"/>
  <c r="Z759" i="1"/>
  <c r="AA759" i="1"/>
  <c r="AB759" i="1"/>
  <c r="AC759" i="1"/>
  <c r="AD759" i="1"/>
  <c r="AE759" i="1"/>
  <c r="AF759" i="1"/>
  <c r="AG759" i="1"/>
  <c r="AH759" i="1"/>
  <c r="AI759" i="1"/>
  <c r="AJ759" i="1"/>
  <c r="AK759" i="1"/>
  <c r="AL759" i="1"/>
  <c r="AM759" i="1"/>
  <c r="A760" i="1"/>
  <c r="B760" i="1"/>
  <c r="C760" i="1"/>
  <c r="D760" i="1"/>
  <c r="E760" i="1"/>
  <c r="F760" i="1"/>
  <c r="G760" i="1"/>
  <c r="H760" i="1"/>
  <c r="I760" i="1"/>
  <c r="J760" i="1"/>
  <c r="K760" i="1"/>
  <c r="L760" i="1"/>
  <c r="M760" i="1"/>
  <c r="N760" i="1"/>
  <c r="O760" i="1"/>
  <c r="P760" i="1"/>
  <c r="Q760" i="1"/>
  <c r="R760" i="1"/>
  <c r="S760" i="1"/>
  <c r="T760" i="1"/>
  <c r="U760" i="1"/>
  <c r="V760" i="1"/>
  <c r="W760" i="1"/>
  <c r="X760" i="1"/>
  <c r="Y760" i="1"/>
  <c r="Z760" i="1"/>
  <c r="AA760" i="1"/>
  <c r="AB760" i="1"/>
  <c r="AC760" i="1"/>
  <c r="AD760" i="1"/>
  <c r="AE760" i="1"/>
  <c r="AF760" i="1"/>
  <c r="AG760" i="1"/>
  <c r="AH760" i="1"/>
  <c r="AI760" i="1"/>
  <c r="AJ760" i="1"/>
  <c r="AK760" i="1"/>
  <c r="AL760" i="1"/>
  <c r="AM760" i="1"/>
  <c r="A761" i="1"/>
  <c r="B761" i="1"/>
  <c r="C761" i="1"/>
  <c r="D761" i="1"/>
  <c r="E761" i="1"/>
  <c r="F761" i="1"/>
  <c r="G761" i="1"/>
  <c r="H761" i="1"/>
  <c r="I761" i="1"/>
  <c r="J761" i="1"/>
  <c r="K761" i="1"/>
  <c r="L761" i="1"/>
  <c r="M761" i="1"/>
  <c r="N761" i="1"/>
  <c r="O761" i="1"/>
  <c r="P761" i="1"/>
  <c r="Q761" i="1"/>
  <c r="R761" i="1"/>
  <c r="S761" i="1"/>
  <c r="T761" i="1"/>
  <c r="U761" i="1"/>
  <c r="V761" i="1"/>
  <c r="W761" i="1"/>
  <c r="X761" i="1"/>
  <c r="Y761" i="1"/>
  <c r="Z761" i="1"/>
  <c r="AA761" i="1"/>
  <c r="AB761" i="1"/>
  <c r="AC761" i="1"/>
  <c r="AD761" i="1"/>
  <c r="AE761" i="1"/>
  <c r="AF761" i="1"/>
  <c r="AG761" i="1"/>
  <c r="AH761" i="1"/>
  <c r="AI761" i="1"/>
  <c r="AJ761" i="1"/>
  <c r="AK761" i="1"/>
  <c r="AL761" i="1"/>
  <c r="AM761" i="1"/>
  <c r="A762" i="1"/>
  <c r="B762" i="1"/>
  <c r="C762" i="1"/>
  <c r="D762" i="1"/>
  <c r="E762" i="1"/>
  <c r="F762" i="1"/>
  <c r="G762" i="1"/>
  <c r="H762" i="1"/>
  <c r="I762" i="1"/>
  <c r="J762" i="1"/>
  <c r="K762" i="1"/>
  <c r="L762" i="1"/>
  <c r="M762" i="1"/>
  <c r="N762" i="1"/>
  <c r="O762" i="1"/>
  <c r="P762" i="1"/>
  <c r="Q762" i="1"/>
  <c r="R762" i="1"/>
  <c r="S762" i="1"/>
  <c r="T762" i="1"/>
  <c r="U762" i="1"/>
  <c r="V762" i="1"/>
  <c r="W762" i="1"/>
  <c r="X762" i="1"/>
  <c r="Y762" i="1"/>
  <c r="Z762" i="1"/>
  <c r="AA762" i="1"/>
  <c r="AB762" i="1"/>
  <c r="AC762" i="1"/>
  <c r="AD762" i="1"/>
  <c r="AE762" i="1"/>
  <c r="AF762" i="1"/>
  <c r="AG762" i="1"/>
  <c r="AH762" i="1"/>
  <c r="AI762" i="1"/>
  <c r="AJ762" i="1"/>
  <c r="AK762" i="1"/>
  <c r="AL762" i="1"/>
  <c r="AM762" i="1"/>
  <c r="A763" i="1"/>
  <c r="B763" i="1"/>
  <c r="C763" i="1"/>
  <c r="D763" i="1"/>
  <c r="E763" i="1"/>
  <c r="F763" i="1"/>
  <c r="G763" i="1"/>
  <c r="H763" i="1"/>
  <c r="I763" i="1"/>
  <c r="J763" i="1"/>
  <c r="K763" i="1"/>
  <c r="L763" i="1"/>
  <c r="M763" i="1"/>
  <c r="N763" i="1"/>
  <c r="O763" i="1"/>
  <c r="P763" i="1"/>
  <c r="Q763" i="1"/>
  <c r="R763" i="1"/>
  <c r="S763" i="1"/>
  <c r="T763" i="1"/>
  <c r="U763" i="1"/>
  <c r="V763" i="1"/>
  <c r="W763" i="1"/>
  <c r="X763" i="1"/>
  <c r="Y763" i="1"/>
  <c r="Z763" i="1"/>
  <c r="AA763" i="1"/>
  <c r="AB763" i="1"/>
  <c r="AC763" i="1"/>
  <c r="AD763" i="1"/>
  <c r="AE763" i="1"/>
  <c r="AF763" i="1"/>
  <c r="AG763" i="1"/>
  <c r="AH763" i="1"/>
  <c r="AI763" i="1"/>
  <c r="AJ763" i="1"/>
  <c r="AK763" i="1"/>
  <c r="AL763" i="1"/>
  <c r="AM763" i="1"/>
  <c r="A764" i="1"/>
  <c r="B764" i="1"/>
  <c r="C764" i="1"/>
  <c r="D764" i="1"/>
  <c r="E764" i="1"/>
  <c r="F764" i="1"/>
  <c r="G764" i="1"/>
  <c r="H764" i="1"/>
  <c r="I764" i="1"/>
  <c r="J764" i="1"/>
  <c r="K764" i="1"/>
  <c r="L764" i="1"/>
  <c r="M764" i="1"/>
  <c r="N764" i="1"/>
  <c r="O764" i="1"/>
  <c r="P764" i="1"/>
  <c r="Q764" i="1"/>
  <c r="R764" i="1"/>
  <c r="S764" i="1"/>
  <c r="T764" i="1"/>
  <c r="U764" i="1"/>
  <c r="V764" i="1"/>
  <c r="W764" i="1"/>
  <c r="X764" i="1"/>
  <c r="Y764" i="1"/>
  <c r="Z764" i="1"/>
  <c r="AA764" i="1"/>
  <c r="AB764" i="1"/>
  <c r="AC764" i="1"/>
  <c r="AD764" i="1"/>
  <c r="AE764" i="1"/>
  <c r="AF764" i="1"/>
  <c r="AG764" i="1"/>
  <c r="AH764" i="1"/>
  <c r="AI764" i="1"/>
  <c r="AJ764" i="1"/>
  <c r="AK764" i="1"/>
  <c r="AL764" i="1"/>
  <c r="AM764" i="1"/>
  <c r="A765" i="1"/>
  <c r="B765" i="1"/>
  <c r="C765" i="1"/>
  <c r="D765" i="1"/>
  <c r="E765" i="1"/>
  <c r="F765" i="1"/>
  <c r="G765" i="1"/>
  <c r="H765" i="1"/>
  <c r="I765" i="1"/>
  <c r="J765" i="1"/>
  <c r="K765" i="1"/>
  <c r="L765" i="1"/>
  <c r="M765" i="1"/>
  <c r="N765" i="1"/>
  <c r="O765" i="1"/>
  <c r="P765" i="1"/>
  <c r="Q765" i="1"/>
  <c r="R765" i="1"/>
  <c r="S765" i="1"/>
  <c r="T765" i="1"/>
  <c r="U765" i="1"/>
  <c r="V765" i="1"/>
  <c r="W765" i="1"/>
  <c r="X765" i="1"/>
  <c r="Y765" i="1"/>
  <c r="Z765" i="1"/>
  <c r="AA765" i="1"/>
  <c r="AB765" i="1"/>
  <c r="AC765" i="1"/>
  <c r="AD765" i="1"/>
  <c r="AE765" i="1"/>
  <c r="AF765" i="1"/>
  <c r="AG765" i="1"/>
  <c r="AH765" i="1"/>
  <c r="AI765" i="1"/>
  <c r="AJ765" i="1"/>
  <c r="AK765" i="1"/>
  <c r="AL765" i="1"/>
  <c r="AM765" i="1"/>
  <c r="A766" i="1"/>
  <c r="B766" i="1"/>
  <c r="C766" i="1"/>
  <c r="D766" i="1"/>
  <c r="E766" i="1"/>
  <c r="F766" i="1"/>
  <c r="G766" i="1"/>
  <c r="H766" i="1"/>
  <c r="I766" i="1"/>
  <c r="J766" i="1"/>
  <c r="K766" i="1"/>
  <c r="L766" i="1"/>
  <c r="M766" i="1"/>
  <c r="N766" i="1"/>
  <c r="O766" i="1"/>
  <c r="P766" i="1"/>
  <c r="Q766" i="1"/>
  <c r="R766" i="1"/>
  <c r="S766" i="1"/>
  <c r="T766" i="1"/>
  <c r="U766" i="1"/>
  <c r="V766" i="1"/>
  <c r="W766" i="1"/>
  <c r="X766" i="1"/>
  <c r="Y766" i="1"/>
  <c r="Z766" i="1"/>
  <c r="AA766" i="1"/>
  <c r="AB766" i="1"/>
  <c r="AC766" i="1"/>
  <c r="AD766" i="1"/>
  <c r="AE766" i="1"/>
  <c r="AF766" i="1"/>
  <c r="AG766" i="1"/>
  <c r="AH766" i="1"/>
  <c r="AI766" i="1"/>
  <c r="AJ766" i="1"/>
  <c r="AK766" i="1"/>
  <c r="AL766" i="1"/>
  <c r="AM766" i="1"/>
  <c r="A767" i="1"/>
  <c r="B767" i="1"/>
  <c r="C767" i="1"/>
  <c r="D767" i="1"/>
  <c r="E767" i="1"/>
  <c r="F767" i="1"/>
  <c r="G767" i="1"/>
  <c r="H767" i="1"/>
  <c r="I767" i="1"/>
  <c r="J767" i="1"/>
  <c r="K767" i="1"/>
  <c r="L767" i="1"/>
  <c r="M767" i="1"/>
  <c r="N767" i="1"/>
  <c r="O767" i="1"/>
  <c r="P767" i="1"/>
  <c r="Q767" i="1"/>
  <c r="R767" i="1"/>
  <c r="S767" i="1"/>
  <c r="T767" i="1"/>
  <c r="U767" i="1"/>
  <c r="V767" i="1"/>
  <c r="W767" i="1"/>
  <c r="X767" i="1"/>
  <c r="Y767" i="1"/>
  <c r="Z767" i="1"/>
  <c r="AA767" i="1"/>
  <c r="AB767" i="1"/>
  <c r="AC767" i="1"/>
  <c r="AD767" i="1"/>
  <c r="AE767" i="1"/>
  <c r="AF767" i="1"/>
  <c r="AG767" i="1"/>
  <c r="AH767" i="1"/>
  <c r="AI767" i="1"/>
  <c r="AJ767" i="1"/>
  <c r="AK767" i="1"/>
  <c r="AL767" i="1"/>
  <c r="AM767" i="1"/>
  <c r="A768" i="1"/>
  <c r="B768" i="1"/>
  <c r="C768" i="1"/>
  <c r="D768" i="1"/>
  <c r="E768" i="1"/>
  <c r="F768" i="1"/>
  <c r="G768" i="1"/>
  <c r="H768" i="1"/>
  <c r="I768" i="1"/>
  <c r="J768" i="1"/>
  <c r="K768" i="1"/>
  <c r="L768" i="1"/>
  <c r="M768" i="1"/>
  <c r="N768" i="1"/>
  <c r="O768" i="1"/>
  <c r="P768" i="1"/>
  <c r="Q768" i="1"/>
  <c r="R768" i="1"/>
  <c r="S768" i="1"/>
  <c r="T768" i="1"/>
  <c r="U768" i="1"/>
  <c r="V768" i="1"/>
  <c r="W768" i="1"/>
  <c r="X768" i="1"/>
  <c r="Y768" i="1"/>
  <c r="Z768" i="1"/>
  <c r="AA768" i="1"/>
  <c r="AB768" i="1"/>
  <c r="AC768" i="1"/>
  <c r="AD768" i="1"/>
  <c r="AE768" i="1"/>
  <c r="AF768" i="1"/>
  <c r="AG768" i="1"/>
  <c r="AH768" i="1"/>
  <c r="AI768" i="1"/>
  <c r="AJ768" i="1"/>
  <c r="AK768" i="1"/>
  <c r="AL768" i="1"/>
  <c r="AM768" i="1"/>
  <c r="A769" i="1"/>
  <c r="B769" i="1"/>
  <c r="C769" i="1"/>
  <c r="D769" i="1"/>
  <c r="E769" i="1"/>
  <c r="F769" i="1"/>
  <c r="G769" i="1"/>
  <c r="H769" i="1"/>
  <c r="I769" i="1"/>
  <c r="J769" i="1"/>
  <c r="K769" i="1"/>
  <c r="L769" i="1"/>
  <c r="M769" i="1"/>
  <c r="N769" i="1"/>
  <c r="O769" i="1"/>
  <c r="P769" i="1"/>
  <c r="Q769" i="1"/>
  <c r="R769" i="1"/>
  <c r="S769" i="1"/>
  <c r="T769" i="1"/>
  <c r="U769" i="1"/>
  <c r="V769" i="1"/>
  <c r="W769" i="1"/>
  <c r="X769" i="1"/>
  <c r="Y769" i="1"/>
  <c r="Z769" i="1"/>
  <c r="AA769" i="1"/>
  <c r="AB769" i="1"/>
  <c r="AC769" i="1"/>
  <c r="AD769" i="1"/>
  <c r="AE769" i="1"/>
  <c r="AF769" i="1"/>
  <c r="AG769" i="1"/>
  <c r="AH769" i="1"/>
  <c r="AI769" i="1"/>
  <c r="AJ769" i="1"/>
  <c r="AK769" i="1"/>
  <c r="AL769" i="1"/>
  <c r="AM769" i="1"/>
  <c r="A770" i="1"/>
  <c r="B770" i="1"/>
  <c r="C770" i="1"/>
  <c r="D770" i="1"/>
  <c r="E770" i="1"/>
  <c r="F770" i="1"/>
  <c r="G770" i="1"/>
  <c r="H770" i="1"/>
  <c r="I770" i="1"/>
  <c r="J770" i="1"/>
  <c r="K770" i="1"/>
  <c r="L770" i="1"/>
  <c r="M770" i="1"/>
  <c r="N770" i="1"/>
  <c r="O770" i="1"/>
  <c r="P770" i="1"/>
  <c r="Q770" i="1"/>
  <c r="R770" i="1"/>
  <c r="S770" i="1"/>
  <c r="T770" i="1"/>
  <c r="U770" i="1"/>
  <c r="V770" i="1"/>
  <c r="W770" i="1"/>
  <c r="X770" i="1"/>
  <c r="Y770" i="1"/>
  <c r="Z770" i="1"/>
  <c r="AA770" i="1"/>
  <c r="AB770" i="1"/>
  <c r="AC770" i="1"/>
  <c r="AD770" i="1"/>
  <c r="AE770" i="1"/>
  <c r="AF770" i="1"/>
  <c r="AG770" i="1"/>
  <c r="AH770" i="1"/>
  <c r="AI770" i="1"/>
  <c r="AJ770" i="1"/>
  <c r="AK770" i="1"/>
  <c r="AL770" i="1"/>
  <c r="AM770" i="1"/>
  <c r="A771" i="1"/>
  <c r="B771" i="1"/>
  <c r="C771" i="1"/>
  <c r="D771" i="1"/>
  <c r="E771" i="1"/>
  <c r="F771" i="1"/>
  <c r="G771" i="1"/>
  <c r="H771" i="1"/>
  <c r="I771" i="1"/>
  <c r="J771" i="1"/>
  <c r="K771" i="1"/>
  <c r="L771" i="1"/>
  <c r="M771" i="1"/>
  <c r="N771" i="1"/>
  <c r="O771" i="1"/>
  <c r="P771" i="1"/>
  <c r="Q771" i="1"/>
  <c r="R771" i="1"/>
  <c r="S771" i="1"/>
  <c r="T771" i="1"/>
  <c r="U771" i="1"/>
  <c r="V771" i="1"/>
  <c r="W771" i="1"/>
  <c r="X771" i="1"/>
  <c r="Y771" i="1"/>
  <c r="Z771" i="1"/>
  <c r="AA771" i="1"/>
  <c r="AB771" i="1"/>
  <c r="AC771" i="1"/>
  <c r="AD771" i="1"/>
  <c r="AE771" i="1"/>
  <c r="AF771" i="1"/>
  <c r="AG771" i="1"/>
  <c r="AH771" i="1"/>
  <c r="AI771" i="1"/>
  <c r="AJ771" i="1"/>
  <c r="AK771" i="1"/>
  <c r="AL771" i="1"/>
  <c r="AM771" i="1"/>
  <c r="A772" i="1"/>
  <c r="B772" i="1"/>
  <c r="C772" i="1"/>
  <c r="D772" i="1"/>
  <c r="E772" i="1"/>
  <c r="F772" i="1"/>
  <c r="G772" i="1"/>
  <c r="H772" i="1"/>
  <c r="I772" i="1"/>
  <c r="J772" i="1"/>
  <c r="K772" i="1"/>
  <c r="L772" i="1"/>
  <c r="M772" i="1"/>
  <c r="N772" i="1"/>
  <c r="O772" i="1"/>
  <c r="P772" i="1"/>
  <c r="Q772" i="1"/>
  <c r="R772" i="1"/>
  <c r="S772" i="1"/>
  <c r="T772" i="1"/>
  <c r="U772" i="1"/>
  <c r="V772" i="1"/>
  <c r="W772" i="1"/>
  <c r="X772" i="1"/>
  <c r="Y772" i="1"/>
  <c r="Z772" i="1"/>
  <c r="AA772" i="1"/>
  <c r="AB772" i="1"/>
  <c r="AC772" i="1"/>
  <c r="AD772" i="1"/>
  <c r="AE772" i="1"/>
  <c r="AF772" i="1"/>
  <c r="AG772" i="1"/>
  <c r="AH772" i="1"/>
  <c r="AI772" i="1"/>
  <c r="AJ772" i="1"/>
  <c r="AK772" i="1"/>
  <c r="AL772" i="1"/>
  <c r="AM772" i="1"/>
  <c r="A773" i="1"/>
  <c r="B773" i="1"/>
  <c r="C773" i="1"/>
  <c r="D773" i="1"/>
  <c r="E773" i="1"/>
  <c r="F773" i="1"/>
  <c r="G773" i="1"/>
  <c r="H773" i="1"/>
  <c r="I773" i="1"/>
  <c r="J773" i="1"/>
  <c r="K773" i="1"/>
  <c r="L773" i="1"/>
  <c r="M773" i="1"/>
  <c r="N773" i="1"/>
  <c r="O773" i="1"/>
  <c r="P773" i="1"/>
  <c r="Q773" i="1"/>
  <c r="R773" i="1"/>
  <c r="S773" i="1"/>
  <c r="T773" i="1"/>
  <c r="U773" i="1"/>
  <c r="V773" i="1"/>
  <c r="W773" i="1"/>
  <c r="X773" i="1"/>
  <c r="Y773" i="1"/>
  <c r="Z773" i="1"/>
  <c r="AA773" i="1"/>
  <c r="AB773" i="1"/>
  <c r="AC773" i="1"/>
  <c r="AD773" i="1"/>
  <c r="AE773" i="1"/>
  <c r="AF773" i="1"/>
  <c r="AG773" i="1"/>
  <c r="AH773" i="1"/>
  <c r="AI773" i="1"/>
  <c r="AJ773" i="1"/>
  <c r="AK773" i="1"/>
  <c r="AL773" i="1"/>
  <c r="AM773" i="1"/>
  <c r="A774" i="1"/>
  <c r="B774" i="1"/>
  <c r="C774" i="1"/>
  <c r="D774" i="1"/>
  <c r="E774" i="1"/>
  <c r="F774" i="1"/>
  <c r="G774" i="1"/>
  <c r="H774" i="1"/>
  <c r="I774" i="1"/>
  <c r="J774" i="1"/>
  <c r="K774" i="1"/>
  <c r="L774" i="1"/>
  <c r="M774" i="1"/>
  <c r="N774" i="1"/>
  <c r="O774" i="1"/>
  <c r="P774" i="1"/>
  <c r="Q774" i="1"/>
  <c r="R774" i="1"/>
  <c r="S774" i="1"/>
  <c r="T774" i="1"/>
  <c r="U774" i="1"/>
  <c r="V774" i="1"/>
  <c r="W774" i="1"/>
  <c r="X774" i="1"/>
  <c r="Y774" i="1"/>
  <c r="Z774" i="1"/>
  <c r="AA774" i="1"/>
  <c r="AB774" i="1"/>
  <c r="AC774" i="1"/>
  <c r="AD774" i="1"/>
  <c r="AE774" i="1"/>
  <c r="AF774" i="1"/>
  <c r="AG774" i="1"/>
  <c r="AH774" i="1"/>
  <c r="AI774" i="1"/>
  <c r="AJ774" i="1"/>
  <c r="AK774" i="1"/>
  <c r="AL774" i="1"/>
  <c r="AM774" i="1"/>
  <c r="A775" i="1"/>
  <c r="B775" i="1"/>
  <c r="C775" i="1"/>
  <c r="D775" i="1"/>
  <c r="E775" i="1"/>
  <c r="F775" i="1"/>
  <c r="G775" i="1"/>
  <c r="H775" i="1"/>
  <c r="I775" i="1"/>
  <c r="J775" i="1"/>
  <c r="K775" i="1"/>
  <c r="L775" i="1"/>
  <c r="M775" i="1"/>
  <c r="N775" i="1"/>
  <c r="O775" i="1"/>
  <c r="P775" i="1"/>
  <c r="Q775" i="1"/>
  <c r="R775" i="1"/>
  <c r="S775" i="1"/>
  <c r="T775" i="1"/>
  <c r="U775" i="1"/>
  <c r="V775" i="1"/>
  <c r="W775" i="1"/>
  <c r="X775" i="1"/>
  <c r="Y775" i="1"/>
  <c r="Z775" i="1"/>
  <c r="AA775" i="1"/>
  <c r="AB775" i="1"/>
  <c r="AC775" i="1"/>
  <c r="AD775" i="1"/>
  <c r="AE775" i="1"/>
  <c r="AF775" i="1"/>
  <c r="AG775" i="1"/>
  <c r="AH775" i="1"/>
  <c r="AI775" i="1"/>
  <c r="AJ775" i="1"/>
  <c r="AK775" i="1"/>
  <c r="AL775" i="1"/>
  <c r="AM775" i="1"/>
  <c r="A776" i="1"/>
  <c r="B776" i="1"/>
  <c r="C776" i="1"/>
  <c r="D776" i="1"/>
  <c r="E776" i="1"/>
  <c r="F776" i="1"/>
  <c r="G776" i="1"/>
  <c r="H776" i="1"/>
  <c r="I776" i="1"/>
  <c r="J776" i="1"/>
  <c r="K776" i="1"/>
  <c r="L776" i="1"/>
  <c r="M776" i="1"/>
  <c r="N776" i="1"/>
  <c r="O776" i="1"/>
  <c r="P776" i="1"/>
  <c r="Q776" i="1"/>
  <c r="R776" i="1"/>
  <c r="S776" i="1"/>
  <c r="T776" i="1"/>
  <c r="U776" i="1"/>
  <c r="V776" i="1"/>
  <c r="W776" i="1"/>
  <c r="X776" i="1"/>
  <c r="Y776" i="1"/>
  <c r="Z776" i="1"/>
  <c r="AA776" i="1"/>
  <c r="AB776" i="1"/>
  <c r="AC776" i="1"/>
  <c r="AD776" i="1"/>
  <c r="AE776" i="1"/>
  <c r="AF776" i="1"/>
  <c r="AG776" i="1"/>
  <c r="AH776" i="1"/>
  <c r="AI776" i="1"/>
  <c r="AJ776" i="1"/>
  <c r="AK776" i="1"/>
  <c r="AL776" i="1"/>
  <c r="AM776" i="1"/>
  <c r="A777" i="1"/>
  <c r="B777" i="1"/>
  <c r="C777" i="1"/>
  <c r="D777" i="1"/>
  <c r="E777" i="1"/>
  <c r="F777" i="1"/>
  <c r="G777" i="1"/>
  <c r="H777" i="1"/>
  <c r="I777" i="1"/>
  <c r="J777" i="1"/>
  <c r="K777" i="1"/>
  <c r="L777" i="1"/>
  <c r="M777" i="1"/>
  <c r="N777" i="1"/>
  <c r="O777" i="1"/>
  <c r="P777" i="1"/>
  <c r="Q777" i="1"/>
  <c r="R777" i="1"/>
  <c r="S777" i="1"/>
  <c r="T777" i="1"/>
  <c r="U777" i="1"/>
  <c r="V777" i="1"/>
  <c r="W777" i="1"/>
  <c r="X777" i="1"/>
  <c r="Y777" i="1"/>
  <c r="Z777" i="1"/>
  <c r="AA777" i="1"/>
  <c r="AB777" i="1"/>
  <c r="AC777" i="1"/>
  <c r="AD777" i="1"/>
  <c r="AE777" i="1"/>
  <c r="AF777" i="1"/>
  <c r="AG777" i="1"/>
  <c r="AH777" i="1"/>
  <c r="AI777" i="1"/>
  <c r="AJ777" i="1"/>
  <c r="AK777" i="1"/>
  <c r="AL777" i="1"/>
  <c r="AM777" i="1"/>
  <c r="A778" i="1"/>
  <c r="B778" i="1"/>
  <c r="C778" i="1"/>
  <c r="D778" i="1"/>
  <c r="E778" i="1"/>
  <c r="F778" i="1"/>
  <c r="G778" i="1"/>
  <c r="H778" i="1"/>
  <c r="I778" i="1"/>
  <c r="J778" i="1"/>
  <c r="K778" i="1"/>
  <c r="L778" i="1"/>
  <c r="M778" i="1"/>
  <c r="N778" i="1"/>
  <c r="O778" i="1"/>
  <c r="P778" i="1"/>
  <c r="Q778" i="1"/>
  <c r="R778" i="1"/>
  <c r="S778" i="1"/>
  <c r="T778" i="1"/>
  <c r="U778" i="1"/>
  <c r="V778" i="1"/>
  <c r="W778" i="1"/>
  <c r="X778" i="1"/>
  <c r="Y778" i="1"/>
  <c r="Z778" i="1"/>
  <c r="AA778" i="1"/>
  <c r="AB778" i="1"/>
  <c r="AC778" i="1"/>
  <c r="AD778" i="1"/>
  <c r="AE778" i="1"/>
  <c r="AF778" i="1"/>
  <c r="AG778" i="1"/>
  <c r="AH778" i="1"/>
  <c r="AI778" i="1"/>
  <c r="AJ778" i="1"/>
  <c r="AK778" i="1"/>
  <c r="AL778" i="1"/>
  <c r="AM778" i="1"/>
  <c r="A779" i="1"/>
  <c r="B779" i="1"/>
  <c r="C779" i="1"/>
  <c r="D779" i="1"/>
  <c r="E779" i="1"/>
  <c r="F779" i="1"/>
  <c r="G779" i="1"/>
  <c r="H779" i="1"/>
  <c r="I779" i="1"/>
  <c r="J779" i="1"/>
  <c r="K779" i="1"/>
  <c r="L779" i="1"/>
  <c r="M779" i="1"/>
  <c r="N779" i="1"/>
  <c r="O779" i="1"/>
  <c r="P779" i="1"/>
  <c r="Q779" i="1"/>
  <c r="R779" i="1"/>
  <c r="S779" i="1"/>
  <c r="T779" i="1"/>
  <c r="U779" i="1"/>
  <c r="V779" i="1"/>
  <c r="W779" i="1"/>
  <c r="X779" i="1"/>
  <c r="Y779" i="1"/>
  <c r="Z779" i="1"/>
  <c r="AA779" i="1"/>
  <c r="AB779" i="1"/>
  <c r="AC779" i="1"/>
  <c r="AD779" i="1"/>
  <c r="AE779" i="1"/>
  <c r="AF779" i="1"/>
  <c r="AG779" i="1"/>
  <c r="AH779" i="1"/>
  <c r="AI779" i="1"/>
  <c r="AJ779" i="1"/>
  <c r="AK779" i="1"/>
  <c r="AL779" i="1"/>
  <c r="AM779" i="1"/>
  <c r="A780" i="1"/>
  <c r="B780" i="1"/>
  <c r="C780" i="1"/>
  <c r="D780" i="1"/>
  <c r="E780" i="1"/>
  <c r="F780" i="1"/>
  <c r="G780" i="1"/>
  <c r="H780" i="1"/>
  <c r="I780" i="1"/>
  <c r="J780" i="1"/>
  <c r="K780" i="1"/>
  <c r="L780" i="1"/>
  <c r="M780" i="1"/>
  <c r="N780" i="1"/>
  <c r="O780" i="1"/>
  <c r="P780" i="1"/>
  <c r="Q780" i="1"/>
  <c r="R780" i="1"/>
  <c r="S780" i="1"/>
  <c r="T780" i="1"/>
  <c r="U780" i="1"/>
  <c r="V780" i="1"/>
  <c r="W780" i="1"/>
  <c r="X780" i="1"/>
  <c r="Y780" i="1"/>
  <c r="Z780" i="1"/>
  <c r="AA780" i="1"/>
  <c r="AB780" i="1"/>
  <c r="AC780" i="1"/>
  <c r="AD780" i="1"/>
  <c r="AE780" i="1"/>
  <c r="AF780" i="1"/>
  <c r="AG780" i="1"/>
  <c r="AH780" i="1"/>
  <c r="AI780" i="1"/>
  <c r="AJ780" i="1"/>
  <c r="AK780" i="1"/>
  <c r="AL780" i="1"/>
  <c r="AM780" i="1"/>
  <c r="A781" i="1"/>
  <c r="B781" i="1"/>
  <c r="C781" i="1"/>
  <c r="D781" i="1"/>
  <c r="E781" i="1"/>
  <c r="F781" i="1"/>
  <c r="G781" i="1"/>
  <c r="H781" i="1"/>
  <c r="I781" i="1"/>
  <c r="J781" i="1"/>
  <c r="K781" i="1"/>
  <c r="L781" i="1"/>
  <c r="M781" i="1"/>
  <c r="N781" i="1"/>
  <c r="O781" i="1"/>
  <c r="P781" i="1"/>
  <c r="Q781" i="1"/>
  <c r="R781" i="1"/>
  <c r="S781" i="1"/>
  <c r="T781" i="1"/>
  <c r="U781" i="1"/>
  <c r="V781" i="1"/>
  <c r="W781" i="1"/>
  <c r="X781" i="1"/>
  <c r="Y781" i="1"/>
  <c r="Z781" i="1"/>
  <c r="AA781" i="1"/>
  <c r="AB781" i="1"/>
  <c r="AC781" i="1"/>
  <c r="AD781" i="1"/>
  <c r="AE781" i="1"/>
  <c r="AF781" i="1"/>
  <c r="AG781" i="1"/>
  <c r="AH781" i="1"/>
  <c r="AI781" i="1"/>
  <c r="AJ781" i="1"/>
  <c r="AK781" i="1"/>
  <c r="AL781" i="1"/>
  <c r="AM781" i="1"/>
  <c r="A782" i="1"/>
  <c r="B782" i="1"/>
  <c r="C782" i="1"/>
  <c r="D782" i="1"/>
  <c r="E782" i="1"/>
  <c r="F782" i="1"/>
  <c r="G782" i="1"/>
  <c r="H782" i="1"/>
  <c r="I782" i="1"/>
  <c r="J782" i="1"/>
  <c r="K782" i="1"/>
  <c r="L782" i="1"/>
  <c r="M782" i="1"/>
  <c r="N782" i="1"/>
  <c r="O782" i="1"/>
  <c r="P782" i="1"/>
  <c r="Q782" i="1"/>
  <c r="R782" i="1"/>
  <c r="S782" i="1"/>
  <c r="T782" i="1"/>
  <c r="U782" i="1"/>
  <c r="V782" i="1"/>
  <c r="W782" i="1"/>
  <c r="X782" i="1"/>
  <c r="Y782" i="1"/>
  <c r="Z782" i="1"/>
  <c r="AA782" i="1"/>
  <c r="AB782" i="1"/>
  <c r="AC782" i="1"/>
  <c r="AD782" i="1"/>
  <c r="AE782" i="1"/>
  <c r="AF782" i="1"/>
  <c r="AG782" i="1"/>
  <c r="AH782" i="1"/>
  <c r="AI782" i="1"/>
  <c r="AJ782" i="1"/>
  <c r="AK782" i="1"/>
  <c r="AL782" i="1"/>
  <c r="AM782" i="1"/>
  <c r="A783" i="1"/>
  <c r="B783" i="1"/>
  <c r="C783" i="1"/>
  <c r="D783" i="1"/>
  <c r="E783" i="1"/>
  <c r="F783" i="1"/>
  <c r="G783" i="1"/>
  <c r="H783" i="1"/>
  <c r="I783" i="1"/>
  <c r="J783" i="1"/>
  <c r="K783" i="1"/>
  <c r="L783" i="1"/>
  <c r="M783" i="1"/>
  <c r="N783" i="1"/>
  <c r="O783" i="1"/>
  <c r="P783" i="1"/>
  <c r="Q783" i="1"/>
  <c r="R783" i="1"/>
  <c r="S783" i="1"/>
  <c r="T783" i="1"/>
  <c r="U783" i="1"/>
  <c r="V783" i="1"/>
  <c r="W783" i="1"/>
  <c r="X783" i="1"/>
  <c r="Y783" i="1"/>
  <c r="Z783" i="1"/>
  <c r="AA783" i="1"/>
  <c r="AB783" i="1"/>
  <c r="AC783" i="1"/>
  <c r="AD783" i="1"/>
  <c r="AE783" i="1"/>
  <c r="AF783" i="1"/>
  <c r="AG783" i="1"/>
  <c r="AH783" i="1"/>
  <c r="AI783" i="1"/>
  <c r="AJ783" i="1"/>
  <c r="AK783" i="1"/>
  <c r="AL783" i="1"/>
  <c r="AM783" i="1"/>
  <c r="A784" i="1"/>
  <c r="B784" i="1"/>
  <c r="C784" i="1"/>
  <c r="D784" i="1"/>
  <c r="E784" i="1"/>
  <c r="F784" i="1"/>
  <c r="G784" i="1"/>
  <c r="H784" i="1"/>
  <c r="I784" i="1"/>
  <c r="J784" i="1"/>
  <c r="K784" i="1"/>
  <c r="L784" i="1"/>
  <c r="M784" i="1"/>
  <c r="N784" i="1"/>
  <c r="O784" i="1"/>
  <c r="P784" i="1"/>
  <c r="Q784" i="1"/>
  <c r="R784" i="1"/>
  <c r="S784" i="1"/>
  <c r="T784" i="1"/>
  <c r="U784" i="1"/>
  <c r="V784" i="1"/>
  <c r="W784" i="1"/>
  <c r="X784" i="1"/>
  <c r="Y784" i="1"/>
  <c r="Z784" i="1"/>
  <c r="AA784" i="1"/>
  <c r="AB784" i="1"/>
  <c r="AC784" i="1"/>
  <c r="AD784" i="1"/>
  <c r="AE784" i="1"/>
  <c r="AF784" i="1"/>
  <c r="AG784" i="1"/>
  <c r="AH784" i="1"/>
  <c r="AI784" i="1"/>
  <c r="AJ784" i="1"/>
  <c r="AK784" i="1"/>
  <c r="AL784" i="1"/>
  <c r="AM784" i="1"/>
  <c r="A785" i="1"/>
  <c r="B785" i="1"/>
  <c r="C785" i="1"/>
  <c r="D785" i="1"/>
  <c r="E785" i="1"/>
  <c r="F785" i="1"/>
  <c r="G785" i="1"/>
  <c r="H785" i="1"/>
  <c r="I785" i="1"/>
  <c r="J785" i="1"/>
  <c r="K785" i="1"/>
  <c r="L785" i="1"/>
  <c r="M785" i="1"/>
  <c r="N785" i="1"/>
  <c r="O785" i="1"/>
  <c r="P785" i="1"/>
  <c r="Q785" i="1"/>
  <c r="R785" i="1"/>
  <c r="S785" i="1"/>
  <c r="T785" i="1"/>
  <c r="U785" i="1"/>
  <c r="V785" i="1"/>
  <c r="W785" i="1"/>
  <c r="X785" i="1"/>
  <c r="Y785" i="1"/>
  <c r="Z785" i="1"/>
  <c r="AA785" i="1"/>
  <c r="AB785" i="1"/>
  <c r="AC785" i="1"/>
  <c r="AD785" i="1"/>
  <c r="AE785" i="1"/>
  <c r="AF785" i="1"/>
  <c r="AG785" i="1"/>
  <c r="AH785" i="1"/>
  <c r="AI785" i="1"/>
  <c r="AJ785" i="1"/>
  <c r="AK785" i="1"/>
  <c r="AL785" i="1"/>
  <c r="AM785" i="1"/>
  <c r="A786" i="1"/>
  <c r="B786" i="1"/>
  <c r="C786" i="1"/>
  <c r="D786" i="1"/>
  <c r="E786" i="1"/>
  <c r="F786" i="1"/>
  <c r="G786" i="1"/>
  <c r="H786" i="1"/>
  <c r="I786" i="1"/>
  <c r="J786" i="1"/>
  <c r="K786" i="1"/>
  <c r="L786" i="1"/>
  <c r="M786" i="1"/>
  <c r="N786" i="1"/>
  <c r="O786" i="1"/>
  <c r="P786" i="1"/>
  <c r="Q786" i="1"/>
  <c r="R786" i="1"/>
  <c r="S786" i="1"/>
  <c r="T786" i="1"/>
  <c r="U786" i="1"/>
  <c r="V786" i="1"/>
  <c r="W786" i="1"/>
  <c r="X786" i="1"/>
  <c r="Y786" i="1"/>
  <c r="Z786" i="1"/>
  <c r="AA786" i="1"/>
  <c r="AB786" i="1"/>
  <c r="AC786" i="1"/>
  <c r="AD786" i="1"/>
  <c r="AE786" i="1"/>
  <c r="AF786" i="1"/>
  <c r="AG786" i="1"/>
  <c r="AH786" i="1"/>
  <c r="AI786" i="1"/>
  <c r="AJ786" i="1"/>
  <c r="AK786" i="1"/>
  <c r="AL786" i="1"/>
  <c r="AM786" i="1"/>
  <c r="A787" i="1"/>
  <c r="B787" i="1"/>
  <c r="C787" i="1"/>
  <c r="D787" i="1"/>
  <c r="E787" i="1"/>
  <c r="F787" i="1"/>
  <c r="G787" i="1"/>
  <c r="H787" i="1"/>
  <c r="I787" i="1"/>
  <c r="J787" i="1"/>
  <c r="K787" i="1"/>
  <c r="L787" i="1"/>
  <c r="M787" i="1"/>
  <c r="N787" i="1"/>
  <c r="O787" i="1"/>
  <c r="P787" i="1"/>
  <c r="Q787" i="1"/>
  <c r="R787" i="1"/>
  <c r="S787" i="1"/>
  <c r="T787" i="1"/>
  <c r="U787" i="1"/>
  <c r="V787" i="1"/>
  <c r="W787" i="1"/>
  <c r="X787" i="1"/>
  <c r="Y787" i="1"/>
  <c r="Z787" i="1"/>
  <c r="AA787" i="1"/>
  <c r="AB787" i="1"/>
  <c r="AC787" i="1"/>
  <c r="AD787" i="1"/>
  <c r="AE787" i="1"/>
  <c r="AF787" i="1"/>
  <c r="AG787" i="1"/>
  <c r="AH787" i="1"/>
  <c r="AI787" i="1"/>
  <c r="AJ787" i="1"/>
  <c r="AK787" i="1"/>
  <c r="AL787" i="1"/>
  <c r="AM787" i="1"/>
  <c r="A788" i="1"/>
  <c r="B788" i="1"/>
  <c r="C788" i="1"/>
  <c r="D788" i="1"/>
  <c r="E788" i="1"/>
  <c r="F788" i="1"/>
  <c r="G788" i="1"/>
  <c r="H788" i="1"/>
  <c r="I788" i="1"/>
  <c r="J788" i="1"/>
  <c r="K788" i="1"/>
  <c r="L788" i="1"/>
  <c r="M788" i="1"/>
  <c r="N788" i="1"/>
  <c r="O788" i="1"/>
  <c r="P788" i="1"/>
  <c r="Q788" i="1"/>
  <c r="R788" i="1"/>
  <c r="S788" i="1"/>
  <c r="T788" i="1"/>
  <c r="U788" i="1"/>
  <c r="V788" i="1"/>
  <c r="W788" i="1"/>
  <c r="X788" i="1"/>
  <c r="Y788" i="1"/>
  <c r="Z788" i="1"/>
  <c r="AA788" i="1"/>
  <c r="AB788" i="1"/>
  <c r="AC788" i="1"/>
  <c r="AD788" i="1"/>
  <c r="AE788" i="1"/>
  <c r="AF788" i="1"/>
  <c r="AG788" i="1"/>
  <c r="AH788" i="1"/>
  <c r="AI788" i="1"/>
  <c r="AJ788" i="1"/>
  <c r="AK788" i="1"/>
  <c r="AL788" i="1"/>
  <c r="AM788" i="1"/>
  <c r="A789" i="1"/>
  <c r="B789" i="1"/>
  <c r="C789" i="1"/>
  <c r="D789" i="1"/>
  <c r="E789" i="1"/>
  <c r="F789" i="1"/>
  <c r="G789" i="1"/>
  <c r="H789" i="1"/>
  <c r="I789" i="1"/>
  <c r="J789" i="1"/>
  <c r="K789" i="1"/>
  <c r="L789" i="1"/>
  <c r="M789" i="1"/>
  <c r="N789" i="1"/>
  <c r="O789" i="1"/>
  <c r="P789" i="1"/>
  <c r="Q789" i="1"/>
  <c r="R789" i="1"/>
  <c r="S789" i="1"/>
  <c r="T789" i="1"/>
  <c r="U789" i="1"/>
  <c r="V789" i="1"/>
  <c r="W789" i="1"/>
  <c r="X789" i="1"/>
  <c r="Y789" i="1"/>
  <c r="Z789" i="1"/>
  <c r="AA789" i="1"/>
  <c r="AB789" i="1"/>
  <c r="AC789" i="1"/>
  <c r="AD789" i="1"/>
  <c r="AE789" i="1"/>
  <c r="AF789" i="1"/>
  <c r="AG789" i="1"/>
  <c r="AH789" i="1"/>
  <c r="AI789" i="1"/>
  <c r="AJ789" i="1"/>
  <c r="AK789" i="1"/>
  <c r="AL789" i="1"/>
  <c r="AM789" i="1"/>
  <c r="A790" i="1"/>
  <c r="B790" i="1"/>
  <c r="C790" i="1"/>
  <c r="D790" i="1"/>
  <c r="E790" i="1"/>
  <c r="F790" i="1"/>
  <c r="G790" i="1"/>
  <c r="H790" i="1"/>
  <c r="I790" i="1"/>
  <c r="J790" i="1"/>
  <c r="K790" i="1"/>
  <c r="L790" i="1"/>
  <c r="M790" i="1"/>
  <c r="N790" i="1"/>
  <c r="O790" i="1"/>
  <c r="P790" i="1"/>
  <c r="Q790" i="1"/>
  <c r="R790" i="1"/>
  <c r="S790" i="1"/>
  <c r="T790" i="1"/>
  <c r="U790" i="1"/>
  <c r="V790" i="1"/>
  <c r="W790" i="1"/>
  <c r="X790" i="1"/>
  <c r="Y790" i="1"/>
  <c r="Z790" i="1"/>
  <c r="AA790" i="1"/>
  <c r="AB790" i="1"/>
  <c r="AC790" i="1"/>
  <c r="AD790" i="1"/>
  <c r="AE790" i="1"/>
  <c r="AF790" i="1"/>
  <c r="AG790" i="1"/>
  <c r="AH790" i="1"/>
  <c r="AI790" i="1"/>
  <c r="AJ790" i="1"/>
  <c r="AK790" i="1"/>
  <c r="AL790" i="1"/>
  <c r="AM790" i="1"/>
  <c r="A791" i="1"/>
  <c r="B791" i="1"/>
  <c r="C791" i="1"/>
  <c r="D791" i="1"/>
  <c r="E791" i="1"/>
  <c r="F791" i="1"/>
  <c r="G791" i="1"/>
  <c r="H791" i="1"/>
  <c r="I791" i="1"/>
  <c r="J791" i="1"/>
  <c r="K791" i="1"/>
  <c r="L791" i="1"/>
  <c r="M791" i="1"/>
  <c r="N791" i="1"/>
  <c r="O791" i="1"/>
  <c r="P791" i="1"/>
  <c r="Q791" i="1"/>
  <c r="R791" i="1"/>
  <c r="S791" i="1"/>
  <c r="T791" i="1"/>
  <c r="U791" i="1"/>
  <c r="V791" i="1"/>
  <c r="W791" i="1"/>
  <c r="X791" i="1"/>
  <c r="Y791" i="1"/>
  <c r="Z791" i="1"/>
  <c r="AA791" i="1"/>
  <c r="AB791" i="1"/>
  <c r="AC791" i="1"/>
  <c r="AD791" i="1"/>
  <c r="AE791" i="1"/>
  <c r="AF791" i="1"/>
  <c r="AG791" i="1"/>
  <c r="AH791" i="1"/>
  <c r="AI791" i="1"/>
  <c r="AJ791" i="1"/>
  <c r="AK791" i="1"/>
  <c r="AL791" i="1"/>
  <c r="AM791" i="1"/>
  <c r="A792" i="1"/>
  <c r="B792" i="1"/>
  <c r="C792" i="1"/>
  <c r="D792" i="1"/>
  <c r="E792" i="1"/>
  <c r="F792" i="1"/>
  <c r="G792" i="1"/>
  <c r="H792" i="1"/>
  <c r="I792" i="1"/>
  <c r="J792" i="1"/>
  <c r="K792" i="1"/>
  <c r="L792" i="1"/>
  <c r="M792" i="1"/>
  <c r="N792" i="1"/>
  <c r="O792" i="1"/>
  <c r="P792" i="1"/>
  <c r="Q792" i="1"/>
  <c r="R792" i="1"/>
  <c r="S792" i="1"/>
  <c r="T792" i="1"/>
  <c r="U792" i="1"/>
  <c r="V792" i="1"/>
  <c r="W792" i="1"/>
  <c r="X792" i="1"/>
  <c r="Y792" i="1"/>
  <c r="Z792" i="1"/>
  <c r="AA792" i="1"/>
  <c r="AB792" i="1"/>
  <c r="AC792" i="1"/>
  <c r="AD792" i="1"/>
  <c r="AE792" i="1"/>
  <c r="AF792" i="1"/>
  <c r="AG792" i="1"/>
  <c r="AH792" i="1"/>
  <c r="AI792" i="1"/>
  <c r="AJ792" i="1"/>
  <c r="AK792" i="1"/>
  <c r="AL792" i="1"/>
  <c r="AM792" i="1"/>
  <c r="A793" i="1"/>
  <c r="B793" i="1"/>
  <c r="C793" i="1"/>
  <c r="D793" i="1"/>
  <c r="E793" i="1"/>
  <c r="F793" i="1"/>
  <c r="G793" i="1"/>
  <c r="H793" i="1"/>
  <c r="I793" i="1"/>
  <c r="J793" i="1"/>
  <c r="K793" i="1"/>
  <c r="L793" i="1"/>
  <c r="M793" i="1"/>
  <c r="N793" i="1"/>
  <c r="O793" i="1"/>
  <c r="P793" i="1"/>
  <c r="Q793" i="1"/>
  <c r="R793" i="1"/>
  <c r="S793" i="1"/>
  <c r="T793" i="1"/>
  <c r="U793" i="1"/>
  <c r="V793" i="1"/>
  <c r="W793" i="1"/>
  <c r="X793" i="1"/>
  <c r="Y793" i="1"/>
  <c r="Z793" i="1"/>
  <c r="AA793" i="1"/>
  <c r="AB793" i="1"/>
  <c r="AC793" i="1"/>
  <c r="AD793" i="1"/>
  <c r="AE793" i="1"/>
  <c r="AF793" i="1"/>
  <c r="AG793" i="1"/>
  <c r="AH793" i="1"/>
  <c r="AI793" i="1"/>
  <c r="AJ793" i="1"/>
  <c r="AK793" i="1"/>
  <c r="AL793" i="1"/>
  <c r="AM793" i="1"/>
  <c r="A794" i="1"/>
  <c r="B794" i="1"/>
  <c r="C794" i="1"/>
  <c r="D794" i="1"/>
  <c r="E794" i="1"/>
  <c r="F794" i="1"/>
  <c r="G794" i="1"/>
  <c r="H794" i="1"/>
  <c r="I794" i="1"/>
  <c r="J794" i="1"/>
  <c r="K794" i="1"/>
  <c r="L794" i="1"/>
  <c r="M794" i="1"/>
  <c r="N794" i="1"/>
  <c r="O794" i="1"/>
  <c r="P794" i="1"/>
  <c r="Q794" i="1"/>
  <c r="R794" i="1"/>
  <c r="S794" i="1"/>
  <c r="T794" i="1"/>
  <c r="U794" i="1"/>
  <c r="V794" i="1"/>
  <c r="W794" i="1"/>
  <c r="X794" i="1"/>
  <c r="Y794" i="1"/>
  <c r="Z794" i="1"/>
  <c r="AA794" i="1"/>
  <c r="AB794" i="1"/>
  <c r="AC794" i="1"/>
  <c r="AD794" i="1"/>
  <c r="AE794" i="1"/>
  <c r="AF794" i="1"/>
  <c r="AG794" i="1"/>
  <c r="AH794" i="1"/>
  <c r="AI794" i="1"/>
  <c r="AJ794" i="1"/>
  <c r="AK794" i="1"/>
  <c r="AL794" i="1"/>
  <c r="AM794" i="1"/>
  <c r="A795" i="1"/>
  <c r="B795" i="1"/>
  <c r="C795" i="1"/>
  <c r="D795" i="1"/>
  <c r="E795" i="1"/>
  <c r="F795" i="1"/>
  <c r="G795" i="1"/>
  <c r="H795" i="1"/>
  <c r="I795" i="1"/>
  <c r="J795" i="1"/>
  <c r="K795" i="1"/>
  <c r="L795" i="1"/>
  <c r="M795" i="1"/>
  <c r="N795" i="1"/>
  <c r="O795" i="1"/>
  <c r="P795" i="1"/>
  <c r="Q795" i="1"/>
  <c r="R795" i="1"/>
  <c r="S795" i="1"/>
  <c r="T795" i="1"/>
  <c r="U795" i="1"/>
  <c r="V795" i="1"/>
  <c r="W795" i="1"/>
  <c r="X795" i="1"/>
  <c r="Y795" i="1"/>
  <c r="Z795" i="1"/>
  <c r="AA795" i="1"/>
  <c r="AB795" i="1"/>
  <c r="AC795" i="1"/>
  <c r="AD795" i="1"/>
  <c r="AE795" i="1"/>
  <c r="AF795" i="1"/>
  <c r="AG795" i="1"/>
  <c r="AH795" i="1"/>
  <c r="AI795" i="1"/>
  <c r="AJ795" i="1"/>
  <c r="AK795" i="1"/>
  <c r="AL795" i="1"/>
  <c r="AM795" i="1"/>
  <c r="A796" i="1"/>
  <c r="B796" i="1"/>
  <c r="C796" i="1"/>
  <c r="D796" i="1"/>
  <c r="E796" i="1"/>
  <c r="F796" i="1"/>
  <c r="G796" i="1"/>
  <c r="H796" i="1"/>
  <c r="I796" i="1"/>
  <c r="J796" i="1"/>
  <c r="K796" i="1"/>
  <c r="L796" i="1"/>
  <c r="M796" i="1"/>
  <c r="N796" i="1"/>
  <c r="O796" i="1"/>
  <c r="P796" i="1"/>
  <c r="Q796" i="1"/>
  <c r="R796" i="1"/>
  <c r="S796" i="1"/>
  <c r="T796" i="1"/>
  <c r="U796" i="1"/>
  <c r="V796" i="1"/>
  <c r="W796" i="1"/>
  <c r="X796" i="1"/>
  <c r="Y796" i="1"/>
  <c r="Z796" i="1"/>
  <c r="AA796" i="1"/>
  <c r="AB796" i="1"/>
  <c r="AC796" i="1"/>
  <c r="AD796" i="1"/>
  <c r="AE796" i="1"/>
  <c r="AF796" i="1"/>
  <c r="AG796" i="1"/>
  <c r="AH796" i="1"/>
  <c r="AI796" i="1"/>
  <c r="AJ796" i="1"/>
  <c r="AK796" i="1"/>
  <c r="AL796" i="1"/>
  <c r="AM796" i="1"/>
  <c r="A797" i="1"/>
  <c r="B797" i="1"/>
  <c r="C797" i="1"/>
  <c r="D797" i="1"/>
  <c r="E797" i="1"/>
  <c r="F797" i="1"/>
  <c r="G797" i="1"/>
  <c r="H797" i="1"/>
  <c r="I797" i="1"/>
  <c r="J797" i="1"/>
  <c r="K797" i="1"/>
  <c r="L797" i="1"/>
  <c r="M797" i="1"/>
  <c r="N797" i="1"/>
  <c r="O797" i="1"/>
  <c r="P797" i="1"/>
  <c r="Q797" i="1"/>
  <c r="R797" i="1"/>
  <c r="S797" i="1"/>
  <c r="T797" i="1"/>
  <c r="U797" i="1"/>
  <c r="V797" i="1"/>
  <c r="W797" i="1"/>
  <c r="X797" i="1"/>
  <c r="Y797" i="1"/>
  <c r="Z797" i="1"/>
  <c r="AA797" i="1"/>
  <c r="AB797" i="1"/>
  <c r="AC797" i="1"/>
  <c r="AD797" i="1"/>
  <c r="AE797" i="1"/>
  <c r="AF797" i="1"/>
  <c r="AG797" i="1"/>
  <c r="AH797" i="1"/>
  <c r="AI797" i="1"/>
  <c r="AJ797" i="1"/>
  <c r="AK797" i="1"/>
  <c r="AL797" i="1"/>
  <c r="AM797" i="1"/>
  <c r="A798" i="1"/>
  <c r="B798" i="1"/>
  <c r="C798" i="1"/>
  <c r="D798" i="1"/>
  <c r="E798" i="1"/>
  <c r="F798" i="1"/>
  <c r="G798" i="1"/>
  <c r="H798" i="1"/>
  <c r="I798" i="1"/>
  <c r="J798" i="1"/>
  <c r="K798" i="1"/>
  <c r="L798" i="1"/>
  <c r="M798" i="1"/>
  <c r="N798" i="1"/>
  <c r="O798" i="1"/>
  <c r="P798" i="1"/>
  <c r="Q798" i="1"/>
  <c r="R798" i="1"/>
  <c r="S798" i="1"/>
  <c r="T798" i="1"/>
  <c r="U798" i="1"/>
  <c r="V798" i="1"/>
  <c r="W798" i="1"/>
  <c r="X798" i="1"/>
  <c r="Y798" i="1"/>
  <c r="Z798" i="1"/>
  <c r="AA798" i="1"/>
  <c r="AB798" i="1"/>
  <c r="AC798" i="1"/>
  <c r="AD798" i="1"/>
  <c r="AE798" i="1"/>
  <c r="AF798" i="1"/>
  <c r="AG798" i="1"/>
  <c r="AH798" i="1"/>
  <c r="AI798" i="1"/>
  <c r="AJ798" i="1"/>
  <c r="AK798" i="1"/>
  <c r="AL798" i="1"/>
  <c r="AM798" i="1"/>
  <c r="A799" i="1"/>
  <c r="B799" i="1"/>
  <c r="C799" i="1"/>
  <c r="D799" i="1"/>
  <c r="E799" i="1"/>
  <c r="F799" i="1"/>
  <c r="G799" i="1"/>
  <c r="H799" i="1"/>
  <c r="I799" i="1"/>
  <c r="J799" i="1"/>
  <c r="K799" i="1"/>
  <c r="L799" i="1"/>
  <c r="M799" i="1"/>
  <c r="N799" i="1"/>
  <c r="O799" i="1"/>
  <c r="P799" i="1"/>
  <c r="Q799" i="1"/>
  <c r="R799" i="1"/>
  <c r="S799" i="1"/>
  <c r="T799" i="1"/>
  <c r="U799" i="1"/>
  <c r="V799" i="1"/>
  <c r="W799" i="1"/>
  <c r="X799" i="1"/>
  <c r="Y799" i="1"/>
  <c r="Z799" i="1"/>
  <c r="AA799" i="1"/>
  <c r="AB799" i="1"/>
  <c r="AC799" i="1"/>
  <c r="AD799" i="1"/>
  <c r="AE799" i="1"/>
  <c r="AF799" i="1"/>
  <c r="AG799" i="1"/>
  <c r="AH799" i="1"/>
  <c r="AI799" i="1"/>
  <c r="AJ799" i="1"/>
  <c r="AK799" i="1"/>
  <c r="AL799" i="1"/>
  <c r="AM799" i="1"/>
  <c r="A800" i="1"/>
  <c r="B800" i="1"/>
  <c r="C800" i="1"/>
  <c r="D800" i="1"/>
  <c r="E800" i="1"/>
  <c r="F800" i="1"/>
  <c r="G800" i="1"/>
  <c r="H800" i="1"/>
  <c r="I800" i="1"/>
  <c r="J800" i="1"/>
  <c r="K800" i="1"/>
  <c r="L800" i="1"/>
  <c r="M800" i="1"/>
  <c r="N800" i="1"/>
  <c r="O800" i="1"/>
  <c r="P800" i="1"/>
  <c r="Q800" i="1"/>
  <c r="R800" i="1"/>
  <c r="S800" i="1"/>
  <c r="T800" i="1"/>
  <c r="U800" i="1"/>
  <c r="V800" i="1"/>
  <c r="W800" i="1"/>
  <c r="X800" i="1"/>
  <c r="Y800" i="1"/>
  <c r="Z800" i="1"/>
  <c r="AA800" i="1"/>
  <c r="AB800" i="1"/>
  <c r="AC800" i="1"/>
  <c r="AD800" i="1"/>
  <c r="AE800" i="1"/>
  <c r="AF800" i="1"/>
  <c r="AG800" i="1"/>
  <c r="AH800" i="1"/>
  <c r="AI800" i="1"/>
  <c r="AJ800" i="1"/>
  <c r="AK800" i="1"/>
  <c r="AL800" i="1"/>
  <c r="AM800" i="1"/>
  <c r="A801" i="1"/>
  <c r="B801" i="1"/>
  <c r="C801" i="1"/>
  <c r="D801" i="1"/>
  <c r="E801" i="1"/>
  <c r="F801" i="1"/>
  <c r="G801" i="1"/>
  <c r="H801" i="1"/>
  <c r="I801" i="1"/>
  <c r="J801" i="1"/>
  <c r="K801" i="1"/>
  <c r="L801" i="1"/>
  <c r="M801" i="1"/>
  <c r="N801" i="1"/>
  <c r="O801" i="1"/>
  <c r="P801" i="1"/>
  <c r="Q801" i="1"/>
  <c r="R801" i="1"/>
  <c r="S801" i="1"/>
  <c r="T801" i="1"/>
  <c r="U801" i="1"/>
  <c r="V801" i="1"/>
  <c r="W801" i="1"/>
  <c r="X801" i="1"/>
  <c r="Y801" i="1"/>
  <c r="Z801" i="1"/>
  <c r="AA801" i="1"/>
  <c r="AB801" i="1"/>
  <c r="AC801" i="1"/>
  <c r="AD801" i="1"/>
  <c r="AE801" i="1"/>
  <c r="AF801" i="1"/>
  <c r="AG801" i="1"/>
  <c r="AH801" i="1"/>
  <c r="AI801" i="1"/>
  <c r="AJ801" i="1"/>
  <c r="AK801" i="1"/>
  <c r="AL801" i="1"/>
  <c r="AM801" i="1"/>
  <c r="A802" i="1"/>
  <c r="B802" i="1"/>
  <c r="C802" i="1"/>
  <c r="D802" i="1"/>
  <c r="E802" i="1"/>
  <c r="F802" i="1"/>
  <c r="G802" i="1"/>
  <c r="H802" i="1"/>
  <c r="I802" i="1"/>
  <c r="J802" i="1"/>
  <c r="K802" i="1"/>
  <c r="L802" i="1"/>
  <c r="M802" i="1"/>
  <c r="N802" i="1"/>
  <c r="O802" i="1"/>
  <c r="P802" i="1"/>
  <c r="Q802" i="1"/>
  <c r="R802" i="1"/>
  <c r="S802" i="1"/>
  <c r="T802" i="1"/>
  <c r="U802" i="1"/>
  <c r="V802" i="1"/>
  <c r="W802" i="1"/>
  <c r="X802" i="1"/>
  <c r="Y802" i="1"/>
  <c r="Z802" i="1"/>
  <c r="AA802" i="1"/>
  <c r="AB802" i="1"/>
  <c r="AC802" i="1"/>
  <c r="AD802" i="1"/>
  <c r="AE802" i="1"/>
  <c r="AF802" i="1"/>
  <c r="AG802" i="1"/>
  <c r="AH802" i="1"/>
  <c r="AI802" i="1"/>
  <c r="AJ802" i="1"/>
  <c r="AK802" i="1"/>
  <c r="AL802" i="1"/>
  <c r="AM802" i="1"/>
  <c r="A803" i="1"/>
  <c r="B803" i="1"/>
  <c r="C803" i="1"/>
  <c r="D803" i="1"/>
  <c r="E803" i="1"/>
  <c r="F803" i="1"/>
  <c r="G803" i="1"/>
  <c r="H803" i="1"/>
  <c r="I803" i="1"/>
  <c r="J803" i="1"/>
  <c r="K803" i="1"/>
  <c r="L803" i="1"/>
  <c r="M803" i="1"/>
  <c r="N803" i="1"/>
  <c r="O803" i="1"/>
  <c r="P803" i="1"/>
  <c r="Q803" i="1"/>
  <c r="R803" i="1"/>
  <c r="S803" i="1"/>
  <c r="T803" i="1"/>
  <c r="U803" i="1"/>
  <c r="V803" i="1"/>
  <c r="W803" i="1"/>
  <c r="X803" i="1"/>
  <c r="Y803" i="1"/>
  <c r="Z803" i="1"/>
  <c r="AA803" i="1"/>
  <c r="AB803" i="1"/>
  <c r="AC803" i="1"/>
  <c r="AD803" i="1"/>
  <c r="AE803" i="1"/>
  <c r="AF803" i="1"/>
  <c r="AG803" i="1"/>
  <c r="AH803" i="1"/>
  <c r="AI803" i="1"/>
  <c r="AJ803" i="1"/>
  <c r="AK803" i="1"/>
  <c r="AL803" i="1"/>
  <c r="AM803" i="1"/>
  <c r="A804" i="1"/>
  <c r="B804" i="1"/>
  <c r="C804" i="1"/>
  <c r="D804" i="1"/>
  <c r="E804" i="1"/>
  <c r="F804" i="1"/>
  <c r="G804" i="1"/>
  <c r="H804" i="1"/>
  <c r="I804" i="1"/>
  <c r="J804" i="1"/>
  <c r="K804" i="1"/>
  <c r="L804" i="1"/>
  <c r="M804" i="1"/>
  <c r="N804" i="1"/>
  <c r="O804" i="1"/>
  <c r="P804" i="1"/>
  <c r="Q804" i="1"/>
  <c r="R804" i="1"/>
  <c r="S804" i="1"/>
  <c r="T804" i="1"/>
  <c r="U804" i="1"/>
  <c r="V804" i="1"/>
  <c r="W804" i="1"/>
  <c r="X804" i="1"/>
  <c r="Y804" i="1"/>
  <c r="Z804" i="1"/>
  <c r="AA804" i="1"/>
  <c r="AB804" i="1"/>
  <c r="AC804" i="1"/>
  <c r="AD804" i="1"/>
  <c r="AE804" i="1"/>
  <c r="AF804" i="1"/>
  <c r="AG804" i="1"/>
  <c r="AH804" i="1"/>
  <c r="AI804" i="1"/>
  <c r="AJ804" i="1"/>
  <c r="AK804" i="1"/>
  <c r="AL804" i="1"/>
  <c r="AM804" i="1"/>
  <c r="A805" i="1"/>
  <c r="B805" i="1"/>
  <c r="C805" i="1"/>
  <c r="D805" i="1"/>
  <c r="E805" i="1"/>
  <c r="F805" i="1"/>
  <c r="G805" i="1"/>
  <c r="H805" i="1"/>
  <c r="I805" i="1"/>
  <c r="J805" i="1"/>
  <c r="K805" i="1"/>
  <c r="L805" i="1"/>
  <c r="M805" i="1"/>
  <c r="N805" i="1"/>
  <c r="O805" i="1"/>
  <c r="P805" i="1"/>
  <c r="Q805" i="1"/>
  <c r="R805" i="1"/>
  <c r="S805" i="1"/>
  <c r="T805" i="1"/>
  <c r="U805" i="1"/>
  <c r="V805" i="1"/>
  <c r="W805" i="1"/>
  <c r="X805" i="1"/>
  <c r="Y805" i="1"/>
  <c r="Z805" i="1"/>
  <c r="AA805" i="1"/>
  <c r="AB805" i="1"/>
  <c r="AC805" i="1"/>
  <c r="AD805" i="1"/>
  <c r="AE805" i="1"/>
  <c r="AF805" i="1"/>
  <c r="AG805" i="1"/>
  <c r="AH805" i="1"/>
  <c r="AI805" i="1"/>
  <c r="AJ805" i="1"/>
  <c r="AK805" i="1"/>
  <c r="AL805" i="1"/>
  <c r="AM805" i="1"/>
  <c r="A806" i="1"/>
  <c r="B806" i="1"/>
  <c r="C806" i="1"/>
  <c r="D806" i="1"/>
  <c r="E806" i="1"/>
  <c r="F806" i="1"/>
  <c r="G806" i="1"/>
  <c r="H806" i="1"/>
  <c r="I806" i="1"/>
  <c r="J806" i="1"/>
  <c r="K806" i="1"/>
  <c r="L806" i="1"/>
  <c r="M806" i="1"/>
  <c r="N806" i="1"/>
  <c r="O806" i="1"/>
  <c r="P806" i="1"/>
  <c r="Q806" i="1"/>
  <c r="R806" i="1"/>
  <c r="S806" i="1"/>
  <c r="T806" i="1"/>
  <c r="U806" i="1"/>
  <c r="V806" i="1"/>
  <c r="W806" i="1"/>
  <c r="X806" i="1"/>
  <c r="Y806" i="1"/>
  <c r="Z806" i="1"/>
  <c r="AA806" i="1"/>
  <c r="AB806" i="1"/>
  <c r="AC806" i="1"/>
  <c r="AD806" i="1"/>
  <c r="AE806" i="1"/>
  <c r="AF806" i="1"/>
  <c r="AG806" i="1"/>
  <c r="AH806" i="1"/>
  <c r="AI806" i="1"/>
  <c r="AJ806" i="1"/>
  <c r="AK806" i="1"/>
  <c r="AL806" i="1"/>
  <c r="AM806" i="1"/>
  <c r="A807" i="1"/>
  <c r="B807" i="1"/>
  <c r="C807" i="1"/>
  <c r="D807" i="1"/>
  <c r="E807" i="1"/>
  <c r="F807" i="1"/>
  <c r="G807" i="1"/>
  <c r="H807" i="1"/>
  <c r="I807" i="1"/>
  <c r="J807" i="1"/>
  <c r="K807" i="1"/>
  <c r="L807" i="1"/>
  <c r="M807" i="1"/>
  <c r="N807" i="1"/>
  <c r="O807" i="1"/>
  <c r="P807" i="1"/>
  <c r="Q807" i="1"/>
  <c r="R807" i="1"/>
  <c r="S807" i="1"/>
  <c r="T807" i="1"/>
  <c r="U807" i="1"/>
  <c r="V807" i="1"/>
  <c r="W807" i="1"/>
  <c r="X807" i="1"/>
  <c r="Y807" i="1"/>
  <c r="Z807" i="1"/>
  <c r="AA807" i="1"/>
  <c r="AB807" i="1"/>
  <c r="AC807" i="1"/>
  <c r="AD807" i="1"/>
  <c r="AE807" i="1"/>
  <c r="AF807" i="1"/>
  <c r="AG807" i="1"/>
  <c r="AH807" i="1"/>
  <c r="AI807" i="1"/>
  <c r="AJ807" i="1"/>
  <c r="AK807" i="1"/>
  <c r="AL807" i="1"/>
  <c r="AM807" i="1"/>
  <c r="A808" i="1"/>
  <c r="B808" i="1"/>
  <c r="C808" i="1"/>
  <c r="D808" i="1"/>
  <c r="E808" i="1"/>
  <c r="F808" i="1"/>
  <c r="G808" i="1"/>
  <c r="H808" i="1"/>
  <c r="I808" i="1"/>
  <c r="J808" i="1"/>
  <c r="K808" i="1"/>
  <c r="L808" i="1"/>
  <c r="M808" i="1"/>
  <c r="N808" i="1"/>
  <c r="O808" i="1"/>
  <c r="P808" i="1"/>
  <c r="Q808" i="1"/>
  <c r="R808" i="1"/>
  <c r="S808" i="1"/>
  <c r="T808" i="1"/>
  <c r="U808" i="1"/>
  <c r="V808" i="1"/>
  <c r="W808" i="1"/>
  <c r="X808" i="1"/>
  <c r="Y808" i="1"/>
  <c r="Z808" i="1"/>
  <c r="AA808" i="1"/>
  <c r="AB808" i="1"/>
  <c r="AC808" i="1"/>
  <c r="AD808" i="1"/>
  <c r="AE808" i="1"/>
  <c r="AF808" i="1"/>
  <c r="AG808" i="1"/>
  <c r="AH808" i="1"/>
  <c r="AI808" i="1"/>
  <c r="AJ808" i="1"/>
  <c r="AK808" i="1"/>
  <c r="AL808" i="1"/>
  <c r="AM808" i="1"/>
  <c r="A809" i="1"/>
  <c r="B809" i="1"/>
  <c r="C809" i="1"/>
  <c r="D809" i="1"/>
  <c r="E809" i="1"/>
  <c r="F809" i="1"/>
  <c r="G809" i="1"/>
  <c r="H809" i="1"/>
  <c r="I809" i="1"/>
  <c r="J809" i="1"/>
  <c r="K809" i="1"/>
  <c r="L809" i="1"/>
  <c r="M809" i="1"/>
  <c r="N809" i="1"/>
  <c r="O809" i="1"/>
  <c r="P809" i="1"/>
  <c r="Q809" i="1"/>
  <c r="R809" i="1"/>
  <c r="S809" i="1"/>
  <c r="T809" i="1"/>
  <c r="U809" i="1"/>
  <c r="V809" i="1"/>
  <c r="W809" i="1"/>
  <c r="X809" i="1"/>
  <c r="Y809" i="1"/>
  <c r="Z809" i="1"/>
  <c r="AA809" i="1"/>
  <c r="AB809" i="1"/>
  <c r="AC809" i="1"/>
  <c r="AD809" i="1"/>
  <c r="AE809" i="1"/>
  <c r="AF809" i="1"/>
  <c r="AG809" i="1"/>
  <c r="AH809" i="1"/>
  <c r="AI809" i="1"/>
  <c r="AJ809" i="1"/>
  <c r="AK809" i="1"/>
  <c r="AL809" i="1"/>
  <c r="AM809" i="1"/>
  <c r="A810" i="1"/>
  <c r="B810" i="1"/>
  <c r="C810" i="1"/>
  <c r="D810" i="1"/>
  <c r="E810" i="1"/>
  <c r="F810" i="1"/>
  <c r="G810" i="1"/>
  <c r="H810" i="1"/>
  <c r="I810" i="1"/>
  <c r="J810" i="1"/>
  <c r="K810" i="1"/>
  <c r="L810" i="1"/>
  <c r="M810" i="1"/>
  <c r="N810" i="1"/>
  <c r="O810" i="1"/>
  <c r="P810" i="1"/>
  <c r="Q810" i="1"/>
  <c r="R810" i="1"/>
  <c r="S810" i="1"/>
  <c r="T810" i="1"/>
  <c r="U810" i="1"/>
  <c r="V810" i="1"/>
  <c r="W810" i="1"/>
  <c r="X810" i="1"/>
  <c r="Y810" i="1"/>
  <c r="Z810" i="1"/>
  <c r="AA810" i="1"/>
  <c r="AB810" i="1"/>
  <c r="AC810" i="1"/>
  <c r="AD810" i="1"/>
  <c r="AE810" i="1"/>
  <c r="AF810" i="1"/>
  <c r="AG810" i="1"/>
  <c r="AH810" i="1"/>
  <c r="AI810" i="1"/>
  <c r="AJ810" i="1"/>
  <c r="AK810" i="1"/>
  <c r="AL810" i="1"/>
  <c r="AM810" i="1"/>
  <c r="A811" i="1"/>
  <c r="B811" i="1"/>
  <c r="C811" i="1"/>
  <c r="D811" i="1"/>
  <c r="E811" i="1"/>
  <c r="F811" i="1"/>
  <c r="G811" i="1"/>
  <c r="H811" i="1"/>
  <c r="I811" i="1"/>
  <c r="J811" i="1"/>
  <c r="K811" i="1"/>
  <c r="L811" i="1"/>
  <c r="M811" i="1"/>
  <c r="N811" i="1"/>
  <c r="O811" i="1"/>
  <c r="P811" i="1"/>
  <c r="Q811" i="1"/>
  <c r="R811" i="1"/>
  <c r="S811" i="1"/>
  <c r="T811" i="1"/>
  <c r="U811" i="1"/>
  <c r="V811" i="1"/>
  <c r="W811" i="1"/>
  <c r="X811" i="1"/>
  <c r="Y811" i="1"/>
  <c r="Z811" i="1"/>
  <c r="AA811" i="1"/>
  <c r="AB811" i="1"/>
  <c r="AC811" i="1"/>
  <c r="AD811" i="1"/>
  <c r="AE811" i="1"/>
  <c r="AF811" i="1"/>
  <c r="AG811" i="1"/>
  <c r="AH811" i="1"/>
  <c r="AI811" i="1"/>
  <c r="AJ811" i="1"/>
  <c r="AK811" i="1"/>
  <c r="AL811" i="1"/>
  <c r="AM811" i="1"/>
  <c r="A812" i="1"/>
  <c r="B812" i="1"/>
  <c r="C812" i="1"/>
  <c r="D812" i="1"/>
  <c r="E812" i="1"/>
  <c r="F812" i="1"/>
  <c r="G812" i="1"/>
  <c r="H812" i="1"/>
  <c r="I812" i="1"/>
  <c r="J812" i="1"/>
  <c r="K812" i="1"/>
  <c r="L812" i="1"/>
  <c r="M812" i="1"/>
  <c r="N812" i="1"/>
  <c r="O812" i="1"/>
  <c r="P812" i="1"/>
  <c r="Q812" i="1"/>
  <c r="R812" i="1"/>
  <c r="S812" i="1"/>
  <c r="T812" i="1"/>
  <c r="U812" i="1"/>
  <c r="V812" i="1"/>
  <c r="W812" i="1"/>
  <c r="X812" i="1"/>
  <c r="Y812" i="1"/>
  <c r="Z812" i="1"/>
  <c r="AA812" i="1"/>
  <c r="AB812" i="1"/>
  <c r="AC812" i="1"/>
  <c r="AD812" i="1"/>
  <c r="AE812" i="1"/>
  <c r="AF812" i="1"/>
  <c r="AG812" i="1"/>
  <c r="AH812" i="1"/>
  <c r="AI812" i="1"/>
  <c r="AJ812" i="1"/>
  <c r="AK812" i="1"/>
  <c r="AL812" i="1"/>
  <c r="AM812" i="1"/>
  <c r="A813" i="1"/>
  <c r="B813" i="1"/>
  <c r="C813" i="1"/>
  <c r="D813" i="1"/>
  <c r="E813" i="1"/>
  <c r="F813" i="1"/>
  <c r="G813" i="1"/>
  <c r="H813" i="1"/>
  <c r="I813" i="1"/>
  <c r="J813" i="1"/>
  <c r="K813" i="1"/>
  <c r="L813" i="1"/>
  <c r="M813" i="1"/>
  <c r="N813" i="1"/>
  <c r="O813" i="1"/>
  <c r="P813" i="1"/>
  <c r="Q813" i="1"/>
  <c r="R813" i="1"/>
  <c r="S813" i="1"/>
  <c r="T813" i="1"/>
  <c r="U813" i="1"/>
  <c r="V813" i="1"/>
  <c r="W813" i="1"/>
  <c r="X813" i="1"/>
  <c r="Y813" i="1"/>
  <c r="Z813" i="1"/>
  <c r="AA813" i="1"/>
  <c r="AB813" i="1"/>
  <c r="AC813" i="1"/>
  <c r="AD813" i="1"/>
  <c r="AE813" i="1"/>
  <c r="AF813" i="1"/>
  <c r="AG813" i="1"/>
  <c r="AH813" i="1"/>
  <c r="AI813" i="1"/>
  <c r="AJ813" i="1"/>
  <c r="AK813" i="1"/>
  <c r="AL813" i="1"/>
  <c r="AM813" i="1"/>
  <c r="A814" i="1"/>
  <c r="B814" i="1"/>
  <c r="C814" i="1"/>
  <c r="D814" i="1"/>
  <c r="E814" i="1"/>
  <c r="F814" i="1"/>
  <c r="G814" i="1"/>
  <c r="H814" i="1"/>
  <c r="I814" i="1"/>
  <c r="J814" i="1"/>
  <c r="K814" i="1"/>
  <c r="L814" i="1"/>
  <c r="M814" i="1"/>
  <c r="N814" i="1"/>
  <c r="O814" i="1"/>
  <c r="P814" i="1"/>
  <c r="Q814" i="1"/>
  <c r="R814" i="1"/>
  <c r="S814" i="1"/>
  <c r="T814" i="1"/>
  <c r="U814" i="1"/>
  <c r="V814" i="1"/>
  <c r="W814" i="1"/>
  <c r="X814" i="1"/>
  <c r="Y814" i="1"/>
  <c r="Z814" i="1"/>
  <c r="AA814" i="1"/>
  <c r="AB814" i="1"/>
  <c r="AC814" i="1"/>
  <c r="AD814" i="1"/>
  <c r="AE814" i="1"/>
  <c r="AF814" i="1"/>
  <c r="AG814" i="1"/>
  <c r="AH814" i="1"/>
  <c r="AI814" i="1"/>
  <c r="AJ814" i="1"/>
  <c r="AK814" i="1"/>
  <c r="AL814" i="1"/>
  <c r="AM814" i="1"/>
  <c r="A815" i="1"/>
  <c r="B815" i="1"/>
  <c r="C815" i="1"/>
  <c r="D815" i="1"/>
  <c r="E815" i="1"/>
  <c r="F815" i="1"/>
  <c r="G815" i="1"/>
  <c r="H815" i="1"/>
  <c r="I815" i="1"/>
  <c r="J815" i="1"/>
  <c r="K815" i="1"/>
  <c r="L815" i="1"/>
  <c r="M815" i="1"/>
  <c r="N815" i="1"/>
  <c r="O815" i="1"/>
  <c r="P815" i="1"/>
  <c r="Q815" i="1"/>
  <c r="R815" i="1"/>
  <c r="S815" i="1"/>
  <c r="T815" i="1"/>
  <c r="U815" i="1"/>
  <c r="V815" i="1"/>
  <c r="W815" i="1"/>
  <c r="X815" i="1"/>
  <c r="Y815" i="1"/>
  <c r="Z815" i="1"/>
  <c r="AA815" i="1"/>
  <c r="AB815" i="1"/>
  <c r="AC815" i="1"/>
  <c r="AD815" i="1"/>
  <c r="AE815" i="1"/>
  <c r="AF815" i="1"/>
  <c r="AG815" i="1"/>
  <c r="AH815" i="1"/>
  <c r="AI815" i="1"/>
  <c r="AJ815" i="1"/>
  <c r="AK815" i="1"/>
  <c r="AL815" i="1"/>
  <c r="AM815" i="1"/>
  <c r="A816" i="1"/>
  <c r="B816" i="1"/>
  <c r="C816" i="1"/>
  <c r="D816" i="1"/>
  <c r="E816" i="1"/>
  <c r="F816" i="1"/>
  <c r="G816" i="1"/>
  <c r="H816" i="1"/>
  <c r="I816" i="1"/>
  <c r="J816" i="1"/>
  <c r="K816" i="1"/>
  <c r="L816" i="1"/>
  <c r="M816" i="1"/>
  <c r="N816" i="1"/>
  <c r="O816" i="1"/>
  <c r="P816" i="1"/>
  <c r="Q816" i="1"/>
  <c r="R816" i="1"/>
  <c r="S816" i="1"/>
  <c r="T816" i="1"/>
  <c r="U816" i="1"/>
  <c r="V816" i="1"/>
  <c r="W816" i="1"/>
  <c r="X816" i="1"/>
  <c r="Y816" i="1"/>
  <c r="Z816" i="1"/>
  <c r="AA816" i="1"/>
  <c r="AB816" i="1"/>
  <c r="AC816" i="1"/>
  <c r="AD816" i="1"/>
  <c r="AE816" i="1"/>
  <c r="AF816" i="1"/>
  <c r="AG816" i="1"/>
  <c r="AH816" i="1"/>
  <c r="AI816" i="1"/>
  <c r="AJ816" i="1"/>
  <c r="AK816" i="1"/>
  <c r="AL816" i="1"/>
  <c r="AM816" i="1"/>
  <c r="A817" i="1"/>
  <c r="B817" i="1"/>
  <c r="C817" i="1"/>
  <c r="D817" i="1"/>
  <c r="E817" i="1"/>
  <c r="F817" i="1"/>
  <c r="G817" i="1"/>
  <c r="H817" i="1"/>
  <c r="I817" i="1"/>
  <c r="J817" i="1"/>
  <c r="K817" i="1"/>
  <c r="L817" i="1"/>
  <c r="M817" i="1"/>
  <c r="N817" i="1"/>
  <c r="O817" i="1"/>
  <c r="P817" i="1"/>
  <c r="Q817" i="1"/>
  <c r="R817" i="1"/>
  <c r="S817" i="1"/>
  <c r="T817" i="1"/>
  <c r="U817" i="1"/>
  <c r="V817" i="1"/>
  <c r="W817" i="1"/>
  <c r="X817" i="1"/>
  <c r="Y817" i="1"/>
  <c r="Z817" i="1"/>
  <c r="AA817" i="1"/>
  <c r="AB817" i="1"/>
  <c r="AC817" i="1"/>
  <c r="AD817" i="1"/>
  <c r="AE817" i="1"/>
  <c r="AF817" i="1"/>
  <c r="AG817" i="1"/>
  <c r="AH817" i="1"/>
  <c r="AI817" i="1"/>
  <c r="AJ817" i="1"/>
  <c r="AK817" i="1"/>
  <c r="AL817" i="1"/>
  <c r="AM817" i="1"/>
  <c r="A818" i="1"/>
  <c r="B818" i="1"/>
  <c r="C818" i="1"/>
  <c r="D818" i="1"/>
  <c r="E818" i="1"/>
  <c r="F818" i="1"/>
  <c r="G818" i="1"/>
  <c r="H818" i="1"/>
  <c r="I818" i="1"/>
  <c r="J818" i="1"/>
  <c r="K818" i="1"/>
  <c r="L818" i="1"/>
  <c r="M818" i="1"/>
  <c r="N818" i="1"/>
  <c r="O818" i="1"/>
  <c r="P818" i="1"/>
  <c r="Q818" i="1"/>
  <c r="R818" i="1"/>
  <c r="S818" i="1"/>
  <c r="T818" i="1"/>
  <c r="U818" i="1"/>
  <c r="V818" i="1"/>
  <c r="W818" i="1"/>
  <c r="X818" i="1"/>
  <c r="Y818" i="1"/>
  <c r="Z818" i="1"/>
  <c r="AA818" i="1"/>
  <c r="AB818" i="1"/>
  <c r="AC818" i="1"/>
  <c r="AD818" i="1"/>
  <c r="AE818" i="1"/>
  <c r="AF818" i="1"/>
  <c r="AG818" i="1"/>
  <c r="AH818" i="1"/>
  <c r="AI818" i="1"/>
  <c r="AJ818" i="1"/>
  <c r="AK818" i="1"/>
  <c r="AL818" i="1"/>
  <c r="AM818" i="1"/>
  <c r="A819" i="1"/>
  <c r="B819" i="1"/>
  <c r="C819" i="1"/>
  <c r="D819" i="1"/>
  <c r="E819" i="1"/>
  <c r="F819" i="1"/>
  <c r="G819" i="1"/>
  <c r="H819" i="1"/>
  <c r="I819" i="1"/>
  <c r="J819" i="1"/>
  <c r="K819" i="1"/>
  <c r="L819" i="1"/>
  <c r="M819" i="1"/>
  <c r="N819" i="1"/>
  <c r="O819" i="1"/>
  <c r="P819" i="1"/>
  <c r="Q819" i="1"/>
  <c r="R819" i="1"/>
  <c r="S819" i="1"/>
  <c r="T819" i="1"/>
  <c r="U819" i="1"/>
  <c r="V819" i="1"/>
  <c r="W819" i="1"/>
  <c r="X819" i="1"/>
  <c r="Y819" i="1"/>
  <c r="Z819" i="1"/>
  <c r="AA819" i="1"/>
  <c r="AB819" i="1"/>
  <c r="AC819" i="1"/>
  <c r="AD819" i="1"/>
  <c r="AE819" i="1"/>
  <c r="AF819" i="1"/>
  <c r="AG819" i="1"/>
  <c r="AH819" i="1"/>
  <c r="AI819" i="1"/>
  <c r="AJ819" i="1"/>
  <c r="AK819" i="1"/>
  <c r="AL819" i="1"/>
  <c r="AM819" i="1"/>
  <c r="A820" i="1"/>
  <c r="B820" i="1"/>
  <c r="C820" i="1"/>
  <c r="D820" i="1"/>
  <c r="E820" i="1"/>
  <c r="F820" i="1"/>
  <c r="G820" i="1"/>
  <c r="H820" i="1"/>
  <c r="I820" i="1"/>
  <c r="J820" i="1"/>
  <c r="K820" i="1"/>
  <c r="L820" i="1"/>
  <c r="M820" i="1"/>
  <c r="N820" i="1"/>
  <c r="O820" i="1"/>
  <c r="P820" i="1"/>
  <c r="Q820" i="1"/>
  <c r="R820" i="1"/>
  <c r="S820" i="1"/>
  <c r="T820" i="1"/>
  <c r="U820" i="1"/>
  <c r="V820" i="1"/>
  <c r="W820" i="1"/>
  <c r="X820" i="1"/>
  <c r="Y820" i="1"/>
  <c r="Z820" i="1"/>
  <c r="AA820" i="1"/>
  <c r="AB820" i="1"/>
  <c r="AC820" i="1"/>
  <c r="AD820" i="1"/>
  <c r="AE820" i="1"/>
  <c r="AF820" i="1"/>
  <c r="AG820" i="1"/>
  <c r="AH820" i="1"/>
  <c r="AI820" i="1"/>
  <c r="AJ820" i="1"/>
  <c r="AK820" i="1"/>
  <c r="AL820" i="1"/>
  <c r="AM820" i="1"/>
  <c r="A821" i="1"/>
  <c r="B821" i="1"/>
  <c r="C821" i="1"/>
  <c r="D821" i="1"/>
  <c r="E821" i="1"/>
  <c r="F821" i="1"/>
  <c r="G821" i="1"/>
  <c r="H821" i="1"/>
  <c r="I821" i="1"/>
  <c r="J821" i="1"/>
  <c r="K821" i="1"/>
  <c r="L821" i="1"/>
  <c r="M821" i="1"/>
  <c r="N821" i="1"/>
  <c r="O821" i="1"/>
  <c r="P821" i="1"/>
  <c r="Q821" i="1"/>
  <c r="R821" i="1"/>
  <c r="S821" i="1"/>
  <c r="T821" i="1"/>
  <c r="U821" i="1"/>
  <c r="V821" i="1"/>
  <c r="W821" i="1"/>
  <c r="X821" i="1"/>
  <c r="Y821" i="1"/>
  <c r="Z821" i="1"/>
  <c r="AA821" i="1"/>
  <c r="AB821" i="1"/>
  <c r="AC821" i="1"/>
  <c r="AD821" i="1"/>
  <c r="AE821" i="1"/>
  <c r="AF821" i="1"/>
  <c r="AG821" i="1"/>
  <c r="AH821" i="1"/>
  <c r="AI821" i="1"/>
  <c r="AJ821" i="1"/>
  <c r="AK821" i="1"/>
  <c r="AL821" i="1"/>
  <c r="AM821" i="1"/>
  <c r="A822" i="1"/>
  <c r="B822" i="1"/>
  <c r="C822" i="1"/>
  <c r="D822" i="1"/>
  <c r="E822" i="1"/>
  <c r="F822" i="1"/>
  <c r="G822" i="1"/>
  <c r="H822" i="1"/>
  <c r="I822" i="1"/>
  <c r="J822" i="1"/>
  <c r="K822" i="1"/>
  <c r="L822" i="1"/>
  <c r="M822" i="1"/>
  <c r="N822" i="1"/>
  <c r="O822" i="1"/>
  <c r="P822" i="1"/>
  <c r="Q822" i="1"/>
  <c r="R822" i="1"/>
  <c r="S822" i="1"/>
  <c r="T822" i="1"/>
  <c r="U822" i="1"/>
  <c r="V822" i="1"/>
  <c r="W822" i="1"/>
  <c r="X822" i="1"/>
  <c r="Y822" i="1"/>
  <c r="Z822" i="1"/>
  <c r="AA822" i="1"/>
  <c r="AB822" i="1"/>
  <c r="AC822" i="1"/>
  <c r="AD822" i="1"/>
  <c r="AE822" i="1"/>
  <c r="AF822" i="1"/>
  <c r="AG822" i="1"/>
  <c r="AH822" i="1"/>
  <c r="AI822" i="1"/>
  <c r="AJ822" i="1"/>
  <c r="AK822" i="1"/>
  <c r="AL822" i="1"/>
  <c r="AM822" i="1"/>
  <c r="A823" i="1"/>
  <c r="B823" i="1"/>
  <c r="C823" i="1"/>
  <c r="D823" i="1"/>
  <c r="E823" i="1"/>
  <c r="F823" i="1"/>
  <c r="G823" i="1"/>
  <c r="H823" i="1"/>
  <c r="I823" i="1"/>
  <c r="J823" i="1"/>
  <c r="K823" i="1"/>
  <c r="L823" i="1"/>
  <c r="M823" i="1"/>
  <c r="N823" i="1"/>
  <c r="O823" i="1"/>
  <c r="P823" i="1"/>
  <c r="Q823" i="1"/>
  <c r="R823" i="1"/>
  <c r="S823" i="1"/>
  <c r="T823" i="1"/>
  <c r="U823" i="1"/>
  <c r="V823" i="1"/>
  <c r="W823" i="1"/>
  <c r="X823" i="1"/>
  <c r="Y823" i="1"/>
  <c r="Z823" i="1"/>
  <c r="AA823" i="1"/>
  <c r="AB823" i="1"/>
  <c r="AC823" i="1"/>
  <c r="AD823" i="1"/>
  <c r="AE823" i="1"/>
  <c r="AF823" i="1"/>
  <c r="AG823" i="1"/>
  <c r="AH823" i="1"/>
  <c r="AI823" i="1"/>
  <c r="AJ823" i="1"/>
  <c r="AK823" i="1"/>
  <c r="AL823" i="1"/>
  <c r="AM823" i="1"/>
  <c r="A824" i="1"/>
  <c r="B824" i="1"/>
  <c r="C824" i="1"/>
  <c r="D824" i="1"/>
  <c r="E824" i="1"/>
  <c r="F824" i="1"/>
  <c r="G824" i="1"/>
  <c r="H824" i="1"/>
  <c r="I824" i="1"/>
  <c r="J824" i="1"/>
  <c r="K824" i="1"/>
  <c r="L824" i="1"/>
  <c r="M824" i="1"/>
  <c r="N824" i="1"/>
  <c r="O824" i="1"/>
  <c r="P824" i="1"/>
  <c r="Q824" i="1"/>
  <c r="R824" i="1"/>
  <c r="S824" i="1"/>
  <c r="T824" i="1"/>
  <c r="U824" i="1"/>
  <c r="V824" i="1"/>
  <c r="W824" i="1"/>
  <c r="X824" i="1"/>
  <c r="Y824" i="1"/>
  <c r="Z824" i="1"/>
  <c r="AA824" i="1"/>
  <c r="AB824" i="1"/>
  <c r="AC824" i="1"/>
  <c r="AD824" i="1"/>
  <c r="AE824" i="1"/>
  <c r="AF824" i="1"/>
  <c r="AG824" i="1"/>
  <c r="AH824" i="1"/>
  <c r="AI824" i="1"/>
  <c r="AJ824" i="1"/>
  <c r="AK824" i="1"/>
  <c r="AL824" i="1"/>
  <c r="AM824" i="1"/>
  <c r="A825" i="1"/>
  <c r="B825" i="1"/>
  <c r="C825" i="1"/>
  <c r="D825" i="1"/>
  <c r="E825" i="1"/>
  <c r="F825" i="1"/>
  <c r="G825" i="1"/>
  <c r="H825" i="1"/>
  <c r="I825" i="1"/>
  <c r="J825" i="1"/>
  <c r="K825" i="1"/>
  <c r="L825" i="1"/>
  <c r="M825" i="1"/>
  <c r="N825" i="1"/>
  <c r="O825" i="1"/>
  <c r="P825" i="1"/>
  <c r="Q825" i="1"/>
  <c r="R825" i="1"/>
  <c r="S825" i="1"/>
  <c r="T825" i="1"/>
  <c r="U825" i="1"/>
  <c r="V825" i="1"/>
  <c r="W825" i="1"/>
  <c r="X825" i="1"/>
  <c r="Y825" i="1"/>
  <c r="Z825" i="1"/>
  <c r="AA825" i="1"/>
  <c r="AB825" i="1"/>
  <c r="AC825" i="1"/>
  <c r="AD825" i="1"/>
  <c r="AE825" i="1"/>
  <c r="AF825" i="1"/>
  <c r="AG825" i="1"/>
  <c r="AH825" i="1"/>
  <c r="AI825" i="1"/>
  <c r="AJ825" i="1"/>
  <c r="AK825" i="1"/>
  <c r="AL825" i="1"/>
  <c r="AM825" i="1"/>
  <c r="A826" i="1"/>
  <c r="B826" i="1"/>
  <c r="C826" i="1"/>
  <c r="D826" i="1"/>
  <c r="E826" i="1"/>
  <c r="F826" i="1"/>
  <c r="G826" i="1"/>
  <c r="H826" i="1"/>
  <c r="I826" i="1"/>
  <c r="J826" i="1"/>
  <c r="K826" i="1"/>
  <c r="L826" i="1"/>
  <c r="M826" i="1"/>
  <c r="N826" i="1"/>
  <c r="O826" i="1"/>
  <c r="P826" i="1"/>
  <c r="Q826" i="1"/>
  <c r="R826" i="1"/>
  <c r="S826" i="1"/>
  <c r="T826" i="1"/>
  <c r="U826" i="1"/>
  <c r="V826" i="1"/>
  <c r="W826" i="1"/>
  <c r="X826" i="1"/>
  <c r="Y826" i="1"/>
  <c r="Z826" i="1"/>
  <c r="AA826" i="1"/>
  <c r="AB826" i="1"/>
  <c r="AC826" i="1"/>
  <c r="AD826" i="1"/>
  <c r="AE826" i="1"/>
  <c r="AF826" i="1"/>
  <c r="AG826" i="1"/>
  <c r="AH826" i="1"/>
  <c r="AI826" i="1"/>
  <c r="AJ826" i="1"/>
  <c r="AK826" i="1"/>
  <c r="AL826" i="1"/>
  <c r="AM826" i="1"/>
  <c r="A827" i="1"/>
  <c r="B827" i="1"/>
  <c r="C827" i="1"/>
  <c r="D827" i="1"/>
  <c r="E827" i="1"/>
  <c r="F827" i="1"/>
  <c r="G827" i="1"/>
  <c r="H827" i="1"/>
  <c r="I827" i="1"/>
  <c r="J827" i="1"/>
  <c r="K827" i="1"/>
  <c r="L827" i="1"/>
  <c r="M827" i="1"/>
  <c r="N827" i="1"/>
  <c r="O827" i="1"/>
  <c r="P827" i="1"/>
  <c r="Q827" i="1"/>
  <c r="R827" i="1"/>
  <c r="S827" i="1"/>
  <c r="T827" i="1"/>
  <c r="U827" i="1"/>
  <c r="V827" i="1"/>
  <c r="W827" i="1"/>
  <c r="X827" i="1"/>
  <c r="Y827" i="1"/>
  <c r="Z827" i="1"/>
  <c r="AA827" i="1"/>
  <c r="AB827" i="1"/>
  <c r="AC827" i="1"/>
  <c r="AD827" i="1"/>
  <c r="AE827" i="1"/>
  <c r="AF827" i="1"/>
  <c r="AG827" i="1"/>
  <c r="AH827" i="1"/>
  <c r="AI827" i="1"/>
  <c r="AJ827" i="1"/>
  <c r="AK827" i="1"/>
  <c r="AL827" i="1"/>
  <c r="AM827" i="1"/>
  <c r="A828" i="1"/>
  <c r="B828" i="1"/>
  <c r="C828" i="1"/>
  <c r="D828" i="1"/>
  <c r="E828" i="1"/>
  <c r="F828" i="1"/>
  <c r="G828" i="1"/>
  <c r="H828" i="1"/>
  <c r="I828" i="1"/>
  <c r="J828" i="1"/>
  <c r="K828" i="1"/>
  <c r="L828" i="1"/>
  <c r="M828" i="1"/>
  <c r="N828" i="1"/>
  <c r="O828" i="1"/>
  <c r="P828" i="1"/>
  <c r="Q828" i="1"/>
  <c r="R828" i="1"/>
  <c r="S828" i="1"/>
  <c r="T828" i="1"/>
  <c r="U828" i="1"/>
  <c r="V828" i="1"/>
  <c r="W828" i="1"/>
  <c r="X828" i="1"/>
  <c r="Y828" i="1"/>
  <c r="Z828" i="1"/>
  <c r="AA828" i="1"/>
  <c r="AB828" i="1"/>
  <c r="AC828" i="1"/>
  <c r="AD828" i="1"/>
  <c r="AE828" i="1"/>
  <c r="AF828" i="1"/>
  <c r="AG828" i="1"/>
  <c r="AH828" i="1"/>
  <c r="AI828" i="1"/>
  <c r="AJ828" i="1"/>
  <c r="AK828" i="1"/>
  <c r="AL828" i="1"/>
  <c r="AM828" i="1"/>
  <c r="A829" i="1"/>
  <c r="B829" i="1"/>
  <c r="C829" i="1"/>
  <c r="D829" i="1"/>
  <c r="E829" i="1"/>
  <c r="F829" i="1"/>
  <c r="G829" i="1"/>
  <c r="H829" i="1"/>
  <c r="I829" i="1"/>
  <c r="J829" i="1"/>
  <c r="K829" i="1"/>
  <c r="L829" i="1"/>
  <c r="M829" i="1"/>
  <c r="N829" i="1"/>
  <c r="O829" i="1"/>
  <c r="P829" i="1"/>
  <c r="Q829" i="1"/>
  <c r="R829" i="1"/>
  <c r="S829" i="1"/>
  <c r="T829" i="1"/>
  <c r="U829" i="1"/>
  <c r="V829" i="1"/>
  <c r="W829" i="1"/>
  <c r="X829" i="1"/>
  <c r="Y829" i="1"/>
  <c r="Z829" i="1"/>
  <c r="AA829" i="1"/>
  <c r="AB829" i="1"/>
  <c r="AC829" i="1"/>
  <c r="AD829" i="1"/>
  <c r="AE829" i="1"/>
  <c r="AF829" i="1"/>
  <c r="AG829" i="1"/>
  <c r="AH829" i="1"/>
  <c r="AI829" i="1"/>
  <c r="AJ829" i="1"/>
  <c r="AK829" i="1"/>
  <c r="AL829" i="1"/>
  <c r="AM829" i="1"/>
  <c r="A830" i="1"/>
  <c r="B830" i="1"/>
  <c r="C830" i="1"/>
  <c r="D830" i="1"/>
  <c r="E830" i="1"/>
  <c r="F830" i="1"/>
  <c r="G830" i="1"/>
  <c r="H830" i="1"/>
  <c r="I830" i="1"/>
  <c r="J830" i="1"/>
  <c r="K830" i="1"/>
  <c r="L830" i="1"/>
  <c r="M830" i="1"/>
  <c r="N830" i="1"/>
  <c r="O830" i="1"/>
  <c r="P830" i="1"/>
  <c r="Q830" i="1"/>
  <c r="R830" i="1"/>
  <c r="S830" i="1"/>
  <c r="T830" i="1"/>
  <c r="U830" i="1"/>
  <c r="V830" i="1"/>
  <c r="W830" i="1"/>
  <c r="X830" i="1"/>
  <c r="Y830" i="1"/>
  <c r="Z830" i="1"/>
  <c r="AA830" i="1"/>
  <c r="AB830" i="1"/>
  <c r="AC830" i="1"/>
  <c r="AD830" i="1"/>
  <c r="AE830" i="1"/>
  <c r="AF830" i="1"/>
  <c r="AG830" i="1"/>
  <c r="AH830" i="1"/>
  <c r="AI830" i="1"/>
  <c r="AJ830" i="1"/>
  <c r="AK830" i="1"/>
  <c r="AL830" i="1"/>
  <c r="AM830" i="1"/>
  <c r="A831" i="1"/>
  <c r="B831" i="1"/>
  <c r="C831" i="1"/>
  <c r="D831" i="1"/>
  <c r="E831" i="1"/>
  <c r="F831" i="1"/>
  <c r="G831" i="1"/>
  <c r="H831" i="1"/>
  <c r="I831" i="1"/>
  <c r="J831" i="1"/>
  <c r="K831" i="1"/>
  <c r="L831" i="1"/>
  <c r="M831" i="1"/>
  <c r="N831" i="1"/>
  <c r="O831" i="1"/>
  <c r="P831" i="1"/>
  <c r="Q831" i="1"/>
  <c r="R831" i="1"/>
  <c r="S831" i="1"/>
  <c r="T831" i="1"/>
  <c r="U831" i="1"/>
  <c r="V831" i="1"/>
  <c r="W831" i="1"/>
  <c r="X831" i="1"/>
  <c r="Y831" i="1"/>
  <c r="Z831" i="1"/>
  <c r="AA831" i="1"/>
  <c r="AB831" i="1"/>
  <c r="AC831" i="1"/>
  <c r="AD831" i="1"/>
  <c r="AE831" i="1"/>
  <c r="AF831" i="1"/>
  <c r="AG831" i="1"/>
  <c r="AH831" i="1"/>
  <c r="AI831" i="1"/>
  <c r="AJ831" i="1"/>
  <c r="AK831" i="1"/>
  <c r="AL831" i="1"/>
  <c r="AM831" i="1"/>
  <c r="A832" i="1"/>
  <c r="B832" i="1"/>
  <c r="C832" i="1"/>
  <c r="D832" i="1"/>
  <c r="E832" i="1"/>
  <c r="F832" i="1"/>
  <c r="G832" i="1"/>
  <c r="H832" i="1"/>
  <c r="I832" i="1"/>
  <c r="J832" i="1"/>
  <c r="K832" i="1"/>
  <c r="L832" i="1"/>
  <c r="M832" i="1"/>
  <c r="N832" i="1"/>
  <c r="O832" i="1"/>
  <c r="P832" i="1"/>
  <c r="Q832" i="1"/>
  <c r="R832" i="1"/>
  <c r="S832" i="1"/>
  <c r="T832" i="1"/>
  <c r="U832" i="1"/>
  <c r="V832" i="1"/>
  <c r="W832" i="1"/>
  <c r="X832" i="1"/>
  <c r="Y832" i="1"/>
  <c r="Z832" i="1"/>
  <c r="AA832" i="1"/>
  <c r="AB832" i="1"/>
  <c r="AC832" i="1"/>
  <c r="AD832" i="1"/>
  <c r="AE832" i="1"/>
  <c r="AF832" i="1"/>
  <c r="AG832" i="1"/>
  <c r="AH832" i="1"/>
  <c r="AI832" i="1"/>
  <c r="AJ832" i="1"/>
  <c r="AK832" i="1"/>
  <c r="AL832" i="1"/>
  <c r="AM832" i="1"/>
  <c r="A833" i="1"/>
  <c r="B833" i="1"/>
  <c r="C833" i="1"/>
  <c r="D833" i="1"/>
  <c r="E833" i="1"/>
  <c r="F833" i="1"/>
  <c r="G833" i="1"/>
  <c r="H833" i="1"/>
  <c r="I833" i="1"/>
  <c r="J833" i="1"/>
  <c r="K833" i="1"/>
  <c r="L833" i="1"/>
  <c r="M833" i="1"/>
  <c r="N833" i="1"/>
  <c r="O833" i="1"/>
  <c r="P833" i="1"/>
  <c r="Q833" i="1"/>
  <c r="R833" i="1"/>
  <c r="S833" i="1"/>
  <c r="T833" i="1"/>
  <c r="U833" i="1"/>
  <c r="V833" i="1"/>
  <c r="W833" i="1"/>
  <c r="X833" i="1"/>
  <c r="Y833" i="1"/>
  <c r="Z833" i="1"/>
  <c r="AA833" i="1"/>
  <c r="AB833" i="1"/>
  <c r="AC833" i="1"/>
  <c r="AD833" i="1"/>
  <c r="AE833" i="1"/>
  <c r="AF833" i="1"/>
  <c r="AG833" i="1"/>
  <c r="AH833" i="1"/>
  <c r="AI833" i="1"/>
  <c r="AJ833" i="1"/>
  <c r="AK833" i="1"/>
  <c r="AL833" i="1"/>
  <c r="AM833" i="1"/>
  <c r="A834" i="1"/>
  <c r="B834" i="1"/>
  <c r="C834" i="1"/>
  <c r="D834" i="1"/>
  <c r="E834" i="1"/>
  <c r="F834" i="1"/>
  <c r="G834" i="1"/>
  <c r="H834" i="1"/>
  <c r="I834" i="1"/>
  <c r="J834" i="1"/>
  <c r="K834" i="1"/>
  <c r="L834" i="1"/>
  <c r="M834" i="1"/>
  <c r="N834" i="1"/>
  <c r="O834" i="1"/>
  <c r="P834" i="1"/>
  <c r="Q834" i="1"/>
  <c r="R834" i="1"/>
  <c r="S834" i="1"/>
  <c r="T834" i="1"/>
  <c r="U834" i="1"/>
  <c r="V834" i="1"/>
  <c r="W834" i="1"/>
  <c r="X834" i="1"/>
  <c r="Y834" i="1"/>
  <c r="Z834" i="1"/>
  <c r="AA834" i="1"/>
  <c r="AB834" i="1"/>
  <c r="AC834" i="1"/>
  <c r="AD834" i="1"/>
  <c r="AE834" i="1"/>
  <c r="AF834" i="1"/>
  <c r="AG834" i="1"/>
  <c r="AH834" i="1"/>
  <c r="AI834" i="1"/>
  <c r="AJ834" i="1"/>
  <c r="AK834" i="1"/>
  <c r="AL834" i="1"/>
  <c r="AM834" i="1"/>
  <c r="A835" i="1"/>
  <c r="B835" i="1"/>
  <c r="C835" i="1"/>
  <c r="D835" i="1"/>
  <c r="E835" i="1"/>
  <c r="F835" i="1"/>
  <c r="G835" i="1"/>
  <c r="H835" i="1"/>
  <c r="I835" i="1"/>
  <c r="J835" i="1"/>
  <c r="K835" i="1"/>
  <c r="L835" i="1"/>
  <c r="M835" i="1"/>
  <c r="N835" i="1"/>
  <c r="O835" i="1"/>
  <c r="P835" i="1"/>
  <c r="Q835" i="1"/>
  <c r="R835" i="1"/>
  <c r="S835" i="1"/>
  <c r="T835" i="1"/>
  <c r="U835" i="1"/>
  <c r="V835" i="1"/>
  <c r="W835" i="1"/>
  <c r="X835" i="1"/>
  <c r="Y835" i="1"/>
  <c r="Z835" i="1"/>
  <c r="AA835" i="1"/>
  <c r="AB835" i="1"/>
  <c r="AC835" i="1"/>
  <c r="AD835" i="1"/>
  <c r="AE835" i="1"/>
  <c r="AF835" i="1"/>
  <c r="AG835" i="1"/>
  <c r="AH835" i="1"/>
  <c r="AI835" i="1"/>
  <c r="AJ835" i="1"/>
  <c r="AK835" i="1"/>
  <c r="AL835" i="1"/>
  <c r="AM835" i="1"/>
  <c r="A836" i="1"/>
  <c r="B836" i="1"/>
  <c r="C836" i="1"/>
  <c r="D836" i="1"/>
  <c r="E836" i="1"/>
  <c r="F836" i="1"/>
  <c r="G836" i="1"/>
  <c r="H836" i="1"/>
  <c r="I836" i="1"/>
  <c r="J836" i="1"/>
  <c r="K836" i="1"/>
  <c r="L836" i="1"/>
  <c r="M836" i="1"/>
  <c r="N836" i="1"/>
  <c r="O836" i="1"/>
  <c r="P836" i="1"/>
  <c r="Q836" i="1"/>
  <c r="R836" i="1"/>
  <c r="S836" i="1"/>
  <c r="T836" i="1"/>
  <c r="U836" i="1"/>
  <c r="V836" i="1"/>
  <c r="W836" i="1"/>
  <c r="X836" i="1"/>
  <c r="Y836" i="1"/>
  <c r="Z836" i="1"/>
  <c r="AA836" i="1"/>
  <c r="AB836" i="1"/>
  <c r="AC836" i="1"/>
  <c r="AD836" i="1"/>
  <c r="AE836" i="1"/>
  <c r="AF836" i="1"/>
  <c r="AG836" i="1"/>
  <c r="AH836" i="1"/>
  <c r="AI836" i="1"/>
  <c r="AJ836" i="1"/>
  <c r="AK836" i="1"/>
  <c r="AL836" i="1"/>
  <c r="AM836" i="1"/>
  <c r="A837" i="1"/>
  <c r="B837" i="1"/>
  <c r="C837" i="1"/>
  <c r="D837" i="1"/>
  <c r="E837" i="1"/>
  <c r="F837" i="1"/>
  <c r="G837" i="1"/>
  <c r="H837" i="1"/>
  <c r="I837" i="1"/>
  <c r="J837" i="1"/>
  <c r="K837" i="1"/>
  <c r="L837" i="1"/>
  <c r="M837" i="1"/>
  <c r="N837" i="1"/>
  <c r="O837" i="1"/>
  <c r="P837" i="1"/>
  <c r="Q837" i="1"/>
  <c r="R837" i="1"/>
  <c r="S837" i="1"/>
  <c r="T837" i="1"/>
  <c r="U837" i="1"/>
  <c r="V837" i="1"/>
  <c r="W837" i="1"/>
  <c r="X837" i="1"/>
  <c r="Y837" i="1"/>
  <c r="Z837" i="1"/>
  <c r="AA837" i="1"/>
  <c r="AB837" i="1"/>
  <c r="AC837" i="1"/>
  <c r="AD837" i="1"/>
  <c r="AE837" i="1"/>
  <c r="AF837" i="1"/>
  <c r="AG837" i="1"/>
  <c r="AH837" i="1"/>
  <c r="AI837" i="1"/>
  <c r="AJ837" i="1"/>
  <c r="AK837" i="1"/>
  <c r="AL837" i="1"/>
  <c r="AM837" i="1"/>
  <c r="A838" i="1"/>
  <c r="B838" i="1"/>
  <c r="C838" i="1"/>
  <c r="D838" i="1"/>
  <c r="E838" i="1"/>
  <c r="F838" i="1"/>
  <c r="G838" i="1"/>
  <c r="H838" i="1"/>
  <c r="I838" i="1"/>
  <c r="J838" i="1"/>
  <c r="K838" i="1"/>
  <c r="L838" i="1"/>
  <c r="M838" i="1"/>
  <c r="N838" i="1"/>
  <c r="O838" i="1"/>
  <c r="P838" i="1"/>
  <c r="Q838" i="1"/>
  <c r="R838" i="1"/>
  <c r="S838" i="1"/>
  <c r="T838" i="1"/>
  <c r="U838" i="1"/>
  <c r="V838" i="1"/>
  <c r="W838" i="1"/>
  <c r="X838" i="1"/>
  <c r="Y838" i="1"/>
  <c r="Z838" i="1"/>
  <c r="AA838" i="1"/>
  <c r="AB838" i="1"/>
  <c r="AC838" i="1"/>
  <c r="AD838" i="1"/>
  <c r="AE838" i="1"/>
  <c r="AF838" i="1"/>
  <c r="AG838" i="1"/>
  <c r="AH838" i="1"/>
  <c r="AI838" i="1"/>
  <c r="AJ838" i="1"/>
  <c r="AK838" i="1"/>
  <c r="AL838" i="1"/>
  <c r="AM838" i="1"/>
  <c r="A839" i="1"/>
  <c r="B839" i="1"/>
  <c r="C839" i="1"/>
  <c r="D839" i="1"/>
  <c r="E839" i="1"/>
  <c r="F839" i="1"/>
  <c r="G839" i="1"/>
  <c r="H839" i="1"/>
  <c r="I839" i="1"/>
  <c r="J839" i="1"/>
  <c r="K839" i="1"/>
  <c r="L839" i="1"/>
  <c r="M839" i="1"/>
  <c r="N839" i="1"/>
  <c r="O839" i="1"/>
  <c r="P839" i="1"/>
  <c r="Q839" i="1"/>
  <c r="R839" i="1"/>
  <c r="S839" i="1"/>
  <c r="T839" i="1"/>
  <c r="U839" i="1"/>
  <c r="V839" i="1"/>
  <c r="W839" i="1"/>
  <c r="X839" i="1"/>
  <c r="Y839" i="1"/>
  <c r="Z839" i="1"/>
  <c r="AA839" i="1"/>
  <c r="AB839" i="1"/>
  <c r="AC839" i="1"/>
  <c r="AD839" i="1"/>
  <c r="AE839" i="1"/>
  <c r="AF839" i="1"/>
  <c r="AG839" i="1"/>
  <c r="AH839" i="1"/>
  <c r="AI839" i="1"/>
  <c r="AJ839" i="1"/>
  <c r="AK839" i="1"/>
  <c r="AL839" i="1"/>
  <c r="AM839" i="1"/>
  <c r="A840" i="1"/>
  <c r="B840" i="1"/>
  <c r="C840" i="1"/>
  <c r="D840" i="1"/>
  <c r="E840" i="1"/>
  <c r="F840" i="1"/>
  <c r="G840" i="1"/>
  <c r="H840" i="1"/>
  <c r="I840" i="1"/>
  <c r="J840" i="1"/>
  <c r="K840" i="1"/>
  <c r="L840" i="1"/>
  <c r="M840" i="1"/>
  <c r="N840" i="1"/>
  <c r="O840" i="1"/>
  <c r="P840" i="1"/>
  <c r="Q840" i="1"/>
  <c r="R840" i="1"/>
  <c r="S840" i="1"/>
  <c r="T840" i="1"/>
  <c r="U840" i="1"/>
  <c r="V840" i="1"/>
  <c r="W840" i="1"/>
  <c r="X840" i="1"/>
  <c r="Y840" i="1"/>
  <c r="Z840" i="1"/>
  <c r="AA840" i="1"/>
  <c r="AB840" i="1"/>
  <c r="AC840" i="1"/>
  <c r="AD840" i="1"/>
  <c r="AE840" i="1"/>
  <c r="AF840" i="1"/>
  <c r="AG840" i="1"/>
  <c r="AH840" i="1"/>
  <c r="AI840" i="1"/>
  <c r="AJ840" i="1"/>
  <c r="AK840" i="1"/>
  <c r="AL840" i="1"/>
  <c r="AM840" i="1"/>
  <c r="A841" i="1"/>
  <c r="B841" i="1"/>
  <c r="C841" i="1"/>
  <c r="D841" i="1"/>
  <c r="E841" i="1"/>
  <c r="F841" i="1"/>
  <c r="G841" i="1"/>
  <c r="H841" i="1"/>
  <c r="I841" i="1"/>
  <c r="J841" i="1"/>
  <c r="K841" i="1"/>
  <c r="L841" i="1"/>
  <c r="M841" i="1"/>
  <c r="N841" i="1"/>
  <c r="O841" i="1"/>
  <c r="P841" i="1"/>
  <c r="Q841" i="1"/>
  <c r="R841" i="1"/>
  <c r="S841" i="1"/>
  <c r="T841" i="1"/>
  <c r="U841" i="1"/>
  <c r="V841" i="1"/>
  <c r="W841" i="1"/>
  <c r="X841" i="1"/>
  <c r="Y841" i="1"/>
  <c r="Z841" i="1"/>
  <c r="AA841" i="1"/>
  <c r="AB841" i="1"/>
  <c r="AC841" i="1"/>
  <c r="AD841" i="1"/>
  <c r="AE841" i="1"/>
  <c r="AF841" i="1"/>
  <c r="AG841" i="1"/>
  <c r="AH841" i="1"/>
  <c r="AI841" i="1"/>
  <c r="AJ841" i="1"/>
  <c r="AK841" i="1"/>
  <c r="AL841" i="1"/>
  <c r="AM841" i="1"/>
  <c r="A842" i="1"/>
  <c r="B842" i="1"/>
  <c r="C842" i="1"/>
  <c r="D842" i="1"/>
  <c r="E842" i="1"/>
  <c r="F842" i="1"/>
  <c r="G842" i="1"/>
  <c r="H842" i="1"/>
  <c r="I842" i="1"/>
  <c r="J842" i="1"/>
  <c r="K842" i="1"/>
  <c r="L842" i="1"/>
  <c r="M842" i="1"/>
  <c r="N842" i="1"/>
  <c r="O842" i="1"/>
  <c r="P842" i="1"/>
  <c r="Q842" i="1"/>
  <c r="R842" i="1"/>
  <c r="S842" i="1"/>
  <c r="T842" i="1"/>
  <c r="U842" i="1"/>
  <c r="V842" i="1"/>
  <c r="W842" i="1"/>
  <c r="X842" i="1"/>
  <c r="Y842" i="1"/>
  <c r="Z842" i="1"/>
  <c r="AA842" i="1"/>
  <c r="AB842" i="1"/>
  <c r="AC842" i="1"/>
  <c r="AD842" i="1"/>
  <c r="AE842" i="1"/>
  <c r="AF842" i="1"/>
  <c r="AG842" i="1"/>
  <c r="AH842" i="1"/>
  <c r="AI842" i="1"/>
  <c r="AJ842" i="1"/>
  <c r="AK842" i="1"/>
  <c r="AL842" i="1"/>
  <c r="AM842" i="1"/>
  <c r="A843" i="1"/>
  <c r="B843" i="1"/>
  <c r="C843" i="1"/>
  <c r="D843" i="1"/>
  <c r="E843" i="1"/>
  <c r="F843" i="1"/>
  <c r="G843" i="1"/>
  <c r="H843" i="1"/>
  <c r="I843" i="1"/>
  <c r="J843" i="1"/>
  <c r="K843" i="1"/>
  <c r="L843" i="1"/>
  <c r="M843" i="1"/>
  <c r="N843" i="1"/>
  <c r="O843" i="1"/>
  <c r="P843" i="1"/>
  <c r="Q843" i="1"/>
  <c r="R843" i="1"/>
  <c r="S843" i="1"/>
  <c r="T843" i="1"/>
  <c r="U843" i="1"/>
  <c r="V843" i="1"/>
  <c r="W843" i="1"/>
  <c r="X843" i="1"/>
  <c r="Y843" i="1"/>
  <c r="Z843" i="1"/>
  <c r="AA843" i="1"/>
  <c r="AB843" i="1"/>
  <c r="AC843" i="1"/>
  <c r="AD843" i="1"/>
  <c r="AE843" i="1"/>
  <c r="AF843" i="1"/>
  <c r="AG843" i="1"/>
  <c r="AH843" i="1"/>
  <c r="AI843" i="1"/>
  <c r="AJ843" i="1"/>
  <c r="AK843" i="1"/>
  <c r="AL843" i="1"/>
  <c r="AM843" i="1"/>
  <c r="A844" i="1"/>
  <c r="B844" i="1"/>
  <c r="C844" i="1"/>
  <c r="D844" i="1"/>
  <c r="E844" i="1"/>
  <c r="F844" i="1"/>
  <c r="G844" i="1"/>
  <c r="H844" i="1"/>
  <c r="I844" i="1"/>
  <c r="J844" i="1"/>
  <c r="K844" i="1"/>
  <c r="L844" i="1"/>
  <c r="M844" i="1"/>
  <c r="N844" i="1"/>
  <c r="O844" i="1"/>
  <c r="P844" i="1"/>
  <c r="Q844" i="1"/>
  <c r="R844" i="1"/>
  <c r="S844" i="1"/>
  <c r="T844" i="1"/>
  <c r="U844" i="1"/>
  <c r="V844" i="1"/>
  <c r="W844" i="1"/>
  <c r="X844" i="1"/>
  <c r="Y844" i="1"/>
  <c r="Z844" i="1"/>
  <c r="AA844" i="1"/>
  <c r="AB844" i="1"/>
  <c r="AC844" i="1"/>
  <c r="AD844" i="1"/>
  <c r="AE844" i="1"/>
  <c r="AF844" i="1"/>
  <c r="AG844" i="1"/>
  <c r="AH844" i="1"/>
  <c r="AI844" i="1"/>
  <c r="AJ844" i="1"/>
  <c r="AK844" i="1"/>
  <c r="AL844" i="1"/>
  <c r="AM844" i="1"/>
  <c r="A845" i="1"/>
  <c r="B845" i="1"/>
  <c r="C845" i="1"/>
  <c r="D845" i="1"/>
  <c r="E845" i="1"/>
  <c r="F845" i="1"/>
  <c r="G845" i="1"/>
  <c r="H845" i="1"/>
  <c r="I845" i="1"/>
  <c r="J845" i="1"/>
  <c r="K845" i="1"/>
  <c r="L845" i="1"/>
  <c r="M845" i="1"/>
  <c r="N845" i="1"/>
  <c r="O845" i="1"/>
  <c r="P845" i="1"/>
  <c r="Q845" i="1"/>
  <c r="R845" i="1"/>
  <c r="S845" i="1"/>
  <c r="T845" i="1"/>
  <c r="U845" i="1"/>
  <c r="V845" i="1"/>
  <c r="W845" i="1"/>
  <c r="X845" i="1"/>
  <c r="Y845" i="1"/>
  <c r="Z845" i="1"/>
  <c r="AA845" i="1"/>
  <c r="AB845" i="1"/>
  <c r="AC845" i="1"/>
  <c r="AD845" i="1"/>
  <c r="AE845" i="1"/>
  <c r="AF845" i="1"/>
  <c r="AG845" i="1"/>
  <c r="AH845" i="1"/>
  <c r="AI845" i="1"/>
  <c r="AJ845" i="1"/>
  <c r="AK845" i="1"/>
  <c r="AL845" i="1"/>
  <c r="AM845" i="1"/>
  <c r="A846" i="1"/>
  <c r="B846" i="1"/>
  <c r="C846" i="1"/>
  <c r="D846" i="1"/>
  <c r="E846" i="1"/>
  <c r="F846" i="1"/>
  <c r="G846" i="1"/>
  <c r="H846" i="1"/>
  <c r="I846" i="1"/>
  <c r="J846" i="1"/>
  <c r="K846" i="1"/>
  <c r="L846" i="1"/>
  <c r="M846" i="1"/>
  <c r="N846" i="1"/>
  <c r="O846" i="1"/>
  <c r="P846" i="1"/>
  <c r="Q846" i="1"/>
  <c r="R846" i="1"/>
  <c r="S846" i="1"/>
  <c r="T846" i="1"/>
  <c r="U846" i="1"/>
  <c r="V846" i="1"/>
  <c r="W846" i="1"/>
  <c r="X846" i="1"/>
  <c r="Y846" i="1"/>
  <c r="Z846" i="1"/>
  <c r="AA846" i="1"/>
  <c r="AB846" i="1"/>
  <c r="AC846" i="1"/>
  <c r="AD846" i="1"/>
  <c r="AE846" i="1"/>
  <c r="AF846" i="1"/>
  <c r="AG846" i="1"/>
  <c r="AH846" i="1"/>
  <c r="AI846" i="1"/>
  <c r="AJ846" i="1"/>
  <c r="AK846" i="1"/>
  <c r="AL846" i="1"/>
  <c r="AM846" i="1"/>
  <c r="A847" i="1"/>
  <c r="B847" i="1"/>
  <c r="C847" i="1"/>
  <c r="D847" i="1"/>
  <c r="E847" i="1"/>
  <c r="F847" i="1"/>
  <c r="G847" i="1"/>
  <c r="H847" i="1"/>
  <c r="I847" i="1"/>
  <c r="J847" i="1"/>
  <c r="K847" i="1"/>
  <c r="L847" i="1"/>
  <c r="M847" i="1"/>
  <c r="N847" i="1"/>
  <c r="O847" i="1"/>
  <c r="P847" i="1"/>
  <c r="Q847" i="1"/>
  <c r="R847" i="1"/>
  <c r="S847" i="1"/>
  <c r="T847" i="1"/>
  <c r="U847" i="1"/>
  <c r="V847" i="1"/>
  <c r="W847" i="1"/>
  <c r="X847" i="1"/>
  <c r="Y847" i="1"/>
  <c r="Z847" i="1"/>
  <c r="AA847" i="1"/>
  <c r="AB847" i="1"/>
  <c r="AC847" i="1"/>
  <c r="AD847" i="1"/>
  <c r="AE847" i="1"/>
  <c r="AF847" i="1"/>
  <c r="AG847" i="1"/>
  <c r="AH847" i="1"/>
  <c r="AI847" i="1"/>
  <c r="AJ847" i="1"/>
  <c r="AK847" i="1"/>
  <c r="AL847" i="1"/>
  <c r="AM847" i="1"/>
  <c r="A848" i="1"/>
  <c r="B848" i="1"/>
  <c r="C848" i="1"/>
  <c r="D848" i="1"/>
  <c r="E848" i="1"/>
  <c r="F848" i="1"/>
  <c r="G848" i="1"/>
  <c r="H848" i="1"/>
  <c r="I848" i="1"/>
  <c r="J848" i="1"/>
  <c r="K848" i="1"/>
  <c r="L848" i="1"/>
  <c r="M848" i="1"/>
  <c r="N848" i="1"/>
  <c r="O848" i="1"/>
  <c r="P848" i="1"/>
  <c r="Q848" i="1"/>
  <c r="R848" i="1"/>
  <c r="S848" i="1"/>
  <c r="T848" i="1"/>
  <c r="U848" i="1"/>
  <c r="V848" i="1"/>
  <c r="W848" i="1"/>
  <c r="X848" i="1"/>
  <c r="Y848" i="1"/>
  <c r="Z848" i="1"/>
  <c r="AA848" i="1"/>
  <c r="AB848" i="1"/>
  <c r="AC848" i="1"/>
  <c r="AD848" i="1"/>
  <c r="AE848" i="1"/>
  <c r="AF848" i="1"/>
  <c r="AG848" i="1"/>
  <c r="AH848" i="1"/>
  <c r="AI848" i="1"/>
  <c r="AJ848" i="1"/>
  <c r="AK848" i="1"/>
  <c r="AL848" i="1"/>
  <c r="AM848" i="1"/>
  <c r="A849" i="1"/>
  <c r="B849" i="1"/>
  <c r="C849" i="1"/>
  <c r="D849" i="1"/>
  <c r="E849" i="1"/>
  <c r="F849" i="1"/>
  <c r="G849" i="1"/>
  <c r="H849" i="1"/>
  <c r="I849" i="1"/>
  <c r="J849" i="1"/>
  <c r="K849" i="1"/>
  <c r="L849" i="1"/>
  <c r="M849" i="1"/>
  <c r="N849" i="1"/>
  <c r="O849" i="1"/>
  <c r="P849" i="1"/>
  <c r="Q849" i="1"/>
  <c r="R849" i="1"/>
  <c r="S849" i="1"/>
  <c r="T849" i="1"/>
  <c r="U849" i="1"/>
  <c r="V849" i="1"/>
  <c r="W849" i="1"/>
  <c r="X849" i="1"/>
  <c r="Y849" i="1"/>
  <c r="Z849" i="1"/>
  <c r="AA849" i="1"/>
  <c r="AB849" i="1"/>
  <c r="AC849" i="1"/>
  <c r="AD849" i="1"/>
  <c r="AE849" i="1"/>
  <c r="AF849" i="1"/>
  <c r="AG849" i="1"/>
  <c r="AH849" i="1"/>
  <c r="AI849" i="1"/>
  <c r="AJ849" i="1"/>
  <c r="AK849" i="1"/>
  <c r="AL849" i="1"/>
  <c r="AM849" i="1"/>
  <c r="A850" i="1"/>
  <c r="B850" i="1"/>
  <c r="C850" i="1"/>
  <c r="D850" i="1"/>
  <c r="E850" i="1"/>
  <c r="F850" i="1"/>
  <c r="G850" i="1"/>
  <c r="H850" i="1"/>
  <c r="I850" i="1"/>
  <c r="J850" i="1"/>
  <c r="K850" i="1"/>
  <c r="L850" i="1"/>
  <c r="M850" i="1"/>
  <c r="N850" i="1"/>
  <c r="O850" i="1"/>
  <c r="P850" i="1"/>
  <c r="Q850" i="1"/>
  <c r="R850" i="1"/>
  <c r="S850" i="1"/>
  <c r="T850" i="1"/>
  <c r="U850" i="1"/>
  <c r="V850" i="1"/>
  <c r="W850" i="1"/>
  <c r="X850" i="1"/>
  <c r="Y850" i="1"/>
  <c r="Z850" i="1"/>
  <c r="AA850" i="1"/>
  <c r="AB850" i="1"/>
  <c r="AC850" i="1"/>
  <c r="AD850" i="1"/>
  <c r="AE850" i="1"/>
  <c r="AF850" i="1"/>
  <c r="AG850" i="1"/>
  <c r="AH850" i="1"/>
  <c r="AI850" i="1"/>
  <c r="AJ850" i="1"/>
  <c r="AK850" i="1"/>
  <c r="AL850" i="1"/>
  <c r="AM850" i="1"/>
  <c r="A851" i="1"/>
  <c r="B851" i="1"/>
  <c r="C851" i="1"/>
  <c r="D851" i="1"/>
  <c r="E851" i="1"/>
  <c r="F851" i="1"/>
  <c r="G851" i="1"/>
  <c r="H851" i="1"/>
  <c r="I851" i="1"/>
  <c r="J851" i="1"/>
  <c r="K851" i="1"/>
  <c r="L851" i="1"/>
  <c r="M851" i="1"/>
  <c r="N851" i="1"/>
  <c r="O851" i="1"/>
  <c r="P851" i="1"/>
  <c r="Q851" i="1"/>
  <c r="R851" i="1"/>
  <c r="S851" i="1"/>
  <c r="T851" i="1"/>
  <c r="U851" i="1"/>
  <c r="V851" i="1"/>
  <c r="W851" i="1"/>
  <c r="X851" i="1"/>
  <c r="Y851" i="1"/>
  <c r="Z851" i="1"/>
  <c r="AA851" i="1"/>
  <c r="AB851" i="1"/>
  <c r="AC851" i="1"/>
  <c r="AD851" i="1"/>
  <c r="AE851" i="1"/>
  <c r="AF851" i="1"/>
  <c r="AG851" i="1"/>
  <c r="AH851" i="1"/>
  <c r="AI851" i="1"/>
  <c r="AJ851" i="1"/>
  <c r="AK851" i="1"/>
  <c r="AL851" i="1"/>
  <c r="AM851" i="1"/>
  <c r="A852" i="1"/>
  <c r="B852" i="1"/>
  <c r="C852" i="1"/>
  <c r="D852" i="1"/>
  <c r="E852" i="1"/>
  <c r="F852" i="1"/>
  <c r="G852" i="1"/>
  <c r="H852" i="1"/>
  <c r="I852" i="1"/>
  <c r="J852" i="1"/>
  <c r="K852" i="1"/>
  <c r="L852" i="1"/>
  <c r="M852" i="1"/>
  <c r="N852" i="1"/>
  <c r="O852" i="1"/>
  <c r="P852" i="1"/>
  <c r="Q852" i="1"/>
  <c r="R852" i="1"/>
  <c r="S852" i="1"/>
  <c r="T852" i="1"/>
  <c r="U852" i="1"/>
  <c r="V852" i="1"/>
  <c r="W852" i="1"/>
  <c r="X852" i="1"/>
  <c r="Y852" i="1"/>
  <c r="Z852" i="1"/>
  <c r="AA852" i="1"/>
  <c r="AB852" i="1"/>
  <c r="AC852" i="1"/>
  <c r="AD852" i="1"/>
  <c r="AE852" i="1"/>
  <c r="AF852" i="1"/>
  <c r="AG852" i="1"/>
  <c r="AH852" i="1"/>
  <c r="AI852" i="1"/>
  <c r="AJ852" i="1"/>
  <c r="AK852" i="1"/>
  <c r="AL852" i="1"/>
  <c r="AM852" i="1"/>
  <c r="A853" i="1"/>
  <c r="B853" i="1"/>
  <c r="C853" i="1"/>
  <c r="D853" i="1"/>
  <c r="E853" i="1"/>
  <c r="F853" i="1"/>
  <c r="G853" i="1"/>
  <c r="H853" i="1"/>
  <c r="I853" i="1"/>
  <c r="J853" i="1"/>
  <c r="K853" i="1"/>
  <c r="L853" i="1"/>
  <c r="M853" i="1"/>
  <c r="N853" i="1"/>
  <c r="O853" i="1"/>
  <c r="P853" i="1"/>
  <c r="Q853" i="1"/>
  <c r="R853" i="1"/>
  <c r="S853" i="1"/>
  <c r="T853" i="1"/>
  <c r="U853" i="1"/>
  <c r="V853" i="1"/>
  <c r="W853" i="1"/>
  <c r="X853" i="1"/>
  <c r="Y853" i="1"/>
  <c r="Z853" i="1"/>
  <c r="AA853" i="1"/>
  <c r="AB853" i="1"/>
  <c r="AC853" i="1"/>
  <c r="AD853" i="1"/>
  <c r="AE853" i="1"/>
  <c r="AF853" i="1"/>
  <c r="AG853" i="1"/>
  <c r="AH853" i="1"/>
  <c r="AI853" i="1"/>
  <c r="AJ853" i="1"/>
  <c r="AK853" i="1"/>
  <c r="AL853" i="1"/>
  <c r="AM853" i="1"/>
  <c r="A854" i="1"/>
  <c r="B854" i="1"/>
  <c r="C854" i="1"/>
  <c r="D854" i="1"/>
  <c r="E854" i="1"/>
  <c r="F854" i="1"/>
  <c r="G854" i="1"/>
  <c r="H854" i="1"/>
  <c r="I854" i="1"/>
  <c r="J854" i="1"/>
  <c r="K854" i="1"/>
  <c r="L854" i="1"/>
  <c r="M854" i="1"/>
  <c r="N854" i="1"/>
  <c r="O854" i="1"/>
  <c r="P854" i="1"/>
  <c r="Q854" i="1"/>
  <c r="R854" i="1"/>
  <c r="S854" i="1"/>
  <c r="T854" i="1"/>
  <c r="U854" i="1"/>
  <c r="V854" i="1"/>
  <c r="W854" i="1"/>
  <c r="X854" i="1"/>
  <c r="Y854" i="1"/>
  <c r="Z854" i="1"/>
  <c r="AA854" i="1"/>
  <c r="AB854" i="1"/>
  <c r="AC854" i="1"/>
  <c r="AD854" i="1"/>
  <c r="AE854" i="1"/>
  <c r="AF854" i="1"/>
  <c r="AG854" i="1"/>
  <c r="AH854" i="1"/>
  <c r="AI854" i="1"/>
  <c r="AJ854" i="1"/>
  <c r="AK854" i="1"/>
  <c r="AL854" i="1"/>
  <c r="AM854" i="1"/>
  <c r="A855" i="1"/>
  <c r="B855" i="1"/>
  <c r="C855" i="1"/>
  <c r="D855" i="1"/>
  <c r="E855" i="1"/>
  <c r="F855" i="1"/>
  <c r="G855" i="1"/>
  <c r="H855" i="1"/>
  <c r="I855" i="1"/>
  <c r="J855" i="1"/>
  <c r="K855" i="1"/>
  <c r="L855" i="1"/>
  <c r="M855" i="1"/>
  <c r="N855" i="1"/>
  <c r="O855" i="1"/>
  <c r="P855" i="1"/>
  <c r="Q855" i="1"/>
  <c r="R855" i="1"/>
  <c r="S855" i="1"/>
  <c r="T855" i="1"/>
  <c r="U855" i="1"/>
  <c r="V855" i="1"/>
  <c r="W855" i="1"/>
  <c r="X855" i="1"/>
  <c r="Y855" i="1"/>
  <c r="Z855" i="1"/>
  <c r="AA855" i="1"/>
  <c r="AB855" i="1"/>
  <c r="AC855" i="1"/>
  <c r="AD855" i="1"/>
  <c r="AE855" i="1"/>
  <c r="AF855" i="1"/>
  <c r="AG855" i="1"/>
  <c r="AH855" i="1"/>
  <c r="AI855" i="1"/>
  <c r="AJ855" i="1"/>
  <c r="AK855" i="1"/>
  <c r="AL855" i="1"/>
  <c r="AM855" i="1"/>
  <c r="A856" i="1"/>
  <c r="B856" i="1"/>
  <c r="C856" i="1"/>
  <c r="D856" i="1"/>
  <c r="E856" i="1"/>
  <c r="F856" i="1"/>
  <c r="G856" i="1"/>
  <c r="H856" i="1"/>
  <c r="I856" i="1"/>
  <c r="J856" i="1"/>
  <c r="K856" i="1"/>
  <c r="L856" i="1"/>
  <c r="M856" i="1"/>
  <c r="N856" i="1"/>
  <c r="O856" i="1"/>
  <c r="P856" i="1"/>
  <c r="Q856" i="1"/>
  <c r="R856" i="1"/>
  <c r="S856" i="1"/>
  <c r="T856" i="1"/>
  <c r="U856" i="1"/>
  <c r="V856" i="1"/>
  <c r="W856" i="1"/>
  <c r="X856" i="1"/>
  <c r="Y856" i="1"/>
  <c r="Z856" i="1"/>
  <c r="AA856" i="1"/>
  <c r="AB856" i="1"/>
  <c r="AC856" i="1"/>
  <c r="AD856" i="1"/>
  <c r="AE856" i="1"/>
  <c r="AF856" i="1"/>
  <c r="AG856" i="1"/>
  <c r="AH856" i="1"/>
  <c r="AI856" i="1"/>
  <c r="AJ856" i="1"/>
  <c r="AK856" i="1"/>
  <c r="AL856" i="1"/>
  <c r="AM856" i="1"/>
  <c r="A857" i="1"/>
  <c r="B857" i="1"/>
  <c r="C857" i="1"/>
  <c r="D857" i="1"/>
  <c r="E857" i="1"/>
  <c r="F857" i="1"/>
  <c r="G857" i="1"/>
  <c r="H857" i="1"/>
  <c r="I857" i="1"/>
  <c r="J857" i="1"/>
  <c r="K857" i="1"/>
  <c r="L857" i="1"/>
  <c r="M857" i="1"/>
  <c r="N857" i="1"/>
  <c r="O857" i="1"/>
  <c r="P857" i="1"/>
  <c r="Q857" i="1"/>
  <c r="R857" i="1"/>
  <c r="S857" i="1"/>
  <c r="T857" i="1"/>
  <c r="U857" i="1"/>
  <c r="V857" i="1"/>
  <c r="W857" i="1"/>
  <c r="X857" i="1"/>
  <c r="Y857" i="1"/>
  <c r="Z857" i="1"/>
  <c r="AA857" i="1"/>
  <c r="AB857" i="1"/>
  <c r="AC857" i="1"/>
  <c r="AD857" i="1"/>
  <c r="AE857" i="1"/>
  <c r="AF857" i="1"/>
  <c r="AG857" i="1"/>
  <c r="AH857" i="1"/>
  <c r="AI857" i="1"/>
  <c r="AJ857" i="1"/>
  <c r="AK857" i="1"/>
  <c r="AL857" i="1"/>
  <c r="AM857" i="1"/>
  <c r="A858" i="1"/>
  <c r="B858" i="1"/>
  <c r="C858" i="1"/>
  <c r="D858" i="1"/>
  <c r="E858" i="1"/>
  <c r="F858" i="1"/>
  <c r="G858" i="1"/>
  <c r="H858" i="1"/>
  <c r="I858" i="1"/>
  <c r="J858" i="1"/>
  <c r="K858" i="1"/>
  <c r="L858" i="1"/>
  <c r="M858" i="1"/>
  <c r="N858" i="1"/>
  <c r="O858" i="1"/>
  <c r="P858" i="1"/>
  <c r="Q858" i="1"/>
  <c r="R858" i="1"/>
  <c r="S858" i="1"/>
  <c r="T858" i="1"/>
  <c r="U858" i="1"/>
  <c r="V858" i="1"/>
  <c r="W858" i="1"/>
  <c r="X858" i="1"/>
  <c r="Y858" i="1"/>
  <c r="Z858" i="1"/>
  <c r="AA858" i="1"/>
  <c r="AB858" i="1"/>
  <c r="AC858" i="1"/>
  <c r="AD858" i="1"/>
  <c r="AE858" i="1"/>
  <c r="AF858" i="1"/>
  <c r="AG858" i="1"/>
  <c r="AH858" i="1"/>
  <c r="AI858" i="1"/>
  <c r="AJ858" i="1"/>
  <c r="AK858" i="1"/>
  <c r="AL858" i="1"/>
  <c r="AM858" i="1"/>
  <c r="A859" i="1"/>
  <c r="B859" i="1"/>
  <c r="C859" i="1"/>
  <c r="D859" i="1"/>
  <c r="E859" i="1"/>
  <c r="F859" i="1"/>
  <c r="G859" i="1"/>
  <c r="H859" i="1"/>
  <c r="I859" i="1"/>
  <c r="J859" i="1"/>
  <c r="K859" i="1"/>
  <c r="L859" i="1"/>
  <c r="M859" i="1"/>
  <c r="N859" i="1"/>
  <c r="O859" i="1"/>
  <c r="P859" i="1"/>
  <c r="Q859" i="1"/>
  <c r="R859" i="1"/>
  <c r="S859" i="1"/>
  <c r="T859" i="1"/>
  <c r="U859" i="1"/>
  <c r="V859" i="1"/>
  <c r="W859" i="1"/>
  <c r="X859" i="1"/>
  <c r="Y859" i="1"/>
  <c r="Z859" i="1"/>
  <c r="AA859" i="1"/>
  <c r="AB859" i="1"/>
  <c r="AC859" i="1"/>
  <c r="AD859" i="1"/>
  <c r="AE859" i="1"/>
  <c r="AF859" i="1"/>
  <c r="AG859" i="1"/>
  <c r="AH859" i="1"/>
  <c r="AI859" i="1"/>
  <c r="AJ859" i="1"/>
  <c r="AK859" i="1"/>
  <c r="AL859" i="1"/>
  <c r="AM859" i="1"/>
  <c r="A860" i="1"/>
  <c r="B860" i="1"/>
  <c r="C860" i="1"/>
  <c r="D860" i="1"/>
  <c r="E860" i="1"/>
  <c r="F860" i="1"/>
  <c r="G860" i="1"/>
  <c r="H860" i="1"/>
  <c r="I860" i="1"/>
  <c r="J860" i="1"/>
  <c r="K860" i="1"/>
  <c r="L860" i="1"/>
  <c r="M860" i="1"/>
  <c r="N860" i="1"/>
  <c r="O860" i="1"/>
  <c r="P860" i="1"/>
  <c r="Q860" i="1"/>
  <c r="R860" i="1"/>
  <c r="S860" i="1"/>
  <c r="T860" i="1"/>
  <c r="U860" i="1"/>
  <c r="V860" i="1"/>
  <c r="W860" i="1"/>
  <c r="X860" i="1"/>
  <c r="Y860" i="1"/>
  <c r="Z860" i="1"/>
  <c r="AA860" i="1"/>
  <c r="AB860" i="1"/>
  <c r="AC860" i="1"/>
  <c r="AD860" i="1"/>
  <c r="AE860" i="1"/>
  <c r="AF860" i="1"/>
  <c r="AG860" i="1"/>
  <c r="AH860" i="1"/>
  <c r="AI860" i="1"/>
  <c r="AJ860" i="1"/>
  <c r="AK860" i="1"/>
  <c r="AL860" i="1"/>
  <c r="AM860" i="1"/>
  <c r="A861" i="1"/>
  <c r="B861" i="1"/>
  <c r="C861" i="1"/>
  <c r="D861" i="1"/>
  <c r="E861" i="1"/>
  <c r="F861" i="1"/>
  <c r="G861" i="1"/>
  <c r="H861" i="1"/>
  <c r="I861" i="1"/>
  <c r="J861" i="1"/>
  <c r="K861" i="1"/>
  <c r="L861" i="1"/>
  <c r="M861" i="1"/>
  <c r="N861" i="1"/>
  <c r="O861" i="1"/>
  <c r="P861" i="1"/>
  <c r="Q861" i="1"/>
  <c r="R861" i="1"/>
  <c r="S861" i="1"/>
  <c r="T861" i="1"/>
  <c r="U861" i="1"/>
  <c r="V861" i="1"/>
  <c r="W861" i="1"/>
  <c r="X861" i="1"/>
  <c r="Y861" i="1"/>
  <c r="Z861" i="1"/>
  <c r="AA861" i="1"/>
  <c r="AB861" i="1"/>
  <c r="AC861" i="1"/>
  <c r="AD861" i="1"/>
  <c r="AE861" i="1"/>
  <c r="AF861" i="1"/>
  <c r="AG861" i="1"/>
  <c r="AH861" i="1"/>
  <c r="AI861" i="1"/>
  <c r="AJ861" i="1"/>
  <c r="AK861" i="1"/>
  <c r="AL861" i="1"/>
  <c r="AM861" i="1"/>
  <c r="A862" i="1"/>
  <c r="B862" i="1"/>
  <c r="C862" i="1"/>
  <c r="D862" i="1"/>
  <c r="E862" i="1"/>
  <c r="F862" i="1"/>
  <c r="G862" i="1"/>
  <c r="H862" i="1"/>
  <c r="I862" i="1"/>
  <c r="J862" i="1"/>
  <c r="K862" i="1"/>
  <c r="L862" i="1"/>
  <c r="M862" i="1"/>
  <c r="N862" i="1"/>
  <c r="O862" i="1"/>
  <c r="P862" i="1"/>
  <c r="Q862" i="1"/>
  <c r="R862" i="1"/>
  <c r="S862" i="1"/>
  <c r="T862" i="1"/>
  <c r="U862" i="1"/>
  <c r="V862" i="1"/>
  <c r="W862" i="1"/>
  <c r="X862" i="1"/>
  <c r="Y862" i="1"/>
  <c r="Z862" i="1"/>
  <c r="AA862" i="1"/>
  <c r="AB862" i="1"/>
  <c r="AC862" i="1"/>
  <c r="AD862" i="1"/>
  <c r="AE862" i="1"/>
  <c r="AF862" i="1"/>
  <c r="AG862" i="1"/>
  <c r="AH862" i="1"/>
  <c r="AI862" i="1"/>
  <c r="AJ862" i="1"/>
  <c r="AK862" i="1"/>
  <c r="AL862" i="1"/>
  <c r="AM862" i="1"/>
  <c r="A863" i="1"/>
  <c r="B863" i="1"/>
  <c r="C863" i="1"/>
  <c r="D863" i="1"/>
  <c r="E863" i="1"/>
  <c r="F863" i="1"/>
  <c r="G863" i="1"/>
  <c r="H863" i="1"/>
  <c r="I863" i="1"/>
  <c r="J863" i="1"/>
  <c r="K863" i="1"/>
  <c r="L863" i="1"/>
  <c r="M863" i="1"/>
  <c r="N863" i="1"/>
  <c r="O863" i="1"/>
  <c r="P863" i="1"/>
  <c r="Q863" i="1"/>
  <c r="R863" i="1"/>
  <c r="S863" i="1"/>
  <c r="T863" i="1"/>
  <c r="U863" i="1"/>
  <c r="V863" i="1"/>
  <c r="W863" i="1"/>
  <c r="X863" i="1"/>
  <c r="Y863" i="1"/>
  <c r="Z863" i="1"/>
  <c r="AA863" i="1"/>
  <c r="AB863" i="1"/>
  <c r="AC863" i="1"/>
  <c r="AD863" i="1"/>
  <c r="AE863" i="1"/>
  <c r="AF863" i="1"/>
  <c r="AG863" i="1"/>
  <c r="AH863" i="1"/>
  <c r="AI863" i="1"/>
  <c r="AJ863" i="1"/>
  <c r="AK863" i="1"/>
  <c r="AL863" i="1"/>
  <c r="AM863" i="1"/>
  <c r="A864" i="1"/>
  <c r="B864" i="1"/>
  <c r="C864" i="1"/>
  <c r="D864" i="1"/>
  <c r="E864" i="1"/>
  <c r="F864" i="1"/>
  <c r="G864" i="1"/>
  <c r="H864" i="1"/>
  <c r="I864" i="1"/>
  <c r="J864" i="1"/>
  <c r="K864" i="1"/>
  <c r="L864" i="1"/>
  <c r="M864" i="1"/>
  <c r="N864" i="1"/>
  <c r="O864" i="1"/>
  <c r="P864" i="1"/>
  <c r="Q864" i="1"/>
  <c r="R864" i="1"/>
  <c r="S864" i="1"/>
  <c r="T864" i="1"/>
  <c r="U864" i="1"/>
  <c r="V864" i="1"/>
  <c r="W864" i="1"/>
  <c r="X864" i="1"/>
  <c r="Y864" i="1"/>
  <c r="Z864" i="1"/>
  <c r="AA864" i="1"/>
  <c r="AB864" i="1"/>
  <c r="AC864" i="1"/>
  <c r="AD864" i="1"/>
  <c r="AE864" i="1"/>
  <c r="AF864" i="1"/>
  <c r="AG864" i="1"/>
  <c r="AH864" i="1"/>
  <c r="AI864" i="1"/>
  <c r="AJ864" i="1"/>
  <c r="AK864" i="1"/>
  <c r="AL864" i="1"/>
  <c r="AM864" i="1"/>
  <c r="A865" i="1"/>
  <c r="B865" i="1"/>
  <c r="C865" i="1"/>
  <c r="D865" i="1"/>
  <c r="E865" i="1"/>
  <c r="F865" i="1"/>
  <c r="G865" i="1"/>
  <c r="H865" i="1"/>
  <c r="I865" i="1"/>
  <c r="J865" i="1"/>
  <c r="K865" i="1"/>
  <c r="L865" i="1"/>
  <c r="M865" i="1"/>
  <c r="N865" i="1"/>
  <c r="O865" i="1"/>
  <c r="P865" i="1"/>
  <c r="Q865" i="1"/>
  <c r="R865" i="1"/>
  <c r="S865" i="1"/>
  <c r="T865" i="1"/>
  <c r="U865" i="1"/>
  <c r="V865" i="1"/>
  <c r="W865" i="1"/>
  <c r="X865" i="1"/>
  <c r="Y865" i="1"/>
  <c r="Z865" i="1"/>
  <c r="AA865" i="1"/>
  <c r="AB865" i="1"/>
  <c r="AC865" i="1"/>
  <c r="AD865" i="1"/>
  <c r="AE865" i="1"/>
  <c r="AF865" i="1"/>
  <c r="AG865" i="1"/>
  <c r="AH865" i="1"/>
  <c r="AI865" i="1"/>
  <c r="AJ865" i="1"/>
  <c r="AK865" i="1"/>
  <c r="AL865" i="1"/>
  <c r="AM865" i="1"/>
  <c r="A866" i="1"/>
  <c r="B866" i="1"/>
  <c r="C866" i="1"/>
  <c r="D866" i="1"/>
  <c r="E866" i="1"/>
  <c r="F866" i="1"/>
  <c r="G866" i="1"/>
  <c r="H866" i="1"/>
  <c r="I866" i="1"/>
  <c r="J866" i="1"/>
  <c r="K866" i="1"/>
  <c r="L866" i="1"/>
  <c r="M866" i="1"/>
  <c r="N866" i="1"/>
  <c r="O866" i="1"/>
  <c r="P866" i="1"/>
  <c r="Q866" i="1"/>
  <c r="R866" i="1"/>
  <c r="S866" i="1"/>
  <c r="T866" i="1"/>
  <c r="U866" i="1"/>
  <c r="V866" i="1"/>
  <c r="W866" i="1"/>
  <c r="X866" i="1"/>
  <c r="Y866" i="1"/>
  <c r="Z866" i="1"/>
  <c r="AA866" i="1"/>
  <c r="AB866" i="1"/>
  <c r="AC866" i="1"/>
  <c r="AD866" i="1"/>
  <c r="AE866" i="1"/>
  <c r="AF866" i="1"/>
  <c r="AG866" i="1"/>
  <c r="AH866" i="1"/>
  <c r="AI866" i="1"/>
  <c r="AJ866" i="1"/>
  <c r="AK866" i="1"/>
  <c r="AL866" i="1"/>
  <c r="AM866" i="1"/>
  <c r="A867" i="1"/>
  <c r="B867" i="1"/>
  <c r="C867" i="1"/>
  <c r="D867" i="1"/>
  <c r="E867" i="1"/>
  <c r="F867" i="1"/>
  <c r="G867" i="1"/>
  <c r="H867" i="1"/>
  <c r="I867" i="1"/>
  <c r="J867" i="1"/>
  <c r="K867" i="1"/>
  <c r="L867" i="1"/>
  <c r="M867" i="1"/>
  <c r="N867" i="1"/>
  <c r="O867" i="1"/>
  <c r="P867" i="1"/>
  <c r="Q867" i="1"/>
  <c r="R867" i="1"/>
  <c r="S867" i="1"/>
  <c r="T867" i="1"/>
  <c r="U867" i="1"/>
  <c r="V867" i="1"/>
  <c r="W867" i="1"/>
  <c r="X867" i="1"/>
  <c r="Y867" i="1"/>
  <c r="Z867" i="1"/>
  <c r="AA867" i="1"/>
  <c r="AB867" i="1"/>
  <c r="AC867" i="1"/>
  <c r="AD867" i="1"/>
  <c r="AE867" i="1"/>
  <c r="AF867" i="1"/>
  <c r="AG867" i="1"/>
  <c r="AH867" i="1"/>
  <c r="AI867" i="1"/>
  <c r="AJ867" i="1"/>
  <c r="AK867" i="1"/>
  <c r="AL867" i="1"/>
  <c r="AM867" i="1"/>
  <c r="A868" i="1"/>
  <c r="B868" i="1"/>
  <c r="C868" i="1"/>
  <c r="D868" i="1"/>
  <c r="E868" i="1"/>
  <c r="F868" i="1"/>
  <c r="G868" i="1"/>
  <c r="H868" i="1"/>
  <c r="I868" i="1"/>
  <c r="J868" i="1"/>
  <c r="K868" i="1"/>
  <c r="L868" i="1"/>
  <c r="M868" i="1"/>
  <c r="N868" i="1"/>
  <c r="O868" i="1"/>
  <c r="P868" i="1"/>
  <c r="Q868" i="1"/>
  <c r="R868" i="1"/>
  <c r="S868" i="1"/>
  <c r="T868" i="1"/>
  <c r="U868" i="1"/>
  <c r="V868" i="1"/>
  <c r="W868" i="1"/>
  <c r="X868" i="1"/>
  <c r="Y868" i="1"/>
  <c r="Z868" i="1"/>
  <c r="AA868" i="1"/>
  <c r="AB868" i="1"/>
  <c r="AC868" i="1"/>
  <c r="AD868" i="1"/>
  <c r="AE868" i="1"/>
  <c r="AF868" i="1"/>
  <c r="AG868" i="1"/>
  <c r="AH868" i="1"/>
  <c r="AI868" i="1"/>
  <c r="AJ868" i="1"/>
  <c r="AK868" i="1"/>
  <c r="AL868" i="1"/>
  <c r="AM868" i="1"/>
  <c r="A869" i="1"/>
  <c r="B869" i="1"/>
  <c r="C869" i="1"/>
  <c r="D869" i="1"/>
  <c r="E869" i="1"/>
  <c r="F869" i="1"/>
  <c r="G869" i="1"/>
  <c r="H869" i="1"/>
  <c r="I869" i="1"/>
  <c r="J869" i="1"/>
  <c r="K869" i="1"/>
  <c r="L869" i="1"/>
  <c r="M869" i="1"/>
  <c r="N869" i="1"/>
  <c r="O869" i="1"/>
  <c r="P869" i="1"/>
  <c r="Q869" i="1"/>
  <c r="R869" i="1"/>
  <c r="S869" i="1"/>
  <c r="T869" i="1"/>
  <c r="U869" i="1"/>
  <c r="V869" i="1"/>
  <c r="W869" i="1"/>
  <c r="X869" i="1"/>
  <c r="Y869" i="1"/>
  <c r="Z869" i="1"/>
  <c r="AA869" i="1"/>
  <c r="AB869" i="1"/>
  <c r="AC869" i="1"/>
  <c r="AD869" i="1"/>
  <c r="AE869" i="1"/>
  <c r="AF869" i="1"/>
  <c r="AG869" i="1"/>
  <c r="AH869" i="1"/>
  <c r="AI869" i="1"/>
  <c r="AJ869" i="1"/>
  <c r="AK869" i="1"/>
  <c r="AL869" i="1"/>
  <c r="AM869" i="1"/>
  <c r="A870" i="1"/>
  <c r="B870" i="1"/>
  <c r="C870" i="1"/>
  <c r="D870" i="1"/>
  <c r="E870" i="1"/>
  <c r="F870" i="1"/>
  <c r="G870" i="1"/>
  <c r="H870" i="1"/>
  <c r="I870" i="1"/>
  <c r="J870" i="1"/>
  <c r="K870" i="1"/>
  <c r="L870" i="1"/>
  <c r="M870" i="1"/>
  <c r="N870" i="1"/>
  <c r="O870" i="1"/>
  <c r="P870" i="1"/>
  <c r="Q870" i="1"/>
  <c r="R870" i="1"/>
  <c r="S870" i="1"/>
  <c r="T870" i="1"/>
  <c r="U870" i="1"/>
  <c r="V870" i="1"/>
  <c r="W870" i="1"/>
  <c r="X870" i="1"/>
  <c r="Y870" i="1"/>
  <c r="Z870" i="1"/>
  <c r="AA870" i="1"/>
  <c r="AB870" i="1"/>
  <c r="AC870" i="1"/>
  <c r="AD870" i="1"/>
  <c r="AE870" i="1"/>
  <c r="AF870" i="1"/>
  <c r="AG870" i="1"/>
  <c r="AH870" i="1"/>
  <c r="AI870" i="1"/>
  <c r="AJ870" i="1"/>
  <c r="AK870" i="1"/>
  <c r="AL870" i="1"/>
  <c r="AM870" i="1"/>
  <c r="A871" i="1"/>
  <c r="B871" i="1"/>
  <c r="C871" i="1"/>
  <c r="D871" i="1"/>
  <c r="E871" i="1"/>
  <c r="F871" i="1"/>
  <c r="G871" i="1"/>
  <c r="H871" i="1"/>
  <c r="I871" i="1"/>
  <c r="J871" i="1"/>
  <c r="K871" i="1"/>
  <c r="L871" i="1"/>
  <c r="M871" i="1"/>
  <c r="N871" i="1"/>
  <c r="O871" i="1"/>
  <c r="P871" i="1"/>
  <c r="Q871" i="1"/>
  <c r="R871" i="1"/>
  <c r="S871" i="1"/>
  <c r="T871" i="1"/>
  <c r="U871" i="1"/>
  <c r="V871" i="1"/>
  <c r="W871" i="1"/>
  <c r="X871" i="1"/>
  <c r="Y871" i="1"/>
  <c r="Z871" i="1"/>
  <c r="AA871" i="1"/>
  <c r="AB871" i="1"/>
  <c r="AC871" i="1"/>
  <c r="AD871" i="1"/>
  <c r="AE871" i="1"/>
  <c r="AF871" i="1"/>
  <c r="AG871" i="1"/>
  <c r="AH871" i="1"/>
  <c r="AI871" i="1"/>
  <c r="AJ871" i="1"/>
  <c r="AK871" i="1"/>
  <c r="AL871" i="1"/>
  <c r="AM871" i="1"/>
  <c r="A872" i="1"/>
  <c r="B872" i="1"/>
  <c r="C872" i="1"/>
  <c r="D872" i="1"/>
  <c r="E872" i="1"/>
  <c r="F872" i="1"/>
  <c r="G872" i="1"/>
  <c r="H872" i="1"/>
  <c r="I872" i="1"/>
  <c r="J872" i="1"/>
  <c r="K872" i="1"/>
  <c r="L872" i="1"/>
  <c r="M872" i="1"/>
  <c r="N872" i="1"/>
  <c r="O872" i="1"/>
  <c r="P872" i="1"/>
  <c r="Q872" i="1"/>
  <c r="R872" i="1"/>
  <c r="S872" i="1"/>
  <c r="T872" i="1"/>
  <c r="U872" i="1"/>
  <c r="V872" i="1"/>
  <c r="W872" i="1"/>
  <c r="X872" i="1"/>
  <c r="Y872" i="1"/>
  <c r="Z872" i="1"/>
  <c r="AA872" i="1"/>
  <c r="AB872" i="1"/>
  <c r="AC872" i="1"/>
  <c r="AD872" i="1"/>
  <c r="AE872" i="1"/>
  <c r="AF872" i="1"/>
  <c r="AG872" i="1"/>
  <c r="AH872" i="1"/>
  <c r="AI872" i="1"/>
  <c r="AJ872" i="1"/>
  <c r="AK872" i="1"/>
  <c r="AL872" i="1"/>
  <c r="AM872" i="1"/>
  <c r="A873" i="1"/>
  <c r="B873" i="1"/>
  <c r="C873" i="1"/>
  <c r="D873" i="1"/>
  <c r="E873" i="1"/>
  <c r="F873" i="1"/>
  <c r="G873" i="1"/>
  <c r="H873" i="1"/>
  <c r="I873" i="1"/>
  <c r="J873" i="1"/>
  <c r="K873" i="1"/>
  <c r="L873" i="1"/>
  <c r="M873" i="1"/>
  <c r="N873" i="1"/>
  <c r="O873" i="1"/>
  <c r="P873" i="1"/>
  <c r="Q873" i="1"/>
  <c r="R873" i="1"/>
  <c r="S873" i="1"/>
  <c r="T873" i="1"/>
  <c r="U873" i="1"/>
  <c r="V873" i="1"/>
  <c r="W873" i="1"/>
  <c r="X873" i="1"/>
  <c r="Y873" i="1"/>
  <c r="Z873" i="1"/>
  <c r="AA873" i="1"/>
  <c r="AB873" i="1"/>
  <c r="AC873" i="1"/>
  <c r="AD873" i="1"/>
  <c r="AE873" i="1"/>
  <c r="AF873" i="1"/>
  <c r="AG873" i="1"/>
  <c r="AH873" i="1"/>
  <c r="AI873" i="1"/>
  <c r="AJ873" i="1"/>
  <c r="AK873" i="1"/>
  <c r="AL873" i="1"/>
  <c r="AM873" i="1"/>
  <c r="A874" i="1"/>
  <c r="B874" i="1"/>
  <c r="C874" i="1"/>
  <c r="D874" i="1"/>
  <c r="E874" i="1"/>
  <c r="F874" i="1"/>
  <c r="G874" i="1"/>
  <c r="H874" i="1"/>
  <c r="I874" i="1"/>
  <c r="J874" i="1"/>
  <c r="K874" i="1"/>
  <c r="L874" i="1"/>
  <c r="M874" i="1"/>
  <c r="N874" i="1"/>
  <c r="O874" i="1"/>
  <c r="P874" i="1"/>
  <c r="Q874" i="1"/>
  <c r="R874" i="1"/>
  <c r="S874" i="1"/>
  <c r="T874" i="1"/>
  <c r="U874" i="1"/>
  <c r="V874" i="1"/>
  <c r="W874" i="1"/>
  <c r="X874" i="1"/>
  <c r="Y874" i="1"/>
  <c r="Z874" i="1"/>
  <c r="AA874" i="1"/>
  <c r="AB874" i="1"/>
  <c r="AC874" i="1"/>
  <c r="AD874" i="1"/>
  <c r="AE874" i="1"/>
  <c r="AF874" i="1"/>
  <c r="AG874" i="1"/>
  <c r="AH874" i="1"/>
  <c r="AI874" i="1"/>
  <c r="AJ874" i="1"/>
  <c r="AK874" i="1"/>
  <c r="AL874" i="1"/>
  <c r="AM874" i="1"/>
  <c r="A875" i="1"/>
  <c r="B875" i="1"/>
  <c r="C875" i="1"/>
  <c r="D875" i="1"/>
  <c r="E875" i="1"/>
  <c r="F875" i="1"/>
  <c r="G875" i="1"/>
  <c r="H875" i="1"/>
  <c r="I875" i="1"/>
  <c r="J875" i="1"/>
  <c r="K875" i="1"/>
  <c r="L875" i="1"/>
  <c r="M875" i="1"/>
  <c r="N875" i="1"/>
  <c r="O875" i="1"/>
  <c r="P875" i="1"/>
  <c r="Q875" i="1"/>
  <c r="R875" i="1"/>
  <c r="S875" i="1"/>
  <c r="T875" i="1"/>
  <c r="U875" i="1"/>
  <c r="V875" i="1"/>
  <c r="W875" i="1"/>
  <c r="X875" i="1"/>
  <c r="Y875" i="1"/>
  <c r="Z875" i="1"/>
  <c r="AA875" i="1"/>
  <c r="AB875" i="1"/>
  <c r="AC875" i="1"/>
  <c r="AD875" i="1"/>
  <c r="AE875" i="1"/>
  <c r="AF875" i="1"/>
  <c r="AG875" i="1"/>
  <c r="AH875" i="1"/>
  <c r="AI875" i="1"/>
  <c r="AJ875" i="1"/>
  <c r="AK875" i="1"/>
  <c r="AL875" i="1"/>
  <c r="AM875" i="1"/>
  <c r="A876" i="1"/>
  <c r="B876" i="1"/>
  <c r="C876" i="1"/>
  <c r="D876" i="1"/>
  <c r="E876" i="1"/>
  <c r="F876" i="1"/>
  <c r="G876" i="1"/>
  <c r="H876" i="1"/>
  <c r="I876" i="1"/>
  <c r="J876" i="1"/>
  <c r="K876" i="1"/>
  <c r="L876" i="1"/>
  <c r="M876" i="1"/>
  <c r="N876" i="1"/>
  <c r="O876" i="1"/>
  <c r="P876" i="1"/>
  <c r="Q876" i="1"/>
  <c r="R876" i="1"/>
  <c r="S876" i="1"/>
  <c r="T876" i="1"/>
  <c r="U876" i="1"/>
  <c r="V876" i="1"/>
  <c r="W876" i="1"/>
  <c r="X876" i="1"/>
  <c r="Y876" i="1"/>
  <c r="Z876" i="1"/>
  <c r="AA876" i="1"/>
  <c r="AB876" i="1"/>
  <c r="AC876" i="1"/>
  <c r="AD876" i="1"/>
  <c r="AE876" i="1"/>
  <c r="AF876" i="1"/>
  <c r="AG876" i="1"/>
  <c r="AH876" i="1"/>
  <c r="AI876" i="1"/>
  <c r="AJ876" i="1"/>
  <c r="AK876" i="1"/>
  <c r="AL876" i="1"/>
  <c r="AM876" i="1"/>
  <c r="A877" i="1"/>
  <c r="B877" i="1"/>
  <c r="C877" i="1"/>
  <c r="D877" i="1"/>
  <c r="E877" i="1"/>
  <c r="F877" i="1"/>
  <c r="G877" i="1"/>
  <c r="H877" i="1"/>
  <c r="I877" i="1"/>
  <c r="J877" i="1"/>
  <c r="K877" i="1"/>
  <c r="L877" i="1"/>
  <c r="M877" i="1"/>
  <c r="N877" i="1"/>
  <c r="O877" i="1"/>
  <c r="P877" i="1"/>
  <c r="Q877" i="1"/>
  <c r="R877" i="1"/>
  <c r="S877" i="1"/>
  <c r="T877" i="1"/>
  <c r="U877" i="1"/>
  <c r="V877" i="1"/>
  <c r="W877" i="1"/>
  <c r="X877" i="1"/>
  <c r="Y877" i="1"/>
  <c r="Z877" i="1"/>
  <c r="AA877" i="1"/>
  <c r="AB877" i="1"/>
  <c r="AC877" i="1"/>
  <c r="AD877" i="1"/>
  <c r="AE877" i="1"/>
  <c r="AF877" i="1"/>
  <c r="AG877" i="1"/>
  <c r="AH877" i="1"/>
  <c r="AI877" i="1"/>
  <c r="AJ877" i="1"/>
  <c r="AK877" i="1"/>
  <c r="AL877" i="1"/>
  <c r="AM877" i="1"/>
  <c r="A878" i="1"/>
  <c r="B878" i="1"/>
  <c r="C878" i="1"/>
  <c r="D878" i="1"/>
  <c r="E878" i="1"/>
  <c r="F878" i="1"/>
  <c r="G878" i="1"/>
  <c r="H878" i="1"/>
  <c r="I878" i="1"/>
  <c r="J878" i="1"/>
  <c r="K878" i="1"/>
  <c r="L878" i="1"/>
  <c r="M878" i="1"/>
  <c r="N878" i="1"/>
  <c r="O878" i="1"/>
  <c r="P878" i="1"/>
  <c r="Q878" i="1"/>
  <c r="R878" i="1"/>
  <c r="S878" i="1"/>
  <c r="T878" i="1"/>
  <c r="U878" i="1"/>
  <c r="V878" i="1"/>
  <c r="W878" i="1"/>
  <c r="X878" i="1"/>
  <c r="Y878" i="1"/>
  <c r="Z878" i="1"/>
  <c r="AA878" i="1"/>
  <c r="AB878" i="1"/>
  <c r="AC878" i="1"/>
  <c r="AD878" i="1"/>
  <c r="AE878" i="1"/>
  <c r="AF878" i="1"/>
  <c r="AG878" i="1"/>
  <c r="AH878" i="1"/>
  <c r="AI878" i="1"/>
  <c r="AJ878" i="1"/>
  <c r="AK878" i="1"/>
  <c r="AL878" i="1"/>
  <c r="AM878" i="1"/>
  <c r="A879" i="1"/>
  <c r="B879" i="1"/>
  <c r="C879" i="1"/>
  <c r="D879" i="1"/>
  <c r="E879" i="1"/>
  <c r="F879" i="1"/>
  <c r="G879" i="1"/>
  <c r="H879" i="1"/>
  <c r="I879" i="1"/>
  <c r="J879" i="1"/>
  <c r="K879" i="1"/>
  <c r="L879" i="1"/>
  <c r="M879" i="1"/>
  <c r="N879" i="1"/>
  <c r="O879" i="1"/>
  <c r="P879" i="1"/>
  <c r="Q879" i="1"/>
  <c r="R879" i="1"/>
  <c r="S879" i="1"/>
  <c r="T879" i="1"/>
  <c r="U879" i="1"/>
  <c r="V879" i="1"/>
  <c r="W879" i="1"/>
  <c r="X879" i="1"/>
  <c r="Y879" i="1"/>
  <c r="Z879" i="1"/>
  <c r="AA879" i="1"/>
  <c r="AB879" i="1"/>
  <c r="AC879" i="1"/>
  <c r="AD879" i="1"/>
  <c r="AE879" i="1"/>
  <c r="AF879" i="1"/>
  <c r="AG879" i="1"/>
  <c r="AH879" i="1"/>
  <c r="AI879" i="1"/>
  <c r="AJ879" i="1"/>
  <c r="AK879" i="1"/>
  <c r="AL879" i="1"/>
  <c r="AM879" i="1"/>
  <c r="A880" i="1"/>
  <c r="B880" i="1"/>
  <c r="C880" i="1"/>
  <c r="D880" i="1"/>
  <c r="E880" i="1"/>
  <c r="F880" i="1"/>
  <c r="G880" i="1"/>
  <c r="H880" i="1"/>
  <c r="I880" i="1"/>
  <c r="J880" i="1"/>
  <c r="K880" i="1"/>
  <c r="L880" i="1"/>
  <c r="M880" i="1"/>
  <c r="N880" i="1"/>
  <c r="O880" i="1"/>
  <c r="P880" i="1"/>
  <c r="Q880" i="1"/>
  <c r="R880" i="1"/>
  <c r="S880" i="1"/>
  <c r="T880" i="1"/>
  <c r="U880" i="1"/>
  <c r="V880" i="1"/>
  <c r="W880" i="1"/>
  <c r="X880" i="1"/>
  <c r="Y880" i="1"/>
  <c r="Z880" i="1"/>
  <c r="AA880" i="1"/>
  <c r="AB880" i="1"/>
  <c r="AC880" i="1"/>
  <c r="AD880" i="1"/>
  <c r="AE880" i="1"/>
  <c r="AF880" i="1"/>
  <c r="AG880" i="1"/>
  <c r="AH880" i="1"/>
  <c r="AI880" i="1"/>
  <c r="AJ880" i="1"/>
  <c r="AK880" i="1"/>
  <c r="AL880" i="1"/>
  <c r="AM880" i="1"/>
  <c r="A881" i="1"/>
  <c r="B881" i="1"/>
  <c r="C881" i="1"/>
  <c r="D881" i="1"/>
  <c r="E881" i="1"/>
  <c r="F881" i="1"/>
  <c r="G881" i="1"/>
  <c r="H881" i="1"/>
  <c r="I881" i="1"/>
  <c r="J881" i="1"/>
  <c r="K881" i="1"/>
  <c r="L881" i="1"/>
  <c r="M881" i="1"/>
  <c r="N881" i="1"/>
  <c r="O881" i="1"/>
  <c r="P881" i="1"/>
  <c r="Q881" i="1"/>
  <c r="R881" i="1"/>
  <c r="S881" i="1"/>
  <c r="T881" i="1"/>
  <c r="U881" i="1"/>
  <c r="V881" i="1"/>
  <c r="W881" i="1"/>
  <c r="X881" i="1"/>
  <c r="Y881" i="1"/>
  <c r="Z881" i="1"/>
  <c r="AA881" i="1"/>
  <c r="AB881" i="1"/>
  <c r="AC881" i="1"/>
  <c r="AD881" i="1"/>
  <c r="AE881" i="1"/>
  <c r="AF881" i="1"/>
  <c r="AG881" i="1"/>
  <c r="AH881" i="1"/>
  <c r="AI881" i="1"/>
  <c r="AJ881" i="1"/>
  <c r="AK881" i="1"/>
  <c r="AL881" i="1"/>
  <c r="AM881" i="1"/>
  <c r="A882" i="1"/>
  <c r="B882" i="1"/>
  <c r="C882" i="1"/>
  <c r="D882" i="1"/>
  <c r="E882" i="1"/>
  <c r="F882" i="1"/>
  <c r="G882" i="1"/>
  <c r="H882" i="1"/>
  <c r="I882" i="1"/>
  <c r="J882" i="1"/>
  <c r="K882" i="1"/>
  <c r="L882" i="1"/>
  <c r="M882" i="1"/>
  <c r="N882" i="1"/>
  <c r="O882" i="1"/>
  <c r="P882" i="1"/>
  <c r="Q882" i="1"/>
  <c r="R882" i="1"/>
  <c r="S882" i="1"/>
  <c r="T882" i="1"/>
  <c r="U882" i="1"/>
  <c r="V882" i="1"/>
  <c r="W882" i="1"/>
  <c r="X882" i="1"/>
  <c r="Y882" i="1"/>
  <c r="Z882" i="1"/>
  <c r="AA882" i="1"/>
  <c r="AB882" i="1"/>
  <c r="AC882" i="1"/>
  <c r="AD882" i="1"/>
  <c r="AE882" i="1"/>
  <c r="AF882" i="1"/>
  <c r="AG882" i="1"/>
  <c r="AH882" i="1"/>
  <c r="AI882" i="1"/>
  <c r="AJ882" i="1"/>
  <c r="AK882" i="1"/>
  <c r="AL882" i="1"/>
  <c r="AM882" i="1"/>
  <c r="A883" i="1"/>
  <c r="B883" i="1"/>
  <c r="C883" i="1"/>
  <c r="D883" i="1"/>
  <c r="E883" i="1"/>
  <c r="F883" i="1"/>
  <c r="G883" i="1"/>
  <c r="H883" i="1"/>
  <c r="I883" i="1"/>
  <c r="J883" i="1"/>
  <c r="K883" i="1"/>
  <c r="L883" i="1"/>
  <c r="M883" i="1"/>
  <c r="N883" i="1"/>
  <c r="O883" i="1"/>
  <c r="P883" i="1"/>
  <c r="Q883" i="1"/>
  <c r="R883" i="1"/>
  <c r="S883" i="1"/>
  <c r="T883" i="1"/>
  <c r="U883" i="1"/>
  <c r="V883" i="1"/>
  <c r="W883" i="1"/>
  <c r="X883" i="1"/>
  <c r="Y883" i="1"/>
  <c r="Z883" i="1"/>
  <c r="AA883" i="1"/>
  <c r="AB883" i="1"/>
  <c r="AC883" i="1"/>
  <c r="AD883" i="1"/>
  <c r="AE883" i="1"/>
  <c r="AF883" i="1"/>
  <c r="AG883" i="1"/>
  <c r="AH883" i="1"/>
  <c r="AI883" i="1"/>
  <c r="AJ883" i="1"/>
  <c r="AK883" i="1"/>
  <c r="AL883" i="1"/>
  <c r="AM883" i="1"/>
  <c r="A884" i="1"/>
  <c r="B884" i="1"/>
  <c r="C884" i="1"/>
  <c r="D884" i="1"/>
  <c r="E884" i="1"/>
  <c r="F884" i="1"/>
  <c r="G884" i="1"/>
  <c r="H884" i="1"/>
  <c r="I884" i="1"/>
  <c r="J884" i="1"/>
  <c r="K884" i="1"/>
  <c r="L884" i="1"/>
  <c r="M884" i="1"/>
  <c r="N884" i="1"/>
  <c r="O884" i="1"/>
  <c r="P884" i="1"/>
  <c r="Q884" i="1"/>
  <c r="R884" i="1"/>
  <c r="S884" i="1"/>
  <c r="T884" i="1"/>
  <c r="U884" i="1"/>
  <c r="V884" i="1"/>
  <c r="W884" i="1"/>
  <c r="X884" i="1"/>
  <c r="Y884" i="1"/>
  <c r="Z884" i="1"/>
  <c r="AA884" i="1"/>
  <c r="AB884" i="1"/>
  <c r="AC884" i="1"/>
  <c r="AD884" i="1"/>
  <c r="AE884" i="1"/>
  <c r="AF884" i="1"/>
  <c r="AG884" i="1"/>
  <c r="AH884" i="1"/>
  <c r="AI884" i="1"/>
  <c r="AJ884" i="1"/>
  <c r="AK884" i="1"/>
  <c r="AL884" i="1"/>
  <c r="AM884" i="1"/>
  <c r="A885" i="1"/>
  <c r="B885" i="1"/>
  <c r="C885" i="1"/>
  <c r="D885" i="1"/>
  <c r="E885" i="1"/>
  <c r="F885" i="1"/>
  <c r="G885" i="1"/>
  <c r="H885" i="1"/>
  <c r="I885" i="1"/>
  <c r="J885" i="1"/>
  <c r="K885" i="1"/>
  <c r="L885" i="1"/>
  <c r="M885" i="1"/>
  <c r="N885" i="1"/>
  <c r="O885" i="1"/>
  <c r="P885" i="1"/>
  <c r="Q885" i="1"/>
  <c r="R885" i="1"/>
  <c r="S885" i="1"/>
  <c r="T885" i="1"/>
  <c r="U885" i="1"/>
  <c r="V885" i="1"/>
  <c r="W885" i="1"/>
  <c r="X885" i="1"/>
  <c r="Y885" i="1"/>
  <c r="Z885" i="1"/>
  <c r="AA885" i="1"/>
  <c r="AB885" i="1"/>
  <c r="AC885" i="1"/>
  <c r="AD885" i="1"/>
  <c r="AE885" i="1"/>
  <c r="AF885" i="1"/>
  <c r="AG885" i="1"/>
  <c r="AH885" i="1"/>
  <c r="AI885" i="1"/>
  <c r="AJ885" i="1"/>
  <c r="AK885" i="1"/>
  <c r="AL885" i="1"/>
  <c r="AM885" i="1"/>
  <c r="A886" i="1"/>
  <c r="B886" i="1"/>
  <c r="C886" i="1"/>
  <c r="D886" i="1"/>
  <c r="E886" i="1"/>
  <c r="F886" i="1"/>
  <c r="G886" i="1"/>
  <c r="H886" i="1"/>
  <c r="I886" i="1"/>
  <c r="J886" i="1"/>
  <c r="K886" i="1"/>
  <c r="L886" i="1"/>
  <c r="M886" i="1"/>
  <c r="N886" i="1"/>
  <c r="O886" i="1"/>
  <c r="P886" i="1"/>
  <c r="Q886" i="1"/>
  <c r="R886" i="1"/>
  <c r="S886" i="1"/>
  <c r="T886" i="1"/>
  <c r="U886" i="1"/>
  <c r="V886" i="1"/>
  <c r="W886" i="1"/>
  <c r="X886" i="1"/>
  <c r="Y886" i="1"/>
  <c r="Z886" i="1"/>
  <c r="AA886" i="1"/>
  <c r="AB886" i="1"/>
  <c r="AC886" i="1"/>
  <c r="AD886" i="1"/>
  <c r="AE886" i="1"/>
  <c r="AF886" i="1"/>
  <c r="AG886" i="1"/>
  <c r="AH886" i="1"/>
  <c r="AI886" i="1"/>
  <c r="AJ886" i="1"/>
  <c r="AK886" i="1"/>
  <c r="AL886" i="1"/>
  <c r="AM886" i="1"/>
  <c r="A887" i="1"/>
  <c r="B887" i="1"/>
  <c r="C887" i="1"/>
  <c r="D887" i="1"/>
  <c r="E887" i="1"/>
  <c r="F887" i="1"/>
  <c r="G887" i="1"/>
  <c r="H887" i="1"/>
  <c r="I887" i="1"/>
  <c r="J887" i="1"/>
  <c r="K887" i="1"/>
  <c r="L887" i="1"/>
  <c r="M887" i="1"/>
  <c r="N887" i="1"/>
  <c r="O887" i="1"/>
  <c r="P887" i="1"/>
  <c r="Q887" i="1"/>
  <c r="R887" i="1"/>
  <c r="S887" i="1"/>
  <c r="T887" i="1"/>
  <c r="U887" i="1"/>
  <c r="V887" i="1"/>
  <c r="W887" i="1"/>
  <c r="X887" i="1"/>
  <c r="Y887" i="1"/>
  <c r="Z887" i="1"/>
  <c r="AA887" i="1"/>
  <c r="AB887" i="1"/>
  <c r="AC887" i="1"/>
  <c r="AD887" i="1"/>
  <c r="AE887" i="1"/>
  <c r="AF887" i="1"/>
  <c r="AG887" i="1"/>
  <c r="AH887" i="1"/>
  <c r="AI887" i="1"/>
  <c r="AJ887" i="1"/>
  <c r="AK887" i="1"/>
  <c r="AL887" i="1"/>
  <c r="AM887" i="1"/>
  <c r="A888" i="1"/>
  <c r="B888" i="1"/>
  <c r="C888" i="1"/>
  <c r="D888" i="1"/>
  <c r="E888" i="1"/>
  <c r="F888" i="1"/>
  <c r="G888" i="1"/>
  <c r="H888" i="1"/>
  <c r="I888" i="1"/>
  <c r="J888" i="1"/>
  <c r="K888" i="1"/>
  <c r="L888" i="1"/>
  <c r="M888" i="1"/>
  <c r="N888" i="1"/>
  <c r="O888" i="1"/>
  <c r="P888" i="1"/>
  <c r="Q888" i="1"/>
  <c r="R888" i="1"/>
  <c r="S888" i="1"/>
  <c r="T888" i="1"/>
  <c r="U888" i="1"/>
  <c r="V888" i="1"/>
  <c r="W888" i="1"/>
  <c r="X888" i="1"/>
  <c r="Y888" i="1"/>
  <c r="Z888" i="1"/>
  <c r="AA888" i="1"/>
  <c r="AB888" i="1"/>
  <c r="AC888" i="1"/>
  <c r="AD888" i="1"/>
  <c r="AE888" i="1"/>
  <c r="AF888" i="1"/>
  <c r="AG888" i="1"/>
  <c r="AH888" i="1"/>
  <c r="AI888" i="1"/>
  <c r="AJ888" i="1"/>
  <c r="AK888" i="1"/>
  <c r="AL888" i="1"/>
  <c r="AM888" i="1"/>
  <c r="A889" i="1"/>
  <c r="B889" i="1"/>
  <c r="C889" i="1"/>
  <c r="D889" i="1"/>
  <c r="E889" i="1"/>
  <c r="F889" i="1"/>
  <c r="G889" i="1"/>
  <c r="H889" i="1"/>
  <c r="I889" i="1"/>
  <c r="J889" i="1"/>
  <c r="K889" i="1"/>
  <c r="L889" i="1"/>
  <c r="M889" i="1"/>
  <c r="N889" i="1"/>
  <c r="O889" i="1"/>
  <c r="P889" i="1"/>
  <c r="Q889" i="1"/>
  <c r="R889" i="1"/>
  <c r="S889" i="1"/>
  <c r="T889" i="1"/>
  <c r="U889" i="1"/>
  <c r="V889" i="1"/>
  <c r="W889" i="1"/>
  <c r="X889" i="1"/>
  <c r="Y889" i="1"/>
  <c r="Z889" i="1"/>
  <c r="AA889" i="1"/>
  <c r="AB889" i="1"/>
  <c r="AC889" i="1"/>
  <c r="AD889" i="1"/>
  <c r="AE889" i="1"/>
  <c r="AF889" i="1"/>
  <c r="AG889" i="1"/>
  <c r="AH889" i="1"/>
  <c r="AI889" i="1"/>
  <c r="AJ889" i="1"/>
  <c r="AK889" i="1"/>
  <c r="AL889" i="1"/>
  <c r="AM889" i="1"/>
  <c r="A890" i="1"/>
  <c r="B890" i="1"/>
  <c r="C890" i="1"/>
  <c r="D890" i="1"/>
  <c r="E890" i="1"/>
  <c r="F890" i="1"/>
  <c r="G890" i="1"/>
  <c r="H890" i="1"/>
  <c r="I890" i="1"/>
  <c r="J890" i="1"/>
  <c r="K890" i="1"/>
  <c r="L890" i="1"/>
  <c r="M890" i="1"/>
  <c r="N890" i="1"/>
  <c r="O890" i="1"/>
  <c r="P890" i="1"/>
  <c r="Q890" i="1"/>
  <c r="R890" i="1"/>
  <c r="S890" i="1"/>
  <c r="T890" i="1"/>
  <c r="U890" i="1"/>
  <c r="V890" i="1"/>
  <c r="W890" i="1"/>
  <c r="X890" i="1"/>
  <c r="Y890" i="1"/>
  <c r="Z890" i="1"/>
  <c r="AA890" i="1"/>
  <c r="AB890" i="1"/>
  <c r="AC890" i="1"/>
  <c r="AD890" i="1"/>
  <c r="AE890" i="1"/>
  <c r="AF890" i="1"/>
  <c r="AG890" i="1"/>
  <c r="AH890" i="1"/>
  <c r="AI890" i="1"/>
  <c r="AJ890" i="1"/>
  <c r="AK890" i="1"/>
  <c r="AL890" i="1"/>
  <c r="AM890" i="1"/>
  <c r="A891" i="1"/>
  <c r="B891" i="1"/>
  <c r="C891" i="1"/>
  <c r="D891" i="1"/>
  <c r="E891" i="1"/>
  <c r="F891" i="1"/>
  <c r="G891" i="1"/>
  <c r="H891" i="1"/>
  <c r="I891" i="1"/>
  <c r="J891" i="1"/>
  <c r="K891" i="1"/>
  <c r="L891" i="1"/>
  <c r="M891" i="1"/>
  <c r="N891" i="1"/>
  <c r="O891" i="1"/>
  <c r="P891" i="1"/>
  <c r="Q891" i="1"/>
  <c r="R891" i="1"/>
  <c r="S891" i="1"/>
  <c r="T891" i="1"/>
  <c r="U891" i="1"/>
  <c r="V891" i="1"/>
  <c r="W891" i="1"/>
  <c r="X891" i="1"/>
  <c r="Y891" i="1"/>
  <c r="Z891" i="1"/>
  <c r="AA891" i="1"/>
  <c r="AB891" i="1"/>
  <c r="AC891" i="1"/>
  <c r="AD891" i="1"/>
  <c r="AE891" i="1"/>
  <c r="AF891" i="1"/>
  <c r="AG891" i="1"/>
  <c r="AH891" i="1"/>
  <c r="AI891" i="1"/>
  <c r="AJ891" i="1"/>
  <c r="AK891" i="1"/>
  <c r="AL891" i="1"/>
  <c r="AM891" i="1"/>
  <c r="A892" i="1"/>
  <c r="B892" i="1"/>
  <c r="C892" i="1"/>
  <c r="D892" i="1"/>
  <c r="E892" i="1"/>
  <c r="F892" i="1"/>
  <c r="G892" i="1"/>
  <c r="H892" i="1"/>
  <c r="I892" i="1"/>
  <c r="J892" i="1"/>
  <c r="K892" i="1"/>
  <c r="L892" i="1"/>
  <c r="M892" i="1"/>
  <c r="N892" i="1"/>
  <c r="O892" i="1"/>
  <c r="P892" i="1"/>
  <c r="Q892" i="1"/>
  <c r="R892" i="1"/>
  <c r="S892" i="1"/>
  <c r="T892" i="1"/>
  <c r="U892" i="1"/>
  <c r="V892" i="1"/>
  <c r="W892" i="1"/>
  <c r="X892" i="1"/>
  <c r="Y892" i="1"/>
  <c r="Z892" i="1"/>
  <c r="AA892" i="1"/>
  <c r="AB892" i="1"/>
  <c r="AC892" i="1"/>
  <c r="AD892" i="1"/>
  <c r="AE892" i="1"/>
  <c r="AF892" i="1"/>
  <c r="AG892" i="1"/>
  <c r="AH892" i="1"/>
  <c r="AI892" i="1"/>
  <c r="AJ892" i="1"/>
  <c r="AK892" i="1"/>
  <c r="AL892" i="1"/>
  <c r="AM892" i="1"/>
  <c r="A893" i="1"/>
  <c r="B893" i="1"/>
  <c r="C893" i="1"/>
  <c r="D893" i="1"/>
  <c r="E893" i="1"/>
  <c r="F893" i="1"/>
  <c r="G893" i="1"/>
  <c r="H893" i="1"/>
  <c r="I893" i="1"/>
  <c r="J893" i="1"/>
  <c r="K893" i="1"/>
  <c r="L893" i="1"/>
  <c r="M893" i="1"/>
  <c r="N893" i="1"/>
  <c r="O893" i="1"/>
  <c r="P893" i="1"/>
  <c r="Q893" i="1"/>
  <c r="R893" i="1"/>
  <c r="S893" i="1"/>
  <c r="T893" i="1"/>
  <c r="U893" i="1"/>
  <c r="V893" i="1"/>
  <c r="W893" i="1"/>
  <c r="X893" i="1"/>
  <c r="Y893" i="1"/>
  <c r="Z893" i="1"/>
  <c r="AA893" i="1"/>
  <c r="AB893" i="1"/>
  <c r="AC893" i="1"/>
  <c r="AD893" i="1"/>
  <c r="AE893" i="1"/>
  <c r="AF893" i="1"/>
  <c r="AG893" i="1"/>
  <c r="AH893" i="1"/>
  <c r="AI893" i="1"/>
  <c r="AJ893" i="1"/>
  <c r="AK893" i="1"/>
  <c r="AL893" i="1"/>
  <c r="AM893" i="1"/>
  <c r="A894" i="1"/>
  <c r="B894" i="1"/>
  <c r="C894" i="1"/>
  <c r="D894" i="1"/>
  <c r="E894" i="1"/>
  <c r="F894" i="1"/>
  <c r="G894" i="1"/>
  <c r="H894" i="1"/>
  <c r="I894" i="1"/>
  <c r="J894" i="1"/>
  <c r="K894" i="1"/>
  <c r="L894" i="1"/>
  <c r="M894" i="1"/>
  <c r="N894" i="1"/>
  <c r="O894" i="1"/>
  <c r="P894" i="1"/>
  <c r="Q894" i="1"/>
  <c r="R894" i="1"/>
  <c r="S894" i="1"/>
  <c r="T894" i="1"/>
  <c r="U894" i="1"/>
  <c r="V894" i="1"/>
  <c r="W894" i="1"/>
  <c r="X894" i="1"/>
  <c r="Y894" i="1"/>
  <c r="Z894" i="1"/>
  <c r="AA894" i="1"/>
  <c r="AB894" i="1"/>
  <c r="AC894" i="1"/>
  <c r="AD894" i="1"/>
  <c r="AE894" i="1"/>
  <c r="AF894" i="1"/>
  <c r="AG894" i="1"/>
  <c r="AH894" i="1"/>
  <c r="AI894" i="1"/>
  <c r="AJ894" i="1"/>
  <c r="AK894" i="1"/>
  <c r="AL894" i="1"/>
  <c r="AM894" i="1"/>
  <c r="A895" i="1"/>
  <c r="B895" i="1"/>
  <c r="C895" i="1"/>
  <c r="D895" i="1"/>
  <c r="E895" i="1"/>
  <c r="F895" i="1"/>
  <c r="G895" i="1"/>
  <c r="H895" i="1"/>
  <c r="I895" i="1"/>
  <c r="J895" i="1"/>
  <c r="K895" i="1"/>
  <c r="L895" i="1"/>
  <c r="M895" i="1"/>
  <c r="N895" i="1"/>
  <c r="O895" i="1"/>
  <c r="P895" i="1"/>
  <c r="Q895" i="1"/>
  <c r="R895" i="1"/>
  <c r="S895" i="1"/>
  <c r="T895" i="1"/>
  <c r="U895" i="1"/>
  <c r="V895" i="1"/>
  <c r="W895" i="1"/>
  <c r="X895" i="1"/>
  <c r="Y895" i="1"/>
  <c r="Z895" i="1"/>
  <c r="AA895" i="1"/>
  <c r="AB895" i="1"/>
  <c r="AC895" i="1"/>
  <c r="AD895" i="1"/>
  <c r="AE895" i="1"/>
  <c r="AF895" i="1"/>
  <c r="AG895" i="1"/>
  <c r="AH895" i="1"/>
  <c r="AI895" i="1"/>
  <c r="AJ895" i="1"/>
  <c r="AK895" i="1"/>
  <c r="AL895" i="1"/>
  <c r="AM895" i="1"/>
  <c r="A896" i="1"/>
  <c r="B896" i="1"/>
  <c r="C896" i="1"/>
  <c r="D896" i="1"/>
  <c r="E896" i="1"/>
  <c r="F896" i="1"/>
  <c r="G896" i="1"/>
  <c r="H896" i="1"/>
  <c r="I896" i="1"/>
  <c r="J896" i="1"/>
  <c r="K896" i="1"/>
  <c r="L896" i="1"/>
  <c r="M896" i="1"/>
  <c r="N896" i="1"/>
  <c r="O896" i="1"/>
  <c r="P896" i="1"/>
  <c r="Q896" i="1"/>
  <c r="R896" i="1"/>
  <c r="S896" i="1"/>
  <c r="T896" i="1"/>
  <c r="U896" i="1"/>
  <c r="V896" i="1"/>
  <c r="W896" i="1"/>
  <c r="X896" i="1"/>
  <c r="Y896" i="1"/>
  <c r="Z896" i="1"/>
  <c r="AA896" i="1"/>
  <c r="AB896" i="1"/>
  <c r="AC896" i="1"/>
  <c r="AD896" i="1"/>
  <c r="AE896" i="1"/>
  <c r="AF896" i="1"/>
  <c r="AG896" i="1"/>
  <c r="AH896" i="1"/>
  <c r="AI896" i="1"/>
  <c r="AJ896" i="1"/>
  <c r="AK896" i="1"/>
  <c r="AL896" i="1"/>
  <c r="AM896" i="1"/>
  <c r="A897" i="1"/>
  <c r="B897" i="1"/>
  <c r="C897" i="1"/>
  <c r="D897" i="1"/>
  <c r="E897" i="1"/>
  <c r="F897" i="1"/>
  <c r="G897" i="1"/>
  <c r="H897" i="1"/>
  <c r="I897" i="1"/>
  <c r="J897" i="1"/>
  <c r="K897" i="1"/>
  <c r="L897" i="1"/>
  <c r="M897" i="1"/>
  <c r="N897" i="1"/>
  <c r="O897" i="1"/>
  <c r="P897" i="1"/>
  <c r="Q897" i="1"/>
  <c r="R897" i="1"/>
  <c r="S897" i="1"/>
  <c r="T897" i="1"/>
  <c r="U897" i="1"/>
  <c r="V897" i="1"/>
  <c r="W897" i="1"/>
  <c r="X897" i="1"/>
  <c r="Y897" i="1"/>
  <c r="Z897" i="1"/>
  <c r="AA897" i="1"/>
  <c r="AB897" i="1"/>
  <c r="AC897" i="1"/>
  <c r="AD897" i="1"/>
  <c r="AE897" i="1"/>
  <c r="AF897" i="1"/>
  <c r="AG897" i="1"/>
  <c r="AH897" i="1"/>
  <c r="AI897" i="1"/>
  <c r="AJ897" i="1"/>
  <c r="AK897" i="1"/>
  <c r="AL897" i="1"/>
  <c r="AM897" i="1"/>
  <c r="A898" i="1"/>
  <c r="B898" i="1"/>
  <c r="C898" i="1"/>
  <c r="D898" i="1"/>
  <c r="E898" i="1"/>
  <c r="F898" i="1"/>
  <c r="G898" i="1"/>
  <c r="H898" i="1"/>
  <c r="I898" i="1"/>
  <c r="J898" i="1"/>
  <c r="K898" i="1"/>
  <c r="L898" i="1"/>
  <c r="M898" i="1"/>
  <c r="N898" i="1"/>
  <c r="O898" i="1"/>
  <c r="P898" i="1"/>
  <c r="Q898" i="1"/>
  <c r="R898" i="1"/>
  <c r="S898" i="1"/>
  <c r="T898" i="1"/>
  <c r="U898" i="1"/>
  <c r="V898" i="1"/>
  <c r="W898" i="1"/>
  <c r="X898" i="1"/>
  <c r="Y898" i="1"/>
  <c r="Z898" i="1"/>
  <c r="AA898" i="1"/>
  <c r="AB898" i="1"/>
  <c r="AC898" i="1"/>
  <c r="AD898" i="1"/>
  <c r="AE898" i="1"/>
  <c r="AF898" i="1"/>
  <c r="AG898" i="1"/>
  <c r="AH898" i="1"/>
  <c r="AI898" i="1"/>
  <c r="AJ898" i="1"/>
  <c r="AK898" i="1"/>
  <c r="AL898" i="1"/>
  <c r="AM898" i="1"/>
  <c r="A899" i="1"/>
  <c r="B899" i="1"/>
  <c r="C899" i="1"/>
  <c r="D899" i="1"/>
  <c r="E899" i="1"/>
  <c r="F899" i="1"/>
  <c r="G899" i="1"/>
  <c r="H899" i="1"/>
  <c r="I899" i="1"/>
  <c r="J899" i="1"/>
  <c r="K899" i="1"/>
  <c r="L899" i="1"/>
  <c r="M899" i="1"/>
  <c r="N899" i="1"/>
  <c r="O899" i="1"/>
  <c r="P899" i="1"/>
  <c r="Q899" i="1"/>
  <c r="R899" i="1"/>
  <c r="S899" i="1"/>
  <c r="T899" i="1"/>
  <c r="U899" i="1"/>
  <c r="V899" i="1"/>
  <c r="W899" i="1"/>
  <c r="X899" i="1"/>
  <c r="Y899" i="1"/>
  <c r="Z899" i="1"/>
  <c r="AA899" i="1"/>
  <c r="AB899" i="1"/>
  <c r="AC899" i="1"/>
  <c r="AD899" i="1"/>
  <c r="AE899" i="1"/>
  <c r="AF899" i="1"/>
  <c r="AG899" i="1"/>
  <c r="AH899" i="1"/>
  <c r="AI899" i="1"/>
  <c r="AJ899" i="1"/>
  <c r="AK899" i="1"/>
  <c r="AL899" i="1"/>
  <c r="AM899" i="1"/>
  <c r="A900" i="1"/>
  <c r="B900" i="1"/>
  <c r="C900" i="1"/>
  <c r="D900" i="1"/>
  <c r="E900" i="1"/>
  <c r="F900" i="1"/>
  <c r="G900" i="1"/>
  <c r="H900" i="1"/>
  <c r="I900" i="1"/>
  <c r="J900" i="1"/>
  <c r="K900" i="1"/>
  <c r="L900" i="1"/>
  <c r="M900" i="1"/>
  <c r="N900" i="1"/>
  <c r="O900" i="1"/>
  <c r="P900" i="1"/>
  <c r="Q900" i="1"/>
  <c r="R900" i="1"/>
  <c r="S900" i="1"/>
  <c r="T900" i="1"/>
  <c r="U900" i="1"/>
  <c r="V900" i="1"/>
  <c r="W900" i="1"/>
  <c r="X900" i="1"/>
  <c r="Y900" i="1"/>
  <c r="Z900" i="1"/>
  <c r="AA900" i="1"/>
  <c r="AB900" i="1"/>
  <c r="AC900" i="1"/>
  <c r="AD900" i="1"/>
  <c r="AE900" i="1"/>
  <c r="AF900" i="1"/>
  <c r="AG900" i="1"/>
  <c r="AH900" i="1"/>
  <c r="AI900" i="1"/>
  <c r="AJ900" i="1"/>
  <c r="AK900" i="1"/>
  <c r="AL900" i="1"/>
  <c r="AM900" i="1"/>
  <c r="A901" i="1"/>
  <c r="B901" i="1"/>
  <c r="C901" i="1"/>
  <c r="D901" i="1"/>
  <c r="E901" i="1"/>
  <c r="F901" i="1"/>
  <c r="G901" i="1"/>
  <c r="H901" i="1"/>
  <c r="I901" i="1"/>
  <c r="J901" i="1"/>
  <c r="K901" i="1"/>
  <c r="L901" i="1"/>
  <c r="M901" i="1"/>
  <c r="N901" i="1"/>
  <c r="O901" i="1"/>
  <c r="P901" i="1"/>
  <c r="Q901" i="1"/>
  <c r="R901" i="1"/>
  <c r="S901" i="1"/>
  <c r="T901" i="1"/>
  <c r="U901" i="1"/>
  <c r="V901" i="1"/>
  <c r="W901" i="1"/>
  <c r="X901" i="1"/>
  <c r="Y901" i="1"/>
  <c r="Z901" i="1"/>
  <c r="AA901" i="1"/>
  <c r="AB901" i="1"/>
  <c r="AC901" i="1"/>
  <c r="AD901" i="1"/>
  <c r="AE901" i="1"/>
  <c r="AF901" i="1"/>
  <c r="AG901" i="1"/>
  <c r="AH901" i="1"/>
  <c r="AI901" i="1"/>
  <c r="AJ901" i="1"/>
  <c r="AK901" i="1"/>
  <c r="AL901" i="1"/>
  <c r="AM901" i="1"/>
  <c r="A902" i="1"/>
  <c r="B902" i="1"/>
  <c r="C902" i="1"/>
  <c r="D902" i="1"/>
  <c r="E902" i="1"/>
  <c r="F902" i="1"/>
  <c r="G902" i="1"/>
  <c r="H902" i="1"/>
  <c r="I902" i="1"/>
  <c r="J902" i="1"/>
  <c r="K902" i="1"/>
  <c r="L902" i="1"/>
  <c r="M902" i="1"/>
  <c r="N902" i="1"/>
  <c r="O902" i="1"/>
  <c r="P902" i="1"/>
  <c r="Q902" i="1"/>
  <c r="R902" i="1"/>
  <c r="S902" i="1"/>
  <c r="T902" i="1"/>
  <c r="U902" i="1"/>
  <c r="V902" i="1"/>
  <c r="W902" i="1"/>
  <c r="X902" i="1"/>
  <c r="Y902" i="1"/>
  <c r="Z902" i="1"/>
  <c r="AA902" i="1"/>
  <c r="AB902" i="1"/>
  <c r="AC902" i="1"/>
  <c r="AD902" i="1"/>
  <c r="AE902" i="1"/>
  <c r="AF902" i="1"/>
  <c r="AG902" i="1"/>
  <c r="AH902" i="1"/>
  <c r="AI902" i="1"/>
  <c r="AJ902" i="1"/>
  <c r="AK902" i="1"/>
  <c r="AL902" i="1"/>
  <c r="AM902" i="1"/>
  <c r="A903" i="1"/>
  <c r="B903" i="1"/>
  <c r="C903" i="1"/>
  <c r="D903" i="1"/>
  <c r="E903" i="1"/>
  <c r="F903" i="1"/>
  <c r="G903" i="1"/>
  <c r="H903" i="1"/>
  <c r="I903" i="1"/>
  <c r="J903" i="1"/>
  <c r="K903" i="1"/>
  <c r="L903" i="1"/>
  <c r="M903" i="1"/>
  <c r="N903" i="1"/>
  <c r="O903" i="1"/>
  <c r="P903" i="1"/>
  <c r="Q903" i="1"/>
  <c r="R903" i="1"/>
  <c r="S903" i="1"/>
  <c r="T903" i="1"/>
  <c r="U903" i="1"/>
  <c r="V903" i="1"/>
  <c r="W903" i="1"/>
  <c r="X903" i="1"/>
  <c r="Y903" i="1"/>
  <c r="Z903" i="1"/>
  <c r="AA903" i="1"/>
  <c r="AB903" i="1"/>
  <c r="AC903" i="1"/>
  <c r="AD903" i="1"/>
  <c r="AE903" i="1"/>
  <c r="AF903" i="1"/>
  <c r="AG903" i="1"/>
  <c r="AH903" i="1"/>
  <c r="AI903" i="1"/>
  <c r="AJ903" i="1"/>
  <c r="AK903" i="1"/>
  <c r="AL903" i="1"/>
  <c r="AM903" i="1"/>
  <c r="A904" i="1"/>
  <c r="B904" i="1"/>
  <c r="C904" i="1"/>
  <c r="D904" i="1"/>
  <c r="E904" i="1"/>
  <c r="F904" i="1"/>
  <c r="G904" i="1"/>
  <c r="H904" i="1"/>
  <c r="I904" i="1"/>
  <c r="J904" i="1"/>
  <c r="K904" i="1"/>
  <c r="L904" i="1"/>
  <c r="M904" i="1"/>
  <c r="N904" i="1"/>
  <c r="O904" i="1"/>
  <c r="P904" i="1"/>
  <c r="Q904" i="1"/>
  <c r="R904" i="1"/>
  <c r="S904" i="1"/>
  <c r="T904" i="1"/>
  <c r="U904" i="1"/>
  <c r="V904" i="1"/>
  <c r="W904" i="1"/>
  <c r="X904" i="1"/>
  <c r="Y904" i="1"/>
  <c r="Z904" i="1"/>
  <c r="AA904" i="1"/>
  <c r="AB904" i="1"/>
  <c r="AC904" i="1"/>
  <c r="AD904" i="1"/>
  <c r="AE904" i="1"/>
  <c r="AF904" i="1"/>
  <c r="AG904" i="1"/>
  <c r="AH904" i="1"/>
  <c r="AI904" i="1"/>
  <c r="AJ904" i="1"/>
  <c r="AK904" i="1"/>
  <c r="AL904" i="1"/>
  <c r="AM904" i="1"/>
  <c r="A905" i="1"/>
  <c r="B905" i="1"/>
  <c r="C905" i="1"/>
  <c r="D905" i="1"/>
  <c r="E905" i="1"/>
  <c r="F905" i="1"/>
  <c r="G905" i="1"/>
  <c r="H905" i="1"/>
  <c r="I905" i="1"/>
  <c r="J905" i="1"/>
  <c r="K905" i="1"/>
  <c r="L905" i="1"/>
  <c r="M905" i="1"/>
  <c r="N905" i="1"/>
  <c r="O905" i="1"/>
  <c r="P905" i="1"/>
  <c r="Q905" i="1"/>
  <c r="R905" i="1"/>
  <c r="S905" i="1"/>
  <c r="T905" i="1"/>
  <c r="U905" i="1"/>
  <c r="V905" i="1"/>
  <c r="W905" i="1"/>
  <c r="X905" i="1"/>
  <c r="Y905" i="1"/>
  <c r="Z905" i="1"/>
  <c r="AA905" i="1"/>
  <c r="AB905" i="1"/>
  <c r="AC905" i="1"/>
  <c r="AD905" i="1"/>
  <c r="AE905" i="1"/>
  <c r="AF905" i="1"/>
  <c r="AG905" i="1"/>
  <c r="AH905" i="1"/>
  <c r="AI905" i="1"/>
  <c r="AJ905" i="1"/>
  <c r="AK905" i="1"/>
  <c r="AL905" i="1"/>
  <c r="AM905" i="1"/>
  <c r="A906" i="1"/>
  <c r="B906" i="1"/>
  <c r="C906" i="1"/>
  <c r="D906" i="1"/>
  <c r="E906" i="1"/>
  <c r="F906" i="1"/>
  <c r="G906" i="1"/>
  <c r="H906" i="1"/>
  <c r="I906" i="1"/>
  <c r="J906" i="1"/>
  <c r="K906" i="1"/>
  <c r="L906" i="1"/>
  <c r="M906" i="1"/>
  <c r="N906" i="1"/>
  <c r="O906" i="1"/>
  <c r="P906" i="1"/>
  <c r="Q906" i="1"/>
  <c r="R906" i="1"/>
  <c r="S906" i="1"/>
  <c r="T906" i="1"/>
  <c r="U906" i="1"/>
  <c r="V906" i="1"/>
  <c r="W906" i="1"/>
  <c r="X906" i="1"/>
  <c r="Y906" i="1"/>
  <c r="Z906" i="1"/>
  <c r="AA906" i="1"/>
  <c r="AB906" i="1"/>
  <c r="AC906" i="1"/>
  <c r="AD906" i="1"/>
  <c r="AE906" i="1"/>
  <c r="AF906" i="1"/>
  <c r="AG906" i="1"/>
  <c r="AH906" i="1"/>
  <c r="AI906" i="1"/>
  <c r="AJ906" i="1"/>
  <c r="AK906" i="1"/>
  <c r="AL906" i="1"/>
  <c r="AM906" i="1"/>
  <c r="A907" i="1"/>
  <c r="B907" i="1"/>
  <c r="C907" i="1"/>
  <c r="D907" i="1"/>
  <c r="E907" i="1"/>
  <c r="F907" i="1"/>
  <c r="G907" i="1"/>
  <c r="H907" i="1"/>
  <c r="I907" i="1"/>
  <c r="J907" i="1"/>
  <c r="K907" i="1"/>
  <c r="L907" i="1"/>
  <c r="M907" i="1"/>
  <c r="N907" i="1"/>
  <c r="O907" i="1"/>
  <c r="P907" i="1"/>
  <c r="Q907" i="1"/>
  <c r="R907" i="1"/>
  <c r="S907" i="1"/>
  <c r="T907" i="1"/>
  <c r="U907" i="1"/>
  <c r="V907" i="1"/>
  <c r="W907" i="1"/>
  <c r="X907" i="1"/>
  <c r="Y907" i="1"/>
  <c r="Z907" i="1"/>
  <c r="AA907" i="1"/>
  <c r="AB907" i="1"/>
  <c r="AC907" i="1"/>
  <c r="AD907" i="1"/>
  <c r="AE907" i="1"/>
  <c r="AF907" i="1"/>
  <c r="AG907" i="1"/>
  <c r="AH907" i="1"/>
  <c r="AI907" i="1"/>
  <c r="AJ907" i="1"/>
  <c r="AK907" i="1"/>
  <c r="AL907" i="1"/>
  <c r="AM907" i="1"/>
  <c r="A908" i="1"/>
  <c r="B908" i="1"/>
  <c r="C908" i="1"/>
  <c r="D908" i="1"/>
  <c r="E908" i="1"/>
  <c r="F908" i="1"/>
  <c r="G908" i="1"/>
  <c r="H908" i="1"/>
  <c r="I908" i="1"/>
  <c r="J908" i="1"/>
  <c r="K908" i="1"/>
  <c r="L908" i="1"/>
  <c r="M908" i="1"/>
  <c r="N908" i="1"/>
  <c r="O908" i="1"/>
  <c r="P908" i="1"/>
  <c r="Q908" i="1"/>
  <c r="R908" i="1"/>
  <c r="S908" i="1"/>
  <c r="T908" i="1"/>
  <c r="U908" i="1"/>
  <c r="V908" i="1"/>
  <c r="W908" i="1"/>
  <c r="X908" i="1"/>
  <c r="Y908" i="1"/>
  <c r="Z908" i="1"/>
  <c r="AA908" i="1"/>
  <c r="AB908" i="1"/>
  <c r="AC908" i="1"/>
  <c r="AD908" i="1"/>
  <c r="AE908" i="1"/>
  <c r="AF908" i="1"/>
  <c r="AG908" i="1"/>
  <c r="AH908" i="1"/>
  <c r="AI908" i="1"/>
  <c r="AJ908" i="1"/>
  <c r="AK908" i="1"/>
  <c r="AL908" i="1"/>
  <c r="AM908" i="1"/>
  <c r="A909" i="1"/>
  <c r="B909" i="1"/>
  <c r="C909" i="1"/>
  <c r="D909" i="1"/>
  <c r="E909" i="1"/>
  <c r="F909" i="1"/>
  <c r="G909" i="1"/>
  <c r="H909" i="1"/>
  <c r="I909" i="1"/>
  <c r="J909" i="1"/>
  <c r="K909" i="1"/>
  <c r="L909" i="1"/>
  <c r="M909" i="1"/>
  <c r="N909" i="1"/>
  <c r="O909" i="1"/>
  <c r="P909" i="1"/>
  <c r="Q909" i="1"/>
  <c r="R909" i="1"/>
  <c r="S909" i="1"/>
  <c r="T909" i="1"/>
  <c r="U909" i="1"/>
  <c r="V909" i="1"/>
  <c r="W909" i="1"/>
  <c r="X909" i="1"/>
  <c r="Y909" i="1"/>
  <c r="Z909" i="1"/>
  <c r="AA909" i="1"/>
  <c r="AB909" i="1"/>
  <c r="AC909" i="1"/>
  <c r="AD909" i="1"/>
  <c r="AE909" i="1"/>
  <c r="AF909" i="1"/>
  <c r="AG909" i="1"/>
  <c r="AH909" i="1"/>
  <c r="AI909" i="1"/>
  <c r="AJ909" i="1"/>
  <c r="AK909" i="1"/>
  <c r="AL909" i="1"/>
  <c r="AM909" i="1"/>
  <c r="A910" i="1"/>
  <c r="B910" i="1"/>
  <c r="C910" i="1"/>
  <c r="D910" i="1"/>
  <c r="E910" i="1"/>
  <c r="F910" i="1"/>
  <c r="G910" i="1"/>
  <c r="H910" i="1"/>
  <c r="I910" i="1"/>
  <c r="J910" i="1"/>
  <c r="K910" i="1"/>
  <c r="L910" i="1"/>
  <c r="M910" i="1"/>
  <c r="N910" i="1"/>
  <c r="O910" i="1"/>
  <c r="P910" i="1"/>
  <c r="Q910" i="1"/>
  <c r="R910" i="1"/>
  <c r="S910" i="1"/>
  <c r="T910" i="1"/>
  <c r="U910" i="1"/>
  <c r="V910" i="1"/>
  <c r="W910" i="1"/>
  <c r="X910" i="1"/>
  <c r="Y910" i="1"/>
  <c r="Z910" i="1"/>
  <c r="AA910" i="1"/>
  <c r="AB910" i="1"/>
  <c r="AC910" i="1"/>
  <c r="AD910" i="1"/>
  <c r="AE910" i="1"/>
  <c r="AF910" i="1"/>
  <c r="AG910" i="1"/>
  <c r="AH910" i="1"/>
  <c r="AI910" i="1"/>
  <c r="AJ910" i="1"/>
  <c r="AK910" i="1"/>
  <c r="AL910" i="1"/>
  <c r="AM910" i="1"/>
  <c r="A911" i="1"/>
  <c r="B911" i="1"/>
  <c r="C911" i="1"/>
  <c r="D911" i="1"/>
  <c r="E911" i="1"/>
  <c r="F911" i="1"/>
  <c r="G911" i="1"/>
  <c r="H911" i="1"/>
  <c r="I911" i="1"/>
  <c r="J911" i="1"/>
  <c r="K911" i="1"/>
  <c r="L911" i="1"/>
  <c r="M911" i="1"/>
  <c r="N911" i="1"/>
  <c r="O911" i="1"/>
  <c r="P911" i="1"/>
  <c r="Q911" i="1"/>
  <c r="R911" i="1"/>
  <c r="S911" i="1"/>
  <c r="T911" i="1"/>
  <c r="U911" i="1"/>
  <c r="V911" i="1"/>
  <c r="W911" i="1"/>
  <c r="X911" i="1"/>
  <c r="Y911" i="1"/>
  <c r="Z911" i="1"/>
  <c r="AA911" i="1"/>
  <c r="AB911" i="1"/>
  <c r="AC911" i="1"/>
  <c r="AD911" i="1"/>
  <c r="AE911" i="1"/>
  <c r="AF911" i="1"/>
  <c r="AG911" i="1"/>
  <c r="AH911" i="1"/>
  <c r="AI911" i="1"/>
  <c r="AJ911" i="1"/>
  <c r="AK911" i="1"/>
  <c r="AL911" i="1"/>
  <c r="AM911" i="1"/>
  <c r="A912" i="1"/>
  <c r="B912" i="1"/>
  <c r="C912" i="1"/>
  <c r="D912" i="1"/>
  <c r="E912" i="1"/>
  <c r="F912" i="1"/>
  <c r="G912" i="1"/>
  <c r="H912" i="1"/>
  <c r="I912" i="1"/>
  <c r="J912" i="1"/>
  <c r="K912" i="1"/>
  <c r="L912" i="1"/>
  <c r="M912" i="1"/>
  <c r="N912" i="1"/>
  <c r="O912" i="1"/>
  <c r="P912" i="1"/>
  <c r="Q912" i="1"/>
  <c r="R912" i="1"/>
  <c r="S912" i="1"/>
  <c r="T912" i="1"/>
  <c r="U912" i="1"/>
  <c r="V912" i="1"/>
  <c r="W912" i="1"/>
  <c r="X912" i="1"/>
  <c r="Y912" i="1"/>
  <c r="Z912" i="1"/>
  <c r="AA912" i="1"/>
  <c r="AB912" i="1"/>
  <c r="AC912" i="1"/>
  <c r="AD912" i="1"/>
  <c r="AE912" i="1"/>
  <c r="AF912" i="1"/>
  <c r="AG912" i="1"/>
  <c r="AH912" i="1"/>
  <c r="AI912" i="1"/>
  <c r="AJ912" i="1"/>
  <c r="AK912" i="1"/>
  <c r="AL912" i="1"/>
  <c r="AM912" i="1"/>
  <c r="A913" i="1"/>
  <c r="B913" i="1"/>
  <c r="C913" i="1"/>
  <c r="D913" i="1"/>
  <c r="E913" i="1"/>
  <c r="F913" i="1"/>
  <c r="G913" i="1"/>
  <c r="H913" i="1"/>
  <c r="I913" i="1"/>
  <c r="J913" i="1"/>
  <c r="K913" i="1"/>
  <c r="L913" i="1"/>
  <c r="M913" i="1"/>
  <c r="N913" i="1"/>
  <c r="O913" i="1"/>
  <c r="P913" i="1"/>
  <c r="Q913" i="1"/>
  <c r="R913" i="1"/>
  <c r="S913" i="1"/>
  <c r="T913" i="1"/>
  <c r="U913" i="1"/>
  <c r="V913" i="1"/>
  <c r="W913" i="1"/>
  <c r="X913" i="1"/>
  <c r="Y913" i="1"/>
  <c r="Z913" i="1"/>
  <c r="AA913" i="1"/>
  <c r="AB913" i="1"/>
  <c r="AC913" i="1"/>
  <c r="AD913" i="1"/>
  <c r="AE913" i="1"/>
  <c r="AF913" i="1"/>
  <c r="AG913" i="1"/>
  <c r="AH913" i="1"/>
  <c r="AI913" i="1"/>
  <c r="AJ913" i="1"/>
  <c r="AK913" i="1"/>
  <c r="AL913" i="1"/>
  <c r="AM913" i="1"/>
  <c r="A914" i="1"/>
  <c r="B914" i="1"/>
  <c r="C914" i="1"/>
  <c r="D914" i="1"/>
  <c r="E914" i="1"/>
  <c r="F914" i="1"/>
  <c r="G914" i="1"/>
  <c r="H914" i="1"/>
  <c r="I914" i="1"/>
  <c r="J914" i="1"/>
  <c r="K914" i="1"/>
  <c r="L914" i="1"/>
  <c r="M914" i="1"/>
  <c r="N914" i="1"/>
  <c r="O914" i="1"/>
  <c r="P914" i="1"/>
  <c r="Q914" i="1"/>
  <c r="R914" i="1"/>
  <c r="S914" i="1"/>
  <c r="T914" i="1"/>
  <c r="U914" i="1"/>
  <c r="V914" i="1"/>
  <c r="W914" i="1"/>
  <c r="X914" i="1"/>
  <c r="Y914" i="1"/>
  <c r="Z914" i="1"/>
  <c r="AA914" i="1"/>
  <c r="AB914" i="1"/>
  <c r="AC914" i="1"/>
  <c r="AD914" i="1"/>
  <c r="AE914" i="1"/>
  <c r="AF914" i="1"/>
  <c r="AG914" i="1"/>
  <c r="AH914" i="1"/>
  <c r="AI914" i="1"/>
  <c r="AJ914" i="1"/>
  <c r="AK914" i="1"/>
  <c r="AL914" i="1"/>
  <c r="AM914" i="1"/>
  <c r="A915" i="1"/>
  <c r="B915" i="1"/>
  <c r="C915" i="1"/>
  <c r="D915" i="1"/>
  <c r="E915" i="1"/>
  <c r="F915" i="1"/>
  <c r="G915" i="1"/>
  <c r="H915" i="1"/>
  <c r="I915" i="1"/>
  <c r="J915" i="1"/>
  <c r="K915" i="1"/>
  <c r="L915" i="1"/>
  <c r="M915" i="1"/>
  <c r="N915" i="1"/>
  <c r="O915" i="1"/>
  <c r="P915" i="1"/>
  <c r="Q915" i="1"/>
  <c r="R915" i="1"/>
  <c r="S915" i="1"/>
  <c r="T915" i="1"/>
  <c r="U915" i="1"/>
  <c r="V915" i="1"/>
  <c r="W915" i="1"/>
  <c r="X915" i="1"/>
  <c r="Y915" i="1"/>
  <c r="Z915" i="1"/>
  <c r="AA915" i="1"/>
  <c r="AB915" i="1"/>
  <c r="AC915" i="1"/>
  <c r="AD915" i="1"/>
  <c r="AE915" i="1"/>
  <c r="AF915" i="1"/>
  <c r="AG915" i="1"/>
  <c r="AH915" i="1"/>
  <c r="AI915" i="1"/>
  <c r="AJ915" i="1"/>
  <c r="AK915" i="1"/>
  <c r="AL915" i="1"/>
  <c r="AM915" i="1"/>
  <c r="A916" i="1"/>
  <c r="B916" i="1"/>
  <c r="C916" i="1"/>
  <c r="D916" i="1"/>
  <c r="E916" i="1"/>
  <c r="F916" i="1"/>
  <c r="G916" i="1"/>
  <c r="H916" i="1"/>
  <c r="I916" i="1"/>
  <c r="J916" i="1"/>
  <c r="K916" i="1"/>
  <c r="L916" i="1"/>
  <c r="M916" i="1"/>
  <c r="N916" i="1"/>
  <c r="O916" i="1"/>
  <c r="P916" i="1"/>
  <c r="Q916" i="1"/>
  <c r="R916" i="1"/>
  <c r="S916" i="1"/>
  <c r="T916" i="1"/>
  <c r="U916" i="1"/>
  <c r="V916" i="1"/>
  <c r="W916" i="1"/>
  <c r="X916" i="1"/>
  <c r="Y916" i="1"/>
  <c r="Z916" i="1"/>
  <c r="AA916" i="1"/>
  <c r="AB916" i="1"/>
  <c r="AC916" i="1"/>
  <c r="AD916" i="1"/>
  <c r="AE916" i="1"/>
  <c r="AF916" i="1"/>
  <c r="AG916" i="1"/>
  <c r="AH916" i="1"/>
  <c r="AI916" i="1"/>
  <c r="AJ916" i="1"/>
  <c r="AK916" i="1"/>
  <c r="AL916" i="1"/>
  <c r="AM916" i="1"/>
  <c r="A917" i="1"/>
  <c r="B917" i="1"/>
  <c r="C917" i="1"/>
  <c r="D917" i="1"/>
  <c r="E917" i="1"/>
  <c r="F917" i="1"/>
  <c r="G917" i="1"/>
  <c r="H917" i="1"/>
  <c r="I917" i="1"/>
  <c r="J917" i="1"/>
  <c r="K917" i="1"/>
  <c r="L917" i="1"/>
  <c r="M917" i="1"/>
  <c r="N917" i="1"/>
  <c r="O917" i="1"/>
  <c r="P917" i="1"/>
  <c r="Q917" i="1"/>
  <c r="R917" i="1"/>
  <c r="S917" i="1"/>
  <c r="T917" i="1"/>
  <c r="U917" i="1"/>
  <c r="V917" i="1"/>
  <c r="W917" i="1"/>
  <c r="X917" i="1"/>
  <c r="Y917" i="1"/>
  <c r="Z917" i="1"/>
  <c r="AA917" i="1"/>
  <c r="AB917" i="1"/>
  <c r="AC917" i="1"/>
  <c r="AD917" i="1"/>
  <c r="AE917" i="1"/>
  <c r="AF917" i="1"/>
  <c r="AG917" i="1"/>
  <c r="AH917" i="1"/>
  <c r="AI917" i="1"/>
  <c r="AJ917" i="1"/>
  <c r="AK917" i="1"/>
  <c r="AL917" i="1"/>
  <c r="AM917" i="1"/>
  <c r="A918" i="1"/>
  <c r="B918" i="1"/>
  <c r="C918" i="1"/>
  <c r="D918" i="1"/>
  <c r="E918" i="1"/>
  <c r="F918" i="1"/>
  <c r="G918" i="1"/>
  <c r="H918" i="1"/>
  <c r="I918" i="1"/>
  <c r="J918" i="1"/>
  <c r="K918" i="1"/>
  <c r="L918" i="1"/>
  <c r="M918" i="1"/>
  <c r="N918" i="1"/>
  <c r="O918" i="1"/>
  <c r="P918" i="1"/>
  <c r="Q918" i="1"/>
  <c r="R918" i="1"/>
  <c r="S918" i="1"/>
  <c r="T918" i="1"/>
  <c r="U918" i="1"/>
  <c r="V918" i="1"/>
  <c r="W918" i="1"/>
  <c r="X918" i="1"/>
  <c r="Y918" i="1"/>
  <c r="Z918" i="1"/>
  <c r="AA918" i="1"/>
  <c r="AB918" i="1"/>
  <c r="AC918" i="1"/>
  <c r="AD918" i="1"/>
  <c r="AE918" i="1"/>
  <c r="AF918" i="1"/>
  <c r="AG918" i="1"/>
  <c r="AH918" i="1"/>
  <c r="AI918" i="1"/>
  <c r="AJ918" i="1"/>
  <c r="AK918" i="1"/>
  <c r="AL918" i="1"/>
  <c r="AM918" i="1"/>
  <c r="A919" i="1"/>
  <c r="B919" i="1"/>
  <c r="C919" i="1"/>
  <c r="D919" i="1"/>
  <c r="E919" i="1"/>
  <c r="F919" i="1"/>
  <c r="G919" i="1"/>
  <c r="H919" i="1"/>
  <c r="I919" i="1"/>
  <c r="J919" i="1"/>
  <c r="K919" i="1"/>
  <c r="L919" i="1"/>
  <c r="M919" i="1"/>
  <c r="N919" i="1"/>
  <c r="O919" i="1"/>
  <c r="P919" i="1"/>
  <c r="Q919" i="1"/>
  <c r="R919" i="1"/>
  <c r="S919" i="1"/>
  <c r="T919" i="1"/>
  <c r="U919" i="1"/>
  <c r="V919" i="1"/>
  <c r="W919" i="1"/>
  <c r="X919" i="1"/>
  <c r="Y919" i="1"/>
  <c r="Z919" i="1"/>
  <c r="AA919" i="1"/>
  <c r="AB919" i="1"/>
  <c r="AC919" i="1"/>
  <c r="AD919" i="1"/>
  <c r="AE919" i="1"/>
  <c r="AF919" i="1"/>
  <c r="AG919" i="1"/>
  <c r="AH919" i="1"/>
  <c r="AI919" i="1"/>
  <c r="AJ919" i="1"/>
  <c r="AK919" i="1"/>
  <c r="AL919" i="1"/>
  <c r="AM919" i="1"/>
  <c r="A920" i="1"/>
  <c r="B920" i="1"/>
  <c r="C920" i="1"/>
  <c r="D920" i="1"/>
  <c r="E920" i="1"/>
  <c r="F920" i="1"/>
  <c r="G920" i="1"/>
  <c r="H920" i="1"/>
  <c r="I920" i="1"/>
  <c r="J920" i="1"/>
  <c r="K920" i="1"/>
  <c r="L920" i="1"/>
  <c r="M920" i="1"/>
  <c r="N920" i="1"/>
  <c r="O920" i="1"/>
  <c r="P920" i="1"/>
  <c r="Q920" i="1"/>
  <c r="R920" i="1"/>
  <c r="S920" i="1"/>
  <c r="T920" i="1"/>
  <c r="U920" i="1"/>
  <c r="V920" i="1"/>
  <c r="W920" i="1"/>
  <c r="X920" i="1"/>
  <c r="Y920" i="1"/>
  <c r="Z920" i="1"/>
  <c r="AA920" i="1"/>
  <c r="AB920" i="1"/>
  <c r="AC920" i="1"/>
  <c r="AD920" i="1"/>
  <c r="AE920" i="1"/>
  <c r="AF920" i="1"/>
  <c r="AG920" i="1"/>
  <c r="AH920" i="1"/>
  <c r="AI920" i="1"/>
  <c r="AJ920" i="1"/>
  <c r="AK920" i="1"/>
  <c r="AL920" i="1"/>
  <c r="AM920" i="1"/>
  <c r="A921" i="1"/>
  <c r="B921" i="1"/>
  <c r="C921" i="1"/>
  <c r="D921" i="1"/>
  <c r="E921" i="1"/>
  <c r="F921" i="1"/>
  <c r="G921" i="1"/>
  <c r="H921" i="1"/>
  <c r="I921" i="1"/>
  <c r="J921" i="1"/>
  <c r="K921" i="1"/>
  <c r="L921" i="1"/>
  <c r="M921" i="1"/>
  <c r="N921" i="1"/>
  <c r="O921" i="1"/>
  <c r="P921" i="1"/>
  <c r="Q921" i="1"/>
  <c r="R921" i="1"/>
  <c r="S921" i="1"/>
  <c r="T921" i="1"/>
  <c r="U921" i="1"/>
  <c r="V921" i="1"/>
  <c r="W921" i="1"/>
  <c r="X921" i="1"/>
  <c r="Y921" i="1"/>
  <c r="Z921" i="1"/>
  <c r="AA921" i="1"/>
  <c r="AB921" i="1"/>
  <c r="AC921" i="1"/>
  <c r="AD921" i="1"/>
  <c r="AE921" i="1"/>
  <c r="AF921" i="1"/>
  <c r="AG921" i="1"/>
  <c r="AH921" i="1"/>
  <c r="AI921" i="1"/>
  <c r="AJ921" i="1"/>
  <c r="AK921" i="1"/>
  <c r="AL921" i="1"/>
  <c r="AM921" i="1"/>
  <c r="A922" i="1"/>
  <c r="B922" i="1"/>
  <c r="C922" i="1"/>
  <c r="D922" i="1"/>
  <c r="E922" i="1"/>
  <c r="F922" i="1"/>
  <c r="G922" i="1"/>
  <c r="H922" i="1"/>
  <c r="I922" i="1"/>
  <c r="J922" i="1"/>
  <c r="K922" i="1"/>
  <c r="L922" i="1"/>
  <c r="M922" i="1"/>
  <c r="N922" i="1"/>
  <c r="O922" i="1"/>
  <c r="P922" i="1"/>
  <c r="Q922" i="1"/>
  <c r="R922" i="1"/>
  <c r="S922" i="1"/>
  <c r="T922" i="1"/>
  <c r="U922" i="1"/>
  <c r="V922" i="1"/>
  <c r="W922" i="1"/>
  <c r="X922" i="1"/>
  <c r="Y922" i="1"/>
  <c r="Z922" i="1"/>
  <c r="AA922" i="1"/>
  <c r="AB922" i="1"/>
  <c r="AC922" i="1"/>
  <c r="AD922" i="1"/>
  <c r="AE922" i="1"/>
  <c r="AF922" i="1"/>
  <c r="AG922" i="1"/>
  <c r="AH922" i="1"/>
  <c r="AI922" i="1"/>
  <c r="AJ922" i="1"/>
  <c r="AK922" i="1"/>
  <c r="AL922" i="1"/>
  <c r="AM922" i="1"/>
  <c r="A923" i="1"/>
  <c r="B923" i="1"/>
  <c r="C923" i="1"/>
  <c r="D923" i="1"/>
  <c r="E923" i="1"/>
  <c r="F923" i="1"/>
  <c r="G923" i="1"/>
  <c r="H923" i="1"/>
  <c r="I923" i="1"/>
  <c r="J923" i="1"/>
  <c r="K923" i="1"/>
  <c r="L923" i="1"/>
  <c r="M923" i="1"/>
  <c r="N923" i="1"/>
  <c r="O923" i="1"/>
  <c r="P923" i="1"/>
  <c r="Q923" i="1"/>
  <c r="R923" i="1"/>
  <c r="S923" i="1"/>
  <c r="T923" i="1"/>
  <c r="U923" i="1"/>
  <c r="V923" i="1"/>
  <c r="W923" i="1"/>
  <c r="X923" i="1"/>
  <c r="Y923" i="1"/>
  <c r="Z923" i="1"/>
  <c r="AA923" i="1"/>
  <c r="AB923" i="1"/>
  <c r="AC923" i="1"/>
  <c r="AD923" i="1"/>
  <c r="AE923" i="1"/>
  <c r="AF923" i="1"/>
  <c r="AG923" i="1"/>
  <c r="AH923" i="1"/>
  <c r="AI923" i="1"/>
  <c r="AJ923" i="1"/>
  <c r="AK923" i="1"/>
  <c r="AL923" i="1"/>
  <c r="AM923" i="1"/>
  <c r="A924" i="1"/>
  <c r="B924" i="1"/>
  <c r="C924" i="1"/>
  <c r="D924" i="1"/>
  <c r="E924" i="1"/>
  <c r="F924" i="1"/>
  <c r="G924" i="1"/>
  <c r="H924" i="1"/>
  <c r="I924" i="1"/>
  <c r="J924" i="1"/>
  <c r="K924" i="1"/>
  <c r="L924" i="1"/>
  <c r="M924" i="1"/>
  <c r="N924" i="1"/>
  <c r="O924" i="1"/>
  <c r="P924" i="1"/>
  <c r="Q924" i="1"/>
  <c r="R924" i="1"/>
  <c r="S924" i="1"/>
  <c r="T924" i="1"/>
  <c r="U924" i="1"/>
  <c r="V924" i="1"/>
  <c r="W924" i="1"/>
  <c r="X924" i="1"/>
  <c r="Y924" i="1"/>
  <c r="Z924" i="1"/>
  <c r="AA924" i="1"/>
  <c r="AB924" i="1"/>
  <c r="AC924" i="1"/>
  <c r="AD924" i="1"/>
  <c r="AE924" i="1"/>
  <c r="AF924" i="1"/>
  <c r="AG924" i="1"/>
  <c r="AH924" i="1"/>
  <c r="AI924" i="1"/>
  <c r="AJ924" i="1"/>
  <c r="AK924" i="1"/>
  <c r="AL924" i="1"/>
  <c r="AM924" i="1"/>
  <c r="A925" i="1"/>
  <c r="B925" i="1"/>
  <c r="C925" i="1"/>
  <c r="D925" i="1"/>
  <c r="E925" i="1"/>
  <c r="F925" i="1"/>
  <c r="G925" i="1"/>
  <c r="H925" i="1"/>
  <c r="I925" i="1"/>
  <c r="J925" i="1"/>
  <c r="K925" i="1"/>
  <c r="L925" i="1"/>
  <c r="M925" i="1"/>
  <c r="N925" i="1"/>
  <c r="O925" i="1"/>
  <c r="P925" i="1"/>
  <c r="Q925" i="1"/>
  <c r="R925" i="1"/>
  <c r="S925" i="1"/>
  <c r="T925" i="1"/>
  <c r="U925" i="1"/>
  <c r="V925" i="1"/>
  <c r="W925" i="1"/>
  <c r="X925" i="1"/>
  <c r="Y925" i="1"/>
  <c r="Z925" i="1"/>
  <c r="AA925" i="1"/>
  <c r="AB925" i="1"/>
  <c r="AC925" i="1"/>
  <c r="AD925" i="1"/>
  <c r="AE925" i="1"/>
  <c r="AF925" i="1"/>
  <c r="AG925" i="1"/>
  <c r="AH925" i="1"/>
  <c r="AI925" i="1"/>
  <c r="AJ925" i="1"/>
  <c r="AK925" i="1"/>
  <c r="AL925" i="1"/>
  <c r="AM925" i="1"/>
  <c r="A926" i="1"/>
  <c r="B926" i="1"/>
  <c r="C926" i="1"/>
  <c r="D926" i="1"/>
  <c r="E926" i="1"/>
  <c r="F926" i="1"/>
  <c r="G926" i="1"/>
  <c r="H926" i="1"/>
  <c r="I926" i="1"/>
  <c r="J926" i="1"/>
  <c r="K926" i="1"/>
  <c r="L926" i="1"/>
  <c r="M926" i="1"/>
  <c r="N926" i="1"/>
  <c r="O926" i="1"/>
  <c r="P926" i="1"/>
  <c r="Q926" i="1"/>
  <c r="R926" i="1"/>
  <c r="S926" i="1"/>
  <c r="T926" i="1"/>
  <c r="U926" i="1"/>
  <c r="V926" i="1"/>
  <c r="W926" i="1"/>
  <c r="X926" i="1"/>
  <c r="Y926" i="1"/>
  <c r="Z926" i="1"/>
  <c r="AA926" i="1"/>
  <c r="AB926" i="1"/>
  <c r="AC926" i="1"/>
  <c r="AD926" i="1"/>
  <c r="AE926" i="1"/>
  <c r="AF926" i="1"/>
  <c r="AG926" i="1"/>
  <c r="AH926" i="1"/>
  <c r="AI926" i="1"/>
  <c r="AJ926" i="1"/>
  <c r="AK926" i="1"/>
  <c r="AL926" i="1"/>
  <c r="AM926" i="1"/>
  <c r="A927" i="1"/>
  <c r="B927" i="1"/>
  <c r="C927" i="1"/>
  <c r="D927" i="1"/>
  <c r="E927" i="1"/>
  <c r="F927" i="1"/>
  <c r="G927" i="1"/>
  <c r="H927" i="1"/>
  <c r="I927" i="1"/>
  <c r="J927" i="1"/>
  <c r="K927" i="1"/>
  <c r="L927" i="1"/>
  <c r="M927" i="1"/>
  <c r="N927" i="1"/>
  <c r="O927" i="1"/>
  <c r="P927" i="1"/>
  <c r="Q927" i="1"/>
  <c r="R927" i="1"/>
  <c r="S927" i="1"/>
  <c r="T927" i="1"/>
  <c r="U927" i="1"/>
  <c r="V927" i="1"/>
  <c r="W927" i="1"/>
  <c r="X927" i="1"/>
  <c r="Y927" i="1"/>
  <c r="Z927" i="1"/>
  <c r="AA927" i="1"/>
  <c r="AB927" i="1"/>
  <c r="AC927" i="1"/>
  <c r="AD927" i="1"/>
  <c r="AE927" i="1"/>
  <c r="AF927" i="1"/>
  <c r="AG927" i="1"/>
  <c r="AH927" i="1"/>
  <c r="AI927" i="1"/>
  <c r="AJ927" i="1"/>
  <c r="AK927" i="1"/>
  <c r="AL927" i="1"/>
  <c r="AM927" i="1"/>
  <c r="A928" i="1"/>
  <c r="B928" i="1"/>
  <c r="C928" i="1"/>
  <c r="D928" i="1"/>
  <c r="E928" i="1"/>
  <c r="F928" i="1"/>
  <c r="G928" i="1"/>
  <c r="H928" i="1"/>
  <c r="I928" i="1"/>
  <c r="J928" i="1"/>
  <c r="K928" i="1"/>
  <c r="L928" i="1"/>
  <c r="M928" i="1"/>
  <c r="N928" i="1"/>
  <c r="O928" i="1"/>
  <c r="P928" i="1"/>
  <c r="Q928" i="1"/>
  <c r="R928" i="1"/>
  <c r="S928" i="1"/>
  <c r="T928" i="1"/>
  <c r="U928" i="1"/>
  <c r="V928" i="1"/>
  <c r="W928" i="1"/>
  <c r="X928" i="1"/>
  <c r="Y928" i="1"/>
  <c r="Z928" i="1"/>
  <c r="AA928" i="1"/>
  <c r="AB928" i="1"/>
  <c r="AC928" i="1"/>
  <c r="AD928" i="1"/>
  <c r="AE928" i="1"/>
  <c r="AF928" i="1"/>
  <c r="AG928" i="1"/>
  <c r="AH928" i="1"/>
  <c r="AI928" i="1"/>
  <c r="AJ928" i="1"/>
  <c r="AK928" i="1"/>
  <c r="AL928" i="1"/>
  <c r="AM928" i="1"/>
  <c r="A929" i="1"/>
  <c r="B929" i="1"/>
  <c r="C929" i="1"/>
  <c r="D929" i="1"/>
  <c r="E929" i="1"/>
  <c r="F929" i="1"/>
  <c r="G929" i="1"/>
  <c r="H929" i="1"/>
  <c r="I929" i="1"/>
  <c r="J929" i="1"/>
  <c r="K929" i="1"/>
  <c r="L929" i="1"/>
  <c r="M929" i="1"/>
  <c r="N929" i="1"/>
  <c r="O929" i="1"/>
  <c r="P929" i="1"/>
  <c r="Q929" i="1"/>
  <c r="R929" i="1"/>
  <c r="S929" i="1"/>
  <c r="T929" i="1"/>
  <c r="U929" i="1"/>
  <c r="V929" i="1"/>
  <c r="W929" i="1"/>
  <c r="X929" i="1"/>
  <c r="Y929" i="1"/>
  <c r="Z929" i="1"/>
  <c r="AA929" i="1"/>
  <c r="AB929" i="1"/>
  <c r="AC929" i="1"/>
  <c r="AD929" i="1"/>
  <c r="AE929" i="1"/>
  <c r="AF929" i="1"/>
  <c r="AG929" i="1"/>
  <c r="AH929" i="1"/>
  <c r="AI929" i="1"/>
  <c r="AJ929" i="1"/>
  <c r="AK929" i="1"/>
  <c r="AL929" i="1"/>
  <c r="AM929" i="1"/>
  <c r="A930" i="1"/>
  <c r="B930" i="1"/>
  <c r="C930" i="1"/>
  <c r="D930" i="1"/>
  <c r="E930" i="1"/>
  <c r="F930" i="1"/>
  <c r="G930" i="1"/>
  <c r="H930" i="1"/>
  <c r="I930" i="1"/>
  <c r="J930" i="1"/>
  <c r="K930" i="1"/>
  <c r="L930" i="1"/>
  <c r="M930" i="1"/>
  <c r="N930" i="1"/>
  <c r="O930" i="1"/>
  <c r="P930" i="1"/>
  <c r="Q930" i="1"/>
  <c r="R930" i="1"/>
  <c r="S930" i="1"/>
  <c r="T930" i="1"/>
  <c r="U930" i="1"/>
  <c r="V930" i="1"/>
  <c r="W930" i="1"/>
  <c r="X930" i="1"/>
  <c r="Y930" i="1"/>
  <c r="Z930" i="1"/>
  <c r="AA930" i="1"/>
  <c r="AB930" i="1"/>
  <c r="AC930" i="1"/>
  <c r="AD930" i="1"/>
  <c r="AE930" i="1"/>
  <c r="AF930" i="1"/>
  <c r="AG930" i="1"/>
  <c r="AH930" i="1"/>
  <c r="AI930" i="1"/>
  <c r="AJ930" i="1"/>
  <c r="AK930" i="1"/>
  <c r="AL930" i="1"/>
  <c r="AM930" i="1"/>
  <c r="A931" i="1"/>
  <c r="B931" i="1"/>
  <c r="C931" i="1"/>
  <c r="D931" i="1"/>
  <c r="E931" i="1"/>
  <c r="F931" i="1"/>
  <c r="G931" i="1"/>
  <c r="H931" i="1"/>
  <c r="I931" i="1"/>
  <c r="J931" i="1"/>
  <c r="K931" i="1"/>
  <c r="L931" i="1"/>
  <c r="M931" i="1"/>
  <c r="N931" i="1"/>
  <c r="O931" i="1"/>
  <c r="P931" i="1"/>
  <c r="Q931" i="1"/>
  <c r="R931" i="1"/>
  <c r="S931" i="1"/>
  <c r="T931" i="1"/>
  <c r="U931" i="1"/>
  <c r="V931" i="1"/>
  <c r="W931" i="1"/>
  <c r="X931" i="1"/>
  <c r="Y931" i="1"/>
  <c r="Z931" i="1"/>
  <c r="AA931" i="1"/>
  <c r="AB931" i="1"/>
  <c r="AC931" i="1"/>
  <c r="AD931" i="1"/>
  <c r="AE931" i="1"/>
  <c r="AF931" i="1"/>
  <c r="AG931" i="1"/>
  <c r="AH931" i="1"/>
  <c r="AI931" i="1"/>
  <c r="AJ931" i="1"/>
  <c r="AK931" i="1"/>
  <c r="AL931" i="1"/>
  <c r="AM931" i="1"/>
  <c r="A932" i="1"/>
  <c r="B932" i="1"/>
  <c r="C932" i="1"/>
  <c r="D932" i="1"/>
  <c r="E932" i="1"/>
  <c r="F932" i="1"/>
  <c r="G932" i="1"/>
  <c r="H932" i="1"/>
  <c r="I932" i="1"/>
  <c r="J932" i="1"/>
  <c r="K932" i="1"/>
  <c r="L932" i="1"/>
  <c r="M932" i="1"/>
  <c r="N932" i="1"/>
  <c r="O932" i="1"/>
  <c r="P932" i="1"/>
  <c r="Q932" i="1"/>
  <c r="R932" i="1"/>
  <c r="S932" i="1"/>
  <c r="T932" i="1"/>
  <c r="U932" i="1"/>
  <c r="V932" i="1"/>
  <c r="W932" i="1"/>
  <c r="X932" i="1"/>
  <c r="Y932" i="1"/>
  <c r="Z932" i="1"/>
  <c r="AA932" i="1"/>
  <c r="AB932" i="1"/>
  <c r="AC932" i="1"/>
  <c r="AD932" i="1"/>
  <c r="AE932" i="1"/>
  <c r="AF932" i="1"/>
  <c r="AG932" i="1"/>
  <c r="AH932" i="1"/>
  <c r="AI932" i="1"/>
  <c r="AJ932" i="1"/>
  <c r="AK932" i="1"/>
  <c r="AL932" i="1"/>
  <c r="AM932" i="1"/>
  <c r="A933" i="1"/>
  <c r="B933" i="1"/>
  <c r="C933" i="1"/>
  <c r="D933" i="1"/>
  <c r="E933" i="1"/>
  <c r="F933" i="1"/>
  <c r="G933" i="1"/>
  <c r="H933" i="1"/>
  <c r="I933" i="1"/>
  <c r="J933" i="1"/>
  <c r="K933" i="1"/>
  <c r="L933" i="1"/>
  <c r="M933" i="1"/>
  <c r="N933" i="1"/>
  <c r="O933" i="1"/>
  <c r="P933" i="1"/>
  <c r="Q933" i="1"/>
  <c r="R933" i="1"/>
  <c r="S933" i="1"/>
  <c r="T933" i="1"/>
  <c r="U933" i="1"/>
  <c r="V933" i="1"/>
  <c r="W933" i="1"/>
  <c r="X933" i="1"/>
  <c r="Y933" i="1"/>
  <c r="Z933" i="1"/>
  <c r="AA933" i="1"/>
  <c r="AB933" i="1"/>
  <c r="AC933" i="1"/>
  <c r="AD933" i="1"/>
  <c r="AE933" i="1"/>
  <c r="AF933" i="1"/>
  <c r="AG933" i="1"/>
  <c r="AH933" i="1"/>
  <c r="AI933" i="1"/>
  <c r="AJ933" i="1"/>
  <c r="AK933" i="1"/>
  <c r="AL933" i="1"/>
  <c r="AM933" i="1"/>
  <c r="A934" i="1"/>
  <c r="B934" i="1"/>
  <c r="C934" i="1"/>
  <c r="D934" i="1"/>
  <c r="E934" i="1"/>
  <c r="F934" i="1"/>
  <c r="G934" i="1"/>
  <c r="H934" i="1"/>
  <c r="I934" i="1"/>
  <c r="J934" i="1"/>
  <c r="K934" i="1"/>
  <c r="L934" i="1"/>
  <c r="M934" i="1"/>
  <c r="N934" i="1"/>
  <c r="O934" i="1"/>
  <c r="P934" i="1"/>
  <c r="Q934" i="1"/>
  <c r="R934" i="1"/>
  <c r="S934" i="1"/>
  <c r="T934" i="1"/>
  <c r="U934" i="1"/>
  <c r="V934" i="1"/>
  <c r="W934" i="1"/>
  <c r="X934" i="1"/>
  <c r="Y934" i="1"/>
  <c r="Z934" i="1"/>
  <c r="AA934" i="1"/>
  <c r="AB934" i="1"/>
  <c r="AC934" i="1"/>
  <c r="AD934" i="1"/>
  <c r="AE934" i="1"/>
  <c r="AF934" i="1"/>
  <c r="AG934" i="1"/>
  <c r="AH934" i="1"/>
  <c r="AI934" i="1"/>
  <c r="AJ934" i="1"/>
  <c r="AK934" i="1"/>
  <c r="AL934" i="1"/>
  <c r="AM934" i="1"/>
  <c r="A935" i="1"/>
  <c r="B935" i="1"/>
  <c r="C935" i="1"/>
  <c r="D935" i="1"/>
  <c r="E935" i="1"/>
  <c r="F935" i="1"/>
  <c r="G935" i="1"/>
  <c r="H935" i="1"/>
  <c r="I935" i="1"/>
  <c r="J935" i="1"/>
  <c r="K935" i="1"/>
  <c r="L935" i="1"/>
  <c r="M935" i="1"/>
  <c r="N935" i="1"/>
  <c r="O935" i="1"/>
  <c r="P935" i="1"/>
  <c r="Q935" i="1"/>
  <c r="R935" i="1"/>
  <c r="S935" i="1"/>
  <c r="T935" i="1"/>
  <c r="U935" i="1"/>
  <c r="V935" i="1"/>
  <c r="W935" i="1"/>
  <c r="X935" i="1"/>
  <c r="Y935" i="1"/>
  <c r="Z935" i="1"/>
  <c r="AA935" i="1"/>
  <c r="AB935" i="1"/>
  <c r="AC935" i="1"/>
  <c r="AD935" i="1"/>
  <c r="AE935" i="1"/>
  <c r="AF935" i="1"/>
  <c r="AG935" i="1"/>
  <c r="AH935" i="1"/>
  <c r="AI935" i="1"/>
  <c r="AJ935" i="1"/>
  <c r="AK935" i="1"/>
  <c r="AL935" i="1"/>
  <c r="AM935" i="1"/>
  <c r="A936" i="1"/>
  <c r="B936" i="1"/>
  <c r="C936" i="1"/>
  <c r="D936" i="1"/>
  <c r="E936" i="1"/>
  <c r="F936" i="1"/>
  <c r="G936" i="1"/>
  <c r="H936" i="1"/>
  <c r="I936" i="1"/>
  <c r="J936" i="1"/>
  <c r="K936" i="1"/>
  <c r="L936" i="1"/>
  <c r="M936" i="1"/>
  <c r="N936" i="1"/>
  <c r="O936" i="1"/>
  <c r="P936" i="1"/>
  <c r="Q936" i="1"/>
  <c r="R936" i="1"/>
  <c r="S936" i="1"/>
  <c r="T936" i="1"/>
  <c r="U936" i="1"/>
  <c r="V936" i="1"/>
  <c r="W936" i="1"/>
  <c r="X936" i="1"/>
  <c r="Y936" i="1"/>
  <c r="Z936" i="1"/>
  <c r="AA936" i="1"/>
  <c r="AB936" i="1"/>
  <c r="AC936" i="1"/>
  <c r="AD936" i="1"/>
  <c r="AE936" i="1"/>
  <c r="AF936" i="1"/>
  <c r="AG936" i="1"/>
  <c r="AH936" i="1"/>
  <c r="AI936" i="1"/>
  <c r="AJ936" i="1"/>
  <c r="AK936" i="1"/>
  <c r="AL936" i="1"/>
  <c r="AM936" i="1"/>
  <c r="A937" i="1"/>
  <c r="B937" i="1"/>
  <c r="C937" i="1"/>
  <c r="D937" i="1"/>
  <c r="E937" i="1"/>
  <c r="F937" i="1"/>
  <c r="G937" i="1"/>
  <c r="H937" i="1"/>
  <c r="I937" i="1"/>
  <c r="J937" i="1"/>
  <c r="K937" i="1"/>
  <c r="L937" i="1"/>
  <c r="M937" i="1"/>
  <c r="N937" i="1"/>
  <c r="O937" i="1"/>
  <c r="P937" i="1"/>
  <c r="Q937" i="1"/>
  <c r="R937" i="1"/>
  <c r="S937" i="1"/>
  <c r="T937" i="1"/>
  <c r="U937" i="1"/>
  <c r="V937" i="1"/>
  <c r="W937" i="1"/>
  <c r="X937" i="1"/>
  <c r="Y937" i="1"/>
  <c r="Z937" i="1"/>
  <c r="AA937" i="1"/>
  <c r="AB937" i="1"/>
  <c r="AC937" i="1"/>
  <c r="AD937" i="1"/>
  <c r="AE937" i="1"/>
  <c r="AF937" i="1"/>
  <c r="AG937" i="1"/>
  <c r="AH937" i="1"/>
  <c r="AI937" i="1"/>
  <c r="AJ937" i="1"/>
  <c r="AK937" i="1"/>
  <c r="AL937" i="1"/>
  <c r="AM937" i="1"/>
  <c r="A938" i="1"/>
  <c r="B938" i="1"/>
  <c r="C938" i="1"/>
  <c r="D938" i="1"/>
  <c r="E938" i="1"/>
  <c r="F938" i="1"/>
  <c r="G938" i="1"/>
  <c r="H938" i="1"/>
  <c r="I938" i="1"/>
  <c r="J938" i="1"/>
  <c r="K938" i="1"/>
  <c r="L938" i="1"/>
  <c r="M938" i="1"/>
  <c r="N938" i="1"/>
  <c r="O938" i="1"/>
  <c r="P938" i="1"/>
  <c r="Q938" i="1"/>
  <c r="R938" i="1"/>
  <c r="S938" i="1"/>
  <c r="T938" i="1"/>
  <c r="U938" i="1"/>
  <c r="V938" i="1"/>
  <c r="W938" i="1"/>
  <c r="X938" i="1"/>
  <c r="Y938" i="1"/>
  <c r="Z938" i="1"/>
  <c r="AA938" i="1"/>
  <c r="AB938" i="1"/>
  <c r="AC938" i="1"/>
  <c r="AD938" i="1"/>
  <c r="AE938" i="1"/>
  <c r="AF938" i="1"/>
  <c r="AG938" i="1"/>
  <c r="AH938" i="1"/>
  <c r="AI938" i="1"/>
  <c r="AJ938" i="1"/>
  <c r="AK938" i="1"/>
  <c r="AL938" i="1"/>
  <c r="AM938" i="1"/>
  <c r="A939" i="1"/>
  <c r="B939" i="1"/>
  <c r="C939" i="1"/>
  <c r="D939" i="1"/>
  <c r="E939" i="1"/>
  <c r="F939" i="1"/>
  <c r="G939" i="1"/>
  <c r="H939" i="1"/>
  <c r="I939" i="1"/>
  <c r="J939" i="1"/>
  <c r="K939" i="1"/>
  <c r="L939" i="1"/>
  <c r="M939" i="1"/>
  <c r="N939" i="1"/>
  <c r="O939" i="1"/>
  <c r="P939" i="1"/>
  <c r="Q939" i="1"/>
  <c r="R939" i="1"/>
  <c r="S939" i="1"/>
  <c r="T939" i="1"/>
  <c r="U939" i="1"/>
  <c r="V939" i="1"/>
  <c r="W939" i="1"/>
  <c r="X939" i="1"/>
  <c r="Y939" i="1"/>
  <c r="Z939" i="1"/>
  <c r="AA939" i="1"/>
  <c r="AB939" i="1"/>
  <c r="AC939" i="1"/>
  <c r="AD939" i="1"/>
  <c r="AE939" i="1"/>
  <c r="AF939" i="1"/>
  <c r="AG939" i="1"/>
  <c r="AH939" i="1"/>
  <c r="AI939" i="1"/>
  <c r="AJ939" i="1"/>
  <c r="AK939" i="1"/>
  <c r="AL939" i="1"/>
  <c r="AM939" i="1"/>
  <c r="A940" i="1"/>
  <c r="B940" i="1"/>
  <c r="C940" i="1"/>
  <c r="D940" i="1"/>
  <c r="E940" i="1"/>
  <c r="F940" i="1"/>
  <c r="G940" i="1"/>
  <c r="H940" i="1"/>
  <c r="I940" i="1"/>
  <c r="J940" i="1"/>
  <c r="K940" i="1"/>
  <c r="L940" i="1"/>
  <c r="M940" i="1"/>
  <c r="N940" i="1"/>
  <c r="O940" i="1"/>
  <c r="P940" i="1"/>
  <c r="Q940" i="1"/>
  <c r="R940" i="1"/>
  <c r="S940" i="1"/>
  <c r="T940" i="1"/>
  <c r="U940" i="1"/>
  <c r="V940" i="1"/>
  <c r="W940" i="1"/>
  <c r="X940" i="1"/>
  <c r="Y940" i="1"/>
  <c r="Z940" i="1"/>
  <c r="AA940" i="1"/>
  <c r="AB940" i="1"/>
  <c r="AC940" i="1"/>
  <c r="AD940" i="1"/>
  <c r="AE940" i="1"/>
  <c r="AF940" i="1"/>
  <c r="AG940" i="1"/>
  <c r="AH940" i="1"/>
  <c r="AI940" i="1"/>
  <c r="AJ940" i="1"/>
  <c r="AK940" i="1"/>
  <c r="AL940" i="1"/>
  <c r="AM940" i="1"/>
  <c r="A941" i="1"/>
  <c r="B941" i="1"/>
  <c r="C941" i="1"/>
  <c r="D941" i="1"/>
  <c r="E941" i="1"/>
  <c r="F941" i="1"/>
  <c r="G941" i="1"/>
  <c r="H941" i="1"/>
  <c r="I941" i="1"/>
  <c r="J941" i="1"/>
  <c r="K941" i="1"/>
  <c r="L941" i="1"/>
  <c r="M941" i="1"/>
  <c r="N941" i="1"/>
  <c r="O941" i="1"/>
  <c r="P941" i="1"/>
  <c r="Q941" i="1"/>
  <c r="R941" i="1"/>
  <c r="S941" i="1"/>
  <c r="T941" i="1"/>
  <c r="U941" i="1"/>
  <c r="V941" i="1"/>
  <c r="W941" i="1"/>
  <c r="X941" i="1"/>
  <c r="Y941" i="1"/>
  <c r="Z941" i="1"/>
  <c r="AA941" i="1"/>
  <c r="AB941" i="1"/>
  <c r="AC941" i="1"/>
  <c r="AD941" i="1"/>
  <c r="AE941" i="1"/>
  <c r="AF941" i="1"/>
  <c r="AG941" i="1"/>
  <c r="AH941" i="1"/>
  <c r="AI941" i="1"/>
  <c r="AJ941" i="1"/>
  <c r="AK941" i="1"/>
  <c r="AL941" i="1"/>
  <c r="AM941" i="1"/>
  <c r="A942" i="1"/>
  <c r="B942" i="1"/>
  <c r="C942" i="1"/>
  <c r="D942" i="1"/>
  <c r="E942" i="1"/>
  <c r="F942" i="1"/>
  <c r="G942" i="1"/>
  <c r="H942" i="1"/>
  <c r="I942" i="1"/>
  <c r="J942" i="1"/>
  <c r="K942" i="1"/>
  <c r="L942" i="1"/>
  <c r="M942" i="1"/>
  <c r="N942" i="1"/>
  <c r="O942" i="1"/>
  <c r="P942" i="1"/>
  <c r="Q942" i="1"/>
  <c r="R942" i="1"/>
  <c r="S942" i="1"/>
  <c r="T942" i="1"/>
  <c r="U942" i="1"/>
  <c r="V942" i="1"/>
  <c r="W942" i="1"/>
  <c r="X942" i="1"/>
  <c r="Y942" i="1"/>
  <c r="Z942" i="1"/>
  <c r="AA942" i="1"/>
  <c r="AB942" i="1"/>
  <c r="AC942" i="1"/>
  <c r="AD942" i="1"/>
  <c r="AE942" i="1"/>
  <c r="AF942" i="1"/>
  <c r="AG942" i="1"/>
  <c r="AH942" i="1"/>
  <c r="AI942" i="1"/>
  <c r="AJ942" i="1"/>
  <c r="AK942" i="1"/>
  <c r="AL942" i="1"/>
  <c r="AM942" i="1"/>
  <c r="A943" i="1"/>
  <c r="B943" i="1"/>
  <c r="C943" i="1"/>
  <c r="D943" i="1"/>
  <c r="E943" i="1"/>
  <c r="F943" i="1"/>
  <c r="G943" i="1"/>
  <c r="H943" i="1"/>
  <c r="I943" i="1"/>
  <c r="J943" i="1"/>
  <c r="K943" i="1"/>
  <c r="L943" i="1"/>
  <c r="M943" i="1"/>
  <c r="N943" i="1"/>
  <c r="O943" i="1"/>
  <c r="P943" i="1"/>
  <c r="Q943" i="1"/>
  <c r="R943" i="1"/>
  <c r="S943" i="1"/>
  <c r="T943" i="1"/>
  <c r="U943" i="1"/>
  <c r="V943" i="1"/>
  <c r="W943" i="1"/>
  <c r="X943" i="1"/>
  <c r="Y943" i="1"/>
  <c r="Z943" i="1"/>
  <c r="AA943" i="1"/>
  <c r="AB943" i="1"/>
  <c r="AC943" i="1"/>
  <c r="AD943" i="1"/>
  <c r="AE943" i="1"/>
  <c r="AF943" i="1"/>
  <c r="AG943" i="1"/>
  <c r="AH943" i="1"/>
  <c r="AI943" i="1"/>
  <c r="AJ943" i="1"/>
  <c r="AK943" i="1"/>
  <c r="AL943" i="1"/>
  <c r="AM943" i="1"/>
  <c r="A944" i="1"/>
  <c r="B944" i="1"/>
  <c r="C944" i="1"/>
  <c r="D944" i="1"/>
  <c r="E944" i="1"/>
  <c r="F944" i="1"/>
  <c r="G944" i="1"/>
  <c r="H944" i="1"/>
  <c r="I944" i="1"/>
  <c r="J944" i="1"/>
  <c r="K944" i="1"/>
  <c r="L944" i="1"/>
  <c r="M944" i="1"/>
  <c r="N944" i="1"/>
  <c r="O944" i="1"/>
  <c r="P944" i="1"/>
  <c r="Q944" i="1"/>
  <c r="R944" i="1"/>
  <c r="S944" i="1"/>
  <c r="T944" i="1"/>
  <c r="U944" i="1"/>
  <c r="V944" i="1"/>
  <c r="W944" i="1"/>
  <c r="X944" i="1"/>
  <c r="Y944" i="1"/>
  <c r="Z944" i="1"/>
  <c r="AA944" i="1"/>
  <c r="AB944" i="1"/>
  <c r="AC944" i="1"/>
  <c r="AD944" i="1"/>
  <c r="AE944" i="1"/>
  <c r="AF944" i="1"/>
  <c r="AG944" i="1"/>
  <c r="AH944" i="1"/>
  <c r="AI944" i="1"/>
  <c r="AJ944" i="1"/>
  <c r="AK944" i="1"/>
  <c r="AL944" i="1"/>
  <c r="AM944" i="1"/>
  <c r="A945" i="1"/>
  <c r="B945" i="1"/>
  <c r="C945" i="1"/>
  <c r="D945" i="1"/>
  <c r="E945" i="1"/>
  <c r="F945" i="1"/>
  <c r="G945" i="1"/>
  <c r="H945" i="1"/>
  <c r="I945" i="1"/>
  <c r="J945" i="1"/>
  <c r="K945" i="1"/>
  <c r="L945" i="1"/>
  <c r="M945" i="1"/>
  <c r="N945" i="1"/>
  <c r="O945" i="1"/>
  <c r="P945" i="1"/>
  <c r="Q945" i="1"/>
  <c r="R945" i="1"/>
  <c r="S945" i="1"/>
  <c r="T945" i="1"/>
  <c r="U945" i="1"/>
  <c r="V945" i="1"/>
  <c r="W945" i="1"/>
  <c r="X945" i="1"/>
  <c r="Y945" i="1"/>
  <c r="Z945" i="1"/>
  <c r="AA945" i="1"/>
  <c r="AB945" i="1"/>
  <c r="AC945" i="1"/>
  <c r="AD945" i="1"/>
  <c r="AE945" i="1"/>
  <c r="AF945" i="1"/>
  <c r="AG945" i="1"/>
  <c r="AH945" i="1"/>
  <c r="AI945" i="1"/>
  <c r="AJ945" i="1"/>
  <c r="AK945" i="1"/>
  <c r="AL945" i="1"/>
  <c r="AM945" i="1"/>
  <c r="A946" i="1"/>
  <c r="B946" i="1"/>
  <c r="C946" i="1"/>
  <c r="D946" i="1"/>
  <c r="E946" i="1"/>
  <c r="F946" i="1"/>
  <c r="G946" i="1"/>
  <c r="H946" i="1"/>
  <c r="I946" i="1"/>
  <c r="J946" i="1"/>
  <c r="K946" i="1"/>
  <c r="L946" i="1"/>
  <c r="M946" i="1"/>
  <c r="N946" i="1"/>
  <c r="O946" i="1"/>
  <c r="P946" i="1"/>
  <c r="Q946" i="1"/>
  <c r="R946" i="1"/>
  <c r="S946" i="1"/>
  <c r="T946" i="1"/>
  <c r="U946" i="1"/>
  <c r="V946" i="1"/>
  <c r="W946" i="1"/>
  <c r="X946" i="1"/>
  <c r="Y946" i="1"/>
  <c r="Z946" i="1"/>
  <c r="AA946" i="1"/>
  <c r="AB946" i="1"/>
  <c r="AC946" i="1"/>
  <c r="AD946" i="1"/>
  <c r="AE946" i="1"/>
  <c r="AF946" i="1"/>
  <c r="AG946" i="1"/>
  <c r="AH946" i="1"/>
  <c r="AI946" i="1"/>
  <c r="AJ946" i="1"/>
  <c r="AK946" i="1"/>
  <c r="AL946" i="1"/>
  <c r="AM946" i="1"/>
  <c r="A947" i="1"/>
  <c r="B947" i="1"/>
  <c r="C947" i="1"/>
  <c r="D947" i="1"/>
  <c r="E947" i="1"/>
  <c r="F947" i="1"/>
  <c r="G947" i="1"/>
  <c r="H947" i="1"/>
  <c r="I947" i="1"/>
  <c r="J947" i="1"/>
  <c r="K947" i="1"/>
  <c r="L947" i="1"/>
  <c r="M947" i="1"/>
  <c r="N947" i="1"/>
  <c r="O947" i="1"/>
  <c r="P947" i="1"/>
  <c r="Q947" i="1"/>
  <c r="R947" i="1"/>
  <c r="S947" i="1"/>
  <c r="T947" i="1"/>
  <c r="U947" i="1"/>
  <c r="V947" i="1"/>
  <c r="W947" i="1"/>
  <c r="X947" i="1"/>
  <c r="Y947" i="1"/>
  <c r="Z947" i="1"/>
  <c r="AA947" i="1"/>
  <c r="AB947" i="1"/>
  <c r="AC947" i="1"/>
  <c r="AD947" i="1"/>
  <c r="AE947" i="1"/>
  <c r="AF947" i="1"/>
  <c r="AG947" i="1"/>
  <c r="AH947" i="1"/>
  <c r="AI947" i="1"/>
  <c r="AJ947" i="1"/>
  <c r="AK947" i="1"/>
  <c r="AL947" i="1"/>
  <c r="AM947" i="1"/>
  <c r="A948" i="1"/>
  <c r="B948" i="1"/>
  <c r="C948" i="1"/>
  <c r="D948" i="1"/>
  <c r="E948" i="1"/>
  <c r="F948" i="1"/>
  <c r="G948" i="1"/>
  <c r="H948" i="1"/>
  <c r="I948" i="1"/>
  <c r="J948" i="1"/>
  <c r="K948" i="1"/>
  <c r="L948" i="1"/>
  <c r="M948" i="1"/>
  <c r="N948" i="1"/>
  <c r="O948" i="1"/>
  <c r="P948" i="1"/>
  <c r="Q948" i="1"/>
  <c r="R948" i="1"/>
  <c r="S948" i="1"/>
  <c r="T948" i="1"/>
  <c r="U948" i="1"/>
  <c r="V948" i="1"/>
  <c r="W948" i="1"/>
  <c r="X948" i="1"/>
  <c r="Y948" i="1"/>
  <c r="Z948" i="1"/>
  <c r="AA948" i="1"/>
  <c r="AB948" i="1"/>
  <c r="AC948" i="1"/>
  <c r="AD948" i="1"/>
  <c r="AE948" i="1"/>
  <c r="AF948" i="1"/>
  <c r="AG948" i="1"/>
  <c r="AH948" i="1"/>
  <c r="AI948" i="1"/>
  <c r="AJ948" i="1"/>
  <c r="AK948" i="1"/>
  <c r="AL948" i="1"/>
  <c r="AM948" i="1"/>
  <c r="A949" i="1"/>
  <c r="B949" i="1"/>
  <c r="C949" i="1"/>
  <c r="D949" i="1"/>
  <c r="E949" i="1"/>
  <c r="F949" i="1"/>
  <c r="G949" i="1"/>
  <c r="H949" i="1"/>
  <c r="I949" i="1"/>
  <c r="J949" i="1"/>
  <c r="K949" i="1"/>
  <c r="L949" i="1"/>
  <c r="M949" i="1"/>
  <c r="N949" i="1"/>
  <c r="O949" i="1"/>
  <c r="P949" i="1"/>
  <c r="Q949" i="1"/>
  <c r="R949" i="1"/>
  <c r="S949" i="1"/>
  <c r="T949" i="1"/>
  <c r="U949" i="1"/>
  <c r="V949" i="1"/>
  <c r="W949" i="1"/>
  <c r="X949" i="1"/>
  <c r="Y949" i="1"/>
  <c r="Z949" i="1"/>
  <c r="AA949" i="1"/>
  <c r="AB949" i="1"/>
  <c r="AC949" i="1"/>
  <c r="AD949" i="1"/>
  <c r="AE949" i="1"/>
  <c r="AF949" i="1"/>
  <c r="AG949" i="1"/>
  <c r="AH949" i="1"/>
  <c r="AI949" i="1"/>
  <c r="AJ949" i="1"/>
  <c r="AK949" i="1"/>
  <c r="AL949" i="1"/>
  <c r="AM949" i="1"/>
  <c r="A950" i="1"/>
  <c r="B950" i="1"/>
  <c r="C950" i="1"/>
  <c r="D950" i="1"/>
  <c r="E950" i="1"/>
  <c r="F950" i="1"/>
  <c r="G950" i="1"/>
  <c r="H950" i="1"/>
  <c r="I950" i="1"/>
  <c r="J950" i="1"/>
  <c r="K950" i="1"/>
  <c r="L950" i="1"/>
  <c r="M950" i="1"/>
  <c r="N950" i="1"/>
  <c r="O950" i="1"/>
  <c r="P950" i="1"/>
  <c r="Q950" i="1"/>
  <c r="R950" i="1"/>
  <c r="S950" i="1"/>
  <c r="T950" i="1"/>
  <c r="U950" i="1"/>
  <c r="V950" i="1"/>
  <c r="W950" i="1"/>
  <c r="X950" i="1"/>
  <c r="Y950" i="1"/>
  <c r="Z950" i="1"/>
  <c r="AA950" i="1"/>
  <c r="AB950" i="1"/>
  <c r="AC950" i="1"/>
  <c r="AD950" i="1"/>
  <c r="AE950" i="1"/>
  <c r="AF950" i="1"/>
  <c r="AG950" i="1"/>
  <c r="AH950" i="1"/>
  <c r="AI950" i="1"/>
  <c r="AJ950" i="1"/>
  <c r="AK950" i="1"/>
  <c r="AL950" i="1"/>
  <c r="AM950" i="1"/>
  <c r="A951" i="1"/>
  <c r="B951" i="1"/>
  <c r="C951" i="1"/>
  <c r="D951" i="1"/>
  <c r="E951" i="1"/>
  <c r="F951" i="1"/>
  <c r="G951" i="1"/>
  <c r="H951" i="1"/>
  <c r="I951" i="1"/>
  <c r="J951" i="1"/>
  <c r="K951" i="1"/>
  <c r="L951" i="1"/>
  <c r="M951" i="1"/>
  <c r="N951" i="1"/>
  <c r="O951" i="1"/>
  <c r="P951" i="1"/>
  <c r="Q951" i="1"/>
  <c r="R951" i="1"/>
  <c r="S951" i="1"/>
  <c r="T951" i="1"/>
  <c r="U951" i="1"/>
  <c r="V951" i="1"/>
  <c r="W951" i="1"/>
  <c r="X951" i="1"/>
  <c r="Y951" i="1"/>
  <c r="Z951" i="1"/>
  <c r="AA951" i="1"/>
  <c r="AB951" i="1"/>
  <c r="AC951" i="1"/>
  <c r="AD951" i="1"/>
  <c r="AE951" i="1"/>
  <c r="AF951" i="1"/>
  <c r="AG951" i="1"/>
  <c r="AH951" i="1"/>
  <c r="AI951" i="1"/>
  <c r="AJ951" i="1"/>
  <c r="AK951" i="1"/>
  <c r="AL951" i="1"/>
  <c r="AM951" i="1"/>
  <c r="A952" i="1"/>
  <c r="B952" i="1"/>
  <c r="C952" i="1"/>
  <c r="D952" i="1"/>
  <c r="E952" i="1"/>
  <c r="F952" i="1"/>
  <c r="G952" i="1"/>
  <c r="H952" i="1"/>
  <c r="I952" i="1"/>
  <c r="J952" i="1"/>
  <c r="K952" i="1"/>
  <c r="L952" i="1"/>
  <c r="M952" i="1"/>
  <c r="N952" i="1"/>
  <c r="O952" i="1"/>
  <c r="P952" i="1"/>
  <c r="Q952" i="1"/>
  <c r="R952" i="1"/>
  <c r="S952" i="1"/>
  <c r="T952" i="1"/>
  <c r="U952" i="1"/>
  <c r="V952" i="1"/>
  <c r="W952" i="1"/>
  <c r="X952" i="1"/>
  <c r="Y952" i="1"/>
  <c r="Z952" i="1"/>
  <c r="AA952" i="1"/>
  <c r="AB952" i="1"/>
  <c r="AC952" i="1"/>
  <c r="AD952" i="1"/>
  <c r="AE952" i="1"/>
  <c r="AF952" i="1"/>
  <c r="AG952" i="1"/>
  <c r="AH952" i="1"/>
  <c r="AI952" i="1"/>
  <c r="AJ952" i="1"/>
  <c r="AK952" i="1"/>
  <c r="AL952" i="1"/>
  <c r="AM952" i="1"/>
  <c r="A953" i="1"/>
  <c r="B953" i="1"/>
  <c r="C953" i="1"/>
  <c r="D953" i="1"/>
  <c r="E953" i="1"/>
  <c r="F953" i="1"/>
  <c r="G953" i="1"/>
  <c r="H953" i="1"/>
  <c r="I953" i="1"/>
  <c r="J953" i="1"/>
  <c r="K953" i="1"/>
  <c r="L953" i="1"/>
  <c r="M953" i="1"/>
  <c r="N953" i="1"/>
  <c r="O953" i="1"/>
  <c r="P953" i="1"/>
  <c r="Q953" i="1"/>
  <c r="R953" i="1"/>
  <c r="S953" i="1"/>
  <c r="T953" i="1"/>
  <c r="U953" i="1"/>
  <c r="V953" i="1"/>
  <c r="W953" i="1"/>
  <c r="X953" i="1"/>
  <c r="Y953" i="1"/>
  <c r="Z953" i="1"/>
  <c r="AA953" i="1"/>
  <c r="AB953" i="1"/>
  <c r="AC953" i="1"/>
  <c r="AD953" i="1"/>
  <c r="AE953" i="1"/>
  <c r="AF953" i="1"/>
  <c r="AG953" i="1"/>
  <c r="AH953" i="1"/>
  <c r="AI953" i="1"/>
  <c r="AJ953" i="1"/>
  <c r="AK953" i="1"/>
  <c r="AL953" i="1"/>
  <c r="AM953" i="1"/>
  <c r="A954" i="1"/>
  <c r="B954" i="1"/>
  <c r="C954" i="1"/>
  <c r="D954" i="1"/>
  <c r="E954" i="1"/>
  <c r="F954" i="1"/>
  <c r="G954" i="1"/>
  <c r="H954" i="1"/>
  <c r="I954" i="1"/>
  <c r="J954" i="1"/>
  <c r="K954" i="1"/>
  <c r="L954" i="1"/>
  <c r="M954" i="1"/>
  <c r="N954" i="1"/>
  <c r="O954" i="1"/>
  <c r="P954" i="1"/>
  <c r="Q954" i="1"/>
  <c r="R954" i="1"/>
  <c r="S954" i="1"/>
  <c r="T954" i="1"/>
  <c r="U954" i="1"/>
  <c r="V954" i="1"/>
  <c r="W954" i="1"/>
  <c r="X954" i="1"/>
  <c r="Y954" i="1"/>
  <c r="Z954" i="1"/>
  <c r="AA954" i="1"/>
  <c r="AB954" i="1"/>
  <c r="AC954" i="1"/>
  <c r="AD954" i="1"/>
  <c r="AE954" i="1"/>
  <c r="AF954" i="1"/>
  <c r="AG954" i="1"/>
  <c r="AH954" i="1"/>
  <c r="AI954" i="1"/>
  <c r="AJ954" i="1"/>
  <c r="AK954" i="1"/>
  <c r="AL954" i="1"/>
  <c r="AM954" i="1"/>
  <c r="A955" i="1"/>
  <c r="B955" i="1"/>
  <c r="C955" i="1"/>
  <c r="D955" i="1"/>
  <c r="E955" i="1"/>
  <c r="F955" i="1"/>
  <c r="G955" i="1"/>
  <c r="H955" i="1"/>
  <c r="I955" i="1"/>
  <c r="J955" i="1"/>
  <c r="K955" i="1"/>
  <c r="L955" i="1"/>
  <c r="M955" i="1"/>
  <c r="N955" i="1"/>
  <c r="O955" i="1"/>
  <c r="P955" i="1"/>
  <c r="Q955" i="1"/>
  <c r="R955" i="1"/>
  <c r="S955" i="1"/>
  <c r="T955" i="1"/>
  <c r="U955" i="1"/>
  <c r="V955" i="1"/>
  <c r="W955" i="1"/>
  <c r="X955" i="1"/>
  <c r="Y955" i="1"/>
  <c r="Z955" i="1"/>
  <c r="AA955" i="1"/>
  <c r="AB955" i="1"/>
  <c r="AC955" i="1"/>
  <c r="AD955" i="1"/>
  <c r="AE955" i="1"/>
  <c r="AF955" i="1"/>
  <c r="AG955" i="1"/>
  <c r="AH955" i="1"/>
  <c r="AI955" i="1"/>
  <c r="AJ955" i="1"/>
  <c r="AK955" i="1"/>
  <c r="AL955" i="1"/>
  <c r="AM955" i="1"/>
  <c r="A956" i="1"/>
  <c r="B956" i="1"/>
  <c r="C956" i="1"/>
  <c r="D956" i="1"/>
  <c r="E956" i="1"/>
  <c r="F956" i="1"/>
  <c r="G956" i="1"/>
  <c r="H956" i="1"/>
  <c r="I956" i="1"/>
  <c r="J956" i="1"/>
  <c r="K956" i="1"/>
  <c r="L956" i="1"/>
  <c r="M956" i="1"/>
  <c r="N956" i="1"/>
  <c r="O956" i="1"/>
  <c r="P956" i="1"/>
  <c r="Q956" i="1"/>
  <c r="R956" i="1"/>
  <c r="S956" i="1"/>
  <c r="T956" i="1"/>
  <c r="U956" i="1"/>
  <c r="V956" i="1"/>
  <c r="W956" i="1"/>
  <c r="X956" i="1"/>
  <c r="Y956" i="1"/>
  <c r="Z956" i="1"/>
  <c r="AA956" i="1"/>
  <c r="AB956" i="1"/>
  <c r="AC956" i="1"/>
  <c r="AD956" i="1"/>
  <c r="AE956" i="1"/>
  <c r="AF956" i="1"/>
  <c r="AG956" i="1"/>
  <c r="AH956" i="1"/>
  <c r="AI956" i="1"/>
  <c r="AJ956" i="1"/>
  <c r="AK956" i="1"/>
  <c r="AL956" i="1"/>
  <c r="AM956" i="1"/>
  <c r="A957" i="1"/>
  <c r="B957" i="1"/>
  <c r="C957" i="1"/>
  <c r="D957" i="1"/>
  <c r="E957" i="1"/>
  <c r="F957" i="1"/>
  <c r="G957" i="1"/>
  <c r="H957" i="1"/>
  <c r="I957" i="1"/>
  <c r="J957" i="1"/>
  <c r="K957" i="1"/>
  <c r="L957" i="1"/>
  <c r="M957" i="1"/>
  <c r="N957" i="1"/>
  <c r="O957" i="1"/>
  <c r="P957" i="1"/>
  <c r="Q957" i="1"/>
  <c r="R957" i="1"/>
  <c r="S957" i="1"/>
  <c r="T957" i="1"/>
  <c r="U957" i="1"/>
  <c r="V957" i="1"/>
  <c r="W957" i="1"/>
  <c r="X957" i="1"/>
  <c r="Y957" i="1"/>
  <c r="Z957" i="1"/>
  <c r="AA957" i="1"/>
  <c r="AB957" i="1"/>
  <c r="AC957" i="1"/>
  <c r="AD957" i="1"/>
  <c r="AE957" i="1"/>
  <c r="AF957" i="1"/>
  <c r="AG957" i="1"/>
  <c r="AH957" i="1"/>
  <c r="AI957" i="1"/>
  <c r="AJ957" i="1"/>
  <c r="AK957" i="1"/>
  <c r="AL957" i="1"/>
  <c r="AM957" i="1"/>
  <c r="A958" i="1"/>
  <c r="B958" i="1"/>
  <c r="C958" i="1"/>
  <c r="D958" i="1"/>
  <c r="E958" i="1"/>
  <c r="F958" i="1"/>
  <c r="G958" i="1"/>
  <c r="H958" i="1"/>
  <c r="I958" i="1"/>
  <c r="J958" i="1"/>
  <c r="K958" i="1"/>
  <c r="L958" i="1"/>
  <c r="M958" i="1"/>
  <c r="N958" i="1"/>
  <c r="O958" i="1"/>
  <c r="P958" i="1"/>
  <c r="Q958" i="1"/>
  <c r="R958" i="1"/>
  <c r="S958" i="1"/>
  <c r="T958" i="1"/>
  <c r="U958" i="1"/>
  <c r="V958" i="1"/>
  <c r="W958" i="1"/>
  <c r="X958" i="1"/>
  <c r="Y958" i="1"/>
  <c r="Z958" i="1"/>
  <c r="AA958" i="1"/>
  <c r="AB958" i="1"/>
  <c r="AC958" i="1"/>
  <c r="AD958" i="1"/>
  <c r="AE958" i="1"/>
  <c r="AF958" i="1"/>
  <c r="AG958" i="1"/>
  <c r="AH958" i="1"/>
  <c r="AI958" i="1"/>
  <c r="AJ958" i="1"/>
  <c r="AK958" i="1"/>
  <c r="AL958" i="1"/>
  <c r="AM958" i="1"/>
  <c r="A959" i="1"/>
  <c r="B959" i="1"/>
  <c r="C959" i="1"/>
  <c r="D959" i="1"/>
  <c r="E959" i="1"/>
  <c r="F959" i="1"/>
  <c r="G959" i="1"/>
  <c r="H959" i="1"/>
  <c r="I959" i="1"/>
  <c r="J959" i="1"/>
  <c r="K959" i="1"/>
  <c r="L959" i="1"/>
  <c r="M959" i="1"/>
  <c r="N959" i="1"/>
  <c r="O959" i="1"/>
  <c r="P959" i="1"/>
  <c r="Q959" i="1"/>
  <c r="R959" i="1"/>
  <c r="S959" i="1"/>
  <c r="T959" i="1"/>
  <c r="U959" i="1"/>
  <c r="V959" i="1"/>
  <c r="W959" i="1"/>
  <c r="X959" i="1"/>
  <c r="Y959" i="1"/>
  <c r="Z959" i="1"/>
  <c r="AA959" i="1"/>
  <c r="AB959" i="1"/>
  <c r="AC959" i="1"/>
  <c r="AD959" i="1"/>
  <c r="AE959" i="1"/>
  <c r="AF959" i="1"/>
  <c r="AG959" i="1"/>
  <c r="AH959" i="1"/>
  <c r="AI959" i="1"/>
  <c r="AJ959" i="1"/>
  <c r="AK959" i="1"/>
  <c r="AL959" i="1"/>
  <c r="AM959" i="1"/>
  <c r="A960" i="1"/>
  <c r="B960" i="1"/>
  <c r="C960" i="1"/>
  <c r="D960" i="1"/>
  <c r="E960" i="1"/>
  <c r="F960" i="1"/>
  <c r="G960" i="1"/>
  <c r="H960" i="1"/>
  <c r="I960" i="1"/>
  <c r="J960" i="1"/>
  <c r="K960" i="1"/>
  <c r="L960" i="1"/>
  <c r="M960" i="1"/>
  <c r="N960" i="1"/>
  <c r="O960" i="1"/>
  <c r="P960" i="1"/>
  <c r="Q960" i="1"/>
  <c r="R960" i="1"/>
  <c r="S960" i="1"/>
  <c r="T960" i="1"/>
  <c r="U960" i="1"/>
  <c r="V960" i="1"/>
  <c r="W960" i="1"/>
  <c r="X960" i="1"/>
  <c r="Y960" i="1"/>
  <c r="Z960" i="1"/>
  <c r="AA960" i="1"/>
  <c r="AB960" i="1"/>
  <c r="AC960" i="1"/>
  <c r="AD960" i="1"/>
  <c r="AE960" i="1"/>
  <c r="AF960" i="1"/>
  <c r="AG960" i="1"/>
  <c r="AH960" i="1"/>
  <c r="AI960" i="1"/>
  <c r="AJ960" i="1"/>
  <c r="AK960" i="1"/>
  <c r="AL960" i="1"/>
  <c r="AM960" i="1"/>
  <c r="A961" i="1"/>
  <c r="B961" i="1"/>
  <c r="C961" i="1"/>
  <c r="D961" i="1"/>
  <c r="E961" i="1"/>
  <c r="F961" i="1"/>
  <c r="G961" i="1"/>
  <c r="H961" i="1"/>
  <c r="I961" i="1"/>
  <c r="J961" i="1"/>
  <c r="K961" i="1"/>
  <c r="L961" i="1"/>
  <c r="M961" i="1"/>
  <c r="N961" i="1"/>
  <c r="O961" i="1"/>
  <c r="P961" i="1"/>
  <c r="Q961" i="1"/>
  <c r="R961" i="1"/>
  <c r="S961" i="1"/>
  <c r="T961" i="1"/>
  <c r="U961" i="1"/>
  <c r="V961" i="1"/>
  <c r="W961" i="1"/>
  <c r="X961" i="1"/>
  <c r="Y961" i="1"/>
  <c r="Z961" i="1"/>
  <c r="AA961" i="1"/>
  <c r="AB961" i="1"/>
  <c r="AC961" i="1"/>
  <c r="AD961" i="1"/>
  <c r="AE961" i="1"/>
  <c r="AF961" i="1"/>
  <c r="AG961" i="1"/>
  <c r="AH961" i="1"/>
  <c r="AI961" i="1"/>
  <c r="AJ961" i="1"/>
  <c r="AK961" i="1"/>
  <c r="AL961" i="1"/>
  <c r="AM961" i="1"/>
  <c r="A962" i="1"/>
  <c r="B962" i="1"/>
  <c r="C962" i="1"/>
  <c r="D962" i="1"/>
  <c r="E962" i="1"/>
  <c r="F962" i="1"/>
  <c r="G962" i="1"/>
  <c r="H962" i="1"/>
  <c r="I962" i="1"/>
  <c r="J962" i="1"/>
  <c r="K962" i="1"/>
  <c r="L962" i="1"/>
  <c r="M962" i="1"/>
  <c r="N962" i="1"/>
  <c r="O962" i="1"/>
  <c r="P962" i="1"/>
  <c r="Q962" i="1"/>
  <c r="R962" i="1"/>
  <c r="S962" i="1"/>
  <c r="T962" i="1"/>
  <c r="U962" i="1"/>
  <c r="V962" i="1"/>
  <c r="W962" i="1"/>
  <c r="X962" i="1"/>
  <c r="Y962" i="1"/>
  <c r="Z962" i="1"/>
  <c r="AA962" i="1"/>
  <c r="AB962" i="1"/>
  <c r="AC962" i="1"/>
  <c r="AD962" i="1"/>
  <c r="AE962" i="1"/>
  <c r="AF962" i="1"/>
  <c r="AG962" i="1"/>
  <c r="AH962" i="1"/>
  <c r="AI962" i="1"/>
  <c r="AJ962" i="1"/>
  <c r="AK962" i="1"/>
  <c r="AL962" i="1"/>
  <c r="AM962" i="1"/>
  <c r="A963" i="1"/>
  <c r="B963" i="1"/>
  <c r="C963" i="1"/>
  <c r="D963" i="1"/>
  <c r="E963" i="1"/>
  <c r="F963" i="1"/>
  <c r="G963" i="1"/>
  <c r="H963" i="1"/>
  <c r="I963" i="1"/>
  <c r="J963" i="1"/>
  <c r="K963" i="1"/>
  <c r="L963" i="1"/>
  <c r="M963" i="1"/>
  <c r="N963" i="1"/>
  <c r="O963" i="1"/>
  <c r="P963" i="1"/>
  <c r="Q963" i="1"/>
  <c r="R963" i="1"/>
  <c r="S963" i="1"/>
  <c r="T963" i="1"/>
  <c r="U963" i="1"/>
  <c r="V963" i="1"/>
  <c r="W963" i="1"/>
  <c r="X963" i="1"/>
  <c r="Y963" i="1"/>
  <c r="Z963" i="1"/>
  <c r="AA963" i="1"/>
  <c r="AB963" i="1"/>
  <c r="AC963" i="1"/>
  <c r="AD963" i="1"/>
  <c r="AE963" i="1"/>
  <c r="AF963" i="1"/>
  <c r="AG963" i="1"/>
  <c r="AH963" i="1"/>
  <c r="AI963" i="1"/>
  <c r="AJ963" i="1"/>
  <c r="AK963" i="1"/>
  <c r="AL963" i="1"/>
  <c r="AM963" i="1"/>
  <c r="A964" i="1"/>
  <c r="B964" i="1"/>
  <c r="C964" i="1"/>
  <c r="D964" i="1"/>
  <c r="E964" i="1"/>
  <c r="F964" i="1"/>
  <c r="G964" i="1"/>
  <c r="H964" i="1"/>
  <c r="I964" i="1"/>
  <c r="J964" i="1"/>
  <c r="K964" i="1"/>
  <c r="L964" i="1"/>
  <c r="M964" i="1"/>
  <c r="N964" i="1"/>
  <c r="O964" i="1"/>
  <c r="P964" i="1"/>
  <c r="Q964" i="1"/>
  <c r="R964" i="1"/>
  <c r="S964" i="1"/>
  <c r="T964" i="1"/>
  <c r="U964" i="1"/>
  <c r="V964" i="1"/>
  <c r="W964" i="1"/>
  <c r="X964" i="1"/>
  <c r="Y964" i="1"/>
  <c r="Z964" i="1"/>
  <c r="AA964" i="1"/>
  <c r="AB964" i="1"/>
  <c r="AC964" i="1"/>
  <c r="AD964" i="1"/>
  <c r="AE964" i="1"/>
  <c r="AF964" i="1"/>
  <c r="AG964" i="1"/>
  <c r="AH964" i="1"/>
  <c r="AI964" i="1"/>
  <c r="AJ964" i="1"/>
  <c r="AK964" i="1"/>
  <c r="AL964" i="1"/>
  <c r="AM964" i="1"/>
  <c r="A965" i="1"/>
  <c r="B965" i="1"/>
  <c r="C965" i="1"/>
  <c r="D965" i="1"/>
  <c r="E965" i="1"/>
  <c r="F965" i="1"/>
  <c r="G965" i="1"/>
  <c r="H965" i="1"/>
  <c r="I965" i="1"/>
  <c r="J965" i="1"/>
  <c r="K965" i="1"/>
  <c r="L965" i="1"/>
  <c r="M965" i="1"/>
  <c r="N965" i="1"/>
  <c r="O965" i="1"/>
  <c r="P965" i="1"/>
  <c r="Q965" i="1"/>
  <c r="R965" i="1"/>
  <c r="S965" i="1"/>
  <c r="T965" i="1"/>
  <c r="U965" i="1"/>
  <c r="V965" i="1"/>
  <c r="W965" i="1"/>
  <c r="X965" i="1"/>
  <c r="Y965" i="1"/>
  <c r="Z965" i="1"/>
  <c r="AA965" i="1"/>
  <c r="AB965" i="1"/>
  <c r="AC965" i="1"/>
  <c r="AD965" i="1"/>
  <c r="AE965" i="1"/>
  <c r="AF965" i="1"/>
  <c r="AG965" i="1"/>
  <c r="AH965" i="1"/>
  <c r="AI965" i="1"/>
  <c r="AJ965" i="1"/>
  <c r="AK965" i="1"/>
  <c r="AL965" i="1"/>
  <c r="AM965" i="1"/>
  <c r="A966" i="1"/>
  <c r="B966" i="1"/>
  <c r="C966" i="1"/>
  <c r="D966" i="1"/>
  <c r="E966" i="1"/>
  <c r="F966" i="1"/>
  <c r="G966" i="1"/>
  <c r="H966" i="1"/>
  <c r="I966" i="1"/>
  <c r="J966" i="1"/>
  <c r="K966" i="1"/>
  <c r="L966" i="1"/>
  <c r="M966" i="1"/>
  <c r="N966" i="1"/>
  <c r="O966" i="1"/>
  <c r="P966" i="1"/>
  <c r="Q966" i="1"/>
  <c r="R966" i="1"/>
  <c r="S966" i="1"/>
  <c r="T966" i="1"/>
  <c r="U966" i="1"/>
  <c r="V966" i="1"/>
  <c r="W966" i="1"/>
  <c r="X966" i="1"/>
  <c r="Y966" i="1"/>
  <c r="Z966" i="1"/>
  <c r="AA966" i="1"/>
  <c r="AB966" i="1"/>
  <c r="AC966" i="1"/>
  <c r="AD966" i="1"/>
  <c r="AE966" i="1"/>
  <c r="AF966" i="1"/>
  <c r="AG966" i="1"/>
  <c r="AH966" i="1"/>
  <c r="AI966" i="1"/>
  <c r="AJ966" i="1"/>
  <c r="AK966" i="1"/>
  <c r="AL966" i="1"/>
  <c r="AM966" i="1"/>
  <c r="A967" i="1"/>
  <c r="B967" i="1"/>
  <c r="C967" i="1"/>
  <c r="D967" i="1"/>
  <c r="E967" i="1"/>
  <c r="F967" i="1"/>
  <c r="G967" i="1"/>
  <c r="H967" i="1"/>
  <c r="I967" i="1"/>
  <c r="J967" i="1"/>
  <c r="K967" i="1"/>
  <c r="L967" i="1"/>
  <c r="M967" i="1"/>
  <c r="N967" i="1"/>
  <c r="O967" i="1"/>
  <c r="P967" i="1"/>
  <c r="Q967" i="1"/>
  <c r="R967" i="1"/>
  <c r="S967" i="1"/>
  <c r="T967" i="1"/>
  <c r="U967" i="1"/>
  <c r="V967" i="1"/>
  <c r="W967" i="1"/>
  <c r="X967" i="1"/>
  <c r="Y967" i="1"/>
  <c r="Z967" i="1"/>
  <c r="AA967" i="1"/>
  <c r="AB967" i="1"/>
  <c r="AC967" i="1"/>
  <c r="AD967" i="1"/>
  <c r="AE967" i="1"/>
  <c r="AF967" i="1"/>
  <c r="AG967" i="1"/>
  <c r="AH967" i="1"/>
  <c r="AI967" i="1"/>
  <c r="AJ967" i="1"/>
  <c r="AK967" i="1"/>
  <c r="AL967" i="1"/>
  <c r="AM967" i="1"/>
  <c r="A968" i="1"/>
  <c r="B968" i="1"/>
  <c r="C968" i="1"/>
  <c r="D968" i="1"/>
  <c r="E968" i="1"/>
  <c r="F968" i="1"/>
  <c r="G968" i="1"/>
  <c r="H968" i="1"/>
  <c r="I968" i="1"/>
  <c r="J968" i="1"/>
  <c r="K968" i="1"/>
  <c r="L968" i="1"/>
  <c r="M968" i="1"/>
  <c r="N968" i="1"/>
  <c r="O968" i="1"/>
  <c r="P968" i="1"/>
  <c r="Q968" i="1"/>
  <c r="R968" i="1"/>
  <c r="S968" i="1"/>
  <c r="T968" i="1"/>
  <c r="U968" i="1"/>
  <c r="V968" i="1"/>
  <c r="W968" i="1"/>
  <c r="X968" i="1"/>
  <c r="Y968" i="1"/>
  <c r="Z968" i="1"/>
  <c r="AA968" i="1"/>
  <c r="AB968" i="1"/>
  <c r="AC968" i="1"/>
  <c r="AD968" i="1"/>
  <c r="AE968" i="1"/>
  <c r="AF968" i="1"/>
  <c r="AG968" i="1"/>
  <c r="AH968" i="1"/>
  <c r="AI968" i="1"/>
  <c r="AJ968" i="1"/>
  <c r="AK968" i="1"/>
  <c r="AL968" i="1"/>
  <c r="AM968" i="1"/>
  <c r="A969" i="1"/>
  <c r="B969" i="1"/>
  <c r="C969" i="1"/>
  <c r="D969" i="1"/>
  <c r="E969" i="1"/>
  <c r="F969" i="1"/>
  <c r="G969" i="1"/>
  <c r="H969" i="1"/>
  <c r="I969" i="1"/>
  <c r="J969" i="1"/>
  <c r="K969" i="1"/>
  <c r="L969" i="1"/>
  <c r="M969" i="1"/>
  <c r="N969" i="1"/>
  <c r="O969" i="1"/>
  <c r="P969" i="1"/>
  <c r="Q969" i="1"/>
  <c r="R969" i="1"/>
  <c r="S969" i="1"/>
  <c r="T969" i="1"/>
  <c r="U969" i="1"/>
  <c r="V969" i="1"/>
  <c r="W969" i="1"/>
  <c r="X969" i="1"/>
  <c r="Y969" i="1"/>
  <c r="Z969" i="1"/>
  <c r="AA969" i="1"/>
  <c r="AB969" i="1"/>
  <c r="AC969" i="1"/>
  <c r="AD969" i="1"/>
  <c r="AE969" i="1"/>
  <c r="AF969" i="1"/>
  <c r="AG969" i="1"/>
  <c r="AH969" i="1"/>
  <c r="AI969" i="1"/>
  <c r="AJ969" i="1"/>
  <c r="AK969" i="1"/>
  <c r="AL969" i="1"/>
  <c r="AM969" i="1"/>
  <c r="A970" i="1"/>
  <c r="B970" i="1"/>
  <c r="C970" i="1"/>
  <c r="D970" i="1"/>
  <c r="E970" i="1"/>
  <c r="F970" i="1"/>
  <c r="G970" i="1"/>
  <c r="H970" i="1"/>
  <c r="I970" i="1"/>
  <c r="J970" i="1"/>
  <c r="K970" i="1"/>
  <c r="L970" i="1"/>
  <c r="M970" i="1"/>
  <c r="N970" i="1"/>
  <c r="O970" i="1"/>
  <c r="P970" i="1"/>
  <c r="Q970" i="1"/>
  <c r="R970" i="1"/>
  <c r="S970" i="1"/>
  <c r="T970" i="1"/>
  <c r="U970" i="1"/>
  <c r="V970" i="1"/>
  <c r="W970" i="1"/>
  <c r="X970" i="1"/>
  <c r="Y970" i="1"/>
  <c r="Z970" i="1"/>
  <c r="AA970" i="1"/>
  <c r="AB970" i="1"/>
  <c r="AC970" i="1"/>
  <c r="AD970" i="1"/>
  <c r="AE970" i="1"/>
  <c r="AF970" i="1"/>
  <c r="AG970" i="1"/>
  <c r="AH970" i="1"/>
  <c r="AI970" i="1"/>
  <c r="AJ970" i="1"/>
  <c r="AK970" i="1"/>
  <c r="AL970" i="1"/>
  <c r="AM970" i="1"/>
  <c r="A971" i="1"/>
  <c r="B971" i="1"/>
  <c r="C971" i="1"/>
  <c r="D971" i="1"/>
  <c r="E971" i="1"/>
  <c r="F971" i="1"/>
  <c r="G971" i="1"/>
  <c r="H971" i="1"/>
  <c r="I971" i="1"/>
  <c r="J971" i="1"/>
  <c r="K971" i="1"/>
  <c r="L971" i="1"/>
  <c r="M971" i="1"/>
  <c r="N971" i="1"/>
  <c r="O971" i="1"/>
  <c r="P971" i="1"/>
  <c r="Q971" i="1"/>
  <c r="R971" i="1"/>
  <c r="S971" i="1"/>
  <c r="T971" i="1"/>
  <c r="U971" i="1"/>
  <c r="V971" i="1"/>
  <c r="W971" i="1"/>
  <c r="X971" i="1"/>
  <c r="Y971" i="1"/>
  <c r="Z971" i="1"/>
  <c r="AA971" i="1"/>
  <c r="AB971" i="1"/>
  <c r="AC971" i="1"/>
  <c r="AD971" i="1"/>
  <c r="AE971" i="1"/>
  <c r="AF971" i="1"/>
  <c r="AG971" i="1"/>
  <c r="AH971" i="1"/>
  <c r="AI971" i="1"/>
  <c r="AJ971" i="1"/>
  <c r="AK971" i="1"/>
  <c r="AL971" i="1"/>
  <c r="AM971" i="1"/>
  <c r="A972" i="1"/>
  <c r="B972" i="1"/>
  <c r="C972" i="1"/>
  <c r="D972" i="1"/>
  <c r="E972" i="1"/>
  <c r="F972" i="1"/>
  <c r="G972" i="1"/>
  <c r="H972" i="1"/>
  <c r="I972" i="1"/>
  <c r="J972" i="1"/>
  <c r="K972" i="1"/>
  <c r="L972" i="1"/>
  <c r="M972" i="1"/>
  <c r="N972" i="1"/>
  <c r="O972" i="1"/>
  <c r="P972" i="1"/>
  <c r="Q972" i="1"/>
  <c r="R972" i="1"/>
  <c r="S972" i="1"/>
  <c r="T972" i="1"/>
  <c r="U972" i="1"/>
  <c r="V972" i="1"/>
  <c r="W972" i="1"/>
  <c r="X972" i="1"/>
  <c r="Y972" i="1"/>
  <c r="Z972" i="1"/>
  <c r="AA972" i="1"/>
  <c r="AB972" i="1"/>
  <c r="AC972" i="1"/>
  <c r="AD972" i="1"/>
  <c r="AE972" i="1"/>
  <c r="AF972" i="1"/>
  <c r="AG972" i="1"/>
  <c r="AH972" i="1"/>
  <c r="AI972" i="1"/>
  <c r="AJ972" i="1"/>
  <c r="AK972" i="1"/>
  <c r="AL972" i="1"/>
  <c r="AM972" i="1"/>
  <c r="A973" i="1"/>
  <c r="B973" i="1"/>
  <c r="C973" i="1"/>
  <c r="D973" i="1"/>
  <c r="E973" i="1"/>
  <c r="F973" i="1"/>
  <c r="G973" i="1"/>
  <c r="H973" i="1"/>
  <c r="I973" i="1"/>
  <c r="J973" i="1"/>
  <c r="K973" i="1"/>
  <c r="L973" i="1"/>
  <c r="M973" i="1"/>
  <c r="N973" i="1"/>
  <c r="O973" i="1"/>
  <c r="P973" i="1"/>
  <c r="Q973" i="1"/>
  <c r="R973" i="1"/>
  <c r="S973" i="1"/>
  <c r="T973" i="1"/>
  <c r="U973" i="1"/>
  <c r="V973" i="1"/>
  <c r="W973" i="1"/>
  <c r="X973" i="1"/>
  <c r="Y973" i="1"/>
  <c r="Z973" i="1"/>
  <c r="AA973" i="1"/>
  <c r="AB973" i="1"/>
  <c r="AC973" i="1"/>
  <c r="AD973" i="1"/>
  <c r="AE973" i="1"/>
  <c r="AF973" i="1"/>
  <c r="AG973" i="1"/>
  <c r="AH973" i="1"/>
  <c r="AI973" i="1"/>
  <c r="AJ973" i="1"/>
  <c r="AK973" i="1"/>
  <c r="AL973" i="1"/>
  <c r="AM973" i="1"/>
  <c r="A974" i="1"/>
  <c r="B974" i="1"/>
  <c r="C974" i="1"/>
  <c r="D974" i="1"/>
  <c r="E974" i="1"/>
  <c r="F974" i="1"/>
  <c r="G974" i="1"/>
  <c r="H974" i="1"/>
  <c r="I974" i="1"/>
  <c r="J974" i="1"/>
  <c r="K974" i="1"/>
  <c r="L974" i="1"/>
  <c r="M974" i="1"/>
  <c r="N974" i="1"/>
  <c r="O974" i="1"/>
  <c r="P974" i="1"/>
  <c r="Q974" i="1"/>
  <c r="R974" i="1"/>
  <c r="S974" i="1"/>
  <c r="T974" i="1"/>
  <c r="U974" i="1"/>
  <c r="V974" i="1"/>
  <c r="W974" i="1"/>
  <c r="X974" i="1"/>
  <c r="Y974" i="1"/>
  <c r="Z974" i="1"/>
  <c r="AA974" i="1"/>
  <c r="AB974" i="1"/>
  <c r="AC974" i="1"/>
  <c r="AD974" i="1"/>
  <c r="AE974" i="1"/>
  <c r="AF974" i="1"/>
  <c r="AG974" i="1"/>
  <c r="AH974" i="1"/>
  <c r="AI974" i="1"/>
  <c r="AJ974" i="1"/>
  <c r="AK974" i="1"/>
  <c r="AL974" i="1"/>
  <c r="AM974" i="1"/>
  <c r="A975" i="1"/>
  <c r="B975" i="1"/>
  <c r="C975" i="1"/>
  <c r="D975" i="1"/>
  <c r="E975" i="1"/>
  <c r="F975" i="1"/>
  <c r="G975" i="1"/>
  <c r="H975" i="1"/>
  <c r="I975" i="1"/>
  <c r="J975" i="1"/>
  <c r="K975" i="1"/>
  <c r="L975" i="1"/>
  <c r="M975" i="1"/>
  <c r="N975" i="1"/>
  <c r="O975" i="1"/>
  <c r="P975" i="1"/>
  <c r="Q975" i="1"/>
  <c r="R975" i="1"/>
  <c r="S975" i="1"/>
  <c r="T975" i="1"/>
  <c r="U975" i="1"/>
  <c r="V975" i="1"/>
  <c r="W975" i="1"/>
  <c r="X975" i="1"/>
  <c r="Y975" i="1"/>
  <c r="Z975" i="1"/>
  <c r="AA975" i="1"/>
  <c r="AB975" i="1"/>
  <c r="AC975" i="1"/>
  <c r="AD975" i="1"/>
  <c r="AE975" i="1"/>
  <c r="AF975" i="1"/>
  <c r="AG975" i="1"/>
  <c r="AH975" i="1"/>
  <c r="AI975" i="1"/>
  <c r="AJ975" i="1"/>
  <c r="AK975" i="1"/>
  <c r="AL975" i="1"/>
  <c r="AM975" i="1"/>
  <c r="A976" i="1"/>
  <c r="B976" i="1"/>
  <c r="C976" i="1"/>
  <c r="D976" i="1"/>
  <c r="E976" i="1"/>
  <c r="F976" i="1"/>
  <c r="G976" i="1"/>
  <c r="H976" i="1"/>
  <c r="I976" i="1"/>
  <c r="J976" i="1"/>
  <c r="K976" i="1"/>
  <c r="L976" i="1"/>
  <c r="M976" i="1"/>
  <c r="N976" i="1"/>
  <c r="O976" i="1"/>
  <c r="P976" i="1"/>
  <c r="Q976" i="1"/>
  <c r="R976" i="1"/>
  <c r="S976" i="1"/>
  <c r="T976" i="1"/>
  <c r="U976" i="1"/>
  <c r="V976" i="1"/>
  <c r="W976" i="1"/>
  <c r="X976" i="1"/>
  <c r="Y976" i="1"/>
  <c r="Z976" i="1"/>
  <c r="AA976" i="1"/>
  <c r="AB976" i="1"/>
  <c r="AC976" i="1"/>
  <c r="AD976" i="1"/>
  <c r="AE976" i="1"/>
  <c r="AF976" i="1"/>
  <c r="AG976" i="1"/>
  <c r="AH976" i="1"/>
  <c r="AI976" i="1"/>
  <c r="AJ976" i="1"/>
  <c r="AK976" i="1"/>
  <c r="AL976" i="1"/>
  <c r="AM976" i="1"/>
  <c r="A977" i="1"/>
  <c r="B977" i="1"/>
  <c r="C977" i="1"/>
  <c r="D977" i="1"/>
  <c r="E977" i="1"/>
  <c r="F977" i="1"/>
  <c r="G977" i="1"/>
  <c r="H977" i="1"/>
  <c r="I977" i="1"/>
  <c r="J977" i="1"/>
  <c r="K977" i="1"/>
  <c r="L977" i="1"/>
  <c r="M977" i="1"/>
  <c r="N977" i="1"/>
  <c r="O977" i="1"/>
  <c r="P977" i="1"/>
  <c r="Q977" i="1"/>
  <c r="R977" i="1"/>
  <c r="S977" i="1"/>
  <c r="T977" i="1"/>
  <c r="U977" i="1"/>
  <c r="V977" i="1"/>
  <c r="W977" i="1"/>
  <c r="X977" i="1"/>
  <c r="Y977" i="1"/>
  <c r="Z977" i="1"/>
  <c r="AA977" i="1"/>
  <c r="AB977" i="1"/>
  <c r="AC977" i="1"/>
  <c r="AD977" i="1"/>
  <c r="AE977" i="1"/>
  <c r="AF977" i="1"/>
  <c r="AG977" i="1"/>
  <c r="AH977" i="1"/>
  <c r="AI977" i="1"/>
  <c r="AJ977" i="1"/>
  <c r="AK977" i="1"/>
  <c r="AL977" i="1"/>
  <c r="AM977" i="1"/>
  <c r="A978" i="1"/>
  <c r="B978" i="1"/>
  <c r="C978" i="1"/>
  <c r="D978" i="1"/>
  <c r="E978" i="1"/>
  <c r="F978" i="1"/>
  <c r="G978" i="1"/>
  <c r="H978" i="1"/>
  <c r="I978" i="1"/>
  <c r="J978" i="1"/>
  <c r="K978" i="1"/>
  <c r="L978" i="1"/>
  <c r="M978" i="1"/>
  <c r="N978" i="1"/>
  <c r="O978" i="1"/>
  <c r="P978" i="1"/>
  <c r="Q978" i="1"/>
  <c r="R978" i="1"/>
  <c r="S978" i="1"/>
  <c r="T978" i="1"/>
  <c r="U978" i="1"/>
  <c r="V978" i="1"/>
  <c r="W978" i="1"/>
  <c r="X978" i="1"/>
  <c r="Y978" i="1"/>
  <c r="Z978" i="1"/>
  <c r="AA978" i="1"/>
  <c r="AB978" i="1"/>
  <c r="AC978" i="1"/>
  <c r="AD978" i="1"/>
  <c r="AE978" i="1"/>
  <c r="AF978" i="1"/>
  <c r="AG978" i="1"/>
  <c r="AH978" i="1"/>
  <c r="AI978" i="1"/>
  <c r="AJ978" i="1"/>
  <c r="AK978" i="1"/>
  <c r="AL978" i="1"/>
  <c r="AM978" i="1"/>
  <c r="A979" i="1"/>
  <c r="B979" i="1"/>
  <c r="C979" i="1"/>
  <c r="D979" i="1"/>
  <c r="E979" i="1"/>
  <c r="F979" i="1"/>
  <c r="G979" i="1"/>
  <c r="H979" i="1"/>
  <c r="I979" i="1"/>
  <c r="J979" i="1"/>
  <c r="K979" i="1"/>
  <c r="L979" i="1"/>
  <c r="M979" i="1"/>
  <c r="N979" i="1"/>
  <c r="O979" i="1"/>
  <c r="P979" i="1"/>
  <c r="Q979" i="1"/>
  <c r="R979" i="1"/>
  <c r="S979" i="1"/>
  <c r="T979" i="1"/>
  <c r="U979" i="1"/>
  <c r="V979" i="1"/>
  <c r="W979" i="1"/>
  <c r="X979" i="1"/>
  <c r="Y979" i="1"/>
  <c r="Z979" i="1"/>
  <c r="AA979" i="1"/>
  <c r="AB979" i="1"/>
  <c r="AC979" i="1"/>
  <c r="AD979" i="1"/>
  <c r="AE979" i="1"/>
  <c r="AF979" i="1"/>
  <c r="AG979" i="1"/>
  <c r="AH979" i="1"/>
  <c r="AI979" i="1"/>
  <c r="AJ979" i="1"/>
  <c r="AK979" i="1"/>
  <c r="AL979" i="1"/>
  <c r="AM979" i="1"/>
  <c r="A980" i="1"/>
  <c r="B980" i="1"/>
  <c r="C980" i="1"/>
  <c r="D980" i="1"/>
  <c r="E980" i="1"/>
  <c r="F980" i="1"/>
  <c r="G980" i="1"/>
  <c r="H980" i="1"/>
  <c r="I980" i="1"/>
  <c r="J980" i="1"/>
  <c r="K980" i="1"/>
  <c r="L980" i="1"/>
  <c r="M980" i="1"/>
  <c r="N980" i="1"/>
  <c r="O980" i="1"/>
  <c r="P980" i="1"/>
  <c r="Q980" i="1"/>
  <c r="R980" i="1"/>
  <c r="S980" i="1"/>
  <c r="T980" i="1"/>
  <c r="U980" i="1"/>
  <c r="V980" i="1"/>
  <c r="W980" i="1"/>
  <c r="X980" i="1"/>
  <c r="Y980" i="1"/>
  <c r="Z980" i="1"/>
  <c r="AA980" i="1"/>
  <c r="AB980" i="1"/>
  <c r="AC980" i="1"/>
  <c r="AD980" i="1"/>
  <c r="AE980" i="1"/>
  <c r="AF980" i="1"/>
  <c r="AG980" i="1"/>
  <c r="AH980" i="1"/>
  <c r="AI980" i="1"/>
  <c r="AJ980" i="1"/>
  <c r="AK980" i="1"/>
  <c r="AL980" i="1"/>
  <c r="AM980" i="1"/>
  <c r="A981" i="1"/>
  <c r="B981" i="1"/>
  <c r="C981" i="1"/>
  <c r="D981" i="1"/>
  <c r="E981" i="1"/>
  <c r="F981" i="1"/>
  <c r="G981" i="1"/>
  <c r="H981" i="1"/>
  <c r="I981" i="1"/>
  <c r="J981" i="1"/>
  <c r="K981" i="1"/>
  <c r="L981" i="1"/>
  <c r="M981" i="1"/>
  <c r="N981" i="1"/>
  <c r="O981" i="1"/>
  <c r="P981" i="1"/>
  <c r="Q981" i="1"/>
  <c r="R981" i="1"/>
  <c r="S981" i="1"/>
  <c r="T981" i="1"/>
  <c r="U981" i="1"/>
  <c r="V981" i="1"/>
  <c r="W981" i="1"/>
  <c r="X981" i="1"/>
  <c r="Y981" i="1"/>
  <c r="Z981" i="1"/>
  <c r="AA981" i="1"/>
  <c r="AB981" i="1"/>
  <c r="AC981" i="1"/>
  <c r="AD981" i="1"/>
  <c r="AE981" i="1"/>
  <c r="AF981" i="1"/>
  <c r="AG981" i="1"/>
  <c r="AH981" i="1"/>
  <c r="AI981" i="1"/>
  <c r="AJ981" i="1"/>
  <c r="AK981" i="1"/>
  <c r="AL981" i="1"/>
  <c r="AM981" i="1"/>
  <c r="A982" i="1"/>
  <c r="B982" i="1"/>
  <c r="C982" i="1"/>
  <c r="D982" i="1"/>
  <c r="E982" i="1"/>
  <c r="F982" i="1"/>
  <c r="G982" i="1"/>
  <c r="H982" i="1"/>
  <c r="I982" i="1"/>
  <c r="J982" i="1"/>
  <c r="K982" i="1"/>
  <c r="L982" i="1"/>
  <c r="M982" i="1"/>
  <c r="N982" i="1"/>
  <c r="O982" i="1"/>
  <c r="P982" i="1"/>
  <c r="Q982" i="1"/>
  <c r="R982" i="1"/>
  <c r="S982" i="1"/>
  <c r="T982" i="1"/>
  <c r="U982" i="1"/>
  <c r="V982" i="1"/>
  <c r="W982" i="1"/>
  <c r="X982" i="1"/>
  <c r="Y982" i="1"/>
  <c r="Z982" i="1"/>
  <c r="AA982" i="1"/>
  <c r="AB982" i="1"/>
  <c r="AC982" i="1"/>
  <c r="AD982" i="1"/>
  <c r="AE982" i="1"/>
  <c r="AF982" i="1"/>
  <c r="AG982" i="1"/>
  <c r="AH982" i="1"/>
  <c r="AI982" i="1"/>
  <c r="AJ982" i="1"/>
  <c r="AK982" i="1"/>
  <c r="AL982" i="1"/>
  <c r="AM982" i="1"/>
  <c r="A983" i="1"/>
  <c r="B983" i="1"/>
  <c r="C983" i="1"/>
  <c r="D983" i="1"/>
  <c r="E983" i="1"/>
  <c r="F983" i="1"/>
  <c r="G983" i="1"/>
  <c r="H983" i="1"/>
  <c r="I983" i="1"/>
  <c r="J983" i="1"/>
  <c r="K983" i="1"/>
  <c r="L983" i="1"/>
  <c r="M983" i="1"/>
  <c r="N983" i="1"/>
  <c r="O983" i="1"/>
  <c r="P983" i="1"/>
  <c r="Q983" i="1"/>
  <c r="R983" i="1"/>
  <c r="S983" i="1"/>
  <c r="T983" i="1"/>
  <c r="U983" i="1"/>
  <c r="V983" i="1"/>
  <c r="W983" i="1"/>
  <c r="X983" i="1"/>
  <c r="Y983" i="1"/>
  <c r="Z983" i="1"/>
  <c r="AA983" i="1"/>
  <c r="AB983" i="1"/>
  <c r="AC983" i="1"/>
  <c r="AD983" i="1"/>
  <c r="AE983" i="1"/>
  <c r="AF983" i="1"/>
  <c r="AG983" i="1"/>
  <c r="AH983" i="1"/>
  <c r="AI983" i="1"/>
  <c r="AJ983" i="1"/>
  <c r="AK983" i="1"/>
  <c r="AL983" i="1"/>
  <c r="AM983" i="1"/>
  <c r="A984" i="1"/>
  <c r="B984" i="1"/>
  <c r="C984" i="1"/>
  <c r="D984" i="1"/>
  <c r="E984" i="1"/>
  <c r="F984" i="1"/>
  <c r="G984" i="1"/>
  <c r="H984" i="1"/>
  <c r="I984" i="1"/>
  <c r="J984" i="1"/>
  <c r="K984" i="1"/>
  <c r="L984" i="1"/>
  <c r="M984" i="1"/>
  <c r="N984" i="1"/>
  <c r="O984" i="1"/>
  <c r="P984" i="1"/>
  <c r="Q984" i="1"/>
  <c r="R984" i="1"/>
  <c r="S984" i="1"/>
  <c r="T984" i="1"/>
  <c r="U984" i="1"/>
  <c r="V984" i="1"/>
  <c r="W984" i="1"/>
  <c r="X984" i="1"/>
  <c r="Y984" i="1"/>
  <c r="Z984" i="1"/>
  <c r="AA984" i="1"/>
  <c r="AB984" i="1"/>
  <c r="AC984" i="1"/>
  <c r="AD984" i="1"/>
  <c r="AE984" i="1"/>
  <c r="AF984" i="1"/>
  <c r="AG984" i="1"/>
  <c r="AH984" i="1"/>
  <c r="AI984" i="1"/>
  <c r="AJ984" i="1"/>
  <c r="AK984" i="1"/>
  <c r="AL984" i="1"/>
  <c r="AM984" i="1"/>
  <c r="A985" i="1"/>
  <c r="B985" i="1"/>
  <c r="C985" i="1"/>
  <c r="D985" i="1"/>
  <c r="E985" i="1"/>
  <c r="F985" i="1"/>
  <c r="G985" i="1"/>
  <c r="H985" i="1"/>
  <c r="I985" i="1"/>
  <c r="J985" i="1"/>
  <c r="K985" i="1"/>
  <c r="L985" i="1"/>
  <c r="M985" i="1"/>
  <c r="N985" i="1"/>
  <c r="O985" i="1"/>
  <c r="P985" i="1"/>
  <c r="Q985" i="1"/>
  <c r="R985" i="1"/>
  <c r="S985" i="1"/>
  <c r="T985" i="1"/>
  <c r="U985" i="1"/>
  <c r="V985" i="1"/>
  <c r="W985" i="1"/>
  <c r="X985" i="1"/>
  <c r="Y985" i="1"/>
  <c r="Z985" i="1"/>
  <c r="AA985" i="1"/>
  <c r="AB985" i="1"/>
  <c r="AC985" i="1"/>
  <c r="AD985" i="1"/>
  <c r="AE985" i="1"/>
  <c r="AF985" i="1"/>
  <c r="AG985" i="1"/>
  <c r="AH985" i="1"/>
  <c r="AI985" i="1"/>
  <c r="AJ985" i="1"/>
  <c r="AK985" i="1"/>
  <c r="AL985" i="1"/>
  <c r="AM985" i="1"/>
  <c r="A986" i="1"/>
  <c r="B986" i="1"/>
  <c r="C986" i="1"/>
  <c r="D986" i="1"/>
  <c r="E986" i="1"/>
  <c r="F986" i="1"/>
  <c r="G986" i="1"/>
  <c r="H986" i="1"/>
  <c r="I986" i="1"/>
  <c r="J986" i="1"/>
  <c r="K986" i="1"/>
  <c r="L986" i="1"/>
  <c r="M986" i="1"/>
  <c r="N986" i="1"/>
  <c r="O986" i="1"/>
  <c r="P986" i="1"/>
  <c r="Q986" i="1"/>
  <c r="R986" i="1"/>
  <c r="S986" i="1"/>
  <c r="T986" i="1"/>
  <c r="U986" i="1"/>
  <c r="V986" i="1"/>
  <c r="W986" i="1"/>
  <c r="X986" i="1"/>
  <c r="Y986" i="1"/>
  <c r="Z986" i="1"/>
  <c r="AA986" i="1"/>
  <c r="AB986" i="1"/>
  <c r="AC986" i="1"/>
  <c r="AD986" i="1"/>
  <c r="AE986" i="1"/>
  <c r="AF986" i="1"/>
  <c r="AG986" i="1"/>
  <c r="AH986" i="1"/>
  <c r="AI986" i="1"/>
  <c r="AJ986" i="1"/>
  <c r="AK986" i="1"/>
  <c r="AL986" i="1"/>
  <c r="AM986" i="1"/>
  <c r="A987" i="1"/>
  <c r="B987" i="1"/>
  <c r="C987" i="1"/>
  <c r="D987" i="1"/>
  <c r="E987" i="1"/>
  <c r="F987" i="1"/>
  <c r="G987" i="1"/>
  <c r="H987" i="1"/>
  <c r="I987" i="1"/>
  <c r="J987" i="1"/>
  <c r="K987" i="1"/>
  <c r="L987" i="1"/>
  <c r="M987" i="1"/>
  <c r="N987" i="1"/>
  <c r="O987" i="1"/>
  <c r="P987" i="1"/>
  <c r="Q987" i="1"/>
  <c r="R987" i="1"/>
  <c r="S987" i="1"/>
  <c r="T987" i="1"/>
  <c r="U987" i="1"/>
  <c r="V987" i="1"/>
  <c r="W987" i="1"/>
  <c r="X987" i="1"/>
  <c r="Y987" i="1"/>
  <c r="Z987" i="1"/>
  <c r="AA987" i="1"/>
  <c r="AB987" i="1"/>
  <c r="AC987" i="1"/>
  <c r="AD987" i="1"/>
  <c r="AE987" i="1"/>
  <c r="AF987" i="1"/>
  <c r="AG987" i="1"/>
  <c r="AH987" i="1"/>
  <c r="AI987" i="1"/>
  <c r="AJ987" i="1"/>
  <c r="AK987" i="1"/>
  <c r="AL987" i="1"/>
  <c r="AM987" i="1"/>
  <c r="A988" i="1"/>
  <c r="B988" i="1"/>
  <c r="C988" i="1"/>
  <c r="D988" i="1"/>
  <c r="E988" i="1"/>
  <c r="F988" i="1"/>
  <c r="G988" i="1"/>
  <c r="H988" i="1"/>
  <c r="I988" i="1"/>
  <c r="J988" i="1"/>
  <c r="K988" i="1"/>
  <c r="L988" i="1"/>
  <c r="M988" i="1"/>
  <c r="N988" i="1"/>
  <c r="O988" i="1"/>
  <c r="P988" i="1"/>
  <c r="Q988" i="1"/>
  <c r="R988" i="1"/>
  <c r="S988" i="1"/>
  <c r="T988" i="1"/>
  <c r="U988" i="1"/>
  <c r="V988" i="1"/>
  <c r="W988" i="1"/>
  <c r="X988" i="1"/>
  <c r="Y988" i="1"/>
  <c r="Z988" i="1"/>
  <c r="AA988" i="1"/>
  <c r="AB988" i="1"/>
  <c r="AC988" i="1"/>
  <c r="AD988" i="1"/>
  <c r="AE988" i="1"/>
  <c r="AF988" i="1"/>
  <c r="AG988" i="1"/>
  <c r="AH988" i="1"/>
  <c r="AI988" i="1"/>
  <c r="AJ988" i="1"/>
  <c r="AK988" i="1"/>
  <c r="AL988" i="1"/>
  <c r="AM988" i="1"/>
  <c r="A989" i="1"/>
  <c r="B989" i="1"/>
  <c r="C989" i="1"/>
  <c r="D989" i="1"/>
  <c r="E989" i="1"/>
  <c r="F989" i="1"/>
  <c r="G989" i="1"/>
  <c r="H989" i="1"/>
  <c r="I989" i="1"/>
  <c r="J989" i="1"/>
  <c r="K989" i="1"/>
  <c r="L989" i="1"/>
  <c r="M989" i="1"/>
  <c r="N989" i="1"/>
  <c r="O989" i="1"/>
  <c r="P989" i="1"/>
  <c r="Q989" i="1"/>
  <c r="R989" i="1"/>
  <c r="S989" i="1"/>
  <c r="T989" i="1"/>
  <c r="U989" i="1"/>
  <c r="V989" i="1"/>
  <c r="W989" i="1"/>
  <c r="X989" i="1"/>
  <c r="Y989" i="1"/>
  <c r="Z989" i="1"/>
  <c r="AA989" i="1"/>
  <c r="AB989" i="1"/>
  <c r="AC989" i="1"/>
  <c r="AD989" i="1"/>
  <c r="AE989" i="1"/>
  <c r="AF989" i="1"/>
  <c r="AG989" i="1"/>
  <c r="AH989" i="1"/>
  <c r="AI989" i="1"/>
  <c r="AJ989" i="1"/>
  <c r="AK989" i="1"/>
  <c r="AL989" i="1"/>
  <c r="AM989" i="1"/>
  <c r="A990" i="1"/>
  <c r="B990" i="1"/>
  <c r="C990" i="1"/>
  <c r="D990" i="1"/>
  <c r="E990" i="1"/>
  <c r="F990" i="1"/>
  <c r="G990" i="1"/>
  <c r="H990" i="1"/>
  <c r="I990" i="1"/>
  <c r="J990" i="1"/>
  <c r="K990" i="1"/>
  <c r="L990" i="1"/>
  <c r="M990" i="1"/>
  <c r="N990" i="1"/>
  <c r="O990" i="1"/>
  <c r="P990" i="1"/>
  <c r="Q990" i="1"/>
  <c r="R990" i="1"/>
  <c r="S990" i="1"/>
  <c r="T990" i="1"/>
  <c r="U990" i="1"/>
  <c r="V990" i="1"/>
  <c r="W990" i="1"/>
  <c r="X990" i="1"/>
  <c r="Y990" i="1"/>
  <c r="Z990" i="1"/>
  <c r="AA990" i="1"/>
  <c r="AB990" i="1"/>
  <c r="AC990" i="1"/>
  <c r="AD990" i="1"/>
  <c r="AE990" i="1"/>
  <c r="AF990" i="1"/>
  <c r="AG990" i="1"/>
  <c r="AH990" i="1"/>
  <c r="AI990" i="1"/>
  <c r="AJ990" i="1"/>
  <c r="AK990" i="1"/>
  <c r="AL990" i="1"/>
  <c r="AM990" i="1"/>
  <c r="A991" i="1"/>
  <c r="B991" i="1"/>
  <c r="C991" i="1"/>
  <c r="D991" i="1"/>
  <c r="E991" i="1"/>
  <c r="F991" i="1"/>
  <c r="G991" i="1"/>
  <c r="H991" i="1"/>
  <c r="I991" i="1"/>
  <c r="J991" i="1"/>
  <c r="K991" i="1"/>
  <c r="L991" i="1"/>
  <c r="M991" i="1"/>
  <c r="N991" i="1"/>
  <c r="O991" i="1"/>
  <c r="P991" i="1"/>
  <c r="Q991" i="1"/>
  <c r="R991" i="1"/>
  <c r="S991" i="1"/>
  <c r="T991" i="1"/>
  <c r="U991" i="1"/>
  <c r="V991" i="1"/>
  <c r="W991" i="1"/>
  <c r="X991" i="1"/>
  <c r="Y991" i="1"/>
  <c r="Z991" i="1"/>
  <c r="AA991" i="1"/>
  <c r="AB991" i="1"/>
  <c r="AC991" i="1"/>
  <c r="AD991" i="1"/>
  <c r="AE991" i="1"/>
  <c r="AF991" i="1"/>
  <c r="AG991" i="1"/>
  <c r="AH991" i="1"/>
  <c r="AI991" i="1"/>
  <c r="AJ991" i="1"/>
  <c r="AK991" i="1"/>
  <c r="AL991" i="1"/>
  <c r="AM991" i="1"/>
  <c r="A992" i="1"/>
  <c r="B992" i="1"/>
  <c r="C992" i="1"/>
  <c r="D992" i="1"/>
  <c r="E992" i="1"/>
  <c r="F992" i="1"/>
  <c r="G992" i="1"/>
  <c r="H992" i="1"/>
  <c r="I992" i="1"/>
  <c r="J992" i="1"/>
  <c r="K992" i="1"/>
  <c r="L992" i="1"/>
  <c r="M992" i="1"/>
  <c r="N992" i="1"/>
  <c r="O992" i="1"/>
  <c r="P992" i="1"/>
  <c r="Q992" i="1"/>
  <c r="R992" i="1"/>
  <c r="S992" i="1"/>
  <c r="T992" i="1"/>
  <c r="U992" i="1"/>
  <c r="V992" i="1"/>
  <c r="W992" i="1"/>
  <c r="X992" i="1"/>
  <c r="Y992" i="1"/>
  <c r="Z992" i="1"/>
  <c r="AA992" i="1"/>
  <c r="AB992" i="1"/>
  <c r="AC992" i="1"/>
  <c r="AD992" i="1"/>
  <c r="AE992" i="1"/>
  <c r="AF992" i="1"/>
  <c r="AG992" i="1"/>
  <c r="AH992" i="1"/>
  <c r="AI992" i="1"/>
  <c r="AJ992" i="1"/>
  <c r="AK992" i="1"/>
  <c r="AL992" i="1"/>
  <c r="AM992" i="1"/>
  <c r="A993" i="1"/>
  <c r="B993" i="1"/>
  <c r="C993" i="1"/>
  <c r="D993" i="1"/>
  <c r="E993" i="1"/>
  <c r="F993" i="1"/>
  <c r="G993" i="1"/>
  <c r="H993" i="1"/>
  <c r="I993" i="1"/>
  <c r="J993" i="1"/>
  <c r="K993" i="1"/>
  <c r="L993" i="1"/>
  <c r="M993" i="1"/>
  <c r="N993" i="1"/>
  <c r="O993" i="1"/>
  <c r="P993" i="1"/>
  <c r="Q993" i="1"/>
  <c r="R993" i="1"/>
  <c r="S993" i="1"/>
  <c r="T993" i="1"/>
  <c r="U993" i="1"/>
  <c r="V993" i="1"/>
  <c r="W993" i="1"/>
  <c r="X993" i="1"/>
  <c r="Y993" i="1"/>
  <c r="Z993" i="1"/>
  <c r="AA993" i="1"/>
  <c r="AB993" i="1"/>
  <c r="AC993" i="1"/>
  <c r="AD993" i="1"/>
  <c r="AE993" i="1"/>
  <c r="AF993" i="1"/>
  <c r="AG993" i="1"/>
  <c r="AH993" i="1"/>
  <c r="AI993" i="1"/>
  <c r="AJ993" i="1"/>
  <c r="AK993" i="1"/>
  <c r="AL993" i="1"/>
  <c r="AM993" i="1"/>
  <c r="A994" i="1"/>
  <c r="B994" i="1"/>
  <c r="C994" i="1"/>
  <c r="D994" i="1"/>
  <c r="E994" i="1"/>
  <c r="F994" i="1"/>
  <c r="G994" i="1"/>
  <c r="H994" i="1"/>
  <c r="I994" i="1"/>
  <c r="J994" i="1"/>
  <c r="K994" i="1"/>
  <c r="L994" i="1"/>
  <c r="M994" i="1"/>
  <c r="N994" i="1"/>
  <c r="O994" i="1"/>
  <c r="P994" i="1"/>
  <c r="Q994" i="1"/>
  <c r="R994" i="1"/>
  <c r="S994" i="1"/>
  <c r="T994" i="1"/>
  <c r="U994" i="1"/>
  <c r="V994" i="1"/>
  <c r="W994" i="1"/>
  <c r="X994" i="1"/>
  <c r="Y994" i="1"/>
  <c r="Z994" i="1"/>
  <c r="AA994" i="1"/>
  <c r="AB994" i="1"/>
  <c r="AC994" i="1"/>
  <c r="AD994" i="1"/>
  <c r="AE994" i="1"/>
  <c r="AF994" i="1"/>
  <c r="AG994" i="1"/>
  <c r="AH994" i="1"/>
  <c r="AI994" i="1"/>
  <c r="AJ994" i="1"/>
  <c r="AK994" i="1"/>
  <c r="AL994" i="1"/>
  <c r="AM994" i="1"/>
  <c r="A995" i="1"/>
  <c r="B995" i="1"/>
  <c r="C995" i="1"/>
  <c r="D995" i="1"/>
  <c r="E995" i="1"/>
  <c r="F995" i="1"/>
  <c r="G995" i="1"/>
  <c r="H995" i="1"/>
  <c r="I995" i="1"/>
  <c r="J995" i="1"/>
  <c r="K995" i="1"/>
  <c r="L995" i="1"/>
  <c r="M995" i="1"/>
  <c r="N995" i="1"/>
  <c r="O995" i="1"/>
  <c r="P995" i="1"/>
  <c r="Q995" i="1"/>
  <c r="R995" i="1"/>
  <c r="S995" i="1"/>
  <c r="T995" i="1"/>
  <c r="U995" i="1"/>
  <c r="V995" i="1"/>
  <c r="W995" i="1"/>
  <c r="X995" i="1"/>
  <c r="Y995" i="1"/>
  <c r="Z995" i="1"/>
  <c r="AA995" i="1"/>
  <c r="AB995" i="1"/>
  <c r="AC995" i="1"/>
  <c r="AD995" i="1"/>
  <c r="AE995" i="1"/>
  <c r="AF995" i="1"/>
  <c r="AG995" i="1"/>
  <c r="AH995" i="1"/>
  <c r="AI995" i="1"/>
  <c r="AJ995" i="1"/>
  <c r="AK995" i="1"/>
  <c r="AL995" i="1"/>
  <c r="AM995" i="1"/>
  <c r="A996" i="1"/>
  <c r="B996" i="1"/>
  <c r="C996" i="1"/>
  <c r="D996" i="1"/>
  <c r="E996" i="1"/>
  <c r="F996" i="1"/>
  <c r="G996" i="1"/>
  <c r="H996" i="1"/>
  <c r="I996" i="1"/>
  <c r="J996" i="1"/>
  <c r="K996" i="1"/>
  <c r="L996" i="1"/>
  <c r="M996" i="1"/>
  <c r="N996" i="1"/>
  <c r="O996" i="1"/>
  <c r="P996" i="1"/>
  <c r="Q996" i="1"/>
  <c r="R996" i="1"/>
  <c r="S996" i="1"/>
  <c r="T996" i="1"/>
  <c r="U996" i="1"/>
  <c r="V996" i="1"/>
  <c r="W996" i="1"/>
  <c r="X996" i="1"/>
  <c r="Y996" i="1"/>
  <c r="Z996" i="1"/>
  <c r="AA996" i="1"/>
  <c r="AB996" i="1"/>
  <c r="AC996" i="1"/>
  <c r="AD996" i="1"/>
  <c r="AE996" i="1"/>
  <c r="AF996" i="1"/>
  <c r="AG996" i="1"/>
  <c r="AH996" i="1"/>
  <c r="AI996" i="1"/>
  <c r="AJ996" i="1"/>
  <c r="AK996" i="1"/>
  <c r="AL996" i="1"/>
  <c r="AM996" i="1"/>
  <c r="A997" i="1"/>
  <c r="B997" i="1"/>
  <c r="C997" i="1"/>
  <c r="D997" i="1"/>
  <c r="E997" i="1"/>
  <c r="F997" i="1"/>
  <c r="G997" i="1"/>
  <c r="H997" i="1"/>
  <c r="I997" i="1"/>
  <c r="J997" i="1"/>
  <c r="K997" i="1"/>
  <c r="L997" i="1"/>
  <c r="M997" i="1"/>
  <c r="N997" i="1"/>
  <c r="O997" i="1"/>
  <c r="P997" i="1"/>
  <c r="Q997" i="1"/>
  <c r="R997" i="1"/>
  <c r="S997" i="1"/>
  <c r="T997" i="1"/>
  <c r="U997" i="1"/>
  <c r="V997" i="1"/>
  <c r="W997" i="1"/>
  <c r="X997" i="1"/>
  <c r="Y997" i="1"/>
  <c r="Z997" i="1"/>
  <c r="AA997" i="1"/>
  <c r="AB997" i="1"/>
  <c r="AC997" i="1"/>
  <c r="AD997" i="1"/>
  <c r="AE997" i="1"/>
  <c r="AF997" i="1"/>
  <c r="AG997" i="1"/>
  <c r="AH997" i="1"/>
  <c r="AI997" i="1"/>
  <c r="AJ997" i="1"/>
  <c r="AK997" i="1"/>
  <c r="AL997" i="1"/>
  <c r="AM997" i="1"/>
  <c r="A998" i="1"/>
  <c r="B998" i="1"/>
  <c r="C998" i="1"/>
  <c r="D998" i="1"/>
  <c r="E998" i="1"/>
  <c r="F998" i="1"/>
  <c r="G998" i="1"/>
  <c r="H998" i="1"/>
  <c r="I998" i="1"/>
  <c r="J998" i="1"/>
  <c r="K998" i="1"/>
  <c r="L998" i="1"/>
  <c r="M998" i="1"/>
  <c r="N998" i="1"/>
  <c r="O998" i="1"/>
  <c r="P998" i="1"/>
  <c r="Q998" i="1"/>
  <c r="R998" i="1"/>
  <c r="S998" i="1"/>
  <c r="T998" i="1"/>
  <c r="U998" i="1"/>
  <c r="V998" i="1"/>
  <c r="W998" i="1"/>
  <c r="X998" i="1"/>
  <c r="Y998" i="1"/>
  <c r="Z998" i="1"/>
  <c r="AA998" i="1"/>
  <c r="AB998" i="1"/>
  <c r="AC998" i="1"/>
  <c r="AD998" i="1"/>
  <c r="AE998" i="1"/>
  <c r="AF998" i="1"/>
  <c r="AG998" i="1"/>
  <c r="AH998" i="1"/>
  <c r="AI998" i="1"/>
  <c r="AJ998" i="1"/>
  <c r="AK998" i="1"/>
  <c r="AL998" i="1"/>
  <c r="AM998" i="1"/>
  <c r="A999" i="1"/>
  <c r="B999" i="1"/>
  <c r="C999" i="1"/>
  <c r="D999" i="1"/>
  <c r="E999" i="1"/>
  <c r="F999" i="1"/>
  <c r="G999" i="1"/>
  <c r="H999" i="1"/>
  <c r="I999" i="1"/>
  <c r="J999" i="1"/>
  <c r="K999" i="1"/>
  <c r="L999" i="1"/>
  <c r="M999" i="1"/>
  <c r="N999" i="1"/>
  <c r="O999" i="1"/>
  <c r="P999" i="1"/>
  <c r="Q999" i="1"/>
  <c r="R999" i="1"/>
  <c r="S999" i="1"/>
  <c r="T999" i="1"/>
  <c r="U999" i="1"/>
  <c r="V999" i="1"/>
  <c r="W999" i="1"/>
  <c r="X999" i="1"/>
  <c r="Y999" i="1"/>
  <c r="Z999" i="1"/>
  <c r="AA999" i="1"/>
  <c r="AB999" i="1"/>
  <c r="AC999" i="1"/>
  <c r="AD999" i="1"/>
  <c r="AE999" i="1"/>
  <c r="AF999" i="1"/>
  <c r="AG999" i="1"/>
  <c r="AH999" i="1"/>
  <c r="AI999" i="1"/>
  <c r="AJ999" i="1"/>
  <c r="AK999" i="1"/>
  <c r="AL999" i="1"/>
  <c r="AM999" i="1"/>
  <c r="A1000" i="1"/>
  <c r="B1000" i="1"/>
  <c r="C1000" i="1"/>
  <c r="D1000" i="1"/>
  <c r="E1000" i="1"/>
  <c r="F1000" i="1"/>
  <c r="G1000" i="1"/>
  <c r="H1000" i="1"/>
  <c r="I1000" i="1"/>
  <c r="J1000" i="1"/>
  <c r="K1000" i="1"/>
  <c r="L1000" i="1"/>
  <c r="M1000" i="1"/>
  <c r="N1000" i="1"/>
  <c r="O1000" i="1"/>
  <c r="P1000" i="1"/>
  <c r="Q1000" i="1"/>
  <c r="R1000" i="1"/>
  <c r="S1000" i="1"/>
  <c r="T1000" i="1"/>
  <c r="U1000" i="1"/>
  <c r="V1000" i="1"/>
  <c r="W1000" i="1"/>
  <c r="X1000" i="1"/>
  <c r="Y1000" i="1"/>
  <c r="Z1000" i="1"/>
  <c r="AA1000" i="1"/>
  <c r="AB1000" i="1"/>
  <c r="AC1000" i="1"/>
  <c r="AD1000" i="1"/>
  <c r="AE1000" i="1"/>
  <c r="AF1000" i="1"/>
  <c r="AG1000" i="1"/>
  <c r="AH1000" i="1"/>
  <c r="AI1000" i="1"/>
  <c r="AJ1000" i="1"/>
  <c r="AK1000" i="1"/>
  <c r="AL1000" i="1"/>
  <c r="AM1000" i="1"/>
  <c r="A1001" i="1"/>
  <c r="B1001" i="1"/>
  <c r="C1001" i="1"/>
  <c r="D1001" i="1"/>
  <c r="E1001" i="1"/>
  <c r="F1001" i="1"/>
  <c r="G1001" i="1"/>
  <c r="H1001" i="1"/>
  <c r="I1001" i="1"/>
  <c r="J1001" i="1"/>
  <c r="K1001" i="1"/>
  <c r="L1001" i="1"/>
  <c r="M1001" i="1"/>
  <c r="N1001" i="1"/>
  <c r="O1001" i="1"/>
  <c r="P1001" i="1"/>
  <c r="Q1001" i="1"/>
  <c r="R1001" i="1"/>
  <c r="S1001" i="1"/>
  <c r="T1001" i="1"/>
  <c r="U1001" i="1"/>
  <c r="V1001" i="1"/>
  <c r="W1001" i="1"/>
  <c r="X1001" i="1"/>
  <c r="Y1001" i="1"/>
  <c r="Z1001" i="1"/>
  <c r="AA1001" i="1"/>
  <c r="AB1001" i="1"/>
  <c r="AC1001" i="1"/>
  <c r="AD1001" i="1"/>
  <c r="AE1001" i="1"/>
  <c r="AF1001" i="1"/>
  <c r="AG1001" i="1"/>
  <c r="AH1001" i="1"/>
  <c r="AI1001" i="1"/>
  <c r="AJ1001" i="1"/>
  <c r="AK1001" i="1"/>
  <c r="AL1001" i="1"/>
  <c r="AM1001" i="1"/>
  <c r="A1002" i="1"/>
  <c r="B1002" i="1"/>
  <c r="C1002" i="1"/>
  <c r="D1002" i="1"/>
  <c r="E1002" i="1"/>
  <c r="F1002" i="1"/>
  <c r="G1002" i="1"/>
  <c r="H1002" i="1"/>
  <c r="I1002" i="1"/>
  <c r="J1002" i="1"/>
  <c r="K1002" i="1"/>
  <c r="L1002" i="1"/>
  <c r="M1002" i="1"/>
  <c r="N1002" i="1"/>
  <c r="O1002" i="1"/>
  <c r="P1002" i="1"/>
  <c r="Q1002" i="1"/>
  <c r="R1002" i="1"/>
  <c r="S1002" i="1"/>
  <c r="T1002" i="1"/>
  <c r="U1002" i="1"/>
  <c r="V1002" i="1"/>
  <c r="W1002" i="1"/>
  <c r="X1002" i="1"/>
  <c r="Y1002" i="1"/>
  <c r="Z1002" i="1"/>
  <c r="AA1002" i="1"/>
  <c r="AB1002" i="1"/>
  <c r="AC1002" i="1"/>
  <c r="AD1002" i="1"/>
  <c r="AE1002" i="1"/>
  <c r="AF1002" i="1"/>
  <c r="AG1002" i="1"/>
  <c r="AH1002" i="1"/>
  <c r="AI1002" i="1"/>
  <c r="AJ1002" i="1"/>
  <c r="AK1002" i="1"/>
  <c r="AL1002" i="1"/>
  <c r="AM1002" i="1"/>
  <c r="A1003" i="1"/>
  <c r="B1003" i="1"/>
  <c r="C1003" i="1"/>
  <c r="D1003" i="1"/>
  <c r="E1003" i="1"/>
  <c r="F1003" i="1"/>
  <c r="G1003" i="1"/>
  <c r="H1003" i="1"/>
  <c r="I1003" i="1"/>
  <c r="J1003" i="1"/>
  <c r="K1003" i="1"/>
  <c r="L1003" i="1"/>
  <c r="M1003" i="1"/>
  <c r="N1003" i="1"/>
  <c r="O1003" i="1"/>
  <c r="P1003" i="1"/>
  <c r="Q1003" i="1"/>
  <c r="R1003" i="1"/>
  <c r="S1003" i="1"/>
  <c r="T1003" i="1"/>
  <c r="U1003" i="1"/>
  <c r="V1003" i="1"/>
  <c r="W1003" i="1"/>
  <c r="X1003" i="1"/>
  <c r="Y1003" i="1"/>
  <c r="Z1003" i="1"/>
  <c r="AA1003" i="1"/>
  <c r="AB1003" i="1"/>
  <c r="AC1003" i="1"/>
  <c r="AD1003" i="1"/>
  <c r="AE1003" i="1"/>
  <c r="AF1003" i="1"/>
  <c r="AG1003" i="1"/>
  <c r="AH1003" i="1"/>
  <c r="AI1003" i="1"/>
  <c r="AJ1003" i="1"/>
  <c r="AK1003" i="1"/>
  <c r="AL1003" i="1"/>
  <c r="AM1003" i="1"/>
  <c r="A1004" i="1"/>
  <c r="B1004" i="1"/>
  <c r="C1004" i="1"/>
  <c r="D1004" i="1"/>
  <c r="E1004" i="1"/>
  <c r="F1004" i="1"/>
  <c r="G1004" i="1"/>
  <c r="H1004" i="1"/>
  <c r="I1004" i="1"/>
  <c r="J1004" i="1"/>
  <c r="K1004" i="1"/>
  <c r="L1004" i="1"/>
  <c r="M1004" i="1"/>
  <c r="N1004" i="1"/>
  <c r="O1004" i="1"/>
  <c r="P1004" i="1"/>
  <c r="Q1004" i="1"/>
  <c r="R1004" i="1"/>
  <c r="S1004" i="1"/>
  <c r="T1004" i="1"/>
  <c r="U1004" i="1"/>
  <c r="V1004" i="1"/>
  <c r="W1004" i="1"/>
  <c r="X1004" i="1"/>
  <c r="Y1004" i="1"/>
  <c r="Z1004" i="1"/>
  <c r="AA1004" i="1"/>
  <c r="AB1004" i="1"/>
  <c r="AC1004" i="1"/>
  <c r="AD1004" i="1"/>
  <c r="AE1004" i="1"/>
  <c r="AF1004" i="1"/>
  <c r="AG1004" i="1"/>
  <c r="AH1004" i="1"/>
  <c r="AI1004" i="1"/>
  <c r="AJ1004" i="1"/>
  <c r="AK1004" i="1"/>
  <c r="AL1004" i="1"/>
  <c r="AM1004" i="1"/>
  <c r="A1005" i="1"/>
  <c r="B1005" i="1"/>
  <c r="C1005" i="1"/>
  <c r="D1005" i="1"/>
  <c r="E1005" i="1"/>
  <c r="F1005" i="1"/>
  <c r="G1005" i="1"/>
  <c r="H1005" i="1"/>
  <c r="I1005" i="1"/>
  <c r="J1005" i="1"/>
  <c r="K1005" i="1"/>
  <c r="L1005" i="1"/>
  <c r="M1005" i="1"/>
  <c r="N1005" i="1"/>
  <c r="O1005" i="1"/>
  <c r="P1005" i="1"/>
  <c r="Q1005" i="1"/>
  <c r="R1005" i="1"/>
  <c r="S1005" i="1"/>
  <c r="T1005" i="1"/>
  <c r="U1005" i="1"/>
  <c r="V1005" i="1"/>
  <c r="W1005" i="1"/>
  <c r="X1005" i="1"/>
  <c r="Y1005" i="1"/>
  <c r="Z1005" i="1"/>
  <c r="AA1005" i="1"/>
  <c r="AB1005" i="1"/>
  <c r="AC1005" i="1"/>
  <c r="AD1005" i="1"/>
  <c r="AE1005" i="1"/>
  <c r="AF1005" i="1"/>
  <c r="AG1005" i="1"/>
  <c r="AH1005" i="1"/>
  <c r="AI1005" i="1"/>
  <c r="AJ1005" i="1"/>
  <c r="AK1005" i="1"/>
  <c r="AL1005" i="1"/>
  <c r="AM1005" i="1"/>
  <c r="A1006" i="1"/>
  <c r="B1006" i="1"/>
  <c r="C1006" i="1"/>
  <c r="D1006" i="1"/>
  <c r="E1006" i="1"/>
  <c r="F1006" i="1"/>
  <c r="G1006" i="1"/>
  <c r="H1006" i="1"/>
  <c r="I1006" i="1"/>
  <c r="J1006" i="1"/>
  <c r="K1006" i="1"/>
  <c r="L1006" i="1"/>
  <c r="M1006" i="1"/>
  <c r="N1006" i="1"/>
  <c r="O1006" i="1"/>
  <c r="P1006" i="1"/>
  <c r="Q1006" i="1"/>
  <c r="R1006" i="1"/>
  <c r="S1006" i="1"/>
  <c r="T1006" i="1"/>
  <c r="U1006" i="1"/>
  <c r="V1006" i="1"/>
  <c r="W1006" i="1"/>
  <c r="X1006" i="1"/>
  <c r="Y1006" i="1"/>
  <c r="Z1006" i="1"/>
  <c r="AA1006" i="1"/>
  <c r="AB1006" i="1"/>
  <c r="AC1006" i="1"/>
  <c r="AD1006" i="1"/>
  <c r="AE1006" i="1"/>
  <c r="AF1006" i="1"/>
  <c r="AG1006" i="1"/>
  <c r="AH1006" i="1"/>
  <c r="AI1006" i="1"/>
  <c r="AJ1006" i="1"/>
  <c r="AK1006" i="1"/>
  <c r="AL1006" i="1"/>
  <c r="AM1006" i="1"/>
  <c r="A1007" i="1"/>
  <c r="B1007" i="1"/>
  <c r="C1007" i="1"/>
  <c r="D1007" i="1"/>
  <c r="E1007" i="1"/>
  <c r="F1007" i="1"/>
  <c r="G1007" i="1"/>
  <c r="H1007" i="1"/>
  <c r="I1007" i="1"/>
  <c r="J1007" i="1"/>
  <c r="K1007" i="1"/>
  <c r="L1007" i="1"/>
  <c r="M1007" i="1"/>
  <c r="N1007" i="1"/>
  <c r="O1007" i="1"/>
  <c r="P1007" i="1"/>
  <c r="Q1007" i="1"/>
  <c r="R1007" i="1"/>
  <c r="S1007" i="1"/>
  <c r="T1007" i="1"/>
  <c r="U1007" i="1"/>
  <c r="V1007" i="1"/>
  <c r="W1007" i="1"/>
  <c r="X1007" i="1"/>
  <c r="Y1007" i="1"/>
  <c r="Z1007" i="1"/>
  <c r="AA1007" i="1"/>
  <c r="AB1007" i="1"/>
  <c r="AC1007" i="1"/>
  <c r="AD1007" i="1"/>
  <c r="AE1007" i="1"/>
  <c r="AF1007" i="1"/>
  <c r="AG1007" i="1"/>
  <c r="AH1007" i="1"/>
  <c r="AI1007" i="1"/>
  <c r="AJ1007" i="1"/>
  <c r="AK1007" i="1"/>
  <c r="AL1007" i="1"/>
  <c r="AM1007" i="1"/>
  <c r="A1008" i="1"/>
  <c r="B1008" i="1"/>
  <c r="C1008" i="1"/>
  <c r="D1008" i="1"/>
  <c r="E1008" i="1"/>
  <c r="F1008" i="1"/>
  <c r="G1008" i="1"/>
  <c r="H1008" i="1"/>
  <c r="I1008" i="1"/>
  <c r="J1008" i="1"/>
  <c r="K1008" i="1"/>
  <c r="L1008" i="1"/>
  <c r="M1008" i="1"/>
  <c r="N1008" i="1"/>
  <c r="O1008" i="1"/>
  <c r="P1008" i="1"/>
  <c r="Q1008" i="1"/>
  <c r="R1008" i="1"/>
  <c r="S1008" i="1"/>
  <c r="T1008" i="1"/>
  <c r="U1008" i="1"/>
  <c r="V1008" i="1"/>
  <c r="W1008" i="1"/>
  <c r="X1008" i="1"/>
  <c r="Y1008" i="1"/>
  <c r="Z1008" i="1"/>
  <c r="AA1008" i="1"/>
  <c r="AB1008" i="1"/>
  <c r="AC1008" i="1"/>
  <c r="AD1008" i="1"/>
  <c r="AE1008" i="1"/>
  <c r="AF1008" i="1"/>
  <c r="AG1008" i="1"/>
  <c r="AH1008" i="1"/>
  <c r="AI1008" i="1"/>
  <c r="AJ1008" i="1"/>
  <c r="AK1008" i="1"/>
  <c r="AL1008" i="1"/>
  <c r="AM1008" i="1"/>
  <c r="A1009" i="1"/>
  <c r="B1009" i="1"/>
  <c r="C1009" i="1"/>
  <c r="D1009" i="1"/>
  <c r="E1009" i="1"/>
  <c r="F1009" i="1"/>
  <c r="G1009" i="1"/>
  <c r="H1009" i="1"/>
  <c r="I1009" i="1"/>
  <c r="J1009" i="1"/>
  <c r="K1009" i="1"/>
  <c r="L1009" i="1"/>
  <c r="M1009" i="1"/>
  <c r="N1009" i="1"/>
  <c r="O1009" i="1"/>
  <c r="P1009" i="1"/>
  <c r="Q1009" i="1"/>
  <c r="R1009" i="1"/>
  <c r="S1009" i="1"/>
  <c r="T1009" i="1"/>
  <c r="U1009" i="1"/>
  <c r="V1009" i="1"/>
  <c r="W1009" i="1"/>
  <c r="X1009" i="1"/>
  <c r="Y1009" i="1"/>
  <c r="Z1009" i="1"/>
  <c r="AA1009" i="1"/>
  <c r="AB1009" i="1"/>
  <c r="AC1009" i="1"/>
  <c r="AD1009" i="1"/>
  <c r="AE1009" i="1"/>
  <c r="AF1009" i="1"/>
  <c r="AG1009" i="1"/>
  <c r="AH1009" i="1"/>
  <c r="AI1009" i="1"/>
  <c r="AJ1009" i="1"/>
  <c r="AK1009" i="1"/>
  <c r="AL1009" i="1"/>
  <c r="AM1009" i="1"/>
  <c r="A1010" i="1"/>
  <c r="B1010" i="1"/>
  <c r="C1010" i="1"/>
  <c r="D1010" i="1"/>
  <c r="E1010" i="1"/>
  <c r="F1010" i="1"/>
  <c r="G1010" i="1"/>
  <c r="H1010" i="1"/>
  <c r="I1010" i="1"/>
  <c r="J1010" i="1"/>
  <c r="K1010" i="1"/>
  <c r="L1010" i="1"/>
  <c r="M1010" i="1"/>
  <c r="N1010" i="1"/>
  <c r="O1010" i="1"/>
  <c r="P1010" i="1"/>
  <c r="Q1010" i="1"/>
  <c r="R1010" i="1"/>
  <c r="S1010" i="1"/>
  <c r="T1010" i="1"/>
  <c r="U1010" i="1"/>
  <c r="V1010" i="1"/>
  <c r="W1010" i="1"/>
  <c r="X1010" i="1"/>
  <c r="Y1010" i="1"/>
  <c r="Z1010" i="1"/>
  <c r="AA1010" i="1"/>
  <c r="AB1010" i="1"/>
  <c r="AC1010" i="1"/>
  <c r="AD1010" i="1"/>
  <c r="AE1010" i="1"/>
  <c r="AF1010" i="1"/>
  <c r="AG1010" i="1"/>
  <c r="AH1010" i="1"/>
  <c r="AI1010" i="1"/>
  <c r="AJ1010" i="1"/>
  <c r="AK1010" i="1"/>
  <c r="AL1010" i="1"/>
  <c r="AM1010" i="1"/>
  <c r="A1011" i="1"/>
  <c r="B1011" i="1"/>
  <c r="C1011" i="1"/>
  <c r="D1011" i="1"/>
  <c r="E1011" i="1"/>
  <c r="F1011" i="1"/>
  <c r="G1011" i="1"/>
  <c r="H1011" i="1"/>
  <c r="I1011" i="1"/>
  <c r="J1011" i="1"/>
  <c r="K1011" i="1"/>
  <c r="L1011" i="1"/>
  <c r="M1011" i="1"/>
  <c r="N1011" i="1"/>
  <c r="O1011" i="1"/>
  <c r="P1011" i="1"/>
  <c r="Q1011" i="1"/>
  <c r="R1011" i="1"/>
  <c r="S1011" i="1"/>
  <c r="T1011" i="1"/>
  <c r="U1011" i="1"/>
  <c r="V1011" i="1"/>
  <c r="W1011" i="1"/>
  <c r="X1011" i="1"/>
  <c r="Y1011" i="1"/>
  <c r="Z1011" i="1"/>
  <c r="AA1011" i="1"/>
  <c r="AB1011" i="1"/>
  <c r="AC1011" i="1"/>
  <c r="AD1011" i="1"/>
  <c r="AE1011" i="1"/>
  <c r="AF1011" i="1"/>
  <c r="AG1011" i="1"/>
  <c r="AH1011" i="1"/>
  <c r="AI1011" i="1"/>
  <c r="AJ1011" i="1"/>
  <c r="AK1011" i="1"/>
  <c r="AL1011" i="1"/>
  <c r="AM1011" i="1"/>
  <c r="A1012" i="1"/>
  <c r="B1012" i="1"/>
  <c r="C1012" i="1"/>
  <c r="D1012" i="1"/>
  <c r="E1012" i="1"/>
  <c r="F1012" i="1"/>
  <c r="G1012" i="1"/>
  <c r="H1012" i="1"/>
  <c r="I1012" i="1"/>
  <c r="J1012" i="1"/>
  <c r="K1012" i="1"/>
  <c r="L1012" i="1"/>
  <c r="M1012" i="1"/>
  <c r="N1012" i="1"/>
  <c r="O1012" i="1"/>
  <c r="P1012" i="1"/>
  <c r="Q1012" i="1"/>
  <c r="R1012" i="1"/>
  <c r="S1012" i="1"/>
  <c r="T1012" i="1"/>
  <c r="U1012" i="1"/>
  <c r="V1012" i="1"/>
  <c r="W1012" i="1"/>
  <c r="X1012" i="1"/>
  <c r="Y1012" i="1"/>
  <c r="Z1012" i="1"/>
  <c r="AA1012" i="1"/>
  <c r="AB1012" i="1"/>
  <c r="AC1012" i="1"/>
  <c r="AD1012" i="1"/>
  <c r="AE1012" i="1"/>
  <c r="AF1012" i="1"/>
  <c r="AG1012" i="1"/>
  <c r="AH1012" i="1"/>
  <c r="AI1012" i="1"/>
  <c r="AJ1012" i="1"/>
  <c r="AK1012" i="1"/>
  <c r="AL1012" i="1"/>
  <c r="AM1012" i="1"/>
  <c r="A1013" i="1"/>
  <c r="B1013" i="1"/>
  <c r="C1013" i="1"/>
  <c r="D1013" i="1"/>
  <c r="E1013" i="1"/>
  <c r="F1013" i="1"/>
  <c r="G1013" i="1"/>
  <c r="H1013" i="1"/>
  <c r="I1013" i="1"/>
  <c r="J1013" i="1"/>
  <c r="K1013" i="1"/>
  <c r="L1013" i="1"/>
  <c r="M1013" i="1"/>
  <c r="N1013" i="1"/>
  <c r="O1013" i="1"/>
  <c r="P1013" i="1"/>
  <c r="Q1013" i="1"/>
  <c r="R1013" i="1"/>
  <c r="S1013" i="1"/>
  <c r="T1013" i="1"/>
  <c r="U1013" i="1"/>
  <c r="V1013" i="1"/>
  <c r="W1013" i="1"/>
  <c r="X1013" i="1"/>
  <c r="Y1013" i="1"/>
  <c r="Z1013" i="1"/>
  <c r="AA1013" i="1"/>
  <c r="AB1013" i="1"/>
  <c r="AC1013" i="1"/>
  <c r="AD1013" i="1"/>
  <c r="AE1013" i="1"/>
  <c r="AF1013" i="1"/>
  <c r="AG1013" i="1"/>
  <c r="AH1013" i="1"/>
  <c r="AI1013" i="1"/>
  <c r="AJ1013" i="1"/>
  <c r="AK1013" i="1"/>
  <c r="AL1013" i="1"/>
  <c r="AM1013" i="1"/>
  <c r="A1014" i="1"/>
  <c r="B1014" i="1"/>
  <c r="C1014" i="1"/>
  <c r="D1014" i="1"/>
  <c r="E1014" i="1"/>
  <c r="F1014" i="1"/>
  <c r="G1014" i="1"/>
  <c r="H1014" i="1"/>
  <c r="I1014" i="1"/>
  <c r="J1014" i="1"/>
  <c r="K1014" i="1"/>
  <c r="L1014" i="1"/>
  <c r="M1014" i="1"/>
  <c r="N1014" i="1"/>
  <c r="O1014" i="1"/>
  <c r="P1014" i="1"/>
  <c r="Q1014" i="1"/>
  <c r="R1014" i="1"/>
  <c r="S1014" i="1"/>
  <c r="T1014" i="1"/>
  <c r="U1014" i="1"/>
  <c r="V1014" i="1"/>
  <c r="W1014" i="1"/>
  <c r="X1014" i="1"/>
  <c r="Y1014" i="1"/>
  <c r="Z1014" i="1"/>
  <c r="AA1014" i="1"/>
  <c r="AB1014" i="1"/>
  <c r="AC1014" i="1"/>
  <c r="AD1014" i="1"/>
  <c r="AE1014" i="1"/>
  <c r="AF1014" i="1"/>
  <c r="AG1014" i="1"/>
  <c r="AH1014" i="1"/>
  <c r="AI1014" i="1"/>
  <c r="AJ1014" i="1"/>
  <c r="AK1014" i="1"/>
  <c r="AL1014" i="1"/>
  <c r="AM1014" i="1"/>
  <c r="A1015" i="1"/>
  <c r="B1015" i="1"/>
  <c r="C1015" i="1"/>
  <c r="D1015" i="1"/>
  <c r="E1015" i="1"/>
  <c r="F1015" i="1"/>
  <c r="G1015" i="1"/>
  <c r="H1015" i="1"/>
  <c r="I1015" i="1"/>
  <c r="J1015" i="1"/>
  <c r="K1015" i="1"/>
  <c r="L1015" i="1"/>
  <c r="M1015" i="1"/>
  <c r="N1015" i="1"/>
  <c r="O1015" i="1"/>
  <c r="P1015" i="1"/>
  <c r="Q1015" i="1"/>
  <c r="R1015" i="1"/>
  <c r="S1015" i="1"/>
  <c r="T1015" i="1"/>
  <c r="U1015" i="1"/>
  <c r="V1015" i="1"/>
  <c r="W1015" i="1"/>
  <c r="X1015" i="1"/>
  <c r="Y1015" i="1"/>
  <c r="Z1015" i="1"/>
  <c r="AA1015" i="1"/>
  <c r="AB1015" i="1"/>
  <c r="AC1015" i="1"/>
  <c r="AD1015" i="1"/>
  <c r="AE1015" i="1"/>
  <c r="AF1015" i="1"/>
  <c r="AG1015" i="1"/>
  <c r="AH1015" i="1"/>
  <c r="AI1015" i="1"/>
  <c r="AJ1015" i="1"/>
  <c r="AK1015" i="1"/>
  <c r="AL1015" i="1"/>
  <c r="AM1015" i="1"/>
  <c r="A1016" i="1"/>
  <c r="B1016" i="1"/>
  <c r="C1016" i="1"/>
  <c r="D1016" i="1"/>
  <c r="E1016" i="1"/>
  <c r="F1016" i="1"/>
  <c r="G1016" i="1"/>
  <c r="H1016" i="1"/>
  <c r="I1016" i="1"/>
  <c r="J1016" i="1"/>
  <c r="K1016" i="1"/>
  <c r="L1016" i="1"/>
  <c r="M1016" i="1"/>
  <c r="N1016" i="1"/>
  <c r="O1016" i="1"/>
  <c r="P1016" i="1"/>
  <c r="Q1016" i="1"/>
  <c r="R1016" i="1"/>
  <c r="S1016" i="1"/>
  <c r="T1016" i="1"/>
  <c r="U1016" i="1"/>
  <c r="V1016" i="1"/>
  <c r="W1016" i="1"/>
  <c r="X1016" i="1"/>
  <c r="Y1016" i="1"/>
  <c r="Z1016" i="1"/>
  <c r="AA1016" i="1"/>
  <c r="AB1016" i="1"/>
  <c r="AC1016" i="1"/>
  <c r="AD1016" i="1"/>
  <c r="AE1016" i="1"/>
  <c r="AF1016" i="1"/>
  <c r="AG1016" i="1"/>
  <c r="AH1016" i="1"/>
  <c r="AI1016" i="1"/>
  <c r="AJ1016" i="1"/>
  <c r="AK1016" i="1"/>
  <c r="AL1016" i="1"/>
  <c r="AM1016" i="1"/>
  <c r="A1017" i="1"/>
  <c r="B1017" i="1"/>
  <c r="C1017" i="1"/>
  <c r="D1017" i="1"/>
  <c r="E1017" i="1"/>
  <c r="F1017" i="1"/>
  <c r="G1017" i="1"/>
  <c r="H1017" i="1"/>
  <c r="I1017" i="1"/>
  <c r="J1017" i="1"/>
  <c r="K1017" i="1"/>
  <c r="L1017" i="1"/>
  <c r="M1017" i="1"/>
  <c r="N1017" i="1"/>
  <c r="O1017" i="1"/>
  <c r="P1017" i="1"/>
  <c r="Q1017" i="1"/>
  <c r="R1017" i="1"/>
  <c r="S1017" i="1"/>
  <c r="T1017" i="1"/>
  <c r="U1017" i="1"/>
  <c r="V1017" i="1"/>
  <c r="W1017" i="1"/>
  <c r="X1017" i="1"/>
  <c r="Y1017" i="1"/>
  <c r="Z1017" i="1"/>
  <c r="AA1017" i="1"/>
  <c r="AB1017" i="1"/>
  <c r="AC1017" i="1"/>
  <c r="AD1017" i="1"/>
  <c r="AE1017" i="1"/>
  <c r="AF1017" i="1"/>
  <c r="AG1017" i="1"/>
  <c r="AH1017" i="1"/>
  <c r="AI1017" i="1"/>
  <c r="AJ1017" i="1"/>
  <c r="AK1017" i="1"/>
  <c r="AL1017" i="1"/>
  <c r="AM1017" i="1"/>
  <c r="A1018" i="1"/>
  <c r="B1018" i="1"/>
  <c r="C1018" i="1"/>
  <c r="D1018" i="1"/>
  <c r="E1018" i="1"/>
  <c r="F1018" i="1"/>
  <c r="G1018" i="1"/>
  <c r="H1018" i="1"/>
  <c r="I1018" i="1"/>
  <c r="J1018" i="1"/>
  <c r="K1018" i="1"/>
  <c r="L1018" i="1"/>
  <c r="M1018" i="1"/>
  <c r="N1018" i="1"/>
  <c r="O1018" i="1"/>
  <c r="P1018" i="1"/>
  <c r="Q1018" i="1"/>
  <c r="R1018" i="1"/>
  <c r="S1018" i="1"/>
  <c r="T1018" i="1"/>
  <c r="U1018" i="1"/>
  <c r="V1018" i="1"/>
  <c r="W1018" i="1"/>
  <c r="X1018" i="1"/>
  <c r="Y1018" i="1"/>
  <c r="Z1018" i="1"/>
  <c r="AA1018" i="1"/>
  <c r="AB1018" i="1"/>
  <c r="AC1018" i="1"/>
  <c r="AD1018" i="1"/>
  <c r="AE1018" i="1"/>
  <c r="AF1018" i="1"/>
  <c r="AG1018" i="1"/>
  <c r="AH1018" i="1"/>
  <c r="AI1018" i="1"/>
  <c r="AJ1018" i="1"/>
  <c r="AK1018" i="1"/>
  <c r="AL1018" i="1"/>
  <c r="AM1018" i="1"/>
  <c r="A1019" i="1"/>
  <c r="B1019" i="1"/>
  <c r="C1019" i="1"/>
  <c r="D1019" i="1"/>
  <c r="E1019" i="1"/>
  <c r="F1019" i="1"/>
  <c r="G1019" i="1"/>
  <c r="H1019" i="1"/>
  <c r="I1019" i="1"/>
  <c r="J1019" i="1"/>
  <c r="K1019" i="1"/>
  <c r="L1019" i="1"/>
  <c r="M1019" i="1"/>
  <c r="N1019" i="1"/>
  <c r="O1019" i="1"/>
  <c r="P1019" i="1"/>
  <c r="Q1019" i="1"/>
  <c r="R1019" i="1"/>
  <c r="S1019" i="1"/>
  <c r="T1019" i="1"/>
  <c r="U1019" i="1"/>
  <c r="V1019" i="1"/>
  <c r="W1019" i="1"/>
  <c r="X1019" i="1"/>
  <c r="Y1019" i="1"/>
  <c r="Z1019" i="1"/>
  <c r="AA1019" i="1"/>
  <c r="AB1019" i="1"/>
  <c r="AC1019" i="1"/>
  <c r="AD1019" i="1"/>
  <c r="AE1019" i="1"/>
  <c r="AF1019" i="1"/>
  <c r="AG1019" i="1"/>
  <c r="AH1019" i="1"/>
  <c r="AI1019" i="1"/>
  <c r="AJ1019" i="1"/>
  <c r="AK1019" i="1"/>
  <c r="AL1019" i="1"/>
  <c r="AM1019" i="1"/>
  <c r="A1020" i="1"/>
  <c r="B1020" i="1"/>
  <c r="C1020" i="1"/>
  <c r="D1020" i="1"/>
  <c r="E1020" i="1"/>
  <c r="F1020" i="1"/>
  <c r="G1020" i="1"/>
  <c r="H1020" i="1"/>
  <c r="I1020" i="1"/>
  <c r="J1020" i="1"/>
  <c r="K1020" i="1"/>
  <c r="L1020" i="1"/>
  <c r="M1020" i="1"/>
  <c r="N1020" i="1"/>
  <c r="O1020" i="1"/>
  <c r="P1020" i="1"/>
  <c r="Q1020" i="1"/>
  <c r="R1020" i="1"/>
  <c r="S1020" i="1"/>
  <c r="T1020" i="1"/>
  <c r="U1020" i="1"/>
  <c r="V1020" i="1"/>
  <c r="W1020" i="1"/>
  <c r="X1020" i="1"/>
  <c r="Y1020" i="1"/>
  <c r="Z1020" i="1"/>
  <c r="AA1020" i="1"/>
  <c r="AB1020" i="1"/>
  <c r="AC1020" i="1"/>
  <c r="AD1020" i="1"/>
  <c r="AE1020" i="1"/>
  <c r="AF1020" i="1"/>
  <c r="AG1020" i="1"/>
  <c r="AH1020" i="1"/>
  <c r="AI1020" i="1"/>
  <c r="AJ1020" i="1"/>
  <c r="AK1020" i="1"/>
  <c r="AL1020" i="1"/>
  <c r="AM1020" i="1"/>
  <c r="A1021" i="1"/>
  <c r="B1021" i="1"/>
  <c r="C1021" i="1"/>
  <c r="D1021" i="1"/>
  <c r="E1021" i="1"/>
  <c r="F1021" i="1"/>
  <c r="G1021" i="1"/>
  <c r="H1021" i="1"/>
  <c r="I1021" i="1"/>
  <c r="J1021" i="1"/>
  <c r="K1021" i="1"/>
  <c r="L1021" i="1"/>
  <c r="M1021" i="1"/>
  <c r="N1021" i="1"/>
  <c r="O1021" i="1"/>
  <c r="P1021" i="1"/>
  <c r="Q1021" i="1"/>
  <c r="R1021" i="1"/>
  <c r="S1021" i="1"/>
  <c r="T1021" i="1"/>
  <c r="U1021" i="1"/>
  <c r="V1021" i="1"/>
  <c r="W1021" i="1"/>
  <c r="X1021" i="1"/>
  <c r="Y1021" i="1"/>
  <c r="Z1021" i="1"/>
  <c r="AA1021" i="1"/>
  <c r="AB1021" i="1"/>
  <c r="AC1021" i="1"/>
  <c r="AD1021" i="1"/>
  <c r="AE1021" i="1"/>
  <c r="AF1021" i="1"/>
  <c r="AG1021" i="1"/>
  <c r="AH1021" i="1"/>
  <c r="AI1021" i="1"/>
  <c r="AJ1021" i="1"/>
  <c r="AK1021" i="1"/>
  <c r="AL1021" i="1"/>
  <c r="AM1021" i="1"/>
  <c r="A1022" i="1"/>
  <c r="B1022" i="1"/>
  <c r="C1022" i="1"/>
  <c r="D1022" i="1"/>
  <c r="E1022" i="1"/>
  <c r="F1022" i="1"/>
  <c r="G1022" i="1"/>
  <c r="H1022" i="1"/>
  <c r="I1022" i="1"/>
  <c r="J1022" i="1"/>
  <c r="K1022" i="1"/>
  <c r="L1022" i="1"/>
  <c r="M1022" i="1"/>
  <c r="N1022" i="1"/>
  <c r="O1022" i="1"/>
  <c r="P1022" i="1"/>
  <c r="Q1022" i="1"/>
  <c r="R1022" i="1"/>
  <c r="S1022" i="1"/>
  <c r="T1022" i="1"/>
  <c r="U1022" i="1"/>
  <c r="V1022" i="1"/>
  <c r="W1022" i="1"/>
  <c r="X1022" i="1"/>
  <c r="Y1022" i="1"/>
  <c r="Z1022" i="1"/>
  <c r="AA1022" i="1"/>
  <c r="AB1022" i="1"/>
  <c r="AC1022" i="1"/>
  <c r="AD1022" i="1"/>
  <c r="AE1022" i="1"/>
  <c r="AF1022" i="1"/>
  <c r="AG1022" i="1"/>
  <c r="AH1022" i="1"/>
  <c r="AI1022" i="1"/>
  <c r="AJ1022" i="1"/>
  <c r="AK1022" i="1"/>
  <c r="AL1022" i="1"/>
  <c r="AM1022" i="1"/>
  <c r="A1023" i="1"/>
  <c r="B1023" i="1"/>
  <c r="C1023" i="1"/>
  <c r="D1023" i="1"/>
  <c r="E1023" i="1"/>
  <c r="F1023" i="1"/>
  <c r="G1023" i="1"/>
  <c r="H1023" i="1"/>
  <c r="I1023" i="1"/>
  <c r="J1023" i="1"/>
  <c r="K1023" i="1"/>
  <c r="L1023" i="1"/>
  <c r="M1023" i="1"/>
  <c r="N1023" i="1"/>
  <c r="O1023" i="1"/>
  <c r="P1023" i="1"/>
  <c r="Q1023" i="1"/>
  <c r="R1023" i="1"/>
  <c r="S1023" i="1"/>
  <c r="T1023" i="1"/>
  <c r="U1023" i="1"/>
  <c r="V1023" i="1"/>
  <c r="W1023" i="1"/>
  <c r="X1023" i="1"/>
  <c r="Y1023" i="1"/>
  <c r="Z1023" i="1"/>
  <c r="AA1023" i="1"/>
  <c r="AB1023" i="1"/>
  <c r="AC1023" i="1"/>
  <c r="AD1023" i="1"/>
  <c r="AE1023" i="1"/>
  <c r="AF1023" i="1"/>
  <c r="AG1023" i="1"/>
  <c r="AH1023" i="1"/>
  <c r="AI1023" i="1"/>
  <c r="AJ1023" i="1"/>
  <c r="AK1023" i="1"/>
  <c r="AL1023" i="1"/>
  <c r="AM1023" i="1"/>
  <c r="A1024" i="1"/>
  <c r="B1024" i="1"/>
  <c r="C1024" i="1"/>
  <c r="D1024" i="1"/>
  <c r="E1024" i="1"/>
  <c r="F1024" i="1"/>
  <c r="G1024" i="1"/>
  <c r="H1024" i="1"/>
  <c r="I1024" i="1"/>
  <c r="J1024" i="1"/>
  <c r="K1024" i="1"/>
  <c r="L1024" i="1"/>
  <c r="M1024" i="1"/>
  <c r="N1024" i="1"/>
  <c r="O1024" i="1"/>
  <c r="P1024" i="1"/>
  <c r="Q1024" i="1"/>
  <c r="R1024" i="1"/>
  <c r="S1024" i="1"/>
  <c r="T1024" i="1"/>
  <c r="U1024" i="1"/>
  <c r="V1024" i="1"/>
  <c r="W1024" i="1"/>
  <c r="X1024" i="1"/>
  <c r="Y1024" i="1"/>
  <c r="Z1024" i="1"/>
  <c r="AA1024" i="1"/>
  <c r="AB1024" i="1"/>
  <c r="AC1024" i="1"/>
  <c r="AD1024" i="1"/>
  <c r="AE1024" i="1"/>
  <c r="AF1024" i="1"/>
  <c r="AG1024" i="1"/>
  <c r="AH1024" i="1"/>
  <c r="AI1024" i="1"/>
  <c r="AJ1024" i="1"/>
  <c r="AK1024" i="1"/>
  <c r="AL1024" i="1"/>
  <c r="AM1024" i="1"/>
  <c r="A1025" i="1"/>
  <c r="B1025" i="1"/>
  <c r="C1025" i="1"/>
  <c r="D1025" i="1"/>
  <c r="E1025" i="1"/>
  <c r="F1025" i="1"/>
  <c r="G1025" i="1"/>
  <c r="H1025" i="1"/>
  <c r="I1025" i="1"/>
  <c r="J1025" i="1"/>
  <c r="K1025" i="1"/>
  <c r="L1025" i="1"/>
  <c r="M1025" i="1"/>
  <c r="N1025" i="1"/>
  <c r="O1025" i="1"/>
  <c r="P1025" i="1"/>
  <c r="Q1025" i="1"/>
  <c r="R1025" i="1"/>
  <c r="S1025" i="1"/>
  <c r="T1025" i="1"/>
  <c r="U1025" i="1"/>
  <c r="V1025" i="1"/>
  <c r="W1025" i="1"/>
  <c r="X1025" i="1"/>
  <c r="Y1025" i="1"/>
  <c r="Z1025" i="1"/>
  <c r="AA1025" i="1"/>
  <c r="AB1025" i="1"/>
  <c r="AC1025" i="1"/>
  <c r="AD1025" i="1"/>
  <c r="AE1025" i="1"/>
  <c r="AF1025" i="1"/>
  <c r="AG1025" i="1"/>
  <c r="AH1025" i="1"/>
  <c r="AI1025" i="1"/>
  <c r="AJ1025" i="1"/>
  <c r="AK1025" i="1"/>
  <c r="AL1025" i="1"/>
  <c r="AM1025" i="1"/>
  <c r="A1026" i="1"/>
  <c r="B1026" i="1"/>
  <c r="C1026" i="1"/>
  <c r="D1026" i="1"/>
  <c r="E1026" i="1"/>
  <c r="F1026" i="1"/>
  <c r="G1026" i="1"/>
  <c r="H1026" i="1"/>
  <c r="I1026" i="1"/>
  <c r="J1026" i="1"/>
  <c r="K1026" i="1"/>
  <c r="L1026" i="1"/>
  <c r="M1026" i="1"/>
  <c r="N1026" i="1"/>
  <c r="O1026" i="1"/>
  <c r="P1026" i="1"/>
  <c r="Q1026" i="1"/>
  <c r="R1026" i="1"/>
  <c r="S1026" i="1"/>
  <c r="T1026" i="1"/>
  <c r="U1026" i="1"/>
  <c r="V1026" i="1"/>
  <c r="W1026" i="1"/>
  <c r="X1026" i="1"/>
  <c r="Y1026" i="1"/>
  <c r="Z1026" i="1"/>
  <c r="AA1026" i="1"/>
  <c r="AB1026" i="1"/>
  <c r="AC1026" i="1"/>
  <c r="AD1026" i="1"/>
  <c r="AE1026" i="1"/>
  <c r="AF1026" i="1"/>
  <c r="AG1026" i="1"/>
  <c r="AH1026" i="1"/>
  <c r="AI1026" i="1"/>
  <c r="AJ1026" i="1"/>
  <c r="AK1026" i="1"/>
  <c r="AL1026" i="1"/>
  <c r="AM1026" i="1"/>
  <c r="A1027" i="1"/>
  <c r="B1027" i="1"/>
  <c r="C1027" i="1"/>
  <c r="D1027" i="1"/>
  <c r="E1027" i="1"/>
  <c r="F1027" i="1"/>
  <c r="G1027" i="1"/>
  <c r="H1027" i="1"/>
  <c r="I1027" i="1"/>
  <c r="J1027" i="1"/>
  <c r="K1027" i="1"/>
  <c r="L1027" i="1"/>
  <c r="M1027" i="1"/>
  <c r="N1027" i="1"/>
  <c r="O1027" i="1"/>
  <c r="P1027" i="1"/>
  <c r="Q1027" i="1"/>
  <c r="R1027" i="1"/>
  <c r="S1027" i="1"/>
  <c r="T1027" i="1"/>
  <c r="U1027" i="1"/>
  <c r="V1027" i="1"/>
  <c r="W1027" i="1"/>
  <c r="X1027" i="1"/>
  <c r="Y1027" i="1"/>
  <c r="Z1027" i="1"/>
  <c r="AA1027" i="1"/>
  <c r="AB1027" i="1"/>
  <c r="AC1027" i="1"/>
  <c r="AD1027" i="1"/>
  <c r="AE1027" i="1"/>
  <c r="AF1027" i="1"/>
  <c r="AG1027" i="1"/>
  <c r="AH1027" i="1"/>
  <c r="AI1027" i="1"/>
  <c r="AJ1027" i="1"/>
  <c r="AK1027" i="1"/>
  <c r="AL1027" i="1"/>
  <c r="AM1027" i="1"/>
  <c r="A1028" i="1"/>
  <c r="B1028" i="1"/>
  <c r="C1028" i="1"/>
  <c r="D1028" i="1"/>
  <c r="E1028" i="1"/>
  <c r="F1028" i="1"/>
  <c r="G1028" i="1"/>
  <c r="H1028" i="1"/>
  <c r="I1028" i="1"/>
  <c r="J1028" i="1"/>
  <c r="K1028" i="1"/>
  <c r="L1028" i="1"/>
  <c r="M1028" i="1"/>
  <c r="N1028" i="1"/>
  <c r="O1028" i="1"/>
  <c r="P1028" i="1"/>
  <c r="Q1028" i="1"/>
  <c r="R1028" i="1"/>
  <c r="S1028" i="1"/>
  <c r="T1028" i="1"/>
  <c r="U1028" i="1"/>
  <c r="V1028" i="1"/>
  <c r="W1028" i="1"/>
  <c r="X1028" i="1"/>
  <c r="Y1028" i="1"/>
  <c r="Z1028" i="1"/>
  <c r="AA1028" i="1"/>
  <c r="AB1028" i="1"/>
  <c r="AC1028" i="1"/>
  <c r="AD1028" i="1"/>
  <c r="AE1028" i="1"/>
  <c r="AF1028" i="1"/>
  <c r="AG1028" i="1"/>
  <c r="AH1028" i="1"/>
  <c r="AI1028" i="1"/>
  <c r="AJ1028" i="1"/>
  <c r="AK1028" i="1"/>
  <c r="AL1028" i="1"/>
  <c r="AM1028" i="1"/>
  <c r="A1029" i="1"/>
  <c r="B1029" i="1"/>
  <c r="C1029" i="1"/>
  <c r="D1029" i="1"/>
  <c r="E1029" i="1"/>
  <c r="F1029" i="1"/>
  <c r="G1029" i="1"/>
  <c r="H1029" i="1"/>
  <c r="I1029" i="1"/>
  <c r="J1029" i="1"/>
  <c r="K1029" i="1"/>
  <c r="L1029" i="1"/>
  <c r="M1029" i="1"/>
  <c r="N1029" i="1"/>
  <c r="O1029" i="1"/>
  <c r="P1029" i="1"/>
  <c r="Q1029" i="1"/>
  <c r="R1029" i="1"/>
  <c r="S1029" i="1"/>
  <c r="T1029" i="1"/>
  <c r="U1029" i="1"/>
  <c r="V1029" i="1"/>
  <c r="W1029" i="1"/>
  <c r="X1029" i="1"/>
  <c r="Y1029" i="1"/>
  <c r="Z1029" i="1"/>
  <c r="AA1029" i="1"/>
  <c r="AB1029" i="1"/>
  <c r="AC1029" i="1"/>
  <c r="AD1029" i="1"/>
  <c r="AE1029" i="1"/>
  <c r="AF1029" i="1"/>
  <c r="AG1029" i="1"/>
  <c r="AH1029" i="1"/>
  <c r="AI1029" i="1"/>
  <c r="AJ1029" i="1"/>
  <c r="AK1029" i="1"/>
  <c r="AL1029" i="1"/>
  <c r="AM1029" i="1"/>
  <c r="A1030" i="1"/>
  <c r="B1030" i="1"/>
  <c r="C1030" i="1"/>
  <c r="D1030" i="1"/>
  <c r="E1030" i="1"/>
  <c r="F1030" i="1"/>
  <c r="G1030" i="1"/>
  <c r="H1030" i="1"/>
  <c r="I1030" i="1"/>
  <c r="J1030" i="1"/>
  <c r="K1030" i="1"/>
  <c r="L1030" i="1"/>
  <c r="M1030" i="1"/>
  <c r="N1030" i="1"/>
  <c r="O1030" i="1"/>
  <c r="P1030" i="1"/>
  <c r="Q1030" i="1"/>
  <c r="R1030" i="1"/>
  <c r="S1030" i="1"/>
  <c r="T1030" i="1"/>
  <c r="U1030" i="1"/>
  <c r="V1030" i="1"/>
  <c r="W1030" i="1"/>
  <c r="X1030" i="1"/>
  <c r="Y1030" i="1"/>
  <c r="Z1030" i="1"/>
  <c r="AA1030" i="1"/>
  <c r="AB1030" i="1"/>
  <c r="AC1030" i="1"/>
  <c r="AD1030" i="1"/>
  <c r="AE1030" i="1"/>
  <c r="AF1030" i="1"/>
  <c r="AG1030" i="1"/>
  <c r="AH1030" i="1"/>
  <c r="AI1030" i="1"/>
  <c r="AJ1030" i="1"/>
  <c r="AK1030" i="1"/>
  <c r="AL1030" i="1"/>
  <c r="AM1030" i="1"/>
  <c r="A1031" i="1"/>
  <c r="B1031" i="1"/>
  <c r="C1031" i="1"/>
  <c r="D1031" i="1"/>
  <c r="E1031" i="1"/>
  <c r="F1031" i="1"/>
  <c r="G1031" i="1"/>
  <c r="H1031" i="1"/>
  <c r="I1031" i="1"/>
  <c r="J1031" i="1"/>
  <c r="K1031" i="1"/>
  <c r="L1031" i="1"/>
  <c r="M1031" i="1"/>
  <c r="N1031" i="1"/>
  <c r="O1031" i="1"/>
  <c r="P1031" i="1"/>
  <c r="Q1031" i="1"/>
  <c r="R1031" i="1"/>
  <c r="S1031" i="1"/>
  <c r="T1031" i="1"/>
  <c r="U1031" i="1"/>
  <c r="V1031" i="1"/>
  <c r="W1031" i="1"/>
  <c r="X1031" i="1"/>
  <c r="Y1031" i="1"/>
  <c r="Z1031" i="1"/>
  <c r="AA1031" i="1"/>
  <c r="AB1031" i="1"/>
  <c r="AC1031" i="1"/>
  <c r="AD1031" i="1"/>
  <c r="AE1031" i="1"/>
  <c r="AF1031" i="1"/>
  <c r="AG1031" i="1"/>
  <c r="AH1031" i="1"/>
  <c r="AI1031" i="1"/>
  <c r="AJ1031" i="1"/>
  <c r="AK1031" i="1"/>
  <c r="AL1031" i="1"/>
  <c r="AM1031" i="1"/>
  <c r="A1032" i="1"/>
  <c r="B1032" i="1"/>
  <c r="C1032" i="1"/>
  <c r="D1032" i="1"/>
  <c r="E1032" i="1"/>
  <c r="F1032" i="1"/>
  <c r="G1032" i="1"/>
  <c r="H1032" i="1"/>
  <c r="I1032" i="1"/>
  <c r="J1032" i="1"/>
  <c r="K1032" i="1"/>
  <c r="L1032" i="1"/>
  <c r="M1032" i="1"/>
  <c r="N1032" i="1"/>
  <c r="O1032" i="1"/>
  <c r="P1032" i="1"/>
  <c r="Q1032" i="1"/>
  <c r="R1032" i="1"/>
  <c r="S1032" i="1"/>
  <c r="T1032" i="1"/>
  <c r="U1032" i="1"/>
  <c r="V1032" i="1"/>
  <c r="W1032" i="1"/>
  <c r="X1032" i="1"/>
  <c r="Y1032" i="1"/>
  <c r="Z1032" i="1"/>
  <c r="AA1032" i="1"/>
  <c r="AB1032" i="1"/>
  <c r="AC1032" i="1"/>
  <c r="AD1032" i="1"/>
  <c r="AE1032" i="1"/>
  <c r="AF1032" i="1"/>
  <c r="AG1032" i="1"/>
  <c r="AH1032" i="1"/>
  <c r="AI1032" i="1"/>
  <c r="AJ1032" i="1"/>
  <c r="AK1032" i="1"/>
  <c r="AL1032" i="1"/>
  <c r="AM1032" i="1"/>
  <c r="A1033" i="1"/>
  <c r="B1033" i="1"/>
  <c r="C1033" i="1"/>
  <c r="D1033" i="1"/>
  <c r="E1033" i="1"/>
  <c r="F1033" i="1"/>
  <c r="G1033" i="1"/>
  <c r="H1033" i="1"/>
  <c r="I1033" i="1"/>
  <c r="J1033" i="1"/>
  <c r="K1033" i="1"/>
  <c r="L1033" i="1"/>
  <c r="M1033" i="1"/>
  <c r="N1033" i="1"/>
  <c r="O1033" i="1"/>
  <c r="P1033" i="1"/>
  <c r="Q1033" i="1"/>
  <c r="R1033" i="1"/>
  <c r="S1033" i="1"/>
  <c r="T1033" i="1"/>
  <c r="U1033" i="1"/>
  <c r="V1033" i="1"/>
  <c r="W1033" i="1"/>
  <c r="X1033" i="1"/>
  <c r="Y1033" i="1"/>
  <c r="Z1033" i="1"/>
  <c r="AA1033" i="1"/>
  <c r="AB1033" i="1"/>
  <c r="AC1033" i="1"/>
  <c r="AD1033" i="1"/>
  <c r="AE1033" i="1"/>
  <c r="AF1033" i="1"/>
  <c r="AG1033" i="1"/>
  <c r="AH1033" i="1"/>
  <c r="AI1033" i="1"/>
  <c r="AJ1033" i="1"/>
  <c r="AK1033" i="1"/>
  <c r="AL1033" i="1"/>
  <c r="AM1033" i="1"/>
  <c r="A1034" i="1"/>
  <c r="B1034" i="1"/>
  <c r="C1034" i="1"/>
  <c r="D1034" i="1"/>
  <c r="E1034" i="1"/>
  <c r="F1034" i="1"/>
  <c r="G1034" i="1"/>
  <c r="H1034" i="1"/>
  <c r="I1034" i="1"/>
  <c r="J1034" i="1"/>
  <c r="K1034" i="1"/>
  <c r="L1034" i="1"/>
  <c r="M1034" i="1"/>
  <c r="N1034" i="1"/>
  <c r="O1034" i="1"/>
  <c r="P1034" i="1"/>
  <c r="Q1034" i="1"/>
  <c r="R1034" i="1"/>
  <c r="S1034" i="1"/>
  <c r="T1034" i="1"/>
  <c r="U1034" i="1"/>
  <c r="V1034" i="1"/>
  <c r="W1034" i="1"/>
  <c r="X1034" i="1"/>
  <c r="Y1034" i="1"/>
  <c r="Z1034" i="1"/>
  <c r="AA1034" i="1"/>
  <c r="AB1034" i="1"/>
  <c r="AC1034" i="1"/>
  <c r="AD1034" i="1"/>
  <c r="AE1034" i="1"/>
  <c r="AF1034" i="1"/>
  <c r="AG1034" i="1"/>
  <c r="AH1034" i="1"/>
  <c r="AI1034" i="1"/>
  <c r="AJ1034" i="1"/>
  <c r="AK1034" i="1"/>
  <c r="AL1034" i="1"/>
  <c r="AM1034" i="1"/>
  <c r="A1035" i="1"/>
  <c r="B1035" i="1"/>
  <c r="C1035" i="1"/>
  <c r="D1035" i="1"/>
  <c r="E1035" i="1"/>
  <c r="F1035" i="1"/>
  <c r="G1035" i="1"/>
  <c r="H1035" i="1"/>
  <c r="I1035" i="1"/>
  <c r="J1035" i="1"/>
  <c r="K1035" i="1"/>
  <c r="L1035" i="1"/>
  <c r="M1035" i="1"/>
  <c r="N1035" i="1"/>
  <c r="O1035" i="1"/>
  <c r="P1035" i="1"/>
  <c r="Q1035" i="1"/>
  <c r="R1035" i="1"/>
  <c r="S1035" i="1"/>
  <c r="T1035" i="1"/>
  <c r="U1035" i="1"/>
  <c r="V1035" i="1"/>
  <c r="W1035" i="1"/>
  <c r="X1035" i="1"/>
  <c r="Y1035" i="1"/>
  <c r="Z1035" i="1"/>
  <c r="AA1035" i="1"/>
  <c r="AB1035" i="1"/>
  <c r="AC1035" i="1"/>
  <c r="AD1035" i="1"/>
  <c r="AE1035" i="1"/>
  <c r="AF1035" i="1"/>
  <c r="AG1035" i="1"/>
  <c r="AH1035" i="1"/>
  <c r="AI1035" i="1"/>
  <c r="AJ1035" i="1"/>
  <c r="AK1035" i="1"/>
  <c r="AL1035" i="1"/>
  <c r="AM1035" i="1"/>
  <c r="A1036" i="1"/>
  <c r="B1036" i="1"/>
  <c r="C1036" i="1"/>
  <c r="D1036" i="1"/>
  <c r="E1036" i="1"/>
  <c r="F1036" i="1"/>
  <c r="G1036" i="1"/>
  <c r="H1036" i="1"/>
  <c r="I1036" i="1"/>
  <c r="J1036" i="1"/>
  <c r="K1036" i="1"/>
  <c r="L1036" i="1"/>
  <c r="M1036" i="1"/>
  <c r="N1036" i="1"/>
  <c r="O1036" i="1"/>
  <c r="P1036" i="1"/>
  <c r="Q1036" i="1"/>
  <c r="R1036" i="1"/>
  <c r="S1036" i="1"/>
  <c r="T1036" i="1"/>
  <c r="U1036" i="1"/>
  <c r="V1036" i="1"/>
  <c r="W1036" i="1"/>
  <c r="X1036" i="1"/>
  <c r="Y1036" i="1"/>
  <c r="Z1036" i="1"/>
  <c r="AA1036" i="1"/>
  <c r="AB1036" i="1"/>
  <c r="AC1036" i="1"/>
  <c r="AD1036" i="1"/>
  <c r="AE1036" i="1"/>
  <c r="AF1036" i="1"/>
  <c r="AG1036" i="1"/>
  <c r="AH1036" i="1"/>
  <c r="AI1036" i="1"/>
  <c r="AJ1036" i="1"/>
  <c r="AK1036" i="1"/>
  <c r="AL1036" i="1"/>
  <c r="AM1036" i="1"/>
  <c r="A1037" i="1"/>
  <c r="B1037" i="1"/>
  <c r="C1037" i="1"/>
  <c r="D1037" i="1"/>
  <c r="E1037" i="1"/>
  <c r="F1037" i="1"/>
  <c r="G1037" i="1"/>
  <c r="H1037" i="1"/>
  <c r="I1037" i="1"/>
  <c r="J1037" i="1"/>
  <c r="K1037" i="1"/>
  <c r="L1037" i="1"/>
  <c r="M1037" i="1"/>
  <c r="N1037" i="1"/>
  <c r="O1037" i="1"/>
  <c r="P1037" i="1"/>
  <c r="Q1037" i="1"/>
  <c r="R1037" i="1"/>
  <c r="S1037" i="1"/>
  <c r="T1037" i="1"/>
  <c r="U1037" i="1"/>
  <c r="V1037" i="1"/>
  <c r="W1037" i="1"/>
  <c r="X1037" i="1"/>
  <c r="Y1037" i="1"/>
  <c r="Z1037" i="1"/>
  <c r="AA1037" i="1"/>
  <c r="AB1037" i="1"/>
  <c r="AC1037" i="1"/>
  <c r="AD1037" i="1"/>
  <c r="AE1037" i="1"/>
  <c r="AF1037" i="1"/>
  <c r="AG1037" i="1"/>
  <c r="AH1037" i="1"/>
  <c r="AI1037" i="1"/>
  <c r="AJ1037" i="1"/>
  <c r="AK1037" i="1"/>
  <c r="AL1037" i="1"/>
  <c r="AM1037" i="1"/>
  <c r="A1038" i="1"/>
  <c r="B1038" i="1"/>
  <c r="C1038" i="1"/>
  <c r="D1038" i="1"/>
  <c r="E1038" i="1"/>
  <c r="F1038" i="1"/>
  <c r="G1038" i="1"/>
  <c r="H1038" i="1"/>
  <c r="I1038" i="1"/>
  <c r="J1038" i="1"/>
  <c r="K1038" i="1"/>
  <c r="L1038" i="1"/>
  <c r="M1038" i="1"/>
  <c r="N1038" i="1"/>
  <c r="O1038" i="1"/>
  <c r="P1038" i="1"/>
  <c r="Q1038" i="1"/>
  <c r="R1038" i="1"/>
  <c r="S1038" i="1"/>
  <c r="T1038" i="1"/>
  <c r="U1038" i="1"/>
  <c r="V1038" i="1"/>
  <c r="W1038" i="1"/>
  <c r="X1038" i="1"/>
  <c r="Y1038" i="1"/>
  <c r="Z1038" i="1"/>
  <c r="AA1038" i="1"/>
  <c r="AB1038" i="1"/>
  <c r="AC1038" i="1"/>
  <c r="AD1038" i="1"/>
  <c r="AE1038" i="1"/>
  <c r="AF1038" i="1"/>
  <c r="AG1038" i="1"/>
  <c r="AH1038" i="1"/>
  <c r="AI1038" i="1"/>
  <c r="AJ1038" i="1"/>
  <c r="AK1038" i="1"/>
  <c r="AL1038" i="1"/>
  <c r="AM1038" i="1"/>
  <c r="A1039" i="1"/>
  <c r="B1039" i="1"/>
  <c r="C1039" i="1"/>
  <c r="D1039" i="1"/>
  <c r="E1039" i="1"/>
  <c r="F1039" i="1"/>
  <c r="G1039" i="1"/>
  <c r="H1039" i="1"/>
  <c r="I1039" i="1"/>
  <c r="J1039" i="1"/>
  <c r="K1039" i="1"/>
  <c r="L1039" i="1"/>
  <c r="M1039" i="1"/>
  <c r="N1039" i="1"/>
  <c r="O1039" i="1"/>
  <c r="P1039" i="1"/>
  <c r="Q1039" i="1"/>
  <c r="R1039" i="1"/>
  <c r="S1039" i="1"/>
  <c r="T1039" i="1"/>
  <c r="U1039" i="1"/>
  <c r="V1039" i="1"/>
  <c r="W1039" i="1"/>
  <c r="X1039" i="1"/>
  <c r="Y1039" i="1"/>
  <c r="Z1039" i="1"/>
  <c r="AA1039" i="1"/>
  <c r="AB1039" i="1"/>
  <c r="AC1039" i="1"/>
  <c r="AD1039" i="1"/>
  <c r="AE1039" i="1"/>
  <c r="AF1039" i="1"/>
  <c r="AG1039" i="1"/>
  <c r="AH1039" i="1"/>
  <c r="AI1039" i="1"/>
  <c r="AJ1039" i="1"/>
  <c r="AK1039" i="1"/>
  <c r="AL1039" i="1"/>
  <c r="AM1039" i="1"/>
  <c r="A1040" i="1"/>
  <c r="B1040" i="1"/>
  <c r="C1040" i="1"/>
  <c r="D1040" i="1"/>
  <c r="E1040" i="1"/>
  <c r="F1040" i="1"/>
  <c r="G1040" i="1"/>
  <c r="H1040" i="1"/>
  <c r="I1040" i="1"/>
  <c r="J1040" i="1"/>
  <c r="K1040" i="1"/>
  <c r="L1040" i="1"/>
  <c r="M1040" i="1"/>
  <c r="N1040" i="1"/>
  <c r="O1040" i="1"/>
  <c r="P1040" i="1"/>
  <c r="Q1040" i="1"/>
  <c r="R1040" i="1"/>
  <c r="S1040" i="1"/>
  <c r="T1040" i="1"/>
  <c r="U1040" i="1"/>
  <c r="V1040" i="1"/>
  <c r="W1040" i="1"/>
  <c r="X1040" i="1"/>
  <c r="Y1040" i="1"/>
  <c r="Z1040" i="1"/>
  <c r="AA1040" i="1"/>
  <c r="AB1040" i="1"/>
  <c r="AC1040" i="1"/>
  <c r="AD1040" i="1"/>
  <c r="AE1040" i="1"/>
  <c r="AF1040" i="1"/>
  <c r="AG1040" i="1"/>
  <c r="AH1040" i="1"/>
  <c r="AI1040" i="1"/>
  <c r="AJ1040" i="1"/>
  <c r="AK1040" i="1"/>
  <c r="AL1040" i="1"/>
  <c r="AM1040" i="1"/>
  <c r="A1041" i="1"/>
  <c r="B1041" i="1"/>
  <c r="C1041" i="1"/>
  <c r="D1041" i="1"/>
  <c r="E1041" i="1"/>
  <c r="F1041" i="1"/>
  <c r="G1041" i="1"/>
  <c r="H1041" i="1"/>
  <c r="I1041" i="1"/>
  <c r="J1041" i="1"/>
  <c r="K1041" i="1"/>
  <c r="L1041" i="1"/>
  <c r="M1041" i="1"/>
  <c r="N1041" i="1"/>
  <c r="O1041" i="1"/>
  <c r="P1041" i="1"/>
  <c r="Q1041" i="1"/>
  <c r="R1041" i="1"/>
  <c r="S1041" i="1"/>
  <c r="T1041" i="1"/>
  <c r="U1041" i="1"/>
  <c r="V1041" i="1"/>
  <c r="W1041" i="1"/>
  <c r="X1041" i="1"/>
  <c r="Y1041" i="1"/>
  <c r="Z1041" i="1"/>
  <c r="AA1041" i="1"/>
  <c r="AB1041" i="1"/>
  <c r="AC1041" i="1"/>
  <c r="AD1041" i="1"/>
  <c r="AE1041" i="1"/>
  <c r="AF1041" i="1"/>
  <c r="AG1041" i="1"/>
  <c r="AH1041" i="1"/>
  <c r="AI1041" i="1"/>
  <c r="AJ1041" i="1"/>
  <c r="AK1041" i="1"/>
  <c r="AL1041" i="1"/>
  <c r="AM1041" i="1"/>
  <c r="A1042" i="1"/>
  <c r="B1042" i="1"/>
  <c r="C1042" i="1"/>
  <c r="D1042" i="1"/>
  <c r="E1042" i="1"/>
  <c r="F1042" i="1"/>
  <c r="G1042" i="1"/>
  <c r="H1042" i="1"/>
  <c r="I1042" i="1"/>
  <c r="J1042" i="1"/>
  <c r="K1042" i="1"/>
  <c r="L1042" i="1"/>
  <c r="M1042" i="1"/>
  <c r="N1042" i="1"/>
  <c r="O1042" i="1"/>
  <c r="P1042" i="1"/>
  <c r="Q1042" i="1"/>
  <c r="R1042" i="1"/>
  <c r="S1042" i="1"/>
  <c r="T1042" i="1"/>
  <c r="U1042" i="1"/>
  <c r="V1042" i="1"/>
  <c r="W1042" i="1"/>
  <c r="X1042" i="1"/>
  <c r="Y1042" i="1"/>
  <c r="Z1042" i="1"/>
  <c r="AA1042" i="1"/>
  <c r="AB1042" i="1"/>
  <c r="AC1042" i="1"/>
  <c r="AD1042" i="1"/>
  <c r="AE1042" i="1"/>
  <c r="AF1042" i="1"/>
  <c r="AG1042" i="1"/>
  <c r="AH1042" i="1"/>
  <c r="AI1042" i="1"/>
  <c r="AJ1042" i="1"/>
  <c r="AK1042" i="1"/>
  <c r="AL1042" i="1"/>
  <c r="AM1042" i="1"/>
  <c r="A1043" i="1"/>
  <c r="B1043" i="1"/>
  <c r="C1043" i="1"/>
  <c r="D1043" i="1"/>
  <c r="E1043" i="1"/>
  <c r="F1043" i="1"/>
  <c r="G1043" i="1"/>
  <c r="H1043" i="1"/>
  <c r="I1043" i="1"/>
  <c r="J1043" i="1"/>
  <c r="K1043" i="1"/>
  <c r="L1043" i="1"/>
  <c r="M1043" i="1"/>
  <c r="N1043" i="1"/>
  <c r="O1043" i="1"/>
  <c r="P1043" i="1"/>
  <c r="Q1043" i="1"/>
  <c r="R1043" i="1"/>
  <c r="S1043" i="1"/>
  <c r="T1043" i="1"/>
  <c r="U1043" i="1"/>
  <c r="V1043" i="1"/>
  <c r="W1043" i="1"/>
  <c r="X1043" i="1"/>
  <c r="Y1043" i="1"/>
  <c r="Z1043" i="1"/>
  <c r="AA1043" i="1"/>
  <c r="AB1043" i="1"/>
  <c r="AC1043" i="1"/>
  <c r="AD1043" i="1"/>
  <c r="AE1043" i="1"/>
  <c r="AF1043" i="1"/>
  <c r="AG1043" i="1"/>
  <c r="AH1043" i="1"/>
  <c r="AI1043" i="1"/>
  <c r="AJ1043" i="1"/>
  <c r="AK1043" i="1"/>
  <c r="AL1043" i="1"/>
  <c r="AM1043" i="1"/>
  <c r="A1044" i="1"/>
  <c r="B1044" i="1"/>
  <c r="C1044" i="1"/>
  <c r="D1044" i="1"/>
  <c r="E1044" i="1"/>
  <c r="F1044" i="1"/>
  <c r="G1044" i="1"/>
  <c r="H1044" i="1"/>
  <c r="I1044" i="1"/>
  <c r="J1044" i="1"/>
  <c r="K1044" i="1"/>
  <c r="L1044" i="1"/>
  <c r="M1044" i="1"/>
  <c r="N1044" i="1"/>
  <c r="O1044" i="1"/>
  <c r="P1044" i="1"/>
  <c r="Q1044" i="1"/>
  <c r="R1044" i="1"/>
  <c r="S1044" i="1"/>
  <c r="T1044" i="1"/>
  <c r="U1044" i="1"/>
  <c r="V1044" i="1"/>
  <c r="W1044" i="1"/>
  <c r="X1044" i="1"/>
  <c r="Y1044" i="1"/>
  <c r="Z1044" i="1"/>
  <c r="AA1044" i="1"/>
  <c r="AB1044" i="1"/>
  <c r="AC1044" i="1"/>
  <c r="AD1044" i="1"/>
  <c r="AE1044" i="1"/>
  <c r="AF1044" i="1"/>
  <c r="AG1044" i="1"/>
  <c r="AH1044" i="1"/>
  <c r="AI1044" i="1"/>
  <c r="AJ1044" i="1"/>
  <c r="AK1044" i="1"/>
  <c r="AL1044" i="1"/>
  <c r="AM1044" i="1"/>
  <c r="A1045" i="1"/>
  <c r="B1045" i="1"/>
  <c r="C1045" i="1"/>
  <c r="D1045" i="1"/>
  <c r="E1045" i="1"/>
  <c r="F1045" i="1"/>
  <c r="G1045" i="1"/>
  <c r="H1045" i="1"/>
  <c r="I1045" i="1"/>
  <c r="J1045" i="1"/>
  <c r="K1045" i="1"/>
  <c r="L1045" i="1"/>
  <c r="M1045" i="1"/>
  <c r="N1045" i="1"/>
  <c r="O1045" i="1"/>
  <c r="P1045" i="1"/>
  <c r="Q1045" i="1"/>
  <c r="R1045" i="1"/>
  <c r="S1045" i="1"/>
  <c r="T1045" i="1"/>
  <c r="U1045" i="1"/>
  <c r="V1045" i="1"/>
  <c r="W1045" i="1"/>
  <c r="X1045" i="1"/>
  <c r="Y1045" i="1"/>
  <c r="Z1045" i="1"/>
  <c r="AA1045" i="1"/>
  <c r="AB1045" i="1"/>
  <c r="AC1045" i="1"/>
  <c r="AD1045" i="1"/>
  <c r="AE1045" i="1"/>
  <c r="AF1045" i="1"/>
  <c r="AG1045" i="1"/>
  <c r="AH1045" i="1"/>
  <c r="AI1045" i="1"/>
  <c r="AJ1045" i="1"/>
  <c r="AK1045" i="1"/>
  <c r="AL1045" i="1"/>
  <c r="AM1045" i="1"/>
  <c r="A1046" i="1"/>
  <c r="B1046" i="1"/>
  <c r="C1046" i="1"/>
  <c r="D1046" i="1"/>
  <c r="E1046" i="1"/>
  <c r="F1046" i="1"/>
  <c r="G1046" i="1"/>
  <c r="H1046" i="1"/>
  <c r="I1046" i="1"/>
  <c r="J1046" i="1"/>
  <c r="K1046" i="1"/>
  <c r="L1046" i="1"/>
  <c r="M1046" i="1"/>
  <c r="N1046" i="1"/>
  <c r="O1046" i="1"/>
  <c r="P1046" i="1"/>
  <c r="Q1046" i="1"/>
  <c r="R1046" i="1"/>
  <c r="S1046" i="1"/>
  <c r="T1046" i="1"/>
  <c r="U1046" i="1"/>
  <c r="V1046" i="1"/>
  <c r="W1046" i="1"/>
  <c r="X1046" i="1"/>
  <c r="Y1046" i="1"/>
  <c r="Z1046" i="1"/>
  <c r="AA1046" i="1"/>
  <c r="AB1046" i="1"/>
  <c r="AC1046" i="1"/>
  <c r="AD1046" i="1"/>
  <c r="AE1046" i="1"/>
  <c r="AF1046" i="1"/>
  <c r="AG1046" i="1"/>
  <c r="AH1046" i="1"/>
  <c r="AI1046" i="1"/>
  <c r="AJ1046" i="1"/>
  <c r="AK1046" i="1"/>
  <c r="AL1046" i="1"/>
  <c r="AM1046" i="1"/>
  <c r="A1047" i="1"/>
  <c r="B1047" i="1"/>
  <c r="C1047" i="1"/>
  <c r="D1047" i="1"/>
  <c r="E1047" i="1"/>
  <c r="F1047" i="1"/>
  <c r="G1047" i="1"/>
  <c r="H1047" i="1"/>
  <c r="I1047" i="1"/>
  <c r="J1047" i="1"/>
  <c r="K1047" i="1"/>
  <c r="L1047" i="1"/>
  <c r="M1047" i="1"/>
  <c r="N1047" i="1"/>
  <c r="O1047" i="1"/>
  <c r="P1047" i="1"/>
  <c r="Q1047" i="1"/>
  <c r="R1047" i="1"/>
  <c r="S1047" i="1"/>
  <c r="T1047" i="1"/>
  <c r="U1047" i="1"/>
  <c r="V1047" i="1"/>
  <c r="W1047" i="1"/>
  <c r="X1047" i="1"/>
  <c r="Y1047" i="1"/>
  <c r="Z1047" i="1"/>
  <c r="AA1047" i="1"/>
  <c r="AB1047" i="1"/>
  <c r="AC1047" i="1"/>
  <c r="AD1047" i="1"/>
  <c r="AE1047" i="1"/>
  <c r="AF1047" i="1"/>
  <c r="AG1047" i="1"/>
  <c r="AH1047" i="1"/>
  <c r="AI1047" i="1"/>
  <c r="AJ1047" i="1"/>
  <c r="AK1047" i="1"/>
  <c r="AL1047" i="1"/>
  <c r="AM1047" i="1"/>
  <c r="A1048" i="1"/>
  <c r="B1048" i="1"/>
  <c r="C1048" i="1"/>
  <c r="D1048" i="1"/>
  <c r="E1048" i="1"/>
  <c r="F1048" i="1"/>
  <c r="G1048" i="1"/>
  <c r="H1048" i="1"/>
  <c r="I1048" i="1"/>
  <c r="J1048" i="1"/>
  <c r="K1048" i="1"/>
  <c r="L1048" i="1"/>
  <c r="M1048" i="1"/>
  <c r="N1048" i="1"/>
  <c r="O1048" i="1"/>
  <c r="P1048" i="1"/>
  <c r="Q1048" i="1"/>
  <c r="R1048" i="1"/>
  <c r="S1048" i="1"/>
  <c r="T1048" i="1"/>
  <c r="U1048" i="1"/>
  <c r="V1048" i="1"/>
  <c r="W1048" i="1"/>
  <c r="X1048" i="1"/>
  <c r="Y1048" i="1"/>
  <c r="Z1048" i="1"/>
  <c r="AA1048" i="1"/>
  <c r="AB1048" i="1"/>
  <c r="AC1048" i="1"/>
  <c r="AD1048" i="1"/>
  <c r="AE1048" i="1"/>
  <c r="AF1048" i="1"/>
  <c r="AG1048" i="1"/>
  <c r="AH1048" i="1"/>
  <c r="AI1048" i="1"/>
  <c r="AJ1048" i="1"/>
  <c r="AK1048" i="1"/>
  <c r="AL1048" i="1"/>
  <c r="AM1048" i="1"/>
  <c r="A1049" i="1"/>
  <c r="B1049" i="1"/>
  <c r="C1049" i="1"/>
  <c r="D1049" i="1"/>
  <c r="E1049" i="1"/>
  <c r="F1049" i="1"/>
  <c r="G1049" i="1"/>
  <c r="H1049" i="1"/>
  <c r="I1049" i="1"/>
  <c r="J1049" i="1"/>
  <c r="K1049" i="1"/>
  <c r="L1049" i="1"/>
  <c r="M1049" i="1"/>
  <c r="N1049" i="1"/>
  <c r="O1049" i="1"/>
  <c r="P1049" i="1"/>
  <c r="Q1049" i="1"/>
  <c r="R1049" i="1"/>
  <c r="S1049" i="1"/>
  <c r="T1049" i="1"/>
  <c r="U1049" i="1"/>
  <c r="V1049" i="1"/>
  <c r="W1049" i="1"/>
  <c r="X1049" i="1"/>
  <c r="Y1049" i="1"/>
  <c r="Z1049" i="1"/>
  <c r="AA1049" i="1"/>
  <c r="AB1049" i="1"/>
  <c r="AC1049" i="1"/>
  <c r="AD1049" i="1"/>
  <c r="AE1049" i="1"/>
  <c r="AF1049" i="1"/>
  <c r="AG1049" i="1"/>
  <c r="AH1049" i="1"/>
  <c r="AI1049" i="1"/>
  <c r="AJ1049" i="1"/>
  <c r="AK1049" i="1"/>
  <c r="AL1049" i="1"/>
  <c r="AM1049" i="1"/>
  <c r="A1050" i="1"/>
  <c r="B1050" i="1"/>
  <c r="C1050" i="1"/>
  <c r="D1050" i="1"/>
  <c r="E1050" i="1"/>
  <c r="F1050" i="1"/>
  <c r="G1050" i="1"/>
  <c r="H1050" i="1"/>
  <c r="I1050" i="1"/>
  <c r="J1050" i="1"/>
  <c r="K1050" i="1"/>
  <c r="L1050" i="1"/>
  <c r="M1050" i="1"/>
  <c r="N1050" i="1"/>
  <c r="O1050" i="1"/>
  <c r="P1050" i="1"/>
  <c r="Q1050" i="1"/>
  <c r="R1050" i="1"/>
  <c r="S1050" i="1"/>
  <c r="T1050" i="1"/>
  <c r="U1050" i="1"/>
  <c r="V1050" i="1"/>
  <c r="W1050" i="1"/>
  <c r="X1050" i="1"/>
  <c r="Y1050" i="1"/>
  <c r="Z1050" i="1"/>
  <c r="AA1050" i="1"/>
  <c r="AB1050" i="1"/>
  <c r="AC1050" i="1"/>
  <c r="AD1050" i="1"/>
  <c r="AE1050" i="1"/>
  <c r="AF1050" i="1"/>
  <c r="AG1050" i="1"/>
  <c r="AH1050" i="1"/>
  <c r="AI1050" i="1"/>
  <c r="AJ1050" i="1"/>
  <c r="AK1050" i="1"/>
  <c r="AL1050" i="1"/>
  <c r="AM1050" i="1"/>
  <c r="A1051" i="1"/>
  <c r="B1051" i="1"/>
  <c r="C1051" i="1"/>
  <c r="D1051" i="1"/>
  <c r="E1051" i="1"/>
  <c r="F1051" i="1"/>
  <c r="G1051" i="1"/>
  <c r="H1051" i="1"/>
  <c r="I1051" i="1"/>
  <c r="J1051" i="1"/>
  <c r="K1051" i="1"/>
  <c r="L1051" i="1"/>
  <c r="M1051" i="1"/>
  <c r="N1051" i="1"/>
  <c r="O1051" i="1"/>
  <c r="P1051" i="1"/>
  <c r="Q1051" i="1"/>
  <c r="R1051" i="1"/>
  <c r="S1051" i="1"/>
  <c r="T1051" i="1"/>
  <c r="U1051" i="1"/>
  <c r="V1051" i="1"/>
  <c r="W1051" i="1"/>
  <c r="X1051" i="1"/>
  <c r="Y1051" i="1"/>
  <c r="Z1051" i="1"/>
  <c r="AA1051" i="1"/>
  <c r="AB1051" i="1"/>
  <c r="AC1051" i="1"/>
  <c r="AD1051" i="1"/>
  <c r="AE1051" i="1"/>
  <c r="AF1051" i="1"/>
  <c r="AG1051" i="1"/>
  <c r="AH1051" i="1"/>
  <c r="AI1051" i="1"/>
  <c r="AJ1051" i="1"/>
  <c r="AK1051" i="1"/>
  <c r="AL1051" i="1"/>
  <c r="AM1051" i="1"/>
  <c r="A1052" i="1"/>
  <c r="B1052" i="1"/>
  <c r="C1052" i="1"/>
  <c r="D1052" i="1"/>
  <c r="E1052" i="1"/>
  <c r="F1052" i="1"/>
  <c r="G1052" i="1"/>
  <c r="H1052" i="1"/>
  <c r="I1052" i="1"/>
  <c r="J1052" i="1"/>
  <c r="K1052" i="1"/>
  <c r="L1052" i="1"/>
  <c r="M1052" i="1"/>
  <c r="N1052" i="1"/>
  <c r="O1052" i="1"/>
  <c r="P1052" i="1"/>
  <c r="Q1052" i="1"/>
  <c r="R1052" i="1"/>
  <c r="S1052" i="1"/>
  <c r="T1052" i="1"/>
  <c r="U1052" i="1"/>
  <c r="V1052" i="1"/>
  <c r="W1052" i="1"/>
  <c r="X1052" i="1"/>
  <c r="Y1052" i="1"/>
  <c r="Z1052" i="1"/>
  <c r="AA1052" i="1"/>
  <c r="AB1052" i="1"/>
  <c r="AC1052" i="1"/>
  <c r="AD1052" i="1"/>
  <c r="AE1052" i="1"/>
  <c r="AF1052" i="1"/>
  <c r="AG1052" i="1"/>
  <c r="AH1052" i="1"/>
  <c r="AI1052" i="1"/>
  <c r="AJ1052" i="1"/>
  <c r="AK1052" i="1"/>
  <c r="AL1052" i="1"/>
  <c r="AM1052" i="1"/>
  <c r="A1053" i="1"/>
  <c r="B1053" i="1"/>
  <c r="C1053" i="1"/>
  <c r="D1053" i="1"/>
  <c r="E1053" i="1"/>
  <c r="F1053" i="1"/>
  <c r="G1053" i="1"/>
  <c r="H1053" i="1"/>
  <c r="I1053" i="1"/>
  <c r="J1053" i="1"/>
  <c r="K1053" i="1"/>
  <c r="L1053" i="1"/>
  <c r="M1053" i="1"/>
  <c r="N1053" i="1"/>
  <c r="O1053" i="1"/>
  <c r="P1053" i="1"/>
  <c r="Q1053" i="1"/>
  <c r="R1053" i="1"/>
  <c r="S1053" i="1"/>
  <c r="T1053" i="1"/>
  <c r="U1053" i="1"/>
  <c r="V1053" i="1"/>
  <c r="W1053" i="1"/>
  <c r="X1053" i="1"/>
  <c r="Y1053" i="1"/>
  <c r="Z1053" i="1"/>
  <c r="AA1053" i="1"/>
  <c r="AB1053" i="1"/>
  <c r="AC1053" i="1"/>
  <c r="AD1053" i="1"/>
  <c r="AE1053" i="1"/>
  <c r="AF1053" i="1"/>
  <c r="AG1053" i="1"/>
  <c r="AH1053" i="1"/>
  <c r="AI1053" i="1"/>
  <c r="AJ1053" i="1"/>
  <c r="AK1053" i="1"/>
  <c r="AL1053" i="1"/>
  <c r="AM1053" i="1"/>
  <c r="A1054" i="1"/>
  <c r="B1054" i="1"/>
  <c r="C1054" i="1"/>
  <c r="D1054" i="1"/>
  <c r="E1054" i="1"/>
  <c r="F1054" i="1"/>
  <c r="G1054" i="1"/>
  <c r="H1054" i="1"/>
  <c r="I1054" i="1"/>
  <c r="J1054" i="1"/>
  <c r="K1054" i="1"/>
  <c r="L1054" i="1"/>
  <c r="M1054" i="1"/>
  <c r="N1054" i="1"/>
  <c r="O1054" i="1"/>
  <c r="P1054" i="1"/>
  <c r="Q1054" i="1"/>
  <c r="R1054" i="1"/>
  <c r="S1054" i="1"/>
  <c r="T1054" i="1"/>
  <c r="U1054" i="1"/>
  <c r="V1054" i="1"/>
  <c r="W1054" i="1"/>
  <c r="X1054" i="1"/>
  <c r="Y1054" i="1"/>
  <c r="Z1054" i="1"/>
  <c r="AA1054" i="1"/>
  <c r="AB1054" i="1"/>
  <c r="AC1054" i="1"/>
  <c r="AD1054" i="1"/>
  <c r="AE1054" i="1"/>
  <c r="AF1054" i="1"/>
  <c r="AG1054" i="1"/>
  <c r="AH1054" i="1"/>
  <c r="AI1054" i="1"/>
  <c r="AJ1054" i="1"/>
  <c r="AK1054" i="1"/>
  <c r="AL1054" i="1"/>
  <c r="AM1054" i="1"/>
  <c r="A1055" i="1"/>
  <c r="B1055" i="1"/>
  <c r="C1055" i="1"/>
  <c r="D1055" i="1"/>
  <c r="E1055" i="1"/>
  <c r="F1055" i="1"/>
  <c r="G1055" i="1"/>
  <c r="H1055" i="1"/>
  <c r="I1055" i="1"/>
  <c r="J1055" i="1"/>
  <c r="K1055" i="1"/>
  <c r="L1055" i="1"/>
  <c r="M1055" i="1"/>
  <c r="N1055" i="1"/>
  <c r="O1055" i="1"/>
  <c r="P1055" i="1"/>
  <c r="Q1055" i="1"/>
  <c r="R1055" i="1"/>
  <c r="S1055" i="1"/>
  <c r="T1055" i="1"/>
  <c r="U1055" i="1"/>
  <c r="V1055" i="1"/>
  <c r="W1055" i="1"/>
  <c r="X1055" i="1"/>
  <c r="Y1055" i="1"/>
  <c r="Z1055" i="1"/>
  <c r="AA1055" i="1"/>
  <c r="AB1055" i="1"/>
  <c r="AC1055" i="1"/>
  <c r="AD1055" i="1"/>
  <c r="AE1055" i="1"/>
  <c r="AF1055" i="1"/>
  <c r="AG1055" i="1"/>
  <c r="AH1055" i="1"/>
  <c r="AI1055" i="1"/>
  <c r="AJ1055" i="1"/>
  <c r="AK1055" i="1"/>
  <c r="AL1055" i="1"/>
  <c r="AM1055" i="1"/>
  <c r="A1056" i="1"/>
  <c r="B1056" i="1"/>
  <c r="C1056" i="1"/>
  <c r="D1056" i="1"/>
  <c r="E1056" i="1"/>
  <c r="F1056" i="1"/>
  <c r="G1056" i="1"/>
  <c r="H1056" i="1"/>
  <c r="I1056" i="1"/>
  <c r="J1056" i="1"/>
  <c r="K1056" i="1"/>
  <c r="L1056" i="1"/>
  <c r="M1056" i="1"/>
  <c r="N1056" i="1"/>
  <c r="O1056" i="1"/>
  <c r="P1056" i="1"/>
  <c r="Q1056" i="1"/>
  <c r="R1056" i="1"/>
  <c r="S1056" i="1"/>
  <c r="T1056" i="1"/>
  <c r="U1056" i="1"/>
  <c r="V1056" i="1"/>
  <c r="W1056" i="1"/>
  <c r="X1056" i="1"/>
  <c r="Y1056" i="1"/>
  <c r="Z1056" i="1"/>
  <c r="AA1056" i="1"/>
  <c r="AB1056" i="1"/>
  <c r="AC1056" i="1"/>
  <c r="AD1056" i="1"/>
  <c r="AE1056" i="1"/>
  <c r="AF1056" i="1"/>
  <c r="AG1056" i="1"/>
  <c r="AH1056" i="1"/>
  <c r="AI1056" i="1"/>
  <c r="AJ1056" i="1"/>
  <c r="AK1056" i="1"/>
  <c r="AL1056" i="1"/>
  <c r="AM1056" i="1"/>
  <c r="A1057" i="1"/>
  <c r="B1057" i="1"/>
  <c r="C1057" i="1"/>
  <c r="D1057" i="1"/>
  <c r="E1057" i="1"/>
  <c r="F1057" i="1"/>
  <c r="G1057" i="1"/>
  <c r="H1057" i="1"/>
  <c r="I1057" i="1"/>
  <c r="J1057" i="1"/>
  <c r="K1057" i="1"/>
  <c r="L1057" i="1"/>
  <c r="M1057" i="1"/>
  <c r="N1057" i="1"/>
  <c r="O1057" i="1"/>
  <c r="P1057" i="1"/>
  <c r="Q1057" i="1"/>
  <c r="R1057" i="1"/>
  <c r="S1057" i="1"/>
  <c r="T1057" i="1"/>
  <c r="U1057" i="1"/>
  <c r="V1057" i="1"/>
  <c r="W1057" i="1"/>
  <c r="X1057" i="1"/>
  <c r="Y1057" i="1"/>
  <c r="Z1057" i="1"/>
  <c r="AA1057" i="1"/>
  <c r="AB1057" i="1"/>
  <c r="AC1057" i="1"/>
  <c r="AD1057" i="1"/>
  <c r="AE1057" i="1"/>
  <c r="AF1057" i="1"/>
  <c r="AG1057" i="1"/>
  <c r="AH1057" i="1"/>
  <c r="AI1057" i="1"/>
  <c r="AJ1057" i="1"/>
  <c r="AK1057" i="1"/>
  <c r="AL1057" i="1"/>
  <c r="AM1057" i="1"/>
  <c r="A1058" i="1"/>
  <c r="B1058" i="1"/>
  <c r="C1058" i="1"/>
  <c r="D1058" i="1"/>
  <c r="E1058" i="1"/>
  <c r="F1058" i="1"/>
  <c r="G1058" i="1"/>
  <c r="H1058" i="1"/>
  <c r="I1058" i="1"/>
  <c r="J1058" i="1"/>
  <c r="K1058" i="1"/>
  <c r="L1058" i="1"/>
  <c r="M1058" i="1"/>
  <c r="N1058" i="1"/>
  <c r="O1058" i="1"/>
  <c r="P1058" i="1"/>
  <c r="Q1058" i="1"/>
  <c r="R1058" i="1"/>
  <c r="S1058" i="1"/>
  <c r="T1058" i="1"/>
  <c r="U1058" i="1"/>
  <c r="V1058" i="1"/>
  <c r="W1058" i="1"/>
  <c r="X1058" i="1"/>
  <c r="Y1058" i="1"/>
  <c r="Z1058" i="1"/>
  <c r="AA1058" i="1"/>
  <c r="AB1058" i="1"/>
  <c r="AC1058" i="1"/>
  <c r="AD1058" i="1"/>
  <c r="AE1058" i="1"/>
  <c r="AF1058" i="1"/>
  <c r="AG1058" i="1"/>
  <c r="AH1058" i="1"/>
  <c r="AI1058" i="1"/>
  <c r="AJ1058" i="1"/>
  <c r="AK1058" i="1"/>
  <c r="AL1058" i="1"/>
  <c r="AM1058" i="1"/>
  <c r="A1059" i="1"/>
  <c r="B1059" i="1"/>
  <c r="C1059" i="1"/>
  <c r="D1059" i="1"/>
  <c r="E1059" i="1"/>
  <c r="F1059" i="1"/>
  <c r="G1059" i="1"/>
  <c r="H1059" i="1"/>
  <c r="I1059" i="1"/>
  <c r="J1059" i="1"/>
  <c r="K1059" i="1"/>
  <c r="L1059" i="1"/>
  <c r="M1059" i="1"/>
  <c r="N1059" i="1"/>
  <c r="O1059" i="1"/>
  <c r="P1059" i="1"/>
  <c r="Q1059" i="1"/>
  <c r="R1059" i="1"/>
  <c r="S1059" i="1"/>
  <c r="T1059" i="1"/>
  <c r="U1059" i="1"/>
  <c r="V1059" i="1"/>
  <c r="W1059" i="1"/>
  <c r="X1059" i="1"/>
  <c r="Y1059" i="1"/>
  <c r="Z1059" i="1"/>
  <c r="AA1059" i="1"/>
  <c r="AB1059" i="1"/>
  <c r="AC1059" i="1"/>
  <c r="AD1059" i="1"/>
  <c r="AE1059" i="1"/>
  <c r="AF1059" i="1"/>
  <c r="AG1059" i="1"/>
  <c r="AH1059" i="1"/>
  <c r="AI1059" i="1"/>
  <c r="AJ1059" i="1"/>
  <c r="AK1059" i="1"/>
  <c r="AL1059" i="1"/>
  <c r="AM1059" i="1"/>
  <c r="A1060" i="1"/>
  <c r="B1060" i="1"/>
  <c r="C1060" i="1"/>
  <c r="D1060" i="1"/>
  <c r="E1060" i="1"/>
  <c r="F1060" i="1"/>
  <c r="G1060" i="1"/>
  <c r="H1060" i="1"/>
  <c r="I1060" i="1"/>
  <c r="J1060" i="1"/>
  <c r="K1060" i="1"/>
  <c r="L1060" i="1"/>
  <c r="M1060" i="1"/>
  <c r="N1060" i="1"/>
  <c r="O1060" i="1"/>
  <c r="P1060" i="1"/>
  <c r="Q1060" i="1"/>
  <c r="R1060" i="1"/>
  <c r="S1060" i="1"/>
  <c r="T1060" i="1"/>
  <c r="U1060" i="1"/>
  <c r="V1060" i="1"/>
  <c r="W1060" i="1"/>
  <c r="X1060" i="1"/>
  <c r="Y1060" i="1"/>
  <c r="Z1060" i="1"/>
  <c r="AA1060" i="1"/>
  <c r="AB1060" i="1"/>
  <c r="AC1060" i="1"/>
  <c r="AD1060" i="1"/>
  <c r="AE1060" i="1"/>
  <c r="AF1060" i="1"/>
  <c r="AG1060" i="1"/>
  <c r="AH1060" i="1"/>
  <c r="AI1060" i="1"/>
  <c r="AJ1060" i="1"/>
  <c r="AK1060" i="1"/>
  <c r="AL1060" i="1"/>
  <c r="AM1060" i="1"/>
  <c r="A1061" i="1"/>
  <c r="B1061" i="1"/>
  <c r="C1061" i="1"/>
  <c r="D1061" i="1"/>
  <c r="E1061" i="1"/>
  <c r="F1061" i="1"/>
  <c r="G1061" i="1"/>
  <c r="H1061" i="1"/>
  <c r="I1061" i="1"/>
  <c r="J1061" i="1"/>
  <c r="K1061" i="1"/>
  <c r="L1061" i="1"/>
  <c r="M1061" i="1"/>
  <c r="N1061" i="1"/>
  <c r="O1061" i="1"/>
  <c r="P1061" i="1"/>
  <c r="Q1061" i="1"/>
  <c r="R1061" i="1"/>
  <c r="S1061" i="1"/>
  <c r="T1061" i="1"/>
  <c r="U1061" i="1"/>
  <c r="V1061" i="1"/>
  <c r="W1061" i="1"/>
  <c r="X1061" i="1"/>
  <c r="Y1061" i="1"/>
  <c r="Z1061" i="1"/>
  <c r="AA1061" i="1"/>
  <c r="AB1061" i="1"/>
  <c r="AC1061" i="1"/>
  <c r="AD1061" i="1"/>
  <c r="AE1061" i="1"/>
  <c r="AF1061" i="1"/>
  <c r="AG1061" i="1"/>
  <c r="AH1061" i="1"/>
  <c r="AI1061" i="1"/>
  <c r="AJ1061" i="1"/>
  <c r="AK1061" i="1"/>
  <c r="AL1061" i="1"/>
  <c r="AM1061" i="1"/>
  <c r="A1062" i="1"/>
  <c r="B1062" i="1"/>
  <c r="C1062" i="1"/>
  <c r="D1062" i="1"/>
  <c r="E1062" i="1"/>
  <c r="F1062" i="1"/>
  <c r="G1062" i="1"/>
  <c r="H1062" i="1"/>
  <c r="I1062" i="1"/>
  <c r="J1062" i="1"/>
  <c r="K1062" i="1"/>
  <c r="L1062" i="1"/>
  <c r="M1062" i="1"/>
  <c r="N1062" i="1"/>
  <c r="O1062" i="1"/>
  <c r="P1062" i="1"/>
  <c r="Q1062" i="1"/>
  <c r="R1062" i="1"/>
  <c r="S1062" i="1"/>
  <c r="T1062" i="1"/>
  <c r="U1062" i="1"/>
  <c r="V1062" i="1"/>
  <c r="W1062" i="1"/>
  <c r="X1062" i="1"/>
  <c r="Y1062" i="1"/>
  <c r="Z1062" i="1"/>
  <c r="AA1062" i="1"/>
  <c r="AB1062" i="1"/>
  <c r="AC1062" i="1"/>
  <c r="AD1062" i="1"/>
  <c r="AE1062" i="1"/>
  <c r="AF1062" i="1"/>
  <c r="AG1062" i="1"/>
  <c r="AH1062" i="1"/>
  <c r="AI1062" i="1"/>
  <c r="AJ1062" i="1"/>
  <c r="AK1062" i="1"/>
  <c r="AL1062" i="1"/>
  <c r="AM1062" i="1"/>
  <c r="A1063" i="1"/>
  <c r="B1063" i="1"/>
  <c r="C1063" i="1"/>
  <c r="D1063" i="1"/>
  <c r="E1063" i="1"/>
  <c r="F1063" i="1"/>
  <c r="G1063" i="1"/>
  <c r="H1063" i="1"/>
  <c r="I1063" i="1"/>
  <c r="J1063" i="1"/>
  <c r="K1063" i="1"/>
  <c r="L1063" i="1"/>
  <c r="M1063" i="1"/>
  <c r="N1063" i="1"/>
  <c r="O1063" i="1"/>
  <c r="P1063" i="1"/>
  <c r="Q1063" i="1"/>
  <c r="R1063" i="1"/>
  <c r="S1063" i="1"/>
  <c r="T1063" i="1"/>
  <c r="U1063" i="1"/>
  <c r="V1063" i="1"/>
  <c r="W1063" i="1"/>
  <c r="X1063" i="1"/>
  <c r="Y1063" i="1"/>
  <c r="Z1063" i="1"/>
  <c r="AA1063" i="1"/>
  <c r="AB1063" i="1"/>
  <c r="AC1063" i="1"/>
  <c r="AD1063" i="1"/>
  <c r="AE1063" i="1"/>
  <c r="AF1063" i="1"/>
  <c r="AG1063" i="1"/>
  <c r="AH1063" i="1"/>
  <c r="AI1063" i="1"/>
  <c r="AJ1063" i="1"/>
  <c r="AK1063" i="1"/>
  <c r="AL1063" i="1"/>
  <c r="AM1063" i="1"/>
  <c r="A1064" i="1"/>
  <c r="B1064" i="1"/>
  <c r="C1064" i="1"/>
  <c r="D1064" i="1"/>
  <c r="E1064" i="1"/>
  <c r="F1064" i="1"/>
  <c r="G1064" i="1"/>
  <c r="H1064" i="1"/>
  <c r="I1064" i="1"/>
  <c r="J1064" i="1"/>
  <c r="K1064" i="1"/>
  <c r="L1064" i="1"/>
  <c r="M1064" i="1"/>
  <c r="N1064" i="1"/>
  <c r="O1064" i="1"/>
  <c r="P1064" i="1"/>
  <c r="Q1064" i="1"/>
  <c r="R1064" i="1"/>
  <c r="S1064" i="1"/>
  <c r="T1064" i="1"/>
  <c r="U1064" i="1"/>
  <c r="V1064" i="1"/>
  <c r="W1064" i="1"/>
  <c r="X1064" i="1"/>
  <c r="Y1064" i="1"/>
  <c r="Z1064" i="1"/>
  <c r="AA1064" i="1"/>
  <c r="AB1064" i="1"/>
  <c r="AC1064" i="1"/>
  <c r="AD1064" i="1"/>
  <c r="AE1064" i="1"/>
  <c r="AF1064" i="1"/>
  <c r="AG1064" i="1"/>
  <c r="AH1064" i="1"/>
  <c r="AI1064" i="1"/>
  <c r="AJ1064" i="1"/>
  <c r="AK1064" i="1"/>
  <c r="AL1064" i="1"/>
  <c r="AM1064" i="1"/>
  <c r="A1065" i="1"/>
  <c r="B1065" i="1"/>
  <c r="C1065" i="1"/>
  <c r="D1065" i="1"/>
  <c r="E1065" i="1"/>
  <c r="F1065" i="1"/>
  <c r="G1065" i="1"/>
  <c r="H1065" i="1"/>
  <c r="I1065" i="1"/>
  <c r="J1065" i="1"/>
  <c r="K1065" i="1"/>
  <c r="L1065" i="1"/>
  <c r="M1065" i="1"/>
  <c r="N1065" i="1"/>
  <c r="O1065" i="1"/>
  <c r="P1065" i="1"/>
  <c r="Q1065" i="1"/>
  <c r="R1065" i="1"/>
  <c r="S1065" i="1"/>
  <c r="T1065" i="1"/>
  <c r="U1065" i="1"/>
  <c r="V1065" i="1"/>
  <c r="W1065" i="1"/>
  <c r="X1065" i="1"/>
  <c r="Y1065" i="1"/>
  <c r="Z1065" i="1"/>
  <c r="AA1065" i="1"/>
  <c r="AB1065" i="1"/>
  <c r="AC1065" i="1"/>
  <c r="AD1065" i="1"/>
  <c r="AE1065" i="1"/>
  <c r="AF1065" i="1"/>
  <c r="AG1065" i="1"/>
  <c r="AH1065" i="1"/>
  <c r="AI1065" i="1"/>
  <c r="AJ1065" i="1"/>
  <c r="AK1065" i="1"/>
  <c r="AL1065" i="1"/>
  <c r="AM1065" i="1"/>
  <c r="A1066" i="1"/>
  <c r="B1066" i="1"/>
  <c r="C1066" i="1"/>
  <c r="D1066" i="1"/>
  <c r="E1066" i="1"/>
  <c r="F1066" i="1"/>
  <c r="G1066" i="1"/>
  <c r="H1066" i="1"/>
  <c r="I1066" i="1"/>
  <c r="J1066" i="1"/>
  <c r="K1066" i="1"/>
  <c r="L1066" i="1"/>
  <c r="M1066" i="1"/>
  <c r="N1066" i="1"/>
  <c r="O1066" i="1"/>
  <c r="P1066" i="1"/>
  <c r="Q1066" i="1"/>
  <c r="R1066" i="1"/>
  <c r="S1066" i="1"/>
  <c r="T1066" i="1"/>
  <c r="U1066" i="1"/>
  <c r="V1066" i="1"/>
  <c r="W1066" i="1"/>
  <c r="X1066" i="1"/>
  <c r="Y1066" i="1"/>
  <c r="Z1066" i="1"/>
  <c r="AA1066" i="1"/>
  <c r="AB1066" i="1"/>
  <c r="AC1066" i="1"/>
  <c r="AD1066" i="1"/>
  <c r="AE1066" i="1"/>
  <c r="AF1066" i="1"/>
  <c r="AG1066" i="1"/>
  <c r="AH1066" i="1"/>
  <c r="AI1066" i="1"/>
  <c r="AJ1066" i="1"/>
  <c r="AK1066" i="1"/>
  <c r="AL1066" i="1"/>
  <c r="AM1066" i="1"/>
  <c r="A1067" i="1"/>
  <c r="B1067" i="1"/>
  <c r="C1067" i="1"/>
  <c r="D1067" i="1"/>
  <c r="E1067" i="1"/>
  <c r="F1067" i="1"/>
  <c r="G1067" i="1"/>
  <c r="H1067" i="1"/>
  <c r="I1067" i="1"/>
  <c r="J1067" i="1"/>
  <c r="K1067" i="1"/>
  <c r="L1067" i="1"/>
  <c r="M1067" i="1"/>
  <c r="N1067" i="1"/>
  <c r="O1067" i="1"/>
  <c r="P1067" i="1"/>
  <c r="Q1067" i="1"/>
  <c r="R1067" i="1"/>
  <c r="S1067" i="1"/>
  <c r="T1067" i="1"/>
  <c r="U1067" i="1"/>
  <c r="V1067" i="1"/>
  <c r="W1067" i="1"/>
  <c r="X1067" i="1"/>
  <c r="Y1067" i="1"/>
  <c r="Z1067" i="1"/>
  <c r="AA1067" i="1"/>
  <c r="AB1067" i="1"/>
  <c r="AC1067" i="1"/>
  <c r="AD1067" i="1"/>
  <c r="AE1067" i="1"/>
  <c r="AF1067" i="1"/>
  <c r="AG1067" i="1"/>
  <c r="AH1067" i="1"/>
  <c r="AI1067" i="1"/>
  <c r="AJ1067" i="1"/>
  <c r="AK1067" i="1"/>
  <c r="AL1067" i="1"/>
  <c r="AM1067" i="1"/>
  <c r="A1068" i="1"/>
  <c r="B1068" i="1"/>
  <c r="C1068" i="1"/>
  <c r="D1068" i="1"/>
  <c r="E1068" i="1"/>
  <c r="F1068" i="1"/>
  <c r="G1068" i="1"/>
  <c r="H1068" i="1"/>
  <c r="I1068" i="1"/>
  <c r="J1068" i="1"/>
  <c r="K1068" i="1"/>
  <c r="L1068" i="1"/>
  <c r="M1068" i="1"/>
  <c r="N1068" i="1"/>
  <c r="O1068" i="1"/>
  <c r="P1068" i="1"/>
  <c r="Q1068" i="1"/>
  <c r="R1068" i="1"/>
  <c r="S1068" i="1"/>
  <c r="T1068" i="1"/>
  <c r="U1068" i="1"/>
  <c r="V1068" i="1"/>
  <c r="W1068" i="1"/>
  <c r="X1068" i="1"/>
  <c r="Y1068" i="1"/>
  <c r="Z1068" i="1"/>
  <c r="AA1068" i="1"/>
  <c r="AB1068" i="1"/>
  <c r="AC1068" i="1"/>
  <c r="AD1068" i="1"/>
  <c r="AE1068" i="1"/>
  <c r="AF1068" i="1"/>
  <c r="AG1068" i="1"/>
  <c r="AH1068" i="1"/>
  <c r="AI1068" i="1"/>
  <c r="AJ1068" i="1"/>
  <c r="AK1068" i="1"/>
  <c r="AL1068" i="1"/>
  <c r="AM1068" i="1"/>
  <c r="A1069" i="1"/>
  <c r="B1069" i="1"/>
  <c r="C1069" i="1"/>
  <c r="D1069" i="1"/>
  <c r="E1069" i="1"/>
  <c r="F1069" i="1"/>
  <c r="G1069" i="1"/>
  <c r="H1069" i="1"/>
  <c r="I1069" i="1"/>
  <c r="J1069" i="1"/>
  <c r="K1069" i="1"/>
  <c r="L1069" i="1"/>
  <c r="M1069" i="1"/>
  <c r="N1069" i="1"/>
  <c r="O1069" i="1"/>
  <c r="P1069" i="1"/>
  <c r="Q1069" i="1"/>
  <c r="R1069" i="1"/>
  <c r="S1069" i="1"/>
  <c r="T1069" i="1"/>
  <c r="U1069" i="1"/>
  <c r="V1069" i="1"/>
  <c r="W1069" i="1"/>
  <c r="X1069" i="1"/>
  <c r="Y1069" i="1"/>
  <c r="Z1069" i="1"/>
  <c r="AA1069" i="1"/>
  <c r="AB1069" i="1"/>
  <c r="AC1069" i="1"/>
  <c r="AD1069" i="1"/>
  <c r="AE1069" i="1"/>
  <c r="AF1069" i="1"/>
  <c r="AG1069" i="1"/>
  <c r="AH1069" i="1"/>
  <c r="AI1069" i="1"/>
  <c r="AJ1069" i="1"/>
  <c r="AK1069" i="1"/>
  <c r="AL1069" i="1"/>
  <c r="AM1069" i="1"/>
  <c r="A1070" i="1"/>
  <c r="B1070" i="1"/>
  <c r="C1070" i="1"/>
  <c r="D1070" i="1"/>
  <c r="E1070" i="1"/>
  <c r="F1070" i="1"/>
  <c r="G1070" i="1"/>
  <c r="H1070" i="1"/>
  <c r="I1070" i="1"/>
  <c r="J1070" i="1"/>
  <c r="K1070" i="1"/>
  <c r="L1070" i="1"/>
  <c r="M1070" i="1"/>
  <c r="N1070" i="1"/>
  <c r="O1070" i="1"/>
  <c r="P1070" i="1"/>
  <c r="Q1070" i="1"/>
  <c r="R1070" i="1"/>
  <c r="S1070" i="1"/>
  <c r="T1070" i="1"/>
  <c r="U1070" i="1"/>
  <c r="V1070" i="1"/>
  <c r="W1070" i="1"/>
  <c r="X1070" i="1"/>
  <c r="Y1070" i="1"/>
  <c r="Z1070" i="1"/>
  <c r="AA1070" i="1"/>
  <c r="AB1070" i="1"/>
  <c r="AC1070" i="1"/>
  <c r="AD1070" i="1"/>
  <c r="AE1070" i="1"/>
  <c r="AF1070" i="1"/>
  <c r="AG1070" i="1"/>
  <c r="AH1070" i="1"/>
  <c r="AI1070" i="1"/>
  <c r="AJ1070" i="1"/>
  <c r="AK1070" i="1"/>
  <c r="AL1070" i="1"/>
  <c r="AM1070" i="1"/>
  <c r="A1071" i="1"/>
  <c r="B1071" i="1"/>
  <c r="C1071" i="1"/>
  <c r="D1071" i="1"/>
  <c r="E1071" i="1"/>
  <c r="F1071" i="1"/>
  <c r="G1071" i="1"/>
  <c r="H1071" i="1"/>
  <c r="I1071" i="1"/>
  <c r="J1071" i="1"/>
  <c r="K1071" i="1"/>
  <c r="L1071" i="1"/>
  <c r="M1071" i="1"/>
  <c r="N1071" i="1"/>
  <c r="O1071" i="1"/>
  <c r="P1071" i="1"/>
  <c r="Q1071" i="1"/>
  <c r="R1071" i="1"/>
  <c r="S1071" i="1"/>
  <c r="T1071" i="1"/>
  <c r="U1071" i="1"/>
  <c r="V1071" i="1"/>
  <c r="W1071" i="1"/>
  <c r="X1071" i="1"/>
  <c r="Y1071" i="1"/>
  <c r="Z1071" i="1"/>
  <c r="AA1071" i="1"/>
  <c r="AB1071" i="1"/>
  <c r="AC1071" i="1"/>
  <c r="AD1071" i="1"/>
  <c r="AE1071" i="1"/>
  <c r="AF1071" i="1"/>
  <c r="AG1071" i="1"/>
  <c r="AH1071" i="1"/>
  <c r="AI1071" i="1"/>
  <c r="AJ1071" i="1"/>
  <c r="AK1071" i="1"/>
  <c r="AL1071" i="1"/>
  <c r="AM1071" i="1"/>
  <c r="A1072" i="1"/>
  <c r="B1072" i="1"/>
  <c r="C1072" i="1"/>
  <c r="D1072" i="1"/>
  <c r="E1072" i="1"/>
  <c r="F1072" i="1"/>
  <c r="G1072" i="1"/>
  <c r="H1072" i="1"/>
  <c r="I1072" i="1"/>
  <c r="J1072" i="1"/>
  <c r="K1072" i="1"/>
  <c r="L1072" i="1"/>
  <c r="M1072" i="1"/>
  <c r="N1072" i="1"/>
  <c r="O1072" i="1"/>
  <c r="P1072" i="1"/>
  <c r="Q1072" i="1"/>
  <c r="R1072" i="1"/>
  <c r="S1072" i="1"/>
  <c r="T1072" i="1"/>
  <c r="U1072" i="1"/>
  <c r="V1072" i="1"/>
  <c r="W1072" i="1"/>
  <c r="X1072" i="1"/>
  <c r="Y1072" i="1"/>
  <c r="Z1072" i="1"/>
  <c r="AA1072" i="1"/>
  <c r="AB1072" i="1"/>
  <c r="AC1072" i="1"/>
  <c r="AD1072" i="1"/>
  <c r="AE1072" i="1"/>
  <c r="AF1072" i="1"/>
  <c r="AG1072" i="1"/>
  <c r="AH1072" i="1"/>
  <c r="AI1072" i="1"/>
  <c r="AJ1072" i="1"/>
  <c r="AK1072" i="1"/>
  <c r="AL1072" i="1"/>
  <c r="AM1072" i="1"/>
  <c r="A1073" i="1"/>
  <c r="B1073" i="1"/>
  <c r="C1073" i="1"/>
  <c r="D1073" i="1"/>
  <c r="E1073" i="1"/>
  <c r="F1073" i="1"/>
  <c r="G1073" i="1"/>
  <c r="H1073" i="1"/>
  <c r="I1073" i="1"/>
  <c r="J1073" i="1"/>
  <c r="K1073" i="1"/>
  <c r="L1073" i="1"/>
  <c r="M1073" i="1"/>
  <c r="N1073" i="1"/>
  <c r="O1073" i="1"/>
  <c r="P1073" i="1"/>
  <c r="Q1073" i="1"/>
  <c r="R1073" i="1"/>
  <c r="S1073" i="1"/>
  <c r="T1073" i="1"/>
  <c r="U1073" i="1"/>
  <c r="V1073" i="1"/>
  <c r="W1073" i="1"/>
  <c r="X1073" i="1"/>
  <c r="Y1073" i="1"/>
  <c r="Z1073" i="1"/>
  <c r="AA1073" i="1"/>
  <c r="AB1073" i="1"/>
  <c r="AC1073" i="1"/>
  <c r="AD1073" i="1"/>
  <c r="AE1073" i="1"/>
  <c r="AF1073" i="1"/>
  <c r="AG1073" i="1"/>
  <c r="AH1073" i="1"/>
  <c r="AI1073" i="1"/>
  <c r="AJ1073" i="1"/>
  <c r="AK1073" i="1"/>
  <c r="AL1073" i="1"/>
  <c r="AM1073" i="1"/>
  <c r="A1074" i="1"/>
  <c r="B1074" i="1"/>
  <c r="C1074" i="1"/>
  <c r="D1074" i="1"/>
  <c r="E1074" i="1"/>
  <c r="F1074" i="1"/>
  <c r="G1074" i="1"/>
  <c r="H1074" i="1"/>
  <c r="I1074" i="1"/>
  <c r="J1074" i="1"/>
  <c r="K1074" i="1"/>
  <c r="L1074" i="1"/>
  <c r="M1074" i="1"/>
  <c r="N1074" i="1"/>
  <c r="O1074" i="1"/>
  <c r="P1074" i="1"/>
  <c r="Q1074" i="1"/>
  <c r="R1074" i="1"/>
  <c r="S1074" i="1"/>
  <c r="T1074" i="1"/>
  <c r="U1074" i="1"/>
  <c r="V1074" i="1"/>
  <c r="W1074" i="1"/>
  <c r="X1074" i="1"/>
  <c r="Y1074" i="1"/>
  <c r="Z1074" i="1"/>
  <c r="AA1074" i="1"/>
  <c r="AB1074" i="1"/>
  <c r="AC1074" i="1"/>
  <c r="AD1074" i="1"/>
  <c r="AE1074" i="1"/>
  <c r="AF1074" i="1"/>
  <c r="AG1074" i="1"/>
  <c r="AH1074" i="1"/>
  <c r="AI1074" i="1"/>
  <c r="AJ1074" i="1"/>
  <c r="AK1074" i="1"/>
  <c r="AL1074" i="1"/>
  <c r="AM1074" i="1"/>
  <c r="A1075" i="1"/>
  <c r="B1075" i="1"/>
  <c r="C1075" i="1"/>
  <c r="D1075" i="1"/>
  <c r="E1075" i="1"/>
  <c r="F1075" i="1"/>
  <c r="G1075" i="1"/>
  <c r="H1075" i="1"/>
  <c r="I1075" i="1"/>
  <c r="J1075" i="1"/>
  <c r="K1075" i="1"/>
  <c r="L1075" i="1"/>
  <c r="M1075" i="1"/>
  <c r="N1075" i="1"/>
  <c r="O1075" i="1"/>
  <c r="P1075" i="1"/>
  <c r="Q1075" i="1"/>
  <c r="R1075" i="1"/>
  <c r="S1075" i="1"/>
  <c r="T1075" i="1"/>
  <c r="U1075" i="1"/>
  <c r="V1075" i="1"/>
  <c r="W1075" i="1"/>
  <c r="X1075" i="1"/>
  <c r="Y1075" i="1"/>
  <c r="Z1075" i="1"/>
  <c r="AA1075" i="1"/>
  <c r="AB1075" i="1"/>
  <c r="AC1075" i="1"/>
  <c r="AD1075" i="1"/>
  <c r="AE1075" i="1"/>
  <c r="AF1075" i="1"/>
  <c r="AG1075" i="1"/>
  <c r="AH1075" i="1"/>
  <c r="AI1075" i="1"/>
  <c r="AJ1075" i="1"/>
  <c r="AK1075" i="1"/>
  <c r="AL1075" i="1"/>
  <c r="AM1075" i="1"/>
  <c r="A1076" i="1"/>
  <c r="B1076" i="1"/>
  <c r="C1076" i="1"/>
  <c r="D1076" i="1"/>
  <c r="E1076" i="1"/>
  <c r="F1076" i="1"/>
  <c r="G1076" i="1"/>
  <c r="H1076" i="1"/>
  <c r="I1076" i="1"/>
  <c r="J1076" i="1"/>
  <c r="K1076" i="1"/>
  <c r="L1076" i="1"/>
  <c r="M1076" i="1"/>
  <c r="N1076" i="1"/>
  <c r="O1076" i="1"/>
  <c r="P1076" i="1"/>
  <c r="Q1076" i="1"/>
  <c r="R1076" i="1"/>
  <c r="S1076" i="1"/>
  <c r="T1076" i="1"/>
  <c r="U1076" i="1"/>
  <c r="V1076" i="1"/>
  <c r="W1076" i="1"/>
  <c r="X1076" i="1"/>
  <c r="Y1076" i="1"/>
  <c r="Z1076" i="1"/>
  <c r="AA1076" i="1"/>
  <c r="AB1076" i="1"/>
  <c r="AC1076" i="1"/>
  <c r="AD1076" i="1"/>
  <c r="AE1076" i="1"/>
  <c r="AF1076" i="1"/>
  <c r="AG1076" i="1"/>
  <c r="AH1076" i="1"/>
  <c r="AI1076" i="1"/>
  <c r="AJ1076" i="1"/>
  <c r="AK1076" i="1"/>
  <c r="AL1076" i="1"/>
  <c r="AM1076" i="1"/>
  <c r="A1077" i="1"/>
  <c r="B1077" i="1"/>
  <c r="C1077" i="1"/>
  <c r="D1077" i="1"/>
  <c r="E1077" i="1"/>
  <c r="F1077" i="1"/>
  <c r="G1077" i="1"/>
  <c r="H1077" i="1"/>
  <c r="I1077" i="1"/>
  <c r="J1077" i="1"/>
  <c r="K1077" i="1"/>
  <c r="L1077" i="1"/>
  <c r="M1077" i="1"/>
  <c r="N1077" i="1"/>
  <c r="O1077" i="1"/>
  <c r="P1077" i="1"/>
  <c r="Q1077" i="1"/>
  <c r="R1077" i="1"/>
  <c r="S1077" i="1"/>
  <c r="T1077" i="1"/>
  <c r="U1077" i="1"/>
  <c r="V1077" i="1"/>
  <c r="W1077" i="1"/>
  <c r="X1077" i="1"/>
  <c r="Y1077" i="1"/>
  <c r="Z1077" i="1"/>
  <c r="AA1077" i="1"/>
  <c r="AB1077" i="1"/>
  <c r="AC1077" i="1"/>
  <c r="AD1077" i="1"/>
  <c r="AE1077" i="1"/>
  <c r="AF1077" i="1"/>
  <c r="AG1077" i="1"/>
  <c r="AH1077" i="1"/>
  <c r="AI1077" i="1"/>
  <c r="AJ1077" i="1"/>
  <c r="AK1077" i="1"/>
  <c r="AL1077" i="1"/>
  <c r="AM1077" i="1"/>
  <c r="A1078" i="1"/>
  <c r="B1078" i="1"/>
  <c r="C1078" i="1"/>
  <c r="D1078" i="1"/>
  <c r="E1078" i="1"/>
  <c r="F1078" i="1"/>
  <c r="G1078" i="1"/>
  <c r="H1078" i="1"/>
  <c r="I1078" i="1"/>
  <c r="J1078" i="1"/>
  <c r="K1078" i="1"/>
  <c r="L1078" i="1"/>
  <c r="M1078" i="1"/>
  <c r="N1078" i="1"/>
  <c r="O1078" i="1"/>
  <c r="P1078" i="1"/>
  <c r="Q1078" i="1"/>
  <c r="R1078" i="1"/>
  <c r="S1078" i="1"/>
  <c r="T1078" i="1"/>
  <c r="U1078" i="1"/>
  <c r="V1078" i="1"/>
  <c r="W1078" i="1"/>
  <c r="X1078" i="1"/>
  <c r="Y1078" i="1"/>
  <c r="Z1078" i="1"/>
  <c r="AA1078" i="1"/>
  <c r="AB1078" i="1"/>
  <c r="AC1078" i="1"/>
  <c r="AD1078" i="1"/>
  <c r="AE1078" i="1"/>
  <c r="AF1078" i="1"/>
  <c r="AG1078" i="1"/>
  <c r="AH1078" i="1"/>
  <c r="AI1078" i="1"/>
  <c r="AJ1078" i="1"/>
  <c r="AK1078" i="1"/>
  <c r="AL1078" i="1"/>
  <c r="AM1078" i="1"/>
  <c r="A1079" i="1"/>
  <c r="B1079" i="1"/>
  <c r="C1079" i="1"/>
  <c r="D1079" i="1"/>
  <c r="E1079" i="1"/>
  <c r="F1079" i="1"/>
  <c r="G1079" i="1"/>
  <c r="H1079" i="1"/>
  <c r="I1079" i="1"/>
  <c r="J1079" i="1"/>
  <c r="K1079" i="1"/>
  <c r="L1079" i="1"/>
  <c r="M1079" i="1"/>
  <c r="N1079" i="1"/>
  <c r="O1079" i="1"/>
  <c r="P1079" i="1"/>
  <c r="Q1079" i="1"/>
  <c r="R1079" i="1"/>
  <c r="S1079" i="1"/>
  <c r="T1079" i="1"/>
  <c r="U1079" i="1"/>
  <c r="V1079" i="1"/>
  <c r="W1079" i="1"/>
  <c r="X1079" i="1"/>
  <c r="Y1079" i="1"/>
  <c r="Z1079" i="1"/>
  <c r="AA1079" i="1"/>
  <c r="AB1079" i="1"/>
  <c r="AC1079" i="1"/>
  <c r="AD1079" i="1"/>
  <c r="AE1079" i="1"/>
  <c r="AF1079" i="1"/>
  <c r="AG1079" i="1"/>
  <c r="AH1079" i="1"/>
  <c r="AI1079" i="1"/>
  <c r="AJ1079" i="1"/>
  <c r="AK1079" i="1"/>
  <c r="AL1079" i="1"/>
  <c r="AM1079" i="1"/>
  <c r="A1080" i="1"/>
  <c r="B1080" i="1"/>
  <c r="C1080" i="1"/>
  <c r="D1080" i="1"/>
  <c r="E1080" i="1"/>
  <c r="F1080" i="1"/>
  <c r="G1080" i="1"/>
  <c r="H1080" i="1"/>
  <c r="I1080" i="1"/>
  <c r="J1080" i="1"/>
  <c r="K1080" i="1"/>
  <c r="L1080" i="1"/>
  <c r="M1080" i="1"/>
  <c r="N1080" i="1"/>
  <c r="O1080" i="1"/>
  <c r="P1080" i="1"/>
  <c r="Q1080" i="1"/>
  <c r="R1080" i="1"/>
  <c r="S1080" i="1"/>
  <c r="T1080" i="1"/>
  <c r="U1080" i="1"/>
  <c r="V1080" i="1"/>
  <c r="W1080" i="1"/>
  <c r="X1080" i="1"/>
  <c r="Y1080" i="1"/>
  <c r="Z1080" i="1"/>
  <c r="AA1080" i="1"/>
  <c r="AB1080" i="1"/>
  <c r="AC1080" i="1"/>
  <c r="AD1080" i="1"/>
  <c r="AE1080" i="1"/>
  <c r="AF1080" i="1"/>
  <c r="AG1080" i="1"/>
  <c r="AH1080" i="1"/>
  <c r="AI1080" i="1"/>
  <c r="AJ1080" i="1"/>
  <c r="AK1080" i="1"/>
  <c r="AL1080" i="1"/>
  <c r="AM1080" i="1"/>
  <c r="A1081" i="1"/>
  <c r="B1081" i="1"/>
  <c r="C1081" i="1"/>
  <c r="D1081" i="1"/>
  <c r="E1081" i="1"/>
  <c r="F1081" i="1"/>
  <c r="G1081" i="1"/>
  <c r="H1081" i="1"/>
  <c r="I1081" i="1"/>
  <c r="J1081" i="1"/>
  <c r="K1081" i="1"/>
  <c r="L1081" i="1"/>
  <c r="M1081" i="1"/>
  <c r="N1081" i="1"/>
  <c r="O1081" i="1"/>
  <c r="P1081" i="1"/>
  <c r="Q1081" i="1"/>
  <c r="R1081" i="1"/>
  <c r="S1081" i="1"/>
  <c r="T1081" i="1"/>
  <c r="U1081" i="1"/>
  <c r="V1081" i="1"/>
  <c r="W1081" i="1"/>
  <c r="X1081" i="1"/>
  <c r="Y1081" i="1"/>
  <c r="Z1081" i="1"/>
  <c r="AA1081" i="1"/>
  <c r="AB1081" i="1"/>
  <c r="AC1081" i="1"/>
  <c r="AD1081" i="1"/>
  <c r="AE1081" i="1"/>
  <c r="AF1081" i="1"/>
  <c r="AG1081" i="1"/>
  <c r="AH1081" i="1"/>
  <c r="AI1081" i="1"/>
  <c r="AJ1081" i="1"/>
  <c r="AK1081" i="1"/>
  <c r="AL1081" i="1"/>
  <c r="AM1081" i="1"/>
  <c r="A1082" i="1"/>
  <c r="B1082" i="1"/>
  <c r="C1082" i="1"/>
  <c r="D1082" i="1"/>
  <c r="E1082" i="1"/>
  <c r="F1082" i="1"/>
  <c r="G1082" i="1"/>
  <c r="H1082" i="1"/>
  <c r="I1082" i="1"/>
  <c r="J1082" i="1"/>
  <c r="K1082" i="1"/>
  <c r="L1082" i="1"/>
  <c r="M1082" i="1"/>
  <c r="N1082" i="1"/>
  <c r="O1082" i="1"/>
  <c r="P1082" i="1"/>
  <c r="Q1082" i="1"/>
  <c r="R1082" i="1"/>
  <c r="S1082" i="1"/>
  <c r="T1082" i="1"/>
  <c r="U1082" i="1"/>
  <c r="V1082" i="1"/>
  <c r="W1082" i="1"/>
  <c r="X1082" i="1"/>
  <c r="Y1082" i="1"/>
  <c r="Z1082" i="1"/>
  <c r="AA1082" i="1"/>
  <c r="AB1082" i="1"/>
  <c r="AC1082" i="1"/>
  <c r="AD1082" i="1"/>
  <c r="AE1082" i="1"/>
  <c r="AF1082" i="1"/>
  <c r="AG1082" i="1"/>
  <c r="AH1082" i="1"/>
  <c r="AI1082" i="1"/>
  <c r="AJ1082" i="1"/>
  <c r="AK1082" i="1"/>
  <c r="AL1082" i="1"/>
  <c r="AM1082" i="1"/>
  <c r="A1083" i="1"/>
  <c r="B1083" i="1"/>
  <c r="C1083" i="1"/>
  <c r="D1083" i="1"/>
  <c r="E1083" i="1"/>
  <c r="F1083" i="1"/>
  <c r="G1083" i="1"/>
  <c r="H1083" i="1"/>
  <c r="I1083" i="1"/>
  <c r="J1083" i="1"/>
  <c r="K1083" i="1"/>
  <c r="L1083" i="1"/>
  <c r="M1083" i="1"/>
  <c r="N1083" i="1"/>
  <c r="O1083" i="1"/>
  <c r="P1083" i="1"/>
  <c r="Q1083" i="1"/>
  <c r="R1083" i="1"/>
  <c r="S1083" i="1"/>
  <c r="T1083" i="1"/>
  <c r="U1083" i="1"/>
  <c r="V1083" i="1"/>
  <c r="W1083" i="1"/>
  <c r="X1083" i="1"/>
  <c r="Y1083" i="1"/>
  <c r="Z1083" i="1"/>
  <c r="AA1083" i="1"/>
  <c r="AB1083" i="1"/>
  <c r="AC1083" i="1"/>
  <c r="AD1083" i="1"/>
  <c r="AE1083" i="1"/>
  <c r="AF1083" i="1"/>
  <c r="AG1083" i="1"/>
  <c r="AH1083" i="1"/>
  <c r="AI1083" i="1"/>
  <c r="AJ1083" i="1"/>
  <c r="AK1083" i="1"/>
  <c r="AL1083" i="1"/>
  <c r="AM1083" i="1"/>
  <c r="A1084" i="1"/>
  <c r="B1084" i="1"/>
  <c r="C1084" i="1"/>
  <c r="D1084" i="1"/>
  <c r="E1084" i="1"/>
  <c r="F1084" i="1"/>
  <c r="G1084" i="1"/>
  <c r="H1084" i="1"/>
  <c r="I1084" i="1"/>
  <c r="J1084" i="1"/>
  <c r="K1084" i="1"/>
  <c r="L1084" i="1"/>
  <c r="M1084" i="1"/>
  <c r="N1084" i="1"/>
  <c r="O1084" i="1"/>
  <c r="P1084" i="1"/>
  <c r="Q1084" i="1"/>
  <c r="R1084" i="1"/>
  <c r="S1084" i="1"/>
  <c r="T1084" i="1"/>
  <c r="U1084" i="1"/>
  <c r="V1084" i="1"/>
  <c r="W1084" i="1"/>
  <c r="X1084" i="1"/>
  <c r="Y1084" i="1"/>
  <c r="Z1084" i="1"/>
  <c r="AA1084" i="1"/>
  <c r="AB1084" i="1"/>
  <c r="AC1084" i="1"/>
  <c r="AD1084" i="1"/>
  <c r="AE1084" i="1"/>
  <c r="AF1084" i="1"/>
  <c r="AG1084" i="1"/>
  <c r="AH1084" i="1"/>
  <c r="AI1084" i="1"/>
  <c r="AJ1084" i="1"/>
  <c r="AK1084" i="1"/>
  <c r="AL1084" i="1"/>
  <c r="AM1084" i="1"/>
  <c r="A1085" i="1"/>
  <c r="B1085" i="1"/>
  <c r="C1085" i="1"/>
  <c r="D1085" i="1"/>
  <c r="E1085" i="1"/>
  <c r="F1085" i="1"/>
  <c r="G1085" i="1"/>
  <c r="H1085" i="1"/>
  <c r="I1085" i="1"/>
  <c r="J1085" i="1"/>
  <c r="K1085" i="1"/>
  <c r="L1085" i="1"/>
  <c r="M1085" i="1"/>
  <c r="N1085" i="1"/>
  <c r="O1085" i="1"/>
  <c r="P1085" i="1"/>
  <c r="Q1085" i="1"/>
  <c r="R1085" i="1"/>
  <c r="S1085" i="1"/>
  <c r="T1085" i="1"/>
  <c r="U1085" i="1"/>
  <c r="V1085" i="1"/>
  <c r="W1085" i="1"/>
  <c r="X1085" i="1"/>
  <c r="Y1085" i="1"/>
  <c r="Z1085" i="1"/>
  <c r="AA1085" i="1"/>
  <c r="AB1085" i="1"/>
  <c r="AC1085" i="1"/>
  <c r="AD1085" i="1"/>
  <c r="AE1085" i="1"/>
  <c r="AF1085" i="1"/>
  <c r="AG1085" i="1"/>
  <c r="AH1085" i="1"/>
  <c r="AI1085" i="1"/>
  <c r="AJ1085" i="1"/>
  <c r="AK1085" i="1"/>
  <c r="AL1085" i="1"/>
  <c r="AM1085" i="1"/>
  <c r="A1086" i="1"/>
  <c r="B1086" i="1"/>
  <c r="C1086" i="1"/>
  <c r="D1086" i="1"/>
  <c r="E1086" i="1"/>
  <c r="F1086" i="1"/>
  <c r="G1086" i="1"/>
  <c r="H1086" i="1"/>
  <c r="I1086" i="1"/>
  <c r="J1086" i="1"/>
  <c r="K1086" i="1"/>
  <c r="L1086" i="1"/>
  <c r="M1086" i="1"/>
  <c r="N1086" i="1"/>
  <c r="O1086" i="1"/>
  <c r="P1086" i="1"/>
  <c r="Q1086" i="1"/>
  <c r="R1086" i="1"/>
  <c r="S1086" i="1"/>
  <c r="T1086" i="1"/>
  <c r="U1086" i="1"/>
  <c r="V1086" i="1"/>
  <c r="W1086" i="1"/>
  <c r="X1086" i="1"/>
  <c r="Y1086" i="1"/>
  <c r="Z1086" i="1"/>
  <c r="AA1086" i="1"/>
  <c r="AB1086" i="1"/>
  <c r="AC1086" i="1"/>
  <c r="AD1086" i="1"/>
  <c r="AE1086" i="1"/>
  <c r="AF1086" i="1"/>
  <c r="AG1086" i="1"/>
  <c r="AH1086" i="1"/>
  <c r="AI1086" i="1"/>
  <c r="AJ1086" i="1"/>
  <c r="AK1086" i="1"/>
  <c r="AL1086" i="1"/>
  <c r="AM1086" i="1"/>
  <c r="A1087" i="1"/>
  <c r="B1087" i="1"/>
  <c r="C1087" i="1"/>
  <c r="D1087" i="1"/>
  <c r="E1087" i="1"/>
  <c r="F1087" i="1"/>
  <c r="G1087" i="1"/>
  <c r="H1087" i="1"/>
  <c r="I1087" i="1"/>
  <c r="J1087" i="1"/>
  <c r="K1087" i="1"/>
  <c r="L1087" i="1"/>
  <c r="M1087" i="1"/>
  <c r="N1087" i="1"/>
  <c r="O1087" i="1"/>
  <c r="P1087" i="1"/>
  <c r="Q1087" i="1"/>
  <c r="R1087" i="1"/>
  <c r="S1087" i="1"/>
  <c r="T1087" i="1"/>
  <c r="U1087" i="1"/>
  <c r="V1087" i="1"/>
  <c r="W1087" i="1"/>
  <c r="X1087" i="1"/>
  <c r="Y1087" i="1"/>
  <c r="Z1087" i="1"/>
  <c r="AA1087" i="1"/>
  <c r="AB1087" i="1"/>
  <c r="AC1087" i="1"/>
  <c r="AD1087" i="1"/>
  <c r="AE1087" i="1"/>
  <c r="AF1087" i="1"/>
  <c r="AG1087" i="1"/>
  <c r="AH1087" i="1"/>
  <c r="AI1087" i="1"/>
  <c r="AJ1087" i="1"/>
  <c r="AK1087" i="1"/>
  <c r="AL1087" i="1"/>
  <c r="AM1087" i="1"/>
  <c r="A1088" i="1"/>
  <c r="B1088" i="1"/>
  <c r="C1088" i="1"/>
  <c r="D1088" i="1"/>
  <c r="E1088" i="1"/>
  <c r="F1088" i="1"/>
  <c r="G1088" i="1"/>
  <c r="H1088" i="1"/>
  <c r="I1088" i="1"/>
  <c r="J1088" i="1"/>
  <c r="K1088" i="1"/>
  <c r="L1088" i="1"/>
  <c r="M1088" i="1"/>
  <c r="N1088" i="1"/>
  <c r="O1088" i="1"/>
  <c r="P1088" i="1"/>
  <c r="Q1088" i="1"/>
  <c r="R1088" i="1"/>
  <c r="S1088" i="1"/>
  <c r="T1088" i="1"/>
  <c r="U1088" i="1"/>
  <c r="V1088" i="1"/>
  <c r="W1088" i="1"/>
  <c r="X1088" i="1"/>
  <c r="Y1088" i="1"/>
  <c r="Z1088" i="1"/>
  <c r="AA1088" i="1"/>
  <c r="AB1088" i="1"/>
  <c r="AC1088" i="1"/>
  <c r="AD1088" i="1"/>
  <c r="AE1088" i="1"/>
  <c r="AF1088" i="1"/>
  <c r="AG1088" i="1"/>
  <c r="AH1088" i="1"/>
  <c r="AI1088" i="1"/>
  <c r="AJ1088" i="1"/>
  <c r="AK1088" i="1"/>
  <c r="AL1088" i="1"/>
  <c r="AM1088" i="1"/>
  <c r="A1089" i="1"/>
  <c r="B1089" i="1"/>
  <c r="C1089" i="1"/>
  <c r="D1089" i="1"/>
  <c r="E1089" i="1"/>
  <c r="F1089" i="1"/>
  <c r="G1089" i="1"/>
  <c r="H1089" i="1"/>
  <c r="I1089" i="1"/>
  <c r="J1089" i="1"/>
  <c r="K1089" i="1"/>
  <c r="L1089" i="1"/>
  <c r="M1089" i="1"/>
  <c r="N1089" i="1"/>
  <c r="O1089" i="1"/>
  <c r="P1089" i="1"/>
  <c r="Q1089" i="1"/>
  <c r="R1089" i="1"/>
  <c r="S1089" i="1"/>
  <c r="T1089" i="1"/>
  <c r="U1089" i="1"/>
  <c r="V1089" i="1"/>
  <c r="W1089" i="1"/>
  <c r="X1089" i="1"/>
  <c r="Y1089" i="1"/>
  <c r="Z1089" i="1"/>
  <c r="AA1089" i="1"/>
  <c r="AB1089" i="1"/>
  <c r="AC1089" i="1"/>
  <c r="AD1089" i="1"/>
  <c r="AE1089" i="1"/>
  <c r="AF1089" i="1"/>
  <c r="AG1089" i="1"/>
  <c r="AH1089" i="1"/>
  <c r="AI1089" i="1"/>
  <c r="AJ1089" i="1"/>
  <c r="AK1089" i="1"/>
  <c r="AL1089" i="1"/>
  <c r="AM1089" i="1"/>
  <c r="A1090" i="1"/>
  <c r="B1090" i="1"/>
  <c r="C1090" i="1"/>
  <c r="D1090" i="1"/>
  <c r="E1090" i="1"/>
  <c r="F1090" i="1"/>
  <c r="G1090" i="1"/>
  <c r="H1090" i="1"/>
  <c r="I1090" i="1"/>
  <c r="J1090" i="1"/>
  <c r="K1090" i="1"/>
  <c r="L1090" i="1"/>
  <c r="M1090" i="1"/>
  <c r="N1090" i="1"/>
  <c r="O1090" i="1"/>
  <c r="P1090" i="1"/>
  <c r="Q1090" i="1"/>
  <c r="R1090" i="1"/>
  <c r="S1090" i="1"/>
  <c r="T1090" i="1"/>
  <c r="U1090" i="1"/>
  <c r="V1090" i="1"/>
  <c r="W1090" i="1"/>
  <c r="X1090" i="1"/>
  <c r="Y1090" i="1"/>
  <c r="Z1090" i="1"/>
  <c r="AA1090" i="1"/>
  <c r="AB1090" i="1"/>
  <c r="AC1090" i="1"/>
  <c r="AD1090" i="1"/>
  <c r="AE1090" i="1"/>
  <c r="AF1090" i="1"/>
  <c r="AG1090" i="1"/>
  <c r="AH1090" i="1"/>
  <c r="AI1090" i="1"/>
  <c r="AJ1090" i="1"/>
  <c r="AK1090" i="1"/>
  <c r="AL1090" i="1"/>
  <c r="AM1090" i="1"/>
  <c r="A1091" i="1"/>
  <c r="B1091" i="1"/>
  <c r="C1091" i="1"/>
  <c r="D1091" i="1"/>
  <c r="E1091" i="1"/>
  <c r="F1091" i="1"/>
  <c r="G1091" i="1"/>
  <c r="H1091" i="1"/>
  <c r="I1091" i="1"/>
  <c r="J1091" i="1"/>
  <c r="K1091" i="1"/>
  <c r="L1091" i="1"/>
  <c r="M1091" i="1"/>
  <c r="N1091" i="1"/>
  <c r="O1091" i="1"/>
  <c r="P1091" i="1"/>
  <c r="Q1091" i="1"/>
  <c r="R1091" i="1"/>
  <c r="S1091" i="1"/>
  <c r="T1091" i="1"/>
  <c r="U1091" i="1"/>
  <c r="V1091" i="1"/>
  <c r="W1091" i="1"/>
  <c r="X1091" i="1"/>
  <c r="Y1091" i="1"/>
  <c r="Z1091" i="1"/>
  <c r="AA1091" i="1"/>
  <c r="AB1091" i="1"/>
  <c r="AC1091" i="1"/>
  <c r="AD1091" i="1"/>
  <c r="AE1091" i="1"/>
  <c r="AF1091" i="1"/>
  <c r="AG1091" i="1"/>
  <c r="AH1091" i="1"/>
  <c r="AI1091" i="1"/>
  <c r="AJ1091" i="1"/>
  <c r="AK1091" i="1"/>
  <c r="AL1091" i="1"/>
  <c r="AM1091" i="1"/>
  <c r="A1092" i="1"/>
  <c r="B1092" i="1"/>
  <c r="C1092" i="1"/>
  <c r="D1092" i="1"/>
  <c r="E1092" i="1"/>
  <c r="F1092" i="1"/>
  <c r="G1092" i="1"/>
  <c r="H1092" i="1"/>
  <c r="I1092" i="1"/>
  <c r="J1092" i="1"/>
  <c r="K1092" i="1"/>
  <c r="L1092" i="1"/>
  <c r="M1092" i="1"/>
  <c r="N1092" i="1"/>
  <c r="O1092" i="1"/>
  <c r="P1092" i="1"/>
  <c r="Q1092" i="1"/>
  <c r="R1092" i="1"/>
  <c r="S1092" i="1"/>
  <c r="T1092" i="1"/>
  <c r="U1092" i="1"/>
  <c r="V1092" i="1"/>
  <c r="W1092" i="1"/>
  <c r="X1092" i="1"/>
  <c r="Y1092" i="1"/>
  <c r="Z1092" i="1"/>
  <c r="AA1092" i="1"/>
  <c r="AB1092" i="1"/>
  <c r="AC1092" i="1"/>
  <c r="AD1092" i="1"/>
  <c r="AE1092" i="1"/>
  <c r="AF1092" i="1"/>
  <c r="AG1092" i="1"/>
  <c r="AH1092" i="1"/>
  <c r="AI1092" i="1"/>
  <c r="AJ1092" i="1"/>
  <c r="AK1092" i="1"/>
  <c r="AL1092" i="1"/>
  <c r="AM1092" i="1"/>
  <c r="A1093" i="1"/>
  <c r="B1093" i="1"/>
  <c r="C1093" i="1"/>
  <c r="D1093" i="1"/>
  <c r="E1093" i="1"/>
  <c r="F1093" i="1"/>
  <c r="G1093" i="1"/>
  <c r="H1093" i="1"/>
  <c r="I1093" i="1"/>
  <c r="J1093" i="1"/>
  <c r="K1093" i="1"/>
  <c r="L1093" i="1"/>
  <c r="M1093" i="1"/>
  <c r="N1093" i="1"/>
  <c r="O1093" i="1"/>
  <c r="P1093" i="1"/>
  <c r="Q1093" i="1"/>
  <c r="R1093" i="1"/>
  <c r="S1093" i="1"/>
  <c r="T1093" i="1"/>
  <c r="U1093" i="1"/>
  <c r="V1093" i="1"/>
  <c r="W1093" i="1"/>
  <c r="X1093" i="1"/>
  <c r="Y1093" i="1"/>
  <c r="Z1093" i="1"/>
  <c r="AA1093" i="1"/>
  <c r="AB1093" i="1"/>
  <c r="AC1093" i="1"/>
  <c r="AD1093" i="1"/>
  <c r="AE1093" i="1"/>
  <c r="AF1093" i="1"/>
  <c r="AG1093" i="1"/>
  <c r="AH1093" i="1"/>
  <c r="AI1093" i="1"/>
  <c r="AJ1093" i="1"/>
  <c r="AK1093" i="1"/>
  <c r="AL1093" i="1"/>
  <c r="AM1093" i="1"/>
  <c r="A1094" i="1"/>
  <c r="B1094" i="1"/>
  <c r="C1094" i="1"/>
  <c r="D1094" i="1"/>
  <c r="E1094" i="1"/>
  <c r="F1094" i="1"/>
  <c r="G1094" i="1"/>
  <c r="H1094" i="1"/>
  <c r="I1094" i="1"/>
  <c r="J1094" i="1"/>
  <c r="K1094" i="1"/>
  <c r="L1094" i="1"/>
  <c r="M1094" i="1"/>
  <c r="N1094" i="1"/>
  <c r="O1094" i="1"/>
  <c r="P1094" i="1"/>
  <c r="Q1094" i="1"/>
  <c r="R1094" i="1"/>
  <c r="S1094" i="1"/>
  <c r="T1094" i="1"/>
  <c r="U1094" i="1"/>
  <c r="V1094" i="1"/>
  <c r="W1094" i="1"/>
  <c r="X1094" i="1"/>
  <c r="Y1094" i="1"/>
  <c r="Z1094" i="1"/>
  <c r="AA1094" i="1"/>
  <c r="AB1094" i="1"/>
  <c r="AC1094" i="1"/>
  <c r="AD1094" i="1"/>
  <c r="AE1094" i="1"/>
  <c r="AF1094" i="1"/>
  <c r="AG1094" i="1"/>
  <c r="AH1094" i="1"/>
  <c r="AI1094" i="1"/>
  <c r="AJ1094" i="1"/>
  <c r="AK1094" i="1"/>
  <c r="AL1094" i="1"/>
  <c r="AM1094" i="1"/>
  <c r="A1095" i="1"/>
  <c r="B1095" i="1"/>
  <c r="C1095" i="1"/>
  <c r="D1095" i="1"/>
  <c r="E1095" i="1"/>
  <c r="F1095" i="1"/>
  <c r="G1095" i="1"/>
  <c r="H1095" i="1"/>
  <c r="I1095" i="1"/>
  <c r="J1095" i="1"/>
  <c r="K1095" i="1"/>
  <c r="L1095" i="1"/>
  <c r="M1095" i="1"/>
  <c r="N1095" i="1"/>
  <c r="O1095" i="1"/>
  <c r="P1095" i="1"/>
  <c r="Q1095" i="1"/>
  <c r="R1095" i="1"/>
  <c r="S1095" i="1"/>
  <c r="T1095" i="1"/>
  <c r="U1095" i="1"/>
  <c r="V1095" i="1"/>
  <c r="W1095" i="1"/>
  <c r="X1095" i="1"/>
  <c r="Y1095" i="1"/>
  <c r="Z1095" i="1"/>
  <c r="AA1095" i="1"/>
  <c r="AB1095" i="1"/>
  <c r="AC1095" i="1"/>
  <c r="AD1095" i="1"/>
  <c r="AE1095" i="1"/>
  <c r="AF1095" i="1"/>
  <c r="AG1095" i="1"/>
  <c r="AH1095" i="1"/>
  <c r="AI1095" i="1"/>
  <c r="AJ1095" i="1"/>
  <c r="AK1095" i="1"/>
  <c r="AL1095" i="1"/>
  <c r="AM1095" i="1"/>
  <c r="A1096" i="1"/>
  <c r="B1096" i="1"/>
  <c r="C1096" i="1"/>
  <c r="D1096" i="1"/>
  <c r="E1096" i="1"/>
  <c r="F1096" i="1"/>
  <c r="G1096" i="1"/>
  <c r="H1096" i="1"/>
  <c r="I1096" i="1"/>
  <c r="J1096" i="1"/>
  <c r="K1096" i="1"/>
  <c r="L1096" i="1"/>
  <c r="M1096" i="1"/>
  <c r="N1096" i="1"/>
  <c r="O1096" i="1"/>
  <c r="P1096" i="1"/>
  <c r="Q1096" i="1"/>
  <c r="R1096" i="1"/>
  <c r="S1096" i="1"/>
  <c r="T1096" i="1"/>
  <c r="U1096" i="1"/>
  <c r="V1096" i="1"/>
  <c r="W1096" i="1"/>
  <c r="X1096" i="1"/>
  <c r="Y1096" i="1"/>
  <c r="Z1096" i="1"/>
  <c r="AA1096" i="1"/>
  <c r="AB1096" i="1"/>
  <c r="AC1096" i="1"/>
  <c r="AD1096" i="1"/>
  <c r="AE1096" i="1"/>
  <c r="AF1096" i="1"/>
  <c r="AG1096" i="1"/>
  <c r="AH1096" i="1"/>
  <c r="AI1096" i="1"/>
  <c r="AJ1096" i="1"/>
  <c r="AK1096" i="1"/>
  <c r="AL1096" i="1"/>
  <c r="AM1096" i="1"/>
  <c r="A1097" i="1"/>
  <c r="B1097" i="1"/>
  <c r="C1097" i="1"/>
  <c r="D1097" i="1"/>
  <c r="E1097" i="1"/>
  <c r="F1097" i="1"/>
  <c r="G1097" i="1"/>
  <c r="H1097" i="1"/>
  <c r="I1097" i="1"/>
  <c r="J1097" i="1"/>
  <c r="K1097" i="1"/>
  <c r="L1097" i="1"/>
  <c r="M1097" i="1"/>
  <c r="N1097" i="1"/>
  <c r="O1097" i="1"/>
  <c r="P1097" i="1"/>
  <c r="Q1097" i="1"/>
  <c r="R1097" i="1"/>
  <c r="S1097" i="1"/>
  <c r="T1097" i="1"/>
  <c r="U1097" i="1"/>
  <c r="V1097" i="1"/>
  <c r="W1097" i="1"/>
  <c r="X1097" i="1"/>
  <c r="Y1097" i="1"/>
  <c r="Z1097" i="1"/>
  <c r="AA1097" i="1"/>
  <c r="AB1097" i="1"/>
  <c r="AC1097" i="1"/>
  <c r="AD1097" i="1"/>
  <c r="AE1097" i="1"/>
  <c r="AF1097" i="1"/>
  <c r="AG1097" i="1"/>
  <c r="AH1097" i="1"/>
  <c r="AI1097" i="1"/>
  <c r="AJ1097" i="1"/>
  <c r="AK1097" i="1"/>
  <c r="AL1097" i="1"/>
  <c r="AM1097" i="1"/>
  <c r="A1098" i="1"/>
  <c r="B1098" i="1"/>
  <c r="C1098" i="1"/>
  <c r="D1098" i="1"/>
  <c r="E1098" i="1"/>
  <c r="F1098" i="1"/>
  <c r="G1098" i="1"/>
  <c r="H1098" i="1"/>
  <c r="I1098" i="1"/>
  <c r="J1098" i="1"/>
  <c r="K1098" i="1"/>
  <c r="L1098" i="1"/>
  <c r="M1098" i="1"/>
  <c r="N1098" i="1"/>
  <c r="O1098" i="1"/>
  <c r="P1098" i="1"/>
  <c r="Q1098" i="1"/>
  <c r="R1098" i="1"/>
  <c r="S1098" i="1"/>
  <c r="T1098" i="1"/>
  <c r="U1098" i="1"/>
  <c r="V1098" i="1"/>
  <c r="W1098" i="1"/>
  <c r="X1098" i="1"/>
  <c r="Y1098" i="1"/>
  <c r="Z1098" i="1"/>
  <c r="AA1098" i="1"/>
  <c r="AB1098" i="1"/>
  <c r="AC1098" i="1"/>
  <c r="AD1098" i="1"/>
  <c r="AE1098" i="1"/>
  <c r="AF1098" i="1"/>
  <c r="AG1098" i="1"/>
  <c r="AH1098" i="1"/>
  <c r="AI1098" i="1"/>
  <c r="AJ1098" i="1"/>
  <c r="AK1098" i="1"/>
  <c r="AL1098" i="1"/>
  <c r="AM1098" i="1"/>
  <c r="A1099" i="1"/>
  <c r="B1099" i="1"/>
  <c r="C1099" i="1"/>
  <c r="D1099" i="1"/>
  <c r="E1099" i="1"/>
  <c r="F1099" i="1"/>
  <c r="G1099" i="1"/>
  <c r="H1099" i="1"/>
  <c r="I1099" i="1"/>
  <c r="J1099" i="1"/>
  <c r="K1099" i="1"/>
  <c r="L1099" i="1"/>
  <c r="M1099" i="1"/>
  <c r="N1099" i="1"/>
  <c r="O1099" i="1"/>
  <c r="P1099" i="1"/>
  <c r="Q1099" i="1"/>
  <c r="R1099" i="1"/>
  <c r="S1099" i="1"/>
  <c r="T1099" i="1"/>
  <c r="U1099" i="1"/>
  <c r="V1099" i="1"/>
  <c r="W1099" i="1"/>
  <c r="X1099" i="1"/>
  <c r="Y1099" i="1"/>
  <c r="Z1099" i="1"/>
  <c r="AA1099" i="1"/>
  <c r="AB1099" i="1"/>
  <c r="AC1099" i="1"/>
  <c r="AD1099" i="1"/>
  <c r="AE1099" i="1"/>
  <c r="AF1099" i="1"/>
  <c r="AG1099" i="1"/>
  <c r="AH1099" i="1"/>
  <c r="AI1099" i="1"/>
  <c r="AJ1099" i="1"/>
  <c r="AK1099" i="1"/>
  <c r="AL1099" i="1"/>
  <c r="AM1099" i="1"/>
  <c r="A1100" i="1"/>
  <c r="B1100" i="1"/>
  <c r="C1100" i="1"/>
  <c r="D1100" i="1"/>
  <c r="E1100" i="1"/>
  <c r="F1100" i="1"/>
  <c r="G1100" i="1"/>
  <c r="H1100" i="1"/>
  <c r="I1100" i="1"/>
  <c r="J1100" i="1"/>
  <c r="K1100" i="1"/>
  <c r="L1100" i="1"/>
  <c r="M1100" i="1"/>
  <c r="N1100" i="1"/>
  <c r="O1100" i="1"/>
  <c r="P1100" i="1"/>
  <c r="Q1100" i="1"/>
  <c r="R1100" i="1"/>
  <c r="S1100" i="1"/>
  <c r="T1100" i="1"/>
  <c r="U1100" i="1"/>
  <c r="V1100" i="1"/>
  <c r="W1100" i="1"/>
  <c r="X1100" i="1"/>
  <c r="Y1100" i="1"/>
  <c r="Z1100" i="1"/>
  <c r="AA1100" i="1"/>
  <c r="AB1100" i="1"/>
  <c r="AC1100" i="1"/>
  <c r="AD1100" i="1"/>
  <c r="AE1100" i="1"/>
  <c r="AF1100" i="1"/>
  <c r="AG1100" i="1"/>
  <c r="AH1100" i="1"/>
  <c r="AI1100" i="1"/>
  <c r="AJ1100" i="1"/>
  <c r="AK1100" i="1"/>
  <c r="AL1100" i="1"/>
  <c r="AM1100" i="1"/>
  <c r="A1101" i="1"/>
  <c r="B1101" i="1"/>
  <c r="C1101" i="1"/>
  <c r="D1101" i="1"/>
  <c r="E1101" i="1"/>
  <c r="F1101" i="1"/>
  <c r="G1101" i="1"/>
  <c r="H1101" i="1"/>
  <c r="I1101" i="1"/>
  <c r="J1101" i="1"/>
  <c r="K1101" i="1"/>
  <c r="L1101" i="1"/>
  <c r="M1101" i="1"/>
  <c r="N1101" i="1"/>
  <c r="O1101" i="1"/>
  <c r="P1101" i="1"/>
  <c r="Q1101" i="1"/>
  <c r="R1101" i="1"/>
  <c r="S1101" i="1"/>
  <c r="T1101" i="1"/>
  <c r="U1101" i="1"/>
  <c r="V1101" i="1"/>
  <c r="W1101" i="1"/>
  <c r="X1101" i="1"/>
  <c r="Y1101" i="1"/>
  <c r="Z1101" i="1"/>
  <c r="AA1101" i="1"/>
  <c r="AB1101" i="1"/>
  <c r="AC1101" i="1"/>
  <c r="AD1101" i="1"/>
  <c r="AE1101" i="1"/>
  <c r="AF1101" i="1"/>
  <c r="AG1101" i="1"/>
  <c r="AH1101" i="1"/>
  <c r="AI1101" i="1"/>
  <c r="AJ1101" i="1"/>
  <c r="AK1101" i="1"/>
  <c r="AL1101" i="1"/>
  <c r="AM1101" i="1"/>
  <c r="A1102" i="1"/>
  <c r="B1102" i="1"/>
  <c r="C1102" i="1"/>
  <c r="D1102" i="1"/>
  <c r="E1102" i="1"/>
  <c r="F1102" i="1"/>
  <c r="G1102" i="1"/>
  <c r="H1102" i="1"/>
  <c r="I1102" i="1"/>
  <c r="J1102" i="1"/>
  <c r="K1102" i="1"/>
  <c r="L1102" i="1"/>
  <c r="M1102" i="1"/>
  <c r="N1102" i="1"/>
  <c r="O1102" i="1"/>
  <c r="P1102" i="1"/>
  <c r="Q1102" i="1"/>
  <c r="R1102" i="1"/>
  <c r="S1102" i="1"/>
  <c r="T1102" i="1"/>
  <c r="U1102" i="1"/>
  <c r="V1102" i="1"/>
  <c r="W1102" i="1"/>
  <c r="X1102" i="1"/>
  <c r="Y1102" i="1"/>
  <c r="Z1102" i="1"/>
  <c r="AA1102" i="1"/>
  <c r="AB1102" i="1"/>
  <c r="AC1102" i="1"/>
  <c r="AD1102" i="1"/>
  <c r="AE1102" i="1"/>
  <c r="AF1102" i="1"/>
  <c r="AG1102" i="1"/>
  <c r="AH1102" i="1"/>
  <c r="AI1102" i="1"/>
  <c r="AJ1102" i="1"/>
  <c r="AK1102" i="1"/>
  <c r="AL1102" i="1"/>
  <c r="AM1102" i="1"/>
  <c r="A1103" i="1"/>
  <c r="B1103" i="1"/>
  <c r="C1103" i="1"/>
  <c r="D1103" i="1"/>
  <c r="E1103" i="1"/>
  <c r="F1103" i="1"/>
  <c r="G1103" i="1"/>
  <c r="H1103" i="1"/>
  <c r="I1103" i="1"/>
  <c r="J1103" i="1"/>
  <c r="K1103" i="1"/>
  <c r="L1103" i="1"/>
  <c r="M1103" i="1"/>
  <c r="N1103" i="1"/>
  <c r="O1103" i="1"/>
  <c r="P1103" i="1"/>
  <c r="Q1103" i="1"/>
  <c r="R1103" i="1"/>
  <c r="S1103" i="1"/>
  <c r="T1103" i="1"/>
  <c r="U1103" i="1"/>
  <c r="V1103" i="1"/>
  <c r="W1103" i="1"/>
  <c r="X1103" i="1"/>
  <c r="Y1103" i="1"/>
  <c r="Z1103" i="1"/>
  <c r="AA1103" i="1"/>
  <c r="AB1103" i="1"/>
  <c r="AC1103" i="1"/>
  <c r="AD1103" i="1"/>
  <c r="AE1103" i="1"/>
  <c r="AF1103" i="1"/>
  <c r="AG1103" i="1"/>
  <c r="AH1103" i="1"/>
  <c r="AI1103" i="1"/>
  <c r="AJ1103" i="1"/>
  <c r="AK1103" i="1"/>
  <c r="AL1103" i="1"/>
  <c r="AM1103" i="1"/>
  <c r="A1104" i="1"/>
  <c r="B1104" i="1"/>
  <c r="C1104" i="1"/>
  <c r="D1104" i="1"/>
  <c r="E1104" i="1"/>
  <c r="F1104" i="1"/>
  <c r="G1104" i="1"/>
  <c r="H1104" i="1"/>
  <c r="I1104" i="1"/>
  <c r="J1104" i="1"/>
  <c r="K1104" i="1"/>
  <c r="L1104" i="1"/>
  <c r="M1104" i="1"/>
  <c r="N1104" i="1"/>
  <c r="O1104" i="1"/>
  <c r="P1104" i="1"/>
  <c r="Q1104" i="1"/>
  <c r="R1104" i="1"/>
  <c r="S1104" i="1"/>
  <c r="T1104" i="1"/>
  <c r="U1104" i="1"/>
  <c r="V1104" i="1"/>
  <c r="W1104" i="1"/>
  <c r="X1104" i="1"/>
  <c r="Y1104" i="1"/>
  <c r="Z1104" i="1"/>
  <c r="AA1104" i="1"/>
  <c r="AB1104" i="1"/>
  <c r="AC1104" i="1"/>
  <c r="AD1104" i="1"/>
  <c r="AE1104" i="1"/>
  <c r="AF1104" i="1"/>
  <c r="AG1104" i="1"/>
  <c r="AH1104" i="1"/>
  <c r="AI1104" i="1"/>
  <c r="AJ1104" i="1"/>
  <c r="AK1104" i="1"/>
  <c r="AL1104" i="1"/>
  <c r="AM1104" i="1"/>
  <c r="A1105" i="1"/>
  <c r="B1105" i="1"/>
  <c r="C1105" i="1"/>
  <c r="D1105" i="1"/>
  <c r="E1105" i="1"/>
  <c r="F1105" i="1"/>
  <c r="G1105" i="1"/>
  <c r="H1105" i="1"/>
  <c r="I1105" i="1"/>
  <c r="J1105" i="1"/>
  <c r="K1105" i="1"/>
  <c r="L1105" i="1"/>
  <c r="M1105" i="1"/>
  <c r="N1105" i="1"/>
  <c r="O1105" i="1"/>
  <c r="P1105" i="1"/>
  <c r="Q1105" i="1"/>
  <c r="R1105" i="1"/>
  <c r="S1105" i="1"/>
  <c r="T1105" i="1"/>
  <c r="U1105" i="1"/>
  <c r="V1105" i="1"/>
  <c r="W1105" i="1"/>
  <c r="X1105" i="1"/>
  <c r="Y1105" i="1"/>
  <c r="Z1105" i="1"/>
  <c r="AA1105" i="1"/>
  <c r="AB1105" i="1"/>
  <c r="AC1105" i="1"/>
  <c r="AD1105" i="1"/>
  <c r="AE1105" i="1"/>
  <c r="AF1105" i="1"/>
  <c r="AG1105" i="1"/>
  <c r="AH1105" i="1"/>
  <c r="AI1105" i="1"/>
  <c r="AJ1105" i="1"/>
  <c r="AK1105" i="1"/>
  <c r="AL1105" i="1"/>
  <c r="AM1105" i="1"/>
  <c r="A1106" i="1"/>
  <c r="B1106" i="1"/>
  <c r="C1106" i="1"/>
  <c r="D1106" i="1"/>
  <c r="E1106" i="1"/>
  <c r="F1106" i="1"/>
  <c r="G1106" i="1"/>
  <c r="H1106" i="1"/>
  <c r="I1106" i="1"/>
  <c r="J1106" i="1"/>
  <c r="K1106" i="1"/>
  <c r="L1106" i="1"/>
  <c r="M1106" i="1"/>
  <c r="N1106" i="1"/>
  <c r="O1106" i="1"/>
  <c r="P1106" i="1"/>
  <c r="Q1106" i="1"/>
  <c r="R1106" i="1"/>
  <c r="S1106" i="1"/>
  <c r="T1106" i="1"/>
  <c r="U1106" i="1"/>
  <c r="V1106" i="1"/>
  <c r="W1106" i="1"/>
  <c r="X1106" i="1"/>
  <c r="Y1106" i="1"/>
  <c r="Z1106" i="1"/>
  <c r="AA1106" i="1"/>
  <c r="AB1106" i="1"/>
  <c r="AC1106" i="1"/>
  <c r="AD1106" i="1"/>
  <c r="AE1106" i="1"/>
  <c r="AF1106" i="1"/>
  <c r="AG1106" i="1"/>
  <c r="AH1106" i="1"/>
  <c r="AI1106" i="1"/>
  <c r="AJ1106" i="1"/>
  <c r="AK1106" i="1"/>
  <c r="AL1106" i="1"/>
  <c r="AM1106" i="1"/>
  <c r="A1107" i="1"/>
  <c r="B1107" i="1"/>
  <c r="C1107" i="1"/>
  <c r="D1107" i="1"/>
  <c r="E1107" i="1"/>
  <c r="F1107" i="1"/>
  <c r="G1107" i="1"/>
  <c r="H1107" i="1"/>
  <c r="I1107" i="1"/>
  <c r="J1107" i="1"/>
  <c r="K1107" i="1"/>
  <c r="L1107" i="1"/>
  <c r="M1107" i="1"/>
  <c r="N1107" i="1"/>
  <c r="O1107" i="1"/>
  <c r="P1107" i="1"/>
  <c r="Q1107" i="1"/>
  <c r="R1107" i="1"/>
  <c r="S1107" i="1"/>
  <c r="T1107" i="1"/>
  <c r="U1107" i="1"/>
  <c r="V1107" i="1"/>
  <c r="W1107" i="1"/>
  <c r="X1107" i="1"/>
  <c r="Y1107" i="1"/>
  <c r="Z1107" i="1"/>
  <c r="AA1107" i="1"/>
  <c r="AB1107" i="1"/>
  <c r="AC1107" i="1"/>
  <c r="AD1107" i="1"/>
  <c r="AE1107" i="1"/>
  <c r="AF1107" i="1"/>
  <c r="AG1107" i="1"/>
  <c r="AH1107" i="1"/>
  <c r="AI1107" i="1"/>
  <c r="AJ1107" i="1"/>
  <c r="AK1107" i="1"/>
  <c r="AL1107" i="1"/>
  <c r="AM1107" i="1"/>
  <c r="A1108" i="1"/>
  <c r="B1108" i="1"/>
  <c r="C1108" i="1"/>
  <c r="D1108" i="1"/>
  <c r="E1108" i="1"/>
  <c r="F1108" i="1"/>
  <c r="G1108" i="1"/>
  <c r="H1108" i="1"/>
  <c r="I1108" i="1"/>
  <c r="J1108" i="1"/>
  <c r="K1108" i="1"/>
  <c r="L1108" i="1"/>
  <c r="M1108" i="1"/>
  <c r="N1108" i="1"/>
  <c r="O1108" i="1"/>
  <c r="P1108" i="1"/>
  <c r="Q1108" i="1"/>
  <c r="R1108" i="1"/>
  <c r="S1108" i="1"/>
  <c r="T1108" i="1"/>
  <c r="U1108" i="1"/>
  <c r="V1108" i="1"/>
  <c r="W1108" i="1"/>
  <c r="X1108" i="1"/>
  <c r="Y1108" i="1"/>
  <c r="Z1108" i="1"/>
  <c r="AA1108" i="1"/>
  <c r="AB1108" i="1"/>
  <c r="AC1108" i="1"/>
  <c r="AD1108" i="1"/>
  <c r="AE1108" i="1"/>
  <c r="AF1108" i="1"/>
  <c r="AG1108" i="1"/>
  <c r="AH1108" i="1"/>
  <c r="AI1108" i="1"/>
  <c r="AJ1108" i="1"/>
  <c r="AK1108" i="1"/>
  <c r="AL1108" i="1"/>
  <c r="AM1108" i="1"/>
  <c r="A1109" i="1"/>
  <c r="B1109" i="1"/>
  <c r="C1109" i="1"/>
  <c r="D1109" i="1"/>
  <c r="E1109" i="1"/>
  <c r="F1109" i="1"/>
  <c r="G1109" i="1"/>
  <c r="H1109" i="1"/>
  <c r="I1109" i="1"/>
  <c r="J1109" i="1"/>
  <c r="K1109" i="1"/>
  <c r="L1109" i="1"/>
  <c r="M1109" i="1"/>
  <c r="N1109" i="1"/>
  <c r="O1109" i="1"/>
  <c r="P1109" i="1"/>
  <c r="Q1109" i="1"/>
  <c r="R1109" i="1"/>
  <c r="S1109" i="1"/>
  <c r="T1109" i="1"/>
  <c r="U1109" i="1"/>
  <c r="V1109" i="1"/>
  <c r="W1109" i="1"/>
  <c r="X1109" i="1"/>
  <c r="Y1109" i="1"/>
  <c r="Z1109" i="1"/>
  <c r="AA1109" i="1"/>
  <c r="AB1109" i="1"/>
  <c r="AC1109" i="1"/>
  <c r="AD1109" i="1"/>
  <c r="AE1109" i="1"/>
  <c r="AF1109" i="1"/>
  <c r="AG1109" i="1"/>
  <c r="AH1109" i="1"/>
  <c r="AI1109" i="1"/>
  <c r="AJ1109" i="1"/>
  <c r="AK1109" i="1"/>
  <c r="AL1109" i="1"/>
  <c r="AM1109" i="1"/>
  <c r="A1110" i="1"/>
  <c r="B1110" i="1"/>
  <c r="C1110" i="1"/>
  <c r="D1110" i="1"/>
  <c r="E1110" i="1"/>
  <c r="F1110" i="1"/>
  <c r="G1110" i="1"/>
  <c r="H1110" i="1"/>
  <c r="I1110" i="1"/>
  <c r="J1110" i="1"/>
  <c r="K1110" i="1"/>
  <c r="L1110" i="1"/>
  <c r="M1110" i="1"/>
  <c r="N1110" i="1"/>
  <c r="O1110" i="1"/>
  <c r="P1110" i="1"/>
  <c r="Q1110" i="1"/>
  <c r="R1110" i="1"/>
  <c r="S1110" i="1"/>
  <c r="T1110" i="1"/>
  <c r="U1110" i="1"/>
  <c r="V1110" i="1"/>
  <c r="W1110" i="1"/>
  <c r="X1110" i="1"/>
  <c r="Y1110" i="1"/>
  <c r="Z1110" i="1"/>
  <c r="AA1110" i="1"/>
  <c r="AB1110" i="1"/>
  <c r="AC1110" i="1"/>
  <c r="AD1110" i="1"/>
  <c r="AE1110" i="1"/>
  <c r="AF1110" i="1"/>
  <c r="AG1110" i="1"/>
  <c r="AH1110" i="1"/>
  <c r="AI1110" i="1"/>
  <c r="AJ1110" i="1"/>
  <c r="AK1110" i="1"/>
  <c r="AL1110" i="1"/>
  <c r="AM1110" i="1"/>
  <c r="A1111" i="1"/>
  <c r="B1111" i="1"/>
  <c r="C1111" i="1"/>
  <c r="D1111" i="1"/>
  <c r="E1111" i="1"/>
  <c r="F1111" i="1"/>
  <c r="G1111" i="1"/>
  <c r="H1111" i="1"/>
  <c r="I1111" i="1"/>
  <c r="J1111" i="1"/>
  <c r="K1111" i="1"/>
  <c r="L1111" i="1"/>
  <c r="M1111" i="1"/>
  <c r="N1111" i="1"/>
  <c r="O1111" i="1"/>
  <c r="P1111" i="1"/>
  <c r="Q1111" i="1"/>
  <c r="R1111" i="1"/>
  <c r="S1111" i="1"/>
  <c r="T1111" i="1"/>
  <c r="U1111" i="1"/>
  <c r="V1111" i="1"/>
  <c r="W1111" i="1"/>
  <c r="X1111" i="1"/>
  <c r="Y1111" i="1"/>
  <c r="Z1111" i="1"/>
  <c r="AA1111" i="1"/>
  <c r="AB1111" i="1"/>
  <c r="AC1111" i="1"/>
  <c r="AD1111" i="1"/>
  <c r="AE1111" i="1"/>
  <c r="AF1111" i="1"/>
  <c r="AG1111" i="1"/>
  <c r="AH1111" i="1"/>
  <c r="AI1111" i="1"/>
  <c r="AJ1111" i="1"/>
  <c r="AK1111" i="1"/>
  <c r="AL1111" i="1"/>
  <c r="AM1111" i="1"/>
  <c r="A1112" i="1"/>
  <c r="B1112" i="1"/>
  <c r="C1112" i="1"/>
  <c r="D1112" i="1"/>
  <c r="E1112" i="1"/>
  <c r="F1112" i="1"/>
  <c r="G1112" i="1"/>
  <c r="H1112" i="1"/>
  <c r="I1112" i="1"/>
  <c r="J1112" i="1"/>
  <c r="K1112" i="1"/>
  <c r="L1112" i="1"/>
  <c r="M1112" i="1"/>
  <c r="N1112" i="1"/>
  <c r="O1112" i="1"/>
  <c r="P1112" i="1"/>
  <c r="Q1112" i="1"/>
  <c r="R1112" i="1"/>
  <c r="S1112" i="1"/>
  <c r="T1112" i="1"/>
  <c r="U1112" i="1"/>
  <c r="V1112" i="1"/>
  <c r="W1112" i="1"/>
  <c r="X1112" i="1"/>
  <c r="Y1112" i="1"/>
  <c r="Z1112" i="1"/>
  <c r="AA1112" i="1"/>
  <c r="AB1112" i="1"/>
  <c r="AC1112" i="1"/>
  <c r="AD1112" i="1"/>
  <c r="AE1112" i="1"/>
  <c r="AF1112" i="1"/>
  <c r="AG1112" i="1"/>
  <c r="AH1112" i="1"/>
  <c r="AI1112" i="1"/>
  <c r="AJ1112" i="1"/>
  <c r="AK1112" i="1"/>
  <c r="AL1112" i="1"/>
  <c r="AM1112" i="1"/>
  <c r="A1113" i="1"/>
  <c r="B1113" i="1"/>
  <c r="C1113" i="1"/>
  <c r="D1113" i="1"/>
  <c r="E1113" i="1"/>
  <c r="F1113" i="1"/>
  <c r="G1113" i="1"/>
  <c r="H1113" i="1"/>
  <c r="I1113" i="1"/>
  <c r="J1113" i="1"/>
  <c r="K1113" i="1"/>
  <c r="L1113" i="1"/>
  <c r="M1113" i="1"/>
  <c r="N1113" i="1"/>
  <c r="O1113" i="1"/>
  <c r="P1113" i="1"/>
  <c r="Q1113" i="1"/>
  <c r="R1113" i="1"/>
  <c r="S1113" i="1"/>
  <c r="T1113" i="1"/>
  <c r="U1113" i="1"/>
  <c r="V1113" i="1"/>
  <c r="W1113" i="1"/>
  <c r="X1113" i="1"/>
  <c r="Y1113" i="1"/>
  <c r="Z1113" i="1"/>
  <c r="AA1113" i="1"/>
  <c r="AB1113" i="1"/>
  <c r="AC1113" i="1"/>
  <c r="AD1113" i="1"/>
  <c r="AE1113" i="1"/>
  <c r="AF1113" i="1"/>
  <c r="AG1113" i="1"/>
  <c r="AH1113" i="1"/>
  <c r="AI1113" i="1"/>
  <c r="AJ1113" i="1"/>
  <c r="AK1113" i="1"/>
  <c r="AL1113" i="1"/>
  <c r="AM1113" i="1"/>
  <c r="A1114" i="1"/>
  <c r="B1114" i="1"/>
  <c r="C1114" i="1"/>
  <c r="D1114" i="1"/>
  <c r="E1114" i="1"/>
  <c r="F1114" i="1"/>
  <c r="G1114" i="1"/>
  <c r="H1114" i="1"/>
  <c r="I1114" i="1"/>
  <c r="J1114" i="1"/>
  <c r="K1114" i="1"/>
  <c r="L1114" i="1"/>
  <c r="M1114" i="1"/>
  <c r="N1114" i="1"/>
  <c r="O1114" i="1"/>
  <c r="P1114" i="1"/>
  <c r="Q1114" i="1"/>
  <c r="R1114" i="1"/>
  <c r="S1114" i="1"/>
  <c r="T1114" i="1"/>
  <c r="U1114" i="1"/>
  <c r="V1114" i="1"/>
  <c r="W1114" i="1"/>
  <c r="X1114" i="1"/>
  <c r="Y1114" i="1"/>
  <c r="Z1114" i="1"/>
  <c r="AA1114" i="1"/>
  <c r="AB1114" i="1"/>
  <c r="AC1114" i="1"/>
  <c r="AD1114" i="1"/>
  <c r="AE1114" i="1"/>
  <c r="AF1114" i="1"/>
  <c r="AG1114" i="1"/>
  <c r="AH1114" i="1"/>
  <c r="AI1114" i="1"/>
  <c r="AJ1114" i="1"/>
  <c r="AK1114" i="1"/>
  <c r="AL1114" i="1"/>
  <c r="AM1114" i="1"/>
  <c r="A1115" i="1"/>
  <c r="B1115" i="1"/>
  <c r="C1115" i="1"/>
  <c r="D1115" i="1"/>
  <c r="E1115" i="1"/>
  <c r="F1115" i="1"/>
  <c r="G1115" i="1"/>
  <c r="H1115" i="1"/>
  <c r="I1115" i="1"/>
  <c r="J1115" i="1"/>
  <c r="K1115" i="1"/>
  <c r="L1115" i="1"/>
  <c r="M1115" i="1"/>
  <c r="N1115" i="1"/>
  <c r="O1115" i="1"/>
  <c r="P1115" i="1"/>
  <c r="Q1115" i="1"/>
  <c r="R1115" i="1"/>
  <c r="S1115" i="1"/>
  <c r="T1115" i="1"/>
  <c r="U1115" i="1"/>
  <c r="V1115" i="1"/>
  <c r="W1115" i="1"/>
  <c r="X1115" i="1"/>
  <c r="Y1115" i="1"/>
  <c r="Z1115" i="1"/>
  <c r="AA1115" i="1"/>
  <c r="AB1115" i="1"/>
  <c r="AC1115" i="1"/>
  <c r="AD1115" i="1"/>
  <c r="AE1115" i="1"/>
  <c r="AF1115" i="1"/>
  <c r="AG1115" i="1"/>
  <c r="AH1115" i="1"/>
  <c r="AI1115" i="1"/>
  <c r="AJ1115" i="1"/>
  <c r="AK1115" i="1"/>
  <c r="AL1115" i="1"/>
  <c r="AM1115" i="1"/>
  <c r="A1116" i="1"/>
  <c r="B1116" i="1"/>
  <c r="C1116" i="1"/>
  <c r="D1116" i="1"/>
  <c r="E1116" i="1"/>
  <c r="F1116" i="1"/>
  <c r="G1116" i="1"/>
  <c r="H1116" i="1"/>
  <c r="I1116" i="1"/>
  <c r="J1116" i="1"/>
  <c r="K1116" i="1"/>
  <c r="L1116" i="1"/>
  <c r="M1116" i="1"/>
  <c r="N1116" i="1"/>
  <c r="O1116" i="1"/>
  <c r="P1116" i="1"/>
  <c r="Q1116" i="1"/>
  <c r="R1116" i="1"/>
  <c r="S1116" i="1"/>
  <c r="T1116" i="1"/>
  <c r="U1116" i="1"/>
  <c r="V1116" i="1"/>
  <c r="W1116" i="1"/>
  <c r="X1116" i="1"/>
  <c r="Y1116" i="1"/>
  <c r="Z1116" i="1"/>
  <c r="AA1116" i="1"/>
  <c r="AB1116" i="1"/>
  <c r="AC1116" i="1"/>
  <c r="AD1116" i="1"/>
  <c r="AE1116" i="1"/>
  <c r="AF1116" i="1"/>
  <c r="AG1116" i="1"/>
  <c r="AH1116" i="1"/>
  <c r="AI1116" i="1"/>
  <c r="AJ1116" i="1"/>
  <c r="AK1116" i="1"/>
  <c r="AL1116" i="1"/>
  <c r="AM1116" i="1"/>
  <c r="A1117" i="1"/>
  <c r="B1117" i="1"/>
  <c r="C1117" i="1"/>
  <c r="D1117" i="1"/>
  <c r="E1117" i="1"/>
  <c r="F1117" i="1"/>
  <c r="G1117" i="1"/>
  <c r="H1117" i="1"/>
  <c r="I1117" i="1"/>
  <c r="J1117" i="1"/>
  <c r="K1117" i="1"/>
  <c r="L1117" i="1"/>
  <c r="M1117" i="1"/>
  <c r="N1117" i="1"/>
  <c r="O1117" i="1"/>
  <c r="P1117" i="1"/>
  <c r="Q1117" i="1"/>
  <c r="R1117" i="1"/>
  <c r="S1117" i="1"/>
  <c r="T1117" i="1"/>
  <c r="U1117" i="1"/>
  <c r="V1117" i="1"/>
  <c r="W1117" i="1"/>
  <c r="X1117" i="1"/>
  <c r="Y1117" i="1"/>
  <c r="Z1117" i="1"/>
  <c r="AA1117" i="1"/>
  <c r="AB1117" i="1"/>
  <c r="AC1117" i="1"/>
  <c r="AD1117" i="1"/>
  <c r="AE1117" i="1"/>
  <c r="AF1117" i="1"/>
  <c r="AG1117" i="1"/>
  <c r="AH1117" i="1"/>
  <c r="AI1117" i="1"/>
  <c r="AJ1117" i="1"/>
  <c r="AK1117" i="1"/>
  <c r="AL1117" i="1"/>
  <c r="AM1117" i="1"/>
  <c r="A1118" i="1"/>
  <c r="B1118" i="1"/>
  <c r="C1118" i="1"/>
  <c r="D1118" i="1"/>
  <c r="E1118" i="1"/>
  <c r="F1118" i="1"/>
  <c r="G1118" i="1"/>
  <c r="H1118" i="1"/>
  <c r="I1118" i="1"/>
  <c r="J1118" i="1"/>
  <c r="K1118" i="1"/>
  <c r="L1118" i="1"/>
  <c r="M1118" i="1"/>
  <c r="N1118" i="1"/>
  <c r="O1118" i="1"/>
  <c r="P1118" i="1"/>
  <c r="Q1118" i="1"/>
  <c r="R1118" i="1"/>
  <c r="S1118" i="1"/>
  <c r="T1118" i="1"/>
  <c r="U1118" i="1"/>
  <c r="V1118" i="1"/>
  <c r="W1118" i="1"/>
  <c r="X1118" i="1"/>
  <c r="Y1118" i="1"/>
  <c r="Z1118" i="1"/>
  <c r="AA1118" i="1"/>
  <c r="AB1118" i="1"/>
  <c r="AC1118" i="1"/>
  <c r="AD1118" i="1"/>
  <c r="AE1118" i="1"/>
  <c r="AF1118" i="1"/>
  <c r="AG1118" i="1"/>
  <c r="AH1118" i="1"/>
  <c r="AI1118" i="1"/>
  <c r="AJ1118" i="1"/>
  <c r="AK1118" i="1"/>
  <c r="AL1118" i="1"/>
  <c r="AM1118" i="1"/>
  <c r="A1119" i="1"/>
  <c r="B1119" i="1"/>
  <c r="C1119" i="1"/>
  <c r="D1119" i="1"/>
  <c r="E1119" i="1"/>
  <c r="F1119" i="1"/>
  <c r="G1119" i="1"/>
  <c r="H1119" i="1"/>
  <c r="I1119" i="1"/>
  <c r="J1119" i="1"/>
  <c r="K1119" i="1"/>
  <c r="L1119" i="1"/>
  <c r="M1119" i="1"/>
  <c r="N1119" i="1"/>
  <c r="O1119" i="1"/>
  <c r="P1119" i="1"/>
  <c r="Q1119" i="1"/>
  <c r="R1119" i="1"/>
  <c r="S1119" i="1"/>
  <c r="T1119" i="1"/>
  <c r="U1119" i="1"/>
  <c r="V1119" i="1"/>
  <c r="W1119" i="1"/>
  <c r="X1119" i="1"/>
  <c r="Y1119" i="1"/>
  <c r="Z1119" i="1"/>
  <c r="AA1119" i="1"/>
  <c r="AB1119" i="1"/>
  <c r="AC1119" i="1"/>
  <c r="AD1119" i="1"/>
  <c r="AE1119" i="1"/>
  <c r="AF1119" i="1"/>
  <c r="AG1119" i="1"/>
  <c r="AH1119" i="1"/>
  <c r="AI1119" i="1"/>
  <c r="AJ1119" i="1"/>
  <c r="AK1119" i="1"/>
  <c r="AL1119" i="1"/>
  <c r="AM1119" i="1"/>
  <c r="A1120" i="1"/>
  <c r="B1120" i="1"/>
  <c r="C1120" i="1"/>
  <c r="D1120" i="1"/>
  <c r="E1120" i="1"/>
  <c r="F1120" i="1"/>
  <c r="G1120" i="1"/>
  <c r="H1120" i="1"/>
  <c r="I1120" i="1"/>
  <c r="J1120" i="1"/>
  <c r="K1120" i="1"/>
  <c r="L1120" i="1"/>
  <c r="M1120" i="1"/>
  <c r="N1120" i="1"/>
  <c r="O1120" i="1"/>
  <c r="P1120" i="1"/>
  <c r="Q1120" i="1"/>
  <c r="R1120" i="1"/>
  <c r="S1120" i="1"/>
  <c r="T1120" i="1"/>
  <c r="U1120" i="1"/>
  <c r="V1120" i="1"/>
  <c r="W1120" i="1"/>
  <c r="X1120" i="1"/>
  <c r="Y1120" i="1"/>
  <c r="Z1120" i="1"/>
  <c r="AA1120" i="1"/>
  <c r="AB1120" i="1"/>
  <c r="AC1120" i="1"/>
  <c r="AD1120" i="1"/>
  <c r="AE1120" i="1"/>
  <c r="AF1120" i="1"/>
  <c r="AG1120" i="1"/>
  <c r="AH1120" i="1"/>
  <c r="AI1120" i="1"/>
  <c r="AJ1120" i="1"/>
  <c r="AK1120" i="1"/>
  <c r="AL1120" i="1"/>
  <c r="AM1120" i="1"/>
  <c r="A1121" i="1"/>
  <c r="B1121" i="1"/>
  <c r="C1121" i="1"/>
  <c r="D1121" i="1"/>
  <c r="E1121" i="1"/>
  <c r="F1121" i="1"/>
  <c r="G1121" i="1"/>
  <c r="H1121" i="1"/>
  <c r="I1121" i="1"/>
  <c r="J1121" i="1"/>
  <c r="K1121" i="1"/>
  <c r="L1121" i="1"/>
  <c r="M1121" i="1"/>
  <c r="N1121" i="1"/>
  <c r="O1121" i="1"/>
  <c r="P1121" i="1"/>
  <c r="Q1121" i="1"/>
  <c r="R1121" i="1"/>
  <c r="S1121" i="1"/>
  <c r="T1121" i="1"/>
  <c r="U1121" i="1"/>
  <c r="V1121" i="1"/>
  <c r="W1121" i="1"/>
  <c r="X1121" i="1"/>
  <c r="Y1121" i="1"/>
  <c r="Z1121" i="1"/>
  <c r="AA1121" i="1"/>
  <c r="AB1121" i="1"/>
  <c r="AC1121" i="1"/>
  <c r="AD1121" i="1"/>
  <c r="AE1121" i="1"/>
  <c r="AF1121" i="1"/>
  <c r="AG1121" i="1"/>
  <c r="AH1121" i="1"/>
  <c r="AI1121" i="1"/>
  <c r="AJ1121" i="1"/>
  <c r="AK1121" i="1"/>
  <c r="AL1121" i="1"/>
  <c r="AM1121" i="1"/>
  <c r="A1122" i="1"/>
  <c r="B1122" i="1"/>
  <c r="C1122" i="1"/>
  <c r="D1122" i="1"/>
  <c r="E1122" i="1"/>
  <c r="F1122" i="1"/>
  <c r="G1122" i="1"/>
  <c r="H1122" i="1"/>
  <c r="I1122" i="1"/>
  <c r="J1122" i="1"/>
  <c r="K1122" i="1"/>
  <c r="L1122" i="1"/>
  <c r="M1122" i="1"/>
  <c r="N1122" i="1"/>
  <c r="O1122" i="1"/>
  <c r="P1122" i="1"/>
  <c r="Q1122" i="1"/>
  <c r="R1122" i="1"/>
  <c r="S1122" i="1"/>
  <c r="T1122" i="1"/>
  <c r="U1122" i="1"/>
  <c r="V1122" i="1"/>
  <c r="W1122" i="1"/>
  <c r="X1122" i="1"/>
  <c r="Y1122" i="1"/>
  <c r="Z1122" i="1"/>
  <c r="AA1122" i="1"/>
  <c r="AB1122" i="1"/>
  <c r="AC1122" i="1"/>
  <c r="AD1122" i="1"/>
  <c r="AE1122" i="1"/>
  <c r="AF1122" i="1"/>
  <c r="AG1122" i="1"/>
  <c r="AH1122" i="1"/>
  <c r="AI1122" i="1"/>
  <c r="AJ1122" i="1"/>
  <c r="AK1122" i="1"/>
  <c r="AL1122" i="1"/>
  <c r="AM1122" i="1"/>
  <c r="A1123" i="1"/>
  <c r="B1123" i="1"/>
  <c r="C1123" i="1"/>
  <c r="D1123" i="1"/>
  <c r="E1123" i="1"/>
  <c r="F1123" i="1"/>
  <c r="G1123" i="1"/>
  <c r="H1123" i="1"/>
  <c r="I1123" i="1"/>
  <c r="J1123" i="1"/>
  <c r="K1123" i="1"/>
  <c r="L1123" i="1"/>
  <c r="M1123" i="1"/>
  <c r="N1123" i="1"/>
  <c r="O1123" i="1"/>
  <c r="P1123" i="1"/>
  <c r="Q1123" i="1"/>
  <c r="R1123" i="1"/>
  <c r="S1123" i="1"/>
  <c r="T1123" i="1"/>
  <c r="U1123" i="1"/>
  <c r="V1123" i="1"/>
  <c r="W1123" i="1"/>
  <c r="X1123" i="1"/>
  <c r="Y1123" i="1"/>
  <c r="Z1123" i="1"/>
  <c r="AA1123" i="1"/>
  <c r="AB1123" i="1"/>
  <c r="AC1123" i="1"/>
  <c r="AD1123" i="1"/>
  <c r="AE1123" i="1"/>
  <c r="AF1123" i="1"/>
  <c r="AG1123" i="1"/>
  <c r="AH1123" i="1"/>
  <c r="AI1123" i="1"/>
  <c r="AJ1123" i="1"/>
  <c r="AK1123" i="1"/>
  <c r="AL1123" i="1"/>
  <c r="AM1123" i="1"/>
  <c r="A1124" i="1"/>
  <c r="B1124" i="1"/>
  <c r="C1124" i="1"/>
  <c r="D1124" i="1"/>
  <c r="E1124" i="1"/>
  <c r="F1124" i="1"/>
  <c r="G1124" i="1"/>
  <c r="H1124" i="1"/>
  <c r="I1124" i="1"/>
  <c r="J1124" i="1"/>
  <c r="K1124" i="1"/>
  <c r="L1124" i="1"/>
  <c r="M1124" i="1"/>
  <c r="N1124" i="1"/>
  <c r="O1124" i="1"/>
  <c r="P1124" i="1"/>
  <c r="Q1124" i="1"/>
  <c r="R1124" i="1"/>
  <c r="S1124" i="1"/>
  <c r="T1124" i="1"/>
  <c r="U1124" i="1"/>
  <c r="V1124" i="1"/>
  <c r="W1124" i="1"/>
  <c r="X1124" i="1"/>
  <c r="Y1124" i="1"/>
  <c r="Z1124" i="1"/>
  <c r="AA1124" i="1"/>
  <c r="AB1124" i="1"/>
  <c r="AC1124" i="1"/>
  <c r="AD1124" i="1"/>
  <c r="AE1124" i="1"/>
  <c r="AF1124" i="1"/>
  <c r="AG1124" i="1"/>
  <c r="AH1124" i="1"/>
  <c r="AI1124" i="1"/>
  <c r="AJ1124" i="1"/>
  <c r="AK1124" i="1"/>
  <c r="AL1124" i="1"/>
  <c r="AM1124" i="1"/>
  <c r="A1125" i="1"/>
  <c r="B1125" i="1"/>
  <c r="C1125" i="1"/>
  <c r="D1125" i="1"/>
  <c r="E1125" i="1"/>
  <c r="F1125" i="1"/>
  <c r="G1125" i="1"/>
  <c r="H1125" i="1"/>
  <c r="I1125" i="1"/>
  <c r="J1125" i="1"/>
  <c r="K1125" i="1"/>
  <c r="L1125" i="1"/>
  <c r="M1125" i="1"/>
  <c r="N1125" i="1"/>
  <c r="O1125" i="1"/>
  <c r="P1125" i="1"/>
  <c r="Q1125" i="1"/>
  <c r="R1125" i="1"/>
  <c r="S1125" i="1"/>
  <c r="T1125" i="1"/>
  <c r="U1125" i="1"/>
  <c r="V1125" i="1"/>
  <c r="W1125" i="1"/>
  <c r="X1125" i="1"/>
  <c r="Y1125" i="1"/>
  <c r="Z1125" i="1"/>
  <c r="AA1125" i="1"/>
  <c r="AB1125" i="1"/>
  <c r="AC1125" i="1"/>
  <c r="AD1125" i="1"/>
  <c r="AE1125" i="1"/>
  <c r="AF1125" i="1"/>
  <c r="AG1125" i="1"/>
  <c r="AH1125" i="1"/>
  <c r="AI1125" i="1"/>
  <c r="AJ1125" i="1"/>
  <c r="AK1125" i="1"/>
  <c r="AL1125" i="1"/>
  <c r="AM1125" i="1"/>
  <c r="A1126" i="1"/>
  <c r="B1126" i="1"/>
  <c r="C1126" i="1"/>
  <c r="D1126" i="1"/>
  <c r="E1126" i="1"/>
  <c r="F1126" i="1"/>
  <c r="G1126" i="1"/>
  <c r="H1126" i="1"/>
  <c r="I1126" i="1"/>
  <c r="J1126" i="1"/>
  <c r="K1126" i="1"/>
  <c r="L1126" i="1"/>
  <c r="M1126" i="1"/>
  <c r="N1126" i="1"/>
  <c r="O1126" i="1"/>
  <c r="P1126" i="1"/>
  <c r="Q1126" i="1"/>
  <c r="R1126" i="1"/>
  <c r="S1126" i="1"/>
  <c r="T1126" i="1"/>
  <c r="U1126" i="1"/>
  <c r="V1126" i="1"/>
  <c r="W1126" i="1"/>
  <c r="X1126" i="1"/>
  <c r="Y1126" i="1"/>
  <c r="Z1126" i="1"/>
  <c r="AA1126" i="1"/>
  <c r="AB1126" i="1"/>
  <c r="AC1126" i="1"/>
  <c r="AD1126" i="1"/>
  <c r="AE1126" i="1"/>
  <c r="AF1126" i="1"/>
  <c r="AG1126" i="1"/>
  <c r="AH1126" i="1"/>
  <c r="AI1126" i="1"/>
  <c r="AJ1126" i="1"/>
  <c r="AK1126" i="1"/>
  <c r="AL1126" i="1"/>
  <c r="AM1126" i="1"/>
  <c r="A1127" i="1"/>
  <c r="B1127" i="1"/>
  <c r="C1127" i="1"/>
  <c r="D1127" i="1"/>
  <c r="E1127" i="1"/>
  <c r="F1127" i="1"/>
  <c r="G1127" i="1"/>
  <c r="H1127" i="1"/>
  <c r="I1127" i="1"/>
  <c r="J1127" i="1"/>
  <c r="K1127" i="1"/>
  <c r="L1127" i="1"/>
  <c r="M1127" i="1"/>
  <c r="N1127" i="1"/>
  <c r="O1127" i="1"/>
  <c r="P1127" i="1"/>
  <c r="Q1127" i="1"/>
  <c r="R1127" i="1"/>
  <c r="S1127" i="1"/>
  <c r="T1127" i="1"/>
  <c r="U1127" i="1"/>
  <c r="V1127" i="1"/>
  <c r="W1127" i="1"/>
  <c r="X1127" i="1"/>
  <c r="Y1127" i="1"/>
  <c r="Z1127" i="1"/>
  <c r="AA1127" i="1"/>
  <c r="AB1127" i="1"/>
  <c r="AC1127" i="1"/>
  <c r="AD1127" i="1"/>
  <c r="AE1127" i="1"/>
  <c r="AF1127" i="1"/>
  <c r="AG1127" i="1"/>
  <c r="AH1127" i="1"/>
  <c r="AI1127" i="1"/>
  <c r="AJ1127" i="1"/>
  <c r="AK1127" i="1"/>
  <c r="AL1127" i="1"/>
  <c r="AM1127" i="1"/>
  <c r="A1128" i="1"/>
  <c r="B1128" i="1"/>
  <c r="C1128" i="1"/>
  <c r="D1128" i="1"/>
  <c r="E1128" i="1"/>
  <c r="F1128" i="1"/>
  <c r="G1128" i="1"/>
  <c r="H1128" i="1"/>
  <c r="I1128" i="1"/>
  <c r="J1128" i="1"/>
  <c r="K1128" i="1"/>
  <c r="L1128" i="1"/>
  <c r="M1128" i="1"/>
  <c r="N1128" i="1"/>
  <c r="O1128" i="1"/>
  <c r="P1128" i="1"/>
  <c r="Q1128" i="1"/>
  <c r="R1128" i="1"/>
  <c r="S1128" i="1"/>
  <c r="T1128" i="1"/>
  <c r="U1128" i="1"/>
  <c r="V1128" i="1"/>
  <c r="W1128" i="1"/>
  <c r="X1128" i="1"/>
  <c r="Y1128" i="1"/>
  <c r="Z1128" i="1"/>
  <c r="AA1128" i="1"/>
  <c r="AB1128" i="1"/>
  <c r="AC1128" i="1"/>
  <c r="AD1128" i="1"/>
  <c r="AE1128" i="1"/>
  <c r="AF1128" i="1"/>
  <c r="AG1128" i="1"/>
  <c r="AH1128" i="1"/>
  <c r="AI1128" i="1"/>
  <c r="AJ1128" i="1"/>
  <c r="AK1128" i="1"/>
  <c r="AL1128" i="1"/>
  <c r="AM1128" i="1"/>
  <c r="A1129" i="1"/>
  <c r="B1129" i="1"/>
  <c r="C1129" i="1"/>
  <c r="D1129" i="1"/>
  <c r="E1129" i="1"/>
  <c r="F1129" i="1"/>
  <c r="G1129" i="1"/>
  <c r="H1129" i="1"/>
  <c r="I1129" i="1"/>
  <c r="J1129" i="1"/>
  <c r="K1129" i="1"/>
  <c r="L1129" i="1"/>
  <c r="M1129" i="1"/>
  <c r="N1129" i="1"/>
  <c r="O1129" i="1"/>
  <c r="P1129" i="1"/>
  <c r="Q1129" i="1"/>
  <c r="R1129" i="1"/>
  <c r="S1129" i="1"/>
  <c r="T1129" i="1"/>
  <c r="U1129" i="1"/>
  <c r="V1129" i="1"/>
  <c r="W1129" i="1"/>
  <c r="X1129" i="1"/>
  <c r="Y1129" i="1"/>
  <c r="Z1129" i="1"/>
  <c r="AA1129" i="1"/>
  <c r="AB1129" i="1"/>
  <c r="AC1129" i="1"/>
  <c r="AD1129" i="1"/>
  <c r="AE1129" i="1"/>
  <c r="AF1129" i="1"/>
  <c r="AG1129" i="1"/>
  <c r="AH1129" i="1"/>
  <c r="AI1129" i="1"/>
  <c r="AJ1129" i="1"/>
  <c r="AK1129" i="1"/>
  <c r="AL1129" i="1"/>
  <c r="AM1129" i="1"/>
  <c r="A1130" i="1"/>
  <c r="B1130" i="1"/>
  <c r="C1130" i="1"/>
  <c r="D1130" i="1"/>
  <c r="E1130" i="1"/>
  <c r="F1130" i="1"/>
  <c r="G1130" i="1"/>
  <c r="H1130" i="1"/>
  <c r="I1130" i="1"/>
  <c r="J1130" i="1"/>
  <c r="K1130" i="1"/>
  <c r="L1130" i="1"/>
  <c r="M1130" i="1"/>
  <c r="N1130" i="1"/>
  <c r="O1130" i="1"/>
  <c r="P1130" i="1"/>
  <c r="Q1130" i="1"/>
  <c r="R1130" i="1"/>
  <c r="S1130" i="1"/>
  <c r="T1130" i="1"/>
  <c r="U1130" i="1"/>
  <c r="V1130" i="1"/>
  <c r="W1130" i="1"/>
  <c r="X1130" i="1"/>
  <c r="Y1130" i="1"/>
  <c r="Z1130" i="1"/>
  <c r="AA1130" i="1"/>
  <c r="AB1130" i="1"/>
  <c r="AC1130" i="1"/>
  <c r="AD1130" i="1"/>
  <c r="AE1130" i="1"/>
  <c r="AF1130" i="1"/>
  <c r="AG1130" i="1"/>
  <c r="AH1130" i="1"/>
  <c r="AI1130" i="1"/>
  <c r="AJ1130" i="1"/>
  <c r="AK1130" i="1"/>
  <c r="AL1130" i="1"/>
  <c r="AM1130" i="1"/>
  <c r="A1131" i="1"/>
  <c r="B1131" i="1"/>
  <c r="C1131" i="1"/>
  <c r="D1131" i="1"/>
  <c r="E1131" i="1"/>
  <c r="F1131" i="1"/>
  <c r="G1131" i="1"/>
  <c r="H1131" i="1"/>
  <c r="I1131" i="1"/>
  <c r="J1131" i="1"/>
  <c r="K1131" i="1"/>
  <c r="L1131" i="1"/>
  <c r="M1131" i="1"/>
  <c r="N1131" i="1"/>
  <c r="O1131" i="1"/>
  <c r="P1131" i="1"/>
  <c r="Q1131" i="1"/>
  <c r="R1131" i="1"/>
  <c r="S1131" i="1"/>
  <c r="T1131" i="1"/>
  <c r="U1131" i="1"/>
  <c r="V1131" i="1"/>
  <c r="W1131" i="1"/>
  <c r="X1131" i="1"/>
  <c r="Y1131" i="1"/>
  <c r="Z1131" i="1"/>
  <c r="AA1131" i="1"/>
  <c r="AB1131" i="1"/>
  <c r="AC1131" i="1"/>
  <c r="AD1131" i="1"/>
  <c r="AE1131" i="1"/>
  <c r="AF1131" i="1"/>
  <c r="AG1131" i="1"/>
  <c r="AH1131" i="1"/>
  <c r="AI1131" i="1"/>
  <c r="AJ1131" i="1"/>
  <c r="AK1131" i="1"/>
  <c r="AL1131" i="1"/>
  <c r="AM1131" i="1"/>
  <c r="A1132" i="1"/>
  <c r="B1132" i="1"/>
  <c r="C1132" i="1"/>
  <c r="D1132" i="1"/>
  <c r="E1132" i="1"/>
  <c r="F1132" i="1"/>
  <c r="G1132" i="1"/>
  <c r="H1132" i="1"/>
  <c r="I1132" i="1"/>
  <c r="J1132" i="1"/>
  <c r="K1132" i="1"/>
  <c r="L1132" i="1"/>
  <c r="M1132" i="1"/>
  <c r="N1132" i="1"/>
  <c r="O1132" i="1"/>
  <c r="P1132" i="1"/>
  <c r="Q1132" i="1"/>
  <c r="R1132" i="1"/>
  <c r="S1132" i="1"/>
  <c r="T1132" i="1"/>
  <c r="U1132" i="1"/>
  <c r="V1132" i="1"/>
  <c r="W1132" i="1"/>
  <c r="X1132" i="1"/>
  <c r="Y1132" i="1"/>
  <c r="Z1132" i="1"/>
  <c r="AA1132" i="1"/>
  <c r="AB1132" i="1"/>
  <c r="AC1132" i="1"/>
  <c r="AD1132" i="1"/>
  <c r="AE1132" i="1"/>
  <c r="AF1132" i="1"/>
  <c r="AG1132" i="1"/>
  <c r="AH1132" i="1"/>
  <c r="AI1132" i="1"/>
  <c r="AJ1132" i="1"/>
  <c r="AK1132" i="1"/>
  <c r="AL1132" i="1"/>
  <c r="AM1132" i="1"/>
  <c r="A1133" i="1"/>
  <c r="B1133" i="1"/>
  <c r="C1133" i="1"/>
  <c r="D1133" i="1"/>
  <c r="E1133" i="1"/>
  <c r="F1133" i="1"/>
  <c r="G1133" i="1"/>
  <c r="H1133" i="1"/>
  <c r="I1133" i="1"/>
  <c r="J1133" i="1"/>
  <c r="K1133" i="1"/>
  <c r="L1133" i="1"/>
  <c r="M1133" i="1"/>
  <c r="N1133" i="1"/>
  <c r="O1133" i="1"/>
  <c r="P1133" i="1"/>
  <c r="Q1133" i="1"/>
  <c r="R1133" i="1"/>
  <c r="S1133" i="1"/>
  <c r="T1133" i="1"/>
  <c r="U1133" i="1"/>
  <c r="V1133" i="1"/>
  <c r="W1133" i="1"/>
  <c r="X1133" i="1"/>
  <c r="Y1133" i="1"/>
  <c r="Z1133" i="1"/>
  <c r="AA1133" i="1"/>
  <c r="AB1133" i="1"/>
  <c r="AC1133" i="1"/>
  <c r="AD1133" i="1"/>
  <c r="AE1133" i="1"/>
  <c r="AF1133" i="1"/>
  <c r="AG1133" i="1"/>
  <c r="AH1133" i="1"/>
  <c r="AI1133" i="1"/>
  <c r="AJ1133" i="1"/>
  <c r="AK1133" i="1"/>
  <c r="AL1133" i="1"/>
  <c r="AM1133" i="1"/>
  <c r="A1134" i="1"/>
  <c r="B1134" i="1"/>
  <c r="C1134" i="1"/>
  <c r="D1134" i="1"/>
  <c r="E1134" i="1"/>
  <c r="F1134" i="1"/>
  <c r="G1134" i="1"/>
  <c r="H1134" i="1"/>
  <c r="I1134" i="1"/>
  <c r="J1134" i="1"/>
  <c r="K1134" i="1"/>
  <c r="L1134" i="1"/>
  <c r="M1134" i="1"/>
  <c r="N1134" i="1"/>
  <c r="O1134" i="1"/>
  <c r="P1134" i="1"/>
  <c r="Q1134" i="1"/>
  <c r="R1134" i="1"/>
  <c r="S1134" i="1"/>
  <c r="T1134" i="1"/>
  <c r="U1134" i="1"/>
  <c r="V1134" i="1"/>
  <c r="W1134" i="1"/>
  <c r="X1134" i="1"/>
  <c r="Y1134" i="1"/>
  <c r="Z1134" i="1"/>
  <c r="AA1134" i="1"/>
  <c r="AB1134" i="1"/>
  <c r="AC1134" i="1"/>
  <c r="AD1134" i="1"/>
  <c r="AE1134" i="1"/>
  <c r="AF1134" i="1"/>
  <c r="AG1134" i="1"/>
  <c r="AH1134" i="1"/>
  <c r="AI1134" i="1"/>
  <c r="AJ1134" i="1"/>
  <c r="AK1134" i="1"/>
  <c r="AL1134" i="1"/>
  <c r="AM1134" i="1"/>
  <c r="A1135" i="1"/>
  <c r="B1135" i="1"/>
  <c r="C1135" i="1"/>
  <c r="D1135" i="1"/>
  <c r="E1135" i="1"/>
  <c r="F1135" i="1"/>
  <c r="G1135" i="1"/>
  <c r="H1135" i="1"/>
  <c r="I1135" i="1"/>
  <c r="J1135" i="1"/>
  <c r="K1135" i="1"/>
  <c r="L1135" i="1"/>
  <c r="M1135" i="1"/>
  <c r="N1135" i="1"/>
  <c r="O1135" i="1"/>
  <c r="P1135" i="1"/>
  <c r="Q1135" i="1"/>
  <c r="R1135" i="1"/>
  <c r="S1135" i="1"/>
  <c r="T1135" i="1"/>
  <c r="U1135" i="1"/>
  <c r="V1135" i="1"/>
  <c r="W1135" i="1"/>
  <c r="X1135" i="1"/>
  <c r="Y1135" i="1"/>
  <c r="Z1135" i="1"/>
  <c r="AA1135" i="1"/>
  <c r="AB1135" i="1"/>
  <c r="AC1135" i="1"/>
  <c r="AD1135" i="1"/>
  <c r="AE1135" i="1"/>
  <c r="AF1135" i="1"/>
  <c r="AG1135" i="1"/>
  <c r="AH1135" i="1"/>
  <c r="AI1135" i="1"/>
  <c r="AJ1135" i="1"/>
  <c r="AK1135" i="1"/>
  <c r="AL1135" i="1"/>
  <c r="AM1135" i="1"/>
  <c r="A1136" i="1"/>
  <c r="B1136" i="1"/>
  <c r="C1136" i="1"/>
  <c r="D1136" i="1"/>
  <c r="E1136" i="1"/>
  <c r="F1136" i="1"/>
  <c r="G1136" i="1"/>
  <c r="H1136" i="1"/>
  <c r="I1136" i="1"/>
  <c r="J1136" i="1"/>
  <c r="K1136" i="1"/>
  <c r="L1136" i="1"/>
  <c r="M1136" i="1"/>
  <c r="N1136" i="1"/>
  <c r="O1136" i="1"/>
  <c r="P1136" i="1"/>
  <c r="Q1136" i="1"/>
  <c r="R1136" i="1"/>
  <c r="S1136" i="1"/>
  <c r="T1136" i="1"/>
  <c r="U1136" i="1"/>
  <c r="V1136" i="1"/>
  <c r="W1136" i="1"/>
  <c r="X1136" i="1"/>
  <c r="Y1136" i="1"/>
  <c r="Z1136" i="1"/>
  <c r="AA1136" i="1"/>
  <c r="AB1136" i="1"/>
  <c r="AC1136" i="1"/>
  <c r="AD1136" i="1"/>
  <c r="AE1136" i="1"/>
  <c r="AF1136" i="1"/>
  <c r="AG1136" i="1"/>
  <c r="AH1136" i="1"/>
  <c r="AI1136" i="1"/>
  <c r="AJ1136" i="1"/>
  <c r="AK1136" i="1"/>
  <c r="AL1136" i="1"/>
  <c r="AM1136" i="1"/>
  <c r="A1137" i="1"/>
  <c r="B1137" i="1"/>
  <c r="C1137" i="1"/>
  <c r="D1137" i="1"/>
  <c r="E1137" i="1"/>
  <c r="F1137" i="1"/>
  <c r="G1137" i="1"/>
  <c r="H1137" i="1"/>
  <c r="I1137" i="1"/>
  <c r="J1137" i="1"/>
  <c r="K1137" i="1"/>
  <c r="L1137" i="1"/>
  <c r="M1137" i="1"/>
  <c r="N1137" i="1"/>
  <c r="O1137" i="1"/>
  <c r="P1137" i="1"/>
  <c r="Q1137" i="1"/>
  <c r="R1137" i="1"/>
  <c r="S1137" i="1"/>
  <c r="T1137" i="1"/>
  <c r="U1137" i="1"/>
  <c r="V1137" i="1"/>
  <c r="W1137" i="1"/>
  <c r="X1137" i="1"/>
  <c r="Y1137" i="1"/>
  <c r="Z1137" i="1"/>
  <c r="AA1137" i="1"/>
  <c r="AB1137" i="1"/>
  <c r="AC1137" i="1"/>
  <c r="AD1137" i="1"/>
  <c r="AE1137" i="1"/>
  <c r="AF1137" i="1"/>
  <c r="AG1137" i="1"/>
  <c r="AH1137" i="1"/>
  <c r="AI1137" i="1"/>
  <c r="AJ1137" i="1"/>
  <c r="AK1137" i="1"/>
  <c r="AL1137" i="1"/>
  <c r="AM1137" i="1"/>
  <c r="A1138" i="1"/>
  <c r="B1138" i="1"/>
  <c r="C1138" i="1"/>
  <c r="D1138" i="1"/>
  <c r="E1138" i="1"/>
  <c r="F1138" i="1"/>
  <c r="G1138" i="1"/>
  <c r="H1138" i="1"/>
  <c r="I1138" i="1"/>
  <c r="J1138" i="1"/>
  <c r="K1138" i="1"/>
  <c r="L1138" i="1"/>
  <c r="M1138" i="1"/>
  <c r="N1138" i="1"/>
  <c r="O1138" i="1"/>
  <c r="P1138" i="1"/>
  <c r="Q1138" i="1"/>
  <c r="R1138" i="1"/>
  <c r="S1138" i="1"/>
  <c r="T1138" i="1"/>
  <c r="U1138" i="1"/>
  <c r="V1138" i="1"/>
  <c r="W1138" i="1"/>
  <c r="X1138" i="1"/>
  <c r="Y1138" i="1"/>
  <c r="Z1138" i="1"/>
  <c r="AA1138" i="1"/>
  <c r="AB1138" i="1"/>
  <c r="AC1138" i="1"/>
  <c r="AD1138" i="1"/>
  <c r="AE1138" i="1"/>
  <c r="AF1138" i="1"/>
  <c r="AG1138" i="1"/>
  <c r="AH1138" i="1"/>
  <c r="AI1138" i="1"/>
  <c r="AJ1138" i="1"/>
  <c r="AK1138" i="1"/>
  <c r="AL1138" i="1"/>
  <c r="AM1138" i="1"/>
  <c r="A1139" i="1"/>
  <c r="B1139" i="1"/>
  <c r="C1139" i="1"/>
  <c r="D1139" i="1"/>
  <c r="E1139" i="1"/>
  <c r="F1139" i="1"/>
  <c r="G1139" i="1"/>
  <c r="H1139" i="1"/>
  <c r="I1139" i="1"/>
  <c r="J1139" i="1"/>
  <c r="K1139" i="1"/>
  <c r="L1139" i="1"/>
  <c r="M1139" i="1"/>
  <c r="N1139" i="1"/>
  <c r="O1139" i="1"/>
  <c r="P1139" i="1"/>
  <c r="Q1139" i="1"/>
  <c r="R1139" i="1"/>
  <c r="S1139" i="1"/>
  <c r="T1139" i="1"/>
  <c r="U1139" i="1"/>
  <c r="V1139" i="1"/>
  <c r="W1139" i="1"/>
  <c r="X1139" i="1"/>
  <c r="Y1139" i="1"/>
  <c r="Z1139" i="1"/>
  <c r="AA1139" i="1"/>
  <c r="AB1139" i="1"/>
  <c r="AC1139" i="1"/>
  <c r="AD1139" i="1"/>
  <c r="AE1139" i="1"/>
  <c r="AF1139" i="1"/>
  <c r="AG1139" i="1"/>
  <c r="AH1139" i="1"/>
  <c r="AI1139" i="1"/>
  <c r="AJ1139" i="1"/>
  <c r="AK1139" i="1"/>
  <c r="AL1139" i="1"/>
  <c r="AM1139" i="1"/>
  <c r="A1140" i="1"/>
  <c r="B1140" i="1"/>
  <c r="C1140" i="1"/>
  <c r="D1140" i="1"/>
  <c r="E1140" i="1"/>
  <c r="F1140" i="1"/>
  <c r="G1140" i="1"/>
  <c r="H1140" i="1"/>
  <c r="I1140" i="1"/>
  <c r="J1140" i="1"/>
  <c r="K1140" i="1"/>
  <c r="L1140" i="1"/>
  <c r="M1140" i="1"/>
  <c r="N1140" i="1"/>
  <c r="O1140" i="1"/>
  <c r="P1140" i="1"/>
  <c r="Q1140" i="1"/>
  <c r="R1140" i="1"/>
  <c r="S1140" i="1"/>
  <c r="T1140" i="1"/>
  <c r="U1140" i="1"/>
  <c r="V1140" i="1"/>
  <c r="W1140" i="1"/>
  <c r="X1140" i="1"/>
  <c r="Y1140" i="1"/>
  <c r="Z1140" i="1"/>
  <c r="AA1140" i="1"/>
  <c r="AB1140" i="1"/>
  <c r="AC1140" i="1"/>
  <c r="AD1140" i="1"/>
  <c r="AE1140" i="1"/>
  <c r="AF1140" i="1"/>
  <c r="AG1140" i="1"/>
  <c r="AH1140" i="1"/>
  <c r="AI1140" i="1"/>
  <c r="AJ1140" i="1"/>
  <c r="AK1140" i="1"/>
  <c r="AL1140" i="1"/>
  <c r="AM1140" i="1"/>
  <c r="A1141" i="1"/>
  <c r="B1141" i="1"/>
  <c r="C1141" i="1"/>
  <c r="D1141" i="1"/>
  <c r="E1141" i="1"/>
  <c r="F1141" i="1"/>
  <c r="G1141" i="1"/>
  <c r="H1141" i="1"/>
  <c r="I1141" i="1"/>
  <c r="J1141" i="1"/>
  <c r="K1141" i="1"/>
  <c r="L1141" i="1"/>
  <c r="M1141" i="1"/>
  <c r="N1141" i="1"/>
  <c r="O1141" i="1"/>
  <c r="P1141" i="1"/>
  <c r="Q1141" i="1"/>
  <c r="R1141" i="1"/>
  <c r="S1141" i="1"/>
  <c r="T1141" i="1"/>
  <c r="U1141" i="1"/>
  <c r="V1141" i="1"/>
  <c r="W1141" i="1"/>
  <c r="X1141" i="1"/>
  <c r="Y1141" i="1"/>
  <c r="Z1141" i="1"/>
  <c r="AA1141" i="1"/>
  <c r="AB1141" i="1"/>
  <c r="AC1141" i="1"/>
  <c r="AD1141" i="1"/>
  <c r="AE1141" i="1"/>
  <c r="AF1141" i="1"/>
  <c r="AG1141" i="1"/>
  <c r="AH1141" i="1"/>
  <c r="AI1141" i="1"/>
  <c r="AJ1141" i="1"/>
  <c r="AK1141" i="1"/>
  <c r="AL1141" i="1"/>
  <c r="AM1141" i="1"/>
  <c r="A1142" i="1"/>
  <c r="B1142" i="1"/>
  <c r="C1142" i="1"/>
  <c r="D1142" i="1"/>
  <c r="E1142" i="1"/>
  <c r="F1142" i="1"/>
  <c r="G1142" i="1"/>
  <c r="H1142" i="1"/>
  <c r="I1142" i="1"/>
  <c r="J1142" i="1"/>
  <c r="K1142" i="1"/>
  <c r="L1142" i="1"/>
  <c r="M1142" i="1"/>
  <c r="N1142" i="1"/>
  <c r="O1142" i="1"/>
  <c r="P1142" i="1"/>
  <c r="Q1142" i="1"/>
  <c r="R1142" i="1"/>
  <c r="S1142" i="1"/>
  <c r="T1142" i="1"/>
  <c r="U1142" i="1"/>
  <c r="V1142" i="1"/>
  <c r="W1142" i="1"/>
  <c r="X1142" i="1"/>
  <c r="Y1142" i="1"/>
  <c r="Z1142" i="1"/>
  <c r="AA1142" i="1"/>
  <c r="AB1142" i="1"/>
  <c r="AC1142" i="1"/>
  <c r="AD1142" i="1"/>
  <c r="AE1142" i="1"/>
  <c r="AF1142" i="1"/>
  <c r="AG1142" i="1"/>
  <c r="AH1142" i="1"/>
  <c r="AI1142" i="1"/>
  <c r="AJ1142" i="1"/>
  <c r="AK1142" i="1"/>
  <c r="AL1142" i="1"/>
  <c r="AM1142" i="1"/>
  <c r="A1143" i="1"/>
  <c r="B1143" i="1"/>
  <c r="C1143" i="1"/>
  <c r="D1143" i="1"/>
  <c r="E1143" i="1"/>
  <c r="F1143" i="1"/>
  <c r="G1143" i="1"/>
  <c r="H1143" i="1"/>
  <c r="I1143" i="1"/>
  <c r="J1143" i="1"/>
  <c r="K1143" i="1"/>
  <c r="L1143" i="1"/>
  <c r="M1143" i="1"/>
  <c r="N1143" i="1"/>
  <c r="O1143" i="1"/>
  <c r="P1143" i="1"/>
  <c r="Q1143" i="1"/>
  <c r="R1143" i="1"/>
  <c r="S1143" i="1"/>
  <c r="T1143" i="1"/>
  <c r="U1143" i="1"/>
  <c r="V1143" i="1"/>
  <c r="W1143" i="1"/>
  <c r="X1143" i="1"/>
  <c r="Y1143" i="1"/>
  <c r="Z1143" i="1"/>
  <c r="AA1143" i="1"/>
  <c r="AB1143" i="1"/>
  <c r="AC1143" i="1"/>
  <c r="AD1143" i="1"/>
  <c r="AE1143" i="1"/>
  <c r="AF1143" i="1"/>
  <c r="AG1143" i="1"/>
  <c r="AH1143" i="1"/>
  <c r="AI1143" i="1"/>
  <c r="AJ1143" i="1"/>
  <c r="AK1143" i="1"/>
  <c r="AL1143" i="1"/>
  <c r="AM1143" i="1"/>
  <c r="A1144" i="1"/>
  <c r="B1144" i="1"/>
  <c r="C1144" i="1"/>
  <c r="D1144" i="1"/>
  <c r="E1144" i="1"/>
  <c r="F1144" i="1"/>
  <c r="G1144" i="1"/>
  <c r="H1144" i="1"/>
  <c r="I1144" i="1"/>
  <c r="J1144" i="1"/>
  <c r="K1144" i="1"/>
  <c r="L1144" i="1"/>
  <c r="M1144" i="1"/>
  <c r="N1144" i="1"/>
  <c r="O1144" i="1"/>
  <c r="P1144" i="1"/>
  <c r="Q1144" i="1"/>
  <c r="R1144" i="1"/>
  <c r="S1144" i="1"/>
  <c r="T1144" i="1"/>
  <c r="U1144" i="1"/>
  <c r="V1144" i="1"/>
  <c r="W1144" i="1"/>
  <c r="X1144" i="1"/>
  <c r="Y1144" i="1"/>
  <c r="Z1144" i="1"/>
  <c r="AA1144" i="1"/>
  <c r="AB1144" i="1"/>
  <c r="AC1144" i="1"/>
  <c r="AD1144" i="1"/>
  <c r="AE1144" i="1"/>
  <c r="AF1144" i="1"/>
  <c r="AG1144" i="1"/>
  <c r="AH1144" i="1"/>
  <c r="AI1144" i="1"/>
  <c r="AJ1144" i="1"/>
  <c r="AK1144" i="1"/>
  <c r="AL1144" i="1"/>
  <c r="AM1144" i="1"/>
  <c r="A1145" i="1"/>
  <c r="B1145" i="1"/>
  <c r="C1145" i="1"/>
  <c r="D1145" i="1"/>
  <c r="E1145" i="1"/>
  <c r="F1145" i="1"/>
  <c r="G1145" i="1"/>
  <c r="H1145" i="1"/>
  <c r="I1145" i="1"/>
  <c r="J1145" i="1"/>
  <c r="K1145" i="1"/>
  <c r="L1145" i="1"/>
  <c r="M1145" i="1"/>
  <c r="N1145" i="1"/>
  <c r="O1145" i="1"/>
  <c r="P1145" i="1"/>
  <c r="Q1145" i="1"/>
  <c r="R1145" i="1"/>
  <c r="S1145" i="1"/>
  <c r="T1145" i="1"/>
  <c r="U1145" i="1"/>
  <c r="V1145" i="1"/>
  <c r="W1145" i="1"/>
  <c r="X1145" i="1"/>
  <c r="Y1145" i="1"/>
  <c r="Z1145" i="1"/>
  <c r="AA1145" i="1"/>
  <c r="AB1145" i="1"/>
  <c r="AC1145" i="1"/>
  <c r="AD1145" i="1"/>
  <c r="AE1145" i="1"/>
  <c r="AF1145" i="1"/>
  <c r="AG1145" i="1"/>
  <c r="AH1145" i="1"/>
  <c r="AI1145" i="1"/>
  <c r="AJ1145" i="1"/>
  <c r="AK1145" i="1"/>
  <c r="AL1145" i="1"/>
  <c r="AM1145" i="1"/>
  <c r="A1146" i="1"/>
  <c r="B1146" i="1"/>
  <c r="C1146" i="1"/>
  <c r="D1146" i="1"/>
  <c r="E1146" i="1"/>
  <c r="F1146" i="1"/>
  <c r="G1146" i="1"/>
  <c r="H1146" i="1"/>
  <c r="I1146" i="1"/>
  <c r="J1146" i="1"/>
  <c r="K1146" i="1"/>
  <c r="L1146" i="1"/>
  <c r="M1146" i="1"/>
  <c r="N1146" i="1"/>
  <c r="O1146" i="1"/>
  <c r="P1146" i="1"/>
  <c r="Q1146" i="1"/>
  <c r="R1146" i="1"/>
  <c r="S1146" i="1"/>
  <c r="T1146" i="1"/>
  <c r="U1146" i="1"/>
  <c r="V1146" i="1"/>
  <c r="W1146" i="1"/>
  <c r="X1146" i="1"/>
  <c r="Y1146" i="1"/>
  <c r="Z1146" i="1"/>
  <c r="AA1146" i="1"/>
  <c r="AB1146" i="1"/>
  <c r="AC1146" i="1"/>
  <c r="AD1146" i="1"/>
  <c r="AE1146" i="1"/>
  <c r="AF1146" i="1"/>
  <c r="AG1146" i="1"/>
  <c r="AH1146" i="1"/>
  <c r="AI1146" i="1"/>
  <c r="AJ1146" i="1"/>
  <c r="AK1146" i="1"/>
  <c r="AL1146" i="1"/>
  <c r="AM1146" i="1"/>
  <c r="A1147" i="1"/>
  <c r="B1147" i="1"/>
  <c r="C1147" i="1"/>
  <c r="D1147" i="1"/>
  <c r="E1147" i="1"/>
  <c r="F1147" i="1"/>
  <c r="G1147" i="1"/>
  <c r="H1147" i="1"/>
  <c r="I1147" i="1"/>
  <c r="J1147" i="1"/>
  <c r="K1147" i="1"/>
  <c r="L1147" i="1"/>
  <c r="M1147" i="1"/>
  <c r="N1147" i="1"/>
  <c r="O1147" i="1"/>
  <c r="P1147" i="1"/>
  <c r="Q1147" i="1"/>
  <c r="R1147" i="1"/>
  <c r="S1147" i="1"/>
  <c r="T1147" i="1"/>
  <c r="U1147" i="1"/>
  <c r="V1147" i="1"/>
  <c r="W1147" i="1"/>
  <c r="X1147" i="1"/>
  <c r="Y1147" i="1"/>
  <c r="Z1147" i="1"/>
  <c r="AA1147" i="1"/>
  <c r="AB1147" i="1"/>
  <c r="AC1147" i="1"/>
  <c r="AD1147" i="1"/>
  <c r="AE1147" i="1"/>
  <c r="AF1147" i="1"/>
  <c r="AG1147" i="1"/>
  <c r="AH1147" i="1"/>
  <c r="AI1147" i="1"/>
  <c r="AJ1147" i="1"/>
  <c r="AK1147" i="1"/>
  <c r="AL1147" i="1"/>
  <c r="AM1147" i="1"/>
  <c r="A1148" i="1"/>
  <c r="B1148" i="1"/>
  <c r="C1148" i="1"/>
  <c r="D1148" i="1"/>
  <c r="E1148" i="1"/>
  <c r="F1148" i="1"/>
  <c r="G1148" i="1"/>
  <c r="H1148" i="1"/>
  <c r="I1148" i="1"/>
  <c r="J1148" i="1"/>
  <c r="K1148" i="1"/>
  <c r="L1148" i="1"/>
  <c r="M1148" i="1"/>
  <c r="N1148" i="1"/>
  <c r="O1148" i="1"/>
  <c r="P1148" i="1"/>
  <c r="Q1148" i="1"/>
  <c r="R1148" i="1"/>
  <c r="S1148" i="1"/>
  <c r="T1148" i="1"/>
  <c r="U1148" i="1"/>
  <c r="V1148" i="1"/>
  <c r="W1148" i="1"/>
  <c r="X1148" i="1"/>
  <c r="Y1148" i="1"/>
  <c r="Z1148" i="1"/>
  <c r="AA1148" i="1"/>
  <c r="AB1148" i="1"/>
  <c r="AC1148" i="1"/>
  <c r="AD1148" i="1"/>
  <c r="AE1148" i="1"/>
  <c r="AF1148" i="1"/>
  <c r="AG1148" i="1"/>
  <c r="AH1148" i="1"/>
  <c r="AI1148" i="1"/>
  <c r="AJ1148" i="1"/>
  <c r="AK1148" i="1"/>
  <c r="AL1148" i="1"/>
  <c r="AM1148" i="1"/>
  <c r="A1149" i="1"/>
  <c r="B1149" i="1"/>
  <c r="C1149" i="1"/>
  <c r="D1149" i="1"/>
  <c r="E1149" i="1"/>
  <c r="F1149" i="1"/>
  <c r="G1149" i="1"/>
  <c r="H1149" i="1"/>
  <c r="I1149" i="1"/>
  <c r="J1149" i="1"/>
  <c r="K1149" i="1"/>
  <c r="L1149" i="1"/>
  <c r="M1149" i="1"/>
  <c r="N1149" i="1"/>
  <c r="O1149" i="1"/>
  <c r="P1149" i="1"/>
  <c r="Q1149" i="1"/>
  <c r="R1149" i="1"/>
  <c r="S1149" i="1"/>
  <c r="T1149" i="1"/>
  <c r="U1149" i="1"/>
  <c r="V1149" i="1"/>
  <c r="W1149" i="1"/>
  <c r="X1149" i="1"/>
  <c r="Y1149" i="1"/>
  <c r="Z1149" i="1"/>
  <c r="AA1149" i="1"/>
  <c r="AB1149" i="1"/>
  <c r="AC1149" i="1"/>
  <c r="AD1149" i="1"/>
  <c r="AE1149" i="1"/>
  <c r="AF1149" i="1"/>
  <c r="AG1149" i="1"/>
  <c r="AH1149" i="1"/>
  <c r="AI1149" i="1"/>
  <c r="AJ1149" i="1"/>
  <c r="AK1149" i="1"/>
  <c r="AL1149" i="1"/>
  <c r="AM1149" i="1"/>
  <c r="A1150" i="1"/>
  <c r="B1150" i="1"/>
  <c r="C1150" i="1"/>
  <c r="D1150" i="1"/>
  <c r="E1150" i="1"/>
  <c r="F1150" i="1"/>
  <c r="G1150" i="1"/>
  <c r="H1150" i="1"/>
  <c r="I1150" i="1"/>
  <c r="J1150" i="1"/>
  <c r="K1150" i="1"/>
  <c r="L1150" i="1"/>
  <c r="M1150" i="1"/>
  <c r="N1150" i="1"/>
  <c r="O1150" i="1"/>
  <c r="P1150" i="1"/>
  <c r="Q1150" i="1"/>
  <c r="R1150" i="1"/>
  <c r="S1150" i="1"/>
  <c r="T1150" i="1"/>
  <c r="U1150" i="1"/>
  <c r="V1150" i="1"/>
  <c r="W1150" i="1"/>
  <c r="X1150" i="1"/>
  <c r="Y1150" i="1"/>
  <c r="Z1150" i="1"/>
  <c r="AA1150" i="1"/>
  <c r="AB1150" i="1"/>
  <c r="AC1150" i="1"/>
  <c r="AD1150" i="1"/>
  <c r="AE1150" i="1"/>
  <c r="AF1150" i="1"/>
  <c r="AG1150" i="1"/>
  <c r="AH1150" i="1"/>
  <c r="AI1150" i="1"/>
  <c r="AJ1150" i="1"/>
  <c r="AK1150" i="1"/>
  <c r="AL1150" i="1"/>
  <c r="AM1150" i="1"/>
  <c r="A1151" i="1"/>
  <c r="B1151" i="1"/>
  <c r="C1151" i="1"/>
  <c r="D1151" i="1"/>
  <c r="E1151" i="1"/>
  <c r="F1151" i="1"/>
  <c r="G1151" i="1"/>
  <c r="H1151" i="1"/>
  <c r="I1151" i="1"/>
  <c r="J1151" i="1"/>
  <c r="K1151" i="1"/>
  <c r="L1151" i="1"/>
  <c r="M1151" i="1"/>
  <c r="N1151" i="1"/>
  <c r="O1151" i="1"/>
  <c r="P1151" i="1"/>
  <c r="Q1151" i="1"/>
  <c r="R1151" i="1"/>
  <c r="S1151" i="1"/>
  <c r="T1151" i="1"/>
  <c r="U1151" i="1"/>
  <c r="V1151" i="1"/>
  <c r="W1151" i="1"/>
  <c r="X1151" i="1"/>
  <c r="Y1151" i="1"/>
  <c r="Z1151" i="1"/>
  <c r="AA1151" i="1"/>
  <c r="AB1151" i="1"/>
  <c r="AC1151" i="1"/>
  <c r="AD1151" i="1"/>
  <c r="AE1151" i="1"/>
  <c r="AF1151" i="1"/>
  <c r="AG1151" i="1"/>
  <c r="AH1151" i="1"/>
  <c r="AI1151" i="1"/>
  <c r="AJ1151" i="1"/>
  <c r="AK1151" i="1"/>
  <c r="AL1151" i="1"/>
  <c r="AM1151" i="1"/>
  <c r="A1152" i="1"/>
  <c r="B1152" i="1"/>
  <c r="C1152" i="1"/>
  <c r="D1152" i="1"/>
  <c r="E1152" i="1"/>
  <c r="F1152" i="1"/>
  <c r="G1152" i="1"/>
  <c r="H1152" i="1"/>
  <c r="I1152" i="1"/>
  <c r="J1152" i="1"/>
  <c r="K1152" i="1"/>
  <c r="L1152" i="1"/>
  <c r="M1152" i="1"/>
  <c r="N1152" i="1"/>
  <c r="O1152" i="1"/>
  <c r="P1152" i="1"/>
  <c r="Q1152" i="1"/>
  <c r="R1152" i="1"/>
  <c r="S1152" i="1"/>
  <c r="T1152" i="1"/>
  <c r="U1152" i="1"/>
  <c r="V1152" i="1"/>
  <c r="W1152" i="1"/>
  <c r="X1152" i="1"/>
  <c r="Y1152" i="1"/>
  <c r="Z1152" i="1"/>
  <c r="AA1152" i="1"/>
  <c r="AB1152" i="1"/>
  <c r="AC1152" i="1"/>
  <c r="AD1152" i="1"/>
  <c r="AE1152" i="1"/>
  <c r="AF1152" i="1"/>
  <c r="AG1152" i="1"/>
  <c r="AH1152" i="1"/>
  <c r="AI1152" i="1"/>
  <c r="AJ1152" i="1"/>
  <c r="AK1152" i="1"/>
  <c r="AL1152" i="1"/>
  <c r="AM1152" i="1"/>
  <c r="A1153" i="1"/>
  <c r="B1153" i="1"/>
  <c r="C1153" i="1"/>
  <c r="D1153" i="1"/>
  <c r="E1153" i="1"/>
  <c r="F1153" i="1"/>
  <c r="G1153" i="1"/>
  <c r="H1153" i="1"/>
  <c r="I1153" i="1"/>
  <c r="J1153" i="1"/>
  <c r="K1153" i="1"/>
  <c r="L1153" i="1"/>
  <c r="M1153" i="1"/>
  <c r="N1153" i="1"/>
  <c r="O1153" i="1"/>
  <c r="P1153" i="1"/>
  <c r="Q1153" i="1"/>
  <c r="R1153" i="1"/>
  <c r="S1153" i="1"/>
  <c r="T1153" i="1"/>
  <c r="U1153" i="1"/>
  <c r="V1153" i="1"/>
  <c r="W1153" i="1"/>
  <c r="X1153" i="1"/>
  <c r="Y1153" i="1"/>
  <c r="Z1153" i="1"/>
  <c r="AA1153" i="1"/>
  <c r="AB1153" i="1"/>
  <c r="AC1153" i="1"/>
  <c r="AD1153" i="1"/>
  <c r="AE1153" i="1"/>
  <c r="AF1153" i="1"/>
  <c r="AG1153" i="1"/>
  <c r="AH1153" i="1"/>
  <c r="AI1153" i="1"/>
  <c r="AJ1153" i="1"/>
  <c r="AK1153" i="1"/>
  <c r="AL1153" i="1"/>
  <c r="AM1153" i="1"/>
  <c r="A1154" i="1"/>
  <c r="B1154" i="1"/>
  <c r="C1154" i="1"/>
  <c r="D1154" i="1"/>
  <c r="E1154" i="1"/>
  <c r="F1154" i="1"/>
  <c r="G1154" i="1"/>
  <c r="H1154" i="1"/>
  <c r="I1154" i="1"/>
  <c r="J1154" i="1"/>
  <c r="K1154" i="1"/>
  <c r="L1154" i="1"/>
  <c r="M1154" i="1"/>
  <c r="N1154" i="1"/>
  <c r="O1154" i="1"/>
  <c r="P1154" i="1"/>
  <c r="Q1154" i="1"/>
  <c r="R1154" i="1"/>
  <c r="S1154" i="1"/>
  <c r="T1154" i="1"/>
  <c r="U1154" i="1"/>
  <c r="V1154" i="1"/>
  <c r="W1154" i="1"/>
  <c r="X1154" i="1"/>
  <c r="Y1154" i="1"/>
  <c r="Z1154" i="1"/>
  <c r="AA1154" i="1"/>
  <c r="AB1154" i="1"/>
  <c r="AC1154" i="1"/>
  <c r="AD1154" i="1"/>
  <c r="AE1154" i="1"/>
  <c r="AF1154" i="1"/>
  <c r="AG1154" i="1"/>
  <c r="AH1154" i="1"/>
  <c r="AI1154" i="1"/>
  <c r="AJ1154" i="1"/>
  <c r="AK1154" i="1"/>
  <c r="AL1154" i="1"/>
  <c r="AM1154" i="1"/>
  <c r="A1155" i="1"/>
  <c r="B1155" i="1"/>
  <c r="C1155" i="1"/>
  <c r="D1155" i="1"/>
  <c r="E1155" i="1"/>
  <c r="F1155" i="1"/>
  <c r="G1155" i="1"/>
  <c r="H1155" i="1"/>
  <c r="I1155" i="1"/>
  <c r="J1155" i="1"/>
  <c r="K1155" i="1"/>
  <c r="L1155" i="1"/>
  <c r="M1155" i="1"/>
  <c r="N1155" i="1"/>
  <c r="O1155" i="1"/>
  <c r="P1155" i="1"/>
  <c r="Q1155" i="1"/>
  <c r="R1155" i="1"/>
  <c r="S1155" i="1"/>
  <c r="T1155" i="1"/>
  <c r="U1155" i="1"/>
  <c r="V1155" i="1"/>
  <c r="W1155" i="1"/>
  <c r="X1155" i="1"/>
  <c r="Y1155" i="1"/>
  <c r="Z1155" i="1"/>
  <c r="AA1155" i="1"/>
  <c r="AB1155" i="1"/>
  <c r="AC1155" i="1"/>
  <c r="AD1155" i="1"/>
  <c r="AE1155" i="1"/>
  <c r="AF1155" i="1"/>
  <c r="AG1155" i="1"/>
  <c r="AH1155" i="1"/>
  <c r="AI1155" i="1"/>
  <c r="AJ1155" i="1"/>
  <c r="AK1155" i="1"/>
  <c r="AL1155" i="1"/>
  <c r="AM1155" i="1"/>
  <c r="A1156" i="1"/>
  <c r="B1156" i="1"/>
  <c r="C1156" i="1"/>
  <c r="D1156" i="1"/>
  <c r="E1156" i="1"/>
  <c r="F1156" i="1"/>
  <c r="G1156" i="1"/>
  <c r="H1156" i="1"/>
  <c r="I1156" i="1"/>
  <c r="J1156" i="1"/>
  <c r="K1156" i="1"/>
  <c r="L1156" i="1"/>
  <c r="M1156" i="1"/>
  <c r="N1156" i="1"/>
  <c r="O1156" i="1"/>
  <c r="P1156" i="1"/>
  <c r="Q1156" i="1"/>
  <c r="R1156" i="1"/>
  <c r="S1156" i="1"/>
  <c r="T1156" i="1"/>
  <c r="U1156" i="1"/>
  <c r="V1156" i="1"/>
  <c r="W1156" i="1"/>
  <c r="X1156" i="1"/>
  <c r="Y1156" i="1"/>
  <c r="Z1156" i="1"/>
  <c r="AA1156" i="1"/>
  <c r="AB1156" i="1"/>
  <c r="AC1156" i="1"/>
  <c r="AD1156" i="1"/>
  <c r="AE1156" i="1"/>
  <c r="AF1156" i="1"/>
  <c r="AG1156" i="1"/>
  <c r="AH1156" i="1"/>
  <c r="AI1156" i="1"/>
  <c r="AJ1156" i="1"/>
  <c r="AK1156" i="1"/>
  <c r="AL1156" i="1"/>
  <c r="AM1156" i="1"/>
  <c r="A1157" i="1"/>
  <c r="B1157" i="1"/>
  <c r="C1157" i="1"/>
  <c r="D1157" i="1"/>
  <c r="E1157" i="1"/>
  <c r="F1157" i="1"/>
  <c r="G1157" i="1"/>
  <c r="H1157" i="1"/>
  <c r="I1157" i="1"/>
  <c r="J1157" i="1"/>
  <c r="K1157" i="1"/>
  <c r="L1157" i="1"/>
  <c r="M1157" i="1"/>
  <c r="N1157" i="1"/>
  <c r="O1157" i="1"/>
  <c r="P1157" i="1"/>
  <c r="Q1157" i="1"/>
  <c r="R1157" i="1"/>
  <c r="S1157" i="1"/>
  <c r="T1157" i="1"/>
  <c r="U1157" i="1"/>
  <c r="V1157" i="1"/>
  <c r="W1157" i="1"/>
  <c r="X1157" i="1"/>
  <c r="Y1157" i="1"/>
  <c r="Z1157" i="1"/>
  <c r="AA1157" i="1"/>
  <c r="AB1157" i="1"/>
  <c r="AC1157" i="1"/>
  <c r="AD1157" i="1"/>
  <c r="AE1157" i="1"/>
  <c r="AF1157" i="1"/>
  <c r="AG1157" i="1"/>
  <c r="AH1157" i="1"/>
  <c r="AI1157" i="1"/>
  <c r="AJ1157" i="1"/>
  <c r="AK1157" i="1"/>
  <c r="AL1157" i="1"/>
  <c r="AM1157" i="1"/>
  <c r="A1158" i="1"/>
  <c r="B1158" i="1"/>
  <c r="C1158" i="1"/>
  <c r="D1158" i="1"/>
  <c r="E1158" i="1"/>
  <c r="F1158" i="1"/>
  <c r="G1158" i="1"/>
  <c r="H1158" i="1"/>
  <c r="I1158" i="1"/>
  <c r="J1158" i="1"/>
  <c r="K1158" i="1"/>
  <c r="L1158" i="1"/>
  <c r="M1158" i="1"/>
  <c r="N1158" i="1"/>
  <c r="O1158" i="1"/>
  <c r="P1158" i="1"/>
  <c r="Q1158" i="1"/>
  <c r="R1158" i="1"/>
  <c r="S1158" i="1"/>
  <c r="T1158" i="1"/>
  <c r="U1158" i="1"/>
  <c r="V1158" i="1"/>
  <c r="W1158" i="1"/>
  <c r="X1158" i="1"/>
  <c r="Y1158" i="1"/>
  <c r="Z1158" i="1"/>
  <c r="AA1158" i="1"/>
  <c r="AB1158" i="1"/>
  <c r="AC1158" i="1"/>
  <c r="AD1158" i="1"/>
  <c r="AE1158" i="1"/>
  <c r="AF1158" i="1"/>
  <c r="AG1158" i="1"/>
  <c r="AH1158" i="1"/>
  <c r="AI1158" i="1"/>
  <c r="AJ1158" i="1"/>
  <c r="AK1158" i="1"/>
  <c r="AL1158" i="1"/>
  <c r="AM1158" i="1"/>
  <c r="A1159" i="1"/>
  <c r="B1159" i="1"/>
  <c r="C1159" i="1"/>
  <c r="D1159" i="1"/>
  <c r="E1159" i="1"/>
  <c r="F1159" i="1"/>
  <c r="G1159" i="1"/>
  <c r="H1159" i="1"/>
  <c r="I1159" i="1"/>
  <c r="J1159" i="1"/>
  <c r="K1159" i="1"/>
  <c r="L1159" i="1"/>
  <c r="M1159" i="1"/>
  <c r="N1159" i="1"/>
  <c r="O1159" i="1"/>
  <c r="P1159" i="1"/>
  <c r="Q1159" i="1"/>
  <c r="R1159" i="1"/>
  <c r="S1159" i="1"/>
  <c r="T1159" i="1"/>
  <c r="U1159" i="1"/>
  <c r="V1159" i="1"/>
  <c r="W1159" i="1"/>
  <c r="X1159" i="1"/>
  <c r="Y1159" i="1"/>
  <c r="Z1159" i="1"/>
  <c r="AA1159" i="1"/>
  <c r="AB1159" i="1"/>
  <c r="AC1159" i="1"/>
  <c r="AD1159" i="1"/>
  <c r="AE1159" i="1"/>
  <c r="AF1159" i="1"/>
  <c r="AG1159" i="1"/>
  <c r="AH1159" i="1"/>
  <c r="AI1159" i="1"/>
  <c r="AJ1159" i="1"/>
  <c r="AK1159" i="1"/>
  <c r="AL1159" i="1"/>
  <c r="AM1159" i="1"/>
  <c r="A1160" i="1"/>
  <c r="B1160" i="1"/>
  <c r="C1160" i="1"/>
  <c r="D1160" i="1"/>
  <c r="E1160" i="1"/>
  <c r="F1160" i="1"/>
  <c r="G1160" i="1"/>
  <c r="H1160" i="1"/>
  <c r="I1160" i="1"/>
  <c r="J1160" i="1"/>
  <c r="K1160" i="1"/>
  <c r="L1160" i="1"/>
  <c r="M1160" i="1"/>
  <c r="N1160" i="1"/>
  <c r="O1160" i="1"/>
  <c r="P1160" i="1"/>
  <c r="Q1160" i="1"/>
  <c r="R1160" i="1"/>
  <c r="S1160" i="1"/>
  <c r="T1160" i="1"/>
  <c r="U1160" i="1"/>
  <c r="V1160" i="1"/>
  <c r="W1160" i="1"/>
  <c r="X1160" i="1"/>
  <c r="Y1160" i="1"/>
  <c r="Z1160" i="1"/>
  <c r="AA1160" i="1"/>
  <c r="AB1160" i="1"/>
  <c r="AC1160" i="1"/>
  <c r="AD1160" i="1"/>
  <c r="AE1160" i="1"/>
  <c r="AF1160" i="1"/>
  <c r="AG1160" i="1"/>
  <c r="AH1160" i="1"/>
  <c r="AI1160" i="1"/>
  <c r="AJ1160" i="1"/>
  <c r="AK1160" i="1"/>
  <c r="AL1160" i="1"/>
  <c r="AM1160" i="1"/>
  <c r="A1161" i="1"/>
  <c r="B1161" i="1"/>
  <c r="C1161" i="1"/>
  <c r="D1161" i="1"/>
  <c r="E1161" i="1"/>
  <c r="F1161" i="1"/>
  <c r="G1161" i="1"/>
  <c r="H1161" i="1"/>
  <c r="I1161" i="1"/>
  <c r="J1161" i="1"/>
  <c r="K1161" i="1"/>
  <c r="L1161" i="1"/>
  <c r="M1161" i="1"/>
  <c r="N1161" i="1"/>
  <c r="O1161" i="1"/>
  <c r="P1161" i="1"/>
  <c r="Q1161" i="1"/>
  <c r="R1161" i="1"/>
  <c r="S1161" i="1"/>
  <c r="T1161" i="1"/>
  <c r="U1161" i="1"/>
  <c r="V1161" i="1"/>
  <c r="W1161" i="1"/>
  <c r="X1161" i="1"/>
  <c r="Y1161" i="1"/>
  <c r="Z1161" i="1"/>
  <c r="AA1161" i="1"/>
  <c r="AB1161" i="1"/>
  <c r="AC1161" i="1"/>
  <c r="AD1161" i="1"/>
  <c r="AE1161" i="1"/>
  <c r="AF1161" i="1"/>
  <c r="AG1161" i="1"/>
  <c r="AH1161" i="1"/>
  <c r="AI1161" i="1"/>
  <c r="AJ1161" i="1"/>
  <c r="AK1161" i="1"/>
  <c r="AL1161" i="1"/>
  <c r="AM1161" i="1"/>
  <c r="A1162" i="1"/>
  <c r="B1162" i="1"/>
  <c r="C1162" i="1"/>
  <c r="D1162" i="1"/>
  <c r="E1162" i="1"/>
  <c r="F1162" i="1"/>
  <c r="G1162" i="1"/>
  <c r="H1162" i="1"/>
  <c r="I1162" i="1"/>
  <c r="J1162" i="1"/>
  <c r="K1162" i="1"/>
  <c r="L1162" i="1"/>
  <c r="M1162" i="1"/>
  <c r="N1162" i="1"/>
  <c r="O1162" i="1"/>
  <c r="P1162" i="1"/>
  <c r="Q1162" i="1"/>
  <c r="R1162" i="1"/>
  <c r="S1162" i="1"/>
  <c r="T1162" i="1"/>
  <c r="U1162" i="1"/>
  <c r="V1162" i="1"/>
  <c r="W1162" i="1"/>
  <c r="X1162" i="1"/>
  <c r="Y1162" i="1"/>
  <c r="Z1162" i="1"/>
  <c r="AA1162" i="1"/>
  <c r="AB1162" i="1"/>
  <c r="AC1162" i="1"/>
  <c r="AD1162" i="1"/>
  <c r="AE1162" i="1"/>
  <c r="AF1162" i="1"/>
  <c r="AG1162" i="1"/>
  <c r="AH1162" i="1"/>
  <c r="AI1162" i="1"/>
  <c r="AJ1162" i="1"/>
  <c r="AK1162" i="1"/>
  <c r="AL1162" i="1"/>
  <c r="AM1162" i="1"/>
  <c r="A1163" i="1"/>
  <c r="B1163" i="1"/>
  <c r="C1163" i="1"/>
  <c r="D1163" i="1"/>
  <c r="E1163" i="1"/>
  <c r="F1163" i="1"/>
  <c r="G1163" i="1"/>
  <c r="H1163" i="1"/>
  <c r="I1163" i="1"/>
  <c r="J1163" i="1"/>
  <c r="K1163" i="1"/>
  <c r="L1163" i="1"/>
  <c r="M1163" i="1"/>
  <c r="N1163" i="1"/>
  <c r="O1163" i="1"/>
  <c r="P1163" i="1"/>
  <c r="Q1163" i="1"/>
  <c r="R1163" i="1"/>
  <c r="S1163" i="1"/>
  <c r="T1163" i="1"/>
  <c r="U1163" i="1"/>
  <c r="V1163" i="1"/>
  <c r="W1163" i="1"/>
  <c r="X1163" i="1"/>
  <c r="Y1163" i="1"/>
  <c r="Z1163" i="1"/>
  <c r="AA1163" i="1"/>
  <c r="AB1163" i="1"/>
  <c r="AC1163" i="1"/>
  <c r="AD1163" i="1"/>
  <c r="AE1163" i="1"/>
  <c r="AF1163" i="1"/>
  <c r="AG1163" i="1"/>
  <c r="AH1163" i="1"/>
  <c r="AI1163" i="1"/>
  <c r="AJ1163" i="1"/>
  <c r="AK1163" i="1"/>
  <c r="AL1163" i="1"/>
  <c r="AM1163" i="1"/>
  <c r="A1164" i="1"/>
  <c r="B1164" i="1"/>
  <c r="C1164" i="1"/>
  <c r="D1164" i="1"/>
  <c r="E1164" i="1"/>
  <c r="F1164" i="1"/>
  <c r="G1164" i="1"/>
  <c r="H1164" i="1"/>
  <c r="I1164" i="1"/>
  <c r="J1164" i="1"/>
  <c r="K1164" i="1"/>
  <c r="L1164" i="1"/>
  <c r="M1164" i="1"/>
  <c r="N1164" i="1"/>
  <c r="O1164" i="1"/>
  <c r="P1164" i="1"/>
  <c r="Q1164" i="1"/>
  <c r="R1164" i="1"/>
  <c r="S1164" i="1"/>
  <c r="T1164" i="1"/>
  <c r="U1164" i="1"/>
  <c r="V1164" i="1"/>
  <c r="W1164" i="1"/>
  <c r="X1164" i="1"/>
  <c r="Y1164" i="1"/>
  <c r="Z1164" i="1"/>
  <c r="AA1164" i="1"/>
  <c r="AB1164" i="1"/>
  <c r="AC1164" i="1"/>
  <c r="AD1164" i="1"/>
  <c r="AE1164" i="1"/>
  <c r="AF1164" i="1"/>
  <c r="AG1164" i="1"/>
  <c r="AH1164" i="1"/>
  <c r="AI1164" i="1"/>
  <c r="AJ1164" i="1"/>
  <c r="AK1164" i="1"/>
  <c r="AL1164" i="1"/>
  <c r="AM1164" i="1"/>
  <c r="A1165" i="1"/>
  <c r="B1165" i="1"/>
  <c r="C1165" i="1"/>
  <c r="D1165" i="1"/>
  <c r="E1165" i="1"/>
  <c r="F1165" i="1"/>
  <c r="G1165" i="1"/>
  <c r="H1165" i="1"/>
  <c r="I1165" i="1"/>
  <c r="J1165" i="1"/>
  <c r="K1165" i="1"/>
  <c r="L1165" i="1"/>
  <c r="M1165" i="1"/>
  <c r="N1165" i="1"/>
  <c r="O1165" i="1"/>
  <c r="P1165" i="1"/>
  <c r="Q1165" i="1"/>
  <c r="R1165" i="1"/>
  <c r="S1165" i="1"/>
  <c r="T1165" i="1"/>
  <c r="U1165" i="1"/>
  <c r="V1165" i="1"/>
  <c r="W1165" i="1"/>
  <c r="X1165" i="1"/>
  <c r="Y1165" i="1"/>
  <c r="Z1165" i="1"/>
  <c r="AA1165" i="1"/>
  <c r="AB1165" i="1"/>
  <c r="AC1165" i="1"/>
  <c r="AD1165" i="1"/>
  <c r="AE1165" i="1"/>
  <c r="AF1165" i="1"/>
  <c r="AG1165" i="1"/>
  <c r="AH1165" i="1"/>
  <c r="AI1165" i="1"/>
  <c r="AJ1165" i="1"/>
  <c r="AK1165" i="1"/>
  <c r="AL1165" i="1"/>
  <c r="AM1165" i="1"/>
  <c r="A1166" i="1"/>
  <c r="B1166" i="1"/>
  <c r="C1166" i="1"/>
  <c r="D1166" i="1"/>
  <c r="E1166" i="1"/>
  <c r="F1166" i="1"/>
  <c r="G1166" i="1"/>
  <c r="H1166" i="1"/>
  <c r="I1166" i="1"/>
  <c r="J1166" i="1"/>
  <c r="K1166" i="1"/>
  <c r="L1166" i="1"/>
  <c r="M1166" i="1"/>
  <c r="N1166" i="1"/>
  <c r="O1166" i="1"/>
  <c r="P1166" i="1"/>
  <c r="Q1166" i="1"/>
  <c r="R1166" i="1"/>
  <c r="S1166" i="1"/>
  <c r="T1166" i="1"/>
  <c r="U1166" i="1"/>
  <c r="V1166" i="1"/>
  <c r="W1166" i="1"/>
  <c r="X1166" i="1"/>
  <c r="Y1166" i="1"/>
  <c r="Z1166" i="1"/>
  <c r="AA1166" i="1"/>
  <c r="AB1166" i="1"/>
  <c r="AC1166" i="1"/>
  <c r="AD1166" i="1"/>
  <c r="AE1166" i="1"/>
  <c r="AF1166" i="1"/>
  <c r="AG1166" i="1"/>
  <c r="AH1166" i="1"/>
  <c r="AI1166" i="1"/>
  <c r="AJ1166" i="1"/>
  <c r="AK1166" i="1"/>
  <c r="AL1166" i="1"/>
  <c r="AM1166" i="1"/>
  <c r="A1167" i="1"/>
  <c r="B1167" i="1"/>
  <c r="C1167" i="1"/>
  <c r="D1167" i="1"/>
  <c r="E1167" i="1"/>
  <c r="F1167" i="1"/>
  <c r="G1167" i="1"/>
  <c r="H1167" i="1"/>
  <c r="I1167" i="1"/>
  <c r="J1167" i="1"/>
  <c r="K1167" i="1"/>
  <c r="L1167" i="1"/>
  <c r="M1167" i="1"/>
  <c r="N1167" i="1"/>
  <c r="O1167" i="1"/>
  <c r="P1167" i="1"/>
  <c r="Q1167" i="1"/>
  <c r="R1167" i="1"/>
  <c r="S1167" i="1"/>
  <c r="T1167" i="1"/>
  <c r="U1167" i="1"/>
  <c r="V1167" i="1"/>
  <c r="W1167" i="1"/>
  <c r="X1167" i="1"/>
  <c r="Y1167" i="1"/>
  <c r="Z1167" i="1"/>
  <c r="AA1167" i="1"/>
  <c r="AB1167" i="1"/>
  <c r="AC1167" i="1"/>
  <c r="AD1167" i="1"/>
  <c r="AE1167" i="1"/>
  <c r="AF1167" i="1"/>
  <c r="AG1167" i="1"/>
  <c r="AH1167" i="1"/>
  <c r="AI1167" i="1"/>
  <c r="AJ1167" i="1"/>
  <c r="AK1167" i="1"/>
  <c r="AL1167" i="1"/>
  <c r="AM1167" i="1"/>
  <c r="A1168" i="1"/>
  <c r="B1168" i="1"/>
  <c r="C1168" i="1"/>
  <c r="D1168" i="1"/>
  <c r="E1168" i="1"/>
  <c r="F1168" i="1"/>
  <c r="G1168" i="1"/>
  <c r="H1168" i="1"/>
  <c r="I1168" i="1"/>
  <c r="J1168" i="1"/>
  <c r="K1168" i="1"/>
  <c r="L1168" i="1"/>
  <c r="M1168" i="1"/>
  <c r="N1168" i="1"/>
  <c r="O1168" i="1"/>
  <c r="P1168" i="1"/>
  <c r="Q1168" i="1"/>
  <c r="R1168" i="1"/>
  <c r="S1168" i="1"/>
  <c r="T1168" i="1"/>
  <c r="U1168" i="1"/>
  <c r="V1168" i="1"/>
  <c r="W1168" i="1"/>
  <c r="X1168" i="1"/>
  <c r="Y1168" i="1"/>
  <c r="Z1168" i="1"/>
  <c r="AA1168" i="1"/>
  <c r="AB1168" i="1"/>
  <c r="AC1168" i="1"/>
  <c r="AD1168" i="1"/>
  <c r="AE1168" i="1"/>
  <c r="AF1168" i="1"/>
  <c r="AG1168" i="1"/>
  <c r="AH1168" i="1"/>
  <c r="AI1168" i="1"/>
  <c r="AJ1168" i="1"/>
  <c r="AK1168" i="1"/>
  <c r="AL1168" i="1"/>
  <c r="AM1168" i="1"/>
  <c r="A1169" i="1"/>
  <c r="B1169" i="1"/>
  <c r="C1169" i="1"/>
  <c r="D1169" i="1"/>
  <c r="E1169" i="1"/>
  <c r="F1169" i="1"/>
  <c r="G1169" i="1"/>
  <c r="H1169" i="1"/>
  <c r="I1169" i="1"/>
  <c r="J1169" i="1"/>
  <c r="K1169" i="1"/>
  <c r="L1169" i="1"/>
  <c r="M1169" i="1"/>
  <c r="N1169" i="1"/>
  <c r="O1169" i="1"/>
  <c r="P1169" i="1"/>
  <c r="Q1169" i="1"/>
  <c r="R1169" i="1"/>
  <c r="S1169" i="1"/>
  <c r="T1169" i="1"/>
  <c r="U1169" i="1"/>
  <c r="V1169" i="1"/>
  <c r="W1169" i="1"/>
  <c r="X1169" i="1"/>
  <c r="Y1169" i="1"/>
  <c r="Z1169" i="1"/>
  <c r="AA1169" i="1"/>
  <c r="AB1169" i="1"/>
  <c r="AC1169" i="1"/>
  <c r="AD1169" i="1"/>
  <c r="AE1169" i="1"/>
  <c r="AF1169" i="1"/>
  <c r="AG1169" i="1"/>
  <c r="AH1169" i="1"/>
  <c r="AI1169" i="1"/>
  <c r="AJ1169" i="1"/>
  <c r="AK1169" i="1"/>
  <c r="AL1169" i="1"/>
  <c r="AM1169" i="1"/>
  <c r="A1170" i="1"/>
  <c r="B1170" i="1"/>
  <c r="C1170" i="1"/>
  <c r="D1170" i="1"/>
  <c r="E1170" i="1"/>
  <c r="F1170" i="1"/>
  <c r="G1170" i="1"/>
  <c r="H1170" i="1"/>
  <c r="I1170" i="1"/>
  <c r="J1170" i="1"/>
  <c r="K1170" i="1"/>
  <c r="L1170" i="1"/>
  <c r="M1170" i="1"/>
  <c r="N1170" i="1"/>
  <c r="O1170" i="1"/>
  <c r="P1170" i="1"/>
  <c r="Q1170" i="1"/>
  <c r="R1170" i="1"/>
  <c r="S1170" i="1"/>
  <c r="T1170" i="1"/>
  <c r="U1170" i="1"/>
  <c r="V1170" i="1"/>
  <c r="W1170" i="1"/>
  <c r="X1170" i="1"/>
  <c r="Y1170" i="1"/>
  <c r="Z1170" i="1"/>
  <c r="AA1170" i="1"/>
  <c r="AB1170" i="1"/>
  <c r="AC1170" i="1"/>
  <c r="AD1170" i="1"/>
  <c r="AE1170" i="1"/>
  <c r="AF1170" i="1"/>
  <c r="AG1170" i="1"/>
  <c r="AH1170" i="1"/>
  <c r="AI1170" i="1"/>
  <c r="AJ1170" i="1"/>
  <c r="AK1170" i="1"/>
  <c r="AL1170" i="1"/>
  <c r="AM1170" i="1"/>
  <c r="A1171" i="1"/>
  <c r="B1171" i="1"/>
  <c r="C1171" i="1"/>
  <c r="D1171" i="1"/>
  <c r="E1171" i="1"/>
  <c r="F1171" i="1"/>
  <c r="G1171" i="1"/>
  <c r="H1171" i="1"/>
  <c r="I1171" i="1"/>
  <c r="J1171" i="1"/>
  <c r="K1171" i="1"/>
  <c r="L1171" i="1"/>
  <c r="M1171" i="1"/>
  <c r="N1171" i="1"/>
  <c r="O1171" i="1"/>
  <c r="P1171" i="1"/>
  <c r="Q1171" i="1"/>
  <c r="R1171" i="1"/>
  <c r="S1171" i="1"/>
  <c r="T1171" i="1"/>
  <c r="U1171" i="1"/>
  <c r="V1171" i="1"/>
  <c r="W1171" i="1"/>
  <c r="X1171" i="1"/>
  <c r="Y1171" i="1"/>
  <c r="Z1171" i="1"/>
  <c r="AA1171" i="1"/>
  <c r="AB1171" i="1"/>
  <c r="AC1171" i="1"/>
  <c r="AD1171" i="1"/>
  <c r="AE1171" i="1"/>
  <c r="AF1171" i="1"/>
  <c r="AG1171" i="1"/>
  <c r="AH1171" i="1"/>
  <c r="AI1171" i="1"/>
  <c r="AJ1171" i="1"/>
  <c r="AK1171" i="1"/>
  <c r="AL1171" i="1"/>
  <c r="AM1171" i="1"/>
  <c r="A1172" i="1"/>
  <c r="B1172" i="1"/>
  <c r="C1172" i="1"/>
  <c r="D1172" i="1"/>
  <c r="E1172" i="1"/>
  <c r="F1172" i="1"/>
  <c r="G1172" i="1"/>
  <c r="H1172" i="1"/>
  <c r="I1172" i="1"/>
  <c r="J1172" i="1"/>
  <c r="K1172" i="1"/>
  <c r="L1172" i="1"/>
  <c r="M1172" i="1"/>
  <c r="N1172" i="1"/>
  <c r="O1172" i="1"/>
  <c r="P1172" i="1"/>
  <c r="Q1172" i="1"/>
  <c r="R1172" i="1"/>
  <c r="S1172" i="1"/>
  <c r="T1172" i="1"/>
  <c r="U1172" i="1"/>
  <c r="V1172" i="1"/>
  <c r="W1172" i="1"/>
  <c r="X1172" i="1"/>
  <c r="Y1172" i="1"/>
  <c r="Z1172" i="1"/>
  <c r="AA1172" i="1"/>
  <c r="AB1172" i="1"/>
  <c r="AC1172" i="1"/>
  <c r="AD1172" i="1"/>
  <c r="AE1172" i="1"/>
  <c r="AF1172" i="1"/>
  <c r="AG1172" i="1"/>
  <c r="AH1172" i="1"/>
  <c r="AI1172" i="1"/>
  <c r="AJ1172" i="1"/>
  <c r="AK1172" i="1"/>
  <c r="AL1172" i="1"/>
  <c r="AM1172" i="1"/>
  <c r="A1173" i="1"/>
  <c r="B1173" i="1"/>
  <c r="C1173" i="1"/>
  <c r="D1173" i="1"/>
  <c r="E1173" i="1"/>
  <c r="F1173" i="1"/>
  <c r="G1173" i="1"/>
  <c r="H1173" i="1"/>
  <c r="I1173" i="1"/>
  <c r="J1173" i="1"/>
  <c r="K1173" i="1"/>
  <c r="L1173" i="1"/>
  <c r="M1173" i="1"/>
  <c r="N1173" i="1"/>
  <c r="O1173" i="1"/>
  <c r="P1173" i="1"/>
  <c r="Q1173" i="1"/>
  <c r="R1173" i="1"/>
  <c r="S1173" i="1"/>
  <c r="T1173" i="1"/>
  <c r="U1173" i="1"/>
  <c r="V1173" i="1"/>
  <c r="W1173" i="1"/>
  <c r="X1173" i="1"/>
  <c r="Y1173" i="1"/>
  <c r="Z1173" i="1"/>
  <c r="AA1173" i="1"/>
  <c r="AB1173" i="1"/>
  <c r="AC1173" i="1"/>
  <c r="AD1173" i="1"/>
  <c r="AE1173" i="1"/>
  <c r="AF1173" i="1"/>
  <c r="AG1173" i="1"/>
  <c r="AH1173" i="1"/>
  <c r="AI1173" i="1"/>
  <c r="AJ1173" i="1"/>
  <c r="AK1173" i="1"/>
  <c r="AL1173" i="1"/>
  <c r="AM1173" i="1"/>
  <c r="A1174" i="1"/>
  <c r="B1174" i="1"/>
  <c r="C1174" i="1"/>
  <c r="D1174" i="1"/>
  <c r="E1174" i="1"/>
  <c r="F1174" i="1"/>
  <c r="G1174" i="1"/>
  <c r="H1174" i="1"/>
  <c r="I1174" i="1"/>
  <c r="J1174" i="1"/>
  <c r="K1174" i="1"/>
  <c r="L1174" i="1"/>
  <c r="M1174" i="1"/>
  <c r="N1174" i="1"/>
  <c r="O1174" i="1"/>
  <c r="P1174" i="1"/>
  <c r="Q1174" i="1"/>
  <c r="R1174" i="1"/>
  <c r="S1174" i="1"/>
  <c r="T1174" i="1"/>
  <c r="U1174" i="1"/>
  <c r="V1174" i="1"/>
  <c r="W1174" i="1"/>
  <c r="X1174" i="1"/>
  <c r="Y1174" i="1"/>
  <c r="Z1174" i="1"/>
  <c r="AA1174" i="1"/>
  <c r="AB1174" i="1"/>
  <c r="AC1174" i="1"/>
  <c r="AD1174" i="1"/>
  <c r="AE1174" i="1"/>
  <c r="AF1174" i="1"/>
  <c r="AG1174" i="1"/>
  <c r="AH1174" i="1"/>
  <c r="AI1174" i="1"/>
  <c r="AJ1174" i="1"/>
  <c r="AK1174" i="1"/>
  <c r="AL1174" i="1"/>
  <c r="AM1174" i="1"/>
  <c r="A1175" i="1"/>
  <c r="B1175" i="1"/>
  <c r="C1175" i="1"/>
  <c r="D1175" i="1"/>
  <c r="E1175" i="1"/>
  <c r="F1175" i="1"/>
  <c r="G1175" i="1"/>
  <c r="H1175" i="1"/>
  <c r="I1175" i="1"/>
  <c r="J1175" i="1"/>
  <c r="K1175" i="1"/>
  <c r="L1175" i="1"/>
  <c r="M1175" i="1"/>
  <c r="N1175" i="1"/>
  <c r="O1175" i="1"/>
  <c r="P1175" i="1"/>
  <c r="Q1175" i="1"/>
  <c r="R1175" i="1"/>
  <c r="S1175" i="1"/>
  <c r="T1175" i="1"/>
  <c r="U1175" i="1"/>
  <c r="V1175" i="1"/>
  <c r="W1175" i="1"/>
  <c r="X1175" i="1"/>
  <c r="Y1175" i="1"/>
  <c r="Z1175" i="1"/>
  <c r="AA1175" i="1"/>
  <c r="AB1175" i="1"/>
  <c r="AC1175" i="1"/>
  <c r="AD1175" i="1"/>
  <c r="AE1175" i="1"/>
  <c r="AF1175" i="1"/>
  <c r="AG1175" i="1"/>
  <c r="AH1175" i="1"/>
  <c r="AI1175" i="1"/>
  <c r="AJ1175" i="1"/>
  <c r="AK1175" i="1"/>
  <c r="AL1175" i="1"/>
  <c r="AM1175" i="1"/>
  <c r="A1176" i="1"/>
  <c r="B1176" i="1"/>
  <c r="C1176" i="1"/>
  <c r="D1176" i="1"/>
  <c r="E1176" i="1"/>
  <c r="F1176" i="1"/>
  <c r="G1176" i="1"/>
  <c r="H1176" i="1"/>
  <c r="I1176" i="1"/>
  <c r="J1176" i="1"/>
  <c r="K1176" i="1"/>
  <c r="L1176" i="1"/>
  <c r="M1176" i="1"/>
  <c r="N1176" i="1"/>
  <c r="O1176" i="1"/>
  <c r="P1176" i="1"/>
  <c r="Q1176" i="1"/>
  <c r="R1176" i="1"/>
  <c r="S1176" i="1"/>
  <c r="T1176" i="1"/>
  <c r="U1176" i="1"/>
  <c r="V1176" i="1"/>
  <c r="W1176" i="1"/>
  <c r="X1176" i="1"/>
  <c r="Y1176" i="1"/>
  <c r="Z1176" i="1"/>
  <c r="AA1176" i="1"/>
  <c r="AB1176" i="1"/>
  <c r="AC1176" i="1"/>
  <c r="AD1176" i="1"/>
  <c r="AE1176" i="1"/>
  <c r="AF1176" i="1"/>
  <c r="AG1176" i="1"/>
  <c r="AH1176" i="1"/>
  <c r="AI1176" i="1"/>
  <c r="AJ1176" i="1"/>
  <c r="AK1176" i="1"/>
  <c r="AL1176" i="1"/>
  <c r="AM1176" i="1"/>
  <c r="A1177" i="1"/>
  <c r="B1177" i="1"/>
  <c r="C1177" i="1"/>
  <c r="D1177" i="1"/>
  <c r="E1177" i="1"/>
  <c r="F1177" i="1"/>
  <c r="G1177" i="1"/>
  <c r="H1177" i="1"/>
  <c r="I1177" i="1"/>
  <c r="J1177" i="1"/>
  <c r="K1177" i="1"/>
  <c r="L1177" i="1"/>
  <c r="M1177" i="1"/>
  <c r="N1177" i="1"/>
  <c r="O1177" i="1"/>
  <c r="P1177" i="1"/>
  <c r="Q1177" i="1"/>
  <c r="R1177" i="1"/>
  <c r="S1177" i="1"/>
  <c r="T1177" i="1"/>
  <c r="U1177" i="1"/>
  <c r="V1177" i="1"/>
  <c r="W1177" i="1"/>
  <c r="X1177" i="1"/>
  <c r="Y1177" i="1"/>
  <c r="Z1177" i="1"/>
  <c r="AA1177" i="1"/>
  <c r="AB1177" i="1"/>
  <c r="AC1177" i="1"/>
  <c r="AD1177" i="1"/>
  <c r="AE1177" i="1"/>
  <c r="AF1177" i="1"/>
  <c r="AG1177" i="1"/>
  <c r="AH1177" i="1"/>
  <c r="AI1177" i="1"/>
  <c r="AJ1177" i="1"/>
  <c r="AK1177" i="1"/>
  <c r="AL1177" i="1"/>
  <c r="AM1177" i="1"/>
  <c r="A1178" i="1"/>
  <c r="B1178" i="1"/>
  <c r="C1178" i="1"/>
  <c r="D1178" i="1"/>
  <c r="E1178" i="1"/>
  <c r="F1178" i="1"/>
  <c r="G1178" i="1"/>
  <c r="H1178" i="1"/>
  <c r="I1178" i="1"/>
  <c r="J1178" i="1"/>
  <c r="K1178" i="1"/>
  <c r="L1178" i="1"/>
  <c r="M1178" i="1"/>
  <c r="N1178" i="1"/>
  <c r="O1178" i="1"/>
  <c r="P1178" i="1"/>
  <c r="Q1178" i="1"/>
  <c r="R1178" i="1"/>
  <c r="S1178" i="1"/>
  <c r="T1178" i="1"/>
  <c r="U1178" i="1"/>
  <c r="V1178" i="1"/>
  <c r="W1178" i="1"/>
  <c r="X1178" i="1"/>
  <c r="Y1178" i="1"/>
  <c r="Z1178" i="1"/>
  <c r="AA1178" i="1"/>
  <c r="AB1178" i="1"/>
  <c r="AC1178" i="1"/>
  <c r="AD1178" i="1"/>
  <c r="AE1178" i="1"/>
  <c r="AF1178" i="1"/>
  <c r="AG1178" i="1"/>
  <c r="AH1178" i="1"/>
  <c r="AI1178" i="1"/>
  <c r="AJ1178" i="1"/>
  <c r="AK1178" i="1"/>
  <c r="AL1178" i="1"/>
  <c r="AM1178" i="1"/>
  <c r="A1179" i="1"/>
  <c r="B1179" i="1"/>
  <c r="C1179" i="1"/>
  <c r="D1179" i="1"/>
  <c r="E1179" i="1"/>
  <c r="F1179" i="1"/>
  <c r="G1179" i="1"/>
  <c r="H1179" i="1"/>
  <c r="I1179" i="1"/>
  <c r="J1179" i="1"/>
  <c r="K1179" i="1"/>
  <c r="L1179" i="1"/>
  <c r="M1179" i="1"/>
  <c r="N1179" i="1"/>
  <c r="O1179" i="1"/>
  <c r="P1179" i="1"/>
  <c r="Q1179" i="1"/>
  <c r="R1179" i="1"/>
  <c r="S1179" i="1"/>
  <c r="T1179" i="1"/>
  <c r="U1179" i="1"/>
  <c r="V1179" i="1"/>
  <c r="W1179" i="1"/>
  <c r="X1179" i="1"/>
  <c r="Y1179" i="1"/>
  <c r="Z1179" i="1"/>
  <c r="AA1179" i="1"/>
  <c r="AB1179" i="1"/>
  <c r="AC1179" i="1"/>
  <c r="AD1179" i="1"/>
  <c r="AE1179" i="1"/>
  <c r="AF1179" i="1"/>
  <c r="AG1179" i="1"/>
  <c r="AH1179" i="1"/>
  <c r="AI1179" i="1"/>
  <c r="AJ1179" i="1"/>
  <c r="AK1179" i="1"/>
  <c r="AL1179" i="1"/>
  <c r="AM1179" i="1"/>
  <c r="A1180" i="1"/>
  <c r="B1180" i="1"/>
  <c r="C1180" i="1"/>
  <c r="D1180" i="1"/>
  <c r="E1180" i="1"/>
  <c r="F1180" i="1"/>
  <c r="G1180" i="1"/>
  <c r="H1180" i="1"/>
  <c r="I1180" i="1"/>
  <c r="J1180" i="1"/>
  <c r="K1180" i="1"/>
  <c r="L1180" i="1"/>
  <c r="M1180" i="1"/>
  <c r="N1180" i="1"/>
  <c r="O1180" i="1"/>
  <c r="P1180" i="1"/>
  <c r="Q1180" i="1"/>
  <c r="R1180" i="1"/>
  <c r="S1180" i="1"/>
  <c r="T1180" i="1"/>
  <c r="U1180" i="1"/>
  <c r="V1180" i="1"/>
  <c r="W1180" i="1"/>
  <c r="X1180" i="1"/>
  <c r="Y1180" i="1"/>
  <c r="Z1180" i="1"/>
  <c r="AA1180" i="1"/>
  <c r="AB1180" i="1"/>
  <c r="AC1180" i="1"/>
  <c r="AD1180" i="1"/>
  <c r="AE1180" i="1"/>
  <c r="AF1180" i="1"/>
  <c r="AG1180" i="1"/>
  <c r="AH1180" i="1"/>
  <c r="AI1180" i="1"/>
  <c r="AJ1180" i="1"/>
  <c r="AK1180" i="1"/>
  <c r="AL1180" i="1"/>
  <c r="AM1180" i="1"/>
  <c r="A1181" i="1"/>
  <c r="B1181" i="1"/>
  <c r="C1181" i="1"/>
  <c r="D1181" i="1"/>
  <c r="E1181" i="1"/>
  <c r="F1181" i="1"/>
  <c r="G1181" i="1"/>
  <c r="H1181" i="1"/>
  <c r="I1181" i="1"/>
  <c r="J1181" i="1"/>
  <c r="K1181" i="1"/>
  <c r="L1181" i="1"/>
  <c r="M1181" i="1"/>
  <c r="N1181" i="1"/>
  <c r="O1181" i="1"/>
  <c r="P1181" i="1"/>
  <c r="Q1181" i="1"/>
  <c r="R1181" i="1"/>
  <c r="S1181" i="1"/>
  <c r="T1181" i="1"/>
  <c r="U1181" i="1"/>
  <c r="V1181" i="1"/>
  <c r="W1181" i="1"/>
  <c r="X1181" i="1"/>
  <c r="Y1181" i="1"/>
  <c r="Z1181" i="1"/>
  <c r="AA1181" i="1"/>
  <c r="AB1181" i="1"/>
  <c r="AC1181" i="1"/>
  <c r="AD1181" i="1"/>
  <c r="AE1181" i="1"/>
  <c r="AF1181" i="1"/>
  <c r="AG1181" i="1"/>
  <c r="AH1181" i="1"/>
  <c r="AI1181" i="1"/>
  <c r="AJ1181" i="1"/>
  <c r="AK1181" i="1"/>
  <c r="AL1181" i="1"/>
  <c r="AM1181" i="1"/>
  <c r="A1182" i="1"/>
  <c r="B1182" i="1"/>
  <c r="C1182" i="1"/>
  <c r="D1182" i="1"/>
  <c r="E1182" i="1"/>
  <c r="F1182" i="1"/>
  <c r="G1182" i="1"/>
  <c r="H1182" i="1"/>
  <c r="I1182" i="1"/>
  <c r="J1182" i="1"/>
  <c r="K1182" i="1"/>
  <c r="L1182" i="1"/>
  <c r="M1182" i="1"/>
  <c r="N1182" i="1"/>
  <c r="O1182" i="1"/>
  <c r="P1182" i="1"/>
  <c r="Q1182" i="1"/>
  <c r="R1182" i="1"/>
  <c r="S1182" i="1"/>
  <c r="T1182" i="1"/>
  <c r="U1182" i="1"/>
  <c r="V1182" i="1"/>
  <c r="W1182" i="1"/>
  <c r="X1182" i="1"/>
  <c r="Y1182" i="1"/>
  <c r="Z1182" i="1"/>
  <c r="AA1182" i="1"/>
  <c r="AB1182" i="1"/>
  <c r="AC1182" i="1"/>
  <c r="AD1182" i="1"/>
  <c r="AE1182" i="1"/>
  <c r="AF1182" i="1"/>
  <c r="AG1182" i="1"/>
  <c r="AH1182" i="1"/>
  <c r="AI1182" i="1"/>
  <c r="AJ1182" i="1"/>
  <c r="AK1182" i="1"/>
  <c r="AL1182" i="1"/>
  <c r="AM1182" i="1"/>
  <c r="A1183" i="1"/>
  <c r="B1183" i="1"/>
  <c r="C1183" i="1"/>
  <c r="D1183" i="1"/>
  <c r="E1183" i="1"/>
  <c r="F1183" i="1"/>
  <c r="G1183" i="1"/>
  <c r="H1183" i="1"/>
  <c r="I1183" i="1"/>
  <c r="J1183" i="1"/>
  <c r="K1183" i="1"/>
  <c r="L1183" i="1"/>
  <c r="M1183" i="1"/>
  <c r="N1183" i="1"/>
  <c r="O1183" i="1"/>
  <c r="P1183" i="1"/>
  <c r="Q1183" i="1"/>
  <c r="R1183" i="1"/>
  <c r="S1183" i="1"/>
  <c r="T1183" i="1"/>
  <c r="U1183" i="1"/>
  <c r="V1183" i="1"/>
  <c r="W1183" i="1"/>
  <c r="X1183" i="1"/>
  <c r="Y1183" i="1"/>
  <c r="Z1183" i="1"/>
  <c r="AA1183" i="1"/>
  <c r="AB1183" i="1"/>
  <c r="AC1183" i="1"/>
  <c r="AD1183" i="1"/>
  <c r="AE1183" i="1"/>
  <c r="AF1183" i="1"/>
  <c r="AG1183" i="1"/>
  <c r="AH1183" i="1"/>
  <c r="AI1183" i="1"/>
  <c r="AJ1183" i="1"/>
  <c r="AK1183" i="1"/>
  <c r="AL1183" i="1"/>
  <c r="AM1183" i="1"/>
  <c r="A1184" i="1"/>
  <c r="B1184" i="1"/>
  <c r="C1184" i="1"/>
  <c r="D1184" i="1"/>
  <c r="E1184" i="1"/>
  <c r="F1184" i="1"/>
  <c r="G1184" i="1"/>
  <c r="H1184" i="1"/>
  <c r="I1184" i="1"/>
  <c r="J1184" i="1"/>
  <c r="K1184" i="1"/>
  <c r="L1184" i="1"/>
  <c r="M1184" i="1"/>
  <c r="N1184" i="1"/>
  <c r="O1184" i="1"/>
  <c r="P1184" i="1"/>
  <c r="Q1184" i="1"/>
  <c r="R1184" i="1"/>
  <c r="S1184" i="1"/>
  <c r="T1184" i="1"/>
  <c r="U1184" i="1"/>
  <c r="V1184" i="1"/>
  <c r="W1184" i="1"/>
  <c r="X1184" i="1"/>
  <c r="Y1184" i="1"/>
  <c r="Z1184" i="1"/>
  <c r="AA1184" i="1"/>
  <c r="AB1184" i="1"/>
  <c r="AC1184" i="1"/>
  <c r="AD1184" i="1"/>
  <c r="AE1184" i="1"/>
  <c r="AF1184" i="1"/>
  <c r="AG1184" i="1"/>
  <c r="AH1184" i="1"/>
  <c r="AI1184" i="1"/>
  <c r="AJ1184" i="1"/>
  <c r="AK1184" i="1"/>
  <c r="AL1184" i="1"/>
  <c r="AM1184" i="1"/>
  <c r="A1185" i="1"/>
  <c r="B1185" i="1"/>
  <c r="C1185" i="1"/>
  <c r="D1185" i="1"/>
  <c r="E1185" i="1"/>
  <c r="F1185" i="1"/>
  <c r="G1185" i="1"/>
  <c r="H1185" i="1"/>
  <c r="I1185" i="1"/>
  <c r="J1185" i="1"/>
  <c r="K1185" i="1"/>
  <c r="L1185" i="1"/>
  <c r="M1185" i="1"/>
  <c r="N1185" i="1"/>
  <c r="O1185" i="1"/>
  <c r="P1185" i="1"/>
  <c r="Q1185" i="1"/>
  <c r="R1185" i="1"/>
  <c r="S1185" i="1"/>
  <c r="T1185" i="1"/>
  <c r="U1185" i="1"/>
  <c r="V1185" i="1"/>
  <c r="W1185" i="1"/>
  <c r="X1185" i="1"/>
  <c r="Y1185" i="1"/>
  <c r="Z1185" i="1"/>
  <c r="AA1185" i="1"/>
  <c r="AB1185" i="1"/>
  <c r="AC1185" i="1"/>
  <c r="AD1185" i="1"/>
  <c r="AE1185" i="1"/>
  <c r="AF1185" i="1"/>
  <c r="AG1185" i="1"/>
  <c r="AH1185" i="1"/>
  <c r="AI1185" i="1"/>
  <c r="AJ1185" i="1"/>
  <c r="AK1185" i="1"/>
  <c r="AL1185" i="1"/>
  <c r="AM1185" i="1"/>
  <c r="A1186" i="1"/>
  <c r="B1186" i="1"/>
  <c r="C1186" i="1"/>
  <c r="D1186" i="1"/>
  <c r="E1186" i="1"/>
  <c r="F1186" i="1"/>
  <c r="G1186" i="1"/>
  <c r="H1186" i="1"/>
  <c r="I1186" i="1"/>
  <c r="J1186" i="1"/>
  <c r="K1186" i="1"/>
  <c r="L1186" i="1"/>
  <c r="M1186" i="1"/>
  <c r="N1186" i="1"/>
  <c r="O1186" i="1"/>
  <c r="P1186" i="1"/>
  <c r="Q1186" i="1"/>
  <c r="R1186" i="1"/>
  <c r="S1186" i="1"/>
  <c r="T1186" i="1"/>
  <c r="U1186" i="1"/>
  <c r="V1186" i="1"/>
  <c r="W1186" i="1"/>
  <c r="X1186" i="1"/>
  <c r="Y1186" i="1"/>
  <c r="Z1186" i="1"/>
  <c r="AA1186" i="1"/>
  <c r="AB1186" i="1"/>
  <c r="AC1186" i="1"/>
  <c r="AD1186" i="1"/>
  <c r="AE1186" i="1"/>
  <c r="AF1186" i="1"/>
  <c r="AG1186" i="1"/>
  <c r="AH1186" i="1"/>
  <c r="AI1186" i="1"/>
  <c r="AJ1186" i="1"/>
  <c r="AK1186" i="1"/>
  <c r="AL1186" i="1"/>
  <c r="AM1186" i="1"/>
  <c r="A1187" i="1"/>
  <c r="B1187" i="1"/>
  <c r="C1187" i="1"/>
  <c r="D1187" i="1"/>
  <c r="E1187" i="1"/>
  <c r="F1187" i="1"/>
  <c r="G1187" i="1"/>
  <c r="H1187" i="1"/>
  <c r="I1187" i="1"/>
  <c r="J1187" i="1"/>
  <c r="K1187" i="1"/>
  <c r="L1187" i="1"/>
  <c r="M1187" i="1"/>
  <c r="N1187" i="1"/>
  <c r="O1187" i="1"/>
  <c r="P1187" i="1"/>
  <c r="Q1187" i="1"/>
  <c r="R1187" i="1"/>
  <c r="S1187" i="1"/>
  <c r="T1187" i="1"/>
  <c r="U1187" i="1"/>
  <c r="V1187" i="1"/>
  <c r="W1187" i="1"/>
  <c r="X1187" i="1"/>
  <c r="Y1187" i="1"/>
  <c r="Z1187" i="1"/>
  <c r="AA1187" i="1"/>
  <c r="AB1187" i="1"/>
  <c r="AC1187" i="1"/>
  <c r="AD1187" i="1"/>
  <c r="AE1187" i="1"/>
  <c r="AF1187" i="1"/>
  <c r="AG1187" i="1"/>
  <c r="AH1187" i="1"/>
  <c r="AI1187" i="1"/>
  <c r="AJ1187" i="1"/>
  <c r="AK1187" i="1"/>
  <c r="AL1187" i="1"/>
  <c r="AM1187" i="1"/>
  <c r="A1188" i="1"/>
  <c r="B1188" i="1"/>
  <c r="C1188" i="1"/>
  <c r="D1188" i="1"/>
  <c r="E1188" i="1"/>
  <c r="F1188" i="1"/>
  <c r="G1188" i="1"/>
  <c r="H1188" i="1"/>
  <c r="I1188" i="1"/>
  <c r="J1188" i="1"/>
  <c r="K1188" i="1"/>
  <c r="L1188" i="1"/>
  <c r="M1188" i="1"/>
  <c r="N1188" i="1"/>
  <c r="O1188" i="1"/>
  <c r="P1188" i="1"/>
  <c r="Q1188" i="1"/>
  <c r="R1188" i="1"/>
  <c r="S1188" i="1"/>
  <c r="T1188" i="1"/>
  <c r="U1188" i="1"/>
  <c r="V1188" i="1"/>
  <c r="W1188" i="1"/>
  <c r="X1188" i="1"/>
  <c r="Y1188" i="1"/>
  <c r="Z1188" i="1"/>
  <c r="AA1188" i="1"/>
  <c r="AB1188" i="1"/>
  <c r="AC1188" i="1"/>
  <c r="AD1188" i="1"/>
  <c r="AE1188" i="1"/>
  <c r="AF1188" i="1"/>
  <c r="AG1188" i="1"/>
  <c r="AH1188" i="1"/>
  <c r="AI1188" i="1"/>
  <c r="AJ1188" i="1"/>
  <c r="AK1188" i="1"/>
  <c r="AL1188" i="1"/>
  <c r="AM1188" i="1"/>
  <c r="A1189" i="1"/>
  <c r="B1189" i="1"/>
  <c r="C1189" i="1"/>
  <c r="D1189" i="1"/>
  <c r="E1189" i="1"/>
  <c r="F1189" i="1"/>
  <c r="G1189" i="1"/>
  <c r="H1189" i="1"/>
  <c r="I1189" i="1"/>
  <c r="J1189" i="1"/>
  <c r="K1189" i="1"/>
  <c r="L1189" i="1"/>
  <c r="M1189" i="1"/>
  <c r="N1189" i="1"/>
  <c r="O1189" i="1"/>
  <c r="P1189" i="1"/>
  <c r="Q1189" i="1"/>
  <c r="R1189" i="1"/>
  <c r="S1189" i="1"/>
  <c r="T1189" i="1"/>
  <c r="U1189" i="1"/>
  <c r="V1189" i="1"/>
  <c r="W1189" i="1"/>
  <c r="X1189" i="1"/>
  <c r="Y1189" i="1"/>
  <c r="Z1189" i="1"/>
  <c r="AA1189" i="1"/>
  <c r="AB1189" i="1"/>
  <c r="AC1189" i="1"/>
  <c r="AD1189" i="1"/>
  <c r="AE1189" i="1"/>
  <c r="AF1189" i="1"/>
  <c r="AG1189" i="1"/>
  <c r="AH1189" i="1"/>
  <c r="AI1189" i="1"/>
  <c r="AJ1189" i="1"/>
  <c r="AK1189" i="1"/>
  <c r="AL1189" i="1"/>
  <c r="AM1189" i="1"/>
  <c r="A1190" i="1"/>
  <c r="B1190" i="1"/>
  <c r="C1190" i="1"/>
  <c r="D1190" i="1"/>
  <c r="E1190" i="1"/>
  <c r="F1190" i="1"/>
  <c r="G1190" i="1"/>
  <c r="H1190" i="1"/>
  <c r="I1190" i="1"/>
  <c r="J1190" i="1"/>
  <c r="K1190" i="1"/>
  <c r="L1190" i="1"/>
  <c r="M1190" i="1"/>
  <c r="N1190" i="1"/>
  <c r="O1190" i="1"/>
  <c r="P1190" i="1"/>
  <c r="Q1190" i="1"/>
  <c r="R1190" i="1"/>
  <c r="S1190" i="1"/>
  <c r="T1190" i="1"/>
  <c r="U1190" i="1"/>
  <c r="V1190" i="1"/>
  <c r="W1190" i="1"/>
  <c r="X1190" i="1"/>
  <c r="Y1190" i="1"/>
  <c r="Z1190" i="1"/>
  <c r="AA1190" i="1"/>
  <c r="AB1190" i="1"/>
  <c r="AC1190" i="1"/>
  <c r="AD1190" i="1"/>
  <c r="AE1190" i="1"/>
  <c r="AF1190" i="1"/>
  <c r="AG1190" i="1"/>
  <c r="AH1190" i="1"/>
  <c r="AI1190" i="1"/>
  <c r="AJ1190" i="1"/>
  <c r="AK1190" i="1"/>
  <c r="AL1190" i="1"/>
  <c r="AM1190" i="1"/>
  <c r="A1191" i="1"/>
  <c r="B1191" i="1"/>
  <c r="C1191" i="1"/>
  <c r="D1191" i="1"/>
  <c r="E1191" i="1"/>
  <c r="F1191" i="1"/>
  <c r="G1191" i="1"/>
  <c r="H1191" i="1"/>
  <c r="I1191" i="1"/>
  <c r="J1191" i="1"/>
  <c r="K1191" i="1"/>
  <c r="L1191" i="1"/>
  <c r="M1191" i="1"/>
  <c r="N1191" i="1"/>
  <c r="O1191" i="1"/>
  <c r="P1191" i="1"/>
  <c r="Q1191" i="1"/>
  <c r="R1191" i="1"/>
  <c r="S1191" i="1"/>
  <c r="T1191" i="1"/>
  <c r="U1191" i="1"/>
  <c r="V1191" i="1"/>
  <c r="W1191" i="1"/>
  <c r="X1191" i="1"/>
  <c r="Y1191" i="1"/>
  <c r="Z1191" i="1"/>
  <c r="AA1191" i="1"/>
  <c r="AB1191" i="1"/>
  <c r="AC1191" i="1"/>
  <c r="AD1191" i="1"/>
  <c r="AE1191" i="1"/>
  <c r="AF1191" i="1"/>
  <c r="AG1191" i="1"/>
  <c r="AH1191" i="1"/>
  <c r="AI1191" i="1"/>
  <c r="AJ1191" i="1"/>
  <c r="AK1191" i="1"/>
  <c r="AL1191" i="1"/>
  <c r="AM1191" i="1"/>
  <c r="A1192" i="1"/>
  <c r="B1192" i="1"/>
  <c r="C1192" i="1"/>
  <c r="D1192" i="1"/>
  <c r="E1192" i="1"/>
  <c r="F1192" i="1"/>
  <c r="G1192" i="1"/>
  <c r="H1192" i="1"/>
  <c r="I1192" i="1"/>
  <c r="J1192" i="1"/>
  <c r="K1192" i="1"/>
  <c r="L1192" i="1"/>
  <c r="M1192" i="1"/>
  <c r="N1192" i="1"/>
  <c r="O1192" i="1"/>
  <c r="P1192" i="1"/>
  <c r="Q1192" i="1"/>
  <c r="R1192" i="1"/>
  <c r="S1192" i="1"/>
  <c r="T1192" i="1"/>
  <c r="U1192" i="1"/>
  <c r="V1192" i="1"/>
  <c r="W1192" i="1"/>
  <c r="X1192" i="1"/>
  <c r="Y1192" i="1"/>
  <c r="Z1192" i="1"/>
  <c r="AA1192" i="1"/>
  <c r="AB1192" i="1"/>
  <c r="AC1192" i="1"/>
  <c r="AD1192" i="1"/>
  <c r="AE1192" i="1"/>
  <c r="AF1192" i="1"/>
  <c r="AG1192" i="1"/>
  <c r="AH1192" i="1"/>
  <c r="AI1192" i="1"/>
  <c r="AJ1192" i="1"/>
  <c r="AK1192" i="1"/>
  <c r="AL1192" i="1"/>
  <c r="AM1192" i="1"/>
  <c r="A1193" i="1"/>
  <c r="B1193" i="1"/>
  <c r="C1193" i="1"/>
  <c r="D1193" i="1"/>
  <c r="E1193" i="1"/>
  <c r="F1193" i="1"/>
  <c r="G1193" i="1"/>
  <c r="H1193" i="1"/>
  <c r="I1193" i="1"/>
  <c r="J1193" i="1"/>
  <c r="K1193" i="1"/>
  <c r="L1193" i="1"/>
  <c r="M1193" i="1"/>
  <c r="N1193" i="1"/>
  <c r="O1193" i="1"/>
  <c r="P1193" i="1"/>
  <c r="Q1193" i="1"/>
  <c r="R1193" i="1"/>
  <c r="S1193" i="1"/>
  <c r="T1193" i="1"/>
  <c r="U1193" i="1"/>
  <c r="V1193" i="1"/>
  <c r="W1193" i="1"/>
  <c r="X1193" i="1"/>
  <c r="Y1193" i="1"/>
  <c r="Z1193" i="1"/>
  <c r="AA1193" i="1"/>
  <c r="AB1193" i="1"/>
  <c r="AC1193" i="1"/>
  <c r="AD1193" i="1"/>
  <c r="AE1193" i="1"/>
  <c r="AF1193" i="1"/>
  <c r="AG1193" i="1"/>
  <c r="AH1193" i="1"/>
  <c r="AI1193" i="1"/>
  <c r="AJ1193" i="1"/>
  <c r="AK1193" i="1"/>
  <c r="AL1193" i="1"/>
  <c r="AM1193" i="1"/>
  <c r="A1194" i="1"/>
  <c r="B1194" i="1"/>
  <c r="C1194" i="1"/>
  <c r="D1194" i="1"/>
  <c r="E1194" i="1"/>
  <c r="F1194" i="1"/>
  <c r="G1194" i="1"/>
  <c r="H1194" i="1"/>
  <c r="I1194" i="1"/>
  <c r="J1194" i="1"/>
  <c r="K1194" i="1"/>
  <c r="L1194" i="1"/>
  <c r="M1194" i="1"/>
  <c r="N1194" i="1"/>
  <c r="O1194" i="1"/>
  <c r="P1194" i="1"/>
  <c r="Q1194" i="1"/>
  <c r="R1194" i="1"/>
  <c r="S1194" i="1"/>
  <c r="T1194" i="1"/>
  <c r="U1194" i="1"/>
  <c r="V1194" i="1"/>
  <c r="W1194" i="1"/>
  <c r="X1194" i="1"/>
  <c r="Y1194" i="1"/>
  <c r="Z1194" i="1"/>
  <c r="AA1194" i="1"/>
  <c r="AB1194" i="1"/>
  <c r="AC1194" i="1"/>
  <c r="AD1194" i="1"/>
  <c r="AE1194" i="1"/>
  <c r="AF1194" i="1"/>
  <c r="AG1194" i="1"/>
  <c r="AH1194" i="1"/>
  <c r="AI1194" i="1"/>
  <c r="AJ1194" i="1"/>
  <c r="AK1194" i="1"/>
  <c r="AL1194" i="1"/>
  <c r="AM1194" i="1"/>
  <c r="A1195" i="1"/>
  <c r="B1195" i="1"/>
  <c r="C1195" i="1"/>
  <c r="D1195" i="1"/>
  <c r="E1195" i="1"/>
  <c r="F1195" i="1"/>
  <c r="G1195" i="1"/>
  <c r="H1195" i="1"/>
  <c r="I1195" i="1"/>
  <c r="J1195" i="1"/>
  <c r="K1195" i="1"/>
  <c r="L1195" i="1"/>
  <c r="M1195" i="1"/>
  <c r="N1195" i="1"/>
  <c r="O1195" i="1"/>
  <c r="P1195" i="1"/>
  <c r="Q1195" i="1"/>
  <c r="R1195" i="1"/>
  <c r="S1195" i="1"/>
  <c r="T1195" i="1"/>
  <c r="U1195" i="1"/>
  <c r="V1195" i="1"/>
  <c r="W1195" i="1"/>
  <c r="X1195" i="1"/>
  <c r="Y1195" i="1"/>
  <c r="Z1195" i="1"/>
  <c r="AA1195" i="1"/>
  <c r="AB1195" i="1"/>
  <c r="AC1195" i="1"/>
  <c r="AD1195" i="1"/>
  <c r="AE1195" i="1"/>
  <c r="AF1195" i="1"/>
  <c r="AG1195" i="1"/>
  <c r="AH1195" i="1"/>
  <c r="AI1195" i="1"/>
  <c r="AJ1195" i="1"/>
  <c r="AK1195" i="1"/>
  <c r="AL1195" i="1"/>
  <c r="AM1195" i="1"/>
  <c r="A1196" i="1"/>
  <c r="B1196" i="1"/>
  <c r="C1196" i="1"/>
  <c r="D1196" i="1"/>
  <c r="E1196" i="1"/>
  <c r="F1196" i="1"/>
  <c r="G1196" i="1"/>
  <c r="H1196" i="1"/>
  <c r="I1196" i="1"/>
  <c r="J1196" i="1"/>
  <c r="K1196" i="1"/>
  <c r="L1196" i="1"/>
  <c r="M1196" i="1"/>
  <c r="N1196" i="1"/>
  <c r="O1196" i="1"/>
  <c r="P1196" i="1"/>
  <c r="Q1196" i="1"/>
  <c r="R1196" i="1"/>
  <c r="S1196" i="1"/>
  <c r="T1196" i="1"/>
  <c r="U1196" i="1"/>
  <c r="V1196" i="1"/>
  <c r="W1196" i="1"/>
  <c r="X1196" i="1"/>
  <c r="Y1196" i="1"/>
  <c r="Z1196" i="1"/>
  <c r="AA1196" i="1"/>
  <c r="AB1196" i="1"/>
  <c r="AC1196" i="1"/>
  <c r="AD1196" i="1"/>
  <c r="AE1196" i="1"/>
  <c r="AF1196" i="1"/>
  <c r="AG1196" i="1"/>
  <c r="AH1196" i="1"/>
  <c r="AI1196" i="1"/>
  <c r="AJ1196" i="1"/>
  <c r="AK1196" i="1"/>
  <c r="AL1196" i="1"/>
  <c r="AM1196" i="1"/>
  <c r="A1197" i="1"/>
  <c r="B1197" i="1"/>
  <c r="C1197" i="1"/>
  <c r="D1197" i="1"/>
  <c r="E1197" i="1"/>
  <c r="F1197" i="1"/>
  <c r="G1197" i="1"/>
  <c r="H1197" i="1"/>
  <c r="I1197" i="1"/>
  <c r="J1197" i="1"/>
  <c r="K1197" i="1"/>
  <c r="L1197" i="1"/>
  <c r="M1197" i="1"/>
  <c r="N1197" i="1"/>
  <c r="O1197" i="1"/>
  <c r="P1197" i="1"/>
  <c r="Q1197" i="1"/>
  <c r="R1197" i="1"/>
  <c r="S1197" i="1"/>
  <c r="T1197" i="1"/>
  <c r="U1197" i="1"/>
  <c r="V1197" i="1"/>
  <c r="W1197" i="1"/>
  <c r="X1197" i="1"/>
  <c r="Y1197" i="1"/>
  <c r="Z1197" i="1"/>
  <c r="AA1197" i="1"/>
  <c r="AB1197" i="1"/>
  <c r="AC1197" i="1"/>
  <c r="AD1197" i="1"/>
  <c r="AE1197" i="1"/>
  <c r="AF1197" i="1"/>
  <c r="AG1197" i="1"/>
  <c r="AH1197" i="1"/>
  <c r="AI1197" i="1"/>
  <c r="AJ1197" i="1"/>
  <c r="AK1197" i="1"/>
  <c r="AL1197" i="1"/>
  <c r="AM1197" i="1"/>
  <c r="A1198" i="1"/>
  <c r="B1198" i="1"/>
  <c r="C1198" i="1"/>
  <c r="D1198" i="1"/>
  <c r="E1198" i="1"/>
  <c r="F1198" i="1"/>
  <c r="G1198" i="1"/>
  <c r="H1198" i="1"/>
  <c r="I1198" i="1"/>
  <c r="J1198" i="1"/>
  <c r="K1198" i="1"/>
  <c r="L1198" i="1"/>
  <c r="M1198" i="1"/>
  <c r="N1198" i="1"/>
  <c r="O1198" i="1"/>
  <c r="P1198" i="1"/>
  <c r="Q1198" i="1"/>
  <c r="R1198" i="1"/>
  <c r="S1198" i="1"/>
  <c r="T1198" i="1"/>
  <c r="U1198" i="1"/>
  <c r="V1198" i="1"/>
  <c r="W1198" i="1"/>
  <c r="X1198" i="1"/>
  <c r="Y1198" i="1"/>
  <c r="Z1198" i="1"/>
  <c r="AA1198" i="1"/>
  <c r="AB1198" i="1"/>
  <c r="AC1198" i="1"/>
  <c r="AD1198" i="1"/>
  <c r="AE1198" i="1"/>
  <c r="AF1198" i="1"/>
  <c r="AG1198" i="1"/>
  <c r="AH1198" i="1"/>
  <c r="AI1198" i="1"/>
  <c r="AJ1198" i="1"/>
  <c r="AK1198" i="1"/>
  <c r="AL1198" i="1"/>
  <c r="AM1198" i="1"/>
  <c r="A1199" i="1"/>
  <c r="B1199" i="1"/>
  <c r="C1199" i="1"/>
  <c r="D1199" i="1"/>
  <c r="E1199" i="1"/>
  <c r="F1199" i="1"/>
  <c r="G1199" i="1"/>
  <c r="H1199" i="1"/>
  <c r="I1199" i="1"/>
  <c r="J1199" i="1"/>
  <c r="K1199" i="1"/>
  <c r="L1199" i="1"/>
  <c r="M1199" i="1"/>
  <c r="N1199" i="1"/>
  <c r="O1199" i="1"/>
  <c r="P1199" i="1"/>
  <c r="Q1199" i="1"/>
  <c r="R1199" i="1"/>
  <c r="S1199" i="1"/>
  <c r="T1199" i="1"/>
  <c r="U1199" i="1"/>
  <c r="V1199" i="1"/>
  <c r="W1199" i="1"/>
  <c r="X1199" i="1"/>
  <c r="Y1199" i="1"/>
  <c r="Z1199" i="1"/>
  <c r="AA1199" i="1"/>
  <c r="AB1199" i="1"/>
  <c r="AC1199" i="1"/>
  <c r="AD1199" i="1"/>
  <c r="AE1199" i="1"/>
  <c r="AF1199" i="1"/>
  <c r="AG1199" i="1"/>
  <c r="AH1199" i="1"/>
  <c r="AI1199" i="1"/>
  <c r="AJ1199" i="1"/>
  <c r="AK1199" i="1"/>
  <c r="AL1199" i="1"/>
  <c r="AM1199" i="1"/>
  <c r="A1200" i="1"/>
  <c r="B1200" i="1"/>
  <c r="C1200" i="1"/>
  <c r="D1200" i="1"/>
  <c r="E1200" i="1"/>
  <c r="F1200" i="1"/>
  <c r="G1200" i="1"/>
  <c r="H1200" i="1"/>
  <c r="I1200" i="1"/>
  <c r="J1200" i="1"/>
  <c r="K1200" i="1"/>
  <c r="L1200" i="1"/>
  <c r="M1200" i="1"/>
  <c r="N1200" i="1"/>
  <c r="O1200" i="1"/>
  <c r="P1200" i="1"/>
  <c r="Q1200" i="1"/>
  <c r="R1200" i="1"/>
  <c r="S1200" i="1"/>
  <c r="T1200" i="1"/>
  <c r="U1200" i="1"/>
  <c r="V1200" i="1"/>
  <c r="W1200" i="1"/>
  <c r="X1200" i="1"/>
  <c r="Y1200" i="1"/>
  <c r="Z1200" i="1"/>
  <c r="AA1200" i="1"/>
  <c r="AB1200" i="1"/>
  <c r="AC1200" i="1"/>
  <c r="AD1200" i="1"/>
  <c r="AE1200" i="1"/>
  <c r="AF1200" i="1"/>
  <c r="AG1200" i="1"/>
  <c r="AH1200" i="1"/>
  <c r="AI1200" i="1"/>
  <c r="AJ1200" i="1"/>
  <c r="AK1200" i="1"/>
  <c r="AL1200" i="1"/>
  <c r="AM1200" i="1"/>
  <c r="A1201" i="1"/>
  <c r="B1201" i="1"/>
  <c r="C1201" i="1"/>
  <c r="D1201" i="1"/>
  <c r="E1201" i="1"/>
  <c r="F1201" i="1"/>
  <c r="G1201" i="1"/>
  <c r="H1201" i="1"/>
  <c r="I1201" i="1"/>
  <c r="J1201" i="1"/>
  <c r="K1201" i="1"/>
  <c r="L1201" i="1"/>
  <c r="M1201" i="1"/>
  <c r="N1201" i="1"/>
  <c r="O1201" i="1"/>
  <c r="P1201" i="1"/>
  <c r="Q1201" i="1"/>
  <c r="R1201" i="1"/>
  <c r="S1201" i="1"/>
  <c r="T1201" i="1"/>
  <c r="U1201" i="1"/>
  <c r="V1201" i="1"/>
  <c r="W1201" i="1"/>
  <c r="X1201" i="1"/>
  <c r="Y1201" i="1"/>
  <c r="Z1201" i="1"/>
  <c r="AA1201" i="1"/>
  <c r="AB1201" i="1"/>
  <c r="AC1201" i="1"/>
  <c r="AD1201" i="1"/>
  <c r="AE1201" i="1"/>
  <c r="AF1201" i="1"/>
  <c r="AG1201" i="1"/>
  <c r="AH1201" i="1"/>
  <c r="AI1201" i="1"/>
  <c r="AJ1201" i="1"/>
  <c r="AK1201" i="1"/>
  <c r="AL1201" i="1"/>
  <c r="AM1201" i="1"/>
  <c r="A1202" i="1"/>
  <c r="B1202" i="1"/>
  <c r="C1202" i="1"/>
  <c r="D1202" i="1"/>
  <c r="E1202" i="1"/>
  <c r="F1202" i="1"/>
  <c r="G1202" i="1"/>
  <c r="H1202" i="1"/>
  <c r="I1202" i="1"/>
  <c r="J1202" i="1"/>
  <c r="K1202" i="1"/>
  <c r="L1202" i="1"/>
  <c r="M1202" i="1"/>
  <c r="N1202" i="1"/>
  <c r="O1202" i="1"/>
  <c r="P1202" i="1"/>
  <c r="Q1202" i="1"/>
  <c r="R1202" i="1"/>
  <c r="S1202" i="1"/>
  <c r="T1202" i="1"/>
  <c r="U1202" i="1"/>
  <c r="V1202" i="1"/>
  <c r="W1202" i="1"/>
  <c r="X1202" i="1"/>
  <c r="Y1202" i="1"/>
  <c r="Z1202" i="1"/>
  <c r="AA1202" i="1"/>
  <c r="AB1202" i="1"/>
  <c r="AC1202" i="1"/>
  <c r="AD1202" i="1"/>
  <c r="AE1202" i="1"/>
  <c r="AF1202" i="1"/>
  <c r="AG1202" i="1"/>
  <c r="AH1202" i="1"/>
  <c r="AI1202" i="1"/>
  <c r="AJ1202" i="1"/>
  <c r="AK1202" i="1"/>
  <c r="AL1202" i="1"/>
  <c r="AM1202" i="1"/>
  <c r="A1203" i="1"/>
  <c r="B1203" i="1"/>
  <c r="C1203" i="1"/>
  <c r="D1203" i="1"/>
  <c r="E1203" i="1"/>
  <c r="F1203" i="1"/>
  <c r="G1203" i="1"/>
  <c r="H1203" i="1"/>
  <c r="I1203" i="1"/>
  <c r="J1203" i="1"/>
  <c r="K1203" i="1"/>
  <c r="L1203" i="1"/>
  <c r="M1203" i="1"/>
  <c r="N1203" i="1"/>
  <c r="O1203" i="1"/>
  <c r="P1203" i="1"/>
  <c r="Q1203" i="1"/>
  <c r="R1203" i="1"/>
  <c r="S1203" i="1"/>
  <c r="T1203" i="1"/>
  <c r="U1203" i="1"/>
  <c r="V1203" i="1"/>
  <c r="W1203" i="1"/>
  <c r="X1203" i="1"/>
  <c r="Y1203" i="1"/>
  <c r="Z1203" i="1"/>
  <c r="AA1203" i="1"/>
  <c r="AB1203" i="1"/>
  <c r="AC1203" i="1"/>
  <c r="AD1203" i="1"/>
  <c r="AE1203" i="1"/>
  <c r="AF1203" i="1"/>
  <c r="AG1203" i="1"/>
  <c r="AH1203" i="1"/>
  <c r="AI1203" i="1"/>
  <c r="AJ1203" i="1"/>
  <c r="AK1203" i="1"/>
  <c r="AL1203" i="1"/>
  <c r="AM1203" i="1"/>
  <c r="A1204" i="1"/>
  <c r="B1204" i="1"/>
  <c r="C1204" i="1"/>
  <c r="D1204" i="1"/>
  <c r="E1204" i="1"/>
  <c r="F1204" i="1"/>
  <c r="G1204" i="1"/>
  <c r="H1204" i="1"/>
  <c r="I1204" i="1"/>
  <c r="J1204" i="1"/>
  <c r="K1204" i="1"/>
  <c r="L1204" i="1"/>
  <c r="M1204" i="1"/>
  <c r="N1204" i="1"/>
  <c r="O1204" i="1"/>
  <c r="P1204" i="1"/>
  <c r="Q1204" i="1"/>
  <c r="R1204" i="1"/>
  <c r="S1204" i="1"/>
  <c r="T1204" i="1"/>
  <c r="U1204" i="1"/>
  <c r="V1204" i="1"/>
  <c r="W1204" i="1"/>
  <c r="X1204" i="1"/>
  <c r="Y1204" i="1"/>
  <c r="Z1204" i="1"/>
  <c r="AA1204" i="1"/>
  <c r="AB1204" i="1"/>
  <c r="AC1204" i="1"/>
  <c r="AD1204" i="1"/>
  <c r="AE1204" i="1"/>
  <c r="AF1204" i="1"/>
  <c r="AG1204" i="1"/>
  <c r="AH1204" i="1"/>
  <c r="AI1204" i="1"/>
  <c r="AJ1204" i="1"/>
  <c r="AK1204" i="1"/>
  <c r="AL1204" i="1"/>
  <c r="AM1204" i="1"/>
  <c r="A1205" i="1"/>
  <c r="B1205" i="1"/>
  <c r="C1205" i="1"/>
  <c r="D1205" i="1"/>
  <c r="E1205" i="1"/>
  <c r="F1205" i="1"/>
  <c r="G1205" i="1"/>
  <c r="H1205" i="1"/>
  <c r="I1205" i="1"/>
  <c r="J1205" i="1"/>
  <c r="K1205" i="1"/>
  <c r="L1205" i="1"/>
  <c r="M1205" i="1"/>
  <c r="N1205" i="1"/>
  <c r="O1205" i="1"/>
  <c r="P1205" i="1"/>
  <c r="Q1205" i="1"/>
  <c r="R1205" i="1"/>
  <c r="S1205" i="1"/>
  <c r="T1205" i="1"/>
  <c r="U1205" i="1"/>
  <c r="V1205" i="1"/>
  <c r="W1205" i="1"/>
  <c r="X1205" i="1"/>
  <c r="Y1205" i="1"/>
  <c r="Z1205" i="1"/>
  <c r="AA1205" i="1"/>
  <c r="AB1205" i="1"/>
  <c r="AC1205" i="1"/>
  <c r="AD1205" i="1"/>
  <c r="AE1205" i="1"/>
  <c r="AF1205" i="1"/>
  <c r="AG1205" i="1"/>
  <c r="AH1205" i="1"/>
  <c r="AI1205" i="1"/>
  <c r="AJ1205" i="1"/>
  <c r="AK1205" i="1"/>
  <c r="AL1205" i="1"/>
  <c r="AM1205" i="1"/>
  <c r="A1206" i="1"/>
  <c r="B1206" i="1"/>
  <c r="C1206" i="1"/>
  <c r="D1206" i="1"/>
  <c r="E1206" i="1"/>
  <c r="F1206" i="1"/>
  <c r="G1206" i="1"/>
  <c r="H1206" i="1"/>
  <c r="I1206" i="1"/>
  <c r="J1206" i="1"/>
  <c r="K1206" i="1"/>
  <c r="L1206" i="1"/>
  <c r="M1206" i="1"/>
  <c r="N1206" i="1"/>
  <c r="O1206" i="1"/>
  <c r="P1206" i="1"/>
  <c r="Q1206" i="1"/>
  <c r="R1206" i="1"/>
  <c r="S1206" i="1"/>
  <c r="T1206" i="1"/>
  <c r="U1206" i="1"/>
  <c r="V1206" i="1"/>
  <c r="W1206" i="1"/>
  <c r="X1206" i="1"/>
  <c r="Y1206" i="1"/>
  <c r="Z1206" i="1"/>
  <c r="AA1206" i="1"/>
  <c r="AB1206" i="1"/>
  <c r="AC1206" i="1"/>
  <c r="AD1206" i="1"/>
  <c r="AE1206" i="1"/>
  <c r="AF1206" i="1"/>
  <c r="AG1206" i="1"/>
  <c r="AH1206" i="1"/>
  <c r="AI1206" i="1"/>
  <c r="AJ1206" i="1"/>
  <c r="AK1206" i="1"/>
  <c r="AL1206" i="1"/>
  <c r="AM1206" i="1"/>
  <c r="A1207" i="1"/>
  <c r="B1207" i="1"/>
  <c r="C1207" i="1"/>
  <c r="D1207" i="1"/>
  <c r="E1207" i="1"/>
  <c r="F1207" i="1"/>
  <c r="G1207" i="1"/>
  <c r="H1207" i="1"/>
  <c r="I1207" i="1"/>
  <c r="J1207" i="1"/>
  <c r="K1207" i="1"/>
  <c r="L1207" i="1"/>
  <c r="M1207" i="1"/>
  <c r="N1207" i="1"/>
  <c r="O1207" i="1"/>
  <c r="P1207" i="1"/>
  <c r="Q1207" i="1"/>
  <c r="R1207" i="1"/>
  <c r="S1207" i="1"/>
  <c r="T1207" i="1"/>
  <c r="U1207" i="1"/>
  <c r="V1207" i="1"/>
  <c r="W1207" i="1"/>
  <c r="X1207" i="1"/>
  <c r="Y1207" i="1"/>
  <c r="Z1207" i="1"/>
  <c r="AA1207" i="1"/>
  <c r="AB1207" i="1"/>
  <c r="AC1207" i="1"/>
  <c r="AD1207" i="1"/>
  <c r="AE1207" i="1"/>
  <c r="AF1207" i="1"/>
  <c r="AG1207" i="1"/>
  <c r="AH1207" i="1"/>
  <c r="AI1207" i="1"/>
  <c r="AJ1207" i="1"/>
  <c r="AK1207" i="1"/>
  <c r="AL1207" i="1"/>
  <c r="AM1207" i="1"/>
  <c r="A1208" i="1"/>
  <c r="B1208" i="1"/>
  <c r="C1208" i="1"/>
  <c r="D1208" i="1"/>
  <c r="E1208" i="1"/>
  <c r="F1208" i="1"/>
  <c r="G1208" i="1"/>
  <c r="H1208" i="1"/>
  <c r="I1208" i="1"/>
  <c r="J1208" i="1"/>
  <c r="K1208" i="1"/>
  <c r="L1208" i="1"/>
  <c r="M1208" i="1"/>
  <c r="N1208" i="1"/>
  <c r="O1208" i="1"/>
  <c r="P1208" i="1"/>
  <c r="Q1208" i="1"/>
  <c r="R1208" i="1"/>
  <c r="S1208" i="1"/>
  <c r="T1208" i="1"/>
  <c r="U1208" i="1"/>
  <c r="V1208" i="1"/>
  <c r="W1208" i="1"/>
  <c r="X1208" i="1"/>
  <c r="Y1208" i="1"/>
  <c r="Z1208" i="1"/>
  <c r="AA1208" i="1"/>
  <c r="AB1208" i="1"/>
  <c r="AC1208" i="1"/>
  <c r="AD1208" i="1"/>
  <c r="AE1208" i="1"/>
  <c r="AF1208" i="1"/>
  <c r="AG1208" i="1"/>
  <c r="AH1208" i="1"/>
  <c r="AI1208" i="1"/>
  <c r="AJ1208" i="1"/>
  <c r="AK1208" i="1"/>
  <c r="AL1208" i="1"/>
  <c r="AM1208" i="1"/>
  <c r="A1209" i="1"/>
  <c r="B1209" i="1"/>
  <c r="C1209" i="1"/>
  <c r="D1209" i="1"/>
  <c r="E1209" i="1"/>
  <c r="F1209" i="1"/>
  <c r="G1209" i="1"/>
  <c r="H1209" i="1"/>
  <c r="I1209" i="1"/>
  <c r="J1209" i="1"/>
  <c r="K1209" i="1"/>
  <c r="L1209" i="1"/>
  <c r="M1209" i="1"/>
  <c r="N1209" i="1"/>
  <c r="O1209" i="1"/>
  <c r="P1209" i="1"/>
  <c r="Q1209" i="1"/>
  <c r="R1209" i="1"/>
  <c r="S1209" i="1"/>
  <c r="T1209" i="1"/>
  <c r="U1209" i="1"/>
  <c r="V1209" i="1"/>
  <c r="W1209" i="1"/>
  <c r="X1209" i="1"/>
  <c r="Y1209" i="1"/>
  <c r="Z1209" i="1"/>
  <c r="AA1209" i="1"/>
  <c r="AB1209" i="1"/>
  <c r="AC1209" i="1"/>
  <c r="AD1209" i="1"/>
  <c r="AE1209" i="1"/>
  <c r="AF1209" i="1"/>
  <c r="AG1209" i="1"/>
  <c r="AH1209" i="1"/>
  <c r="AI1209" i="1"/>
  <c r="AJ1209" i="1"/>
  <c r="AK1209" i="1"/>
  <c r="AL1209" i="1"/>
  <c r="AM1209" i="1"/>
  <c r="A1210" i="1"/>
  <c r="B1210" i="1"/>
  <c r="C1210" i="1"/>
  <c r="D1210" i="1"/>
  <c r="E1210" i="1"/>
  <c r="F1210" i="1"/>
  <c r="G1210" i="1"/>
  <c r="H1210" i="1"/>
  <c r="I1210" i="1"/>
  <c r="J1210" i="1"/>
  <c r="K1210" i="1"/>
  <c r="L1210" i="1"/>
  <c r="M1210" i="1"/>
  <c r="N1210" i="1"/>
  <c r="O1210" i="1"/>
  <c r="P1210" i="1"/>
  <c r="Q1210" i="1"/>
  <c r="R1210" i="1"/>
  <c r="S1210" i="1"/>
  <c r="T1210" i="1"/>
  <c r="U1210" i="1"/>
  <c r="V1210" i="1"/>
  <c r="W1210" i="1"/>
  <c r="X1210" i="1"/>
  <c r="Y1210" i="1"/>
  <c r="Z1210" i="1"/>
  <c r="AA1210" i="1"/>
  <c r="AB1210" i="1"/>
  <c r="AC1210" i="1"/>
  <c r="AD1210" i="1"/>
  <c r="AE1210" i="1"/>
  <c r="AF1210" i="1"/>
  <c r="AG1210" i="1"/>
  <c r="AH1210" i="1"/>
  <c r="AI1210" i="1"/>
  <c r="AJ1210" i="1"/>
  <c r="AK1210" i="1"/>
  <c r="AL1210" i="1"/>
  <c r="AM1210" i="1"/>
  <c r="A1211" i="1"/>
  <c r="B1211" i="1"/>
  <c r="C1211" i="1"/>
  <c r="D1211" i="1"/>
  <c r="E1211" i="1"/>
  <c r="F1211" i="1"/>
  <c r="G1211" i="1"/>
  <c r="H1211" i="1"/>
  <c r="I1211" i="1"/>
  <c r="J1211" i="1"/>
  <c r="K1211" i="1"/>
  <c r="L1211" i="1"/>
  <c r="M1211" i="1"/>
  <c r="N1211" i="1"/>
  <c r="O1211" i="1"/>
  <c r="P1211" i="1"/>
  <c r="Q1211" i="1"/>
  <c r="R1211" i="1"/>
  <c r="S1211" i="1"/>
  <c r="T1211" i="1"/>
  <c r="U1211" i="1"/>
  <c r="V1211" i="1"/>
  <c r="W1211" i="1"/>
  <c r="X1211" i="1"/>
  <c r="Y1211" i="1"/>
  <c r="Z1211" i="1"/>
  <c r="AA1211" i="1"/>
  <c r="AB1211" i="1"/>
  <c r="AC1211" i="1"/>
  <c r="AD1211" i="1"/>
  <c r="AE1211" i="1"/>
  <c r="AF1211" i="1"/>
  <c r="AG1211" i="1"/>
  <c r="AH1211" i="1"/>
  <c r="AI1211" i="1"/>
  <c r="AJ1211" i="1"/>
  <c r="AK1211" i="1"/>
  <c r="AL1211" i="1"/>
  <c r="AM1211" i="1"/>
  <c r="A1212" i="1"/>
  <c r="B1212" i="1"/>
  <c r="C1212" i="1"/>
  <c r="D1212" i="1"/>
  <c r="E1212" i="1"/>
  <c r="F1212" i="1"/>
  <c r="G1212" i="1"/>
  <c r="H1212" i="1"/>
  <c r="I1212" i="1"/>
  <c r="J1212" i="1"/>
  <c r="K1212" i="1"/>
  <c r="L1212" i="1"/>
  <c r="M1212" i="1"/>
  <c r="N1212" i="1"/>
  <c r="O1212" i="1"/>
  <c r="P1212" i="1"/>
  <c r="Q1212" i="1"/>
  <c r="R1212" i="1"/>
  <c r="S1212" i="1"/>
  <c r="T1212" i="1"/>
  <c r="U1212" i="1"/>
  <c r="V1212" i="1"/>
  <c r="W1212" i="1"/>
  <c r="X1212" i="1"/>
  <c r="Y1212" i="1"/>
  <c r="Z1212" i="1"/>
  <c r="AA1212" i="1"/>
  <c r="AB1212" i="1"/>
  <c r="AC1212" i="1"/>
  <c r="AD1212" i="1"/>
  <c r="AE1212" i="1"/>
  <c r="AF1212" i="1"/>
  <c r="AG1212" i="1"/>
  <c r="AH1212" i="1"/>
  <c r="AI1212" i="1"/>
  <c r="AJ1212" i="1"/>
  <c r="AK1212" i="1"/>
  <c r="AL1212" i="1"/>
  <c r="AM1212" i="1"/>
  <c r="A1213" i="1"/>
  <c r="B1213" i="1"/>
  <c r="C1213" i="1"/>
  <c r="D1213" i="1"/>
  <c r="E1213" i="1"/>
  <c r="F1213" i="1"/>
  <c r="G1213" i="1"/>
  <c r="H1213" i="1"/>
  <c r="I1213" i="1"/>
  <c r="J1213" i="1"/>
  <c r="K1213" i="1"/>
  <c r="L1213" i="1"/>
  <c r="M1213" i="1"/>
  <c r="N1213" i="1"/>
  <c r="O1213" i="1"/>
  <c r="P1213" i="1"/>
  <c r="Q1213" i="1"/>
  <c r="R1213" i="1"/>
  <c r="S1213" i="1"/>
  <c r="T1213" i="1"/>
  <c r="U1213" i="1"/>
  <c r="V1213" i="1"/>
  <c r="W1213" i="1"/>
  <c r="X1213" i="1"/>
  <c r="Y1213" i="1"/>
  <c r="Z1213" i="1"/>
  <c r="AA1213" i="1"/>
  <c r="AB1213" i="1"/>
  <c r="AC1213" i="1"/>
  <c r="AD1213" i="1"/>
  <c r="AE1213" i="1"/>
  <c r="AF1213" i="1"/>
  <c r="AG1213" i="1"/>
  <c r="AH1213" i="1"/>
  <c r="AI1213" i="1"/>
  <c r="AJ1213" i="1"/>
  <c r="AK1213" i="1"/>
  <c r="AL1213" i="1"/>
  <c r="AM1213" i="1"/>
  <c r="A1214" i="1"/>
  <c r="B1214" i="1"/>
  <c r="C1214" i="1"/>
  <c r="D1214" i="1"/>
  <c r="E1214" i="1"/>
  <c r="F1214" i="1"/>
  <c r="G1214" i="1"/>
  <c r="H1214" i="1"/>
  <c r="I1214" i="1"/>
  <c r="J1214" i="1"/>
  <c r="K1214" i="1"/>
  <c r="L1214" i="1"/>
  <c r="M1214" i="1"/>
  <c r="N1214" i="1"/>
  <c r="O1214" i="1"/>
  <c r="P1214" i="1"/>
  <c r="Q1214" i="1"/>
  <c r="R1214" i="1"/>
  <c r="S1214" i="1"/>
  <c r="T1214" i="1"/>
  <c r="U1214" i="1"/>
  <c r="V1214" i="1"/>
  <c r="W1214" i="1"/>
  <c r="X1214" i="1"/>
  <c r="Y1214" i="1"/>
  <c r="Z1214" i="1"/>
  <c r="AA1214" i="1"/>
  <c r="AB1214" i="1"/>
  <c r="AC1214" i="1"/>
  <c r="AD1214" i="1"/>
  <c r="AE1214" i="1"/>
  <c r="AF1214" i="1"/>
  <c r="AG1214" i="1"/>
  <c r="AH1214" i="1"/>
  <c r="AI1214" i="1"/>
  <c r="AJ1214" i="1"/>
  <c r="AK1214" i="1"/>
  <c r="AL1214" i="1"/>
  <c r="AM1214" i="1"/>
  <c r="A1215" i="1"/>
  <c r="B1215" i="1"/>
  <c r="C1215" i="1"/>
  <c r="D1215" i="1"/>
  <c r="E1215" i="1"/>
  <c r="F1215" i="1"/>
  <c r="G1215" i="1"/>
  <c r="H1215" i="1"/>
  <c r="I1215" i="1"/>
  <c r="J1215" i="1"/>
  <c r="K1215" i="1"/>
  <c r="L1215" i="1"/>
  <c r="M1215" i="1"/>
  <c r="N1215" i="1"/>
  <c r="O1215" i="1"/>
  <c r="P1215" i="1"/>
  <c r="Q1215" i="1"/>
  <c r="R1215" i="1"/>
  <c r="S1215" i="1"/>
  <c r="T1215" i="1"/>
  <c r="U1215" i="1"/>
  <c r="V1215" i="1"/>
  <c r="W1215" i="1"/>
  <c r="X1215" i="1"/>
  <c r="Y1215" i="1"/>
  <c r="Z1215" i="1"/>
  <c r="AA1215" i="1"/>
  <c r="AB1215" i="1"/>
  <c r="AC1215" i="1"/>
  <c r="AD1215" i="1"/>
  <c r="AE1215" i="1"/>
  <c r="AF1215" i="1"/>
  <c r="AG1215" i="1"/>
  <c r="AH1215" i="1"/>
  <c r="AI1215" i="1"/>
  <c r="AJ1215" i="1"/>
  <c r="AK1215" i="1"/>
  <c r="AL1215" i="1"/>
  <c r="AM1215" i="1"/>
  <c r="A1216" i="1"/>
  <c r="B1216" i="1"/>
  <c r="C1216" i="1"/>
  <c r="D1216" i="1"/>
  <c r="E1216" i="1"/>
  <c r="F1216" i="1"/>
  <c r="G1216" i="1"/>
  <c r="H1216" i="1"/>
  <c r="I1216" i="1"/>
  <c r="J1216" i="1"/>
  <c r="K1216" i="1"/>
  <c r="L1216" i="1"/>
  <c r="M1216" i="1"/>
  <c r="N1216" i="1"/>
  <c r="O1216" i="1"/>
  <c r="P1216" i="1"/>
  <c r="Q1216" i="1"/>
  <c r="R1216" i="1"/>
  <c r="S1216" i="1"/>
  <c r="T1216" i="1"/>
  <c r="U1216" i="1"/>
  <c r="V1216" i="1"/>
  <c r="W1216" i="1"/>
  <c r="X1216" i="1"/>
  <c r="Y1216" i="1"/>
  <c r="Z1216" i="1"/>
  <c r="AA1216" i="1"/>
  <c r="AB1216" i="1"/>
  <c r="AC1216" i="1"/>
  <c r="AD1216" i="1"/>
  <c r="AE1216" i="1"/>
  <c r="AF1216" i="1"/>
  <c r="AG1216" i="1"/>
  <c r="AH1216" i="1"/>
  <c r="AI1216" i="1"/>
  <c r="AJ1216" i="1"/>
  <c r="AK1216" i="1"/>
  <c r="AL1216" i="1"/>
  <c r="AM1216" i="1"/>
  <c r="A1217" i="1"/>
  <c r="B1217" i="1"/>
  <c r="C1217" i="1"/>
  <c r="D1217" i="1"/>
  <c r="E1217" i="1"/>
  <c r="F1217" i="1"/>
  <c r="G1217" i="1"/>
  <c r="H1217" i="1"/>
  <c r="I1217" i="1"/>
  <c r="J1217" i="1"/>
  <c r="K1217" i="1"/>
  <c r="L1217" i="1"/>
  <c r="M1217" i="1"/>
  <c r="N1217" i="1"/>
  <c r="O1217" i="1"/>
  <c r="P1217" i="1"/>
  <c r="Q1217" i="1"/>
  <c r="R1217" i="1"/>
  <c r="S1217" i="1"/>
  <c r="T1217" i="1"/>
  <c r="U1217" i="1"/>
  <c r="V1217" i="1"/>
  <c r="W1217" i="1"/>
  <c r="X1217" i="1"/>
  <c r="Y1217" i="1"/>
  <c r="Z1217" i="1"/>
  <c r="AA1217" i="1"/>
  <c r="AB1217" i="1"/>
  <c r="AC1217" i="1"/>
  <c r="AD1217" i="1"/>
  <c r="AE1217" i="1"/>
  <c r="AF1217" i="1"/>
  <c r="AG1217" i="1"/>
  <c r="AH1217" i="1"/>
  <c r="AI1217" i="1"/>
  <c r="AJ1217" i="1"/>
  <c r="AK1217" i="1"/>
  <c r="AL1217" i="1"/>
  <c r="AM1217" i="1"/>
  <c r="A1218" i="1"/>
  <c r="B1218" i="1"/>
  <c r="C1218" i="1"/>
  <c r="D1218" i="1"/>
  <c r="E1218" i="1"/>
  <c r="F1218" i="1"/>
  <c r="G1218" i="1"/>
  <c r="H1218" i="1"/>
  <c r="I1218" i="1"/>
  <c r="J1218" i="1"/>
  <c r="K1218" i="1"/>
  <c r="L1218" i="1"/>
  <c r="M1218" i="1"/>
  <c r="N1218" i="1"/>
  <c r="O1218" i="1"/>
  <c r="P1218" i="1"/>
  <c r="Q1218" i="1"/>
  <c r="R1218" i="1"/>
  <c r="S1218" i="1"/>
  <c r="T1218" i="1"/>
  <c r="U1218" i="1"/>
  <c r="V1218" i="1"/>
  <c r="W1218" i="1"/>
  <c r="X1218" i="1"/>
  <c r="Y1218" i="1"/>
  <c r="Z1218" i="1"/>
  <c r="AA1218" i="1"/>
  <c r="AB1218" i="1"/>
  <c r="AC1218" i="1"/>
  <c r="AD1218" i="1"/>
  <c r="AE1218" i="1"/>
  <c r="AF1218" i="1"/>
  <c r="AG1218" i="1"/>
  <c r="AH1218" i="1"/>
  <c r="AI1218" i="1"/>
  <c r="AJ1218" i="1"/>
  <c r="AK1218" i="1"/>
  <c r="AL1218" i="1"/>
  <c r="AM1218" i="1"/>
  <c r="A1219" i="1"/>
  <c r="B1219" i="1"/>
  <c r="C1219" i="1"/>
  <c r="D1219" i="1"/>
  <c r="E1219" i="1"/>
  <c r="F1219" i="1"/>
  <c r="G1219" i="1"/>
  <c r="H1219" i="1"/>
  <c r="I1219" i="1"/>
  <c r="J1219" i="1"/>
  <c r="K1219" i="1"/>
  <c r="L1219" i="1"/>
  <c r="M1219" i="1"/>
  <c r="N1219" i="1"/>
  <c r="O1219" i="1"/>
  <c r="P1219" i="1"/>
  <c r="Q1219" i="1"/>
  <c r="R1219" i="1"/>
  <c r="S1219" i="1"/>
  <c r="T1219" i="1"/>
  <c r="U1219" i="1"/>
  <c r="V1219" i="1"/>
  <c r="W1219" i="1"/>
  <c r="X1219" i="1"/>
  <c r="Y1219" i="1"/>
  <c r="Z1219" i="1"/>
  <c r="AA1219" i="1"/>
  <c r="AB1219" i="1"/>
  <c r="AC1219" i="1"/>
  <c r="AD1219" i="1"/>
  <c r="AE1219" i="1"/>
  <c r="AF1219" i="1"/>
  <c r="AG1219" i="1"/>
  <c r="AH1219" i="1"/>
  <c r="AI1219" i="1"/>
  <c r="AJ1219" i="1"/>
  <c r="AK1219" i="1"/>
  <c r="AL1219" i="1"/>
  <c r="AM1219" i="1"/>
  <c r="A1220" i="1"/>
  <c r="B1220" i="1"/>
  <c r="C1220" i="1"/>
  <c r="D1220" i="1"/>
  <c r="E1220" i="1"/>
  <c r="F1220" i="1"/>
  <c r="G1220" i="1"/>
  <c r="H1220" i="1"/>
  <c r="I1220" i="1"/>
  <c r="J1220" i="1"/>
  <c r="K1220" i="1"/>
  <c r="L1220" i="1"/>
  <c r="M1220" i="1"/>
  <c r="N1220" i="1"/>
  <c r="O1220" i="1"/>
  <c r="P1220" i="1"/>
  <c r="Q1220" i="1"/>
  <c r="R1220" i="1"/>
  <c r="S1220" i="1"/>
  <c r="T1220" i="1"/>
  <c r="U1220" i="1"/>
  <c r="V1220" i="1"/>
  <c r="W1220" i="1"/>
  <c r="X1220" i="1"/>
  <c r="Y1220" i="1"/>
  <c r="Z1220" i="1"/>
  <c r="AA1220" i="1"/>
  <c r="AB1220" i="1"/>
  <c r="AC1220" i="1"/>
  <c r="AD1220" i="1"/>
  <c r="AE1220" i="1"/>
  <c r="AF1220" i="1"/>
  <c r="AG1220" i="1"/>
  <c r="AH1220" i="1"/>
  <c r="AI1220" i="1"/>
  <c r="AJ1220" i="1"/>
  <c r="AK1220" i="1"/>
  <c r="AL1220" i="1"/>
  <c r="AM1220" i="1"/>
  <c r="A1221" i="1"/>
  <c r="B1221" i="1"/>
  <c r="C1221" i="1"/>
  <c r="D1221" i="1"/>
  <c r="E1221" i="1"/>
  <c r="F1221" i="1"/>
  <c r="G1221" i="1"/>
  <c r="H1221" i="1"/>
  <c r="I1221" i="1"/>
  <c r="J1221" i="1"/>
  <c r="K1221" i="1"/>
  <c r="L1221" i="1"/>
  <c r="M1221" i="1"/>
  <c r="N1221" i="1"/>
  <c r="O1221" i="1"/>
  <c r="P1221" i="1"/>
  <c r="Q1221" i="1"/>
  <c r="R1221" i="1"/>
  <c r="S1221" i="1"/>
  <c r="T1221" i="1"/>
  <c r="U1221" i="1"/>
  <c r="V1221" i="1"/>
  <c r="W1221" i="1"/>
  <c r="X1221" i="1"/>
  <c r="Y1221" i="1"/>
  <c r="Z1221" i="1"/>
  <c r="AA1221" i="1"/>
  <c r="AB1221" i="1"/>
  <c r="AC1221" i="1"/>
  <c r="AD1221" i="1"/>
  <c r="AE1221" i="1"/>
  <c r="AF1221" i="1"/>
  <c r="AG1221" i="1"/>
  <c r="AH1221" i="1"/>
  <c r="AI1221" i="1"/>
  <c r="AJ1221" i="1"/>
  <c r="AK1221" i="1"/>
  <c r="AL1221" i="1"/>
  <c r="AM1221" i="1"/>
  <c r="A1222" i="1"/>
  <c r="B1222" i="1"/>
  <c r="C1222" i="1"/>
  <c r="D1222" i="1"/>
  <c r="E1222" i="1"/>
  <c r="F1222" i="1"/>
  <c r="G1222" i="1"/>
  <c r="H1222" i="1"/>
  <c r="I1222" i="1"/>
  <c r="J1222" i="1"/>
  <c r="K1222" i="1"/>
  <c r="L1222" i="1"/>
  <c r="M1222" i="1"/>
  <c r="N1222" i="1"/>
  <c r="O1222" i="1"/>
  <c r="P1222" i="1"/>
  <c r="Q1222" i="1"/>
  <c r="R1222" i="1"/>
  <c r="S1222" i="1"/>
  <c r="T1222" i="1"/>
  <c r="U1222" i="1"/>
  <c r="V1222" i="1"/>
  <c r="W1222" i="1"/>
  <c r="X1222" i="1"/>
  <c r="Y1222" i="1"/>
  <c r="Z1222" i="1"/>
  <c r="AA1222" i="1"/>
  <c r="AB1222" i="1"/>
  <c r="AC1222" i="1"/>
  <c r="AD1222" i="1"/>
  <c r="AE1222" i="1"/>
  <c r="AF1222" i="1"/>
  <c r="AG1222" i="1"/>
  <c r="AH1222" i="1"/>
  <c r="AI1222" i="1"/>
  <c r="AJ1222" i="1"/>
  <c r="AK1222" i="1"/>
  <c r="AL1222" i="1"/>
  <c r="AM1222" i="1"/>
  <c r="A1223" i="1"/>
  <c r="B1223" i="1"/>
  <c r="C1223" i="1"/>
  <c r="D1223" i="1"/>
  <c r="E1223" i="1"/>
  <c r="F1223" i="1"/>
  <c r="G1223" i="1"/>
  <c r="H1223" i="1"/>
  <c r="I1223" i="1"/>
  <c r="J1223" i="1"/>
  <c r="K1223" i="1"/>
  <c r="L1223" i="1"/>
  <c r="M1223" i="1"/>
  <c r="N1223" i="1"/>
  <c r="O1223" i="1"/>
  <c r="P1223" i="1"/>
  <c r="Q1223" i="1"/>
  <c r="R1223" i="1"/>
  <c r="S1223" i="1"/>
  <c r="T1223" i="1"/>
  <c r="U1223" i="1"/>
  <c r="V1223" i="1"/>
  <c r="W1223" i="1"/>
  <c r="X1223" i="1"/>
  <c r="Y1223" i="1"/>
  <c r="Z1223" i="1"/>
  <c r="AA1223" i="1"/>
  <c r="AB1223" i="1"/>
  <c r="AC1223" i="1"/>
  <c r="AD1223" i="1"/>
  <c r="AE1223" i="1"/>
  <c r="AF1223" i="1"/>
  <c r="AG1223" i="1"/>
  <c r="AH1223" i="1"/>
  <c r="AI1223" i="1"/>
  <c r="AJ1223" i="1"/>
  <c r="AK1223" i="1"/>
  <c r="AL1223" i="1"/>
  <c r="AM1223" i="1"/>
  <c r="A1224" i="1"/>
  <c r="B1224" i="1"/>
  <c r="C1224" i="1"/>
  <c r="D1224" i="1"/>
  <c r="E1224" i="1"/>
  <c r="F1224" i="1"/>
  <c r="G1224" i="1"/>
  <c r="H1224" i="1"/>
  <c r="I1224" i="1"/>
  <c r="J1224" i="1"/>
  <c r="K1224" i="1"/>
  <c r="L1224" i="1"/>
  <c r="M1224" i="1"/>
  <c r="N1224" i="1"/>
  <c r="O1224" i="1"/>
  <c r="P1224" i="1"/>
  <c r="Q1224" i="1"/>
  <c r="R1224" i="1"/>
  <c r="S1224" i="1"/>
  <c r="T1224" i="1"/>
  <c r="U1224" i="1"/>
  <c r="V1224" i="1"/>
  <c r="W1224" i="1"/>
  <c r="X1224" i="1"/>
  <c r="Y1224" i="1"/>
  <c r="Z1224" i="1"/>
  <c r="AA1224" i="1"/>
  <c r="AB1224" i="1"/>
  <c r="AC1224" i="1"/>
  <c r="AD1224" i="1"/>
  <c r="AE1224" i="1"/>
  <c r="AF1224" i="1"/>
  <c r="AG1224" i="1"/>
  <c r="AH1224" i="1"/>
  <c r="AI1224" i="1"/>
  <c r="AJ1224" i="1"/>
  <c r="AK1224" i="1"/>
  <c r="AL1224" i="1"/>
  <c r="AM1224" i="1"/>
  <c r="A1225" i="1"/>
  <c r="B1225" i="1"/>
  <c r="C1225" i="1"/>
  <c r="D1225" i="1"/>
  <c r="E1225" i="1"/>
  <c r="F1225" i="1"/>
  <c r="G1225" i="1"/>
  <c r="H1225" i="1"/>
  <c r="I1225" i="1"/>
  <c r="J1225" i="1"/>
  <c r="K1225" i="1"/>
  <c r="L1225" i="1"/>
  <c r="M1225" i="1"/>
  <c r="N1225" i="1"/>
  <c r="O1225" i="1"/>
  <c r="P1225" i="1"/>
  <c r="Q1225" i="1"/>
  <c r="R1225" i="1"/>
  <c r="S1225" i="1"/>
  <c r="T1225" i="1"/>
  <c r="U1225" i="1"/>
  <c r="V1225" i="1"/>
  <c r="W1225" i="1"/>
  <c r="X1225" i="1"/>
  <c r="Y1225" i="1"/>
  <c r="Z1225" i="1"/>
  <c r="AA1225" i="1"/>
  <c r="AB1225" i="1"/>
  <c r="AC1225" i="1"/>
  <c r="AD1225" i="1"/>
  <c r="AE1225" i="1"/>
  <c r="AF1225" i="1"/>
  <c r="AG1225" i="1"/>
  <c r="AH1225" i="1"/>
  <c r="AI1225" i="1"/>
  <c r="AJ1225" i="1"/>
  <c r="AK1225" i="1"/>
  <c r="AL1225" i="1"/>
  <c r="AM1225" i="1"/>
  <c r="A1226" i="1"/>
  <c r="B1226" i="1"/>
  <c r="C1226" i="1"/>
  <c r="D1226" i="1"/>
  <c r="E1226" i="1"/>
  <c r="F1226" i="1"/>
  <c r="G1226" i="1"/>
  <c r="H1226" i="1"/>
  <c r="I1226" i="1"/>
  <c r="J1226" i="1"/>
  <c r="K1226" i="1"/>
  <c r="L1226" i="1"/>
  <c r="M1226" i="1"/>
  <c r="N1226" i="1"/>
  <c r="O1226" i="1"/>
  <c r="P1226" i="1"/>
  <c r="Q1226" i="1"/>
  <c r="R1226" i="1"/>
  <c r="S1226" i="1"/>
  <c r="T1226" i="1"/>
  <c r="U1226" i="1"/>
  <c r="V1226" i="1"/>
  <c r="W1226" i="1"/>
  <c r="X1226" i="1"/>
  <c r="Y1226" i="1"/>
  <c r="Z1226" i="1"/>
  <c r="AA1226" i="1"/>
  <c r="AB1226" i="1"/>
  <c r="AC1226" i="1"/>
  <c r="AD1226" i="1"/>
  <c r="AE1226" i="1"/>
  <c r="AF1226" i="1"/>
  <c r="AG1226" i="1"/>
  <c r="AH1226" i="1"/>
  <c r="AI1226" i="1"/>
  <c r="AJ1226" i="1"/>
  <c r="AK1226" i="1"/>
  <c r="AL1226" i="1"/>
  <c r="AM1226" i="1"/>
  <c r="A1227" i="1"/>
  <c r="B1227" i="1"/>
  <c r="C1227" i="1"/>
  <c r="D1227" i="1"/>
  <c r="E1227" i="1"/>
  <c r="F1227" i="1"/>
  <c r="G1227" i="1"/>
  <c r="H1227" i="1"/>
  <c r="I1227" i="1"/>
  <c r="J1227" i="1"/>
  <c r="K1227" i="1"/>
  <c r="L1227" i="1"/>
  <c r="M1227" i="1"/>
  <c r="N1227" i="1"/>
  <c r="O1227" i="1"/>
  <c r="P1227" i="1"/>
  <c r="Q1227" i="1"/>
  <c r="R1227" i="1"/>
  <c r="S1227" i="1"/>
  <c r="T1227" i="1"/>
  <c r="U1227" i="1"/>
  <c r="V1227" i="1"/>
  <c r="W1227" i="1"/>
  <c r="X1227" i="1"/>
  <c r="Y1227" i="1"/>
  <c r="Z1227" i="1"/>
  <c r="AA1227" i="1"/>
  <c r="AB1227" i="1"/>
  <c r="AC1227" i="1"/>
  <c r="AD1227" i="1"/>
  <c r="AE1227" i="1"/>
  <c r="AF1227" i="1"/>
  <c r="AG1227" i="1"/>
  <c r="AH1227" i="1"/>
  <c r="AI1227" i="1"/>
  <c r="AJ1227" i="1"/>
  <c r="AK1227" i="1"/>
  <c r="AL1227" i="1"/>
  <c r="AM1227" i="1"/>
  <c r="A1228" i="1"/>
  <c r="B1228" i="1"/>
  <c r="C1228" i="1"/>
  <c r="D1228" i="1"/>
  <c r="E1228" i="1"/>
  <c r="F1228" i="1"/>
  <c r="G1228" i="1"/>
  <c r="H1228" i="1"/>
  <c r="I1228" i="1"/>
  <c r="J1228" i="1"/>
  <c r="K1228" i="1"/>
  <c r="L1228" i="1"/>
  <c r="M1228" i="1"/>
  <c r="N1228" i="1"/>
  <c r="O1228" i="1"/>
  <c r="P1228" i="1"/>
  <c r="Q1228" i="1"/>
  <c r="R1228" i="1"/>
  <c r="S1228" i="1"/>
  <c r="T1228" i="1"/>
  <c r="U1228" i="1"/>
  <c r="V1228" i="1"/>
  <c r="W1228" i="1"/>
  <c r="X1228" i="1"/>
  <c r="Y1228" i="1"/>
  <c r="Z1228" i="1"/>
  <c r="AA1228" i="1"/>
  <c r="AB1228" i="1"/>
  <c r="AC1228" i="1"/>
  <c r="AD1228" i="1"/>
  <c r="AE1228" i="1"/>
  <c r="AF1228" i="1"/>
  <c r="AG1228" i="1"/>
  <c r="AH1228" i="1"/>
  <c r="AI1228" i="1"/>
  <c r="AJ1228" i="1"/>
  <c r="AK1228" i="1"/>
  <c r="AL1228" i="1"/>
  <c r="AM1228" i="1"/>
  <c r="A1229" i="1"/>
  <c r="B1229" i="1"/>
  <c r="C1229" i="1"/>
  <c r="D1229" i="1"/>
  <c r="E1229" i="1"/>
  <c r="F1229" i="1"/>
  <c r="G1229" i="1"/>
  <c r="H1229" i="1"/>
  <c r="I1229" i="1"/>
  <c r="J1229" i="1"/>
  <c r="K1229" i="1"/>
  <c r="L1229" i="1"/>
  <c r="M1229" i="1"/>
  <c r="N1229" i="1"/>
  <c r="O1229" i="1"/>
  <c r="P1229" i="1"/>
  <c r="Q1229" i="1"/>
  <c r="R1229" i="1"/>
  <c r="S1229" i="1"/>
  <c r="T1229" i="1"/>
  <c r="U1229" i="1"/>
  <c r="V1229" i="1"/>
  <c r="W1229" i="1"/>
  <c r="X1229" i="1"/>
  <c r="Y1229" i="1"/>
  <c r="Z1229" i="1"/>
  <c r="AA1229" i="1"/>
  <c r="AB1229" i="1"/>
  <c r="AC1229" i="1"/>
  <c r="AD1229" i="1"/>
  <c r="AE1229" i="1"/>
  <c r="AF1229" i="1"/>
  <c r="AG1229" i="1"/>
  <c r="AH1229" i="1"/>
  <c r="AI1229" i="1"/>
  <c r="AJ1229" i="1"/>
  <c r="AK1229" i="1"/>
  <c r="AL1229" i="1"/>
  <c r="AM1229" i="1"/>
  <c r="A1230" i="1"/>
  <c r="B1230" i="1"/>
  <c r="C1230" i="1"/>
  <c r="D1230" i="1"/>
  <c r="E1230" i="1"/>
  <c r="F1230" i="1"/>
  <c r="G1230" i="1"/>
  <c r="H1230" i="1"/>
  <c r="I1230" i="1"/>
  <c r="J1230" i="1"/>
  <c r="K1230" i="1"/>
  <c r="L1230" i="1"/>
  <c r="M1230" i="1"/>
  <c r="N1230" i="1"/>
  <c r="O1230" i="1"/>
  <c r="P1230" i="1"/>
  <c r="Q1230" i="1"/>
  <c r="R1230" i="1"/>
  <c r="S1230" i="1"/>
  <c r="T1230" i="1"/>
  <c r="U1230" i="1"/>
  <c r="V1230" i="1"/>
  <c r="W1230" i="1"/>
  <c r="X1230" i="1"/>
  <c r="Y1230" i="1"/>
  <c r="Z1230" i="1"/>
  <c r="AA1230" i="1"/>
  <c r="AB1230" i="1"/>
  <c r="AC1230" i="1"/>
  <c r="AD1230" i="1"/>
  <c r="AE1230" i="1"/>
  <c r="AF1230" i="1"/>
  <c r="AG1230" i="1"/>
  <c r="AH1230" i="1"/>
  <c r="AI1230" i="1"/>
  <c r="AJ1230" i="1"/>
  <c r="AK1230" i="1"/>
  <c r="AL1230" i="1"/>
  <c r="AM1230" i="1"/>
  <c r="A1231" i="1"/>
  <c r="B1231" i="1"/>
  <c r="C1231" i="1"/>
  <c r="D1231" i="1"/>
  <c r="E1231" i="1"/>
  <c r="F1231" i="1"/>
  <c r="G1231" i="1"/>
  <c r="H1231" i="1"/>
  <c r="I1231" i="1"/>
  <c r="J1231" i="1"/>
  <c r="K1231" i="1"/>
  <c r="L1231" i="1"/>
  <c r="M1231" i="1"/>
  <c r="N1231" i="1"/>
  <c r="O1231" i="1"/>
  <c r="P1231" i="1"/>
  <c r="Q1231" i="1"/>
  <c r="R1231" i="1"/>
  <c r="S1231" i="1"/>
  <c r="T1231" i="1"/>
  <c r="U1231" i="1"/>
  <c r="V1231" i="1"/>
  <c r="W1231" i="1"/>
  <c r="X1231" i="1"/>
  <c r="Y1231" i="1"/>
  <c r="Z1231" i="1"/>
  <c r="AA1231" i="1"/>
  <c r="AB1231" i="1"/>
  <c r="AC1231" i="1"/>
  <c r="AD1231" i="1"/>
  <c r="AE1231" i="1"/>
  <c r="AF1231" i="1"/>
  <c r="AG1231" i="1"/>
  <c r="AH1231" i="1"/>
  <c r="AI1231" i="1"/>
  <c r="AJ1231" i="1"/>
  <c r="AK1231" i="1"/>
  <c r="AL1231" i="1"/>
  <c r="AM1231" i="1"/>
  <c r="A1232" i="1"/>
  <c r="B1232" i="1"/>
  <c r="C1232" i="1"/>
  <c r="D1232" i="1"/>
  <c r="E1232" i="1"/>
  <c r="F1232" i="1"/>
  <c r="G1232" i="1"/>
  <c r="H1232" i="1"/>
  <c r="I1232" i="1"/>
  <c r="J1232" i="1"/>
  <c r="K1232" i="1"/>
  <c r="L1232" i="1"/>
  <c r="M1232" i="1"/>
  <c r="N1232" i="1"/>
  <c r="O1232" i="1"/>
  <c r="P1232" i="1"/>
  <c r="Q1232" i="1"/>
  <c r="R1232" i="1"/>
  <c r="S1232" i="1"/>
  <c r="T1232" i="1"/>
  <c r="U1232" i="1"/>
  <c r="V1232" i="1"/>
  <c r="W1232" i="1"/>
  <c r="X1232" i="1"/>
  <c r="Y1232" i="1"/>
  <c r="Z1232" i="1"/>
  <c r="AA1232" i="1"/>
  <c r="AB1232" i="1"/>
  <c r="AC1232" i="1"/>
  <c r="AD1232" i="1"/>
  <c r="AE1232" i="1"/>
  <c r="AF1232" i="1"/>
  <c r="AG1232" i="1"/>
  <c r="AH1232" i="1"/>
  <c r="AI1232" i="1"/>
  <c r="AJ1232" i="1"/>
  <c r="AK1232" i="1"/>
  <c r="AL1232" i="1"/>
  <c r="AM1232" i="1"/>
  <c r="A1233" i="1"/>
  <c r="B1233" i="1"/>
  <c r="C1233" i="1"/>
  <c r="D1233" i="1"/>
  <c r="E1233" i="1"/>
  <c r="F1233" i="1"/>
  <c r="G1233" i="1"/>
  <c r="H1233" i="1"/>
  <c r="I1233" i="1"/>
  <c r="J1233" i="1"/>
  <c r="K1233" i="1"/>
  <c r="L1233" i="1"/>
  <c r="M1233" i="1"/>
  <c r="N1233" i="1"/>
  <c r="O1233" i="1"/>
  <c r="P1233" i="1"/>
  <c r="Q1233" i="1"/>
  <c r="R1233" i="1"/>
  <c r="S1233" i="1"/>
  <c r="T1233" i="1"/>
  <c r="U1233" i="1"/>
  <c r="V1233" i="1"/>
  <c r="W1233" i="1"/>
  <c r="X1233" i="1"/>
  <c r="Y1233" i="1"/>
  <c r="Z1233" i="1"/>
  <c r="AA1233" i="1"/>
  <c r="AB1233" i="1"/>
  <c r="AC1233" i="1"/>
  <c r="AD1233" i="1"/>
  <c r="AE1233" i="1"/>
  <c r="AF1233" i="1"/>
  <c r="AG1233" i="1"/>
  <c r="AH1233" i="1"/>
  <c r="AI1233" i="1"/>
  <c r="AJ1233" i="1"/>
  <c r="AK1233" i="1"/>
  <c r="AL1233" i="1"/>
  <c r="AM1233" i="1"/>
  <c r="A1234" i="1"/>
  <c r="B1234" i="1"/>
  <c r="C1234" i="1"/>
  <c r="D1234" i="1"/>
  <c r="E1234" i="1"/>
  <c r="F1234" i="1"/>
  <c r="G1234" i="1"/>
  <c r="H1234" i="1"/>
  <c r="I1234" i="1"/>
  <c r="J1234" i="1"/>
  <c r="K1234" i="1"/>
  <c r="L1234" i="1"/>
  <c r="M1234" i="1"/>
  <c r="N1234" i="1"/>
  <c r="O1234" i="1"/>
  <c r="P1234" i="1"/>
  <c r="Q1234" i="1"/>
  <c r="R1234" i="1"/>
  <c r="S1234" i="1"/>
  <c r="T1234" i="1"/>
  <c r="U1234" i="1"/>
  <c r="V1234" i="1"/>
  <c r="W1234" i="1"/>
  <c r="X1234" i="1"/>
  <c r="Y1234" i="1"/>
  <c r="Z1234" i="1"/>
  <c r="AA1234" i="1"/>
  <c r="AB1234" i="1"/>
  <c r="AC1234" i="1"/>
  <c r="AD1234" i="1"/>
  <c r="AE1234" i="1"/>
  <c r="AF1234" i="1"/>
  <c r="AG1234" i="1"/>
  <c r="AH1234" i="1"/>
  <c r="AI1234" i="1"/>
  <c r="AJ1234" i="1"/>
  <c r="AK1234" i="1"/>
  <c r="AL1234" i="1"/>
  <c r="AM1234" i="1"/>
  <c r="A1235" i="1"/>
  <c r="B1235" i="1"/>
  <c r="C1235" i="1"/>
  <c r="D1235" i="1"/>
  <c r="E1235" i="1"/>
  <c r="F1235" i="1"/>
  <c r="G1235" i="1"/>
  <c r="H1235" i="1"/>
  <c r="I1235" i="1"/>
  <c r="J1235" i="1"/>
  <c r="K1235" i="1"/>
  <c r="L1235" i="1"/>
  <c r="M1235" i="1"/>
  <c r="N1235" i="1"/>
  <c r="O1235" i="1"/>
  <c r="P1235" i="1"/>
  <c r="Q1235" i="1"/>
  <c r="R1235" i="1"/>
  <c r="S1235" i="1"/>
  <c r="T1235" i="1"/>
  <c r="U1235" i="1"/>
  <c r="V1235" i="1"/>
  <c r="W1235" i="1"/>
  <c r="X1235" i="1"/>
  <c r="Y1235" i="1"/>
  <c r="Z1235" i="1"/>
  <c r="AA1235" i="1"/>
  <c r="AB1235" i="1"/>
  <c r="AC1235" i="1"/>
  <c r="AD1235" i="1"/>
  <c r="AE1235" i="1"/>
  <c r="AF1235" i="1"/>
  <c r="AG1235" i="1"/>
  <c r="AH1235" i="1"/>
  <c r="AI1235" i="1"/>
  <c r="AJ1235" i="1"/>
  <c r="AK1235" i="1"/>
  <c r="AL1235" i="1"/>
  <c r="AM1235" i="1"/>
  <c r="A1236" i="1"/>
  <c r="B1236" i="1"/>
  <c r="C1236" i="1"/>
  <c r="D1236" i="1"/>
  <c r="E1236" i="1"/>
  <c r="F1236" i="1"/>
  <c r="G1236" i="1"/>
  <c r="H1236" i="1"/>
  <c r="I1236" i="1"/>
  <c r="J1236" i="1"/>
  <c r="K1236" i="1"/>
  <c r="L1236" i="1"/>
  <c r="M1236" i="1"/>
  <c r="N1236" i="1"/>
  <c r="O1236" i="1"/>
  <c r="P1236" i="1"/>
  <c r="Q1236" i="1"/>
  <c r="R1236" i="1"/>
  <c r="S1236" i="1"/>
  <c r="T1236" i="1"/>
  <c r="U1236" i="1"/>
  <c r="V1236" i="1"/>
  <c r="W1236" i="1"/>
  <c r="X1236" i="1"/>
  <c r="Y1236" i="1"/>
  <c r="Z1236" i="1"/>
  <c r="AA1236" i="1"/>
  <c r="AB1236" i="1"/>
  <c r="AC1236" i="1"/>
  <c r="AD1236" i="1"/>
  <c r="AE1236" i="1"/>
  <c r="AF1236" i="1"/>
  <c r="AG1236" i="1"/>
  <c r="AH1236" i="1"/>
  <c r="AI1236" i="1"/>
  <c r="AJ1236" i="1"/>
  <c r="AK1236" i="1"/>
  <c r="AL1236" i="1"/>
  <c r="AM1236" i="1"/>
  <c r="A1237" i="1"/>
  <c r="B1237" i="1"/>
  <c r="C1237" i="1"/>
  <c r="D1237" i="1"/>
  <c r="E1237" i="1"/>
  <c r="F1237" i="1"/>
  <c r="G1237" i="1"/>
  <c r="H1237" i="1"/>
  <c r="I1237" i="1"/>
  <c r="J1237" i="1"/>
  <c r="K1237" i="1"/>
  <c r="L1237" i="1"/>
  <c r="M1237" i="1"/>
  <c r="N1237" i="1"/>
  <c r="O1237" i="1"/>
  <c r="P1237" i="1"/>
  <c r="Q1237" i="1"/>
  <c r="R1237" i="1"/>
  <c r="S1237" i="1"/>
  <c r="T1237" i="1"/>
  <c r="U1237" i="1"/>
  <c r="V1237" i="1"/>
  <c r="W1237" i="1"/>
  <c r="X1237" i="1"/>
  <c r="Y1237" i="1"/>
  <c r="Z1237" i="1"/>
  <c r="AA1237" i="1"/>
  <c r="AB1237" i="1"/>
  <c r="AC1237" i="1"/>
  <c r="AD1237" i="1"/>
  <c r="AE1237" i="1"/>
  <c r="AF1237" i="1"/>
  <c r="AG1237" i="1"/>
  <c r="AH1237" i="1"/>
  <c r="AI1237" i="1"/>
  <c r="AJ1237" i="1"/>
  <c r="AK1237" i="1"/>
  <c r="AL1237" i="1"/>
  <c r="AM1237" i="1"/>
  <c r="A1238" i="1"/>
  <c r="B1238" i="1"/>
  <c r="C1238" i="1"/>
  <c r="D1238" i="1"/>
  <c r="E1238" i="1"/>
  <c r="F1238" i="1"/>
  <c r="G1238" i="1"/>
  <c r="H1238" i="1"/>
  <c r="I1238" i="1"/>
  <c r="J1238" i="1"/>
  <c r="K1238" i="1"/>
  <c r="L1238" i="1"/>
  <c r="M1238" i="1"/>
  <c r="N1238" i="1"/>
  <c r="O1238" i="1"/>
  <c r="P1238" i="1"/>
  <c r="Q1238" i="1"/>
  <c r="R1238" i="1"/>
  <c r="S1238" i="1"/>
  <c r="T1238" i="1"/>
  <c r="U1238" i="1"/>
  <c r="V1238" i="1"/>
  <c r="W1238" i="1"/>
  <c r="X1238" i="1"/>
  <c r="Y1238" i="1"/>
  <c r="Z1238" i="1"/>
  <c r="AA1238" i="1"/>
  <c r="AB1238" i="1"/>
  <c r="AC1238" i="1"/>
  <c r="AD1238" i="1"/>
  <c r="AE1238" i="1"/>
  <c r="AF1238" i="1"/>
  <c r="AG1238" i="1"/>
  <c r="AH1238" i="1"/>
  <c r="AI1238" i="1"/>
  <c r="AJ1238" i="1"/>
  <c r="AK1238" i="1"/>
  <c r="AL1238" i="1"/>
  <c r="AM1238" i="1"/>
  <c r="A1239" i="1"/>
  <c r="B1239" i="1"/>
  <c r="C1239" i="1"/>
  <c r="D1239" i="1"/>
  <c r="E1239" i="1"/>
  <c r="F1239" i="1"/>
  <c r="G1239" i="1"/>
  <c r="H1239" i="1"/>
  <c r="I1239" i="1"/>
  <c r="J1239" i="1"/>
  <c r="K1239" i="1"/>
  <c r="L1239" i="1"/>
  <c r="M1239" i="1"/>
  <c r="N1239" i="1"/>
  <c r="O1239" i="1"/>
  <c r="P1239" i="1"/>
  <c r="Q1239" i="1"/>
  <c r="R1239" i="1"/>
  <c r="S1239" i="1"/>
  <c r="T1239" i="1"/>
  <c r="U1239" i="1"/>
  <c r="V1239" i="1"/>
  <c r="W1239" i="1"/>
  <c r="X1239" i="1"/>
  <c r="Y1239" i="1"/>
  <c r="Z1239" i="1"/>
  <c r="AA1239" i="1"/>
  <c r="AB1239" i="1"/>
  <c r="AC1239" i="1"/>
  <c r="AD1239" i="1"/>
  <c r="AE1239" i="1"/>
  <c r="AF1239" i="1"/>
  <c r="AG1239" i="1"/>
  <c r="AH1239" i="1"/>
  <c r="AI1239" i="1"/>
  <c r="AJ1239" i="1"/>
  <c r="AK1239" i="1"/>
  <c r="AL1239" i="1"/>
  <c r="AM1239" i="1"/>
  <c r="A1240" i="1"/>
  <c r="B1240" i="1"/>
  <c r="C1240" i="1"/>
  <c r="D1240" i="1"/>
  <c r="E1240" i="1"/>
  <c r="F1240" i="1"/>
  <c r="G1240" i="1"/>
  <c r="H1240" i="1"/>
  <c r="I1240" i="1"/>
  <c r="J1240" i="1"/>
  <c r="K1240" i="1"/>
  <c r="L1240" i="1"/>
  <c r="M1240" i="1"/>
  <c r="N1240" i="1"/>
  <c r="O1240" i="1"/>
  <c r="P1240" i="1"/>
  <c r="Q1240" i="1"/>
  <c r="R1240" i="1"/>
  <c r="S1240" i="1"/>
  <c r="T1240" i="1"/>
  <c r="U1240" i="1"/>
  <c r="V1240" i="1"/>
  <c r="W1240" i="1"/>
  <c r="X1240" i="1"/>
  <c r="Y1240" i="1"/>
  <c r="Z1240" i="1"/>
  <c r="AA1240" i="1"/>
  <c r="AB1240" i="1"/>
  <c r="AC1240" i="1"/>
  <c r="AD1240" i="1"/>
  <c r="AE1240" i="1"/>
  <c r="AF1240" i="1"/>
  <c r="AG1240" i="1"/>
  <c r="AH1240" i="1"/>
  <c r="AI1240" i="1"/>
  <c r="AJ1240" i="1"/>
  <c r="AK1240" i="1"/>
  <c r="AL1240" i="1"/>
  <c r="AM1240" i="1"/>
  <c r="A1241" i="1"/>
  <c r="B1241" i="1"/>
  <c r="C1241" i="1"/>
  <c r="D1241" i="1"/>
  <c r="E1241" i="1"/>
  <c r="F1241" i="1"/>
  <c r="G1241" i="1"/>
  <c r="H1241" i="1"/>
  <c r="I1241" i="1"/>
  <c r="J1241" i="1"/>
  <c r="K1241" i="1"/>
  <c r="L1241" i="1"/>
  <c r="M1241" i="1"/>
  <c r="N1241" i="1"/>
  <c r="O1241" i="1"/>
  <c r="P1241" i="1"/>
  <c r="Q1241" i="1"/>
  <c r="R1241" i="1"/>
  <c r="S1241" i="1"/>
  <c r="T1241" i="1"/>
  <c r="U1241" i="1"/>
  <c r="V1241" i="1"/>
  <c r="W1241" i="1"/>
  <c r="X1241" i="1"/>
  <c r="Y1241" i="1"/>
  <c r="Z1241" i="1"/>
  <c r="AA1241" i="1"/>
  <c r="AB1241" i="1"/>
  <c r="AC1241" i="1"/>
  <c r="AD1241" i="1"/>
  <c r="AE1241" i="1"/>
  <c r="AF1241" i="1"/>
  <c r="AG1241" i="1"/>
  <c r="AH1241" i="1"/>
  <c r="AI1241" i="1"/>
  <c r="AJ1241" i="1"/>
  <c r="AK1241" i="1"/>
  <c r="AL1241" i="1"/>
  <c r="AM1241" i="1"/>
  <c r="A1242" i="1"/>
  <c r="B1242" i="1"/>
  <c r="C1242" i="1"/>
  <c r="D1242" i="1"/>
  <c r="E1242" i="1"/>
  <c r="F1242" i="1"/>
  <c r="G1242" i="1"/>
  <c r="H1242" i="1"/>
  <c r="I1242" i="1"/>
  <c r="J1242" i="1"/>
  <c r="K1242" i="1"/>
  <c r="L1242" i="1"/>
  <c r="M1242" i="1"/>
  <c r="N1242" i="1"/>
  <c r="O1242" i="1"/>
  <c r="P1242" i="1"/>
  <c r="Q1242" i="1"/>
  <c r="R1242" i="1"/>
  <c r="S1242" i="1"/>
  <c r="T1242" i="1"/>
  <c r="U1242" i="1"/>
  <c r="V1242" i="1"/>
  <c r="W1242" i="1"/>
  <c r="X1242" i="1"/>
  <c r="Y1242" i="1"/>
  <c r="Z1242" i="1"/>
  <c r="AA1242" i="1"/>
  <c r="AB1242" i="1"/>
  <c r="AC1242" i="1"/>
  <c r="AD1242" i="1"/>
  <c r="AE1242" i="1"/>
  <c r="AF1242" i="1"/>
  <c r="AG1242" i="1"/>
  <c r="AH1242" i="1"/>
  <c r="AI1242" i="1"/>
  <c r="AJ1242" i="1"/>
  <c r="AK1242" i="1"/>
  <c r="AL1242" i="1"/>
  <c r="AM1242" i="1"/>
  <c r="A1243" i="1"/>
  <c r="B1243" i="1"/>
  <c r="C1243" i="1"/>
  <c r="D1243" i="1"/>
  <c r="E1243" i="1"/>
  <c r="F1243" i="1"/>
  <c r="G1243" i="1"/>
  <c r="H1243" i="1"/>
  <c r="I1243" i="1"/>
  <c r="J1243" i="1"/>
  <c r="K1243" i="1"/>
  <c r="L1243" i="1"/>
  <c r="M1243" i="1"/>
  <c r="N1243" i="1"/>
  <c r="O1243" i="1"/>
  <c r="P1243" i="1"/>
  <c r="Q1243" i="1"/>
  <c r="R1243" i="1"/>
  <c r="S1243" i="1"/>
  <c r="T1243" i="1"/>
  <c r="U1243" i="1"/>
  <c r="V1243" i="1"/>
  <c r="W1243" i="1"/>
  <c r="X1243" i="1"/>
  <c r="Y1243" i="1"/>
  <c r="Z1243" i="1"/>
  <c r="AA1243" i="1"/>
  <c r="AB1243" i="1"/>
  <c r="AC1243" i="1"/>
  <c r="AD1243" i="1"/>
  <c r="AE1243" i="1"/>
  <c r="AF1243" i="1"/>
  <c r="AG1243" i="1"/>
  <c r="AH1243" i="1"/>
  <c r="AI1243" i="1"/>
  <c r="AJ1243" i="1"/>
  <c r="AK1243" i="1"/>
  <c r="AL1243" i="1"/>
  <c r="AM1243" i="1"/>
  <c r="A1244" i="1"/>
  <c r="B1244" i="1"/>
  <c r="C1244" i="1"/>
  <c r="D1244" i="1"/>
  <c r="E1244" i="1"/>
  <c r="F1244" i="1"/>
  <c r="G1244" i="1"/>
  <c r="H1244" i="1"/>
  <c r="I1244" i="1"/>
  <c r="J1244" i="1"/>
  <c r="K1244" i="1"/>
  <c r="L1244" i="1"/>
  <c r="M1244" i="1"/>
  <c r="N1244" i="1"/>
  <c r="O1244" i="1"/>
  <c r="P1244" i="1"/>
  <c r="Q1244" i="1"/>
  <c r="R1244" i="1"/>
  <c r="S1244" i="1"/>
  <c r="T1244" i="1"/>
  <c r="U1244" i="1"/>
  <c r="V1244" i="1"/>
  <c r="W1244" i="1"/>
  <c r="X1244" i="1"/>
  <c r="Y1244" i="1"/>
  <c r="Z1244" i="1"/>
  <c r="AA1244" i="1"/>
  <c r="AB1244" i="1"/>
  <c r="AC1244" i="1"/>
  <c r="AD1244" i="1"/>
  <c r="AE1244" i="1"/>
  <c r="AF1244" i="1"/>
  <c r="AG1244" i="1"/>
  <c r="AH1244" i="1"/>
  <c r="AI1244" i="1"/>
  <c r="AJ1244" i="1"/>
  <c r="AK1244" i="1"/>
  <c r="AL1244" i="1"/>
  <c r="AM1244" i="1"/>
  <c r="A1245" i="1"/>
  <c r="B1245" i="1"/>
  <c r="C1245" i="1"/>
  <c r="D1245" i="1"/>
  <c r="E1245" i="1"/>
  <c r="F1245" i="1"/>
  <c r="G1245" i="1"/>
  <c r="H1245" i="1"/>
  <c r="I1245" i="1"/>
  <c r="J1245" i="1"/>
  <c r="K1245" i="1"/>
  <c r="L1245" i="1"/>
  <c r="M1245" i="1"/>
  <c r="N1245" i="1"/>
  <c r="O1245" i="1"/>
  <c r="P1245" i="1"/>
  <c r="Q1245" i="1"/>
  <c r="R1245" i="1"/>
  <c r="S1245" i="1"/>
  <c r="T1245" i="1"/>
  <c r="U1245" i="1"/>
  <c r="V1245" i="1"/>
  <c r="W1245" i="1"/>
  <c r="X1245" i="1"/>
  <c r="Y1245" i="1"/>
  <c r="Z1245" i="1"/>
  <c r="AA1245" i="1"/>
  <c r="AB1245" i="1"/>
  <c r="AC1245" i="1"/>
  <c r="AD1245" i="1"/>
  <c r="AE1245" i="1"/>
  <c r="AF1245" i="1"/>
  <c r="AG1245" i="1"/>
  <c r="AH1245" i="1"/>
  <c r="AI1245" i="1"/>
  <c r="AJ1245" i="1"/>
  <c r="AK1245" i="1"/>
  <c r="AL1245" i="1"/>
  <c r="AM1245" i="1"/>
  <c r="A1246" i="1"/>
  <c r="B1246" i="1"/>
  <c r="C1246" i="1"/>
  <c r="D1246" i="1"/>
  <c r="E1246" i="1"/>
  <c r="F1246" i="1"/>
  <c r="G1246" i="1"/>
  <c r="H1246" i="1"/>
  <c r="I1246" i="1"/>
  <c r="J1246" i="1"/>
  <c r="K1246" i="1"/>
  <c r="L1246" i="1"/>
  <c r="M1246" i="1"/>
  <c r="N1246" i="1"/>
  <c r="O1246" i="1"/>
  <c r="P1246" i="1"/>
  <c r="Q1246" i="1"/>
  <c r="R1246" i="1"/>
  <c r="S1246" i="1"/>
  <c r="T1246" i="1"/>
  <c r="U1246" i="1"/>
  <c r="V1246" i="1"/>
  <c r="W1246" i="1"/>
  <c r="X1246" i="1"/>
  <c r="Y1246" i="1"/>
  <c r="Z1246" i="1"/>
  <c r="AA1246" i="1"/>
  <c r="AB1246" i="1"/>
  <c r="AC1246" i="1"/>
  <c r="AD1246" i="1"/>
  <c r="AE1246" i="1"/>
  <c r="AF1246" i="1"/>
  <c r="AG1246" i="1"/>
  <c r="AH1246" i="1"/>
  <c r="AI1246" i="1"/>
  <c r="AJ1246" i="1"/>
  <c r="AK1246" i="1"/>
  <c r="AL1246" i="1"/>
  <c r="AM1246" i="1"/>
  <c r="A1247" i="1"/>
  <c r="B1247" i="1"/>
  <c r="C1247" i="1"/>
  <c r="D1247" i="1"/>
  <c r="E1247" i="1"/>
  <c r="F1247" i="1"/>
  <c r="G1247" i="1"/>
  <c r="H1247" i="1"/>
  <c r="I1247" i="1"/>
  <c r="J1247" i="1"/>
  <c r="K1247" i="1"/>
  <c r="L1247" i="1"/>
  <c r="M1247" i="1"/>
  <c r="N1247" i="1"/>
  <c r="O1247" i="1"/>
  <c r="P1247" i="1"/>
  <c r="Q1247" i="1"/>
  <c r="R1247" i="1"/>
  <c r="S1247" i="1"/>
  <c r="T1247" i="1"/>
  <c r="U1247" i="1"/>
  <c r="V1247" i="1"/>
  <c r="W1247" i="1"/>
  <c r="X1247" i="1"/>
  <c r="Y1247" i="1"/>
  <c r="Z1247" i="1"/>
  <c r="AA1247" i="1"/>
  <c r="AB1247" i="1"/>
  <c r="AC1247" i="1"/>
  <c r="AD1247" i="1"/>
  <c r="AE1247" i="1"/>
  <c r="AF1247" i="1"/>
  <c r="AG1247" i="1"/>
  <c r="AH1247" i="1"/>
  <c r="AI1247" i="1"/>
  <c r="AJ1247" i="1"/>
  <c r="AK1247" i="1"/>
  <c r="AL1247" i="1"/>
  <c r="AM1247" i="1"/>
  <c r="A1248" i="1"/>
  <c r="B1248" i="1"/>
  <c r="C1248" i="1"/>
  <c r="D1248" i="1"/>
  <c r="E1248" i="1"/>
  <c r="F1248" i="1"/>
  <c r="G1248" i="1"/>
  <c r="H1248" i="1"/>
  <c r="I1248" i="1"/>
  <c r="J1248" i="1"/>
  <c r="K1248" i="1"/>
  <c r="L1248" i="1"/>
  <c r="M1248" i="1"/>
  <c r="N1248" i="1"/>
  <c r="O1248" i="1"/>
  <c r="P1248" i="1"/>
  <c r="Q1248" i="1"/>
  <c r="R1248" i="1"/>
  <c r="S1248" i="1"/>
  <c r="T1248" i="1"/>
  <c r="U1248" i="1"/>
  <c r="V1248" i="1"/>
  <c r="W1248" i="1"/>
  <c r="X1248" i="1"/>
  <c r="Y1248" i="1"/>
  <c r="Z1248" i="1"/>
  <c r="AA1248" i="1"/>
  <c r="AB1248" i="1"/>
  <c r="AC1248" i="1"/>
  <c r="AD1248" i="1"/>
  <c r="AE1248" i="1"/>
  <c r="AF1248" i="1"/>
  <c r="AG1248" i="1"/>
  <c r="AH1248" i="1"/>
  <c r="AI1248" i="1"/>
  <c r="AJ1248" i="1"/>
  <c r="AK1248" i="1"/>
  <c r="AL1248" i="1"/>
  <c r="AM1248" i="1"/>
  <c r="A1249" i="1"/>
  <c r="B1249" i="1"/>
  <c r="C1249" i="1"/>
  <c r="D1249" i="1"/>
  <c r="E1249" i="1"/>
  <c r="F1249" i="1"/>
  <c r="G1249" i="1"/>
  <c r="H1249" i="1"/>
  <c r="I1249" i="1"/>
  <c r="J1249" i="1"/>
  <c r="K1249" i="1"/>
  <c r="L1249" i="1"/>
  <c r="M1249" i="1"/>
  <c r="N1249" i="1"/>
  <c r="O1249" i="1"/>
  <c r="P1249" i="1"/>
  <c r="Q1249" i="1"/>
  <c r="R1249" i="1"/>
  <c r="S1249" i="1"/>
  <c r="T1249" i="1"/>
  <c r="U1249" i="1"/>
  <c r="V1249" i="1"/>
  <c r="W1249" i="1"/>
  <c r="X1249" i="1"/>
  <c r="Y1249" i="1"/>
  <c r="Z1249" i="1"/>
  <c r="AA1249" i="1"/>
  <c r="AB1249" i="1"/>
  <c r="AC1249" i="1"/>
  <c r="AD1249" i="1"/>
  <c r="AE1249" i="1"/>
  <c r="AF1249" i="1"/>
  <c r="AG1249" i="1"/>
  <c r="AH1249" i="1"/>
  <c r="AI1249" i="1"/>
  <c r="AJ1249" i="1"/>
  <c r="AK1249" i="1"/>
  <c r="AL1249" i="1"/>
  <c r="AM1249" i="1"/>
  <c r="A1250" i="1"/>
  <c r="B1250" i="1"/>
  <c r="C1250" i="1"/>
  <c r="D1250" i="1"/>
  <c r="E1250" i="1"/>
  <c r="F1250" i="1"/>
  <c r="G1250" i="1"/>
  <c r="H1250" i="1"/>
  <c r="I1250" i="1"/>
  <c r="J1250" i="1"/>
  <c r="K1250" i="1"/>
  <c r="L1250" i="1"/>
  <c r="M1250" i="1"/>
  <c r="N1250" i="1"/>
  <c r="O1250" i="1"/>
  <c r="P1250" i="1"/>
  <c r="Q1250" i="1"/>
  <c r="R1250" i="1"/>
  <c r="S1250" i="1"/>
  <c r="T1250" i="1"/>
  <c r="U1250" i="1"/>
  <c r="V1250" i="1"/>
  <c r="W1250" i="1"/>
  <c r="X1250" i="1"/>
  <c r="Y1250" i="1"/>
  <c r="Z1250" i="1"/>
  <c r="AA1250" i="1"/>
  <c r="AB1250" i="1"/>
  <c r="AC1250" i="1"/>
  <c r="AD1250" i="1"/>
  <c r="AE1250" i="1"/>
  <c r="AF1250" i="1"/>
  <c r="AG1250" i="1"/>
  <c r="AH1250" i="1"/>
  <c r="AI1250" i="1"/>
  <c r="AJ1250" i="1"/>
  <c r="AK1250" i="1"/>
  <c r="AL1250" i="1"/>
  <c r="AM1250" i="1"/>
  <c r="A1251" i="1"/>
  <c r="B1251" i="1"/>
  <c r="C1251" i="1"/>
  <c r="D1251" i="1"/>
  <c r="E1251" i="1"/>
  <c r="F1251" i="1"/>
  <c r="G1251" i="1"/>
  <c r="H1251" i="1"/>
  <c r="I1251" i="1"/>
  <c r="J1251" i="1"/>
  <c r="K1251" i="1"/>
  <c r="L1251" i="1"/>
  <c r="M1251" i="1"/>
  <c r="N1251" i="1"/>
  <c r="O1251" i="1"/>
  <c r="P1251" i="1"/>
  <c r="Q1251" i="1"/>
  <c r="R1251" i="1"/>
  <c r="S1251" i="1"/>
  <c r="T1251" i="1"/>
  <c r="U1251" i="1"/>
  <c r="V1251" i="1"/>
  <c r="W1251" i="1"/>
  <c r="X1251" i="1"/>
  <c r="Y1251" i="1"/>
  <c r="Z1251" i="1"/>
  <c r="AA1251" i="1"/>
  <c r="AB1251" i="1"/>
  <c r="AC1251" i="1"/>
  <c r="AD1251" i="1"/>
  <c r="AE1251" i="1"/>
  <c r="AF1251" i="1"/>
  <c r="AG1251" i="1"/>
  <c r="AH1251" i="1"/>
  <c r="AI1251" i="1"/>
  <c r="AJ1251" i="1"/>
  <c r="AK1251" i="1"/>
  <c r="AL1251" i="1"/>
  <c r="AM1251" i="1"/>
  <c r="A1252" i="1"/>
  <c r="B1252" i="1"/>
  <c r="C1252" i="1"/>
  <c r="D1252" i="1"/>
  <c r="E1252" i="1"/>
  <c r="F1252" i="1"/>
  <c r="G1252" i="1"/>
  <c r="H1252" i="1"/>
  <c r="I1252" i="1"/>
  <c r="J1252" i="1"/>
  <c r="K1252" i="1"/>
  <c r="L1252" i="1"/>
  <c r="M1252" i="1"/>
  <c r="N1252" i="1"/>
  <c r="O1252" i="1"/>
  <c r="P1252" i="1"/>
  <c r="Q1252" i="1"/>
  <c r="R1252" i="1"/>
  <c r="S1252" i="1"/>
  <c r="T1252" i="1"/>
  <c r="U1252" i="1"/>
  <c r="V1252" i="1"/>
  <c r="W1252" i="1"/>
  <c r="X1252" i="1"/>
  <c r="Y1252" i="1"/>
  <c r="Z1252" i="1"/>
  <c r="AA1252" i="1"/>
  <c r="AB1252" i="1"/>
  <c r="AC1252" i="1"/>
  <c r="AD1252" i="1"/>
  <c r="AE1252" i="1"/>
  <c r="AF1252" i="1"/>
  <c r="AG1252" i="1"/>
  <c r="AH1252" i="1"/>
  <c r="AI1252" i="1"/>
  <c r="AJ1252" i="1"/>
  <c r="AK1252" i="1"/>
  <c r="AL1252" i="1"/>
  <c r="AM1252" i="1"/>
  <c r="A1253" i="1"/>
  <c r="B1253" i="1"/>
  <c r="C1253" i="1"/>
  <c r="D1253" i="1"/>
  <c r="E1253" i="1"/>
  <c r="F1253" i="1"/>
  <c r="G1253" i="1"/>
  <c r="H1253" i="1"/>
  <c r="I1253" i="1"/>
  <c r="J1253" i="1"/>
  <c r="K1253" i="1"/>
  <c r="L1253" i="1"/>
  <c r="M1253" i="1"/>
  <c r="N1253" i="1"/>
  <c r="O1253" i="1"/>
  <c r="P1253" i="1"/>
  <c r="Q1253" i="1"/>
  <c r="R1253" i="1"/>
  <c r="S1253" i="1"/>
  <c r="T1253" i="1"/>
  <c r="U1253" i="1"/>
  <c r="V1253" i="1"/>
  <c r="W1253" i="1"/>
  <c r="X1253" i="1"/>
  <c r="Y1253" i="1"/>
  <c r="Z1253" i="1"/>
  <c r="AA1253" i="1"/>
  <c r="AB1253" i="1"/>
  <c r="AC1253" i="1"/>
  <c r="AD1253" i="1"/>
  <c r="AE1253" i="1"/>
  <c r="AF1253" i="1"/>
  <c r="AG1253" i="1"/>
  <c r="AH1253" i="1"/>
  <c r="AI1253" i="1"/>
  <c r="AJ1253" i="1"/>
  <c r="AK1253" i="1"/>
  <c r="AL1253" i="1"/>
  <c r="AM1253" i="1"/>
  <c r="A1254" i="1"/>
  <c r="B1254" i="1"/>
  <c r="C1254" i="1"/>
  <c r="D1254" i="1"/>
  <c r="E1254" i="1"/>
  <c r="F1254" i="1"/>
  <c r="G1254" i="1"/>
  <c r="H1254" i="1"/>
  <c r="I1254" i="1"/>
  <c r="J1254" i="1"/>
  <c r="K1254" i="1"/>
  <c r="L1254" i="1"/>
  <c r="M1254" i="1"/>
  <c r="N1254" i="1"/>
  <c r="O1254" i="1"/>
  <c r="P1254" i="1"/>
  <c r="Q1254" i="1"/>
  <c r="R1254" i="1"/>
  <c r="S1254" i="1"/>
  <c r="T1254" i="1"/>
  <c r="U1254" i="1"/>
  <c r="V1254" i="1"/>
  <c r="W1254" i="1"/>
  <c r="X1254" i="1"/>
  <c r="Y1254" i="1"/>
  <c r="Z1254" i="1"/>
  <c r="AA1254" i="1"/>
  <c r="AB1254" i="1"/>
  <c r="AC1254" i="1"/>
  <c r="AD1254" i="1"/>
  <c r="AE1254" i="1"/>
  <c r="AF1254" i="1"/>
  <c r="AG1254" i="1"/>
  <c r="AH1254" i="1"/>
  <c r="AI1254" i="1"/>
  <c r="AJ1254" i="1"/>
  <c r="AK1254" i="1"/>
  <c r="AL1254" i="1"/>
  <c r="AM1254" i="1"/>
  <c r="A1255" i="1"/>
  <c r="B1255" i="1"/>
  <c r="C1255" i="1"/>
  <c r="D1255" i="1"/>
  <c r="E1255" i="1"/>
  <c r="F1255" i="1"/>
  <c r="G1255" i="1"/>
  <c r="H1255" i="1"/>
  <c r="I1255" i="1"/>
  <c r="J1255" i="1"/>
  <c r="K1255" i="1"/>
  <c r="L1255" i="1"/>
  <c r="M1255" i="1"/>
  <c r="N1255" i="1"/>
  <c r="O1255" i="1"/>
  <c r="P1255" i="1"/>
  <c r="Q1255" i="1"/>
  <c r="R1255" i="1"/>
  <c r="S1255" i="1"/>
  <c r="T1255" i="1"/>
  <c r="U1255" i="1"/>
  <c r="V1255" i="1"/>
  <c r="W1255" i="1"/>
  <c r="X1255" i="1"/>
  <c r="Y1255" i="1"/>
  <c r="Z1255" i="1"/>
  <c r="AA1255" i="1"/>
  <c r="AB1255" i="1"/>
  <c r="AC1255" i="1"/>
  <c r="AD1255" i="1"/>
  <c r="AE1255" i="1"/>
  <c r="AF1255" i="1"/>
  <c r="AG1255" i="1"/>
  <c r="AH1255" i="1"/>
  <c r="AI1255" i="1"/>
  <c r="AJ1255" i="1"/>
  <c r="AK1255" i="1"/>
  <c r="AL1255" i="1"/>
  <c r="AM1255" i="1"/>
  <c r="A1256" i="1"/>
  <c r="B1256" i="1"/>
  <c r="C1256" i="1"/>
  <c r="D1256" i="1"/>
  <c r="E1256" i="1"/>
  <c r="F1256" i="1"/>
  <c r="G1256" i="1"/>
  <c r="H1256" i="1"/>
  <c r="I1256" i="1"/>
  <c r="J1256" i="1"/>
  <c r="K1256" i="1"/>
  <c r="L1256" i="1"/>
  <c r="M1256" i="1"/>
  <c r="N1256" i="1"/>
  <c r="O1256" i="1"/>
  <c r="P1256" i="1"/>
  <c r="Q1256" i="1"/>
  <c r="R1256" i="1"/>
  <c r="S1256" i="1"/>
  <c r="T1256" i="1"/>
  <c r="U1256" i="1"/>
  <c r="V1256" i="1"/>
  <c r="W1256" i="1"/>
  <c r="X1256" i="1"/>
  <c r="Y1256" i="1"/>
  <c r="Z1256" i="1"/>
  <c r="AA1256" i="1"/>
  <c r="AB1256" i="1"/>
  <c r="AC1256" i="1"/>
  <c r="AD1256" i="1"/>
  <c r="AE1256" i="1"/>
  <c r="AF1256" i="1"/>
  <c r="AG1256" i="1"/>
  <c r="AH1256" i="1"/>
  <c r="AI1256" i="1"/>
  <c r="AJ1256" i="1"/>
  <c r="AK1256" i="1"/>
  <c r="AL1256" i="1"/>
  <c r="AM1256" i="1"/>
  <c r="A1257" i="1"/>
  <c r="B1257" i="1"/>
  <c r="C1257" i="1"/>
  <c r="D1257" i="1"/>
  <c r="E1257" i="1"/>
  <c r="F1257" i="1"/>
  <c r="G1257" i="1"/>
  <c r="H1257" i="1"/>
  <c r="I1257" i="1"/>
  <c r="J1257" i="1"/>
  <c r="K1257" i="1"/>
  <c r="L1257" i="1"/>
  <c r="M1257" i="1"/>
  <c r="N1257" i="1"/>
  <c r="O1257" i="1"/>
  <c r="P1257" i="1"/>
  <c r="Q1257" i="1"/>
  <c r="R1257" i="1"/>
  <c r="S1257" i="1"/>
  <c r="T1257" i="1"/>
  <c r="U1257" i="1"/>
  <c r="V1257" i="1"/>
  <c r="W1257" i="1"/>
  <c r="X1257" i="1"/>
  <c r="Y1257" i="1"/>
  <c r="Z1257" i="1"/>
  <c r="AA1257" i="1"/>
  <c r="AB1257" i="1"/>
  <c r="AC1257" i="1"/>
  <c r="AD1257" i="1"/>
  <c r="AE1257" i="1"/>
  <c r="AF1257" i="1"/>
  <c r="AG1257" i="1"/>
  <c r="AH1257" i="1"/>
  <c r="AI1257" i="1"/>
  <c r="AJ1257" i="1"/>
  <c r="AK1257" i="1"/>
  <c r="AL1257" i="1"/>
  <c r="AM1257" i="1"/>
  <c r="A1258" i="1"/>
  <c r="B1258" i="1"/>
  <c r="C1258" i="1"/>
  <c r="D1258" i="1"/>
  <c r="E1258" i="1"/>
  <c r="F1258" i="1"/>
  <c r="G1258" i="1"/>
  <c r="H1258" i="1"/>
  <c r="I1258" i="1"/>
  <c r="J1258" i="1"/>
  <c r="K1258" i="1"/>
  <c r="L1258" i="1"/>
  <c r="M1258" i="1"/>
  <c r="N1258" i="1"/>
  <c r="O1258" i="1"/>
  <c r="P1258" i="1"/>
  <c r="Q1258" i="1"/>
  <c r="R1258" i="1"/>
  <c r="S1258" i="1"/>
  <c r="T1258" i="1"/>
  <c r="U1258" i="1"/>
  <c r="V1258" i="1"/>
  <c r="W1258" i="1"/>
  <c r="X1258" i="1"/>
  <c r="Y1258" i="1"/>
  <c r="Z1258" i="1"/>
  <c r="AA1258" i="1"/>
  <c r="AB1258" i="1"/>
  <c r="AC1258" i="1"/>
  <c r="AD1258" i="1"/>
  <c r="AE1258" i="1"/>
  <c r="AF1258" i="1"/>
  <c r="AG1258" i="1"/>
  <c r="AH1258" i="1"/>
  <c r="AI1258" i="1"/>
  <c r="AJ1258" i="1"/>
  <c r="AK1258" i="1"/>
  <c r="AL1258" i="1"/>
  <c r="AM1258" i="1"/>
  <c r="A1259" i="1"/>
  <c r="B1259" i="1"/>
  <c r="C1259" i="1"/>
  <c r="D1259" i="1"/>
  <c r="E1259" i="1"/>
  <c r="F1259" i="1"/>
  <c r="G1259" i="1"/>
  <c r="H1259" i="1"/>
  <c r="I1259" i="1"/>
  <c r="J1259" i="1"/>
  <c r="K1259" i="1"/>
  <c r="L1259" i="1"/>
  <c r="M1259" i="1"/>
  <c r="N1259" i="1"/>
  <c r="O1259" i="1"/>
  <c r="P1259" i="1"/>
  <c r="Q1259" i="1"/>
  <c r="R1259" i="1"/>
  <c r="S1259" i="1"/>
  <c r="T1259" i="1"/>
  <c r="U1259" i="1"/>
  <c r="V1259" i="1"/>
  <c r="W1259" i="1"/>
  <c r="X1259" i="1"/>
  <c r="Y1259" i="1"/>
  <c r="Z1259" i="1"/>
  <c r="AA1259" i="1"/>
  <c r="AB1259" i="1"/>
  <c r="AC1259" i="1"/>
  <c r="AD1259" i="1"/>
  <c r="AE1259" i="1"/>
  <c r="AF1259" i="1"/>
  <c r="AG1259" i="1"/>
  <c r="AH1259" i="1"/>
  <c r="AI1259" i="1"/>
  <c r="AJ1259" i="1"/>
  <c r="AK1259" i="1"/>
  <c r="AL1259" i="1"/>
  <c r="AM1259" i="1"/>
  <c r="A1260" i="1"/>
  <c r="B1260" i="1"/>
  <c r="C1260" i="1"/>
  <c r="D1260" i="1"/>
  <c r="E1260" i="1"/>
  <c r="F1260" i="1"/>
  <c r="G1260" i="1"/>
  <c r="H1260" i="1"/>
  <c r="I1260" i="1"/>
  <c r="J1260" i="1"/>
  <c r="K1260" i="1"/>
  <c r="L1260" i="1"/>
  <c r="M1260" i="1"/>
  <c r="N1260" i="1"/>
  <c r="O1260" i="1"/>
  <c r="P1260" i="1"/>
  <c r="Q1260" i="1"/>
  <c r="R1260" i="1"/>
  <c r="S1260" i="1"/>
  <c r="T1260" i="1"/>
  <c r="U1260" i="1"/>
  <c r="V1260" i="1"/>
  <c r="W1260" i="1"/>
  <c r="X1260" i="1"/>
  <c r="Y1260" i="1"/>
  <c r="Z1260" i="1"/>
  <c r="AA1260" i="1"/>
  <c r="AB1260" i="1"/>
  <c r="AC1260" i="1"/>
  <c r="AD1260" i="1"/>
  <c r="AE1260" i="1"/>
  <c r="AF1260" i="1"/>
  <c r="AG1260" i="1"/>
  <c r="AH1260" i="1"/>
  <c r="AI1260" i="1"/>
  <c r="AJ1260" i="1"/>
  <c r="AK1260" i="1"/>
  <c r="AL1260" i="1"/>
  <c r="AM1260" i="1"/>
  <c r="A1261" i="1"/>
  <c r="B1261" i="1"/>
  <c r="C1261" i="1"/>
  <c r="D1261" i="1"/>
  <c r="E1261" i="1"/>
  <c r="F1261" i="1"/>
  <c r="G1261" i="1"/>
  <c r="H1261" i="1"/>
  <c r="I1261" i="1"/>
  <c r="J1261" i="1"/>
  <c r="K1261" i="1"/>
  <c r="L1261" i="1"/>
  <c r="M1261" i="1"/>
  <c r="N1261" i="1"/>
  <c r="O1261" i="1"/>
  <c r="P1261" i="1"/>
  <c r="Q1261" i="1"/>
  <c r="R1261" i="1"/>
  <c r="S1261" i="1"/>
  <c r="T1261" i="1"/>
  <c r="U1261" i="1"/>
  <c r="V1261" i="1"/>
  <c r="W1261" i="1"/>
  <c r="X1261" i="1"/>
  <c r="Y1261" i="1"/>
  <c r="Z1261" i="1"/>
  <c r="AA1261" i="1"/>
  <c r="AB1261" i="1"/>
  <c r="AC1261" i="1"/>
  <c r="AD1261" i="1"/>
  <c r="AE1261" i="1"/>
  <c r="AF1261" i="1"/>
  <c r="AG1261" i="1"/>
  <c r="AH1261" i="1"/>
  <c r="AI1261" i="1"/>
  <c r="AJ1261" i="1"/>
  <c r="AK1261" i="1"/>
  <c r="AL1261" i="1"/>
  <c r="AM1261" i="1"/>
  <c r="A1262" i="1"/>
  <c r="B1262" i="1"/>
  <c r="C1262" i="1"/>
  <c r="D1262" i="1"/>
  <c r="E1262" i="1"/>
  <c r="F1262" i="1"/>
  <c r="G1262" i="1"/>
  <c r="H1262" i="1"/>
  <c r="I1262" i="1"/>
  <c r="J1262" i="1"/>
  <c r="K1262" i="1"/>
  <c r="L1262" i="1"/>
  <c r="M1262" i="1"/>
  <c r="N1262" i="1"/>
  <c r="O1262" i="1"/>
  <c r="P1262" i="1"/>
  <c r="Q1262" i="1"/>
  <c r="R1262" i="1"/>
  <c r="S1262" i="1"/>
  <c r="T1262" i="1"/>
  <c r="U1262" i="1"/>
  <c r="V1262" i="1"/>
  <c r="W1262" i="1"/>
  <c r="X1262" i="1"/>
  <c r="Y1262" i="1"/>
  <c r="Z1262" i="1"/>
  <c r="AA1262" i="1"/>
  <c r="AB1262" i="1"/>
  <c r="AC1262" i="1"/>
  <c r="AD1262" i="1"/>
  <c r="AE1262" i="1"/>
  <c r="AF1262" i="1"/>
  <c r="AG1262" i="1"/>
  <c r="AH1262" i="1"/>
  <c r="AI1262" i="1"/>
  <c r="AJ1262" i="1"/>
  <c r="AK1262" i="1"/>
  <c r="AL1262" i="1"/>
  <c r="AM1262" i="1"/>
  <c r="A1263" i="1"/>
  <c r="B1263" i="1"/>
  <c r="C1263" i="1"/>
  <c r="D1263" i="1"/>
  <c r="E1263" i="1"/>
  <c r="F1263" i="1"/>
  <c r="G1263" i="1"/>
  <c r="H1263" i="1"/>
  <c r="I1263" i="1"/>
  <c r="J1263" i="1"/>
  <c r="K1263" i="1"/>
  <c r="L1263" i="1"/>
  <c r="M1263" i="1"/>
  <c r="N1263" i="1"/>
  <c r="O1263" i="1"/>
  <c r="P1263" i="1"/>
  <c r="Q1263" i="1"/>
  <c r="R1263" i="1"/>
  <c r="S1263" i="1"/>
  <c r="T1263" i="1"/>
  <c r="U1263" i="1"/>
  <c r="V1263" i="1"/>
  <c r="W1263" i="1"/>
  <c r="X1263" i="1"/>
  <c r="Y1263" i="1"/>
  <c r="Z1263" i="1"/>
  <c r="AA1263" i="1"/>
  <c r="AB1263" i="1"/>
  <c r="AC1263" i="1"/>
  <c r="AD1263" i="1"/>
  <c r="AE1263" i="1"/>
  <c r="AF1263" i="1"/>
  <c r="AG1263" i="1"/>
  <c r="AH1263" i="1"/>
  <c r="AI1263" i="1"/>
  <c r="AJ1263" i="1"/>
  <c r="AK1263" i="1"/>
  <c r="AL1263" i="1"/>
  <c r="AM1263" i="1"/>
  <c r="A1264" i="1"/>
  <c r="B1264" i="1"/>
  <c r="C1264" i="1"/>
  <c r="D1264" i="1"/>
  <c r="E1264" i="1"/>
  <c r="F1264" i="1"/>
  <c r="G1264" i="1"/>
  <c r="H1264" i="1"/>
  <c r="I1264" i="1"/>
  <c r="J1264" i="1"/>
  <c r="K1264" i="1"/>
  <c r="L1264" i="1"/>
  <c r="M1264" i="1"/>
  <c r="N1264" i="1"/>
  <c r="O1264" i="1"/>
  <c r="P1264" i="1"/>
  <c r="Q1264" i="1"/>
  <c r="R1264" i="1"/>
  <c r="S1264" i="1"/>
  <c r="T1264" i="1"/>
  <c r="U1264" i="1"/>
  <c r="V1264" i="1"/>
  <c r="W1264" i="1"/>
  <c r="X1264" i="1"/>
  <c r="Y1264" i="1"/>
  <c r="Z1264" i="1"/>
  <c r="AA1264" i="1"/>
  <c r="AB1264" i="1"/>
  <c r="AC1264" i="1"/>
  <c r="AD1264" i="1"/>
  <c r="AE1264" i="1"/>
  <c r="AF1264" i="1"/>
  <c r="AG1264" i="1"/>
  <c r="AH1264" i="1"/>
  <c r="AI1264" i="1"/>
  <c r="AJ1264" i="1"/>
  <c r="AK1264" i="1"/>
  <c r="AL1264" i="1"/>
  <c r="AM1264" i="1"/>
  <c r="A1265" i="1"/>
  <c r="B1265" i="1"/>
  <c r="C1265" i="1"/>
  <c r="D1265" i="1"/>
  <c r="E1265" i="1"/>
  <c r="F1265" i="1"/>
  <c r="G1265" i="1"/>
  <c r="H1265" i="1"/>
  <c r="I1265" i="1"/>
  <c r="J1265" i="1"/>
  <c r="K1265" i="1"/>
  <c r="L1265" i="1"/>
  <c r="M1265" i="1"/>
  <c r="N1265" i="1"/>
  <c r="O1265" i="1"/>
  <c r="P1265" i="1"/>
  <c r="Q1265" i="1"/>
  <c r="R1265" i="1"/>
  <c r="S1265" i="1"/>
  <c r="T1265" i="1"/>
  <c r="U1265" i="1"/>
  <c r="V1265" i="1"/>
  <c r="W1265" i="1"/>
  <c r="X1265" i="1"/>
  <c r="Y1265" i="1"/>
  <c r="Z1265" i="1"/>
  <c r="AA1265" i="1"/>
  <c r="AB1265" i="1"/>
  <c r="AC1265" i="1"/>
  <c r="AD1265" i="1"/>
  <c r="AE1265" i="1"/>
  <c r="AF1265" i="1"/>
  <c r="AG1265" i="1"/>
  <c r="AH1265" i="1"/>
  <c r="AI1265" i="1"/>
  <c r="AJ1265" i="1"/>
  <c r="AK1265" i="1"/>
  <c r="AL1265" i="1"/>
  <c r="AM1265" i="1"/>
  <c r="A1266" i="1"/>
  <c r="B1266" i="1"/>
  <c r="C1266" i="1"/>
  <c r="D1266" i="1"/>
  <c r="E1266" i="1"/>
  <c r="F1266" i="1"/>
  <c r="G1266" i="1"/>
  <c r="H1266" i="1"/>
  <c r="I1266" i="1"/>
  <c r="J1266" i="1"/>
  <c r="K1266" i="1"/>
  <c r="L1266" i="1"/>
  <c r="M1266" i="1"/>
  <c r="N1266" i="1"/>
  <c r="O1266" i="1"/>
  <c r="P1266" i="1"/>
  <c r="Q1266" i="1"/>
  <c r="R1266" i="1"/>
  <c r="S1266" i="1"/>
  <c r="T1266" i="1"/>
  <c r="U1266" i="1"/>
  <c r="V1266" i="1"/>
  <c r="W1266" i="1"/>
  <c r="X1266" i="1"/>
  <c r="Y1266" i="1"/>
  <c r="Z1266" i="1"/>
  <c r="AA1266" i="1"/>
  <c r="AB1266" i="1"/>
  <c r="AC1266" i="1"/>
  <c r="AD1266" i="1"/>
  <c r="AE1266" i="1"/>
  <c r="AF1266" i="1"/>
  <c r="AG1266" i="1"/>
  <c r="AH1266" i="1"/>
  <c r="AI1266" i="1"/>
  <c r="AJ1266" i="1"/>
  <c r="AK1266" i="1"/>
  <c r="AL1266" i="1"/>
  <c r="AM1266" i="1"/>
  <c r="A1267" i="1"/>
  <c r="B1267" i="1"/>
  <c r="C1267" i="1"/>
  <c r="D1267" i="1"/>
  <c r="E1267" i="1"/>
  <c r="F1267" i="1"/>
  <c r="G1267" i="1"/>
  <c r="H1267" i="1"/>
  <c r="I1267" i="1"/>
  <c r="J1267" i="1"/>
  <c r="K1267" i="1"/>
  <c r="L1267" i="1"/>
  <c r="M1267" i="1"/>
  <c r="N1267" i="1"/>
  <c r="O1267" i="1"/>
  <c r="P1267" i="1"/>
  <c r="Q1267" i="1"/>
  <c r="R1267" i="1"/>
  <c r="S1267" i="1"/>
  <c r="T1267" i="1"/>
  <c r="U1267" i="1"/>
  <c r="V1267" i="1"/>
  <c r="W1267" i="1"/>
  <c r="X1267" i="1"/>
  <c r="Y1267" i="1"/>
  <c r="Z1267" i="1"/>
  <c r="AA1267" i="1"/>
  <c r="AB1267" i="1"/>
  <c r="AC1267" i="1"/>
  <c r="AD1267" i="1"/>
  <c r="AE1267" i="1"/>
  <c r="AF1267" i="1"/>
  <c r="AG1267" i="1"/>
  <c r="AH1267" i="1"/>
  <c r="AI1267" i="1"/>
  <c r="AJ1267" i="1"/>
  <c r="AK1267" i="1"/>
  <c r="AL1267" i="1"/>
  <c r="AM1267" i="1"/>
  <c r="A1268" i="1"/>
  <c r="B1268" i="1"/>
  <c r="C1268" i="1"/>
  <c r="D1268" i="1"/>
  <c r="E1268" i="1"/>
  <c r="F1268" i="1"/>
  <c r="G1268" i="1"/>
  <c r="H1268" i="1"/>
  <c r="I1268" i="1"/>
  <c r="J1268" i="1"/>
  <c r="K1268" i="1"/>
  <c r="L1268" i="1"/>
  <c r="M1268" i="1"/>
  <c r="N1268" i="1"/>
  <c r="O1268" i="1"/>
  <c r="P1268" i="1"/>
  <c r="Q1268" i="1"/>
  <c r="R1268" i="1"/>
  <c r="S1268" i="1"/>
  <c r="T1268" i="1"/>
  <c r="U1268" i="1"/>
  <c r="V1268" i="1"/>
  <c r="W1268" i="1"/>
  <c r="X1268" i="1"/>
  <c r="Y1268" i="1"/>
  <c r="Z1268" i="1"/>
  <c r="AA1268" i="1"/>
  <c r="AB1268" i="1"/>
  <c r="AC1268" i="1"/>
  <c r="AD1268" i="1"/>
  <c r="AE1268" i="1"/>
  <c r="AF1268" i="1"/>
  <c r="AG1268" i="1"/>
  <c r="AH1268" i="1"/>
  <c r="AI1268" i="1"/>
  <c r="AJ1268" i="1"/>
  <c r="AK1268" i="1"/>
  <c r="AL1268" i="1"/>
  <c r="AM1268" i="1"/>
  <c r="A1269" i="1"/>
  <c r="B1269" i="1"/>
  <c r="C1269" i="1"/>
  <c r="D1269" i="1"/>
  <c r="E1269" i="1"/>
  <c r="F1269" i="1"/>
  <c r="G1269" i="1"/>
  <c r="H1269" i="1"/>
  <c r="I1269" i="1"/>
  <c r="J1269" i="1"/>
  <c r="K1269" i="1"/>
  <c r="L1269" i="1"/>
  <c r="M1269" i="1"/>
  <c r="N1269" i="1"/>
  <c r="O1269" i="1"/>
  <c r="P1269" i="1"/>
  <c r="Q1269" i="1"/>
  <c r="R1269" i="1"/>
  <c r="S1269" i="1"/>
  <c r="T1269" i="1"/>
  <c r="U1269" i="1"/>
  <c r="V1269" i="1"/>
  <c r="W1269" i="1"/>
  <c r="X1269" i="1"/>
  <c r="Y1269" i="1"/>
  <c r="Z1269" i="1"/>
  <c r="AA1269" i="1"/>
  <c r="AB1269" i="1"/>
  <c r="AC1269" i="1"/>
  <c r="AD1269" i="1"/>
  <c r="AE1269" i="1"/>
  <c r="AF1269" i="1"/>
  <c r="AG1269" i="1"/>
  <c r="AH1269" i="1"/>
  <c r="AI1269" i="1"/>
  <c r="AJ1269" i="1"/>
  <c r="AK1269" i="1"/>
  <c r="AL1269" i="1"/>
  <c r="AM1269" i="1"/>
  <c r="A1270" i="1"/>
  <c r="B1270" i="1"/>
  <c r="C1270" i="1"/>
  <c r="D1270" i="1"/>
  <c r="E1270" i="1"/>
  <c r="F1270" i="1"/>
  <c r="G1270" i="1"/>
  <c r="H1270" i="1"/>
  <c r="I1270" i="1"/>
  <c r="J1270" i="1"/>
  <c r="K1270" i="1"/>
  <c r="L1270" i="1"/>
  <c r="M1270" i="1"/>
  <c r="N1270" i="1"/>
  <c r="O1270" i="1"/>
  <c r="P1270" i="1"/>
  <c r="Q1270" i="1"/>
  <c r="R1270" i="1"/>
  <c r="S1270" i="1"/>
  <c r="T1270" i="1"/>
  <c r="U1270" i="1"/>
  <c r="V1270" i="1"/>
  <c r="W1270" i="1"/>
  <c r="X1270" i="1"/>
  <c r="Y1270" i="1"/>
  <c r="Z1270" i="1"/>
  <c r="AA1270" i="1"/>
  <c r="AB1270" i="1"/>
  <c r="AC1270" i="1"/>
  <c r="AD1270" i="1"/>
  <c r="AE1270" i="1"/>
  <c r="AF1270" i="1"/>
  <c r="AG1270" i="1"/>
  <c r="AH1270" i="1"/>
  <c r="AI1270" i="1"/>
  <c r="AJ1270" i="1"/>
  <c r="AK1270" i="1"/>
  <c r="AL1270" i="1"/>
  <c r="AM1270" i="1"/>
  <c r="A1271" i="1"/>
  <c r="B1271" i="1"/>
  <c r="C1271" i="1"/>
  <c r="D1271" i="1"/>
  <c r="E1271" i="1"/>
  <c r="F1271" i="1"/>
  <c r="G1271" i="1"/>
  <c r="H1271" i="1"/>
  <c r="I1271" i="1"/>
  <c r="J1271" i="1"/>
  <c r="K1271" i="1"/>
  <c r="L1271" i="1"/>
  <c r="M1271" i="1"/>
  <c r="N1271" i="1"/>
  <c r="O1271" i="1"/>
  <c r="P1271" i="1"/>
  <c r="Q1271" i="1"/>
  <c r="R1271" i="1"/>
  <c r="S1271" i="1"/>
  <c r="T1271" i="1"/>
  <c r="U1271" i="1"/>
  <c r="V1271" i="1"/>
  <c r="W1271" i="1"/>
  <c r="X1271" i="1"/>
  <c r="Y1271" i="1"/>
  <c r="Z1271" i="1"/>
  <c r="AA1271" i="1"/>
  <c r="AB1271" i="1"/>
  <c r="AC1271" i="1"/>
  <c r="AD1271" i="1"/>
  <c r="AE1271" i="1"/>
  <c r="AF1271" i="1"/>
  <c r="AG1271" i="1"/>
  <c r="AH1271" i="1"/>
  <c r="AI1271" i="1"/>
  <c r="AJ1271" i="1"/>
  <c r="AK1271" i="1"/>
  <c r="AL1271" i="1"/>
  <c r="AM1271" i="1"/>
  <c r="A1272" i="1"/>
  <c r="B1272" i="1"/>
  <c r="C1272" i="1"/>
  <c r="D1272" i="1"/>
  <c r="E1272" i="1"/>
  <c r="F1272" i="1"/>
  <c r="G1272" i="1"/>
  <c r="H1272" i="1"/>
  <c r="I1272" i="1"/>
  <c r="J1272" i="1"/>
  <c r="K1272" i="1"/>
  <c r="L1272" i="1"/>
  <c r="M1272" i="1"/>
  <c r="N1272" i="1"/>
  <c r="O1272" i="1"/>
  <c r="P1272" i="1"/>
  <c r="Q1272" i="1"/>
  <c r="R1272" i="1"/>
  <c r="S1272" i="1"/>
  <c r="T1272" i="1"/>
  <c r="U1272" i="1"/>
  <c r="V1272" i="1"/>
  <c r="W1272" i="1"/>
  <c r="X1272" i="1"/>
  <c r="Y1272" i="1"/>
  <c r="Z1272" i="1"/>
  <c r="AA1272" i="1"/>
  <c r="AB1272" i="1"/>
  <c r="AC1272" i="1"/>
  <c r="AD1272" i="1"/>
  <c r="AE1272" i="1"/>
  <c r="AF1272" i="1"/>
  <c r="AG1272" i="1"/>
  <c r="AH1272" i="1"/>
  <c r="AI1272" i="1"/>
  <c r="AJ1272" i="1"/>
  <c r="AK1272" i="1"/>
  <c r="AL1272" i="1"/>
  <c r="AM1272" i="1"/>
  <c r="A1273" i="1"/>
  <c r="B1273" i="1"/>
  <c r="C1273" i="1"/>
  <c r="D1273" i="1"/>
  <c r="E1273" i="1"/>
  <c r="F1273" i="1"/>
  <c r="G1273" i="1"/>
  <c r="H1273" i="1"/>
  <c r="I1273" i="1"/>
  <c r="J1273" i="1"/>
  <c r="K1273" i="1"/>
  <c r="L1273" i="1"/>
  <c r="M1273" i="1"/>
  <c r="N1273" i="1"/>
  <c r="O1273" i="1"/>
  <c r="P1273" i="1"/>
  <c r="Q1273" i="1"/>
  <c r="R1273" i="1"/>
  <c r="S1273" i="1"/>
  <c r="T1273" i="1"/>
  <c r="U1273" i="1"/>
  <c r="V1273" i="1"/>
  <c r="W1273" i="1"/>
  <c r="X1273" i="1"/>
  <c r="Y1273" i="1"/>
  <c r="Z1273" i="1"/>
  <c r="AA1273" i="1"/>
  <c r="AB1273" i="1"/>
  <c r="AC1273" i="1"/>
  <c r="AD1273" i="1"/>
  <c r="AE1273" i="1"/>
  <c r="AF1273" i="1"/>
  <c r="AG1273" i="1"/>
  <c r="AH1273" i="1"/>
  <c r="AI1273" i="1"/>
  <c r="AJ1273" i="1"/>
  <c r="AK1273" i="1"/>
  <c r="AL1273" i="1"/>
  <c r="AM1273" i="1"/>
  <c r="A1274" i="1"/>
  <c r="B1274" i="1"/>
  <c r="C1274" i="1"/>
  <c r="D1274" i="1"/>
  <c r="E1274" i="1"/>
  <c r="F1274" i="1"/>
  <c r="G1274" i="1"/>
  <c r="H1274" i="1"/>
  <c r="I1274" i="1"/>
  <c r="J1274" i="1"/>
  <c r="K1274" i="1"/>
  <c r="L1274" i="1"/>
  <c r="M1274" i="1"/>
  <c r="N1274" i="1"/>
  <c r="O1274" i="1"/>
  <c r="P1274" i="1"/>
  <c r="Q1274" i="1"/>
  <c r="R1274" i="1"/>
  <c r="S1274" i="1"/>
  <c r="T1274" i="1"/>
  <c r="U1274" i="1"/>
  <c r="V1274" i="1"/>
  <c r="W1274" i="1"/>
  <c r="X1274" i="1"/>
  <c r="Y1274" i="1"/>
  <c r="Z1274" i="1"/>
  <c r="AA1274" i="1"/>
  <c r="AB1274" i="1"/>
  <c r="AC1274" i="1"/>
  <c r="AD1274" i="1"/>
  <c r="AE1274" i="1"/>
  <c r="AF1274" i="1"/>
  <c r="AG1274" i="1"/>
  <c r="AH1274" i="1"/>
  <c r="AI1274" i="1"/>
  <c r="AJ1274" i="1"/>
  <c r="AK1274" i="1"/>
  <c r="AL1274" i="1"/>
  <c r="AM1274" i="1"/>
  <c r="A1275" i="1"/>
  <c r="B1275" i="1"/>
  <c r="C1275" i="1"/>
  <c r="D1275" i="1"/>
  <c r="E1275" i="1"/>
  <c r="F1275" i="1"/>
  <c r="G1275" i="1"/>
  <c r="H1275" i="1"/>
  <c r="I1275" i="1"/>
  <c r="J1275" i="1"/>
  <c r="K1275" i="1"/>
  <c r="L1275" i="1"/>
  <c r="M1275" i="1"/>
  <c r="N1275" i="1"/>
  <c r="O1275" i="1"/>
  <c r="P1275" i="1"/>
  <c r="Q1275" i="1"/>
  <c r="R1275" i="1"/>
  <c r="S1275" i="1"/>
  <c r="T1275" i="1"/>
  <c r="U1275" i="1"/>
  <c r="V1275" i="1"/>
  <c r="W1275" i="1"/>
  <c r="X1275" i="1"/>
  <c r="Y1275" i="1"/>
  <c r="Z1275" i="1"/>
  <c r="AA1275" i="1"/>
  <c r="AB1275" i="1"/>
  <c r="AC1275" i="1"/>
  <c r="AD1275" i="1"/>
  <c r="AE1275" i="1"/>
  <c r="AF1275" i="1"/>
  <c r="AG1275" i="1"/>
  <c r="AH1275" i="1"/>
  <c r="AI1275" i="1"/>
  <c r="AJ1275" i="1"/>
  <c r="AK1275" i="1"/>
  <c r="AL1275" i="1"/>
  <c r="AM1275" i="1"/>
  <c r="A1276" i="1"/>
  <c r="B1276" i="1"/>
  <c r="C1276" i="1"/>
  <c r="D1276" i="1"/>
  <c r="E1276" i="1"/>
  <c r="F1276" i="1"/>
  <c r="G1276" i="1"/>
  <c r="H1276" i="1"/>
  <c r="I1276" i="1"/>
  <c r="J1276" i="1"/>
  <c r="K1276" i="1"/>
  <c r="L1276" i="1"/>
  <c r="M1276" i="1"/>
  <c r="N1276" i="1"/>
  <c r="O1276" i="1"/>
  <c r="P1276" i="1"/>
  <c r="Q1276" i="1"/>
  <c r="R1276" i="1"/>
  <c r="S1276" i="1"/>
  <c r="T1276" i="1"/>
  <c r="U1276" i="1"/>
  <c r="V1276" i="1"/>
  <c r="W1276" i="1"/>
  <c r="X1276" i="1"/>
  <c r="Y1276" i="1"/>
  <c r="Z1276" i="1"/>
  <c r="AA1276" i="1"/>
  <c r="AB1276" i="1"/>
  <c r="AC1276" i="1"/>
  <c r="AD1276" i="1"/>
  <c r="AE1276" i="1"/>
  <c r="AF1276" i="1"/>
  <c r="AG1276" i="1"/>
  <c r="AH1276" i="1"/>
  <c r="AI1276" i="1"/>
  <c r="AJ1276" i="1"/>
  <c r="AK1276" i="1"/>
  <c r="AL1276" i="1"/>
  <c r="AM1276" i="1"/>
  <c r="A1277" i="1"/>
  <c r="B1277" i="1"/>
  <c r="C1277" i="1"/>
  <c r="D1277" i="1"/>
  <c r="E1277" i="1"/>
  <c r="F1277" i="1"/>
  <c r="G1277" i="1"/>
  <c r="H1277" i="1"/>
  <c r="I1277" i="1"/>
  <c r="J1277" i="1"/>
  <c r="K1277" i="1"/>
  <c r="L1277" i="1"/>
  <c r="M1277" i="1"/>
  <c r="N1277" i="1"/>
  <c r="O1277" i="1"/>
  <c r="P1277" i="1"/>
  <c r="Q1277" i="1"/>
  <c r="R1277" i="1"/>
  <c r="S1277" i="1"/>
  <c r="T1277" i="1"/>
  <c r="U1277" i="1"/>
  <c r="V1277" i="1"/>
  <c r="W1277" i="1"/>
  <c r="X1277" i="1"/>
  <c r="Y1277" i="1"/>
  <c r="Z1277" i="1"/>
  <c r="AA1277" i="1"/>
  <c r="AB1277" i="1"/>
  <c r="AC1277" i="1"/>
  <c r="AD1277" i="1"/>
  <c r="AE1277" i="1"/>
  <c r="AF1277" i="1"/>
  <c r="AG1277" i="1"/>
  <c r="AH1277" i="1"/>
  <c r="AI1277" i="1"/>
  <c r="AJ1277" i="1"/>
  <c r="AK1277" i="1"/>
  <c r="AL1277" i="1"/>
  <c r="AM1277" i="1"/>
  <c r="A1278" i="1"/>
  <c r="B1278" i="1"/>
  <c r="C1278" i="1"/>
  <c r="D1278" i="1"/>
  <c r="E1278" i="1"/>
  <c r="F1278" i="1"/>
  <c r="G1278" i="1"/>
  <c r="H1278" i="1"/>
  <c r="I1278" i="1"/>
  <c r="J1278" i="1"/>
  <c r="K1278" i="1"/>
  <c r="L1278" i="1"/>
  <c r="M1278" i="1"/>
  <c r="N1278" i="1"/>
  <c r="O1278" i="1"/>
  <c r="P1278" i="1"/>
  <c r="Q1278" i="1"/>
  <c r="R1278" i="1"/>
  <c r="S1278" i="1"/>
  <c r="T1278" i="1"/>
  <c r="U1278" i="1"/>
  <c r="V1278" i="1"/>
  <c r="W1278" i="1"/>
  <c r="X1278" i="1"/>
  <c r="Y1278" i="1"/>
  <c r="Z1278" i="1"/>
  <c r="AA1278" i="1"/>
  <c r="AB1278" i="1"/>
  <c r="AC1278" i="1"/>
  <c r="AD1278" i="1"/>
  <c r="AE1278" i="1"/>
  <c r="AF1278" i="1"/>
  <c r="AG1278" i="1"/>
  <c r="AH1278" i="1"/>
  <c r="AI1278" i="1"/>
  <c r="AJ1278" i="1"/>
  <c r="AK1278" i="1"/>
  <c r="AL1278" i="1"/>
  <c r="AM1278" i="1"/>
  <c r="A1279" i="1"/>
  <c r="B1279" i="1"/>
  <c r="C1279" i="1"/>
  <c r="D1279" i="1"/>
  <c r="E1279" i="1"/>
  <c r="F1279" i="1"/>
  <c r="G1279" i="1"/>
  <c r="H1279" i="1"/>
  <c r="I1279" i="1"/>
  <c r="J1279" i="1"/>
  <c r="K1279" i="1"/>
  <c r="L1279" i="1"/>
  <c r="M1279" i="1"/>
  <c r="N1279" i="1"/>
  <c r="O1279" i="1"/>
  <c r="P1279" i="1"/>
  <c r="Q1279" i="1"/>
  <c r="R1279" i="1"/>
  <c r="S1279" i="1"/>
  <c r="T1279" i="1"/>
  <c r="U1279" i="1"/>
  <c r="V1279" i="1"/>
  <c r="W1279" i="1"/>
  <c r="X1279" i="1"/>
  <c r="Y1279" i="1"/>
  <c r="Z1279" i="1"/>
  <c r="AA1279" i="1"/>
  <c r="AB1279" i="1"/>
  <c r="AC1279" i="1"/>
  <c r="AD1279" i="1"/>
  <c r="AE1279" i="1"/>
  <c r="AF1279" i="1"/>
  <c r="AG1279" i="1"/>
  <c r="AH1279" i="1"/>
  <c r="AI1279" i="1"/>
  <c r="AJ1279" i="1"/>
  <c r="AK1279" i="1"/>
  <c r="AL1279" i="1"/>
  <c r="AM1279" i="1"/>
  <c r="A1280" i="1"/>
  <c r="B1280" i="1"/>
  <c r="C1280" i="1"/>
  <c r="D1280" i="1"/>
  <c r="E1280" i="1"/>
  <c r="F1280" i="1"/>
  <c r="G1280" i="1"/>
  <c r="H1280" i="1"/>
  <c r="I1280" i="1"/>
  <c r="J1280" i="1"/>
  <c r="K1280" i="1"/>
  <c r="L1280" i="1"/>
  <c r="M1280" i="1"/>
  <c r="N1280" i="1"/>
  <c r="O1280" i="1"/>
  <c r="P1280" i="1"/>
  <c r="Q1280" i="1"/>
  <c r="R1280" i="1"/>
  <c r="S1280" i="1"/>
  <c r="T1280" i="1"/>
  <c r="U1280" i="1"/>
  <c r="V1280" i="1"/>
  <c r="W1280" i="1"/>
  <c r="X1280" i="1"/>
  <c r="Y1280" i="1"/>
  <c r="Z1280" i="1"/>
  <c r="AA1280" i="1"/>
  <c r="AB1280" i="1"/>
  <c r="AC1280" i="1"/>
  <c r="AD1280" i="1"/>
  <c r="AE1280" i="1"/>
  <c r="AF1280" i="1"/>
  <c r="AG1280" i="1"/>
  <c r="AH1280" i="1"/>
  <c r="AI1280" i="1"/>
  <c r="AJ1280" i="1"/>
  <c r="AK1280" i="1"/>
  <c r="AL1280" i="1"/>
  <c r="AM1280" i="1"/>
  <c r="A1281" i="1"/>
  <c r="B1281" i="1"/>
  <c r="C1281" i="1"/>
  <c r="D1281" i="1"/>
  <c r="E1281" i="1"/>
  <c r="F1281" i="1"/>
  <c r="G1281" i="1"/>
  <c r="H1281" i="1"/>
  <c r="I1281" i="1"/>
  <c r="J1281" i="1"/>
  <c r="K1281" i="1"/>
  <c r="L1281" i="1"/>
  <c r="M1281" i="1"/>
  <c r="N1281" i="1"/>
  <c r="O1281" i="1"/>
  <c r="P1281" i="1"/>
  <c r="Q1281" i="1"/>
  <c r="R1281" i="1"/>
  <c r="S1281" i="1"/>
  <c r="T1281" i="1"/>
  <c r="U1281" i="1"/>
  <c r="V1281" i="1"/>
  <c r="W1281" i="1"/>
  <c r="X1281" i="1"/>
  <c r="Y1281" i="1"/>
  <c r="Z1281" i="1"/>
  <c r="AA1281" i="1"/>
  <c r="AB1281" i="1"/>
  <c r="AC1281" i="1"/>
  <c r="AD1281" i="1"/>
  <c r="AE1281" i="1"/>
  <c r="AF1281" i="1"/>
  <c r="AG1281" i="1"/>
  <c r="AH1281" i="1"/>
  <c r="AI1281" i="1"/>
  <c r="AJ1281" i="1"/>
  <c r="AK1281" i="1"/>
  <c r="AL1281" i="1"/>
  <c r="AM1281" i="1"/>
  <c r="A1282" i="1"/>
  <c r="B1282" i="1"/>
  <c r="C1282" i="1"/>
  <c r="D1282" i="1"/>
  <c r="E1282" i="1"/>
  <c r="F1282" i="1"/>
  <c r="G1282" i="1"/>
  <c r="H1282" i="1"/>
  <c r="I1282" i="1"/>
  <c r="J1282" i="1"/>
  <c r="K1282" i="1"/>
  <c r="L1282" i="1"/>
  <c r="M1282" i="1"/>
  <c r="N1282" i="1"/>
  <c r="O1282" i="1"/>
  <c r="P1282" i="1"/>
  <c r="Q1282" i="1"/>
  <c r="R1282" i="1"/>
  <c r="S1282" i="1"/>
  <c r="T1282" i="1"/>
  <c r="U1282" i="1"/>
  <c r="V1282" i="1"/>
  <c r="W1282" i="1"/>
  <c r="X1282" i="1"/>
  <c r="Y1282" i="1"/>
  <c r="Z1282" i="1"/>
  <c r="AA1282" i="1"/>
  <c r="AB1282" i="1"/>
  <c r="AC1282" i="1"/>
  <c r="AD1282" i="1"/>
  <c r="AE1282" i="1"/>
  <c r="AF1282" i="1"/>
  <c r="AG1282" i="1"/>
  <c r="AH1282" i="1"/>
  <c r="AI1282" i="1"/>
  <c r="AJ1282" i="1"/>
  <c r="AK1282" i="1"/>
  <c r="AL1282" i="1"/>
  <c r="AM1282" i="1"/>
  <c r="A1283" i="1"/>
  <c r="B1283" i="1"/>
  <c r="C1283" i="1"/>
  <c r="D1283" i="1"/>
  <c r="E1283" i="1"/>
  <c r="F1283" i="1"/>
  <c r="G1283" i="1"/>
  <c r="H1283" i="1"/>
  <c r="I1283" i="1"/>
  <c r="J1283" i="1"/>
  <c r="K1283" i="1"/>
  <c r="L1283" i="1"/>
  <c r="M1283" i="1"/>
  <c r="N1283" i="1"/>
  <c r="O1283" i="1"/>
  <c r="P1283" i="1"/>
  <c r="Q1283" i="1"/>
  <c r="R1283" i="1"/>
  <c r="S1283" i="1"/>
  <c r="T1283" i="1"/>
  <c r="U1283" i="1"/>
  <c r="V1283" i="1"/>
  <c r="W1283" i="1"/>
  <c r="X1283" i="1"/>
  <c r="Y1283" i="1"/>
  <c r="Z1283" i="1"/>
  <c r="AA1283" i="1"/>
  <c r="AB1283" i="1"/>
  <c r="AC1283" i="1"/>
  <c r="AD1283" i="1"/>
  <c r="AE1283" i="1"/>
  <c r="AF1283" i="1"/>
  <c r="AG1283" i="1"/>
  <c r="AH1283" i="1"/>
  <c r="AI1283" i="1"/>
  <c r="AJ1283" i="1"/>
  <c r="AK1283" i="1"/>
  <c r="AL1283" i="1"/>
  <c r="AM1283" i="1"/>
  <c r="A1284" i="1"/>
  <c r="B1284" i="1"/>
  <c r="C1284" i="1"/>
  <c r="D1284" i="1"/>
  <c r="E1284" i="1"/>
  <c r="F1284" i="1"/>
  <c r="G1284" i="1"/>
  <c r="H1284" i="1"/>
  <c r="I1284" i="1"/>
  <c r="J1284" i="1"/>
  <c r="K1284" i="1"/>
  <c r="L1284" i="1"/>
  <c r="M1284" i="1"/>
  <c r="N1284" i="1"/>
  <c r="O1284" i="1"/>
  <c r="P1284" i="1"/>
  <c r="Q1284" i="1"/>
  <c r="R1284" i="1"/>
  <c r="S1284" i="1"/>
  <c r="T1284" i="1"/>
  <c r="U1284" i="1"/>
  <c r="V1284" i="1"/>
  <c r="W1284" i="1"/>
  <c r="X1284" i="1"/>
  <c r="Y1284" i="1"/>
  <c r="Z1284" i="1"/>
  <c r="AA1284" i="1"/>
  <c r="AB1284" i="1"/>
  <c r="AC1284" i="1"/>
  <c r="AD1284" i="1"/>
  <c r="AE1284" i="1"/>
  <c r="AF1284" i="1"/>
  <c r="AG1284" i="1"/>
  <c r="AH1284" i="1"/>
  <c r="AI1284" i="1"/>
  <c r="AJ1284" i="1"/>
  <c r="AK1284" i="1"/>
  <c r="AL1284" i="1"/>
  <c r="AM1284" i="1"/>
  <c r="A1285" i="1"/>
  <c r="B1285" i="1"/>
  <c r="C1285" i="1"/>
  <c r="D1285" i="1"/>
  <c r="E1285" i="1"/>
  <c r="F1285" i="1"/>
  <c r="G1285" i="1"/>
  <c r="H1285" i="1"/>
  <c r="I1285" i="1"/>
  <c r="J1285" i="1"/>
  <c r="K1285" i="1"/>
  <c r="L1285" i="1"/>
  <c r="M1285" i="1"/>
  <c r="N1285" i="1"/>
  <c r="O1285" i="1"/>
  <c r="P1285" i="1"/>
  <c r="Q1285" i="1"/>
  <c r="R1285" i="1"/>
  <c r="S1285" i="1"/>
  <c r="T1285" i="1"/>
  <c r="U1285" i="1"/>
  <c r="V1285" i="1"/>
  <c r="W1285" i="1"/>
  <c r="X1285" i="1"/>
  <c r="Y1285" i="1"/>
  <c r="Z1285" i="1"/>
  <c r="AA1285" i="1"/>
  <c r="AB1285" i="1"/>
  <c r="AC1285" i="1"/>
  <c r="AD1285" i="1"/>
  <c r="AE1285" i="1"/>
  <c r="AF1285" i="1"/>
  <c r="AG1285" i="1"/>
  <c r="AH1285" i="1"/>
  <c r="AI1285" i="1"/>
  <c r="AJ1285" i="1"/>
  <c r="AK1285" i="1"/>
  <c r="AL1285" i="1"/>
  <c r="AM1285" i="1"/>
  <c r="A1286" i="1"/>
  <c r="B1286" i="1"/>
  <c r="C1286" i="1"/>
  <c r="D1286" i="1"/>
  <c r="E1286" i="1"/>
  <c r="F1286" i="1"/>
  <c r="G1286" i="1"/>
  <c r="H1286" i="1"/>
  <c r="I1286" i="1"/>
  <c r="J1286" i="1"/>
  <c r="K1286" i="1"/>
  <c r="L1286" i="1"/>
  <c r="M1286" i="1"/>
  <c r="N1286" i="1"/>
  <c r="O1286" i="1"/>
  <c r="P1286" i="1"/>
  <c r="Q1286" i="1"/>
  <c r="R1286" i="1"/>
  <c r="S1286" i="1"/>
  <c r="T1286" i="1"/>
  <c r="U1286" i="1"/>
  <c r="V1286" i="1"/>
  <c r="W1286" i="1"/>
  <c r="X1286" i="1"/>
  <c r="Y1286" i="1"/>
  <c r="Z1286" i="1"/>
  <c r="AA1286" i="1"/>
  <c r="AB1286" i="1"/>
  <c r="AC1286" i="1"/>
  <c r="AD1286" i="1"/>
  <c r="AE1286" i="1"/>
  <c r="AF1286" i="1"/>
  <c r="AG1286" i="1"/>
  <c r="AH1286" i="1"/>
  <c r="AI1286" i="1"/>
  <c r="AJ1286" i="1"/>
  <c r="AK1286" i="1"/>
  <c r="AL1286" i="1"/>
  <c r="AM1286" i="1"/>
  <c r="A1287" i="1"/>
  <c r="B1287" i="1"/>
  <c r="C1287" i="1"/>
  <c r="D1287" i="1"/>
  <c r="E1287" i="1"/>
  <c r="F1287" i="1"/>
  <c r="G1287" i="1"/>
  <c r="H1287" i="1"/>
  <c r="I1287" i="1"/>
  <c r="J1287" i="1"/>
  <c r="K1287" i="1"/>
  <c r="L1287" i="1"/>
  <c r="M1287" i="1"/>
  <c r="N1287" i="1"/>
  <c r="O1287" i="1"/>
  <c r="P1287" i="1"/>
  <c r="Q1287" i="1"/>
  <c r="R1287" i="1"/>
  <c r="S1287" i="1"/>
  <c r="T1287" i="1"/>
  <c r="U1287" i="1"/>
  <c r="V1287" i="1"/>
  <c r="W1287" i="1"/>
  <c r="X1287" i="1"/>
  <c r="Y1287" i="1"/>
  <c r="Z1287" i="1"/>
  <c r="AA1287" i="1"/>
  <c r="AB1287" i="1"/>
  <c r="AC1287" i="1"/>
  <c r="AD1287" i="1"/>
  <c r="AE1287" i="1"/>
  <c r="AF1287" i="1"/>
  <c r="AG1287" i="1"/>
  <c r="AH1287" i="1"/>
  <c r="AI1287" i="1"/>
  <c r="AJ1287" i="1"/>
  <c r="AK1287" i="1"/>
  <c r="AL1287" i="1"/>
  <c r="AM1287" i="1"/>
  <c r="A1288" i="1"/>
  <c r="B1288" i="1"/>
  <c r="C1288" i="1"/>
  <c r="D1288" i="1"/>
  <c r="E1288" i="1"/>
  <c r="F1288" i="1"/>
  <c r="G1288" i="1"/>
  <c r="H1288" i="1"/>
  <c r="I1288" i="1"/>
  <c r="J1288" i="1"/>
  <c r="K1288" i="1"/>
  <c r="L1288" i="1"/>
  <c r="M1288" i="1"/>
  <c r="N1288" i="1"/>
  <c r="O1288" i="1"/>
  <c r="P1288" i="1"/>
  <c r="Q1288" i="1"/>
  <c r="R1288" i="1"/>
  <c r="S1288" i="1"/>
  <c r="T1288" i="1"/>
  <c r="U1288" i="1"/>
  <c r="V1288" i="1"/>
  <c r="W1288" i="1"/>
  <c r="X1288" i="1"/>
  <c r="Y1288" i="1"/>
  <c r="Z1288" i="1"/>
  <c r="AA1288" i="1"/>
  <c r="AB1288" i="1"/>
  <c r="AC1288" i="1"/>
  <c r="AD1288" i="1"/>
  <c r="AE1288" i="1"/>
  <c r="AF1288" i="1"/>
  <c r="AG1288" i="1"/>
  <c r="AH1288" i="1"/>
  <c r="AI1288" i="1"/>
  <c r="AJ1288" i="1"/>
  <c r="AK1288" i="1"/>
  <c r="AL1288" i="1"/>
  <c r="AM1288" i="1"/>
  <c r="A1289" i="1"/>
  <c r="B1289" i="1"/>
  <c r="C1289" i="1"/>
  <c r="D1289" i="1"/>
  <c r="E1289" i="1"/>
  <c r="F1289" i="1"/>
  <c r="G1289" i="1"/>
  <c r="H1289" i="1"/>
  <c r="I1289" i="1"/>
  <c r="J1289" i="1"/>
  <c r="K1289" i="1"/>
  <c r="L1289" i="1"/>
  <c r="M1289" i="1"/>
  <c r="N1289" i="1"/>
  <c r="O1289" i="1"/>
  <c r="P1289" i="1"/>
  <c r="Q1289" i="1"/>
  <c r="R1289" i="1"/>
  <c r="S1289" i="1"/>
  <c r="T1289" i="1"/>
  <c r="U1289" i="1"/>
  <c r="V1289" i="1"/>
  <c r="W1289" i="1"/>
  <c r="X1289" i="1"/>
  <c r="Y1289" i="1"/>
  <c r="Z1289" i="1"/>
  <c r="AA1289" i="1"/>
  <c r="AB1289" i="1"/>
  <c r="AC1289" i="1"/>
  <c r="AD1289" i="1"/>
  <c r="AE1289" i="1"/>
  <c r="AF1289" i="1"/>
  <c r="AG1289" i="1"/>
  <c r="AH1289" i="1"/>
  <c r="AI1289" i="1"/>
  <c r="AJ1289" i="1"/>
  <c r="AK1289" i="1"/>
  <c r="AL1289" i="1"/>
  <c r="AM1289" i="1"/>
  <c r="A1290" i="1"/>
  <c r="B1290" i="1"/>
  <c r="C1290" i="1"/>
  <c r="D1290" i="1"/>
  <c r="E1290" i="1"/>
  <c r="F1290" i="1"/>
  <c r="G1290" i="1"/>
  <c r="H1290" i="1"/>
  <c r="I1290" i="1"/>
  <c r="J1290" i="1"/>
  <c r="K1290" i="1"/>
  <c r="L1290" i="1"/>
  <c r="M1290" i="1"/>
  <c r="N1290" i="1"/>
  <c r="O1290" i="1"/>
  <c r="P1290" i="1"/>
  <c r="Q1290" i="1"/>
  <c r="R1290" i="1"/>
  <c r="S1290" i="1"/>
  <c r="T1290" i="1"/>
  <c r="U1290" i="1"/>
  <c r="V1290" i="1"/>
  <c r="W1290" i="1"/>
  <c r="X1290" i="1"/>
  <c r="Y1290" i="1"/>
  <c r="Z1290" i="1"/>
  <c r="AA1290" i="1"/>
  <c r="AB1290" i="1"/>
  <c r="AC1290" i="1"/>
  <c r="AD1290" i="1"/>
  <c r="AE1290" i="1"/>
  <c r="AF1290" i="1"/>
  <c r="AG1290" i="1"/>
  <c r="AH1290" i="1"/>
  <c r="AI1290" i="1"/>
  <c r="AJ1290" i="1"/>
  <c r="AK1290" i="1"/>
  <c r="AL1290" i="1"/>
  <c r="AM1290" i="1"/>
  <c r="A1291" i="1"/>
  <c r="B1291" i="1"/>
  <c r="C1291" i="1"/>
  <c r="D1291" i="1"/>
  <c r="E1291" i="1"/>
  <c r="F1291" i="1"/>
  <c r="G1291" i="1"/>
  <c r="H1291" i="1"/>
  <c r="I1291" i="1"/>
  <c r="J1291" i="1"/>
  <c r="K1291" i="1"/>
  <c r="L1291" i="1"/>
  <c r="M1291" i="1"/>
  <c r="N1291" i="1"/>
  <c r="O1291" i="1"/>
  <c r="P1291" i="1"/>
  <c r="Q1291" i="1"/>
  <c r="R1291" i="1"/>
  <c r="S1291" i="1"/>
  <c r="T1291" i="1"/>
  <c r="U1291" i="1"/>
  <c r="V1291" i="1"/>
  <c r="W1291" i="1"/>
  <c r="X1291" i="1"/>
  <c r="Y1291" i="1"/>
  <c r="Z1291" i="1"/>
  <c r="AA1291" i="1"/>
  <c r="AB1291" i="1"/>
  <c r="AC1291" i="1"/>
  <c r="AD1291" i="1"/>
  <c r="AE1291" i="1"/>
  <c r="AF1291" i="1"/>
  <c r="AG1291" i="1"/>
  <c r="AH1291" i="1"/>
  <c r="AI1291" i="1"/>
  <c r="AJ1291" i="1"/>
  <c r="AK1291" i="1"/>
  <c r="AL1291" i="1"/>
  <c r="AM1291" i="1"/>
  <c r="A1292" i="1"/>
  <c r="B1292" i="1"/>
  <c r="C1292" i="1"/>
  <c r="D1292" i="1"/>
  <c r="E1292" i="1"/>
  <c r="F1292" i="1"/>
  <c r="G1292" i="1"/>
  <c r="H1292" i="1"/>
  <c r="I1292" i="1"/>
  <c r="J1292" i="1"/>
  <c r="K1292" i="1"/>
  <c r="L1292" i="1"/>
  <c r="M1292" i="1"/>
  <c r="N1292" i="1"/>
  <c r="O1292" i="1"/>
  <c r="P1292" i="1"/>
  <c r="Q1292" i="1"/>
  <c r="R1292" i="1"/>
  <c r="S1292" i="1"/>
  <c r="T1292" i="1"/>
  <c r="U1292" i="1"/>
  <c r="V1292" i="1"/>
  <c r="W1292" i="1"/>
  <c r="X1292" i="1"/>
  <c r="Y1292" i="1"/>
  <c r="Z1292" i="1"/>
  <c r="AA1292" i="1"/>
  <c r="AB1292" i="1"/>
  <c r="AC1292" i="1"/>
  <c r="AD1292" i="1"/>
  <c r="AE1292" i="1"/>
  <c r="AF1292" i="1"/>
  <c r="AG1292" i="1"/>
  <c r="AH1292" i="1"/>
  <c r="AI1292" i="1"/>
  <c r="AJ1292" i="1"/>
  <c r="AK1292" i="1"/>
  <c r="AL1292" i="1"/>
  <c r="AM1292" i="1"/>
  <c r="A1293" i="1"/>
  <c r="B1293" i="1"/>
  <c r="C1293" i="1"/>
  <c r="D1293" i="1"/>
  <c r="E1293" i="1"/>
  <c r="F1293" i="1"/>
  <c r="G1293" i="1"/>
  <c r="H1293" i="1"/>
  <c r="I1293" i="1"/>
  <c r="J1293" i="1"/>
  <c r="K1293" i="1"/>
  <c r="L1293" i="1"/>
  <c r="M1293" i="1"/>
  <c r="N1293" i="1"/>
  <c r="O1293" i="1"/>
  <c r="P1293" i="1"/>
  <c r="Q1293" i="1"/>
  <c r="R1293" i="1"/>
  <c r="S1293" i="1"/>
  <c r="T1293" i="1"/>
  <c r="U1293" i="1"/>
  <c r="V1293" i="1"/>
  <c r="W1293" i="1"/>
  <c r="X1293" i="1"/>
  <c r="Y1293" i="1"/>
  <c r="Z1293" i="1"/>
  <c r="AA1293" i="1"/>
  <c r="AB1293" i="1"/>
  <c r="AC1293" i="1"/>
  <c r="AD1293" i="1"/>
  <c r="AE1293" i="1"/>
  <c r="AF1293" i="1"/>
  <c r="AG1293" i="1"/>
  <c r="AH1293" i="1"/>
  <c r="AI1293" i="1"/>
  <c r="AJ1293" i="1"/>
  <c r="AK1293" i="1"/>
  <c r="AL1293" i="1"/>
  <c r="AM1293" i="1"/>
  <c r="A1294" i="1"/>
  <c r="B1294" i="1"/>
  <c r="C1294" i="1"/>
  <c r="D1294" i="1"/>
  <c r="E1294" i="1"/>
  <c r="F1294" i="1"/>
  <c r="G1294" i="1"/>
  <c r="H1294" i="1"/>
  <c r="I1294" i="1"/>
  <c r="J1294" i="1"/>
  <c r="K1294" i="1"/>
  <c r="L1294" i="1"/>
  <c r="M1294" i="1"/>
  <c r="N1294" i="1"/>
  <c r="O1294" i="1"/>
  <c r="P1294" i="1"/>
  <c r="Q1294" i="1"/>
  <c r="R1294" i="1"/>
  <c r="S1294" i="1"/>
  <c r="T1294" i="1"/>
  <c r="U1294" i="1"/>
  <c r="V1294" i="1"/>
  <c r="W1294" i="1"/>
  <c r="X1294" i="1"/>
  <c r="Y1294" i="1"/>
  <c r="Z1294" i="1"/>
  <c r="AA1294" i="1"/>
  <c r="AB1294" i="1"/>
  <c r="AC1294" i="1"/>
  <c r="AD1294" i="1"/>
  <c r="AE1294" i="1"/>
  <c r="AF1294" i="1"/>
  <c r="AG1294" i="1"/>
  <c r="AH1294" i="1"/>
  <c r="AI1294" i="1"/>
  <c r="AJ1294" i="1"/>
  <c r="AK1294" i="1"/>
  <c r="AL1294" i="1"/>
  <c r="AM1294" i="1"/>
  <c r="A1295" i="1"/>
  <c r="B1295" i="1"/>
  <c r="C1295" i="1"/>
  <c r="D1295" i="1"/>
  <c r="E1295" i="1"/>
  <c r="F1295" i="1"/>
  <c r="G1295" i="1"/>
  <c r="H1295" i="1"/>
  <c r="I1295" i="1"/>
  <c r="J1295" i="1"/>
  <c r="K1295" i="1"/>
  <c r="L1295" i="1"/>
  <c r="M1295" i="1"/>
  <c r="N1295" i="1"/>
  <c r="O1295" i="1"/>
  <c r="P1295" i="1"/>
  <c r="Q1295" i="1"/>
  <c r="R1295" i="1"/>
  <c r="S1295" i="1"/>
  <c r="T1295" i="1"/>
  <c r="U1295" i="1"/>
  <c r="V1295" i="1"/>
  <c r="W1295" i="1"/>
  <c r="X1295" i="1"/>
  <c r="Y1295" i="1"/>
  <c r="Z1295" i="1"/>
  <c r="AA1295" i="1"/>
  <c r="AB1295" i="1"/>
  <c r="AC1295" i="1"/>
  <c r="AD1295" i="1"/>
  <c r="AE1295" i="1"/>
  <c r="AF1295" i="1"/>
  <c r="AG1295" i="1"/>
  <c r="AH1295" i="1"/>
  <c r="AI1295" i="1"/>
  <c r="AJ1295" i="1"/>
  <c r="AK1295" i="1"/>
  <c r="AL1295" i="1"/>
  <c r="AM1295" i="1"/>
  <c r="A1296" i="1"/>
  <c r="B1296" i="1"/>
  <c r="C1296" i="1"/>
  <c r="D1296" i="1"/>
  <c r="E1296" i="1"/>
  <c r="F1296" i="1"/>
  <c r="G1296" i="1"/>
  <c r="H1296" i="1"/>
  <c r="I1296" i="1"/>
  <c r="J1296" i="1"/>
  <c r="K1296" i="1"/>
  <c r="L1296" i="1"/>
  <c r="M1296" i="1"/>
  <c r="N1296" i="1"/>
  <c r="O1296" i="1"/>
  <c r="P1296" i="1"/>
  <c r="Q1296" i="1"/>
  <c r="R1296" i="1"/>
  <c r="S1296" i="1"/>
  <c r="T1296" i="1"/>
  <c r="U1296" i="1"/>
  <c r="V1296" i="1"/>
  <c r="W1296" i="1"/>
  <c r="X1296" i="1"/>
  <c r="Y1296" i="1"/>
  <c r="Z1296" i="1"/>
  <c r="AA1296" i="1"/>
  <c r="AB1296" i="1"/>
  <c r="AC1296" i="1"/>
  <c r="AD1296" i="1"/>
  <c r="AE1296" i="1"/>
  <c r="AF1296" i="1"/>
  <c r="AG1296" i="1"/>
  <c r="AH1296" i="1"/>
  <c r="AI1296" i="1"/>
  <c r="AJ1296" i="1"/>
  <c r="AK1296" i="1"/>
  <c r="AL1296" i="1"/>
  <c r="AM1296" i="1"/>
  <c r="A1297" i="1"/>
  <c r="B1297" i="1"/>
  <c r="C1297" i="1"/>
  <c r="D1297" i="1"/>
  <c r="E1297" i="1"/>
  <c r="F1297" i="1"/>
  <c r="G1297" i="1"/>
  <c r="H1297" i="1"/>
  <c r="I1297" i="1"/>
  <c r="J1297" i="1"/>
  <c r="K1297" i="1"/>
  <c r="L1297" i="1"/>
  <c r="M1297" i="1"/>
  <c r="N1297" i="1"/>
  <c r="O1297" i="1"/>
  <c r="P1297" i="1"/>
  <c r="Q1297" i="1"/>
  <c r="R1297" i="1"/>
  <c r="S1297" i="1"/>
  <c r="T1297" i="1"/>
  <c r="U1297" i="1"/>
  <c r="V1297" i="1"/>
  <c r="W1297" i="1"/>
  <c r="X1297" i="1"/>
  <c r="Y1297" i="1"/>
  <c r="Z1297" i="1"/>
  <c r="AA1297" i="1"/>
  <c r="AB1297" i="1"/>
  <c r="AC1297" i="1"/>
  <c r="AD1297" i="1"/>
  <c r="AE1297" i="1"/>
  <c r="AF1297" i="1"/>
  <c r="AG1297" i="1"/>
  <c r="AH1297" i="1"/>
  <c r="AI1297" i="1"/>
  <c r="AJ1297" i="1"/>
  <c r="AK1297" i="1"/>
  <c r="AL1297" i="1"/>
  <c r="AM1297" i="1"/>
  <c r="A1298" i="1"/>
  <c r="B1298" i="1"/>
  <c r="C1298" i="1"/>
  <c r="D1298" i="1"/>
  <c r="E1298" i="1"/>
  <c r="F1298" i="1"/>
  <c r="G1298" i="1"/>
  <c r="H1298" i="1"/>
  <c r="I1298" i="1"/>
  <c r="J1298" i="1"/>
  <c r="K1298" i="1"/>
  <c r="L1298" i="1"/>
  <c r="M1298" i="1"/>
  <c r="N1298" i="1"/>
  <c r="O1298" i="1"/>
  <c r="P1298" i="1"/>
  <c r="Q1298" i="1"/>
  <c r="R1298" i="1"/>
  <c r="S1298" i="1"/>
  <c r="T1298" i="1"/>
  <c r="U1298" i="1"/>
  <c r="V1298" i="1"/>
  <c r="W1298" i="1"/>
  <c r="X1298" i="1"/>
  <c r="Y1298" i="1"/>
  <c r="Z1298" i="1"/>
  <c r="AA1298" i="1"/>
  <c r="AB1298" i="1"/>
  <c r="AC1298" i="1"/>
  <c r="AD1298" i="1"/>
  <c r="AE1298" i="1"/>
  <c r="AF1298" i="1"/>
  <c r="AG1298" i="1"/>
  <c r="AH1298" i="1"/>
  <c r="AI1298" i="1"/>
  <c r="AJ1298" i="1"/>
  <c r="AK1298" i="1"/>
  <c r="AL1298" i="1"/>
  <c r="AM1298" i="1"/>
  <c r="A1299" i="1"/>
  <c r="B1299" i="1"/>
  <c r="C1299" i="1"/>
  <c r="D1299" i="1"/>
  <c r="E1299" i="1"/>
  <c r="F1299" i="1"/>
  <c r="G1299" i="1"/>
  <c r="H1299" i="1"/>
  <c r="I1299" i="1"/>
  <c r="J1299" i="1"/>
  <c r="K1299" i="1"/>
  <c r="L1299" i="1"/>
  <c r="M1299" i="1"/>
  <c r="N1299" i="1"/>
  <c r="O1299" i="1"/>
  <c r="P1299" i="1"/>
  <c r="Q1299" i="1"/>
  <c r="R1299" i="1"/>
  <c r="S1299" i="1"/>
  <c r="T1299" i="1"/>
  <c r="U1299" i="1"/>
  <c r="V1299" i="1"/>
  <c r="W1299" i="1"/>
  <c r="X1299" i="1"/>
  <c r="Y1299" i="1"/>
  <c r="Z1299" i="1"/>
  <c r="AA1299" i="1"/>
  <c r="AB1299" i="1"/>
  <c r="AC1299" i="1"/>
  <c r="AD1299" i="1"/>
  <c r="AE1299" i="1"/>
  <c r="AF1299" i="1"/>
  <c r="AG1299" i="1"/>
  <c r="AH1299" i="1"/>
  <c r="AI1299" i="1"/>
  <c r="AJ1299" i="1"/>
  <c r="AK1299" i="1"/>
  <c r="AL1299" i="1"/>
  <c r="AM1299" i="1"/>
  <c r="A1300" i="1"/>
  <c r="B1300" i="1"/>
  <c r="C1300" i="1"/>
  <c r="D1300" i="1"/>
  <c r="E1300" i="1"/>
  <c r="F1300" i="1"/>
  <c r="G1300" i="1"/>
  <c r="H1300" i="1"/>
  <c r="I1300" i="1"/>
  <c r="J1300" i="1"/>
  <c r="K1300" i="1"/>
  <c r="L1300" i="1"/>
  <c r="M1300" i="1"/>
  <c r="N1300" i="1"/>
  <c r="O1300" i="1"/>
  <c r="P1300" i="1"/>
  <c r="Q1300" i="1"/>
  <c r="R1300" i="1"/>
  <c r="S1300" i="1"/>
  <c r="T1300" i="1"/>
  <c r="U1300" i="1"/>
  <c r="V1300" i="1"/>
  <c r="W1300" i="1"/>
  <c r="X1300" i="1"/>
  <c r="Y1300" i="1"/>
  <c r="Z1300" i="1"/>
  <c r="AA1300" i="1"/>
  <c r="AB1300" i="1"/>
  <c r="AC1300" i="1"/>
  <c r="AD1300" i="1"/>
  <c r="AE1300" i="1"/>
  <c r="AF1300" i="1"/>
  <c r="AG1300" i="1"/>
  <c r="AH1300" i="1"/>
  <c r="AI1300" i="1"/>
  <c r="AJ1300" i="1"/>
  <c r="AK1300" i="1"/>
  <c r="AL1300" i="1"/>
  <c r="AM1300" i="1"/>
  <c r="A1301" i="1"/>
  <c r="B1301" i="1"/>
  <c r="C1301" i="1"/>
  <c r="D1301" i="1"/>
  <c r="E1301" i="1"/>
  <c r="F1301" i="1"/>
  <c r="G1301" i="1"/>
  <c r="H1301" i="1"/>
  <c r="I1301" i="1"/>
  <c r="J1301" i="1"/>
  <c r="K1301" i="1"/>
  <c r="L1301" i="1"/>
  <c r="M1301" i="1"/>
  <c r="N1301" i="1"/>
  <c r="O1301" i="1"/>
  <c r="P1301" i="1"/>
  <c r="Q1301" i="1"/>
  <c r="R1301" i="1"/>
  <c r="S1301" i="1"/>
  <c r="T1301" i="1"/>
  <c r="U1301" i="1"/>
  <c r="V1301" i="1"/>
  <c r="W1301" i="1"/>
  <c r="X1301" i="1"/>
  <c r="Y1301" i="1"/>
  <c r="Z1301" i="1"/>
  <c r="AA1301" i="1"/>
  <c r="AB1301" i="1"/>
  <c r="AC1301" i="1"/>
  <c r="AD1301" i="1"/>
  <c r="AE1301" i="1"/>
  <c r="AF1301" i="1"/>
  <c r="AG1301" i="1"/>
  <c r="AH1301" i="1"/>
  <c r="AI1301" i="1"/>
  <c r="AJ1301" i="1"/>
  <c r="AK1301" i="1"/>
  <c r="AL1301" i="1"/>
  <c r="AM1301" i="1"/>
  <c r="A1302" i="1"/>
  <c r="B1302" i="1"/>
  <c r="C1302" i="1"/>
  <c r="D1302" i="1"/>
  <c r="E1302" i="1"/>
  <c r="F1302" i="1"/>
  <c r="G1302" i="1"/>
  <c r="H1302" i="1"/>
  <c r="I1302" i="1"/>
  <c r="J1302" i="1"/>
  <c r="K1302" i="1"/>
  <c r="L1302" i="1"/>
  <c r="M1302" i="1"/>
  <c r="N1302" i="1"/>
  <c r="O1302" i="1"/>
  <c r="P1302" i="1"/>
  <c r="Q1302" i="1"/>
  <c r="R1302" i="1"/>
  <c r="S1302" i="1"/>
  <c r="T1302" i="1"/>
  <c r="U1302" i="1"/>
  <c r="V1302" i="1"/>
  <c r="W1302" i="1"/>
  <c r="X1302" i="1"/>
  <c r="Y1302" i="1"/>
  <c r="Z1302" i="1"/>
  <c r="AA1302" i="1"/>
  <c r="AB1302" i="1"/>
  <c r="AC1302" i="1"/>
  <c r="AD1302" i="1"/>
  <c r="AE1302" i="1"/>
  <c r="AF1302" i="1"/>
  <c r="AG1302" i="1"/>
  <c r="AH1302" i="1"/>
  <c r="AI1302" i="1"/>
  <c r="AJ1302" i="1"/>
  <c r="AK1302" i="1"/>
  <c r="AL1302" i="1"/>
  <c r="AM1302" i="1"/>
  <c r="A1303" i="1"/>
  <c r="B1303" i="1"/>
  <c r="C1303" i="1"/>
  <c r="D1303" i="1"/>
  <c r="E1303" i="1"/>
  <c r="F1303" i="1"/>
  <c r="G1303" i="1"/>
  <c r="H1303" i="1"/>
  <c r="I1303" i="1"/>
  <c r="J1303" i="1"/>
  <c r="K1303" i="1"/>
  <c r="L1303" i="1"/>
  <c r="M1303" i="1"/>
  <c r="N1303" i="1"/>
  <c r="O1303" i="1"/>
  <c r="P1303" i="1"/>
  <c r="Q1303" i="1"/>
  <c r="R1303" i="1"/>
  <c r="S1303" i="1"/>
  <c r="T1303" i="1"/>
  <c r="U1303" i="1"/>
  <c r="V1303" i="1"/>
  <c r="W1303" i="1"/>
  <c r="X1303" i="1"/>
  <c r="Y1303" i="1"/>
  <c r="Z1303" i="1"/>
  <c r="AA1303" i="1"/>
  <c r="AB1303" i="1"/>
  <c r="AC1303" i="1"/>
  <c r="AD1303" i="1"/>
  <c r="AE1303" i="1"/>
  <c r="AF1303" i="1"/>
  <c r="AG1303" i="1"/>
  <c r="AH1303" i="1"/>
  <c r="AI1303" i="1"/>
  <c r="AJ1303" i="1"/>
  <c r="AK1303" i="1"/>
  <c r="AL1303" i="1"/>
  <c r="AM1303" i="1"/>
  <c r="A1304" i="1"/>
  <c r="B1304" i="1"/>
  <c r="C1304" i="1"/>
  <c r="D1304" i="1"/>
  <c r="E1304" i="1"/>
  <c r="F1304" i="1"/>
  <c r="G1304" i="1"/>
  <c r="H1304" i="1"/>
  <c r="I1304" i="1"/>
  <c r="J1304" i="1"/>
  <c r="K1304" i="1"/>
  <c r="L1304" i="1"/>
  <c r="M1304" i="1"/>
  <c r="N1304" i="1"/>
  <c r="O1304" i="1"/>
  <c r="P1304" i="1"/>
  <c r="Q1304" i="1"/>
  <c r="R1304" i="1"/>
  <c r="S1304" i="1"/>
  <c r="T1304" i="1"/>
  <c r="U1304" i="1"/>
  <c r="V1304" i="1"/>
  <c r="W1304" i="1"/>
  <c r="X1304" i="1"/>
  <c r="Y1304" i="1"/>
  <c r="Z1304" i="1"/>
  <c r="AA1304" i="1"/>
  <c r="AB1304" i="1"/>
  <c r="AC1304" i="1"/>
  <c r="AD1304" i="1"/>
  <c r="AE1304" i="1"/>
  <c r="AF1304" i="1"/>
  <c r="AG1304" i="1"/>
  <c r="AH1304" i="1"/>
  <c r="AI1304" i="1"/>
  <c r="AJ1304" i="1"/>
  <c r="AK1304" i="1"/>
  <c r="AL1304" i="1"/>
  <c r="AM1304" i="1"/>
  <c r="A1305" i="1"/>
  <c r="B1305" i="1"/>
  <c r="C1305" i="1"/>
  <c r="D1305" i="1"/>
  <c r="E1305" i="1"/>
  <c r="F1305" i="1"/>
  <c r="G1305" i="1"/>
  <c r="H1305" i="1"/>
  <c r="I1305" i="1"/>
  <c r="J1305" i="1"/>
  <c r="K1305" i="1"/>
  <c r="L1305" i="1"/>
  <c r="M1305" i="1"/>
  <c r="N1305" i="1"/>
  <c r="O1305" i="1"/>
  <c r="P1305" i="1"/>
  <c r="Q1305" i="1"/>
  <c r="R1305" i="1"/>
  <c r="S1305" i="1"/>
  <c r="T1305" i="1"/>
  <c r="U1305" i="1"/>
  <c r="V1305" i="1"/>
  <c r="W1305" i="1"/>
  <c r="X1305" i="1"/>
  <c r="Y1305" i="1"/>
  <c r="Z1305" i="1"/>
  <c r="AA1305" i="1"/>
  <c r="AB1305" i="1"/>
  <c r="AC1305" i="1"/>
  <c r="AD1305" i="1"/>
  <c r="AE1305" i="1"/>
  <c r="AF1305" i="1"/>
  <c r="AG1305" i="1"/>
  <c r="AH1305" i="1"/>
  <c r="AI1305" i="1"/>
  <c r="AJ1305" i="1"/>
  <c r="AK1305" i="1"/>
  <c r="AL1305" i="1"/>
  <c r="AM1305" i="1"/>
  <c r="A1306" i="1"/>
  <c r="B1306" i="1"/>
  <c r="C1306" i="1"/>
  <c r="D1306" i="1"/>
  <c r="E1306" i="1"/>
  <c r="F1306" i="1"/>
  <c r="G1306" i="1"/>
  <c r="H1306" i="1"/>
  <c r="I1306" i="1"/>
  <c r="J1306" i="1"/>
  <c r="K1306" i="1"/>
  <c r="L1306" i="1"/>
  <c r="M1306" i="1"/>
  <c r="N1306" i="1"/>
  <c r="O1306" i="1"/>
  <c r="P1306" i="1"/>
  <c r="Q1306" i="1"/>
  <c r="R1306" i="1"/>
  <c r="S1306" i="1"/>
  <c r="T1306" i="1"/>
  <c r="U1306" i="1"/>
  <c r="V1306" i="1"/>
  <c r="W1306" i="1"/>
  <c r="X1306" i="1"/>
  <c r="Y1306" i="1"/>
  <c r="Z1306" i="1"/>
  <c r="AA1306" i="1"/>
  <c r="AB1306" i="1"/>
  <c r="AC1306" i="1"/>
  <c r="AD1306" i="1"/>
  <c r="AE1306" i="1"/>
  <c r="AF1306" i="1"/>
  <c r="AG1306" i="1"/>
  <c r="AH1306" i="1"/>
  <c r="AI1306" i="1"/>
  <c r="AJ1306" i="1"/>
  <c r="AK1306" i="1"/>
  <c r="AL1306" i="1"/>
  <c r="AM1306" i="1"/>
  <c r="A1307" i="1"/>
  <c r="B1307" i="1"/>
  <c r="C1307" i="1"/>
  <c r="D1307" i="1"/>
  <c r="E1307" i="1"/>
  <c r="F1307" i="1"/>
  <c r="G1307" i="1"/>
  <c r="H1307" i="1"/>
  <c r="I1307" i="1"/>
  <c r="J1307" i="1"/>
  <c r="K1307" i="1"/>
  <c r="L1307" i="1"/>
  <c r="M1307" i="1"/>
  <c r="N1307" i="1"/>
  <c r="O1307" i="1"/>
  <c r="P1307" i="1"/>
  <c r="Q1307" i="1"/>
  <c r="R1307" i="1"/>
  <c r="S1307" i="1"/>
  <c r="T1307" i="1"/>
  <c r="U1307" i="1"/>
  <c r="V1307" i="1"/>
  <c r="W1307" i="1"/>
  <c r="X1307" i="1"/>
  <c r="Y1307" i="1"/>
  <c r="Z1307" i="1"/>
  <c r="AA1307" i="1"/>
  <c r="AB1307" i="1"/>
  <c r="AC1307" i="1"/>
  <c r="AD1307" i="1"/>
  <c r="AE1307" i="1"/>
  <c r="AF1307" i="1"/>
  <c r="AG1307" i="1"/>
  <c r="AH1307" i="1"/>
  <c r="AI1307" i="1"/>
  <c r="AJ1307" i="1"/>
  <c r="AK1307" i="1"/>
  <c r="AL1307" i="1"/>
  <c r="AM1307" i="1"/>
  <c r="A1308" i="1"/>
  <c r="B1308" i="1"/>
  <c r="C1308" i="1"/>
  <c r="D1308" i="1"/>
  <c r="E1308" i="1"/>
  <c r="F1308" i="1"/>
  <c r="G1308" i="1"/>
  <c r="H1308" i="1"/>
  <c r="I1308" i="1"/>
  <c r="J1308" i="1"/>
  <c r="K1308" i="1"/>
  <c r="L1308" i="1"/>
  <c r="M1308" i="1"/>
  <c r="N1308" i="1"/>
  <c r="O1308" i="1"/>
  <c r="P1308" i="1"/>
  <c r="Q1308" i="1"/>
  <c r="R1308" i="1"/>
  <c r="S1308" i="1"/>
  <c r="T1308" i="1"/>
  <c r="U1308" i="1"/>
  <c r="V1308" i="1"/>
  <c r="W1308" i="1"/>
  <c r="X1308" i="1"/>
  <c r="Y1308" i="1"/>
  <c r="Z1308" i="1"/>
  <c r="AA1308" i="1"/>
  <c r="AB1308" i="1"/>
  <c r="AC1308" i="1"/>
  <c r="AD1308" i="1"/>
  <c r="AE1308" i="1"/>
  <c r="AF1308" i="1"/>
  <c r="AG1308" i="1"/>
  <c r="AH1308" i="1"/>
  <c r="AI1308" i="1"/>
  <c r="AJ1308" i="1"/>
  <c r="AK1308" i="1"/>
  <c r="AL1308" i="1"/>
  <c r="AM1308" i="1"/>
  <c r="A1309" i="1"/>
  <c r="B1309" i="1"/>
  <c r="C1309" i="1"/>
  <c r="D1309" i="1"/>
  <c r="E1309" i="1"/>
  <c r="F1309" i="1"/>
  <c r="G1309" i="1"/>
  <c r="H1309" i="1"/>
  <c r="I1309" i="1"/>
  <c r="J1309" i="1"/>
  <c r="K1309" i="1"/>
  <c r="L1309" i="1"/>
  <c r="M1309" i="1"/>
  <c r="N1309" i="1"/>
  <c r="O1309" i="1"/>
  <c r="P1309" i="1"/>
  <c r="Q1309" i="1"/>
  <c r="R1309" i="1"/>
  <c r="S1309" i="1"/>
  <c r="T1309" i="1"/>
  <c r="U1309" i="1"/>
  <c r="V1309" i="1"/>
  <c r="W1309" i="1"/>
  <c r="X1309" i="1"/>
  <c r="Y1309" i="1"/>
  <c r="Z1309" i="1"/>
  <c r="AA1309" i="1"/>
  <c r="AB1309" i="1"/>
  <c r="AC1309" i="1"/>
  <c r="AD1309" i="1"/>
  <c r="AE1309" i="1"/>
  <c r="AF1309" i="1"/>
  <c r="AG1309" i="1"/>
  <c r="AH1309" i="1"/>
  <c r="AI1309" i="1"/>
  <c r="AJ1309" i="1"/>
  <c r="AK1309" i="1"/>
  <c r="AL1309" i="1"/>
  <c r="AM1309" i="1"/>
  <c r="A1310" i="1"/>
  <c r="B1310" i="1"/>
  <c r="C1310" i="1"/>
  <c r="D1310" i="1"/>
  <c r="E1310" i="1"/>
  <c r="F1310" i="1"/>
  <c r="G1310" i="1"/>
  <c r="H1310" i="1"/>
  <c r="I1310" i="1"/>
  <c r="J1310" i="1"/>
  <c r="K1310" i="1"/>
  <c r="L1310" i="1"/>
  <c r="M1310" i="1"/>
  <c r="N1310" i="1"/>
  <c r="O1310" i="1"/>
  <c r="P1310" i="1"/>
  <c r="Q1310" i="1"/>
  <c r="R1310" i="1"/>
  <c r="S1310" i="1"/>
  <c r="T1310" i="1"/>
  <c r="U1310" i="1"/>
  <c r="V1310" i="1"/>
  <c r="W1310" i="1"/>
  <c r="X1310" i="1"/>
  <c r="Y1310" i="1"/>
  <c r="Z1310" i="1"/>
  <c r="AA1310" i="1"/>
  <c r="AB1310" i="1"/>
  <c r="AC1310" i="1"/>
  <c r="AD1310" i="1"/>
  <c r="AE1310" i="1"/>
  <c r="AF1310" i="1"/>
  <c r="AG1310" i="1"/>
  <c r="AH1310" i="1"/>
  <c r="AI1310" i="1"/>
  <c r="AJ1310" i="1"/>
  <c r="AK1310" i="1"/>
  <c r="AL1310" i="1"/>
  <c r="AM1310" i="1"/>
  <c r="A1311" i="1"/>
  <c r="B1311" i="1"/>
  <c r="C1311" i="1"/>
  <c r="D1311" i="1"/>
  <c r="E1311" i="1"/>
  <c r="F1311" i="1"/>
  <c r="G1311" i="1"/>
  <c r="H1311" i="1"/>
  <c r="I1311" i="1"/>
  <c r="J1311" i="1"/>
  <c r="K1311" i="1"/>
  <c r="L1311" i="1"/>
  <c r="M1311" i="1"/>
  <c r="N1311" i="1"/>
  <c r="O1311" i="1"/>
  <c r="P1311" i="1"/>
  <c r="Q1311" i="1"/>
  <c r="R1311" i="1"/>
  <c r="S1311" i="1"/>
  <c r="T1311" i="1"/>
  <c r="U1311" i="1"/>
  <c r="V1311" i="1"/>
  <c r="W1311" i="1"/>
  <c r="X1311" i="1"/>
  <c r="Y1311" i="1"/>
  <c r="Z1311" i="1"/>
  <c r="AA1311" i="1"/>
  <c r="AB1311" i="1"/>
  <c r="AC1311" i="1"/>
  <c r="AD1311" i="1"/>
  <c r="AE1311" i="1"/>
  <c r="AF1311" i="1"/>
  <c r="AG1311" i="1"/>
  <c r="AH1311" i="1"/>
  <c r="AI1311" i="1"/>
  <c r="AJ1311" i="1"/>
  <c r="AK1311" i="1"/>
  <c r="AL1311" i="1"/>
  <c r="AM1311" i="1"/>
  <c r="A1312" i="1"/>
  <c r="B1312" i="1"/>
  <c r="C1312" i="1"/>
  <c r="D1312" i="1"/>
  <c r="E1312" i="1"/>
  <c r="F1312" i="1"/>
  <c r="G1312" i="1"/>
  <c r="H1312" i="1"/>
  <c r="I1312" i="1"/>
  <c r="J1312" i="1"/>
  <c r="K1312" i="1"/>
  <c r="L1312" i="1"/>
  <c r="M1312" i="1"/>
  <c r="N1312" i="1"/>
  <c r="O1312" i="1"/>
  <c r="P1312" i="1"/>
  <c r="Q1312" i="1"/>
  <c r="R1312" i="1"/>
  <c r="S1312" i="1"/>
  <c r="T1312" i="1"/>
  <c r="U1312" i="1"/>
  <c r="V1312" i="1"/>
  <c r="W1312" i="1"/>
  <c r="X1312" i="1"/>
  <c r="Y1312" i="1"/>
  <c r="Z1312" i="1"/>
  <c r="AA1312" i="1"/>
  <c r="AB1312" i="1"/>
  <c r="AC1312" i="1"/>
  <c r="AD1312" i="1"/>
  <c r="AE1312" i="1"/>
  <c r="AF1312" i="1"/>
  <c r="AG1312" i="1"/>
  <c r="AH1312" i="1"/>
  <c r="AI1312" i="1"/>
  <c r="AJ1312" i="1"/>
  <c r="AK1312" i="1"/>
  <c r="AL1312" i="1"/>
  <c r="AM1312" i="1"/>
  <c r="A1313" i="1"/>
  <c r="B1313" i="1"/>
  <c r="C1313" i="1"/>
  <c r="D1313" i="1"/>
  <c r="E1313" i="1"/>
  <c r="F1313" i="1"/>
  <c r="G1313" i="1"/>
  <c r="H1313" i="1"/>
  <c r="I1313" i="1"/>
  <c r="J1313" i="1"/>
  <c r="K1313" i="1"/>
  <c r="L1313" i="1"/>
  <c r="M1313" i="1"/>
  <c r="N1313" i="1"/>
  <c r="O1313" i="1"/>
  <c r="P1313" i="1"/>
  <c r="Q1313" i="1"/>
  <c r="R1313" i="1"/>
  <c r="S1313" i="1"/>
  <c r="T1313" i="1"/>
  <c r="U1313" i="1"/>
  <c r="V1313" i="1"/>
  <c r="W1313" i="1"/>
  <c r="X1313" i="1"/>
  <c r="Y1313" i="1"/>
  <c r="Z1313" i="1"/>
  <c r="AA1313" i="1"/>
  <c r="AB1313" i="1"/>
  <c r="AC1313" i="1"/>
  <c r="AD1313" i="1"/>
  <c r="AE1313" i="1"/>
  <c r="AF1313" i="1"/>
  <c r="AG1313" i="1"/>
  <c r="AH1313" i="1"/>
  <c r="AI1313" i="1"/>
  <c r="AJ1313" i="1"/>
  <c r="AK1313" i="1"/>
  <c r="AL1313" i="1"/>
  <c r="AM1313" i="1"/>
  <c r="A1314" i="1"/>
  <c r="B1314" i="1"/>
  <c r="C1314" i="1"/>
  <c r="D1314" i="1"/>
  <c r="E1314" i="1"/>
  <c r="F1314" i="1"/>
  <c r="G1314" i="1"/>
  <c r="H1314" i="1"/>
  <c r="I1314" i="1"/>
  <c r="J1314" i="1"/>
  <c r="K1314" i="1"/>
  <c r="L1314" i="1"/>
  <c r="M1314" i="1"/>
  <c r="N1314" i="1"/>
  <c r="O1314" i="1"/>
  <c r="P1314" i="1"/>
  <c r="Q1314" i="1"/>
  <c r="R1314" i="1"/>
  <c r="S1314" i="1"/>
  <c r="T1314" i="1"/>
  <c r="U1314" i="1"/>
  <c r="V1314" i="1"/>
  <c r="W1314" i="1"/>
  <c r="X1314" i="1"/>
  <c r="Y1314" i="1"/>
  <c r="Z1314" i="1"/>
  <c r="AA1314" i="1"/>
  <c r="AB1314" i="1"/>
  <c r="AC1314" i="1"/>
  <c r="AD1314" i="1"/>
  <c r="AE1314" i="1"/>
  <c r="AF1314" i="1"/>
  <c r="AG1314" i="1"/>
  <c r="AH1314" i="1"/>
  <c r="AI1314" i="1"/>
  <c r="AJ1314" i="1"/>
  <c r="AK1314" i="1"/>
  <c r="AL1314" i="1"/>
  <c r="AM1314" i="1"/>
  <c r="A1315" i="1"/>
  <c r="B1315" i="1"/>
  <c r="C1315" i="1"/>
  <c r="D1315" i="1"/>
  <c r="E1315" i="1"/>
  <c r="F1315" i="1"/>
  <c r="G1315" i="1"/>
  <c r="H1315" i="1"/>
  <c r="I1315" i="1"/>
  <c r="J1315" i="1"/>
  <c r="K1315" i="1"/>
  <c r="L1315" i="1"/>
  <c r="M1315" i="1"/>
  <c r="N1315" i="1"/>
  <c r="O1315" i="1"/>
  <c r="P1315" i="1"/>
  <c r="Q1315" i="1"/>
  <c r="R1315" i="1"/>
  <c r="S1315" i="1"/>
  <c r="T1315" i="1"/>
  <c r="U1315" i="1"/>
  <c r="V1315" i="1"/>
  <c r="W1315" i="1"/>
  <c r="X1315" i="1"/>
  <c r="Y1315" i="1"/>
  <c r="Z1315" i="1"/>
  <c r="AA1315" i="1"/>
  <c r="AB1315" i="1"/>
  <c r="AC1315" i="1"/>
  <c r="AD1315" i="1"/>
  <c r="AE1315" i="1"/>
  <c r="AF1315" i="1"/>
  <c r="AG1315" i="1"/>
  <c r="AH1315" i="1"/>
  <c r="AI1315" i="1"/>
  <c r="AJ1315" i="1"/>
  <c r="AK1315" i="1"/>
  <c r="AL1315" i="1"/>
  <c r="AM1315" i="1"/>
  <c r="A1316" i="1"/>
  <c r="B1316" i="1"/>
  <c r="C1316" i="1"/>
  <c r="D1316" i="1"/>
  <c r="E1316" i="1"/>
  <c r="F1316" i="1"/>
  <c r="G1316" i="1"/>
  <c r="H1316" i="1"/>
  <c r="I1316" i="1"/>
  <c r="J1316" i="1"/>
  <c r="K1316" i="1"/>
  <c r="L1316" i="1"/>
  <c r="M1316" i="1"/>
  <c r="N1316" i="1"/>
  <c r="O1316" i="1"/>
  <c r="P1316" i="1"/>
  <c r="Q1316" i="1"/>
  <c r="R1316" i="1"/>
  <c r="S1316" i="1"/>
  <c r="T1316" i="1"/>
  <c r="U1316" i="1"/>
  <c r="V1316" i="1"/>
  <c r="W1316" i="1"/>
  <c r="X1316" i="1"/>
  <c r="Y1316" i="1"/>
  <c r="Z1316" i="1"/>
  <c r="AA1316" i="1"/>
  <c r="AB1316" i="1"/>
  <c r="AC1316" i="1"/>
  <c r="AD1316" i="1"/>
  <c r="AE1316" i="1"/>
  <c r="AF1316" i="1"/>
  <c r="AG1316" i="1"/>
  <c r="AH1316" i="1"/>
  <c r="AI1316" i="1"/>
  <c r="AJ1316" i="1"/>
  <c r="AK1316" i="1"/>
  <c r="AL1316" i="1"/>
  <c r="AM1316" i="1"/>
  <c r="A1317" i="1"/>
  <c r="B1317" i="1"/>
  <c r="C1317" i="1"/>
  <c r="D1317" i="1"/>
  <c r="E1317" i="1"/>
  <c r="F1317" i="1"/>
  <c r="G1317" i="1"/>
  <c r="H1317" i="1"/>
  <c r="I1317" i="1"/>
  <c r="J1317" i="1"/>
  <c r="K1317" i="1"/>
  <c r="L1317" i="1"/>
  <c r="M1317" i="1"/>
  <c r="N1317" i="1"/>
  <c r="O1317" i="1"/>
  <c r="P1317" i="1"/>
  <c r="Q1317" i="1"/>
  <c r="R1317" i="1"/>
  <c r="S1317" i="1"/>
  <c r="T1317" i="1"/>
  <c r="U1317" i="1"/>
  <c r="V1317" i="1"/>
  <c r="W1317" i="1"/>
  <c r="X1317" i="1"/>
  <c r="Y1317" i="1"/>
  <c r="Z1317" i="1"/>
  <c r="AA1317" i="1"/>
  <c r="AB1317" i="1"/>
  <c r="AC1317" i="1"/>
  <c r="AD1317" i="1"/>
  <c r="AE1317" i="1"/>
  <c r="AF1317" i="1"/>
  <c r="AG1317" i="1"/>
  <c r="AH1317" i="1"/>
  <c r="AI1317" i="1"/>
  <c r="AJ1317" i="1"/>
  <c r="AK1317" i="1"/>
  <c r="AL1317" i="1"/>
  <c r="AM1317" i="1"/>
  <c r="A1318" i="1"/>
  <c r="B1318" i="1"/>
  <c r="C1318" i="1"/>
  <c r="D1318" i="1"/>
  <c r="E1318" i="1"/>
  <c r="F1318" i="1"/>
  <c r="G1318" i="1"/>
  <c r="H1318" i="1"/>
  <c r="I1318" i="1"/>
  <c r="J1318" i="1"/>
  <c r="K1318" i="1"/>
  <c r="L1318" i="1"/>
  <c r="M1318" i="1"/>
  <c r="N1318" i="1"/>
  <c r="O1318" i="1"/>
  <c r="P1318" i="1"/>
  <c r="Q1318" i="1"/>
  <c r="R1318" i="1"/>
  <c r="S1318" i="1"/>
  <c r="T1318" i="1"/>
  <c r="U1318" i="1"/>
  <c r="V1318" i="1"/>
  <c r="W1318" i="1"/>
  <c r="X1318" i="1"/>
  <c r="Y1318" i="1"/>
  <c r="Z1318" i="1"/>
  <c r="AA1318" i="1"/>
  <c r="AB1318" i="1"/>
  <c r="AC1318" i="1"/>
  <c r="AD1318" i="1"/>
  <c r="AE1318" i="1"/>
  <c r="AF1318" i="1"/>
  <c r="AG1318" i="1"/>
  <c r="AH1318" i="1"/>
  <c r="AI1318" i="1"/>
  <c r="AJ1318" i="1"/>
  <c r="AK1318" i="1"/>
  <c r="AL1318" i="1"/>
  <c r="AM1318" i="1"/>
  <c r="A1319" i="1"/>
  <c r="B1319" i="1"/>
  <c r="C1319" i="1"/>
  <c r="D1319" i="1"/>
  <c r="E1319" i="1"/>
  <c r="F1319" i="1"/>
  <c r="G1319" i="1"/>
  <c r="H1319" i="1"/>
  <c r="I1319" i="1"/>
  <c r="J1319" i="1"/>
  <c r="K1319" i="1"/>
  <c r="L1319" i="1"/>
  <c r="M1319" i="1"/>
  <c r="N1319" i="1"/>
  <c r="O1319" i="1"/>
  <c r="P1319" i="1"/>
  <c r="Q1319" i="1"/>
  <c r="R1319" i="1"/>
  <c r="S1319" i="1"/>
  <c r="T1319" i="1"/>
  <c r="U1319" i="1"/>
  <c r="V1319" i="1"/>
  <c r="W1319" i="1"/>
  <c r="X1319" i="1"/>
  <c r="Y1319" i="1"/>
  <c r="Z1319" i="1"/>
  <c r="AA1319" i="1"/>
  <c r="AB1319" i="1"/>
  <c r="AC1319" i="1"/>
  <c r="AD1319" i="1"/>
  <c r="AE1319" i="1"/>
  <c r="AF1319" i="1"/>
  <c r="AG1319" i="1"/>
  <c r="AH1319" i="1"/>
  <c r="AI1319" i="1"/>
  <c r="AJ1319" i="1"/>
  <c r="AK1319" i="1"/>
  <c r="AL1319" i="1"/>
  <c r="AM1319" i="1"/>
  <c r="A1320" i="1"/>
  <c r="B1320" i="1"/>
  <c r="C1320" i="1"/>
  <c r="D1320" i="1"/>
  <c r="E1320" i="1"/>
  <c r="F1320" i="1"/>
  <c r="G1320" i="1"/>
  <c r="H1320" i="1"/>
  <c r="I1320" i="1"/>
  <c r="J1320" i="1"/>
  <c r="K1320" i="1"/>
  <c r="L1320" i="1"/>
  <c r="M1320" i="1"/>
  <c r="N1320" i="1"/>
  <c r="O1320" i="1"/>
  <c r="P1320" i="1"/>
  <c r="Q1320" i="1"/>
  <c r="R1320" i="1"/>
  <c r="S1320" i="1"/>
  <c r="T1320" i="1"/>
  <c r="U1320" i="1"/>
  <c r="V1320" i="1"/>
  <c r="W1320" i="1"/>
  <c r="X1320" i="1"/>
  <c r="Y1320" i="1"/>
  <c r="Z1320" i="1"/>
  <c r="AA1320" i="1"/>
  <c r="AB1320" i="1"/>
  <c r="AC1320" i="1"/>
  <c r="AD1320" i="1"/>
  <c r="AE1320" i="1"/>
  <c r="AF1320" i="1"/>
  <c r="AG1320" i="1"/>
  <c r="AH1320" i="1"/>
  <c r="AI1320" i="1"/>
  <c r="AJ1320" i="1"/>
  <c r="AK1320" i="1"/>
  <c r="AL1320" i="1"/>
  <c r="AM1320" i="1"/>
  <c r="A1321" i="1"/>
  <c r="B1321" i="1"/>
  <c r="C1321" i="1"/>
  <c r="D1321" i="1"/>
  <c r="E1321" i="1"/>
  <c r="F1321" i="1"/>
  <c r="G1321" i="1"/>
  <c r="H1321" i="1"/>
  <c r="I1321" i="1"/>
  <c r="J1321" i="1"/>
  <c r="K1321" i="1"/>
  <c r="L1321" i="1"/>
  <c r="M1321" i="1"/>
  <c r="N1321" i="1"/>
  <c r="O1321" i="1"/>
  <c r="P1321" i="1"/>
  <c r="Q1321" i="1"/>
  <c r="R1321" i="1"/>
  <c r="S1321" i="1"/>
  <c r="T1321" i="1"/>
  <c r="U1321" i="1"/>
  <c r="V1321" i="1"/>
  <c r="W1321" i="1"/>
  <c r="X1321" i="1"/>
  <c r="Y1321" i="1"/>
  <c r="Z1321" i="1"/>
  <c r="AA1321" i="1"/>
  <c r="AB1321" i="1"/>
  <c r="AC1321" i="1"/>
  <c r="AD1321" i="1"/>
  <c r="AE1321" i="1"/>
  <c r="AF1321" i="1"/>
  <c r="AG1321" i="1"/>
  <c r="AH1321" i="1"/>
  <c r="AI1321" i="1"/>
  <c r="AJ1321" i="1"/>
  <c r="AK1321" i="1"/>
  <c r="AL1321" i="1"/>
  <c r="AM1321" i="1"/>
  <c r="A1322" i="1"/>
  <c r="B1322" i="1"/>
  <c r="C1322" i="1"/>
  <c r="D1322" i="1"/>
  <c r="E1322" i="1"/>
  <c r="F1322" i="1"/>
  <c r="G1322" i="1"/>
  <c r="H1322" i="1"/>
  <c r="I1322" i="1"/>
  <c r="J1322" i="1"/>
  <c r="K1322" i="1"/>
  <c r="L1322" i="1"/>
  <c r="M1322" i="1"/>
  <c r="N1322" i="1"/>
  <c r="O1322" i="1"/>
  <c r="P1322" i="1"/>
  <c r="Q1322" i="1"/>
  <c r="R1322" i="1"/>
  <c r="S1322" i="1"/>
  <c r="T1322" i="1"/>
  <c r="U1322" i="1"/>
  <c r="V1322" i="1"/>
  <c r="W1322" i="1"/>
  <c r="X1322" i="1"/>
  <c r="Y1322" i="1"/>
  <c r="Z1322" i="1"/>
  <c r="AA1322" i="1"/>
  <c r="AB1322" i="1"/>
  <c r="AC1322" i="1"/>
  <c r="AD1322" i="1"/>
  <c r="AE1322" i="1"/>
  <c r="AF1322" i="1"/>
  <c r="AG1322" i="1"/>
  <c r="AH1322" i="1"/>
  <c r="AI1322" i="1"/>
  <c r="AJ1322" i="1"/>
  <c r="AK1322" i="1"/>
  <c r="AL1322" i="1"/>
  <c r="AM1322" i="1"/>
  <c r="A1323" i="1"/>
  <c r="B1323" i="1"/>
  <c r="C1323" i="1"/>
  <c r="D1323" i="1"/>
  <c r="E1323" i="1"/>
  <c r="F1323" i="1"/>
  <c r="G1323" i="1"/>
  <c r="H1323" i="1"/>
  <c r="I1323" i="1"/>
  <c r="J1323" i="1"/>
  <c r="K1323" i="1"/>
  <c r="L1323" i="1"/>
  <c r="M1323" i="1"/>
  <c r="N1323" i="1"/>
  <c r="O1323" i="1"/>
  <c r="P1323" i="1"/>
  <c r="Q1323" i="1"/>
  <c r="R1323" i="1"/>
  <c r="S1323" i="1"/>
  <c r="T1323" i="1"/>
  <c r="U1323" i="1"/>
  <c r="V1323" i="1"/>
  <c r="W1323" i="1"/>
  <c r="X1323" i="1"/>
  <c r="Y1323" i="1"/>
  <c r="Z1323" i="1"/>
  <c r="AA1323" i="1"/>
  <c r="AB1323" i="1"/>
  <c r="AC1323" i="1"/>
  <c r="AD1323" i="1"/>
  <c r="AE1323" i="1"/>
  <c r="AF1323" i="1"/>
  <c r="AG1323" i="1"/>
  <c r="AH1323" i="1"/>
  <c r="AI1323" i="1"/>
  <c r="AJ1323" i="1"/>
  <c r="AK1323" i="1"/>
  <c r="AL1323" i="1"/>
  <c r="AM1323" i="1"/>
  <c r="A1324" i="1"/>
  <c r="B1324" i="1"/>
  <c r="C1324" i="1"/>
  <c r="D1324" i="1"/>
  <c r="E1324" i="1"/>
  <c r="F1324" i="1"/>
  <c r="G1324" i="1"/>
  <c r="H1324" i="1"/>
  <c r="I1324" i="1"/>
  <c r="J1324" i="1"/>
  <c r="K1324" i="1"/>
  <c r="L1324" i="1"/>
  <c r="M1324" i="1"/>
  <c r="N1324" i="1"/>
  <c r="O1324" i="1"/>
  <c r="P1324" i="1"/>
  <c r="Q1324" i="1"/>
  <c r="R1324" i="1"/>
  <c r="S1324" i="1"/>
  <c r="T1324" i="1"/>
  <c r="U1324" i="1"/>
  <c r="V1324" i="1"/>
  <c r="W1324" i="1"/>
  <c r="X1324" i="1"/>
  <c r="Y1324" i="1"/>
  <c r="Z1324" i="1"/>
  <c r="AA1324" i="1"/>
  <c r="AB1324" i="1"/>
  <c r="AC1324" i="1"/>
  <c r="AD1324" i="1"/>
  <c r="AE1324" i="1"/>
  <c r="AF1324" i="1"/>
  <c r="AG1324" i="1"/>
  <c r="AH1324" i="1"/>
  <c r="AI1324" i="1"/>
  <c r="AJ1324" i="1"/>
  <c r="AK1324" i="1"/>
  <c r="AL1324" i="1"/>
  <c r="AM1324" i="1"/>
  <c r="A1325" i="1"/>
  <c r="B1325" i="1"/>
  <c r="C1325" i="1"/>
  <c r="D1325" i="1"/>
  <c r="E1325" i="1"/>
  <c r="F1325" i="1"/>
  <c r="G1325" i="1"/>
  <c r="H1325" i="1"/>
  <c r="I1325" i="1"/>
  <c r="J1325" i="1"/>
  <c r="K1325" i="1"/>
  <c r="L1325" i="1"/>
  <c r="M1325" i="1"/>
  <c r="N1325" i="1"/>
  <c r="O1325" i="1"/>
  <c r="P1325" i="1"/>
  <c r="Q1325" i="1"/>
  <c r="R1325" i="1"/>
  <c r="S1325" i="1"/>
  <c r="T1325" i="1"/>
  <c r="U1325" i="1"/>
  <c r="V1325" i="1"/>
  <c r="W1325" i="1"/>
  <c r="X1325" i="1"/>
  <c r="Y1325" i="1"/>
  <c r="Z1325" i="1"/>
  <c r="AA1325" i="1"/>
  <c r="AB1325" i="1"/>
  <c r="AC1325" i="1"/>
  <c r="AD1325" i="1"/>
  <c r="AE1325" i="1"/>
  <c r="AF1325" i="1"/>
  <c r="AG1325" i="1"/>
  <c r="AH1325" i="1"/>
  <c r="AI1325" i="1"/>
  <c r="AJ1325" i="1"/>
  <c r="AK1325" i="1"/>
  <c r="AL1325" i="1"/>
  <c r="AM1325" i="1"/>
  <c r="A1326" i="1"/>
  <c r="B1326" i="1"/>
  <c r="C1326" i="1"/>
  <c r="D1326" i="1"/>
  <c r="E1326" i="1"/>
  <c r="F1326" i="1"/>
  <c r="G1326" i="1"/>
  <c r="H1326" i="1"/>
  <c r="I1326" i="1"/>
  <c r="J1326" i="1"/>
  <c r="K1326" i="1"/>
  <c r="L1326" i="1"/>
  <c r="M1326" i="1"/>
  <c r="N1326" i="1"/>
  <c r="O1326" i="1"/>
  <c r="P1326" i="1"/>
  <c r="Q1326" i="1"/>
  <c r="R1326" i="1"/>
  <c r="S1326" i="1"/>
  <c r="T1326" i="1"/>
  <c r="U1326" i="1"/>
  <c r="V1326" i="1"/>
  <c r="W1326" i="1"/>
  <c r="X1326" i="1"/>
  <c r="Y1326" i="1"/>
  <c r="Z1326" i="1"/>
  <c r="AA1326" i="1"/>
  <c r="AB1326" i="1"/>
  <c r="AC1326" i="1"/>
  <c r="AD1326" i="1"/>
  <c r="AE1326" i="1"/>
  <c r="AF1326" i="1"/>
  <c r="AG1326" i="1"/>
  <c r="AH1326" i="1"/>
  <c r="AI1326" i="1"/>
  <c r="AJ1326" i="1"/>
  <c r="AK1326" i="1"/>
  <c r="AL1326" i="1"/>
  <c r="AM1326" i="1"/>
  <c r="A1327" i="1"/>
  <c r="B1327" i="1"/>
  <c r="C1327" i="1"/>
  <c r="D1327" i="1"/>
  <c r="E1327" i="1"/>
  <c r="F1327" i="1"/>
  <c r="G1327" i="1"/>
  <c r="H1327" i="1"/>
  <c r="I1327" i="1"/>
  <c r="J1327" i="1"/>
  <c r="K1327" i="1"/>
  <c r="L1327" i="1"/>
  <c r="M1327" i="1"/>
  <c r="N1327" i="1"/>
  <c r="O1327" i="1"/>
  <c r="P1327" i="1"/>
  <c r="Q1327" i="1"/>
  <c r="R1327" i="1"/>
  <c r="S1327" i="1"/>
  <c r="T1327" i="1"/>
  <c r="U1327" i="1"/>
  <c r="V1327" i="1"/>
  <c r="W1327" i="1"/>
  <c r="X1327" i="1"/>
  <c r="Y1327" i="1"/>
  <c r="Z1327" i="1"/>
  <c r="AA1327" i="1"/>
  <c r="AB1327" i="1"/>
  <c r="AC1327" i="1"/>
  <c r="AD1327" i="1"/>
  <c r="AE1327" i="1"/>
  <c r="AF1327" i="1"/>
  <c r="AG1327" i="1"/>
  <c r="AH1327" i="1"/>
  <c r="AI1327" i="1"/>
  <c r="AJ1327" i="1"/>
  <c r="AK1327" i="1"/>
  <c r="AL1327" i="1"/>
  <c r="AM1327" i="1"/>
  <c r="A1328" i="1"/>
  <c r="B1328" i="1"/>
  <c r="C1328" i="1"/>
  <c r="D1328" i="1"/>
  <c r="E1328" i="1"/>
  <c r="F1328" i="1"/>
  <c r="G1328" i="1"/>
  <c r="H1328" i="1"/>
  <c r="I1328" i="1"/>
  <c r="J1328" i="1"/>
  <c r="K1328" i="1"/>
  <c r="L1328" i="1"/>
  <c r="M1328" i="1"/>
  <c r="N1328" i="1"/>
  <c r="O1328" i="1"/>
  <c r="P1328" i="1"/>
  <c r="Q1328" i="1"/>
  <c r="R1328" i="1"/>
  <c r="S1328" i="1"/>
  <c r="T1328" i="1"/>
  <c r="U1328" i="1"/>
  <c r="V1328" i="1"/>
  <c r="W1328" i="1"/>
  <c r="X1328" i="1"/>
  <c r="Y1328" i="1"/>
  <c r="Z1328" i="1"/>
  <c r="AA1328" i="1"/>
  <c r="AB1328" i="1"/>
  <c r="AC1328" i="1"/>
  <c r="AD1328" i="1"/>
  <c r="AE1328" i="1"/>
  <c r="AF1328" i="1"/>
  <c r="AG1328" i="1"/>
  <c r="AH1328" i="1"/>
  <c r="AI1328" i="1"/>
  <c r="AJ1328" i="1"/>
  <c r="AK1328" i="1"/>
  <c r="AL1328" i="1"/>
  <c r="AM1328" i="1"/>
  <c r="A1329" i="1"/>
  <c r="B1329" i="1"/>
  <c r="C1329" i="1"/>
  <c r="D1329" i="1"/>
  <c r="E1329" i="1"/>
  <c r="F1329" i="1"/>
  <c r="G1329" i="1"/>
  <c r="H1329" i="1"/>
  <c r="I1329" i="1"/>
  <c r="J1329" i="1"/>
  <c r="K1329" i="1"/>
  <c r="L1329" i="1"/>
  <c r="M1329" i="1"/>
  <c r="N1329" i="1"/>
  <c r="O1329" i="1"/>
  <c r="P1329" i="1"/>
  <c r="Q1329" i="1"/>
  <c r="R1329" i="1"/>
  <c r="S1329" i="1"/>
  <c r="T1329" i="1"/>
  <c r="U1329" i="1"/>
  <c r="V1329" i="1"/>
  <c r="W1329" i="1"/>
  <c r="X1329" i="1"/>
  <c r="Y1329" i="1"/>
  <c r="Z1329" i="1"/>
  <c r="AA1329" i="1"/>
  <c r="AB1329" i="1"/>
  <c r="AC1329" i="1"/>
  <c r="AD1329" i="1"/>
  <c r="AE1329" i="1"/>
  <c r="AF1329" i="1"/>
  <c r="AG1329" i="1"/>
  <c r="AH1329" i="1"/>
  <c r="AI1329" i="1"/>
  <c r="AJ1329" i="1"/>
  <c r="AK1329" i="1"/>
  <c r="AL1329" i="1"/>
  <c r="AM1329" i="1"/>
  <c r="A1330" i="1"/>
  <c r="B1330" i="1"/>
  <c r="C1330" i="1"/>
  <c r="D1330" i="1"/>
  <c r="E1330" i="1"/>
  <c r="F1330" i="1"/>
  <c r="G1330" i="1"/>
  <c r="H1330" i="1"/>
  <c r="I1330" i="1"/>
  <c r="J1330" i="1"/>
  <c r="K1330" i="1"/>
  <c r="L1330" i="1"/>
  <c r="M1330" i="1"/>
  <c r="N1330" i="1"/>
  <c r="O1330" i="1"/>
  <c r="P1330" i="1"/>
  <c r="Q1330" i="1"/>
  <c r="R1330" i="1"/>
  <c r="S1330" i="1"/>
  <c r="T1330" i="1"/>
  <c r="U1330" i="1"/>
  <c r="V1330" i="1"/>
  <c r="W1330" i="1"/>
  <c r="X1330" i="1"/>
  <c r="Y1330" i="1"/>
  <c r="Z1330" i="1"/>
  <c r="AA1330" i="1"/>
  <c r="AB1330" i="1"/>
  <c r="AC1330" i="1"/>
  <c r="AD1330" i="1"/>
  <c r="AE1330" i="1"/>
  <c r="AF1330" i="1"/>
  <c r="AG1330" i="1"/>
  <c r="AH1330" i="1"/>
  <c r="AI1330" i="1"/>
  <c r="AJ1330" i="1"/>
  <c r="AK1330" i="1"/>
  <c r="AL1330" i="1"/>
  <c r="AM1330" i="1"/>
  <c r="A1331" i="1"/>
  <c r="B1331" i="1"/>
  <c r="C1331" i="1"/>
  <c r="D1331" i="1"/>
  <c r="E1331" i="1"/>
  <c r="F1331" i="1"/>
  <c r="G1331" i="1"/>
  <c r="H1331" i="1"/>
  <c r="I1331" i="1"/>
  <c r="J1331" i="1"/>
  <c r="K1331" i="1"/>
  <c r="L1331" i="1"/>
  <c r="M1331" i="1"/>
  <c r="N1331" i="1"/>
  <c r="O1331" i="1"/>
  <c r="P1331" i="1"/>
  <c r="Q1331" i="1"/>
  <c r="R1331" i="1"/>
  <c r="S1331" i="1"/>
  <c r="T1331" i="1"/>
  <c r="U1331" i="1"/>
  <c r="V1331" i="1"/>
  <c r="W1331" i="1"/>
  <c r="X1331" i="1"/>
  <c r="Y1331" i="1"/>
  <c r="Z1331" i="1"/>
  <c r="AA1331" i="1"/>
  <c r="AB1331" i="1"/>
  <c r="AC1331" i="1"/>
  <c r="AD1331" i="1"/>
  <c r="AE1331" i="1"/>
  <c r="AF1331" i="1"/>
  <c r="AG1331" i="1"/>
  <c r="AH1331" i="1"/>
  <c r="AI1331" i="1"/>
  <c r="AJ1331" i="1"/>
  <c r="AK1331" i="1"/>
  <c r="AL1331" i="1"/>
  <c r="AM1331" i="1"/>
  <c r="A1332" i="1"/>
  <c r="B1332" i="1"/>
  <c r="C1332" i="1"/>
  <c r="D1332" i="1"/>
  <c r="E1332" i="1"/>
  <c r="F1332" i="1"/>
  <c r="G1332" i="1"/>
  <c r="H1332" i="1"/>
  <c r="I1332" i="1"/>
  <c r="J1332" i="1"/>
  <c r="K1332" i="1"/>
  <c r="L1332" i="1"/>
  <c r="M1332" i="1"/>
  <c r="N1332" i="1"/>
  <c r="O1332" i="1"/>
  <c r="P1332" i="1"/>
  <c r="Q1332" i="1"/>
  <c r="R1332" i="1"/>
  <c r="S1332" i="1"/>
  <c r="T1332" i="1"/>
  <c r="U1332" i="1"/>
  <c r="V1332" i="1"/>
  <c r="W1332" i="1"/>
  <c r="X1332" i="1"/>
  <c r="Y1332" i="1"/>
  <c r="Z1332" i="1"/>
  <c r="AA1332" i="1"/>
  <c r="AB1332" i="1"/>
  <c r="AC1332" i="1"/>
  <c r="AD1332" i="1"/>
  <c r="AE1332" i="1"/>
  <c r="AF1332" i="1"/>
  <c r="AG1332" i="1"/>
  <c r="AH1332" i="1"/>
  <c r="AI1332" i="1"/>
  <c r="AJ1332" i="1"/>
  <c r="AK1332" i="1"/>
  <c r="AL1332" i="1"/>
  <c r="AM1332" i="1"/>
  <c r="A1333" i="1"/>
  <c r="B1333" i="1"/>
  <c r="C1333" i="1"/>
  <c r="D1333" i="1"/>
  <c r="E1333" i="1"/>
  <c r="F1333" i="1"/>
  <c r="G1333" i="1"/>
  <c r="H1333" i="1"/>
  <c r="I1333" i="1"/>
  <c r="J1333" i="1"/>
  <c r="K1333" i="1"/>
  <c r="L1333" i="1"/>
  <c r="M1333" i="1"/>
  <c r="N1333" i="1"/>
  <c r="O1333" i="1"/>
  <c r="P1333" i="1"/>
  <c r="Q1333" i="1"/>
  <c r="R1333" i="1"/>
  <c r="S1333" i="1"/>
  <c r="T1333" i="1"/>
  <c r="U1333" i="1"/>
  <c r="V1333" i="1"/>
  <c r="W1333" i="1"/>
  <c r="X1333" i="1"/>
  <c r="Y1333" i="1"/>
  <c r="Z1333" i="1"/>
  <c r="AA1333" i="1"/>
  <c r="AB1333" i="1"/>
  <c r="AC1333" i="1"/>
  <c r="AD1333" i="1"/>
  <c r="AE1333" i="1"/>
  <c r="AF1333" i="1"/>
  <c r="AG1333" i="1"/>
  <c r="AH1333" i="1"/>
  <c r="AI1333" i="1"/>
  <c r="AJ1333" i="1"/>
  <c r="AK1333" i="1"/>
  <c r="AL1333" i="1"/>
  <c r="AM1333" i="1"/>
  <c r="A1334" i="1"/>
  <c r="B1334" i="1"/>
  <c r="C1334" i="1"/>
  <c r="D1334" i="1"/>
  <c r="E1334" i="1"/>
  <c r="F1334" i="1"/>
  <c r="G1334" i="1"/>
  <c r="H1334" i="1"/>
  <c r="I1334" i="1"/>
  <c r="J1334" i="1"/>
  <c r="K1334" i="1"/>
  <c r="L1334" i="1"/>
  <c r="M1334" i="1"/>
  <c r="N1334" i="1"/>
  <c r="O1334" i="1"/>
  <c r="P1334" i="1"/>
  <c r="Q1334" i="1"/>
  <c r="R1334" i="1"/>
  <c r="S1334" i="1"/>
  <c r="T1334" i="1"/>
  <c r="U1334" i="1"/>
  <c r="V1334" i="1"/>
  <c r="W1334" i="1"/>
  <c r="X1334" i="1"/>
  <c r="Y1334" i="1"/>
  <c r="Z1334" i="1"/>
  <c r="AA1334" i="1"/>
  <c r="AB1334" i="1"/>
  <c r="AC1334" i="1"/>
  <c r="AD1334" i="1"/>
  <c r="AE1334" i="1"/>
  <c r="AF1334" i="1"/>
  <c r="AG1334" i="1"/>
  <c r="AH1334" i="1"/>
  <c r="AI1334" i="1"/>
  <c r="AJ1334" i="1"/>
  <c r="AK1334" i="1"/>
  <c r="AL1334" i="1"/>
  <c r="AM1334" i="1"/>
  <c r="A1335" i="1"/>
  <c r="B1335" i="1"/>
  <c r="C1335" i="1"/>
  <c r="D1335" i="1"/>
  <c r="E1335" i="1"/>
  <c r="F1335" i="1"/>
  <c r="G1335" i="1"/>
  <c r="H1335" i="1"/>
  <c r="I1335" i="1"/>
  <c r="J1335" i="1"/>
  <c r="K1335" i="1"/>
  <c r="L1335" i="1"/>
  <c r="M1335" i="1"/>
  <c r="N1335" i="1"/>
  <c r="O1335" i="1"/>
  <c r="P1335" i="1"/>
  <c r="Q1335" i="1"/>
  <c r="R1335" i="1"/>
  <c r="S1335" i="1"/>
  <c r="T1335" i="1"/>
  <c r="U1335" i="1"/>
  <c r="V1335" i="1"/>
  <c r="W1335" i="1"/>
  <c r="X1335" i="1"/>
  <c r="Y1335" i="1"/>
  <c r="Z1335" i="1"/>
  <c r="AA1335" i="1"/>
  <c r="AB1335" i="1"/>
  <c r="AC1335" i="1"/>
  <c r="AD1335" i="1"/>
  <c r="AE1335" i="1"/>
  <c r="AF1335" i="1"/>
  <c r="AG1335" i="1"/>
  <c r="AH1335" i="1"/>
  <c r="AI1335" i="1"/>
  <c r="AJ1335" i="1"/>
  <c r="AK1335" i="1"/>
  <c r="AL1335" i="1"/>
  <c r="AM1335" i="1"/>
  <c r="A1336" i="1"/>
  <c r="B1336" i="1"/>
  <c r="C1336" i="1"/>
  <c r="D1336" i="1"/>
  <c r="E1336" i="1"/>
  <c r="F1336" i="1"/>
  <c r="G1336" i="1"/>
  <c r="H1336" i="1"/>
  <c r="I1336" i="1"/>
  <c r="J1336" i="1"/>
  <c r="K1336" i="1"/>
  <c r="L1336" i="1"/>
  <c r="M1336" i="1"/>
  <c r="N1336" i="1"/>
  <c r="O1336" i="1"/>
  <c r="P1336" i="1"/>
  <c r="Q1336" i="1"/>
  <c r="R1336" i="1"/>
  <c r="S1336" i="1"/>
  <c r="T1336" i="1"/>
  <c r="U1336" i="1"/>
  <c r="V1336" i="1"/>
  <c r="W1336" i="1"/>
  <c r="X1336" i="1"/>
  <c r="Y1336" i="1"/>
  <c r="Z1336" i="1"/>
  <c r="AA1336" i="1"/>
  <c r="AB1336" i="1"/>
  <c r="AC1336" i="1"/>
  <c r="AD1336" i="1"/>
  <c r="AE1336" i="1"/>
  <c r="AF1336" i="1"/>
  <c r="AG1336" i="1"/>
  <c r="AH1336" i="1"/>
  <c r="AI1336" i="1"/>
  <c r="AJ1336" i="1"/>
  <c r="AK1336" i="1"/>
  <c r="AL1336" i="1"/>
  <c r="AM1336" i="1"/>
  <c r="A1337" i="1"/>
  <c r="B1337" i="1"/>
  <c r="C1337" i="1"/>
  <c r="D1337" i="1"/>
  <c r="E1337" i="1"/>
  <c r="F1337" i="1"/>
  <c r="G1337" i="1"/>
  <c r="H1337" i="1"/>
  <c r="I1337" i="1"/>
  <c r="J1337" i="1"/>
  <c r="K1337" i="1"/>
  <c r="L1337" i="1"/>
  <c r="M1337" i="1"/>
  <c r="N1337" i="1"/>
  <c r="O1337" i="1"/>
  <c r="P1337" i="1"/>
  <c r="Q1337" i="1"/>
  <c r="R1337" i="1"/>
  <c r="S1337" i="1"/>
  <c r="T1337" i="1"/>
  <c r="U1337" i="1"/>
  <c r="V1337" i="1"/>
  <c r="W1337" i="1"/>
  <c r="X1337" i="1"/>
  <c r="Y1337" i="1"/>
  <c r="Z1337" i="1"/>
  <c r="AA1337" i="1"/>
  <c r="AB1337" i="1"/>
  <c r="AC1337" i="1"/>
  <c r="AD1337" i="1"/>
  <c r="AE1337" i="1"/>
  <c r="AF1337" i="1"/>
  <c r="AG1337" i="1"/>
  <c r="AH1337" i="1"/>
  <c r="AI1337" i="1"/>
  <c r="AJ1337" i="1"/>
  <c r="AK1337" i="1"/>
  <c r="AL1337" i="1"/>
  <c r="AM1337" i="1"/>
  <c r="A1338" i="1"/>
  <c r="B1338" i="1"/>
  <c r="C1338" i="1"/>
  <c r="D1338" i="1"/>
  <c r="E1338" i="1"/>
  <c r="F1338" i="1"/>
  <c r="G1338" i="1"/>
  <c r="H1338" i="1"/>
  <c r="I1338" i="1"/>
  <c r="J1338" i="1"/>
  <c r="K1338" i="1"/>
  <c r="L1338" i="1"/>
  <c r="M1338" i="1"/>
  <c r="N1338" i="1"/>
  <c r="O1338" i="1"/>
  <c r="P1338" i="1"/>
  <c r="Q1338" i="1"/>
  <c r="R1338" i="1"/>
  <c r="S1338" i="1"/>
  <c r="T1338" i="1"/>
  <c r="U1338" i="1"/>
  <c r="V1338" i="1"/>
  <c r="W1338" i="1"/>
  <c r="X1338" i="1"/>
  <c r="Y1338" i="1"/>
  <c r="Z1338" i="1"/>
  <c r="AA1338" i="1"/>
  <c r="AB1338" i="1"/>
  <c r="AC1338" i="1"/>
  <c r="AD1338" i="1"/>
  <c r="AE1338" i="1"/>
  <c r="AF1338" i="1"/>
  <c r="AG1338" i="1"/>
  <c r="AH1338" i="1"/>
  <c r="AI1338" i="1"/>
  <c r="AJ1338" i="1"/>
  <c r="AK1338" i="1"/>
  <c r="AL1338" i="1"/>
  <c r="AM1338" i="1"/>
  <c r="A1339" i="1"/>
  <c r="B1339" i="1"/>
  <c r="C1339" i="1"/>
  <c r="D1339" i="1"/>
  <c r="E1339" i="1"/>
  <c r="F1339" i="1"/>
  <c r="G1339" i="1"/>
  <c r="H1339" i="1"/>
  <c r="I1339" i="1"/>
  <c r="J1339" i="1"/>
  <c r="K1339" i="1"/>
  <c r="L1339" i="1"/>
  <c r="M1339" i="1"/>
  <c r="N1339" i="1"/>
  <c r="O1339" i="1"/>
  <c r="P1339" i="1"/>
  <c r="Q1339" i="1"/>
  <c r="R1339" i="1"/>
  <c r="S1339" i="1"/>
  <c r="T1339" i="1"/>
  <c r="U1339" i="1"/>
  <c r="V1339" i="1"/>
  <c r="W1339" i="1"/>
  <c r="X1339" i="1"/>
  <c r="Y1339" i="1"/>
  <c r="Z1339" i="1"/>
  <c r="AA1339" i="1"/>
  <c r="AB1339" i="1"/>
  <c r="AC1339" i="1"/>
  <c r="AD1339" i="1"/>
  <c r="AE1339" i="1"/>
  <c r="AF1339" i="1"/>
  <c r="AG1339" i="1"/>
  <c r="AH1339" i="1"/>
  <c r="AI1339" i="1"/>
  <c r="AJ1339" i="1"/>
  <c r="AK1339" i="1"/>
  <c r="AL1339" i="1"/>
  <c r="AM1339" i="1"/>
  <c r="A1340" i="1"/>
  <c r="B1340" i="1"/>
  <c r="C1340" i="1"/>
  <c r="D1340" i="1"/>
  <c r="E1340" i="1"/>
  <c r="F1340" i="1"/>
  <c r="G1340" i="1"/>
  <c r="H1340" i="1"/>
  <c r="I1340" i="1"/>
  <c r="J1340" i="1"/>
  <c r="K1340" i="1"/>
  <c r="L1340" i="1"/>
  <c r="M1340" i="1"/>
  <c r="N1340" i="1"/>
  <c r="O1340" i="1"/>
  <c r="P1340" i="1"/>
  <c r="Q1340" i="1"/>
  <c r="R1340" i="1"/>
  <c r="S1340" i="1"/>
  <c r="T1340" i="1"/>
  <c r="U1340" i="1"/>
  <c r="V1340" i="1"/>
  <c r="W1340" i="1"/>
  <c r="X1340" i="1"/>
  <c r="Y1340" i="1"/>
  <c r="Z1340" i="1"/>
  <c r="AA1340" i="1"/>
  <c r="AB1340" i="1"/>
  <c r="AC1340" i="1"/>
  <c r="AD1340" i="1"/>
  <c r="AE1340" i="1"/>
  <c r="AF1340" i="1"/>
  <c r="AG1340" i="1"/>
  <c r="AH1340" i="1"/>
  <c r="AI1340" i="1"/>
  <c r="AJ1340" i="1"/>
  <c r="AK1340" i="1"/>
  <c r="AL1340" i="1"/>
  <c r="AM1340" i="1"/>
  <c r="A1341" i="1"/>
  <c r="B1341" i="1"/>
  <c r="C1341" i="1"/>
  <c r="D1341" i="1"/>
  <c r="E1341" i="1"/>
  <c r="F1341" i="1"/>
  <c r="G1341" i="1"/>
  <c r="H1341" i="1"/>
  <c r="I1341" i="1"/>
  <c r="J1341" i="1"/>
  <c r="K1341" i="1"/>
  <c r="L1341" i="1"/>
  <c r="M1341" i="1"/>
  <c r="N1341" i="1"/>
  <c r="O1341" i="1"/>
  <c r="P1341" i="1"/>
  <c r="Q1341" i="1"/>
  <c r="R1341" i="1"/>
  <c r="S1341" i="1"/>
  <c r="T1341" i="1"/>
  <c r="U1341" i="1"/>
  <c r="V1341" i="1"/>
  <c r="W1341" i="1"/>
  <c r="X1341" i="1"/>
  <c r="Y1341" i="1"/>
  <c r="Z1341" i="1"/>
  <c r="AA1341" i="1"/>
  <c r="AB1341" i="1"/>
  <c r="AC1341" i="1"/>
  <c r="AD1341" i="1"/>
  <c r="AE1341" i="1"/>
  <c r="AF1341" i="1"/>
  <c r="AG1341" i="1"/>
  <c r="AH1341" i="1"/>
  <c r="AI1341" i="1"/>
  <c r="AJ1341" i="1"/>
  <c r="AK1341" i="1"/>
  <c r="AL1341" i="1"/>
  <c r="AM1341" i="1"/>
  <c r="A1342" i="1"/>
  <c r="B1342" i="1"/>
  <c r="C1342" i="1"/>
  <c r="D1342" i="1"/>
  <c r="E1342" i="1"/>
  <c r="F1342" i="1"/>
  <c r="G1342" i="1"/>
  <c r="H1342" i="1"/>
  <c r="I1342" i="1"/>
  <c r="J1342" i="1"/>
  <c r="K1342" i="1"/>
  <c r="L1342" i="1"/>
  <c r="M1342" i="1"/>
  <c r="N1342" i="1"/>
  <c r="O1342" i="1"/>
  <c r="P1342" i="1"/>
  <c r="Q1342" i="1"/>
  <c r="R1342" i="1"/>
  <c r="S1342" i="1"/>
  <c r="T1342" i="1"/>
  <c r="U1342" i="1"/>
  <c r="V1342" i="1"/>
  <c r="W1342" i="1"/>
  <c r="X1342" i="1"/>
  <c r="Y1342" i="1"/>
  <c r="Z1342" i="1"/>
  <c r="AA1342" i="1"/>
  <c r="AB1342" i="1"/>
  <c r="AC1342" i="1"/>
  <c r="AD1342" i="1"/>
  <c r="AE1342" i="1"/>
  <c r="AF1342" i="1"/>
  <c r="AG1342" i="1"/>
  <c r="AH1342" i="1"/>
  <c r="AI1342" i="1"/>
  <c r="AJ1342" i="1"/>
  <c r="AK1342" i="1"/>
  <c r="AL1342" i="1"/>
  <c r="AM1342" i="1"/>
  <c r="A1343" i="1"/>
  <c r="B1343" i="1"/>
  <c r="C1343" i="1"/>
  <c r="D1343" i="1"/>
  <c r="E1343" i="1"/>
  <c r="F1343" i="1"/>
  <c r="G1343" i="1"/>
  <c r="H1343" i="1"/>
  <c r="I1343" i="1"/>
  <c r="J1343" i="1"/>
  <c r="K1343" i="1"/>
  <c r="L1343" i="1"/>
  <c r="M1343" i="1"/>
  <c r="N1343" i="1"/>
  <c r="O1343" i="1"/>
  <c r="P1343" i="1"/>
  <c r="Q1343" i="1"/>
  <c r="R1343" i="1"/>
  <c r="S1343" i="1"/>
  <c r="T1343" i="1"/>
  <c r="U1343" i="1"/>
  <c r="V1343" i="1"/>
  <c r="W1343" i="1"/>
  <c r="X1343" i="1"/>
  <c r="Y1343" i="1"/>
  <c r="Z1343" i="1"/>
  <c r="AA1343" i="1"/>
  <c r="AB1343" i="1"/>
  <c r="AC1343" i="1"/>
  <c r="AD1343" i="1"/>
  <c r="AE1343" i="1"/>
  <c r="AF1343" i="1"/>
  <c r="AG1343" i="1"/>
  <c r="AH1343" i="1"/>
  <c r="AI1343" i="1"/>
  <c r="AJ1343" i="1"/>
  <c r="AK1343" i="1"/>
  <c r="AL1343" i="1"/>
  <c r="AM1343" i="1"/>
  <c r="A1344" i="1"/>
  <c r="B1344" i="1"/>
  <c r="C1344" i="1"/>
  <c r="D1344" i="1"/>
  <c r="E1344" i="1"/>
  <c r="F1344" i="1"/>
  <c r="G1344" i="1"/>
  <c r="H1344" i="1"/>
  <c r="I1344" i="1"/>
  <c r="J1344" i="1"/>
  <c r="K1344" i="1"/>
  <c r="L1344" i="1"/>
  <c r="M1344" i="1"/>
  <c r="N1344" i="1"/>
  <c r="O1344" i="1"/>
  <c r="P1344" i="1"/>
  <c r="Q1344" i="1"/>
  <c r="R1344" i="1"/>
  <c r="S1344" i="1"/>
  <c r="T1344" i="1"/>
  <c r="U1344" i="1"/>
  <c r="V1344" i="1"/>
  <c r="W1344" i="1"/>
  <c r="X1344" i="1"/>
  <c r="Y1344" i="1"/>
  <c r="Z1344" i="1"/>
  <c r="AA1344" i="1"/>
  <c r="AB1344" i="1"/>
  <c r="AC1344" i="1"/>
  <c r="AD1344" i="1"/>
  <c r="AE1344" i="1"/>
  <c r="AF1344" i="1"/>
  <c r="AG1344" i="1"/>
  <c r="AH1344" i="1"/>
  <c r="AI1344" i="1"/>
  <c r="AJ1344" i="1"/>
  <c r="AK1344" i="1"/>
  <c r="AL1344" i="1"/>
  <c r="AM1344" i="1"/>
  <c r="A1345" i="1"/>
  <c r="B1345" i="1"/>
  <c r="C1345" i="1"/>
  <c r="D1345" i="1"/>
  <c r="E1345" i="1"/>
  <c r="F1345" i="1"/>
  <c r="G1345" i="1"/>
  <c r="H1345" i="1"/>
  <c r="I1345" i="1"/>
  <c r="J1345" i="1"/>
  <c r="K1345" i="1"/>
  <c r="L1345" i="1"/>
  <c r="M1345" i="1"/>
  <c r="N1345" i="1"/>
  <c r="O1345" i="1"/>
  <c r="P1345" i="1"/>
  <c r="Q1345" i="1"/>
  <c r="R1345" i="1"/>
  <c r="S1345" i="1"/>
  <c r="T1345" i="1"/>
  <c r="U1345" i="1"/>
  <c r="V1345" i="1"/>
  <c r="W1345" i="1"/>
  <c r="X1345" i="1"/>
  <c r="Y1345" i="1"/>
  <c r="Z1345" i="1"/>
  <c r="AA1345" i="1"/>
  <c r="AB1345" i="1"/>
  <c r="AC1345" i="1"/>
  <c r="AD1345" i="1"/>
  <c r="AE1345" i="1"/>
  <c r="AF1345" i="1"/>
  <c r="AG1345" i="1"/>
  <c r="AH1345" i="1"/>
  <c r="AI1345" i="1"/>
  <c r="AJ1345" i="1"/>
  <c r="AK1345" i="1"/>
  <c r="AL1345" i="1"/>
  <c r="AM1345" i="1"/>
  <c r="A1346" i="1"/>
  <c r="B1346" i="1"/>
  <c r="C1346" i="1"/>
  <c r="D1346" i="1"/>
  <c r="E1346" i="1"/>
  <c r="F1346" i="1"/>
  <c r="G1346" i="1"/>
  <c r="H1346" i="1"/>
  <c r="I1346" i="1"/>
  <c r="J1346" i="1"/>
  <c r="K1346" i="1"/>
  <c r="L1346" i="1"/>
  <c r="M1346" i="1"/>
  <c r="N1346" i="1"/>
  <c r="O1346" i="1"/>
  <c r="P1346" i="1"/>
  <c r="Q1346" i="1"/>
  <c r="R1346" i="1"/>
  <c r="S1346" i="1"/>
  <c r="T1346" i="1"/>
  <c r="U1346" i="1"/>
  <c r="V1346" i="1"/>
  <c r="W1346" i="1"/>
  <c r="X1346" i="1"/>
  <c r="Y1346" i="1"/>
  <c r="Z1346" i="1"/>
  <c r="AA1346" i="1"/>
  <c r="AB1346" i="1"/>
  <c r="AC1346" i="1"/>
  <c r="AD1346" i="1"/>
  <c r="AE1346" i="1"/>
  <c r="AF1346" i="1"/>
  <c r="AG1346" i="1"/>
  <c r="AH1346" i="1"/>
  <c r="AI1346" i="1"/>
  <c r="AJ1346" i="1"/>
  <c r="AK1346" i="1"/>
  <c r="AL1346" i="1"/>
  <c r="AM1346" i="1"/>
  <c r="A1347" i="1"/>
  <c r="B1347" i="1"/>
  <c r="C1347" i="1"/>
  <c r="D1347" i="1"/>
  <c r="E1347" i="1"/>
  <c r="F1347" i="1"/>
  <c r="G1347" i="1"/>
  <c r="H1347" i="1"/>
  <c r="I1347" i="1"/>
  <c r="J1347" i="1"/>
  <c r="K1347" i="1"/>
  <c r="L1347" i="1"/>
  <c r="M1347" i="1"/>
  <c r="N1347" i="1"/>
  <c r="O1347" i="1"/>
  <c r="P1347" i="1"/>
  <c r="Q1347" i="1"/>
  <c r="R1347" i="1"/>
  <c r="S1347" i="1"/>
  <c r="T1347" i="1"/>
  <c r="U1347" i="1"/>
  <c r="V1347" i="1"/>
  <c r="W1347" i="1"/>
  <c r="X1347" i="1"/>
  <c r="Y1347" i="1"/>
  <c r="Z1347" i="1"/>
  <c r="AA1347" i="1"/>
  <c r="AB1347" i="1"/>
  <c r="AC1347" i="1"/>
  <c r="AD1347" i="1"/>
  <c r="AE1347" i="1"/>
  <c r="AF1347" i="1"/>
  <c r="AG1347" i="1"/>
  <c r="AH1347" i="1"/>
  <c r="AI1347" i="1"/>
  <c r="AJ1347" i="1"/>
  <c r="AK1347" i="1"/>
  <c r="AL1347" i="1"/>
  <c r="AM1347" i="1"/>
  <c r="A1348" i="1"/>
  <c r="B1348" i="1"/>
  <c r="C1348" i="1"/>
  <c r="D1348" i="1"/>
  <c r="E1348" i="1"/>
  <c r="F1348" i="1"/>
  <c r="G1348" i="1"/>
  <c r="H1348" i="1"/>
  <c r="I1348" i="1"/>
  <c r="J1348" i="1"/>
  <c r="K1348" i="1"/>
  <c r="L1348" i="1"/>
  <c r="M1348" i="1"/>
  <c r="N1348" i="1"/>
  <c r="O1348" i="1"/>
  <c r="P1348" i="1"/>
  <c r="Q1348" i="1"/>
  <c r="R1348" i="1"/>
  <c r="S1348" i="1"/>
  <c r="T1348" i="1"/>
  <c r="U1348" i="1"/>
  <c r="V1348" i="1"/>
  <c r="W1348" i="1"/>
  <c r="X1348" i="1"/>
  <c r="Y1348" i="1"/>
  <c r="Z1348" i="1"/>
  <c r="AA1348" i="1"/>
  <c r="AB1348" i="1"/>
  <c r="AC1348" i="1"/>
  <c r="AD1348" i="1"/>
  <c r="AE1348" i="1"/>
  <c r="AF1348" i="1"/>
  <c r="AG1348" i="1"/>
  <c r="AH1348" i="1"/>
  <c r="AI1348" i="1"/>
  <c r="AJ1348" i="1"/>
  <c r="AK1348" i="1"/>
  <c r="AL1348" i="1"/>
  <c r="AM1348" i="1"/>
  <c r="A1349" i="1"/>
  <c r="B1349" i="1"/>
  <c r="C1349" i="1"/>
  <c r="D1349" i="1"/>
  <c r="E1349" i="1"/>
  <c r="F1349" i="1"/>
  <c r="G1349" i="1"/>
  <c r="H1349" i="1"/>
  <c r="I1349" i="1"/>
  <c r="J1349" i="1"/>
  <c r="K1349" i="1"/>
  <c r="L1349" i="1"/>
  <c r="M1349" i="1"/>
  <c r="N1349" i="1"/>
  <c r="O1349" i="1"/>
  <c r="P1349" i="1"/>
  <c r="Q1349" i="1"/>
  <c r="R1349" i="1"/>
  <c r="S1349" i="1"/>
  <c r="T1349" i="1"/>
  <c r="U1349" i="1"/>
  <c r="V1349" i="1"/>
  <c r="W1349" i="1"/>
  <c r="X1349" i="1"/>
  <c r="Y1349" i="1"/>
  <c r="Z1349" i="1"/>
  <c r="AA1349" i="1"/>
  <c r="AB1349" i="1"/>
  <c r="AC1349" i="1"/>
  <c r="AD1349" i="1"/>
  <c r="AE1349" i="1"/>
  <c r="AF1349" i="1"/>
  <c r="AG1349" i="1"/>
  <c r="AH1349" i="1"/>
  <c r="AI1349" i="1"/>
  <c r="AJ1349" i="1"/>
  <c r="AK1349" i="1"/>
  <c r="AL1349" i="1"/>
  <c r="AM1349" i="1"/>
  <c r="A1350" i="1"/>
  <c r="B1350" i="1"/>
  <c r="C1350" i="1"/>
  <c r="D1350" i="1"/>
  <c r="E1350" i="1"/>
  <c r="F1350" i="1"/>
  <c r="G1350" i="1"/>
  <c r="H1350" i="1"/>
  <c r="I1350" i="1"/>
  <c r="J1350" i="1"/>
  <c r="K1350" i="1"/>
  <c r="L1350" i="1"/>
  <c r="M1350" i="1"/>
  <c r="N1350" i="1"/>
  <c r="O1350" i="1"/>
  <c r="P1350" i="1"/>
  <c r="Q1350" i="1"/>
  <c r="R1350" i="1"/>
  <c r="S1350" i="1"/>
  <c r="T1350" i="1"/>
  <c r="U1350" i="1"/>
  <c r="V1350" i="1"/>
  <c r="W1350" i="1"/>
  <c r="X1350" i="1"/>
  <c r="Y1350" i="1"/>
  <c r="Z1350" i="1"/>
  <c r="AA1350" i="1"/>
  <c r="AB1350" i="1"/>
  <c r="AC1350" i="1"/>
  <c r="AD1350" i="1"/>
  <c r="AE1350" i="1"/>
  <c r="AF1350" i="1"/>
  <c r="AG1350" i="1"/>
  <c r="AH1350" i="1"/>
  <c r="AI1350" i="1"/>
  <c r="AJ1350" i="1"/>
  <c r="AK1350" i="1"/>
  <c r="AL1350" i="1"/>
  <c r="AM1350" i="1"/>
  <c r="A1351" i="1"/>
  <c r="B1351" i="1"/>
  <c r="C1351" i="1"/>
  <c r="D1351" i="1"/>
  <c r="E1351" i="1"/>
  <c r="F1351" i="1"/>
  <c r="G1351" i="1"/>
  <c r="H1351" i="1"/>
  <c r="I1351" i="1"/>
  <c r="J1351" i="1"/>
  <c r="K1351" i="1"/>
  <c r="L1351" i="1"/>
  <c r="M1351" i="1"/>
  <c r="N1351" i="1"/>
  <c r="O1351" i="1"/>
  <c r="P1351" i="1"/>
  <c r="Q1351" i="1"/>
  <c r="R1351" i="1"/>
  <c r="S1351" i="1"/>
  <c r="T1351" i="1"/>
  <c r="U1351" i="1"/>
  <c r="V1351" i="1"/>
  <c r="W1351" i="1"/>
  <c r="X1351" i="1"/>
  <c r="Y1351" i="1"/>
  <c r="Z1351" i="1"/>
  <c r="AA1351" i="1"/>
  <c r="AB1351" i="1"/>
  <c r="AC1351" i="1"/>
  <c r="AD1351" i="1"/>
  <c r="AE1351" i="1"/>
  <c r="AF1351" i="1"/>
  <c r="AG1351" i="1"/>
  <c r="AH1351" i="1"/>
  <c r="AI1351" i="1"/>
  <c r="AJ1351" i="1"/>
  <c r="AK1351" i="1"/>
  <c r="AL1351" i="1"/>
  <c r="AM1351" i="1"/>
  <c r="A1352" i="1"/>
  <c r="B1352" i="1"/>
  <c r="C1352" i="1"/>
  <c r="D1352" i="1"/>
  <c r="E1352" i="1"/>
  <c r="F1352" i="1"/>
  <c r="G1352" i="1"/>
  <c r="H1352" i="1"/>
  <c r="I1352" i="1"/>
  <c r="J1352" i="1"/>
  <c r="K1352" i="1"/>
  <c r="L1352" i="1"/>
  <c r="M1352" i="1"/>
  <c r="N1352" i="1"/>
  <c r="O1352" i="1"/>
  <c r="P1352" i="1"/>
  <c r="Q1352" i="1"/>
  <c r="R1352" i="1"/>
  <c r="S1352" i="1"/>
  <c r="T1352" i="1"/>
  <c r="U1352" i="1"/>
  <c r="V1352" i="1"/>
  <c r="W1352" i="1"/>
  <c r="X1352" i="1"/>
  <c r="Y1352" i="1"/>
  <c r="Z1352" i="1"/>
  <c r="AA1352" i="1"/>
  <c r="AB1352" i="1"/>
  <c r="AC1352" i="1"/>
  <c r="AD1352" i="1"/>
  <c r="AE1352" i="1"/>
  <c r="AF1352" i="1"/>
  <c r="AG1352" i="1"/>
  <c r="AH1352" i="1"/>
  <c r="AI1352" i="1"/>
  <c r="AJ1352" i="1"/>
  <c r="AK1352" i="1"/>
  <c r="AL1352" i="1"/>
  <c r="AM1352" i="1"/>
  <c r="A1353" i="1"/>
  <c r="B1353" i="1"/>
  <c r="C1353" i="1"/>
  <c r="D1353" i="1"/>
  <c r="E1353" i="1"/>
  <c r="F1353" i="1"/>
  <c r="G1353" i="1"/>
  <c r="H1353" i="1"/>
  <c r="I1353" i="1"/>
  <c r="J1353" i="1"/>
  <c r="K1353" i="1"/>
  <c r="L1353" i="1"/>
  <c r="M1353" i="1"/>
  <c r="N1353" i="1"/>
  <c r="O1353" i="1"/>
  <c r="P1353" i="1"/>
  <c r="Q1353" i="1"/>
  <c r="R1353" i="1"/>
  <c r="S1353" i="1"/>
  <c r="T1353" i="1"/>
  <c r="U1353" i="1"/>
  <c r="V1353" i="1"/>
  <c r="W1353" i="1"/>
  <c r="X1353" i="1"/>
  <c r="Y1353" i="1"/>
  <c r="Z1353" i="1"/>
  <c r="AA1353" i="1"/>
  <c r="AB1353" i="1"/>
  <c r="AC1353" i="1"/>
  <c r="AD1353" i="1"/>
  <c r="AE1353" i="1"/>
  <c r="AF1353" i="1"/>
  <c r="AG1353" i="1"/>
  <c r="AH1353" i="1"/>
  <c r="AI1353" i="1"/>
  <c r="AJ1353" i="1"/>
  <c r="AK1353" i="1"/>
  <c r="AL1353" i="1"/>
  <c r="AM1353" i="1"/>
  <c r="A1354" i="1"/>
  <c r="B1354" i="1"/>
  <c r="C1354" i="1"/>
  <c r="D1354" i="1"/>
  <c r="E1354" i="1"/>
  <c r="F1354" i="1"/>
  <c r="G1354" i="1"/>
  <c r="H1354" i="1"/>
  <c r="I1354" i="1"/>
  <c r="J1354" i="1"/>
  <c r="K1354" i="1"/>
  <c r="L1354" i="1"/>
  <c r="M1354" i="1"/>
  <c r="N1354" i="1"/>
  <c r="O1354" i="1"/>
  <c r="P1354" i="1"/>
  <c r="Q1354" i="1"/>
  <c r="R1354" i="1"/>
  <c r="S1354" i="1"/>
  <c r="T1354" i="1"/>
  <c r="U1354" i="1"/>
  <c r="V1354" i="1"/>
  <c r="W1354" i="1"/>
  <c r="X1354" i="1"/>
  <c r="Y1354" i="1"/>
  <c r="Z1354" i="1"/>
  <c r="AA1354" i="1"/>
  <c r="AB1354" i="1"/>
  <c r="AC1354" i="1"/>
  <c r="AD1354" i="1"/>
  <c r="AE1354" i="1"/>
  <c r="AF1354" i="1"/>
  <c r="AG1354" i="1"/>
  <c r="AH1354" i="1"/>
  <c r="AI1354" i="1"/>
  <c r="AJ1354" i="1"/>
  <c r="AK1354" i="1"/>
  <c r="AL1354" i="1"/>
  <c r="AM1354" i="1"/>
  <c r="A1355" i="1"/>
  <c r="B1355" i="1"/>
  <c r="C1355" i="1"/>
  <c r="D1355" i="1"/>
  <c r="E1355" i="1"/>
  <c r="F1355" i="1"/>
  <c r="G1355" i="1"/>
  <c r="H1355" i="1"/>
  <c r="I1355" i="1"/>
  <c r="J1355" i="1"/>
  <c r="K1355" i="1"/>
  <c r="L1355" i="1"/>
  <c r="M1355" i="1"/>
  <c r="N1355" i="1"/>
  <c r="O1355" i="1"/>
  <c r="P1355" i="1"/>
  <c r="Q1355" i="1"/>
  <c r="R1355" i="1"/>
  <c r="S1355" i="1"/>
  <c r="T1355" i="1"/>
  <c r="U1355" i="1"/>
  <c r="V1355" i="1"/>
  <c r="W1355" i="1"/>
  <c r="X1355" i="1"/>
  <c r="Y1355" i="1"/>
  <c r="Z1355" i="1"/>
  <c r="AA1355" i="1"/>
  <c r="AB1355" i="1"/>
  <c r="AC1355" i="1"/>
  <c r="AD1355" i="1"/>
  <c r="AE1355" i="1"/>
  <c r="AF1355" i="1"/>
  <c r="AG1355" i="1"/>
  <c r="AH1355" i="1"/>
  <c r="AI1355" i="1"/>
  <c r="AJ1355" i="1"/>
  <c r="AK1355" i="1"/>
  <c r="AL1355" i="1"/>
  <c r="AM1355" i="1"/>
  <c r="A1356" i="1"/>
  <c r="B1356" i="1"/>
  <c r="C1356" i="1"/>
  <c r="D1356" i="1"/>
  <c r="E1356" i="1"/>
  <c r="F1356" i="1"/>
  <c r="G1356" i="1"/>
  <c r="H1356" i="1"/>
  <c r="I1356" i="1"/>
  <c r="J1356" i="1"/>
  <c r="K1356" i="1"/>
  <c r="L1356" i="1"/>
  <c r="M1356" i="1"/>
  <c r="N1356" i="1"/>
  <c r="O1356" i="1"/>
  <c r="P1356" i="1"/>
  <c r="Q1356" i="1"/>
  <c r="R1356" i="1"/>
  <c r="S1356" i="1"/>
  <c r="T1356" i="1"/>
  <c r="U1356" i="1"/>
  <c r="V1356" i="1"/>
  <c r="W1356" i="1"/>
  <c r="X1356" i="1"/>
  <c r="Y1356" i="1"/>
  <c r="Z1356" i="1"/>
  <c r="AA1356" i="1"/>
  <c r="AB1356" i="1"/>
  <c r="AC1356" i="1"/>
  <c r="AD1356" i="1"/>
  <c r="AE1356" i="1"/>
  <c r="AF1356" i="1"/>
  <c r="AG1356" i="1"/>
  <c r="AH1356" i="1"/>
  <c r="AI1356" i="1"/>
  <c r="AJ1356" i="1"/>
  <c r="AK1356" i="1"/>
  <c r="AL1356" i="1"/>
  <c r="AM1356" i="1"/>
  <c r="A1357" i="1"/>
  <c r="B1357" i="1"/>
  <c r="C1357" i="1"/>
  <c r="D1357" i="1"/>
  <c r="E1357" i="1"/>
  <c r="F1357" i="1"/>
  <c r="G1357" i="1"/>
  <c r="H1357" i="1"/>
  <c r="I1357" i="1"/>
  <c r="J1357" i="1"/>
  <c r="K1357" i="1"/>
  <c r="L1357" i="1"/>
  <c r="M1357" i="1"/>
  <c r="N1357" i="1"/>
  <c r="O1357" i="1"/>
  <c r="P1357" i="1"/>
  <c r="Q1357" i="1"/>
  <c r="R1357" i="1"/>
  <c r="S1357" i="1"/>
  <c r="T1357" i="1"/>
  <c r="U1357" i="1"/>
  <c r="V1357" i="1"/>
  <c r="W1357" i="1"/>
  <c r="X1357" i="1"/>
  <c r="Y1357" i="1"/>
  <c r="Z1357" i="1"/>
  <c r="AA1357" i="1"/>
  <c r="AB1357" i="1"/>
  <c r="AC1357" i="1"/>
  <c r="AD1357" i="1"/>
  <c r="AE1357" i="1"/>
  <c r="AF1357" i="1"/>
  <c r="AG1357" i="1"/>
  <c r="AH1357" i="1"/>
  <c r="AI1357" i="1"/>
  <c r="AJ1357" i="1"/>
  <c r="AK1357" i="1"/>
  <c r="AL1357" i="1"/>
  <c r="AM1357" i="1"/>
  <c r="A1358" i="1"/>
  <c r="B1358" i="1"/>
  <c r="C1358" i="1"/>
  <c r="D1358" i="1"/>
  <c r="E1358" i="1"/>
  <c r="F1358" i="1"/>
  <c r="G1358" i="1"/>
  <c r="H1358" i="1"/>
  <c r="I1358" i="1"/>
  <c r="J1358" i="1"/>
  <c r="K1358" i="1"/>
  <c r="L1358" i="1"/>
  <c r="M1358" i="1"/>
  <c r="N1358" i="1"/>
  <c r="O1358" i="1"/>
  <c r="P1358" i="1"/>
  <c r="Q1358" i="1"/>
  <c r="R1358" i="1"/>
  <c r="S1358" i="1"/>
  <c r="T1358" i="1"/>
  <c r="U1358" i="1"/>
  <c r="V1358" i="1"/>
  <c r="W1358" i="1"/>
  <c r="X1358" i="1"/>
  <c r="Y1358" i="1"/>
  <c r="Z1358" i="1"/>
  <c r="AA1358" i="1"/>
  <c r="AB1358" i="1"/>
  <c r="AC1358" i="1"/>
  <c r="AD1358" i="1"/>
  <c r="AE1358" i="1"/>
  <c r="AF1358" i="1"/>
  <c r="AG1358" i="1"/>
  <c r="AH1358" i="1"/>
  <c r="AI1358" i="1"/>
  <c r="AJ1358" i="1"/>
  <c r="AK1358" i="1"/>
  <c r="AL1358" i="1"/>
  <c r="AM1358" i="1"/>
  <c r="A1359" i="1"/>
  <c r="B1359" i="1"/>
  <c r="C1359" i="1"/>
  <c r="D1359" i="1"/>
  <c r="E1359" i="1"/>
  <c r="F1359" i="1"/>
  <c r="G1359" i="1"/>
  <c r="H1359" i="1"/>
  <c r="I1359" i="1"/>
  <c r="J1359" i="1"/>
  <c r="K1359" i="1"/>
  <c r="L1359" i="1"/>
  <c r="M1359" i="1"/>
  <c r="N1359" i="1"/>
  <c r="O1359" i="1"/>
  <c r="P1359" i="1"/>
  <c r="Q1359" i="1"/>
  <c r="R1359" i="1"/>
  <c r="S1359" i="1"/>
  <c r="T1359" i="1"/>
  <c r="U1359" i="1"/>
  <c r="V1359" i="1"/>
  <c r="W1359" i="1"/>
  <c r="X1359" i="1"/>
  <c r="Y1359" i="1"/>
  <c r="Z1359" i="1"/>
  <c r="AA1359" i="1"/>
  <c r="AB1359" i="1"/>
  <c r="AC1359" i="1"/>
  <c r="AD1359" i="1"/>
  <c r="AE1359" i="1"/>
  <c r="AF1359" i="1"/>
  <c r="AG1359" i="1"/>
  <c r="AH1359" i="1"/>
  <c r="AI1359" i="1"/>
  <c r="AJ1359" i="1"/>
  <c r="AK1359" i="1"/>
  <c r="AL1359" i="1"/>
  <c r="AM1359" i="1"/>
  <c r="A1360" i="1"/>
  <c r="B1360" i="1"/>
  <c r="C1360" i="1"/>
  <c r="D1360" i="1"/>
  <c r="E1360" i="1"/>
  <c r="F1360" i="1"/>
  <c r="G1360" i="1"/>
  <c r="H1360" i="1"/>
  <c r="I1360" i="1"/>
  <c r="J1360" i="1"/>
  <c r="K1360" i="1"/>
  <c r="L1360" i="1"/>
  <c r="M1360" i="1"/>
  <c r="N1360" i="1"/>
  <c r="O1360" i="1"/>
  <c r="P1360" i="1"/>
  <c r="Q1360" i="1"/>
  <c r="R1360" i="1"/>
  <c r="S1360" i="1"/>
  <c r="T1360" i="1"/>
  <c r="U1360" i="1"/>
  <c r="V1360" i="1"/>
  <c r="W1360" i="1"/>
  <c r="X1360" i="1"/>
  <c r="Y1360" i="1"/>
  <c r="Z1360" i="1"/>
  <c r="AA1360" i="1"/>
  <c r="AB1360" i="1"/>
  <c r="AC1360" i="1"/>
  <c r="AD1360" i="1"/>
  <c r="AE1360" i="1"/>
  <c r="AF1360" i="1"/>
  <c r="AG1360" i="1"/>
  <c r="AH1360" i="1"/>
  <c r="AI1360" i="1"/>
  <c r="AJ1360" i="1"/>
  <c r="AK1360" i="1"/>
  <c r="AL1360" i="1"/>
  <c r="AM1360" i="1"/>
  <c r="A1361" i="1"/>
  <c r="B1361" i="1"/>
  <c r="C1361" i="1"/>
  <c r="D1361" i="1"/>
  <c r="E1361" i="1"/>
  <c r="F1361" i="1"/>
  <c r="G1361" i="1"/>
  <c r="H1361" i="1"/>
  <c r="I1361" i="1"/>
  <c r="J1361" i="1"/>
  <c r="K1361" i="1"/>
  <c r="L1361" i="1"/>
  <c r="M1361" i="1"/>
  <c r="N1361" i="1"/>
  <c r="O1361" i="1"/>
  <c r="P1361" i="1"/>
  <c r="Q1361" i="1"/>
  <c r="R1361" i="1"/>
  <c r="S1361" i="1"/>
  <c r="T1361" i="1"/>
  <c r="U1361" i="1"/>
  <c r="V1361" i="1"/>
  <c r="W1361" i="1"/>
  <c r="X1361" i="1"/>
  <c r="Y1361" i="1"/>
  <c r="Z1361" i="1"/>
  <c r="AA1361" i="1"/>
  <c r="AB1361" i="1"/>
  <c r="AC1361" i="1"/>
  <c r="AD1361" i="1"/>
  <c r="AE1361" i="1"/>
  <c r="AF1361" i="1"/>
  <c r="AG1361" i="1"/>
  <c r="AH1361" i="1"/>
  <c r="AI1361" i="1"/>
  <c r="AJ1361" i="1"/>
  <c r="AK1361" i="1"/>
  <c r="AL1361" i="1"/>
  <c r="AM1361" i="1"/>
  <c r="A1362" i="1"/>
  <c r="B1362" i="1"/>
  <c r="C1362" i="1"/>
  <c r="D1362" i="1"/>
  <c r="E1362" i="1"/>
  <c r="F1362" i="1"/>
  <c r="G1362" i="1"/>
  <c r="H1362" i="1"/>
  <c r="I1362" i="1"/>
  <c r="J1362" i="1"/>
  <c r="K1362" i="1"/>
  <c r="L1362" i="1"/>
  <c r="M1362" i="1"/>
  <c r="N1362" i="1"/>
  <c r="O1362" i="1"/>
  <c r="P1362" i="1"/>
  <c r="Q1362" i="1"/>
  <c r="R1362" i="1"/>
  <c r="S1362" i="1"/>
  <c r="T1362" i="1"/>
  <c r="U1362" i="1"/>
  <c r="V1362" i="1"/>
  <c r="W1362" i="1"/>
  <c r="X1362" i="1"/>
  <c r="Y1362" i="1"/>
  <c r="Z1362" i="1"/>
  <c r="AA1362" i="1"/>
  <c r="AB1362" i="1"/>
  <c r="AC1362" i="1"/>
  <c r="AD1362" i="1"/>
  <c r="AE1362" i="1"/>
  <c r="AF1362" i="1"/>
  <c r="AG1362" i="1"/>
  <c r="AH1362" i="1"/>
  <c r="AI1362" i="1"/>
  <c r="AJ1362" i="1"/>
  <c r="AK1362" i="1"/>
  <c r="AL1362" i="1"/>
  <c r="AM1362" i="1"/>
  <c r="A1363" i="1"/>
  <c r="B1363" i="1"/>
  <c r="C1363" i="1"/>
  <c r="D1363" i="1"/>
  <c r="E1363" i="1"/>
  <c r="F1363" i="1"/>
  <c r="G1363" i="1"/>
  <c r="H1363" i="1"/>
  <c r="I1363" i="1"/>
  <c r="J1363" i="1"/>
  <c r="K1363" i="1"/>
  <c r="L1363" i="1"/>
  <c r="M1363" i="1"/>
  <c r="N1363" i="1"/>
  <c r="O1363" i="1"/>
  <c r="P1363" i="1"/>
  <c r="Q1363" i="1"/>
  <c r="R1363" i="1"/>
  <c r="S1363" i="1"/>
  <c r="T1363" i="1"/>
  <c r="U1363" i="1"/>
  <c r="V1363" i="1"/>
  <c r="W1363" i="1"/>
  <c r="X1363" i="1"/>
  <c r="Y1363" i="1"/>
  <c r="Z1363" i="1"/>
  <c r="AA1363" i="1"/>
  <c r="AB1363" i="1"/>
  <c r="AC1363" i="1"/>
  <c r="AD1363" i="1"/>
  <c r="AE1363" i="1"/>
  <c r="AF1363" i="1"/>
  <c r="AG1363" i="1"/>
  <c r="AH1363" i="1"/>
  <c r="AI1363" i="1"/>
  <c r="AJ1363" i="1"/>
  <c r="AK1363" i="1"/>
  <c r="AL1363" i="1"/>
  <c r="AM1363" i="1"/>
  <c r="A1364" i="1"/>
  <c r="B1364" i="1"/>
  <c r="C1364" i="1"/>
  <c r="D1364" i="1"/>
  <c r="E1364" i="1"/>
  <c r="F1364" i="1"/>
  <c r="G1364" i="1"/>
  <c r="H1364" i="1"/>
  <c r="I1364" i="1"/>
  <c r="J1364" i="1"/>
  <c r="K1364" i="1"/>
  <c r="L1364" i="1"/>
  <c r="M1364" i="1"/>
  <c r="N1364" i="1"/>
  <c r="O1364" i="1"/>
  <c r="P1364" i="1"/>
  <c r="Q1364" i="1"/>
  <c r="R1364" i="1"/>
  <c r="S1364" i="1"/>
  <c r="T1364" i="1"/>
  <c r="U1364" i="1"/>
  <c r="V1364" i="1"/>
  <c r="W1364" i="1"/>
  <c r="X1364" i="1"/>
  <c r="Y1364" i="1"/>
  <c r="Z1364" i="1"/>
  <c r="AA1364" i="1"/>
  <c r="AB1364" i="1"/>
  <c r="AC1364" i="1"/>
  <c r="AD1364" i="1"/>
  <c r="AE1364" i="1"/>
  <c r="AF1364" i="1"/>
  <c r="AG1364" i="1"/>
  <c r="AH1364" i="1"/>
  <c r="AI1364" i="1"/>
  <c r="AJ1364" i="1"/>
  <c r="AK1364" i="1"/>
  <c r="AL1364" i="1"/>
  <c r="AM1364" i="1"/>
  <c r="A1365" i="1"/>
  <c r="B1365" i="1"/>
  <c r="C1365" i="1"/>
  <c r="D1365" i="1"/>
  <c r="E1365" i="1"/>
  <c r="F1365" i="1"/>
  <c r="G1365" i="1"/>
  <c r="H1365" i="1"/>
  <c r="I1365" i="1"/>
  <c r="J1365" i="1"/>
  <c r="K1365" i="1"/>
  <c r="L1365" i="1"/>
  <c r="M1365" i="1"/>
  <c r="N1365" i="1"/>
  <c r="O1365" i="1"/>
  <c r="P1365" i="1"/>
  <c r="Q1365" i="1"/>
  <c r="R1365" i="1"/>
  <c r="S1365" i="1"/>
  <c r="T1365" i="1"/>
  <c r="U1365" i="1"/>
  <c r="V1365" i="1"/>
  <c r="W1365" i="1"/>
  <c r="X1365" i="1"/>
  <c r="Y1365" i="1"/>
  <c r="Z1365" i="1"/>
  <c r="AA1365" i="1"/>
  <c r="AB1365" i="1"/>
  <c r="AC1365" i="1"/>
  <c r="AD1365" i="1"/>
  <c r="AE1365" i="1"/>
  <c r="AF1365" i="1"/>
  <c r="AG1365" i="1"/>
  <c r="AH1365" i="1"/>
  <c r="AI1365" i="1"/>
  <c r="AJ1365" i="1"/>
  <c r="AK1365" i="1"/>
  <c r="AL1365" i="1"/>
  <c r="AM1365" i="1"/>
  <c r="A1366" i="1"/>
  <c r="B1366" i="1"/>
  <c r="C1366" i="1"/>
  <c r="D1366" i="1"/>
  <c r="E1366" i="1"/>
  <c r="F1366" i="1"/>
  <c r="G1366" i="1"/>
  <c r="H1366" i="1"/>
  <c r="I1366" i="1"/>
  <c r="J1366" i="1"/>
  <c r="K1366" i="1"/>
  <c r="L1366" i="1"/>
  <c r="M1366" i="1"/>
  <c r="N1366" i="1"/>
  <c r="O1366" i="1"/>
  <c r="P1366" i="1"/>
  <c r="Q1366" i="1"/>
  <c r="R1366" i="1"/>
  <c r="S1366" i="1"/>
  <c r="T1366" i="1"/>
  <c r="U1366" i="1"/>
  <c r="V1366" i="1"/>
  <c r="W1366" i="1"/>
  <c r="X1366" i="1"/>
  <c r="Y1366" i="1"/>
  <c r="Z1366" i="1"/>
  <c r="AA1366" i="1"/>
  <c r="AB1366" i="1"/>
  <c r="AC1366" i="1"/>
  <c r="AD1366" i="1"/>
  <c r="AE1366" i="1"/>
  <c r="AF1366" i="1"/>
  <c r="AG1366" i="1"/>
  <c r="AH1366" i="1"/>
  <c r="AI1366" i="1"/>
  <c r="AJ1366" i="1"/>
  <c r="AK1366" i="1"/>
  <c r="AL1366" i="1"/>
  <c r="AM1366" i="1"/>
  <c r="A1367" i="1"/>
  <c r="B1367" i="1"/>
  <c r="C1367" i="1"/>
  <c r="D1367" i="1"/>
  <c r="E1367" i="1"/>
  <c r="F1367" i="1"/>
  <c r="G1367" i="1"/>
  <c r="H1367" i="1"/>
  <c r="I1367" i="1"/>
  <c r="J1367" i="1"/>
  <c r="K1367" i="1"/>
  <c r="L1367" i="1"/>
  <c r="M1367" i="1"/>
  <c r="N1367" i="1"/>
  <c r="O1367" i="1"/>
  <c r="P1367" i="1"/>
  <c r="Q1367" i="1"/>
  <c r="R1367" i="1"/>
  <c r="S1367" i="1"/>
  <c r="T1367" i="1"/>
  <c r="U1367" i="1"/>
  <c r="V1367" i="1"/>
  <c r="W1367" i="1"/>
  <c r="X1367" i="1"/>
  <c r="Y1367" i="1"/>
  <c r="Z1367" i="1"/>
  <c r="AA1367" i="1"/>
  <c r="AB1367" i="1"/>
  <c r="AC1367" i="1"/>
  <c r="AD1367" i="1"/>
  <c r="AE1367" i="1"/>
  <c r="AF1367" i="1"/>
  <c r="AG1367" i="1"/>
  <c r="AH1367" i="1"/>
  <c r="AI1367" i="1"/>
  <c r="AJ1367" i="1"/>
  <c r="AK1367" i="1"/>
  <c r="AL1367" i="1"/>
  <c r="AM1367" i="1"/>
  <c r="A1368" i="1"/>
  <c r="B1368" i="1"/>
  <c r="C1368" i="1"/>
  <c r="D1368" i="1"/>
  <c r="E1368" i="1"/>
  <c r="F1368" i="1"/>
  <c r="G1368" i="1"/>
  <c r="H1368" i="1"/>
  <c r="I1368" i="1"/>
  <c r="J1368" i="1"/>
  <c r="K1368" i="1"/>
  <c r="L1368" i="1"/>
  <c r="M1368" i="1"/>
  <c r="N1368" i="1"/>
  <c r="O1368" i="1"/>
  <c r="P1368" i="1"/>
  <c r="Q1368" i="1"/>
  <c r="R1368" i="1"/>
  <c r="S1368" i="1"/>
  <c r="T1368" i="1"/>
  <c r="U1368" i="1"/>
  <c r="V1368" i="1"/>
  <c r="W1368" i="1"/>
  <c r="X1368" i="1"/>
  <c r="Y1368" i="1"/>
  <c r="Z1368" i="1"/>
  <c r="AA1368" i="1"/>
  <c r="AB1368" i="1"/>
  <c r="AC1368" i="1"/>
  <c r="AD1368" i="1"/>
  <c r="AE1368" i="1"/>
  <c r="AF1368" i="1"/>
  <c r="AG1368" i="1"/>
  <c r="AH1368" i="1"/>
  <c r="AI1368" i="1"/>
  <c r="AJ1368" i="1"/>
  <c r="AK1368" i="1"/>
  <c r="AL1368" i="1"/>
  <c r="AM1368" i="1"/>
  <c r="A1369" i="1"/>
  <c r="B1369" i="1"/>
  <c r="C1369" i="1"/>
  <c r="D1369" i="1"/>
  <c r="E1369" i="1"/>
  <c r="F1369" i="1"/>
  <c r="G1369" i="1"/>
  <c r="H1369" i="1"/>
  <c r="I1369" i="1"/>
  <c r="J1369" i="1"/>
  <c r="K1369" i="1"/>
  <c r="L1369" i="1"/>
  <c r="M1369" i="1"/>
  <c r="N1369" i="1"/>
  <c r="O1369" i="1"/>
  <c r="P1369" i="1"/>
  <c r="Q1369" i="1"/>
  <c r="R1369" i="1"/>
  <c r="S1369" i="1"/>
  <c r="T1369" i="1"/>
  <c r="U1369" i="1"/>
  <c r="V1369" i="1"/>
  <c r="W1369" i="1"/>
  <c r="X1369" i="1"/>
  <c r="Y1369" i="1"/>
  <c r="Z1369" i="1"/>
  <c r="AA1369" i="1"/>
  <c r="AB1369" i="1"/>
  <c r="AC1369" i="1"/>
  <c r="AD1369" i="1"/>
  <c r="AE1369" i="1"/>
  <c r="AF1369" i="1"/>
  <c r="AG1369" i="1"/>
  <c r="AH1369" i="1"/>
  <c r="AI1369" i="1"/>
  <c r="AJ1369" i="1"/>
  <c r="AK1369" i="1"/>
  <c r="AL1369" i="1"/>
  <c r="AM1369" i="1"/>
  <c r="A1370" i="1"/>
  <c r="B1370" i="1"/>
  <c r="C1370" i="1"/>
  <c r="D1370" i="1"/>
  <c r="E1370" i="1"/>
  <c r="F1370" i="1"/>
  <c r="G1370" i="1"/>
  <c r="H1370" i="1"/>
  <c r="I1370" i="1"/>
  <c r="J1370" i="1"/>
  <c r="K1370" i="1"/>
  <c r="L1370" i="1"/>
  <c r="M1370" i="1"/>
  <c r="N1370" i="1"/>
  <c r="O1370" i="1"/>
  <c r="P1370" i="1"/>
  <c r="Q1370" i="1"/>
  <c r="R1370" i="1"/>
  <c r="S1370" i="1"/>
  <c r="T1370" i="1"/>
  <c r="U1370" i="1"/>
  <c r="V1370" i="1"/>
  <c r="W1370" i="1"/>
  <c r="X1370" i="1"/>
  <c r="Y1370" i="1"/>
  <c r="Z1370" i="1"/>
  <c r="AA1370" i="1"/>
  <c r="AB1370" i="1"/>
  <c r="AC1370" i="1"/>
  <c r="AD1370" i="1"/>
  <c r="AE1370" i="1"/>
  <c r="AF1370" i="1"/>
  <c r="AG1370" i="1"/>
  <c r="AH1370" i="1"/>
  <c r="AI1370" i="1"/>
  <c r="AJ1370" i="1"/>
  <c r="AK1370" i="1"/>
  <c r="AL1370" i="1"/>
  <c r="AM1370" i="1"/>
  <c r="A1371" i="1"/>
  <c r="B1371" i="1"/>
  <c r="C1371" i="1"/>
  <c r="D1371" i="1"/>
  <c r="E1371" i="1"/>
  <c r="F1371" i="1"/>
  <c r="G1371" i="1"/>
  <c r="H1371" i="1"/>
  <c r="I1371" i="1"/>
  <c r="J1371" i="1"/>
  <c r="K1371" i="1"/>
  <c r="L1371" i="1"/>
  <c r="M1371" i="1"/>
  <c r="N1371" i="1"/>
  <c r="O1371" i="1"/>
  <c r="P1371" i="1"/>
  <c r="Q1371" i="1"/>
  <c r="R1371" i="1"/>
  <c r="S1371" i="1"/>
  <c r="T1371" i="1"/>
  <c r="U1371" i="1"/>
  <c r="V1371" i="1"/>
  <c r="W1371" i="1"/>
  <c r="X1371" i="1"/>
  <c r="Y1371" i="1"/>
  <c r="Z1371" i="1"/>
  <c r="AA1371" i="1"/>
  <c r="AB1371" i="1"/>
  <c r="AC1371" i="1"/>
  <c r="AD1371" i="1"/>
  <c r="AE1371" i="1"/>
  <c r="AF1371" i="1"/>
  <c r="AG1371" i="1"/>
  <c r="AH1371" i="1"/>
  <c r="AI1371" i="1"/>
  <c r="AJ1371" i="1"/>
  <c r="AK1371" i="1"/>
  <c r="AL1371" i="1"/>
  <c r="AM1371" i="1"/>
  <c r="A1372" i="1"/>
  <c r="B1372" i="1"/>
  <c r="C1372" i="1"/>
  <c r="D1372" i="1"/>
  <c r="E1372" i="1"/>
  <c r="F1372" i="1"/>
  <c r="G1372" i="1"/>
  <c r="H1372" i="1"/>
  <c r="I1372" i="1"/>
  <c r="J1372" i="1"/>
  <c r="K1372" i="1"/>
  <c r="L1372" i="1"/>
  <c r="M1372" i="1"/>
  <c r="N1372" i="1"/>
  <c r="O1372" i="1"/>
  <c r="P1372" i="1"/>
  <c r="Q1372" i="1"/>
  <c r="R1372" i="1"/>
  <c r="S1372" i="1"/>
  <c r="T1372" i="1"/>
  <c r="U1372" i="1"/>
  <c r="V1372" i="1"/>
  <c r="W1372" i="1"/>
  <c r="X1372" i="1"/>
  <c r="Y1372" i="1"/>
  <c r="Z1372" i="1"/>
  <c r="AA1372" i="1"/>
  <c r="AB1372" i="1"/>
  <c r="AC1372" i="1"/>
  <c r="AD1372" i="1"/>
  <c r="AE1372" i="1"/>
  <c r="AF1372" i="1"/>
  <c r="AG1372" i="1"/>
  <c r="AH1372" i="1"/>
  <c r="AI1372" i="1"/>
  <c r="AJ1372" i="1"/>
  <c r="AK1372" i="1"/>
  <c r="AL1372" i="1"/>
  <c r="AM1372" i="1"/>
  <c r="A1373" i="1"/>
  <c r="B1373" i="1"/>
  <c r="C1373" i="1"/>
  <c r="D1373" i="1"/>
  <c r="E1373" i="1"/>
  <c r="F1373" i="1"/>
  <c r="G1373" i="1"/>
  <c r="H1373" i="1"/>
  <c r="I1373" i="1"/>
  <c r="J1373" i="1"/>
  <c r="K1373" i="1"/>
  <c r="L1373" i="1"/>
  <c r="M1373" i="1"/>
  <c r="N1373" i="1"/>
  <c r="O1373" i="1"/>
  <c r="P1373" i="1"/>
  <c r="Q1373" i="1"/>
  <c r="R1373" i="1"/>
  <c r="S1373" i="1"/>
  <c r="T1373" i="1"/>
  <c r="U1373" i="1"/>
  <c r="V1373" i="1"/>
  <c r="W1373" i="1"/>
  <c r="X1373" i="1"/>
  <c r="Y1373" i="1"/>
  <c r="Z1373" i="1"/>
  <c r="AA1373" i="1"/>
  <c r="AB1373" i="1"/>
  <c r="AC1373" i="1"/>
  <c r="AD1373" i="1"/>
  <c r="AE1373" i="1"/>
  <c r="AF1373" i="1"/>
  <c r="AG1373" i="1"/>
  <c r="AH1373" i="1"/>
  <c r="AI1373" i="1"/>
  <c r="AJ1373" i="1"/>
  <c r="AK1373" i="1"/>
  <c r="AL1373" i="1"/>
  <c r="AM1373" i="1"/>
  <c r="A1374" i="1"/>
  <c r="B1374" i="1"/>
  <c r="C1374" i="1"/>
  <c r="D1374" i="1"/>
  <c r="E1374" i="1"/>
  <c r="F1374" i="1"/>
  <c r="G1374" i="1"/>
  <c r="H1374" i="1"/>
  <c r="I1374" i="1"/>
  <c r="J1374" i="1"/>
  <c r="K1374" i="1"/>
  <c r="L1374" i="1"/>
  <c r="M1374" i="1"/>
  <c r="N1374" i="1"/>
  <c r="O1374" i="1"/>
  <c r="P1374" i="1"/>
  <c r="Q1374" i="1"/>
  <c r="R1374" i="1"/>
  <c r="S1374" i="1"/>
  <c r="T1374" i="1"/>
  <c r="U1374" i="1"/>
  <c r="V1374" i="1"/>
  <c r="W1374" i="1"/>
  <c r="X1374" i="1"/>
  <c r="Y1374" i="1"/>
  <c r="Z1374" i="1"/>
  <c r="AA1374" i="1"/>
  <c r="AB1374" i="1"/>
  <c r="AC1374" i="1"/>
  <c r="AD1374" i="1"/>
  <c r="AE1374" i="1"/>
  <c r="AF1374" i="1"/>
  <c r="AG1374" i="1"/>
  <c r="AH1374" i="1"/>
  <c r="AI1374" i="1"/>
  <c r="AJ1374" i="1"/>
  <c r="AK1374" i="1"/>
  <c r="AL1374" i="1"/>
  <c r="AM1374" i="1"/>
  <c r="A1375" i="1"/>
  <c r="B1375" i="1"/>
  <c r="C1375" i="1"/>
  <c r="D1375" i="1"/>
  <c r="E1375" i="1"/>
  <c r="F1375" i="1"/>
  <c r="G1375" i="1"/>
  <c r="H1375" i="1"/>
  <c r="I1375" i="1"/>
  <c r="J1375" i="1"/>
  <c r="K1375" i="1"/>
  <c r="L1375" i="1"/>
  <c r="M1375" i="1"/>
  <c r="N1375" i="1"/>
  <c r="O1375" i="1"/>
  <c r="P1375" i="1"/>
  <c r="Q1375" i="1"/>
  <c r="R1375" i="1"/>
  <c r="S1375" i="1"/>
  <c r="T1375" i="1"/>
  <c r="U1375" i="1"/>
  <c r="V1375" i="1"/>
  <c r="W1375" i="1"/>
  <c r="X1375" i="1"/>
  <c r="Y1375" i="1"/>
  <c r="Z1375" i="1"/>
  <c r="AA1375" i="1"/>
  <c r="AB1375" i="1"/>
  <c r="AC1375" i="1"/>
  <c r="AD1375" i="1"/>
  <c r="AE1375" i="1"/>
  <c r="AF1375" i="1"/>
  <c r="AG1375" i="1"/>
  <c r="AH1375" i="1"/>
  <c r="AI1375" i="1"/>
  <c r="AJ1375" i="1"/>
  <c r="AK1375" i="1"/>
  <c r="AL1375" i="1"/>
  <c r="AM1375" i="1"/>
  <c r="A1376" i="1"/>
  <c r="B1376" i="1"/>
  <c r="C1376" i="1"/>
  <c r="D1376" i="1"/>
  <c r="E1376" i="1"/>
  <c r="F1376" i="1"/>
  <c r="G1376" i="1"/>
  <c r="H1376" i="1"/>
  <c r="I1376" i="1"/>
  <c r="J1376" i="1"/>
  <c r="K1376" i="1"/>
  <c r="L1376" i="1"/>
  <c r="M1376" i="1"/>
  <c r="N1376" i="1"/>
  <c r="O1376" i="1"/>
  <c r="P1376" i="1"/>
  <c r="Q1376" i="1"/>
  <c r="R1376" i="1"/>
  <c r="S1376" i="1"/>
  <c r="T1376" i="1"/>
  <c r="U1376" i="1"/>
  <c r="V1376" i="1"/>
  <c r="W1376" i="1"/>
  <c r="X1376" i="1"/>
  <c r="Y1376" i="1"/>
  <c r="Z1376" i="1"/>
  <c r="AA1376" i="1"/>
  <c r="AB1376" i="1"/>
  <c r="AC1376" i="1"/>
  <c r="AD1376" i="1"/>
  <c r="AE1376" i="1"/>
  <c r="AF1376" i="1"/>
  <c r="AG1376" i="1"/>
  <c r="AH1376" i="1"/>
  <c r="AI1376" i="1"/>
  <c r="AJ1376" i="1"/>
  <c r="AK1376" i="1"/>
  <c r="AL1376" i="1"/>
  <c r="AM1376" i="1"/>
  <c r="A1377" i="1"/>
  <c r="B1377" i="1"/>
  <c r="C1377" i="1"/>
  <c r="D1377" i="1"/>
  <c r="E1377" i="1"/>
  <c r="F1377" i="1"/>
  <c r="G1377" i="1"/>
  <c r="H1377" i="1"/>
  <c r="I1377" i="1"/>
  <c r="J1377" i="1"/>
  <c r="K1377" i="1"/>
  <c r="L1377" i="1"/>
  <c r="M1377" i="1"/>
  <c r="N1377" i="1"/>
  <c r="O1377" i="1"/>
  <c r="P1377" i="1"/>
  <c r="Q1377" i="1"/>
  <c r="R1377" i="1"/>
  <c r="S1377" i="1"/>
  <c r="T1377" i="1"/>
  <c r="U1377" i="1"/>
  <c r="V1377" i="1"/>
  <c r="W1377" i="1"/>
  <c r="X1377" i="1"/>
  <c r="Y1377" i="1"/>
  <c r="Z1377" i="1"/>
  <c r="AA1377" i="1"/>
  <c r="AB1377" i="1"/>
  <c r="AC1377" i="1"/>
  <c r="AD1377" i="1"/>
  <c r="AE1377" i="1"/>
  <c r="AF1377" i="1"/>
  <c r="AG1377" i="1"/>
  <c r="AH1377" i="1"/>
  <c r="AI1377" i="1"/>
  <c r="AJ1377" i="1"/>
  <c r="AK1377" i="1"/>
  <c r="AL1377" i="1"/>
  <c r="AM1377" i="1"/>
  <c r="A1378" i="1"/>
  <c r="B1378" i="1"/>
  <c r="C1378" i="1"/>
  <c r="D1378" i="1"/>
  <c r="E1378" i="1"/>
  <c r="F1378" i="1"/>
  <c r="G1378" i="1"/>
  <c r="H1378" i="1"/>
  <c r="I1378" i="1"/>
  <c r="J1378" i="1"/>
  <c r="K1378" i="1"/>
  <c r="L1378" i="1"/>
  <c r="M1378" i="1"/>
  <c r="N1378" i="1"/>
  <c r="O1378" i="1"/>
  <c r="P1378" i="1"/>
  <c r="Q1378" i="1"/>
  <c r="R1378" i="1"/>
  <c r="S1378" i="1"/>
  <c r="T1378" i="1"/>
  <c r="U1378" i="1"/>
  <c r="V1378" i="1"/>
  <c r="W1378" i="1"/>
  <c r="X1378" i="1"/>
  <c r="Y1378" i="1"/>
  <c r="Z1378" i="1"/>
  <c r="AA1378" i="1"/>
  <c r="AB1378" i="1"/>
  <c r="AC1378" i="1"/>
  <c r="AD1378" i="1"/>
  <c r="AE1378" i="1"/>
  <c r="AF1378" i="1"/>
  <c r="AG1378" i="1"/>
  <c r="AH1378" i="1"/>
  <c r="AI1378" i="1"/>
  <c r="AJ1378" i="1"/>
  <c r="AK1378" i="1"/>
  <c r="AL1378" i="1"/>
  <c r="AM1378" i="1"/>
  <c r="A1379" i="1"/>
  <c r="B1379" i="1"/>
  <c r="C1379" i="1"/>
  <c r="D1379" i="1"/>
  <c r="E1379" i="1"/>
  <c r="F1379" i="1"/>
  <c r="G1379" i="1"/>
  <c r="H1379" i="1"/>
  <c r="I1379" i="1"/>
  <c r="J1379" i="1"/>
  <c r="K1379" i="1"/>
  <c r="L1379" i="1"/>
  <c r="M1379" i="1"/>
  <c r="N1379" i="1"/>
  <c r="O1379" i="1"/>
  <c r="P1379" i="1"/>
  <c r="Q1379" i="1"/>
  <c r="R1379" i="1"/>
  <c r="S1379" i="1"/>
  <c r="T1379" i="1"/>
  <c r="U1379" i="1"/>
  <c r="V1379" i="1"/>
  <c r="W1379" i="1"/>
  <c r="X1379" i="1"/>
  <c r="Y1379" i="1"/>
  <c r="Z1379" i="1"/>
  <c r="AA1379" i="1"/>
  <c r="AB1379" i="1"/>
  <c r="AC1379" i="1"/>
  <c r="AD1379" i="1"/>
  <c r="AE1379" i="1"/>
  <c r="AF1379" i="1"/>
  <c r="AG1379" i="1"/>
  <c r="AH1379" i="1"/>
  <c r="AI1379" i="1"/>
  <c r="AJ1379" i="1"/>
  <c r="AK1379" i="1"/>
  <c r="AL1379" i="1"/>
  <c r="AM1379" i="1"/>
  <c r="A1380" i="1"/>
  <c r="B1380" i="1"/>
  <c r="C1380" i="1"/>
  <c r="D1380" i="1"/>
  <c r="E1380" i="1"/>
  <c r="F1380" i="1"/>
  <c r="G1380" i="1"/>
  <c r="H1380" i="1"/>
  <c r="I1380" i="1"/>
  <c r="J1380" i="1"/>
  <c r="K1380" i="1"/>
  <c r="L1380" i="1"/>
  <c r="M1380" i="1"/>
  <c r="N1380" i="1"/>
  <c r="O1380" i="1"/>
  <c r="P1380" i="1"/>
  <c r="Q1380" i="1"/>
  <c r="R1380" i="1"/>
  <c r="S1380" i="1"/>
  <c r="T1380" i="1"/>
  <c r="U1380" i="1"/>
  <c r="V1380" i="1"/>
  <c r="W1380" i="1"/>
  <c r="X1380" i="1"/>
  <c r="Y1380" i="1"/>
  <c r="Z1380" i="1"/>
  <c r="AA1380" i="1"/>
  <c r="AB1380" i="1"/>
  <c r="AC1380" i="1"/>
  <c r="AD1380" i="1"/>
  <c r="AE1380" i="1"/>
  <c r="AF1380" i="1"/>
  <c r="AG1380" i="1"/>
  <c r="AH1380" i="1"/>
  <c r="AI1380" i="1"/>
  <c r="AJ1380" i="1"/>
  <c r="AK1380" i="1"/>
  <c r="AL1380" i="1"/>
  <c r="AM1380" i="1"/>
  <c r="A1381" i="1"/>
  <c r="B1381" i="1"/>
  <c r="C1381" i="1"/>
  <c r="D1381" i="1"/>
  <c r="E1381" i="1"/>
  <c r="F1381" i="1"/>
  <c r="G1381" i="1"/>
  <c r="H1381" i="1"/>
  <c r="I1381" i="1"/>
  <c r="J1381" i="1"/>
  <c r="K1381" i="1"/>
  <c r="L1381" i="1"/>
  <c r="M1381" i="1"/>
  <c r="N1381" i="1"/>
  <c r="O1381" i="1"/>
  <c r="P1381" i="1"/>
  <c r="Q1381" i="1"/>
  <c r="R1381" i="1"/>
  <c r="S1381" i="1"/>
  <c r="T1381" i="1"/>
  <c r="U1381" i="1"/>
  <c r="V1381" i="1"/>
  <c r="W1381" i="1"/>
  <c r="X1381" i="1"/>
  <c r="Y1381" i="1"/>
  <c r="Z1381" i="1"/>
  <c r="AA1381" i="1"/>
  <c r="AB1381" i="1"/>
  <c r="AC1381" i="1"/>
  <c r="AD1381" i="1"/>
  <c r="AE1381" i="1"/>
  <c r="AF1381" i="1"/>
  <c r="AG1381" i="1"/>
  <c r="AH1381" i="1"/>
  <c r="AI1381" i="1"/>
  <c r="AJ1381" i="1"/>
  <c r="AK1381" i="1"/>
  <c r="AL1381" i="1"/>
  <c r="AM1381" i="1"/>
  <c r="A1382" i="1"/>
  <c r="B1382" i="1"/>
  <c r="C1382" i="1"/>
  <c r="D1382" i="1"/>
  <c r="E1382" i="1"/>
  <c r="F1382" i="1"/>
  <c r="G1382" i="1"/>
  <c r="H1382" i="1"/>
  <c r="I1382" i="1"/>
  <c r="J1382" i="1"/>
  <c r="K1382" i="1"/>
  <c r="L1382" i="1"/>
  <c r="M1382" i="1"/>
  <c r="N1382" i="1"/>
  <c r="O1382" i="1"/>
  <c r="P1382" i="1"/>
  <c r="Q1382" i="1"/>
  <c r="R1382" i="1"/>
  <c r="S1382" i="1"/>
  <c r="T1382" i="1"/>
  <c r="U1382" i="1"/>
  <c r="V1382" i="1"/>
  <c r="W1382" i="1"/>
  <c r="X1382" i="1"/>
  <c r="Y1382" i="1"/>
  <c r="Z1382" i="1"/>
  <c r="AA1382" i="1"/>
  <c r="AB1382" i="1"/>
  <c r="AC1382" i="1"/>
  <c r="AD1382" i="1"/>
  <c r="AE1382" i="1"/>
  <c r="AF1382" i="1"/>
  <c r="AG1382" i="1"/>
  <c r="AH1382" i="1"/>
  <c r="AI1382" i="1"/>
  <c r="AJ1382" i="1"/>
  <c r="AK1382" i="1"/>
  <c r="AL1382" i="1"/>
  <c r="AM1382" i="1"/>
  <c r="A1383" i="1"/>
  <c r="B1383" i="1"/>
  <c r="C1383" i="1"/>
  <c r="D1383" i="1"/>
  <c r="E1383" i="1"/>
  <c r="F1383" i="1"/>
  <c r="G1383" i="1"/>
  <c r="H1383" i="1"/>
  <c r="I1383" i="1"/>
  <c r="J1383" i="1"/>
  <c r="K1383" i="1"/>
  <c r="L1383" i="1"/>
  <c r="M1383" i="1"/>
  <c r="N1383" i="1"/>
  <c r="O1383" i="1"/>
  <c r="P1383" i="1"/>
  <c r="Q1383" i="1"/>
  <c r="R1383" i="1"/>
  <c r="S1383" i="1"/>
  <c r="T1383" i="1"/>
  <c r="U1383" i="1"/>
  <c r="V1383" i="1"/>
  <c r="W1383" i="1"/>
  <c r="X1383" i="1"/>
  <c r="Y1383" i="1"/>
  <c r="Z1383" i="1"/>
  <c r="AA1383" i="1"/>
  <c r="AB1383" i="1"/>
  <c r="AC1383" i="1"/>
  <c r="AD1383" i="1"/>
  <c r="AE1383" i="1"/>
  <c r="AF1383" i="1"/>
  <c r="AG1383" i="1"/>
  <c r="AH1383" i="1"/>
  <c r="AI1383" i="1"/>
  <c r="AJ1383" i="1"/>
  <c r="AK1383" i="1"/>
  <c r="AL1383" i="1"/>
  <c r="AM1383" i="1"/>
  <c r="A1384" i="1"/>
  <c r="B1384" i="1"/>
  <c r="C1384" i="1"/>
  <c r="D1384" i="1"/>
  <c r="E1384" i="1"/>
  <c r="F1384" i="1"/>
  <c r="G1384" i="1"/>
  <c r="H1384" i="1"/>
  <c r="I1384" i="1"/>
  <c r="J1384" i="1"/>
  <c r="K1384" i="1"/>
  <c r="L1384" i="1"/>
  <c r="M1384" i="1"/>
  <c r="N1384" i="1"/>
  <c r="O1384" i="1"/>
  <c r="P1384" i="1"/>
  <c r="Q1384" i="1"/>
  <c r="R1384" i="1"/>
  <c r="S1384" i="1"/>
  <c r="T1384" i="1"/>
  <c r="U1384" i="1"/>
  <c r="V1384" i="1"/>
  <c r="W1384" i="1"/>
  <c r="X1384" i="1"/>
  <c r="Y1384" i="1"/>
  <c r="Z1384" i="1"/>
  <c r="AA1384" i="1"/>
  <c r="AB1384" i="1"/>
  <c r="AC1384" i="1"/>
  <c r="AD1384" i="1"/>
  <c r="AE1384" i="1"/>
  <c r="AF1384" i="1"/>
  <c r="AG1384" i="1"/>
  <c r="AH1384" i="1"/>
  <c r="AI1384" i="1"/>
  <c r="AJ1384" i="1"/>
  <c r="AK1384" i="1"/>
  <c r="AL1384" i="1"/>
  <c r="AM1384" i="1"/>
  <c r="A1385" i="1"/>
  <c r="B1385" i="1"/>
  <c r="C1385" i="1"/>
  <c r="D1385" i="1"/>
  <c r="E1385" i="1"/>
  <c r="F1385" i="1"/>
  <c r="G1385" i="1"/>
  <c r="H1385" i="1"/>
  <c r="I1385" i="1"/>
  <c r="J1385" i="1"/>
  <c r="K1385" i="1"/>
  <c r="L1385" i="1"/>
  <c r="M1385" i="1"/>
  <c r="N1385" i="1"/>
  <c r="O1385" i="1"/>
  <c r="P1385" i="1"/>
  <c r="Q1385" i="1"/>
  <c r="R1385" i="1"/>
  <c r="S1385" i="1"/>
  <c r="T1385" i="1"/>
  <c r="U1385" i="1"/>
  <c r="V1385" i="1"/>
  <c r="W1385" i="1"/>
  <c r="X1385" i="1"/>
  <c r="Y1385" i="1"/>
  <c r="Z1385" i="1"/>
  <c r="AA1385" i="1"/>
  <c r="AB1385" i="1"/>
  <c r="AC1385" i="1"/>
  <c r="AD1385" i="1"/>
  <c r="AE1385" i="1"/>
  <c r="AF1385" i="1"/>
  <c r="AG1385" i="1"/>
  <c r="AH1385" i="1"/>
  <c r="AI1385" i="1"/>
  <c r="AJ1385" i="1"/>
  <c r="AK1385" i="1"/>
  <c r="AL1385" i="1"/>
  <c r="AM1385" i="1"/>
  <c r="A1386" i="1"/>
  <c r="B1386" i="1"/>
  <c r="C1386" i="1"/>
  <c r="D1386" i="1"/>
  <c r="E1386" i="1"/>
  <c r="F1386" i="1"/>
  <c r="G1386" i="1"/>
  <c r="H1386" i="1"/>
  <c r="I1386" i="1"/>
  <c r="J1386" i="1"/>
  <c r="K1386" i="1"/>
  <c r="L1386" i="1"/>
  <c r="M1386" i="1"/>
  <c r="N1386" i="1"/>
  <c r="O1386" i="1"/>
  <c r="P1386" i="1"/>
  <c r="Q1386" i="1"/>
  <c r="R1386" i="1"/>
  <c r="S1386" i="1"/>
  <c r="T1386" i="1"/>
  <c r="U1386" i="1"/>
  <c r="V1386" i="1"/>
  <c r="W1386" i="1"/>
  <c r="X1386" i="1"/>
  <c r="Y1386" i="1"/>
  <c r="Z1386" i="1"/>
  <c r="AA1386" i="1"/>
  <c r="AB1386" i="1"/>
  <c r="AC1386" i="1"/>
  <c r="AD1386" i="1"/>
  <c r="AE1386" i="1"/>
  <c r="AF1386" i="1"/>
  <c r="AG1386" i="1"/>
  <c r="AH1386" i="1"/>
  <c r="AI1386" i="1"/>
  <c r="AJ1386" i="1"/>
  <c r="AK1386" i="1"/>
  <c r="AL1386" i="1"/>
  <c r="AM1386" i="1"/>
  <c r="A1387" i="1"/>
  <c r="B1387" i="1"/>
  <c r="C1387" i="1"/>
  <c r="D1387" i="1"/>
  <c r="E1387" i="1"/>
  <c r="F1387" i="1"/>
  <c r="G1387" i="1"/>
  <c r="H1387" i="1"/>
  <c r="I1387" i="1"/>
  <c r="J1387" i="1"/>
  <c r="K1387" i="1"/>
  <c r="L1387" i="1"/>
  <c r="M1387" i="1"/>
  <c r="N1387" i="1"/>
  <c r="O1387" i="1"/>
  <c r="P1387" i="1"/>
  <c r="Q1387" i="1"/>
  <c r="R1387" i="1"/>
  <c r="S1387" i="1"/>
  <c r="T1387" i="1"/>
  <c r="U1387" i="1"/>
  <c r="V1387" i="1"/>
  <c r="W1387" i="1"/>
  <c r="X1387" i="1"/>
  <c r="Y1387" i="1"/>
  <c r="Z1387" i="1"/>
  <c r="AA1387" i="1"/>
  <c r="AB1387" i="1"/>
  <c r="AC1387" i="1"/>
  <c r="AD1387" i="1"/>
  <c r="AE1387" i="1"/>
  <c r="AF1387" i="1"/>
  <c r="AG1387" i="1"/>
  <c r="AH1387" i="1"/>
  <c r="AI1387" i="1"/>
  <c r="AJ1387" i="1"/>
  <c r="AK1387" i="1"/>
  <c r="AL1387" i="1"/>
  <c r="AM1387" i="1"/>
  <c r="A1388" i="1"/>
  <c r="B1388" i="1"/>
  <c r="C1388" i="1"/>
  <c r="D1388" i="1"/>
  <c r="E1388" i="1"/>
  <c r="F1388" i="1"/>
  <c r="G1388" i="1"/>
  <c r="H1388" i="1"/>
  <c r="I1388" i="1"/>
  <c r="J1388" i="1"/>
  <c r="K1388" i="1"/>
  <c r="L1388" i="1"/>
  <c r="M1388" i="1"/>
  <c r="N1388" i="1"/>
  <c r="O1388" i="1"/>
  <c r="P1388" i="1"/>
  <c r="Q1388" i="1"/>
  <c r="R1388" i="1"/>
  <c r="S1388" i="1"/>
  <c r="T1388" i="1"/>
  <c r="U1388" i="1"/>
  <c r="V1388" i="1"/>
  <c r="W1388" i="1"/>
  <c r="X1388" i="1"/>
  <c r="Y1388" i="1"/>
  <c r="Z1388" i="1"/>
  <c r="AA1388" i="1"/>
  <c r="AB1388" i="1"/>
  <c r="AC1388" i="1"/>
  <c r="AD1388" i="1"/>
  <c r="AE1388" i="1"/>
  <c r="AF1388" i="1"/>
  <c r="AG1388" i="1"/>
  <c r="AH1388" i="1"/>
  <c r="AI1388" i="1"/>
  <c r="AJ1388" i="1"/>
  <c r="AK1388" i="1"/>
  <c r="AL1388" i="1"/>
  <c r="AM1388" i="1"/>
  <c r="A1389" i="1"/>
  <c r="B1389" i="1"/>
  <c r="C1389" i="1"/>
  <c r="D1389" i="1"/>
  <c r="E1389" i="1"/>
  <c r="F1389" i="1"/>
  <c r="G1389" i="1"/>
  <c r="H1389" i="1"/>
  <c r="I1389" i="1"/>
  <c r="J1389" i="1"/>
  <c r="K1389" i="1"/>
  <c r="L1389" i="1"/>
  <c r="M1389" i="1"/>
  <c r="N1389" i="1"/>
  <c r="O1389" i="1"/>
  <c r="P1389" i="1"/>
  <c r="Q1389" i="1"/>
  <c r="R1389" i="1"/>
  <c r="S1389" i="1"/>
  <c r="T1389" i="1"/>
  <c r="U1389" i="1"/>
  <c r="V1389" i="1"/>
  <c r="W1389" i="1"/>
  <c r="X1389" i="1"/>
  <c r="Y1389" i="1"/>
  <c r="Z1389" i="1"/>
  <c r="AA1389" i="1"/>
  <c r="AB1389" i="1"/>
  <c r="AC1389" i="1"/>
  <c r="AD1389" i="1"/>
  <c r="AE1389" i="1"/>
  <c r="AF1389" i="1"/>
  <c r="AG1389" i="1"/>
  <c r="AH1389" i="1"/>
  <c r="AI1389" i="1"/>
  <c r="AJ1389" i="1"/>
  <c r="AK1389" i="1"/>
  <c r="AL1389" i="1"/>
  <c r="AM1389" i="1"/>
  <c r="A1390" i="1"/>
  <c r="B1390" i="1"/>
  <c r="C1390" i="1"/>
  <c r="D1390" i="1"/>
  <c r="E1390" i="1"/>
  <c r="F1390" i="1"/>
  <c r="G1390" i="1"/>
  <c r="H1390" i="1"/>
  <c r="I1390" i="1"/>
  <c r="J1390" i="1"/>
  <c r="K1390" i="1"/>
  <c r="L1390" i="1"/>
  <c r="M1390" i="1"/>
  <c r="N1390" i="1"/>
  <c r="O1390" i="1"/>
  <c r="P1390" i="1"/>
  <c r="Q1390" i="1"/>
  <c r="R1390" i="1"/>
  <c r="S1390" i="1"/>
  <c r="T1390" i="1"/>
  <c r="U1390" i="1"/>
  <c r="V1390" i="1"/>
  <c r="W1390" i="1"/>
  <c r="X1390" i="1"/>
  <c r="Y1390" i="1"/>
  <c r="Z1390" i="1"/>
  <c r="AA1390" i="1"/>
  <c r="AB1390" i="1"/>
  <c r="AC1390" i="1"/>
  <c r="AD1390" i="1"/>
  <c r="AE1390" i="1"/>
  <c r="AF1390" i="1"/>
  <c r="AG1390" i="1"/>
  <c r="AH1390" i="1"/>
  <c r="AI1390" i="1"/>
  <c r="AJ1390" i="1"/>
  <c r="AK1390" i="1"/>
  <c r="AL1390" i="1"/>
  <c r="AM1390" i="1"/>
  <c r="A1391" i="1"/>
  <c r="B1391" i="1"/>
  <c r="C1391" i="1"/>
  <c r="D1391" i="1"/>
  <c r="E1391" i="1"/>
  <c r="F1391" i="1"/>
  <c r="G1391" i="1"/>
  <c r="H1391" i="1"/>
  <c r="I1391" i="1"/>
  <c r="J1391" i="1"/>
  <c r="K1391" i="1"/>
  <c r="L1391" i="1"/>
  <c r="M1391" i="1"/>
  <c r="N1391" i="1"/>
  <c r="O1391" i="1"/>
  <c r="P1391" i="1"/>
  <c r="Q1391" i="1"/>
  <c r="R1391" i="1"/>
  <c r="S1391" i="1"/>
  <c r="T1391" i="1"/>
  <c r="U1391" i="1"/>
  <c r="V1391" i="1"/>
  <c r="W1391" i="1"/>
  <c r="X1391" i="1"/>
  <c r="Y1391" i="1"/>
  <c r="Z1391" i="1"/>
  <c r="AA1391" i="1"/>
  <c r="AB1391" i="1"/>
  <c r="AC1391" i="1"/>
  <c r="AD1391" i="1"/>
  <c r="AE1391" i="1"/>
  <c r="AF1391" i="1"/>
  <c r="AG1391" i="1"/>
  <c r="AH1391" i="1"/>
  <c r="AI1391" i="1"/>
  <c r="AJ1391" i="1"/>
  <c r="AK1391" i="1"/>
  <c r="AL1391" i="1"/>
  <c r="AM1391" i="1"/>
  <c r="A1392" i="1"/>
  <c r="B1392" i="1"/>
  <c r="C1392" i="1"/>
  <c r="D1392" i="1"/>
  <c r="E1392" i="1"/>
  <c r="F1392" i="1"/>
  <c r="G1392" i="1"/>
  <c r="H1392" i="1"/>
  <c r="I1392" i="1"/>
  <c r="J1392" i="1"/>
  <c r="K1392" i="1"/>
  <c r="L1392" i="1"/>
  <c r="M1392" i="1"/>
  <c r="N1392" i="1"/>
  <c r="O1392" i="1"/>
  <c r="P1392" i="1"/>
  <c r="Q1392" i="1"/>
  <c r="R1392" i="1"/>
  <c r="S1392" i="1"/>
  <c r="T1392" i="1"/>
  <c r="U1392" i="1"/>
  <c r="V1392" i="1"/>
  <c r="W1392" i="1"/>
  <c r="X1392" i="1"/>
  <c r="Y1392" i="1"/>
  <c r="Z1392" i="1"/>
  <c r="AA1392" i="1"/>
  <c r="AB1392" i="1"/>
  <c r="AC1392" i="1"/>
  <c r="AD1392" i="1"/>
  <c r="AE1392" i="1"/>
  <c r="AF1392" i="1"/>
  <c r="AG1392" i="1"/>
  <c r="AH1392" i="1"/>
  <c r="AI1392" i="1"/>
  <c r="AJ1392" i="1"/>
  <c r="AK1392" i="1"/>
  <c r="AL1392" i="1"/>
  <c r="AM1392" i="1"/>
  <c r="A1393" i="1"/>
  <c r="B1393" i="1"/>
  <c r="C1393" i="1"/>
  <c r="D1393" i="1"/>
  <c r="E1393" i="1"/>
  <c r="F1393" i="1"/>
  <c r="G1393" i="1"/>
  <c r="H1393" i="1"/>
  <c r="I1393" i="1"/>
  <c r="J1393" i="1"/>
  <c r="K1393" i="1"/>
  <c r="L1393" i="1"/>
  <c r="M1393" i="1"/>
  <c r="N1393" i="1"/>
  <c r="O1393" i="1"/>
  <c r="P1393" i="1"/>
  <c r="Q1393" i="1"/>
  <c r="R1393" i="1"/>
  <c r="S1393" i="1"/>
  <c r="T1393" i="1"/>
  <c r="U1393" i="1"/>
  <c r="V1393" i="1"/>
  <c r="W1393" i="1"/>
  <c r="X1393" i="1"/>
  <c r="Y1393" i="1"/>
  <c r="Z1393" i="1"/>
  <c r="AA1393" i="1"/>
  <c r="AB1393" i="1"/>
  <c r="AC1393" i="1"/>
  <c r="AD1393" i="1"/>
  <c r="AE1393" i="1"/>
  <c r="AF1393" i="1"/>
  <c r="AG1393" i="1"/>
  <c r="AH1393" i="1"/>
  <c r="AI1393" i="1"/>
  <c r="AJ1393" i="1"/>
  <c r="AK1393" i="1"/>
  <c r="AL1393" i="1"/>
  <c r="AM1393" i="1"/>
  <c r="A1394" i="1"/>
  <c r="B1394" i="1"/>
  <c r="C1394" i="1"/>
  <c r="D1394" i="1"/>
  <c r="E1394" i="1"/>
  <c r="F1394" i="1"/>
  <c r="G1394" i="1"/>
  <c r="H1394" i="1"/>
  <c r="I1394" i="1"/>
  <c r="J1394" i="1"/>
  <c r="K1394" i="1"/>
  <c r="L1394" i="1"/>
  <c r="M1394" i="1"/>
  <c r="N1394" i="1"/>
  <c r="O1394" i="1"/>
  <c r="P1394" i="1"/>
  <c r="Q1394" i="1"/>
  <c r="R1394" i="1"/>
  <c r="S1394" i="1"/>
  <c r="T1394" i="1"/>
  <c r="U1394" i="1"/>
  <c r="V1394" i="1"/>
  <c r="W1394" i="1"/>
  <c r="X1394" i="1"/>
  <c r="Y1394" i="1"/>
  <c r="Z1394" i="1"/>
  <c r="AA1394" i="1"/>
  <c r="AB1394" i="1"/>
  <c r="AC1394" i="1"/>
  <c r="AD1394" i="1"/>
  <c r="AE1394" i="1"/>
  <c r="AF1394" i="1"/>
  <c r="AG1394" i="1"/>
  <c r="AH1394" i="1"/>
  <c r="AI1394" i="1"/>
  <c r="AJ1394" i="1"/>
  <c r="AK1394" i="1"/>
  <c r="AL1394" i="1"/>
  <c r="AM1394" i="1"/>
  <c r="A1395" i="1"/>
  <c r="B1395" i="1"/>
  <c r="C1395" i="1"/>
  <c r="D1395" i="1"/>
  <c r="E1395" i="1"/>
  <c r="F1395" i="1"/>
  <c r="G1395" i="1"/>
  <c r="H1395" i="1"/>
  <c r="I1395" i="1"/>
  <c r="J1395" i="1"/>
  <c r="K1395" i="1"/>
  <c r="L1395" i="1"/>
  <c r="M1395" i="1"/>
  <c r="N1395" i="1"/>
  <c r="O1395" i="1"/>
  <c r="P1395" i="1"/>
  <c r="Q1395" i="1"/>
  <c r="R1395" i="1"/>
  <c r="S1395" i="1"/>
  <c r="T1395" i="1"/>
  <c r="U1395" i="1"/>
  <c r="V1395" i="1"/>
  <c r="W1395" i="1"/>
  <c r="X1395" i="1"/>
  <c r="Y1395" i="1"/>
  <c r="Z1395" i="1"/>
  <c r="AA1395" i="1"/>
  <c r="AB1395" i="1"/>
  <c r="AC1395" i="1"/>
  <c r="AD1395" i="1"/>
  <c r="AE1395" i="1"/>
  <c r="AF1395" i="1"/>
  <c r="AG1395" i="1"/>
  <c r="AH1395" i="1"/>
  <c r="AI1395" i="1"/>
  <c r="AJ1395" i="1"/>
  <c r="AK1395" i="1"/>
  <c r="AL1395" i="1"/>
  <c r="AM1395" i="1"/>
  <c r="A1396" i="1"/>
  <c r="B1396" i="1"/>
  <c r="C1396" i="1"/>
  <c r="D1396" i="1"/>
  <c r="E1396" i="1"/>
  <c r="F1396" i="1"/>
  <c r="G1396" i="1"/>
  <c r="H1396" i="1"/>
  <c r="I1396" i="1"/>
  <c r="J1396" i="1"/>
  <c r="K1396" i="1"/>
  <c r="L1396" i="1"/>
  <c r="M1396" i="1"/>
  <c r="N1396" i="1"/>
  <c r="O1396" i="1"/>
  <c r="P1396" i="1"/>
  <c r="Q1396" i="1"/>
  <c r="R1396" i="1"/>
  <c r="S1396" i="1"/>
  <c r="T1396" i="1"/>
  <c r="U1396" i="1"/>
  <c r="V1396" i="1"/>
  <c r="W1396" i="1"/>
  <c r="X1396" i="1"/>
  <c r="Y1396" i="1"/>
  <c r="Z1396" i="1"/>
  <c r="AA1396" i="1"/>
  <c r="AB1396" i="1"/>
  <c r="AC1396" i="1"/>
  <c r="AD1396" i="1"/>
  <c r="AE1396" i="1"/>
  <c r="AF1396" i="1"/>
  <c r="AG1396" i="1"/>
  <c r="AH1396" i="1"/>
  <c r="AI1396" i="1"/>
  <c r="AJ1396" i="1"/>
  <c r="AK1396" i="1"/>
  <c r="AL1396" i="1"/>
  <c r="AM1396" i="1"/>
  <c r="A1397" i="1"/>
  <c r="B1397" i="1"/>
  <c r="C1397" i="1"/>
  <c r="D1397" i="1"/>
  <c r="E1397" i="1"/>
  <c r="F1397" i="1"/>
  <c r="G1397" i="1"/>
  <c r="H1397" i="1"/>
  <c r="I1397" i="1"/>
  <c r="J1397" i="1"/>
  <c r="K1397" i="1"/>
  <c r="L1397" i="1"/>
  <c r="M1397" i="1"/>
  <c r="N1397" i="1"/>
  <c r="O1397" i="1"/>
  <c r="P1397" i="1"/>
  <c r="Q1397" i="1"/>
  <c r="R1397" i="1"/>
  <c r="S1397" i="1"/>
  <c r="T1397" i="1"/>
  <c r="U1397" i="1"/>
  <c r="V1397" i="1"/>
  <c r="W1397" i="1"/>
  <c r="X1397" i="1"/>
  <c r="Y1397" i="1"/>
  <c r="Z1397" i="1"/>
  <c r="AA1397" i="1"/>
  <c r="AB1397" i="1"/>
  <c r="AC1397" i="1"/>
  <c r="AD1397" i="1"/>
  <c r="AE1397" i="1"/>
  <c r="AF1397" i="1"/>
  <c r="AG1397" i="1"/>
  <c r="AH1397" i="1"/>
  <c r="AI1397" i="1"/>
  <c r="AJ1397" i="1"/>
  <c r="AK1397" i="1"/>
  <c r="AL1397" i="1"/>
  <c r="AM1397" i="1"/>
  <c r="A1398" i="1"/>
  <c r="B1398" i="1"/>
  <c r="C1398" i="1"/>
  <c r="D1398" i="1"/>
  <c r="E1398" i="1"/>
  <c r="F1398" i="1"/>
  <c r="G1398" i="1"/>
  <c r="H1398" i="1"/>
  <c r="I1398" i="1"/>
  <c r="J1398" i="1"/>
  <c r="K1398" i="1"/>
  <c r="L1398" i="1"/>
  <c r="M1398" i="1"/>
  <c r="N1398" i="1"/>
  <c r="O1398" i="1"/>
  <c r="P1398" i="1"/>
  <c r="Q1398" i="1"/>
  <c r="R1398" i="1"/>
  <c r="S1398" i="1"/>
  <c r="T1398" i="1"/>
  <c r="U1398" i="1"/>
  <c r="V1398" i="1"/>
  <c r="W1398" i="1"/>
  <c r="X1398" i="1"/>
  <c r="Y1398" i="1"/>
  <c r="Z1398" i="1"/>
  <c r="AA1398" i="1"/>
  <c r="AB1398" i="1"/>
  <c r="AC1398" i="1"/>
  <c r="AD1398" i="1"/>
  <c r="AE1398" i="1"/>
  <c r="AF1398" i="1"/>
  <c r="AG1398" i="1"/>
  <c r="AH1398" i="1"/>
  <c r="AI1398" i="1"/>
  <c r="AJ1398" i="1"/>
  <c r="AK1398" i="1"/>
  <c r="AL1398" i="1"/>
  <c r="AM1398" i="1"/>
  <c r="A1399" i="1"/>
  <c r="B1399" i="1"/>
  <c r="C1399" i="1"/>
  <c r="D1399" i="1"/>
  <c r="E1399" i="1"/>
  <c r="F1399" i="1"/>
  <c r="G1399" i="1"/>
  <c r="H1399" i="1"/>
  <c r="I1399" i="1"/>
  <c r="J1399" i="1"/>
  <c r="K1399" i="1"/>
  <c r="L1399" i="1"/>
  <c r="M1399" i="1"/>
  <c r="N1399" i="1"/>
  <c r="O1399" i="1"/>
  <c r="P1399" i="1"/>
  <c r="Q1399" i="1"/>
  <c r="R1399" i="1"/>
  <c r="S1399" i="1"/>
  <c r="T1399" i="1"/>
  <c r="U1399" i="1"/>
  <c r="V1399" i="1"/>
  <c r="W1399" i="1"/>
  <c r="X1399" i="1"/>
  <c r="Y1399" i="1"/>
  <c r="Z1399" i="1"/>
  <c r="AA1399" i="1"/>
  <c r="AB1399" i="1"/>
  <c r="AC1399" i="1"/>
  <c r="AD1399" i="1"/>
  <c r="AE1399" i="1"/>
  <c r="AF1399" i="1"/>
  <c r="AG1399" i="1"/>
  <c r="AH1399" i="1"/>
  <c r="AI1399" i="1"/>
  <c r="AJ1399" i="1"/>
  <c r="AK1399" i="1"/>
  <c r="AL1399" i="1"/>
  <c r="AM1399" i="1"/>
  <c r="A1400" i="1"/>
  <c r="B1400" i="1"/>
  <c r="C1400" i="1"/>
  <c r="D1400" i="1"/>
  <c r="E1400" i="1"/>
  <c r="F1400" i="1"/>
  <c r="G1400" i="1"/>
  <c r="H1400" i="1"/>
  <c r="I1400" i="1"/>
  <c r="J1400" i="1"/>
  <c r="K1400" i="1"/>
  <c r="L1400" i="1"/>
  <c r="M1400" i="1"/>
  <c r="N1400" i="1"/>
  <c r="O1400" i="1"/>
  <c r="P1400" i="1"/>
  <c r="Q1400" i="1"/>
  <c r="R1400" i="1"/>
  <c r="S1400" i="1"/>
  <c r="T1400" i="1"/>
  <c r="U1400" i="1"/>
  <c r="V1400" i="1"/>
  <c r="W1400" i="1"/>
  <c r="X1400" i="1"/>
  <c r="Y1400" i="1"/>
  <c r="Z1400" i="1"/>
  <c r="AA1400" i="1"/>
  <c r="AB1400" i="1"/>
  <c r="AC1400" i="1"/>
  <c r="AD1400" i="1"/>
  <c r="AE1400" i="1"/>
  <c r="AF1400" i="1"/>
  <c r="AG1400" i="1"/>
  <c r="AH1400" i="1"/>
  <c r="AI1400" i="1"/>
  <c r="AJ1400" i="1"/>
  <c r="AK1400" i="1"/>
  <c r="AL1400" i="1"/>
  <c r="AM1400" i="1"/>
  <c r="A1401" i="1"/>
  <c r="B1401" i="1"/>
  <c r="C1401" i="1"/>
  <c r="D1401" i="1"/>
  <c r="E1401" i="1"/>
  <c r="F1401" i="1"/>
  <c r="G1401" i="1"/>
  <c r="H1401" i="1"/>
  <c r="I1401" i="1"/>
  <c r="J1401" i="1"/>
  <c r="K1401" i="1"/>
  <c r="L1401" i="1"/>
  <c r="M1401" i="1"/>
  <c r="N1401" i="1"/>
  <c r="O1401" i="1"/>
  <c r="P1401" i="1"/>
  <c r="Q1401" i="1"/>
  <c r="R1401" i="1"/>
  <c r="S1401" i="1"/>
  <c r="T1401" i="1"/>
  <c r="U1401" i="1"/>
  <c r="V1401" i="1"/>
  <c r="W1401" i="1"/>
  <c r="X1401" i="1"/>
  <c r="Y1401" i="1"/>
  <c r="Z1401" i="1"/>
  <c r="AA1401" i="1"/>
  <c r="AB1401" i="1"/>
  <c r="AC1401" i="1"/>
  <c r="AD1401" i="1"/>
  <c r="AE1401" i="1"/>
  <c r="AF1401" i="1"/>
  <c r="AG1401" i="1"/>
  <c r="AH1401" i="1"/>
  <c r="AI1401" i="1"/>
  <c r="AJ1401" i="1"/>
  <c r="AK1401" i="1"/>
  <c r="AL1401" i="1"/>
  <c r="AM1401" i="1"/>
  <c r="A1402" i="1"/>
  <c r="B1402" i="1"/>
  <c r="C1402" i="1"/>
  <c r="D1402" i="1"/>
  <c r="E1402" i="1"/>
  <c r="F1402" i="1"/>
  <c r="G1402" i="1"/>
  <c r="H1402" i="1"/>
  <c r="I1402" i="1"/>
  <c r="J1402" i="1"/>
  <c r="K1402" i="1"/>
  <c r="L1402" i="1"/>
  <c r="M1402" i="1"/>
  <c r="N1402" i="1"/>
  <c r="O1402" i="1"/>
  <c r="P1402" i="1"/>
  <c r="Q1402" i="1"/>
  <c r="R1402" i="1"/>
  <c r="S1402" i="1"/>
  <c r="T1402" i="1"/>
  <c r="U1402" i="1"/>
  <c r="V1402" i="1"/>
  <c r="W1402" i="1"/>
  <c r="X1402" i="1"/>
  <c r="Y1402" i="1"/>
  <c r="Z1402" i="1"/>
  <c r="AA1402" i="1"/>
  <c r="AB1402" i="1"/>
  <c r="AC1402" i="1"/>
  <c r="AD1402" i="1"/>
  <c r="AE1402" i="1"/>
  <c r="AF1402" i="1"/>
  <c r="AG1402" i="1"/>
  <c r="AH1402" i="1"/>
  <c r="AI1402" i="1"/>
  <c r="AJ1402" i="1"/>
  <c r="AK1402" i="1"/>
  <c r="AL1402" i="1"/>
  <c r="AM1402" i="1"/>
  <c r="A1403" i="1"/>
  <c r="B1403" i="1"/>
  <c r="C1403" i="1"/>
  <c r="D1403" i="1"/>
  <c r="E1403" i="1"/>
  <c r="F1403" i="1"/>
  <c r="G1403" i="1"/>
  <c r="H1403" i="1"/>
  <c r="I1403" i="1"/>
  <c r="J1403" i="1"/>
  <c r="K1403" i="1"/>
  <c r="L1403" i="1"/>
  <c r="M1403" i="1"/>
  <c r="N1403" i="1"/>
  <c r="O1403" i="1"/>
  <c r="P1403" i="1"/>
  <c r="Q1403" i="1"/>
  <c r="R1403" i="1"/>
  <c r="S1403" i="1"/>
  <c r="T1403" i="1"/>
  <c r="U1403" i="1"/>
  <c r="V1403" i="1"/>
  <c r="W1403" i="1"/>
  <c r="X1403" i="1"/>
  <c r="Y1403" i="1"/>
  <c r="Z1403" i="1"/>
  <c r="AA1403" i="1"/>
  <c r="AB1403" i="1"/>
  <c r="AC1403" i="1"/>
  <c r="AD1403" i="1"/>
  <c r="AE1403" i="1"/>
  <c r="AF1403" i="1"/>
  <c r="AG1403" i="1"/>
  <c r="AH1403" i="1"/>
  <c r="AI1403" i="1"/>
  <c r="AJ1403" i="1"/>
  <c r="AK1403" i="1"/>
  <c r="AL1403" i="1"/>
  <c r="AM1403" i="1"/>
  <c r="A1404" i="1"/>
  <c r="B1404" i="1"/>
  <c r="C1404" i="1"/>
  <c r="D1404" i="1"/>
  <c r="E1404" i="1"/>
  <c r="F1404" i="1"/>
  <c r="G1404" i="1"/>
  <c r="H1404" i="1"/>
  <c r="I1404" i="1"/>
  <c r="J1404" i="1"/>
  <c r="K1404" i="1"/>
  <c r="L1404" i="1"/>
  <c r="M1404" i="1"/>
  <c r="N1404" i="1"/>
  <c r="O1404" i="1"/>
  <c r="P1404" i="1"/>
  <c r="Q1404" i="1"/>
  <c r="R1404" i="1"/>
  <c r="S1404" i="1"/>
  <c r="T1404" i="1"/>
  <c r="U1404" i="1"/>
  <c r="V1404" i="1"/>
  <c r="W1404" i="1"/>
  <c r="X1404" i="1"/>
  <c r="Y1404" i="1"/>
  <c r="Z1404" i="1"/>
  <c r="AA1404" i="1"/>
  <c r="AB1404" i="1"/>
  <c r="AC1404" i="1"/>
  <c r="AD1404" i="1"/>
  <c r="AE1404" i="1"/>
  <c r="AF1404" i="1"/>
  <c r="AG1404" i="1"/>
  <c r="AH1404" i="1"/>
  <c r="AI1404" i="1"/>
  <c r="AJ1404" i="1"/>
  <c r="AK1404" i="1"/>
  <c r="AL1404" i="1"/>
  <c r="AM1404" i="1"/>
  <c r="A1405" i="1"/>
  <c r="B1405" i="1"/>
  <c r="C1405" i="1"/>
  <c r="D1405" i="1"/>
  <c r="E1405" i="1"/>
  <c r="F1405" i="1"/>
  <c r="G1405" i="1"/>
  <c r="H1405" i="1"/>
  <c r="I1405" i="1"/>
  <c r="J1405" i="1"/>
  <c r="K1405" i="1"/>
  <c r="L1405" i="1"/>
  <c r="M1405" i="1"/>
  <c r="N1405" i="1"/>
  <c r="O1405" i="1"/>
  <c r="P1405" i="1"/>
  <c r="Q1405" i="1"/>
  <c r="R1405" i="1"/>
  <c r="S1405" i="1"/>
  <c r="T1405" i="1"/>
  <c r="U1405" i="1"/>
  <c r="V1405" i="1"/>
  <c r="W1405" i="1"/>
  <c r="X1405" i="1"/>
  <c r="Y1405" i="1"/>
  <c r="Z1405" i="1"/>
  <c r="AA1405" i="1"/>
  <c r="AB1405" i="1"/>
  <c r="AC1405" i="1"/>
  <c r="AD1405" i="1"/>
  <c r="AE1405" i="1"/>
  <c r="AF1405" i="1"/>
  <c r="AG1405" i="1"/>
  <c r="AH1405" i="1"/>
  <c r="AI1405" i="1"/>
  <c r="AJ1405" i="1"/>
  <c r="AK1405" i="1"/>
  <c r="AL1405" i="1"/>
  <c r="AM1405" i="1"/>
  <c r="A1406" i="1"/>
  <c r="B1406" i="1"/>
  <c r="C1406" i="1"/>
  <c r="D1406" i="1"/>
  <c r="E1406" i="1"/>
  <c r="F1406" i="1"/>
  <c r="G1406" i="1"/>
  <c r="H1406" i="1"/>
  <c r="I1406" i="1"/>
  <c r="J1406" i="1"/>
  <c r="K1406" i="1"/>
  <c r="L1406" i="1"/>
  <c r="M1406" i="1"/>
  <c r="N1406" i="1"/>
  <c r="O1406" i="1"/>
  <c r="P1406" i="1"/>
  <c r="Q1406" i="1"/>
  <c r="R1406" i="1"/>
  <c r="S1406" i="1"/>
  <c r="T1406" i="1"/>
  <c r="U1406" i="1"/>
  <c r="V1406" i="1"/>
  <c r="W1406" i="1"/>
  <c r="X1406" i="1"/>
  <c r="Y1406" i="1"/>
  <c r="Z1406" i="1"/>
  <c r="AA1406" i="1"/>
  <c r="AB1406" i="1"/>
  <c r="AC1406" i="1"/>
  <c r="AD1406" i="1"/>
  <c r="AE1406" i="1"/>
  <c r="AF1406" i="1"/>
  <c r="AG1406" i="1"/>
  <c r="AH1406" i="1"/>
  <c r="AI1406" i="1"/>
  <c r="AJ1406" i="1"/>
  <c r="AK1406" i="1"/>
  <c r="AL1406" i="1"/>
  <c r="AM1406" i="1"/>
  <c r="A1407" i="1"/>
  <c r="B1407" i="1"/>
  <c r="C1407" i="1"/>
  <c r="D1407" i="1"/>
  <c r="E1407" i="1"/>
  <c r="F1407" i="1"/>
  <c r="G1407" i="1"/>
  <c r="H1407" i="1"/>
  <c r="I1407" i="1"/>
  <c r="J1407" i="1"/>
  <c r="K1407" i="1"/>
  <c r="L1407" i="1"/>
  <c r="M1407" i="1"/>
  <c r="N1407" i="1"/>
  <c r="O1407" i="1"/>
  <c r="P1407" i="1"/>
  <c r="Q1407" i="1"/>
  <c r="R1407" i="1"/>
  <c r="S1407" i="1"/>
  <c r="T1407" i="1"/>
  <c r="U1407" i="1"/>
  <c r="V1407" i="1"/>
  <c r="W1407" i="1"/>
  <c r="X1407" i="1"/>
  <c r="Y1407" i="1"/>
  <c r="Z1407" i="1"/>
  <c r="AA1407" i="1"/>
  <c r="AB1407" i="1"/>
  <c r="AC1407" i="1"/>
  <c r="AD1407" i="1"/>
  <c r="AE1407" i="1"/>
  <c r="AF1407" i="1"/>
  <c r="AG1407" i="1"/>
  <c r="AH1407" i="1"/>
  <c r="AI1407" i="1"/>
  <c r="AJ1407" i="1"/>
  <c r="AK1407" i="1"/>
  <c r="AL1407" i="1"/>
  <c r="AM1407" i="1"/>
  <c r="A1408" i="1"/>
  <c r="B1408" i="1"/>
  <c r="C1408" i="1"/>
  <c r="D1408" i="1"/>
  <c r="E1408" i="1"/>
  <c r="F1408" i="1"/>
  <c r="G1408" i="1"/>
  <c r="H1408" i="1"/>
  <c r="I1408" i="1"/>
  <c r="J1408" i="1"/>
  <c r="K1408" i="1"/>
  <c r="L1408" i="1"/>
  <c r="M1408" i="1"/>
  <c r="N1408" i="1"/>
  <c r="O1408" i="1"/>
  <c r="P1408" i="1"/>
  <c r="Q1408" i="1"/>
  <c r="R1408" i="1"/>
  <c r="S1408" i="1"/>
  <c r="T1408" i="1"/>
  <c r="U1408" i="1"/>
  <c r="V1408" i="1"/>
  <c r="W1408" i="1"/>
  <c r="X1408" i="1"/>
  <c r="Y1408" i="1"/>
  <c r="Z1408" i="1"/>
  <c r="AA1408" i="1"/>
  <c r="AB1408" i="1"/>
  <c r="AC1408" i="1"/>
  <c r="AD1408" i="1"/>
  <c r="AE1408" i="1"/>
  <c r="AF1408" i="1"/>
  <c r="AG1408" i="1"/>
  <c r="AH1408" i="1"/>
  <c r="AI1408" i="1"/>
  <c r="AJ1408" i="1"/>
  <c r="AK1408" i="1"/>
  <c r="AL1408" i="1"/>
  <c r="AM1408" i="1"/>
  <c r="A1409" i="1"/>
  <c r="B1409" i="1"/>
  <c r="C1409" i="1"/>
  <c r="D1409" i="1"/>
  <c r="E1409" i="1"/>
  <c r="F1409" i="1"/>
  <c r="G1409" i="1"/>
  <c r="H1409" i="1"/>
  <c r="I1409" i="1"/>
  <c r="J1409" i="1"/>
  <c r="K1409" i="1"/>
  <c r="L1409" i="1"/>
  <c r="M1409" i="1"/>
  <c r="N1409" i="1"/>
  <c r="O1409" i="1"/>
  <c r="P1409" i="1"/>
  <c r="Q1409" i="1"/>
  <c r="R1409" i="1"/>
  <c r="S1409" i="1"/>
  <c r="T1409" i="1"/>
  <c r="U1409" i="1"/>
  <c r="V1409" i="1"/>
  <c r="W1409" i="1"/>
  <c r="X1409" i="1"/>
  <c r="Y1409" i="1"/>
  <c r="Z1409" i="1"/>
  <c r="AA1409" i="1"/>
  <c r="AB1409" i="1"/>
  <c r="AC1409" i="1"/>
  <c r="AD1409" i="1"/>
  <c r="AE1409" i="1"/>
  <c r="AF1409" i="1"/>
  <c r="AG1409" i="1"/>
  <c r="AH1409" i="1"/>
  <c r="AI1409" i="1"/>
  <c r="AJ1409" i="1"/>
  <c r="AK1409" i="1"/>
  <c r="AL1409" i="1"/>
  <c r="AM1409" i="1"/>
  <c r="A1410" i="1"/>
  <c r="B1410" i="1"/>
  <c r="C1410" i="1"/>
  <c r="D1410" i="1"/>
  <c r="E1410" i="1"/>
  <c r="F1410" i="1"/>
  <c r="G1410" i="1"/>
  <c r="H1410" i="1"/>
  <c r="I1410" i="1"/>
  <c r="J1410" i="1"/>
  <c r="K1410" i="1"/>
  <c r="L1410" i="1"/>
  <c r="M1410" i="1"/>
  <c r="N1410" i="1"/>
  <c r="O1410" i="1"/>
  <c r="P1410" i="1"/>
  <c r="Q1410" i="1"/>
  <c r="R1410" i="1"/>
  <c r="S1410" i="1"/>
  <c r="T1410" i="1"/>
  <c r="U1410" i="1"/>
  <c r="V1410" i="1"/>
  <c r="W1410" i="1"/>
  <c r="X1410" i="1"/>
  <c r="Y1410" i="1"/>
  <c r="Z1410" i="1"/>
  <c r="AA1410" i="1"/>
  <c r="AB1410" i="1"/>
  <c r="AC1410" i="1"/>
  <c r="AD1410" i="1"/>
  <c r="AE1410" i="1"/>
  <c r="AF1410" i="1"/>
  <c r="AG1410" i="1"/>
  <c r="AH1410" i="1"/>
  <c r="AI1410" i="1"/>
  <c r="AJ1410" i="1"/>
  <c r="AK1410" i="1"/>
  <c r="AL1410" i="1"/>
  <c r="AM1410" i="1"/>
  <c r="A1411" i="1"/>
  <c r="B1411" i="1"/>
  <c r="C1411" i="1"/>
  <c r="D1411" i="1"/>
  <c r="E1411" i="1"/>
  <c r="F1411" i="1"/>
  <c r="G1411" i="1"/>
  <c r="H1411" i="1"/>
  <c r="I1411" i="1"/>
  <c r="J1411" i="1"/>
  <c r="K1411" i="1"/>
  <c r="L1411" i="1"/>
  <c r="M1411" i="1"/>
  <c r="N1411" i="1"/>
  <c r="O1411" i="1"/>
  <c r="P1411" i="1"/>
  <c r="Q1411" i="1"/>
  <c r="R1411" i="1"/>
  <c r="S1411" i="1"/>
  <c r="T1411" i="1"/>
  <c r="U1411" i="1"/>
  <c r="V1411" i="1"/>
  <c r="W1411" i="1"/>
  <c r="X1411" i="1"/>
  <c r="Y1411" i="1"/>
  <c r="Z1411" i="1"/>
  <c r="AA1411" i="1"/>
  <c r="AB1411" i="1"/>
  <c r="AC1411" i="1"/>
  <c r="AD1411" i="1"/>
  <c r="AE1411" i="1"/>
  <c r="AF1411" i="1"/>
  <c r="AG1411" i="1"/>
  <c r="AH1411" i="1"/>
  <c r="AI1411" i="1"/>
  <c r="AJ1411" i="1"/>
  <c r="AK1411" i="1"/>
  <c r="AL1411" i="1"/>
  <c r="AM1411" i="1"/>
  <c r="A1412" i="1"/>
  <c r="B1412" i="1"/>
  <c r="C1412" i="1"/>
  <c r="D1412" i="1"/>
  <c r="E1412" i="1"/>
  <c r="F1412" i="1"/>
  <c r="G1412" i="1"/>
  <c r="H1412" i="1"/>
  <c r="I1412" i="1"/>
  <c r="J1412" i="1"/>
  <c r="K1412" i="1"/>
  <c r="L1412" i="1"/>
  <c r="M1412" i="1"/>
  <c r="N1412" i="1"/>
  <c r="O1412" i="1"/>
  <c r="P1412" i="1"/>
  <c r="Q1412" i="1"/>
  <c r="R1412" i="1"/>
  <c r="S1412" i="1"/>
  <c r="T1412" i="1"/>
  <c r="U1412" i="1"/>
  <c r="V1412" i="1"/>
  <c r="W1412" i="1"/>
  <c r="X1412" i="1"/>
  <c r="Y1412" i="1"/>
  <c r="Z1412" i="1"/>
  <c r="AA1412" i="1"/>
  <c r="AB1412" i="1"/>
  <c r="AC1412" i="1"/>
  <c r="AD1412" i="1"/>
  <c r="AE1412" i="1"/>
  <c r="AF1412" i="1"/>
  <c r="AG1412" i="1"/>
  <c r="AH1412" i="1"/>
  <c r="AI1412" i="1"/>
  <c r="AJ1412" i="1"/>
  <c r="AK1412" i="1"/>
  <c r="AL1412" i="1"/>
  <c r="AM1412" i="1"/>
  <c r="A1413" i="1"/>
  <c r="B1413" i="1"/>
  <c r="C1413" i="1"/>
  <c r="D1413" i="1"/>
  <c r="E1413" i="1"/>
  <c r="F1413" i="1"/>
  <c r="G1413" i="1"/>
  <c r="H1413" i="1"/>
  <c r="I1413" i="1"/>
  <c r="J1413" i="1"/>
  <c r="K1413" i="1"/>
  <c r="L1413" i="1"/>
  <c r="M1413" i="1"/>
  <c r="N1413" i="1"/>
  <c r="O1413" i="1"/>
  <c r="P1413" i="1"/>
  <c r="Q1413" i="1"/>
  <c r="R1413" i="1"/>
  <c r="S1413" i="1"/>
  <c r="T1413" i="1"/>
  <c r="U1413" i="1"/>
  <c r="V1413" i="1"/>
  <c r="W1413" i="1"/>
  <c r="X1413" i="1"/>
  <c r="Y1413" i="1"/>
  <c r="Z1413" i="1"/>
  <c r="AA1413" i="1"/>
  <c r="AB1413" i="1"/>
  <c r="AC1413" i="1"/>
  <c r="AD1413" i="1"/>
  <c r="AE1413" i="1"/>
  <c r="AF1413" i="1"/>
  <c r="AG1413" i="1"/>
  <c r="AH1413" i="1"/>
  <c r="AI1413" i="1"/>
  <c r="AJ1413" i="1"/>
  <c r="AK1413" i="1"/>
  <c r="AL1413" i="1"/>
  <c r="AM1413" i="1"/>
  <c r="A1414" i="1"/>
  <c r="B1414" i="1"/>
  <c r="C1414" i="1"/>
  <c r="D1414" i="1"/>
  <c r="E1414" i="1"/>
  <c r="F1414" i="1"/>
  <c r="G1414" i="1"/>
  <c r="H1414" i="1"/>
  <c r="I1414" i="1"/>
  <c r="J1414" i="1"/>
  <c r="K1414" i="1"/>
  <c r="L1414" i="1"/>
  <c r="M1414" i="1"/>
  <c r="N1414" i="1"/>
  <c r="O1414" i="1"/>
  <c r="P1414" i="1"/>
  <c r="Q1414" i="1"/>
  <c r="R1414" i="1"/>
  <c r="S1414" i="1"/>
  <c r="T1414" i="1"/>
  <c r="U1414" i="1"/>
  <c r="V1414" i="1"/>
  <c r="W1414" i="1"/>
  <c r="X1414" i="1"/>
  <c r="Y1414" i="1"/>
  <c r="Z1414" i="1"/>
  <c r="AA1414" i="1"/>
  <c r="AB1414" i="1"/>
  <c r="AC1414" i="1"/>
  <c r="AD1414" i="1"/>
  <c r="AE1414" i="1"/>
  <c r="AF1414" i="1"/>
  <c r="AG1414" i="1"/>
  <c r="AH1414" i="1"/>
  <c r="AI1414" i="1"/>
  <c r="AJ1414" i="1"/>
  <c r="AK1414" i="1"/>
  <c r="AL1414" i="1"/>
  <c r="AM1414" i="1"/>
  <c r="A1415" i="1"/>
  <c r="B1415" i="1"/>
  <c r="C1415" i="1"/>
  <c r="D1415" i="1"/>
  <c r="E1415" i="1"/>
  <c r="F1415" i="1"/>
  <c r="G1415" i="1"/>
  <c r="H1415" i="1"/>
  <c r="I1415" i="1"/>
  <c r="J1415" i="1"/>
  <c r="K1415" i="1"/>
  <c r="L1415" i="1"/>
  <c r="M1415" i="1"/>
  <c r="N1415" i="1"/>
  <c r="O1415" i="1"/>
  <c r="P1415" i="1"/>
  <c r="Q1415" i="1"/>
  <c r="R1415" i="1"/>
  <c r="S1415" i="1"/>
  <c r="T1415" i="1"/>
  <c r="U1415" i="1"/>
  <c r="V1415" i="1"/>
  <c r="W1415" i="1"/>
  <c r="X1415" i="1"/>
  <c r="Y1415" i="1"/>
  <c r="Z1415" i="1"/>
  <c r="AA1415" i="1"/>
  <c r="AB1415" i="1"/>
  <c r="AC1415" i="1"/>
  <c r="AD1415" i="1"/>
  <c r="AE1415" i="1"/>
  <c r="AF1415" i="1"/>
  <c r="AG1415" i="1"/>
  <c r="AH1415" i="1"/>
  <c r="AI1415" i="1"/>
  <c r="AJ1415" i="1"/>
  <c r="AK1415" i="1"/>
  <c r="AL1415" i="1"/>
  <c r="AM1415" i="1"/>
  <c r="A1416" i="1"/>
  <c r="B1416" i="1"/>
  <c r="C1416" i="1"/>
  <c r="D1416" i="1"/>
  <c r="E1416" i="1"/>
  <c r="F1416" i="1"/>
  <c r="G1416" i="1"/>
  <c r="H1416" i="1"/>
  <c r="I1416" i="1"/>
  <c r="J1416" i="1"/>
  <c r="K1416" i="1"/>
  <c r="L1416" i="1"/>
  <c r="M1416" i="1"/>
  <c r="N1416" i="1"/>
  <c r="O1416" i="1"/>
  <c r="P1416" i="1"/>
  <c r="Q1416" i="1"/>
  <c r="R1416" i="1"/>
  <c r="S1416" i="1"/>
  <c r="T1416" i="1"/>
  <c r="U1416" i="1"/>
  <c r="V1416" i="1"/>
  <c r="W1416" i="1"/>
  <c r="X1416" i="1"/>
  <c r="Y1416" i="1"/>
  <c r="Z1416" i="1"/>
  <c r="AA1416" i="1"/>
  <c r="AB1416" i="1"/>
  <c r="AC1416" i="1"/>
  <c r="AD1416" i="1"/>
  <c r="AE1416" i="1"/>
  <c r="AF1416" i="1"/>
  <c r="AG1416" i="1"/>
  <c r="AH1416" i="1"/>
  <c r="AI1416" i="1"/>
  <c r="AJ1416" i="1"/>
  <c r="AK1416" i="1"/>
  <c r="AL1416" i="1"/>
  <c r="AM1416" i="1"/>
  <c r="A1417" i="1"/>
  <c r="B1417" i="1"/>
  <c r="C1417" i="1"/>
  <c r="D1417" i="1"/>
  <c r="E1417" i="1"/>
  <c r="F1417" i="1"/>
  <c r="G1417" i="1"/>
  <c r="H1417" i="1"/>
  <c r="I1417" i="1"/>
  <c r="J1417" i="1"/>
  <c r="K1417" i="1"/>
  <c r="L1417" i="1"/>
  <c r="M1417" i="1"/>
  <c r="N1417" i="1"/>
  <c r="O1417" i="1"/>
  <c r="P1417" i="1"/>
  <c r="Q1417" i="1"/>
  <c r="R1417" i="1"/>
  <c r="S1417" i="1"/>
  <c r="T1417" i="1"/>
  <c r="U1417" i="1"/>
  <c r="V1417" i="1"/>
  <c r="W1417" i="1"/>
  <c r="X1417" i="1"/>
  <c r="Y1417" i="1"/>
  <c r="Z1417" i="1"/>
  <c r="AA1417" i="1"/>
  <c r="AB1417" i="1"/>
  <c r="AC1417" i="1"/>
  <c r="AD1417" i="1"/>
  <c r="AE1417" i="1"/>
  <c r="AF1417" i="1"/>
  <c r="AG1417" i="1"/>
  <c r="AH1417" i="1"/>
  <c r="AI1417" i="1"/>
  <c r="AJ1417" i="1"/>
  <c r="AK1417" i="1"/>
  <c r="AL1417" i="1"/>
  <c r="AM1417" i="1"/>
  <c r="A1418" i="1"/>
  <c r="B1418" i="1"/>
  <c r="C1418" i="1"/>
  <c r="D1418" i="1"/>
  <c r="E1418" i="1"/>
  <c r="F1418" i="1"/>
  <c r="G1418" i="1"/>
  <c r="H1418" i="1"/>
  <c r="I1418" i="1"/>
  <c r="J1418" i="1"/>
  <c r="K1418" i="1"/>
  <c r="L1418" i="1"/>
  <c r="M1418" i="1"/>
  <c r="N1418" i="1"/>
  <c r="O1418" i="1"/>
  <c r="P1418" i="1"/>
  <c r="Q1418" i="1"/>
  <c r="R1418" i="1"/>
  <c r="S1418" i="1"/>
  <c r="T1418" i="1"/>
  <c r="U1418" i="1"/>
  <c r="V1418" i="1"/>
  <c r="W1418" i="1"/>
  <c r="X1418" i="1"/>
  <c r="Y1418" i="1"/>
  <c r="Z1418" i="1"/>
  <c r="AA1418" i="1"/>
  <c r="AB1418" i="1"/>
  <c r="AC1418" i="1"/>
  <c r="AD1418" i="1"/>
  <c r="AE1418" i="1"/>
  <c r="AF1418" i="1"/>
  <c r="AG1418" i="1"/>
  <c r="AH1418" i="1"/>
  <c r="AI1418" i="1"/>
  <c r="AJ1418" i="1"/>
  <c r="AK1418" i="1"/>
  <c r="AL1418" i="1"/>
  <c r="AM1418" i="1"/>
  <c r="A1419" i="1"/>
  <c r="B1419" i="1"/>
  <c r="C1419" i="1"/>
  <c r="D1419" i="1"/>
  <c r="E1419" i="1"/>
  <c r="F1419" i="1"/>
  <c r="G1419" i="1"/>
  <c r="H1419" i="1"/>
  <c r="I1419" i="1"/>
  <c r="J1419" i="1"/>
  <c r="K1419" i="1"/>
  <c r="L1419" i="1"/>
  <c r="M1419" i="1"/>
  <c r="N1419" i="1"/>
  <c r="O1419" i="1"/>
  <c r="P1419" i="1"/>
  <c r="Q1419" i="1"/>
  <c r="R1419" i="1"/>
  <c r="S1419" i="1"/>
  <c r="T1419" i="1"/>
  <c r="U1419" i="1"/>
  <c r="V1419" i="1"/>
  <c r="W1419" i="1"/>
  <c r="X1419" i="1"/>
  <c r="Y1419" i="1"/>
  <c r="Z1419" i="1"/>
  <c r="AA1419" i="1"/>
  <c r="AB1419" i="1"/>
  <c r="AC1419" i="1"/>
  <c r="AD1419" i="1"/>
  <c r="AE1419" i="1"/>
  <c r="AF1419" i="1"/>
  <c r="AG1419" i="1"/>
  <c r="AH1419" i="1"/>
  <c r="AI1419" i="1"/>
  <c r="AJ1419" i="1"/>
  <c r="AK1419" i="1"/>
  <c r="AL1419" i="1"/>
  <c r="AM1419" i="1"/>
  <c r="A1420" i="1"/>
  <c r="B1420" i="1"/>
  <c r="C1420" i="1"/>
  <c r="D1420" i="1"/>
  <c r="E1420" i="1"/>
  <c r="F1420" i="1"/>
  <c r="G1420" i="1"/>
  <c r="H1420" i="1"/>
  <c r="I1420" i="1"/>
  <c r="J1420" i="1"/>
  <c r="K1420" i="1"/>
  <c r="L1420" i="1"/>
  <c r="M1420" i="1"/>
  <c r="N1420" i="1"/>
  <c r="O1420" i="1"/>
  <c r="P1420" i="1"/>
  <c r="Q1420" i="1"/>
  <c r="R1420" i="1"/>
  <c r="S1420" i="1"/>
  <c r="T1420" i="1"/>
  <c r="U1420" i="1"/>
  <c r="V1420" i="1"/>
  <c r="W1420" i="1"/>
  <c r="X1420" i="1"/>
  <c r="Y1420" i="1"/>
  <c r="Z1420" i="1"/>
  <c r="AA1420" i="1"/>
  <c r="AB1420" i="1"/>
  <c r="AC1420" i="1"/>
  <c r="AD1420" i="1"/>
  <c r="AE1420" i="1"/>
  <c r="AF1420" i="1"/>
  <c r="AG1420" i="1"/>
  <c r="AH1420" i="1"/>
  <c r="AI1420" i="1"/>
  <c r="AJ1420" i="1"/>
  <c r="AK1420" i="1"/>
  <c r="AL1420" i="1"/>
  <c r="AM1420" i="1"/>
  <c r="A1421" i="1"/>
  <c r="B1421" i="1"/>
  <c r="C1421" i="1"/>
  <c r="D1421" i="1"/>
  <c r="E1421" i="1"/>
  <c r="F1421" i="1"/>
  <c r="G1421" i="1"/>
  <c r="H1421" i="1"/>
  <c r="I1421" i="1"/>
  <c r="J1421" i="1"/>
  <c r="K1421" i="1"/>
  <c r="L1421" i="1"/>
  <c r="M1421" i="1"/>
  <c r="N1421" i="1"/>
  <c r="O1421" i="1"/>
  <c r="P1421" i="1"/>
  <c r="Q1421" i="1"/>
  <c r="R1421" i="1"/>
  <c r="S1421" i="1"/>
  <c r="T1421" i="1"/>
  <c r="U1421" i="1"/>
  <c r="V1421" i="1"/>
  <c r="W1421" i="1"/>
  <c r="X1421" i="1"/>
  <c r="Y1421" i="1"/>
  <c r="Z1421" i="1"/>
  <c r="AA1421" i="1"/>
  <c r="AB1421" i="1"/>
  <c r="AC1421" i="1"/>
  <c r="AD1421" i="1"/>
  <c r="AE1421" i="1"/>
  <c r="AF1421" i="1"/>
  <c r="AG1421" i="1"/>
  <c r="AH1421" i="1"/>
  <c r="AI1421" i="1"/>
  <c r="AJ1421" i="1"/>
  <c r="AK1421" i="1"/>
  <c r="AL1421" i="1"/>
  <c r="AM1421" i="1"/>
  <c r="A1422" i="1"/>
  <c r="B1422" i="1"/>
  <c r="C1422" i="1"/>
  <c r="D1422" i="1"/>
  <c r="E1422" i="1"/>
  <c r="F1422" i="1"/>
  <c r="G1422" i="1"/>
  <c r="H1422" i="1"/>
  <c r="I1422" i="1"/>
  <c r="J1422" i="1"/>
  <c r="K1422" i="1"/>
  <c r="L1422" i="1"/>
  <c r="M1422" i="1"/>
  <c r="N1422" i="1"/>
  <c r="O1422" i="1"/>
  <c r="P1422" i="1"/>
  <c r="Q1422" i="1"/>
  <c r="R1422" i="1"/>
  <c r="S1422" i="1"/>
  <c r="T1422" i="1"/>
  <c r="U1422" i="1"/>
  <c r="V1422" i="1"/>
  <c r="W1422" i="1"/>
  <c r="X1422" i="1"/>
  <c r="Y1422" i="1"/>
  <c r="Z1422" i="1"/>
  <c r="AA1422" i="1"/>
  <c r="AB1422" i="1"/>
  <c r="AC1422" i="1"/>
  <c r="AD1422" i="1"/>
  <c r="AE1422" i="1"/>
  <c r="AF1422" i="1"/>
  <c r="AG1422" i="1"/>
  <c r="AH1422" i="1"/>
  <c r="AI1422" i="1"/>
  <c r="AJ1422" i="1"/>
  <c r="AK1422" i="1"/>
  <c r="AL1422" i="1"/>
  <c r="AM1422" i="1"/>
  <c r="A1423" i="1"/>
  <c r="B1423" i="1"/>
  <c r="C1423" i="1"/>
  <c r="D1423" i="1"/>
  <c r="E1423" i="1"/>
  <c r="F1423" i="1"/>
  <c r="G1423" i="1"/>
  <c r="H1423" i="1"/>
  <c r="I1423" i="1"/>
  <c r="J1423" i="1"/>
  <c r="K1423" i="1"/>
  <c r="L1423" i="1"/>
  <c r="M1423" i="1"/>
  <c r="N1423" i="1"/>
  <c r="O1423" i="1"/>
  <c r="P1423" i="1"/>
  <c r="Q1423" i="1"/>
  <c r="R1423" i="1"/>
  <c r="S1423" i="1"/>
  <c r="T1423" i="1"/>
  <c r="U1423" i="1"/>
  <c r="V1423" i="1"/>
  <c r="W1423" i="1"/>
  <c r="X1423" i="1"/>
  <c r="Y1423" i="1"/>
  <c r="Z1423" i="1"/>
  <c r="AA1423" i="1"/>
  <c r="AB1423" i="1"/>
  <c r="AC1423" i="1"/>
  <c r="AD1423" i="1"/>
  <c r="AE1423" i="1"/>
  <c r="AF1423" i="1"/>
  <c r="AG1423" i="1"/>
  <c r="AH1423" i="1"/>
  <c r="AI1423" i="1"/>
  <c r="AJ1423" i="1"/>
  <c r="AK1423" i="1"/>
  <c r="AL1423" i="1"/>
  <c r="AM1423" i="1"/>
  <c r="A1424" i="1"/>
  <c r="B1424" i="1"/>
  <c r="C1424" i="1"/>
  <c r="D1424" i="1"/>
  <c r="E1424" i="1"/>
  <c r="F1424" i="1"/>
  <c r="G1424" i="1"/>
  <c r="H1424" i="1"/>
  <c r="I1424" i="1"/>
  <c r="J1424" i="1"/>
  <c r="K1424" i="1"/>
  <c r="L1424" i="1"/>
  <c r="M1424" i="1"/>
  <c r="N1424" i="1"/>
  <c r="O1424" i="1"/>
  <c r="P1424" i="1"/>
  <c r="Q1424" i="1"/>
  <c r="R1424" i="1"/>
  <c r="S1424" i="1"/>
  <c r="T1424" i="1"/>
  <c r="U1424" i="1"/>
  <c r="V1424" i="1"/>
  <c r="W1424" i="1"/>
  <c r="X1424" i="1"/>
  <c r="Y1424" i="1"/>
  <c r="Z1424" i="1"/>
  <c r="AA1424" i="1"/>
  <c r="AB1424" i="1"/>
  <c r="AC1424" i="1"/>
  <c r="AD1424" i="1"/>
  <c r="AE1424" i="1"/>
  <c r="AF1424" i="1"/>
  <c r="AG1424" i="1"/>
  <c r="AH1424" i="1"/>
  <c r="AI1424" i="1"/>
  <c r="AJ1424" i="1"/>
  <c r="AK1424" i="1"/>
  <c r="AL1424" i="1"/>
  <c r="AM1424" i="1"/>
  <c r="A1425" i="1"/>
  <c r="B1425" i="1"/>
  <c r="C1425" i="1"/>
  <c r="D1425" i="1"/>
  <c r="E1425" i="1"/>
  <c r="F1425" i="1"/>
  <c r="G1425" i="1"/>
  <c r="H1425" i="1"/>
  <c r="I1425" i="1"/>
  <c r="J1425" i="1"/>
  <c r="K1425" i="1"/>
  <c r="L1425" i="1"/>
  <c r="M1425" i="1"/>
  <c r="N1425" i="1"/>
  <c r="O1425" i="1"/>
  <c r="P1425" i="1"/>
  <c r="Q1425" i="1"/>
  <c r="R1425" i="1"/>
  <c r="S1425" i="1"/>
  <c r="T1425" i="1"/>
  <c r="U1425" i="1"/>
  <c r="V1425" i="1"/>
  <c r="W1425" i="1"/>
  <c r="X1425" i="1"/>
  <c r="Y1425" i="1"/>
  <c r="Z1425" i="1"/>
  <c r="AA1425" i="1"/>
  <c r="AB1425" i="1"/>
  <c r="AC1425" i="1"/>
  <c r="AD1425" i="1"/>
  <c r="AE1425" i="1"/>
  <c r="AF1425" i="1"/>
  <c r="AG1425" i="1"/>
  <c r="AH1425" i="1"/>
  <c r="AI1425" i="1"/>
  <c r="AJ1425" i="1"/>
  <c r="AK1425" i="1"/>
  <c r="AL1425" i="1"/>
  <c r="AM1425" i="1"/>
  <c r="A1426" i="1"/>
  <c r="B1426" i="1"/>
  <c r="C1426" i="1"/>
  <c r="D1426" i="1"/>
  <c r="E1426" i="1"/>
  <c r="F1426" i="1"/>
  <c r="G1426" i="1"/>
  <c r="H1426" i="1"/>
  <c r="I1426" i="1"/>
  <c r="J1426" i="1"/>
  <c r="K1426" i="1"/>
  <c r="L1426" i="1"/>
  <c r="M1426" i="1"/>
  <c r="N1426" i="1"/>
  <c r="O1426" i="1"/>
  <c r="P1426" i="1"/>
  <c r="Q1426" i="1"/>
  <c r="R1426" i="1"/>
  <c r="S1426" i="1"/>
  <c r="T1426" i="1"/>
  <c r="U1426" i="1"/>
  <c r="V1426" i="1"/>
  <c r="W1426" i="1"/>
  <c r="X1426" i="1"/>
  <c r="Y1426" i="1"/>
  <c r="Z1426" i="1"/>
  <c r="AA1426" i="1"/>
  <c r="AB1426" i="1"/>
  <c r="AC1426" i="1"/>
  <c r="AD1426" i="1"/>
  <c r="AE1426" i="1"/>
  <c r="AF1426" i="1"/>
  <c r="AG1426" i="1"/>
  <c r="AH1426" i="1"/>
  <c r="AI1426" i="1"/>
  <c r="AJ1426" i="1"/>
  <c r="AK1426" i="1"/>
  <c r="AL1426" i="1"/>
  <c r="AM1426" i="1"/>
  <c r="A1427" i="1"/>
  <c r="B1427" i="1"/>
  <c r="C1427" i="1"/>
  <c r="D1427" i="1"/>
  <c r="E1427" i="1"/>
  <c r="F1427" i="1"/>
  <c r="G1427" i="1"/>
  <c r="H1427" i="1"/>
  <c r="I1427" i="1"/>
  <c r="J1427" i="1"/>
  <c r="K1427" i="1"/>
  <c r="L1427" i="1"/>
  <c r="M1427" i="1"/>
  <c r="N1427" i="1"/>
  <c r="O1427" i="1"/>
  <c r="P1427" i="1"/>
  <c r="Q1427" i="1"/>
  <c r="R1427" i="1"/>
  <c r="S1427" i="1"/>
  <c r="T1427" i="1"/>
  <c r="U1427" i="1"/>
  <c r="V1427" i="1"/>
  <c r="W1427" i="1"/>
  <c r="X1427" i="1"/>
  <c r="Y1427" i="1"/>
  <c r="Z1427" i="1"/>
  <c r="AA1427" i="1"/>
  <c r="AB1427" i="1"/>
  <c r="AC1427" i="1"/>
  <c r="AD1427" i="1"/>
  <c r="AE1427" i="1"/>
  <c r="AF1427" i="1"/>
  <c r="AG1427" i="1"/>
  <c r="AH1427" i="1"/>
  <c r="AI1427" i="1"/>
  <c r="AJ1427" i="1"/>
  <c r="AK1427" i="1"/>
  <c r="AL1427" i="1"/>
  <c r="AM1427" i="1"/>
  <c r="A1428" i="1"/>
  <c r="B1428" i="1"/>
  <c r="C1428" i="1"/>
  <c r="D1428" i="1"/>
  <c r="E1428" i="1"/>
  <c r="F1428" i="1"/>
  <c r="G1428" i="1"/>
  <c r="H1428" i="1"/>
  <c r="I1428" i="1"/>
  <c r="J1428" i="1"/>
  <c r="K1428" i="1"/>
  <c r="L1428" i="1"/>
  <c r="M1428" i="1"/>
  <c r="N1428" i="1"/>
  <c r="O1428" i="1"/>
  <c r="P1428" i="1"/>
  <c r="Q1428" i="1"/>
  <c r="R1428" i="1"/>
  <c r="S1428" i="1"/>
  <c r="T1428" i="1"/>
  <c r="U1428" i="1"/>
  <c r="V1428" i="1"/>
  <c r="W1428" i="1"/>
  <c r="X1428" i="1"/>
  <c r="Y1428" i="1"/>
  <c r="Z1428" i="1"/>
  <c r="AA1428" i="1"/>
  <c r="AB1428" i="1"/>
  <c r="AC1428" i="1"/>
  <c r="AD1428" i="1"/>
  <c r="AE1428" i="1"/>
  <c r="AF1428" i="1"/>
  <c r="AG1428" i="1"/>
  <c r="AH1428" i="1"/>
  <c r="AI1428" i="1"/>
  <c r="AJ1428" i="1"/>
  <c r="AK1428" i="1"/>
  <c r="AL1428" i="1"/>
  <c r="AM1428" i="1"/>
  <c r="A1429" i="1"/>
  <c r="B1429" i="1"/>
  <c r="C1429" i="1"/>
  <c r="D1429" i="1"/>
  <c r="E1429" i="1"/>
  <c r="F1429" i="1"/>
  <c r="G1429" i="1"/>
  <c r="H1429" i="1"/>
  <c r="I1429" i="1"/>
  <c r="J1429" i="1"/>
  <c r="K1429" i="1"/>
  <c r="L1429" i="1"/>
  <c r="M1429" i="1"/>
  <c r="N1429" i="1"/>
  <c r="O1429" i="1"/>
  <c r="P1429" i="1"/>
  <c r="Q1429" i="1"/>
  <c r="R1429" i="1"/>
  <c r="S1429" i="1"/>
  <c r="T1429" i="1"/>
  <c r="U1429" i="1"/>
  <c r="V1429" i="1"/>
  <c r="W1429" i="1"/>
  <c r="X1429" i="1"/>
  <c r="Y1429" i="1"/>
  <c r="Z1429" i="1"/>
  <c r="AA1429" i="1"/>
  <c r="AB1429" i="1"/>
  <c r="AC1429" i="1"/>
  <c r="AD1429" i="1"/>
  <c r="AE1429" i="1"/>
  <c r="AF1429" i="1"/>
  <c r="AG1429" i="1"/>
  <c r="AH1429" i="1"/>
  <c r="AI1429" i="1"/>
  <c r="AJ1429" i="1"/>
  <c r="AK1429" i="1"/>
  <c r="AL1429" i="1"/>
  <c r="AM1429" i="1"/>
  <c r="A1430" i="1"/>
  <c r="B1430" i="1"/>
  <c r="C1430" i="1"/>
  <c r="D1430" i="1"/>
  <c r="E1430" i="1"/>
  <c r="F1430" i="1"/>
  <c r="G1430" i="1"/>
  <c r="H1430" i="1"/>
  <c r="I1430" i="1"/>
  <c r="J1430" i="1"/>
  <c r="K1430" i="1"/>
  <c r="L1430" i="1"/>
  <c r="M1430" i="1"/>
  <c r="N1430" i="1"/>
  <c r="O1430" i="1"/>
  <c r="P1430" i="1"/>
  <c r="Q1430" i="1"/>
  <c r="R1430" i="1"/>
  <c r="S1430" i="1"/>
  <c r="T1430" i="1"/>
  <c r="U1430" i="1"/>
  <c r="V1430" i="1"/>
  <c r="W1430" i="1"/>
  <c r="X1430" i="1"/>
  <c r="Y1430" i="1"/>
  <c r="Z1430" i="1"/>
  <c r="AA1430" i="1"/>
  <c r="AB1430" i="1"/>
  <c r="AC1430" i="1"/>
  <c r="AD1430" i="1"/>
  <c r="AE1430" i="1"/>
  <c r="AF1430" i="1"/>
  <c r="AG1430" i="1"/>
  <c r="AH1430" i="1"/>
  <c r="AI1430" i="1"/>
  <c r="AJ1430" i="1"/>
  <c r="AK1430" i="1"/>
  <c r="AL1430" i="1"/>
  <c r="AM1430" i="1"/>
  <c r="A1431" i="1"/>
  <c r="B1431" i="1"/>
  <c r="C1431" i="1"/>
  <c r="D1431" i="1"/>
  <c r="E1431" i="1"/>
  <c r="F1431" i="1"/>
  <c r="G1431" i="1"/>
  <c r="H1431" i="1"/>
  <c r="I1431" i="1"/>
  <c r="J1431" i="1"/>
  <c r="K1431" i="1"/>
  <c r="L1431" i="1"/>
  <c r="M1431" i="1"/>
  <c r="N1431" i="1"/>
  <c r="O1431" i="1"/>
  <c r="P1431" i="1"/>
  <c r="Q1431" i="1"/>
  <c r="R1431" i="1"/>
  <c r="S1431" i="1"/>
  <c r="T1431" i="1"/>
  <c r="U1431" i="1"/>
  <c r="V1431" i="1"/>
  <c r="W1431" i="1"/>
  <c r="X1431" i="1"/>
  <c r="Y1431" i="1"/>
  <c r="Z1431" i="1"/>
  <c r="AA1431" i="1"/>
  <c r="AB1431" i="1"/>
  <c r="AC1431" i="1"/>
  <c r="AD1431" i="1"/>
  <c r="AE1431" i="1"/>
  <c r="AF1431" i="1"/>
  <c r="AG1431" i="1"/>
  <c r="AH1431" i="1"/>
  <c r="AI1431" i="1"/>
  <c r="AJ1431" i="1"/>
  <c r="AK1431" i="1"/>
  <c r="AL1431" i="1"/>
  <c r="AM1431" i="1"/>
  <c r="A1432" i="1"/>
  <c r="B1432" i="1"/>
  <c r="C1432" i="1"/>
  <c r="D1432" i="1"/>
  <c r="E1432" i="1"/>
  <c r="F1432" i="1"/>
  <c r="G1432" i="1"/>
  <c r="H1432" i="1"/>
  <c r="I1432" i="1"/>
  <c r="J1432" i="1"/>
  <c r="K1432" i="1"/>
  <c r="L1432" i="1"/>
  <c r="M1432" i="1"/>
  <c r="N1432" i="1"/>
  <c r="O1432" i="1"/>
  <c r="P1432" i="1"/>
  <c r="Q1432" i="1"/>
  <c r="R1432" i="1"/>
  <c r="S1432" i="1"/>
  <c r="T1432" i="1"/>
  <c r="U1432" i="1"/>
  <c r="V1432" i="1"/>
  <c r="W1432" i="1"/>
  <c r="X1432" i="1"/>
  <c r="Y1432" i="1"/>
  <c r="Z1432" i="1"/>
  <c r="AA1432" i="1"/>
  <c r="AB1432" i="1"/>
  <c r="AC1432" i="1"/>
  <c r="AD1432" i="1"/>
  <c r="AE1432" i="1"/>
  <c r="AF1432" i="1"/>
  <c r="AG1432" i="1"/>
  <c r="AH1432" i="1"/>
  <c r="AI1432" i="1"/>
  <c r="AJ1432" i="1"/>
  <c r="AK1432" i="1"/>
  <c r="AL1432" i="1"/>
  <c r="AM1432" i="1"/>
  <c r="A1433" i="1"/>
  <c r="B1433" i="1"/>
  <c r="C1433" i="1"/>
  <c r="D1433" i="1"/>
  <c r="E1433" i="1"/>
  <c r="F1433" i="1"/>
  <c r="G1433" i="1"/>
  <c r="H1433" i="1"/>
  <c r="I1433" i="1"/>
  <c r="J1433" i="1"/>
  <c r="K1433" i="1"/>
  <c r="L1433" i="1"/>
  <c r="M1433" i="1"/>
  <c r="N1433" i="1"/>
  <c r="O1433" i="1"/>
  <c r="P1433" i="1"/>
  <c r="Q1433" i="1"/>
  <c r="R1433" i="1"/>
  <c r="S1433" i="1"/>
  <c r="T1433" i="1"/>
  <c r="U1433" i="1"/>
  <c r="V1433" i="1"/>
  <c r="W1433" i="1"/>
  <c r="X1433" i="1"/>
  <c r="Y1433" i="1"/>
  <c r="Z1433" i="1"/>
  <c r="AA1433" i="1"/>
  <c r="AB1433" i="1"/>
  <c r="AC1433" i="1"/>
  <c r="AD1433" i="1"/>
  <c r="AE1433" i="1"/>
  <c r="AF1433" i="1"/>
  <c r="AG1433" i="1"/>
  <c r="AH1433" i="1"/>
  <c r="AI1433" i="1"/>
  <c r="AJ1433" i="1"/>
  <c r="AK1433" i="1"/>
  <c r="AL1433" i="1"/>
  <c r="AM1433" i="1"/>
  <c r="A1434" i="1"/>
  <c r="B1434" i="1"/>
  <c r="C1434" i="1"/>
  <c r="D1434" i="1"/>
  <c r="E1434" i="1"/>
  <c r="F1434" i="1"/>
  <c r="G1434" i="1"/>
  <c r="H1434" i="1"/>
  <c r="I1434" i="1"/>
  <c r="J1434" i="1"/>
  <c r="K1434" i="1"/>
  <c r="L1434" i="1"/>
  <c r="M1434" i="1"/>
  <c r="N1434" i="1"/>
  <c r="O1434" i="1"/>
  <c r="P1434" i="1"/>
  <c r="Q1434" i="1"/>
  <c r="R1434" i="1"/>
  <c r="S1434" i="1"/>
  <c r="T1434" i="1"/>
  <c r="U1434" i="1"/>
  <c r="V1434" i="1"/>
  <c r="W1434" i="1"/>
  <c r="X1434" i="1"/>
  <c r="Y1434" i="1"/>
  <c r="Z1434" i="1"/>
  <c r="AA1434" i="1"/>
  <c r="AB1434" i="1"/>
  <c r="AC1434" i="1"/>
  <c r="AD1434" i="1"/>
  <c r="AE1434" i="1"/>
  <c r="AF1434" i="1"/>
  <c r="AG1434" i="1"/>
  <c r="AH1434" i="1"/>
  <c r="AI1434" i="1"/>
  <c r="AJ1434" i="1"/>
  <c r="AK1434" i="1"/>
  <c r="AL1434" i="1"/>
  <c r="AM1434" i="1"/>
  <c r="A1435" i="1"/>
  <c r="B1435" i="1"/>
  <c r="C1435" i="1"/>
  <c r="D1435" i="1"/>
  <c r="E1435" i="1"/>
  <c r="F1435" i="1"/>
  <c r="G1435" i="1"/>
  <c r="H1435" i="1"/>
  <c r="I1435" i="1"/>
  <c r="J1435" i="1"/>
  <c r="K1435" i="1"/>
  <c r="L1435" i="1"/>
  <c r="M1435" i="1"/>
  <c r="N1435" i="1"/>
  <c r="O1435" i="1"/>
  <c r="P1435" i="1"/>
  <c r="Q1435" i="1"/>
  <c r="R1435" i="1"/>
  <c r="S1435" i="1"/>
  <c r="T1435" i="1"/>
  <c r="U1435" i="1"/>
  <c r="V1435" i="1"/>
  <c r="W1435" i="1"/>
  <c r="X1435" i="1"/>
  <c r="Y1435" i="1"/>
  <c r="Z1435" i="1"/>
  <c r="AA1435" i="1"/>
  <c r="AB1435" i="1"/>
  <c r="AC1435" i="1"/>
  <c r="AD1435" i="1"/>
  <c r="AE1435" i="1"/>
  <c r="AF1435" i="1"/>
  <c r="AG1435" i="1"/>
  <c r="AH1435" i="1"/>
  <c r="AI1435" i="1"/>
  <c r="AJ1435" i="1"/>
  <c r="AK1435" i="1"/>
  <c r="AL1435" i="1"/>
  <c r="AM1435" i="1"/>
  <c r="A1436" i="1"/>
  <c r="B1436" i="1"/>
  <c r="C1436" i="1"/>
  <c r="D1436" i="1"/>
  <c r="E1436" i="1"/>
  <c r="F1436" i="1"/>
  <c r="G1436" i="1"/>
  <c r="H1436" i="1"/>
  <c r="I1436" i="1"/>
  <c r="J1436" i="1"/>
  <c r="K1436" i="1"/>
  <c r="L1436" i="1"/>
  <c r="M1436" i="1"/>
  <c r="N1436" i="1"/>
  <c r="O1436" i="1"/>
  <c r="P1436" i="1"/>
  <c r="Q1436" i="1"/>
  <c r="R1436" i="1"/>
  <c r="S1436" i="1"/>
  <c r="T1436" i="1"/>
  <c r="U1436" i="1"/>
  <c r="V1436" i="1"/>
  <c r="W1436" i="1"/>
  <c r="X1436" i="1"/>
  <c r="Y1436" i="1"/>
  <c r="Z1436" i="1"/>
  <c r="AA1436" i="1"/>
  <c r="AB1436" i="1"/>
  <c r="AC1436" i="1"/>
  <c r="AD1436" i="1"/>
  <c r="AE1436" i="1"/>
  <c r="AF1436" i="1"/>
  <c r="AG1436" i="1"/>
  <c r="AH1436" i="1"/>
  <c r="AI1436" i="1"/>
  <c r="AJ1436" i="1"/>
  <c r="AK1436" i="1"/>
  <c r="AL1436" i="1"/>
  <c r="AM1436" i="1"/>
  <c r="A1437" i="1"/>
  <c r="B1437" i="1"/>
  <c r="C1437" i="1"/>
  <c r="D1437" i="1"/>
  <c r="E1437" i="1"/>
  <c r="F1437" i="1"/>
  <c r="G1437" i="1"/>
  <c r="H1437" i="1"/>
  <c r="I1437" i="1"/>
  <c r="J1437" i="1"/>
  <c r="K1437" i="1"/>
  <c r="L1437" i="1"/>
  <c r="M1437" i="1"/>
  <c r="N1437" i="1"/>
  <c r="O1437" i="1"/>
  <c r="P1437" i="1"/>
  <c r="Q1437" i="1"/>
  <c r="R1437" i="1"/>
  <c r="S1437" i="1"/>
  <c r="T1437" i="1"/>
  <c r="U1437" i="1"/>
  <c r="V1437" i="1"/>
  <c r="W1437" i="1"/>
  <c r="X1437" i="1"/>
  <c r="Y1437" i="1"/>
  <c r="Z1437" i="1"/>
  <c r="AA1437" i="1"/>
  <c r="AB1437" i="1"/>
  <c r="AC1437" i="1"/>
  <c r="AD1437" i="1"/>
  <c r="AE1437" i="1"/>
  <c r="AF1437" i="1"/>
  <c r="AG1437" i="1"/>
  <c r="AH1437" i="1"/>
  <c r="AI1437" i="1"/>
  <c r="AJ1437" i="1"/>
  <c r="AK1437" i="1"/>
  <c r="AL1437" i="1"/>
  <c r="AM1437" i="1"/>
  <c r="A1438" i="1"/>
  <c r="B1438" i="1"/>
  <c r="C1438" i="1"/>
  <c r="D1438" i="1"/>
  <c r="E1438" i="1"/>
  <c r="F1438" i="1"/>
  <c r="G1438" i="1"/>
  <c r="H1438" i="1"/>
  <c r="I1438" i="1"/>
  <c r="J1438" i="1"/>
  <c r="K1438" i="1"/>
  <c r="L1438" i="1"/>
  <c r="M1438" i="1"/>
  <c r="N1438" i="1"/>
  <c r="O1438" i="1"/>
  <c r="P1438" i="1"/>
  <c r="Q1438" i="1"/>
  <c r="R1438" i="1"/>
  <c r="S1438" i="1"/>
  <c r="T1438" i="1"/>
  <c r="U1438" i="1"/>
  <c r="V1438" i="1"/>
  <c r="W1438" i="1"/>
  <c r="X1438" i="1"/>
  <c r="Y1438" i="1"/>
  <c r="Z1438" i="1"/>
  <c r="AA1438" i="1"/>
  <c r="AB1438" i="1"/>
  <c r="AC1438" i="1"/>
  <c r="AD1438" i="1"/>
  <c r="AE1438" i="1"/>
  <c r="AF1438" i="1"/>
  <c r="AG1438" i="1"/>
  <c r="AH1438" i="1"/>
  <c r="AI1438" i="1"/>
  <c r="AJ1438" i="1"/>
  <c r="AK1438" i="1"/>
  <c r="AL1438" i="1"/>
  <c r="AM1438" i="1"/>
  <c r="A1439" i="1"/>
  <c r="B1439" i="1"/>
  <c r="C1439" i="1"/>
  <c r="D1439" i="1"/>
  <c r="E1439" i="1"/>
  <c r="F1439" i="1"/>
  <c r="G1439" i="1"/>
  <c r="H1439" i="1"/>
  <c r="I1439" i="1"/>
  <c r="J1439" i="1"/>
  <c r="K1439" i="1"/>
  <c r="L1439" i="1"/>
  <c r="M1439" i="1"/>
  <c r="N1439" i="1"/>
  <c r="O1439" i="1"/>
  <c r="P1439" i="1"/>
  <c r="Q1439" i="1"/>
  <c r="R1439" i="1"/>
  <c r="S1439" i="1"/>
  <c r="T1439" i="1"/>
  <c r="U1439" i="1"/>
  <c r="V1439" i="1"/>
  <c r="W1439" i="1"/>
  <c r="X1439" i="1"/>
  <c r="Y1439" i="1"/>
  <c r="Z1439" i="1"/>
  <c r="AA1439" i="1"/>
  <c r="AB1439" i="1"/>
  <c r="AC1439" i="1"/>
  <c r="AD1439" i="1"/>
  <c r="AE1439" i="1"/>
  <c r="AF1439" i="1"/>
  <c r="AG1439" i="1"/>
  <c r="AH1439" i="1"/>
  <c r="AI1439" i="1"/>
  <c r="AJ1439" i="1"/>
  <c r="AK1439" i="1"/>
  <c r="AL1439" i="1"/>
  <c r="AM1439" i="1"/>
  <c r="A1440" i="1"/>
  <c r="B1440" i="1"/>
  <c r="C1440" i="1"/>
  <c r="D1440" i="1"/>
  <c r="E1440" i="1"/>
  <c r="F1440" i="1"/>
  <c r="G1440" i="1"/>
  <c r="H1440" i="1"/>
  <c r="I1440" i="1"/>
  <c r="J1440" i="1"/>
  <c r="K1440" i="1"/>
  <c r="L1440" i="1"/>
  <c r="M1440" i="1"/>
  <c r="N1440" i="1"/>
  <c r="O1440" i="1"/>
  <c r="P1440" i="1"/>
  <c r="Q1440" i="1"/>
  <c r="R1440" i="1"/>
  <c r="S1440" i="1"/>
  <c r="T1440" i="1"/>
  <c r="U1440" i="1"/>
  <c r="V1440" i="1"/>
  <c r="W1440" i="1"/>
  <c r="X1440" i="1"/>
  <c r="Y1440" i="1"/>
  <c r="Z1440" i="1"/>
  <c r="AA1440" i="1"/>
  <c r="AB1440" i="1"/>
  <c r="AC1440" i="1"/>
  <c r="AD1440" i="1"/>
  <c r="AE1440" i="1"/>
  <c r="AF1440" i="1"/>
  <c r="AG1440" i="1"/>
  <c r="AH1440" i="1"/>
  <c r="AI1440" i="1"/>
  <c r="AJ1440" i="1"/>
  <c r="AK1440" i="1"/>
  <c r="AL1440" i="1"/>
  <c r="AM1440" i="1"/>
  <c r="A1441" i="1"/>
  <c r="B1441" i="1"/>
  <c r="C1441" i="1"/>
  <c r="D1441" i="1"/>
  <c r="E1441" i="1"/>
  <c r="F1441" i="1"/>
  <c r="G1441" i="1"/>
  <c r="H1441" i="1"/>
  <c r="I1441" i="1"/>
  <c r="J1441" i="1"/>
  <c r="K1441" i="1"/>
  <c r="L1441" i="1"/>
  <c r="M1441" i="1"/>
  <c r="N1441" i="1"/>
  <c r="O1441" i="1"/>
  <c r="P1441" i="1"/>
  <c r="Q1441" i="1"/>
  <c r="R1441" i="1"/>
  <c r="S1441" i="1"/>
  <c r="T1441" i="1"/>
  <c r="U1441" i="1"/>
  <c r="V1441" i="1"/>
  <c r="W1441" i="1"/>
  <c r="X1441" i="1"/>
  <c r="Y1441" i="1"/>
  <c r="Z1441" i="1"/>
  <c r="AA1441" i="1"/>
  <c r="AB1441" i="1"/>
  <c r="AC1441" i="1"/>
  <c r="AD1441" i="1"/>
  <c r="AE1441" i="1"/>
  <c r="AF1441" i="1"/>
  <c r="AG1441" i="1"/>
  <c r="AH1441" i="1"/>
  <c r="AI1441" i="1"/>
  <c r="AJ1441" i="1"/>
  <c r="AK1441" i="1"/>
  <c r="AL1441" i="1"/>
  <c r="AM1441" i="1"/>
  <c r="A1442" i="1"/>
  <c r="B1442" i="1"/>
  <c r="C1442" i="1"/>
  <c r="D1442" i="1"/>
  <c r="E1442" i="1"/>
  <c r="F1442" i="1"/>
  <c r="G1442" i="1"/>
  <c r="H1442" i="1"/>
  <c r="I1442" i="1"/>
  <c r="J1442" i="1"/>
  <c r="K1442" i="1"/>
  <c r="L1442" i="1"/>
  <c r="M1442" i="1"/>
  <c r="N1442" i="1"/>
  <c r="O1442" i="1"/>
  <c r="P1442" i="1"/>
  <c r="Q1442" i="1"/>
  <c r="R1442" i="1"/>
  <c r="S1442" i="1"/>
  <c r="T1442" i="1"/>
  <c r="U1442" i="1"/>
  <c r="V1442" i="1"/>
  <c r="W1442" i="1"/>
  <c r="X1442" i="1"/>
  <c r="Y1442" i="1"/>
  <c r="Z1442" i="1"/>
  <c r="AA1442" i="1"/>
  <c r="AB1442" i="1"/>
  <c r="AC1442" i="1"/>
  <c r="AD1442" i="1"/>
  <c r="AE1442" i="1"/>
  <c r="AF1442" i="1"/>
  <c r="AG1442" i="1"/>
  <c r="AH1442" i="1"/>
  <c r="AI1442" i="1"/>
  <c r="AJ1442" i="1"/>
  <c r="AK1442" i="1"/>
  <c r="AL1442" i="1"/>
  <c r="AM1442" i="1"/>
  <c r="A1443" i="1"/>
  <c r="B1443" i="1"/>
  <c r="C1443" i="1"/>
  <c r="D1443" i="1"/>
  <c r="E1443" i="1"/>
  <c r="F1443" i="1"/>
  <c r="G1443" i="1"/>
  <c r="H1443" i="1"/>
  <c r="I1443" i="1"/>
  <c r="J1443" i="1"/>
  <c r="K1443" i="1"/>
  <c r="L1443" i="1"/>
  <c r="M1443" i="1"/>
  <c r="N1443" i="1"/>
  <c r="O1443" i="1"/>
  <c r="P1443" i="1"/>
  <c r="Q1443" i="1"/>
  <c r="R1443" i="1"/>
  <c r="S1443" i="1"/>
  <c r="T1443" i="1"/>
  <c r="U1443" i="1"/>
  <c r="V1443" i="1"/>
  <c r="W1443" i="1"/>
  <c r="X1443" i="1"/>
  <c r="Y1443" i="1"/>
  <c r="Z1443" i="1"/>
  <c r="AA1443" i="1"/>
  <c r="AB1443" i="1"/>
  <c r="AC1443" i="1"/>
  <c r="AD1443" i="1"/>
  <c r="AE1443" i="1"/>
  <c r="AF1443" i="1"/>
  <c r="AG1443" i="1"/>
  <c r="AH1443" i="1"/>
  <c r="AI1443" i="1"/>
  <c r="AJ1443" i="1"/>
  <c r="AK1443" i="1"/>
  <c r="AL1443" i="1"/>
  <c r="AM1443" i="1"/>
  <c r="A1444" i="1"/>
  <c r="B1444" i="1"/>
  <c r="C1444" i="1"/>
  <c r="D1444" i="1"/>
  <c r="E1444" i="1"/>
  <c r="F1444" i="1"/>
  <c r="G1444" i="1"/>
  <c r="H1444" i="1"/>
  <c r="I1444" i="1"/>
  <c r="J1444" i="1"/>
  <c r="K1444" i="1"/>
  <c r="L1444" i="1"/>
  <c r="M1444" i="1"/>
  <c r="N1444" i="1"/>
  <c r="O1444" i="1"/>
  <c r="P1444" i="1"/>
  <c r="Q1444" i="1"/>
  <c r="R1444" i="1"/>
  <c r="S1444" i="1"/>
  <c r="T1444" i="1"/>
  <c r="U1444" i="1"/>
  <c r="V1444" i="1"/>
  <c r="W1444" i="1"/>
  <c r="X1444" i="1"/>
  <c r="Y1444" i="1"/>
  <c r="Z1444" i="1"/>
  <c r="AA1444" i="1"/>
  <c r="AB1444" i="1"/>
  <c r="AC1444" i="1"/>
  <c r="AD1444" i="1"/>
  <c r="AE1444" i="1"/>
  <c r="AF1444" i="1"/>
  <c r="AG1444" i="1"/>
  <c r="AH1444" i="1"/>
  <c r="AI1444" i="1"/>
  <c r="AJ1444" i="1"/>
  <c r="AK1444" i="1"/>
  <c r="AL1444" i="1"/>
  <c r="AM1444" i="1"/>
  <c r="A1445" i="1"/>
  <c r="B1445" i="1"/>
  <c r="C1445" i="1"/>
  <c r="D1445" i="1"/>
  <c r="E1445" i="1"/>
  <c r="F1445" i="1"/>
  <c r="G1445" i="1"/>
  <c r="H1445" i="1"/>
  <c r="I1445" i="1"/>
  <c r="J1445" i="1"/>
  <c r="K1445" i="1"/>
  <c r="L1445" i="1"/>
  <c r="M1445" i="1"/>
  <c r="N1445" i="1"/>
  <c r="O1445" i="1"/>
  <c r="P1445" i="1"/>
  <c r="Q1445" i="1"/>
  <c r="R1445" i="1"/>
  <c r="S1445" i="1"/>
  <c r="T1445" i="1"/>
  <c r="U1445" i="1"/>
  <c r="V1445" i="1"/>
  <c r="W1445" i="1"/>
  <c r="X1445" i="1"/>
  <c r="Y1445" i="1"/>
  <c r="Z1445" i="1"/>
  <c r="AA1445" i="1"/>
  <c r="AB1445" i="1"/>
  <c r="AC1445" i="1"/>
  <c r="AD1445" i="1"/>
  <c r="AE1445" i="1"/>
  <c r="AF1445" i="1"/>
  <c r="AG1445" i="1"/>
  <c r="AH1445" i="1"/>
  <c r="AI1445" i="1"/>
  <c r="AJ1445" i="1"/>
  <c r="AK1445" i="1"/>
  <c r="AL1445" i="1"/>
  <c r="AM1445" i="1"/>
  <c r="A1446" i="1"/>
  <c r="B1446" i="1"/>
  <c r="C1446" i="1"/>
  <c r="D1446" i="1"/>
  <c r="E1446" i="1"/>
  <c r="F1446" i="1"/>
  <c r="G1446" i="1"/>
  <c r="H1446" i="1"/>
  <c r="I1446" i="1"/>
  <c r="J1446" i="1"/>
  <c r="K1446" i="1"/>
  <c r="L1446" i="1"/>
  <c r="M1446" i="1"/>
  <c r="N1446" i="1"/>
  <c r="O1446" i="1"/>
  <c r="P1446" i="1"/>
  <c r="Q1446" i="1"/>
  <c r="R1446" i="1"/>
  <c r="S1446" i="1"/>
  <c r="T1446" i="1"/>
  <c r="U1446" i="1"/>
  <c r="V1446" i="1"/>
  <c r="W1446" i="1"/>
  <c r="X1446" i="1"/>
  <c r="Y1446" i="1"/>
  <c r="Z1446" i="1"/>
  <c r="AA1446" i="1"/>
  <c r="AB1446" i="1"/>
  <c r="AC1446" i="1"/>
  <c r="AD1446" i="1"/>
  <c r="AE1446" i="1"/>
  <c r="AF1446" i="1"/>
  <c r="AG1446" i="1"/>
  <c r="AH1446" i="1"/>
  <c r="AI1446" i="1"/>
  <c r="AJ1446" i="1"/>
  <c r="AK1446" i="1"/>
  <c r="AL1446" i="1"/>
  <c r="AM1446" i="1"/>
  <c r="A1447" i="1"/>
  <c r="B1447" i="1"/>
  <c r="C1447" i="1"/>
  <c r="D1447" i="1"/>
  <c r="E1447" i="1"/>
  <c r="F1447" i="1"/>
  <c r="G1447" i="1"/>
  <c r="H1447" i="1"/>
  <c r="I1447" i="1"/>
  <c r="J1447" i="1"/>
  <c r="K1447" i="1"/>
  <c r="L1447" i="1"/>
  <c r="M1447" i="1"/>
  <c r="N1447" i="1"/>
  <c r="O1447" i="1"/>
  <c r="P1447" i="1"/>
  <c r="Q1447" i="1"/>
  <c r="R1447" i="1"/>
  <c r="S1447" i="1"/>
  <c r="T1447" i="1"/>
  <c r="U1447" i="1"/>
  <c r="V1447" i="1"/>
  <c r="W1447" i="1"/>
  <c r="X1447" i="1"/>
  <c r="Y1447" i="1"/>
  <c r="Z1447" i="1"/>
  <c r="AA1447" i="1"/>
  <c r="AB1447" i="1"/>
  <c r="AC1447" i="1"/>
  <c r="AD1447" i="1"/>
  <c r="AE1447" i="1"/>
  <c r="AF1447" i="1"/>
  <c r="AG1447" i="1"/>
  <c r="AH1447" i="1"/>
  <c r="AI1447" i="1"/>
  <c r="AJ1447" i="1"/>
  <c r="AK1447" i="1"/>
  <c r="AL1447" i="1"/>
  <c r="AM1447" i="1"/>
  <c r="A1448" i="1"/>
  <c r="B1448" i="1"/>
  <c r="C1448" i="1"/>
  <c r="D1448" i="1"/>
  <c r="E1448" i="1"/>
  <c r="F1448" i="1"/>
  <c r="G1448" i="1"/>
  <c r="H1448" i="1"/>
  <c r="I1448" i="1"/>
  <c r="J1448" i="1"/>
  <c r="K1448" i="1"/>
  <c r="L1448" i="1"/>
  <c r="M1448" i="1"/>
  <c r="N1448" i="1"/>
  <c r="O1448" i="1"/>
  <c r="P1448" i="1"/>
  <c r="Q1448" i="1"/>
  <c r="R1448" i="1"/>
  <c r="S1448" i="1"/>
  <c r="T1448" i="1"/>
  <c r="U1448" i="1"/>
  <c r="V1448" i="1"/>
  <c r="W1448" i="1"/>
  <c r="X1448" i="1"/>
  <c r="Y1448" i="1"/>
  <c r="Z1448" i="1"/>
  <c r="AA1448" i="1"/>
  <c r="AB1448" i="1"/>
  <c r="AC1448" i="1"/>
  <c r="AD1448" i="1"/>
  <c r="AE1448" i="1"/>
  <c r="AF1448" i="1"/>
  <c r="AG1448" i="1"/>
  <c r="AH1448" i="1"/>
  <c r="AI1448" i="1"/>
  <c r="AJ1448" i="1"/>
  <c r="AK1448" i="1"/>
  <c r="AL1448" i="1"/>
  <c r="AM1448" i="1"/>
  <c r="A1449" i="1"/>
  <c r="B1449" i="1"/>
  <c r="C1449" i="1"/>
  <c r="D1449" i="1"/>
  <c r="E1449" i="1"/>
  <c r="F1449" i="1"/>
  <c r="G1449" i="1"/>
  <c r="H1449" i="1"/>
  <c r="I1449" i="1"/>
  <c r="J1449" i="1"/>
  <c r="K1449" i="1"/>
  <c r="L1449" i="1"/>
  <c r="M1449" i="1"/>
  <c r="N1449" i="1"/>
  <c r="O1449" i="1"/>
  <c r="P1449" i="1"/>
  <c r="Q1449" i="1"/>
  <c r="R1449" i="1"/>
  <c r="S1449" i="1"/>
  <c r="T1449" i="1"/>
  <c r="U1449" i="1"/>
  <c r="V1449" i="1"/>
  <c r="W1449" i="1"/>
  <c r="X1449" i="1"/>
  <c r="Y1449" i="1"/>
  <c r="Z1449" i="1"/>
  <c r="AA1449" i="1"/>
  <c r="AB1449" i="1"/>
  <c r="AC1449" i="1"/>
  <c r="AD1449" i="1"/>
  <c r="AE1449" i="1"/>
  <c r="AF1449" i="1"/>
  <c r="AG1449" i="1"/>
  <c r="AH1449" i="1"/>
  <c r="AI1449" i="1"/>
  <c r="AJ1449" i="1"/>
  <c r="AK1449" i="1"/>
  <c r="AL1449" i="1"/>
  <c r="AM1449" i="1"/>
  <c r="A1450" i="1"/>
  <c r="B1450" i="1"/>
  <c r="C1450" i="1"/>
  <c r="D1450" i="1"/>
  <c r="E1450" i="1"/>
  <c r="F1450" i="1"/>
  <c r="G1450" i="1"/>
  <c r="H1450" i="1"/>
  <c r="I1450" i="1"/>
  <c r="J1450" i="1"/>
  <c r="K1450" i="1"/>
  <c r="L1450" i="1"/>
  <c r="M1450" i="1"/>
  <c r="N1450" i="1"/>
  <c r="O1450" i="1"/>
  <c r="P1450" i="1"/>
  <c r="Q1450" i="1"/>
  <c r="R1450" i="1"/>
  <c r="S1450" i="1"/>
  <c r="T1450" i="1"/>
  <c r="U1450" i="1"/>
  <c r="V1450" i="1"/>
  <c r="W1450" i="1"/>
  <c r="X1450" i="1"/>
  <c r="Y1450" i="1"/>
  <c r="Z1450" i="1"/>
  <c r="AA1450" i="1"/>
  <c r="AB1450" i="1"/>
  <c r="AC1450" i="1"/>
  <c r="AD1450" i="1"/>
  <c r="AE1450" i="1"/>
  <c r="AF1450" i="1"/>
  <c r="AG1450" i="1"/>
  <c r="AH1450" i="1"/>
  <c r="AI1450" i="1"/>
  <c r="AJ1450" i="1"/>
  <c r="AK1450" i="1"/>
  <c r="AL1450" i="1"/>
  <c r="AM1450" i="1"/>
  <c r="A1451" i="1"/>
  <c r="B1451" i="1"/>
  <c r="C1451" i="1"/>
  <c r="D1451" i="1"/>
  <c r="E1451" i="1"/>
  <c r="F1451" i="1"/>
  <c r="G1451" i="1"/>
  <c r="H1451" i="1"/>
  <c r="I1451" i="1"/>
  <c r="J1451" i="1"/>
  <c r="K1451" i="1"/>
  <c r="L1451" i="1"/>
  <c r="M1451" i="1"/>
  <c r="N1451" i="1"/>
  <c r="O1451" i="1"/>
  <c r="P1451" i="1"/>
  <c r="Q1451" i="1"/>
  <c r="R1451" i="1"/>
  <c r="S1451" i="1"/>
  <c r="T1451" i="1"/>
  <c r="U1451" i="1"/>
  <c r="V1451" i="1"/>
  <c r="W1451" i="1"/>
  <c r="X1451" i="1"/>
  <c r="Y1451" i="1"/>
  <c r="Z1451" i="1"/>
  <c r="AA1451" i="1"/>
  <c r="AB1451" i="1"/>
  <c r="AC1451" i="1"/>
  <c r="AD1451" i="1"/>
  <c r="AE1451" i="1"/>
  <c r="AF1451" i="1"/>
  <c r="AG1451" i="1"/>
  <c r="AH1451" i="1"/>
  <c r="AI1451" i="1"/>
  <c r="AJ1451" i="1"/>
  <c r="AK1451" i="1"/>
  <c r="AL1451" i="1"/>
  <c r="AM1451" i="1"/>
  <c r="A1452" i="1"/>
  <c r="B1452" i="1"/>
  <c r="C1452" i="1"/>
  <c r="D1452" i="1"/>
  <c r="E1452" i="1"/>
  <c r="F1452" i="1"/>
  <c r="G1452" i="1"/>
  <c r="H1452" i="1"/>
  <c r="I1452" i="1"/>
  <c r="J1452" i="1"/>
  <c r="K1452" i="1"/>
  <c r="L1452" i="1"/>
  <c r="M1452" i="1"/>
  <c r="N1452" i="1"/>
  <c r="O1452" i="1"/>
  <c r="P1452" i="1"/>
  <c r="Q1452" i="1"/>
  <c r="R1452" i="1"/>
  <c r="S1452" i="1"/>
  <c r="T1452" i="1"/>
  <c r="U1452" i="1"/>
  <c r="V1452" i="1"/>
  <c r="W1452" i="1"/>
  <c r="X1452" i="1"/>
  <c r="Y1452" i="1"/>
  <c r="Z1452" i="1"/>
  <c r="AA1452" i="1"/>
  <c r="AB1452" i="1"/>
  <c r="AC1452" i="1"/>
  <c r="AD1452" i="1"/>
  <c r="AE1452" i="1"/>
  <c r="AF1452" i="1"/>
  <c r="AG1452" i="1"/>
  <c r="AH1452" i="1"/>
  <c r="AI1452" i="1"/>
  <c r="AJ1452" i="1"/>
  <c r="AK1452" i="1"/>
  <c r="AL1452" i="1"/>
  <c r="AM1452" i="1"/>
  <c r="A1453" i="1"/>
  <c r="B1453" i="1"/>
  <c r="C1453" i="1"/>
  <c r="D1453" i="1"/>
  <c r="E1453" i="1"/>
  <c r="F1453" i="1"/>
  <c r="G1453" i="1"/>
  <c r="H1453" i="1"/>
  <c r="I1453" i="1"/>
  <c r="J1453" i="1"/>
  <c r="K1453" i="1"/>
  <c r="L1453" i="1"/>
  <c r="M1453" i="1"/>
  <c r="N1453" i="1"/>
  <c r="O1453" i="1"/>
  <c r="P1453" i="1"/>
  <c r="Q1453" i="1"/>
  <c r="R1453" i="1"/>
  <c r="S1453" i="1"/>
  <c r="T1453" i="1"/>
  <c r="U1453" i="1"/>
  <c r="V1453" i="1"/>
  <c r="W1453" i="1"/>
  <c r="X1453" i="1"/>
  <c r="Y1453" i="1"/>
  <c r="Z1453" i="1"/>
  <c r="AA1453" i="1"/>
  <c r="AB1453" i="1"/>
  <c r="AC1453" i="1"/>
  <c r="AD1453" i="1"/>
  <c r="AE1453" i="1"/>
  <c r="AF1453" i="1"/>
  <c r="AG1453" i="1"/>
  <c r="AH1453" i="1"/>
  <c r="AI1453" i="1"/>
  <c r="AJ1453" i="1"/>
  <c r="AK1453" i="1"/>
  <c r="AL1453" i="1"/>
  <c r="AM1453" i="1"/>
  <c r="A1454" i="1"/>
  <c r="B1454" i="1"/>
  <c r="C1454" i="1"/>
  <c r="D1454" i="1"/>
  <c r="E1454" i="1"/>
  <c r="F1454" i="1"/>
  <c r="G1454" i="1"/>
  <c r="H1454" i="1"/>
  <c r="I1454" i="1"/>
  <c r="J1454" i="1"/>
  <c r="K1454" i="1"/>
  <c r="L1454" i="1"/>
  <c r="M1454" i="1"/>
  <c r="N1454" i="1"/>
  <c r="O1454" i="1"/>
  <c r="P1454" i="1"/>
  <c r="Q1454" i="1"/>
  <c r="R1454" i="1"/>
  <c r="S1454" i="1"/>
  <c r="T1454" i="1"/>
  <c r="U1454" i="1"/>
  <c r="V1454" i="1"/>
  <c r="W1454" i="1"/>
  <c r="X1454" i="1"/>
  <c r="Y1454" i="1"/>
  <c r="Z1454" i="1"/>
  <c r="AA1454" i="1"/>
  <c r="AB1454" i="1"/>
  <c r="AC1454" i="1"/>
  <c r="AD1454" i="1"/>
  <c r="AE1454" i="1"/>
  <c r="AF1454" i="1"/>
  <c r="AG1454" i="1"/>
  <c r="AH1454" i="1"/>
  <c r="AI1454" i="1"/>
  <c r="AJ1454" i="1"/>
  <c r="AK1454" i="1"/>
  <c r="AL1454" i="1"/>
  <c r="AM1454" i="1"/>
  <c r="A1455" i="1"/>
  <c r="B1455" i="1"/>
  <c r="C1455" i="1"/>
  <c r="D1455" i="1"/>
  <c r="E1455" i="1"/>
  <c r="F1455" i="1"/>
  <c r="G1455" i="1"/>
  <c r="H1455" i="1"/>
  <c r="I1455" i="1"/>
  <c r="J1455" i="1"/>
  <c r="K1455" i="1"/>
  <c r="L1455" i="1"/>
  <c r="M1455" i="1"/>
  <c r="N1455" i="1"/>
  <c r="O1455" i="1"/>
  <c r="P1455" i="1"/>
  <c r="Q1455" i="1"/>
  <c r="R1455" i="1"/>
  <c r="S1455" i="1"/>
  <c r="T1455" i="1"/>
  <c r="U1455" i="1"/>
  <c r="V1455" i="1"/>
  <c r="W1455" i="1"/>
  <c r="X1455" i="1"/>
  <c r="Y1455" i="1"/>
  <c r="Z1455" i="1"/>
  <c r="AA1455" i="1"/>
  <c r="AB1455" i="1"/>
  <c r="AC1455" i="1"/>
  <c r="AD1455" i="1"/>
  <c r="AE1455" i="1"/>
  <c r="AF1455" i="1"/>
  <c r="AG1455" i="1"/>
  <c r="AH1455" i="1"/>
  <c r="AI1455" i="1"/>
  <c r="AJ1455" i="1"/>
  <c r="AK1455" i="1"/>
  <c r="AL1455" i="1"/>
  <c r="AM1455" i="1"/>
  <c r="A1456" i="1"/>
  <c r="B1456" i="1"/>
  <c r="C1456" i="1"/>
  <c r="D1456" i="1"/>
  <c r="E1456" i="1"/>
  <c r="F1456" i="1"/>
  <c r="G1456" i="1"/>
  <c r="H1456" i="1"/>
  <c r="I1456" i="1"/>
  <c r="J1456" i="1"/>
  <c r="K1456" i="1"/>
  <c r="L1456" i="1"/>
  <c r="M1456" i="1"/>
  <c r="N1456" i="1"/>
  <c r="O1456" i="1"/>
  <c r="P1456" i="1"/>
  <c r="Q1456" i="1"/>
  <c r="R1456" i="1"/>
  <c r="S1456" i="1"/>
  <c r="T1456" i="1"/>
  <c r="U1456" i="1"/>
  <c r="V1456" i="1"/>
  <c r="W1456" i="1"/>
  <c r="X1456" i="1"/>
  <c r="Y1456" i="1"/>
  <c r="Z1456" i="1"/>
  <c r="AA1456" i="1"/>
  <c r="AB1456" i="1"/>
  <c r="AC1456" i="1"/>
  <c r="AD1456" i="1"/>
  <c r="AE1456" i="1"/>
  <c r="AF1456" i="1"/>
  <c r="AG1456" i="1"/>
  <c r="AH1456" i="1"/>
  <c r="AI1456" i="1"/>
  <c r="AJ1456" i="1"/>
  <c r="AK1456" i="1"/>
  <c r="AL1456" i="1"/>
  <c r="AM1456" i="1"/>
  <c r="A1457" i="1"/>
  <c r="B1457" i="1"/>
  <c r="C1457" i="1"/>
  <c r="D1457" i="1"/>
  <c r="E1457" i="1"/>
  <c r="F1457" i="1"/>
  <c r="G1457" i="1"/>
  <c r="H1457" i="1"/>
  <c r="I1457" i="1"/>
  <c r="J1457" i="1"/>
  <c r="K1457" i="1"/>
  <c r="L1457" i="1"/>
  <c r="M1457" i="1"/>
  <c r="N1457" i="1"/>
  <c r="O1457" i="1"/>
  <c r="P1457" i="1"/>
  <c r="Q1457" i="1"/>
  <c r="R1457" i="1"/>
  <c r="S1457" i="1"/>
  <c r="T1457" i="1"/>
  <c r="U1457" i="1"/>
  <c r="V1457" i="1"/>
  <c r="W1457" i="1"/>
  <c r="X1457" i="1"/>
  <c r="Y1457" i="1"/>
  <c r="Z1457" i="1"/>
  <c r="AA1457" i="1"/>
  <c r="AB1457" i="1"/>
  <c r="AC1457" i="1"/>
  <c r="AD1457" i="1"/>
  <c r="AE1457" i="1"/>
  <c r="AF1457" i="1"/>
  <c r="AG1457" i="1"/>
  <c r="AH1457" i="1"/>
  <c r="AI1457" i="1"/>
  <c r="AJ1457" i="1"/>
  <c r="AK1457" i="1"/>
  <c r="AL1457" i="1"/>
  <c r="AM1457" i="1"/>
  <c r="A1458" i="1"/>
  <c r="B1458" i="1"/>
  <c r="C1458" i="1"/>
  <c r="D1458" i="1"/>
  <c r="E1458" i="1"/>
  <c r="F1458" i="1"/>
  <c r="G1458" i="1"/>
  <c r="H1458" i="1"/>
  <c r="I1458" i="1"/>
  <c r="J1458" i="1"/>
  <c r="K1458" i="1"/>
  <c r="L1458" i="1"/>
  <c r="M1458" i="1"/>
  <c r="N1458" i="1"/>
  <c r="O1458" i="1"/>
  <c r="P1458" i="1"/>
  <c r="Q1458" i="1"/>
  <c r="R1458" i="1"/>
  <c r="S1458" i="1"/>
  <c r="T1458" i="1"/>
  <c r="U1458" i="1"/>
  <c r="V1458" i="1"/>
  <c r="W1458" i="1"/>
  <c r="X1458" i="1"/>
  <c r="Y1458" i="1"/>
  <c r="Z1458" i="1"/>
  <c r="AA1458" i="1"/>
  <c r="AB1458" i="1"/>
  <c r="AC1458" i="1"/>
  <c r="AD1458" i="1"/>
  <c r="AE1458" i="1"/>
  <c r="AF1458" i="1"/>
  <c r="AG1458" i="1"/>
  <c r="AH1458" i="1"/>
  <c r="AI1458" i="1"/>
  <c r="AJ1458" i="1"/>
  <c r="AK1458" i="1"/>
  <c r="AL1458" i="1"/>
  <c r="AM1458" i="1"/>
  <c r="A1459" i="1"/>
  <c r="B1459" i="1"/>
  <c r="C1459" i="1"/>
  <c r="D1459" i="1"/>
  <c r="E1459" i="1"/>
  <c r="F1459" i="1"/>
  <c r="G1459" i="1"/>
  <c r="H1459" i="1"/>
  <c r="I1459" i="1"/>
  <c r="J1459" i="1"/>
  <c r="K1459" i="1"/>
  <c r="L1459" i="1"/>
  <c r="M1459" i="1"/>
  <c r="N1459" i="1"/>
  <c r="O1459" i="1"/>
  <c r="P1459" i="1"/>
  <c r="Q1459" i="1"/>
  <c r="R1459" i="1"/>
  <c r="S1459" i="1"/>
  <c r="T1459" i="1"/>
  <c r="U1459" i="1"/>
  <c r="V1459" i="1"/>
  <c r="W1459" i="1"/>
  <c r="X1459" i="1"/>
  <c r="Y1459" i="1"/>
  <c r="Z1459" i="1"/>
  <c r="AA1459" i="1"/>
  <c r="AB1459" i="1"/>
  <c r="AC1459" i="1"/>
  <c r="AD1459" i="1"/>
  <c r="AE1459" i="1"/>
  <c r="AF1459" i="1"/>
  <c r="AG1459" i="1"/>
  <c r="AH1459" i="1"/>
  <c r="AI1459" i="1"/>
  <c r="AJ1459" i="1"/>
  <c r="AK1459" i="1"/>
  <c r="AL1459" i="1"/>
  <c r="AM1459" i="1"/>
  <c r="A1460" i="1"/>
  <c r="B1460" i="1"/>
  <c r="C1460" i="1"/>
  <c r="D1460" i="1"/>
  <c r="E1460" i="1"/>
  <c r="F1460" i="1"/>
  <c r="G1460" i="1"/>
  <c r="H1460" i="1"/>
  <c r="I1460" i="1"/>
  <c r="J1460" i="1"/>
  <c r="K1460" i="1"/>
  <c r="L1460" i="1"/>
  <c r="M1460" i="1"/>
  <c r="N1460" i="1"/>
  <c r="O1460" i="1"/>
  <c r="P1460" i="1"/>
  <c r="Q1460" i="1"/>
  <c r="R1460" i="1"/>
  <c r="S1460" i="1"/>
  <c r="T1460" i="1"/>
  <c r="U1460" i="1"/>
  <c r="V1460" i="1"/>
  <c r="W1460" i="1"/>
  <c r="X1460" i="1"/>
  <c r="Y1460" i="1"/>
  <c r="Z1460" i="1"/>
  <c r="AA1460" i="1"/>
  <c r="AB1460" i="1"/>
  <c r="AC1460" i="1"/>
  <c r="AD1460" i="1"/>
  <c r="AE1460" i="1"/>
  <c r="AF1460" i="1"/>
  <c r="AG1460" i="1"/>
  <c r="AH1460" i="1"/>
  <c r="AI1460" i="1"/>
  <c r="AJ1460" i="1"/>
  <c r="AK1460" i="1"/>
  <c r="AL1460" i="1"/>
  <c r="AM1460" i="1"/>
  <c r="A1461" i="1"/>
  <c r="B1461" i="1"/>
  <c r="C1461" i="1"/>
  <c r="D1461" i="1"/>
  <c r="E1461" i="1"/>
  <c r="F1461" i="1"/>
  <c r="G1461" i="1"/>
  <c r="H1461" i="1"/>
  <c r="I1461" i="1"/>
  <c r="J1461" i="1"/>
  <c r="K1461" i="1"/>
  <c r="L1461" i="1"/>
  <c r="M1461" i="1"/>
  <c r="N1461" i="1"/>
  <c r="O1461" i="1"/>
  <c r="P1461" i="1"/>
  <c r="Q1461" i="1"/>
  <c r="R1461" i="1"/>
  <c r="S1461" i="1"/>
  <c r="T1461" i="1"/>
  <c r="U1461" i="1"/>
  <c r="V1461" i="1"/>
  <c r="W1461" i="1"/>
  <c r="X1461" i="1"/>
  <c r="Y1461" i="1"/>
  <c r="Z1461" i="1"/>
  <c r="AA1461" i="1"/>
  <c r="AB1461" i="1"/>
  <c r="AC1461" i="1"/>
  <c r="AD1461" i="1"/>
  <c r="AE1461" i="1"/>
  <c r="AF1461" i="1"/>
  <c r="AG1461" i="1"/>
  <c r="AH1461" i="1"/>
  <c r="AI1461" i="1"/>
  <c r="AJ1461" i="1"/>
  <c r="AK1461" i="1"/>
  <c r="AL1461" i="1"/>
  <c r="AM1461" i="1"/>
  <c r="A1462" i="1"/>
  <c r="B1462" i="1"/>
  <c r="C1462" i="1"/>
  <c r="D1462" i="1"/>
  <c r="E1462" i="1"/>
  <c r="F1462" i="1"/>
  <c r="G1462" i="1"/>
  <c r="H1462" i="1"/>
  <c r="I1462" i="1"/>
  <c r="J1462" i="1"/>
  <c r="K1462" i="1"/>
  <c r="L1462" i="1"/>
  <c r="M1462" i="1"/>
  <c r="N1462" i="1"/>
  <c r="O1462" i="1"/>
  <c r="P1462" i="1"/>
  <c r="Q1462" i="1"/>
  <c r="R1462" i="1"/>
  <c r="S1462" i="1"/>
  <c r="T1462" i="1"/>
  <c r="U1462" i="1"/>
  <c r="V1462" i="1"/>
  <c r="W1462" i="1"/>
  <c r="X1462" i="1"/>
  <c r="Y1462" i="1"/>
  <c r="Z1462" i="1"/>
  <c r="AA1462" i="1"/>
  <c r="AB1462" i="1"/>
  <c r="AC1462" i="1"/>
  <c r="AD1462" i="1"/>
  <c r="AE1462" i="1"/>
  <c r="AF1462" i="1"/>
  <c r="AG1462" i="1"/>
  <c r="AH1462" i="1"/>
  <c r="AI1462" i="1"/>
  <c r="AJ1462" i="1"/>
  <c r="AK1462" i="1"/>
  <c r="AL1462" i="1"/>
  <c r="AM1462" i="1"/>
  <c r="A1463" i="1"/>
  <c r="B1463" i="1"/>
  <c r="C1463" i="1"/>
  <c r="D1463" i="1"/>
  <c r="E1463" i="1"/>
  <c r="F1463" i="1"/>
  <c r="G1463" i="1"/>
  <c r="H1463" i="1"/>
  <c r="I1463" i="1"/>
  <c r="J1463" i="1"/>
  <c r="K1463" i="1"/>
  <c r="L1463" i="1"/>
  <c r="M1463" i="1"/>
  <c r="N1463" i="1"/>
  <c r="O1463" i="1"/>
  <c r="P1463" i="1"/>
  <c r="Q1463" i="1"/>
  <c r="R1463" i="1"/>
  <c r="S1463" i="1"/>
  <c r="T1463" i="1"/>
  <c r="U1463" i="1"/>
  <c r="V1463" i="1"/>
  <c r="W1463" i="1"/>
  <c r="X1463" i="1"/>
  <c r="Y1463" i="1"/>
  <c r="Z1463" i="1"/>
  <c r="AA1463" i="1"/>
  <c r="AB1463" i="1"/>
  <c r="AC1463" i="1"/>
  <c r="AD1463" i="1"/>
  <c r="AE1463" i="1"/>
  <c r="AF1463" i="1"/>
  <c r="AG1463" i="1"/>
  <c r="AH1463" i="1"/>
  <c r="AI1463" i="1"/>
  <c r="AJ1463" i="1"/>
  <c r="AK1463" i="1"/>
  <c r="AL1463" i="1"/>
  <c r="AM1463" i="1"/>
  <c r="A1464" i="1"/>
  <c r="B1464" i="1"/>
  <c r="C1464" i="1"/>
  <c r="D1464" i="1"/>
  <c r="E1464" i="1"/>
  <c r="F1464" i="1"/>
  <c r="G1464" i="1"/>
  <c r="H1464" i="1"/>
  <c r="I1464" i="1"/>
  <c r="J1464" i="1"/>
  <c r="K1464" i="1"/>
  <c r="L1464" i="1"/>
  <c r="M1464" i="1"/>
  <c r="N1464" i="1"/>
  <c r="O1464" i="1"/>
  <c r="P1464" i="1"/>
  <c r="Q1464" i="1"/>
  <c r="R1464" i="1"/>
  <c r="S1464" i="1"/>
  <c r="T1464" i="1"/>
  <c r="U1464" i="1"/>
  <c r="V1464" i="1"/>
  <c r="W1464" i="1"/>
  <c r="X1464" i="1"/>
  <c r="Y1464" i="1"/>
  <c r="Z1464" i="1"/>
  <c r="AA1464" i="1"/>
  <c r="AB1464" i="1"/>
  <c r="AC1464" i="1"/>
  <c r="AD1464" i="1"/>
  <c r="AE1464" i="1"/>
  <c r="AF1464" i="1"/>
  <c r="AG1464" i="1"/>
  <c r="AH1464" i="1"/>
  <c r="AI1464" i="1"/>
  <c r="AJ1464" i="1"/>
  <c r="AK1464" i="1"/>
  <c r="AL1464" i="1"/>
  <c r="AM1464" i="1"/>
  <c r="A1465" i="1"/>
  <c r="B1465" i="1"/>
  <c r="C1465" i="1"/>
  <c r="D1465" i="1"/>
  <c r="E1465" i="1"/>
  <c r="F1465" i="1"/>
  <c r="G1465" i="1"/>
  <c r="H1465" i="1"/>
  <c r="I1465" i="1"/>
  <c r="J1465" i="1"/>
  <c r="K1465" i="1"/>
  <c r="L1465" i="1"/>
  <c r="M1465" i="1"/>
  <c r="N1465" i="1"/>
  <c r="O1465" i="1"/>
  <c r="P1465" i="1"/>
  <c r="Q1465" i="1"/>
  <c r="R1465" i="1"/>
  <c r="S1465" i="1"/>
  <c r="T1465" i="1"/>
  <c r="U1465" i="1"/>
  <c r="V1465" i="1"/>
  <c r="W1465" i="1"/>
  <c r="X1465" i="1"/>
  <c r="Y1465" i="1"/>
  <c r="Z1465" i="1"/>
  <c r="AA1465" i="1"/>
  <c r="AB1465" i="1"/>
  <c r="AC1465" i="1"/>
  <c r="AD1465" i="1"/>
  <c r="AE1465" i="1"/>
  <c r="AF1465" i="1"/>
  <c r="AG1465" i="1"/>
  <c r="AH1465" i="1"/>
  <c r="AI1465" i="1"/>
  <c r="AJ1465" i="1"/>
  <c r="AK1465" i="1"/>
  <c r="AL1465" i="1"/>
  <c r="AM1465" i="1"/>
  <c r="A1466" i="1"/>
  <c r="B1466" i="1"/>
  <c r="C1466" i="1"/>
  <c r="D1466" i="1"/>
  <c r="E1466" i="1"/>
  <c r="F1466" i="1"/>
  <c r="G1466" i="1"/>
  <c r="H1466" i="1"/>
  <c r="I1466" i="1"/>
  <c r="J1466" i="1"/>
  <c r="K1466" i="1"/>
  <c r="L1466" i="1"/>
  <c r="M1466" i="1"/>
  <c r="N1466" i="1"/>
  <c r="O1466" i="1"/>
  <c r="P1466" i="1"/>
  <c r="Q1466" i="1"/>
  <c r="R1466" i="1"/>
  <c r="S1466" i="1"/>
  <c r="T1466" i="1"/>
  <c r="U1466" i="1"/>
  <c r="V1466" i="1"/>
  <c r="W1466" i="1"/>
  <c r="X1466" i="1"/>
  <c r="Y1466" i="1"/>
  <c r="Z1466" i="1"/>
  <c r="AA1466" i="1"/>
  <c r="AB1466" i="1"/>
  <c r="AC1466" i="1"/>
  <c r="AD1466" i="1"/>
  <c r="AE1466" i="1"/>
  <c r="AF1466" i="1"/>
  <c r="AG1466" i="1"/>
  <c r="AH1466" i="1"/>
  <c r="AI1466" i="1"/>
  <c r="AJ1466" i="1"/>
  <c r="AK1466" i="1"/>
  <c r="AL1466" i="1"/>
  <c r="AM1466" i="1"/>
  <c r="A1467" i="1"/>
  <c r="B1467" i="1"/>
  <c r="C1467" i="1"/>
  <c r="D1467" i="1"/>
  <c r="E1467" i="1"/>
  <c r="F1467" i="1"/>
  <c r="G1467" i="1"/>
  <c r="H1467" i="1"/>
  <c r="I1467" i="1"/>
  <c r="J1467" i="1"/>
  <c r="K1467" i="1"/>
  <c r="L1467" i="1"/>
  <c r="M1467" i="1"/>
  <c r="N1467" i="1"/>
  <c r="O1467" i="1"/>
  <c r="P1467" i="1"/>
  <c r="Q1467" i="1"/>
  <c r="R1467" i="1"/>
  <c r="S1467" i="1"/>
  <c r="T1467" i="1"/>
  <c r="U1467" i="1"/>
  <c r="V1467" i="1"/>
  <c r="W1467" i="1"/>
  <c r="X1467" i="1"/>
  <c r="Y1467" i="1"/>
  <c r="Z1467" i="1"/>
  <c r="AA1467" i="1"/>
  <c r="AB1467" i="1"/>
  <c r="AC1467" i="1"/>
  <c r="AD1467" i="1"/>
  <c r="AE1467" i="1"/>
  <c r="AF1467" i="1"/>
  <c r="AG1467" i="1"/>
  <c r="AH1467" i="1"/>
  <c r="AI1467" i="1"/>
  <c r="AJ1467" i="1"/>
  <c r="AK1467" i="1"/>
  <c r="AL1467" i="1"/>
  <c r="AM1467" i="1"/>
  <c r="A1468" i="1"/>
  <c r="B1468" i="1"/>
  <c r="C1468" i="1"/>
  <c r="D1468" i="1"/>
  <c r="E1468" i="1"/>
  <c r="F1468" i="1"/>
  <c r="G1468" i="1"/>
  <c r="H1468" i="1"/>
  <c r="I1468" i="1"/>
  <c r="J1468" i="1"/>
  <c r="K1468" i="1"/>
  <c r="L1468" i="1"/>
  <c r="M1468" i="1"/>
  <c r="N1468" i="1"/>
  <c r="O1468" i="1"/>
  <c r="P1468" i="1"/>
  <c r="Q1468" i="1"/>
  <c r="R1468" i="1"/>
  <c r="S1468" i="1"/>
  <c r="T1468" i="1"/>
  <c r="U1468" i="1"/>
  <c r="V1468" i="1"/>
  <c r="W1468" i="1"/>
  <c r="X1468" i="1"/>
  <c r="Y1468" i="1"/>
  <c r="Z1468" i="1"/>
  <c r="AA1468" i="1"/>
  <c r="AB1468" i="1"/>
  <c r="AC1468" i="1"/>
  <c r="AD1468" i="1"/>
  <c r="AE1468" i="1"/>
  <c r="AF1468" i="1"/>
  <c r="AG1468" i="1"/>
  <c r="AH1468" i="1"/>
  <c r="AI1468" i="1"/>
  <c r="AJ1468" i="1"/>
  <c r="AK1468" i="1"/>
  <c r="AL1468" i="1"/>
  <c r="AM1468" i="1"/>
  <c r="A1469" i="1"/>
  <c r="B1469" i="1"/>
  <c r="C1469" i="1"/>
  <c r="D1469" i="1"/>
  <c r="E1469" i="1"/>
  <c r="F1469" i="1"/>
  <c r="G1469" i="1"/>
  <c r="H1469" i="1"/>
  <c r="I1469" i="1"/>
  <c r="J1469" i="1"/>
  <c r="K1469" i="1"/>
  <c r="L1469" i="1"/>
  <c r="M1469" i="1"/>
  <c r="N1469" i="1"/>
  <c r="O1469" i="1"/>
  <c r="P1469" i="1"/>
  <c r="Q1469" i="1"/>
  <c r="R1469" i="1"/>
  <c r="S1469" i="1"/>
  <c r="T1469" i="1"/>
  <c r="U1469" i="1"/>
  <c r="V1469" i="1"/>
  <c r="W1469" i="1"/>
  <c r="X1469" i="1"/>
  <c r="Y1469" i="1"/>
  <c r="Z1469" i="1"/>
  <c r="AA1469" i="1"/>
  <c r="AB1469" i="1"/>
  <c r="AC1469" i="1"/>
  <c r="AD1469" i="1"/>
  <c r="AE1469" i="1"/>
  <c r="AF1469" i="1"/>
  <c r="AG1469" i="1"/>
  <c r="AH1469" i="1"/>
  <c r="AI1469" i="1"/>
  <c r="AJ1469" i="1"/>
  <c r="AK1469" i="1"/>
  <c r="AL1469" i="1"/>
  <c r="AM1469" i="1"/>
  <c r="A1470" i="1"/>
  <c r="B1470" i="1"/>
  <c r="C1470" i="1"/>
  <c r="D1470" i="1"/>
  <c r="E1470" i="1"/>
  <c r="F1470" i="1"/>
  <c r="G1470" i="1"/>
  <c r="H1470" i="1"/>
  <c r="I1470" i="1"/>
  <c r="J1470" i="1"/>
  <c r="K1470" i="1"/>
  <c r="L1470" i="1"/>
  <c r="M1470" i="1"/>
  <c r="N1470" i="1"/>
  <c r="O1470" i="1"/>
  <c r="P1470" i="1"/>
  <c r="Q1470" i="1"/>
  <c r="R1470" i="1"/>
  <c r="S1470" i="1"/>
  <c r="T1470" i="1"/>
  <c r="U1470" i="1"/>
  <c r="V1470" i="1"/>
  <c r="W1470" i="1"/>
  <c r="X1470" i="1"/>
  <c r="Y1470" i="1"/>
  <c r="Z1470" i="1"/>
  <c r="AA1470" i="1"/>
  <c r="AB1470" i="1"/>
  <c r="AC1470" i="1"/>
  <c r="AD1470" i="1"/>
  <c r="AE1470" i="1"/>
  <c r="AF1470" i="1"/>
  <c r="AG1470" i="1"/>
  <c r="AH1470" i="1"/>
  <c r="AI1470" i="1"/>
  <c r="AJ1470" i="1"/>
  <c r="AK1470" i="1"/>
  <c r="AL1470" i="1"/>
  <c r="AM1470" i="1"/>
  <c r="A1471" i="1"/>
  <c r="B1471" i="1"/>
  <c r="C1471" i="1"/>
  <c r="D1471" i="1"/>
  <c r="E1471" i="1"/>
  <c r="F1471" i="1"/>
  <c r="G1471" i="1"/>
  <c r="H1471" i="1"/>
  <c r="I1471" i="1"/>
  <c r="J1471" i="1"/>
  <c r="K1471" i="1"/>
  <c r="L1471" i="1"/>
  <c r="M1471" i="1"/>
  <c r="N1471" i="1"/>
  <c r="O1471" i="1"/>
  <c r="P1471" i="1"/>
  <c r="Q1471" i="1"/>
  <c r="R1471" i="1"/>
  <c r="S1471" i="1"/>
  <c r="T1471" i="1"/>
  <c r="U1471" i="1"/>
  <c r="V1471" i="1"/>
  <c r="W1471" i="1"/>
  <c r="X1471" i="1"/>
  <c r="Y1471" i="1"/>
  <c r="Z1471" i="1"/>
  <c r="AA1471" i="1"/>
  <c r="AB1471" i="1"/>
  <c r="AC1471" i="1"/>
  <c r="AD1471" i="1"/>
  <c r="AE1471" i="1"/>
  <c r="AF1471" i="1"/>
  <c r="AG1471" i="1"/>
  <c r="AH1471" i="1"/>
  <c r="AI1471" i="1"/>
  <c r="AJ1471" i="1"/>
  <c r="AK1471" i="1"/>
  <c r="AL1471" i="1"/>
  <c r="AM1471" i="1"/>
  <c r="A1472" i="1"/>
  <c r="B1472" i="1"/>
  <c r="C1472" i="1"/>
  <c r="D1472" i="1"/>
  <c r="E1472" i="1"/>
  <c r="F1472" i="1"/>
  <c r="G1472" i="1"/>
  <c r="H1472" i="1"/>
  <c r="I1472" i="1"/>
  <c r="J1472" i="1"/>
  <c r="K1472" i="1"/>
  <c r="L1472" i="1"/>
  <c r="M1472" i="1"/>
  <c r="N1472" i="1"/>
  <c r="O1472" i="1"/>
  <c r="P1472" i="1"/>
  <c r="Q1472" i="1"/>
  <c r="R1472" i="1"/>
  <c r="S1472" i="1"/>
  <c r="T1472" i="1"/>
  <c r="U1472" i="1"/>
  <c r="V1472" i="1"/>
  <c r="W1472" i="1"/>
  <c r="X1472" i="1"/>
  <c r="Y1472" i="1"/>
  <c r="Z1472" i="1"/>
  <c r="AA1472" i="1"/>
  <c r="AB1472" i="1"/>
  <c r="AC1472" i="1"/>
  <c r="AD1472" i="1"/>
  <c r="AE1472" i="1"/>
  <c r="AF1472" i="1"/>
  <c r="AG1472" i="1"/>
  <c r="AH1472" i="1"/>
  <c r="AI1472" i="1"/>
  <c r="AJ1472" i="1"/>
  <c r="AK1472" i="1"/>
  <c r="AL1472" i="1"/>
  <c r="AM1472" i="1"/>
  <c r="A1473" i="1"/>
  <c r="B1473" i="1"/>
  <c r="C1473" i="1"/>
  <c r="D1473" i="1"/>
  <c r="E1473" i="1"/>
  <c r="F1473" i="1"/>
  <c r="G1473" i="1"/>
  <c r="H1473" i="1"/>
  <c r="I1473" i="1"/>
  <c r="J1473" i="1"/>
  <c r="K1473" i="1"/>
  <c r="L1473" i="1"/>
  <c r="M1473" i="1"/>
  <c r="N1473" i="1"/>
  <c r="O1473" i="1"/>
  <c r="P1473" i="1"/>
  <c r="Q1473" i="1"/>
  <c r="R1473" i="1"/>
  <c r="S1473" i="1"/>
  <c r="T1473" i="1"/>
  <c r="U1473" i="1"/>
  <c r="V1473" i="1"/>
  <c r="W1473" i="1"/>
  <c r="X1473" i="1"/>
  <c r="Y1473" i="1"/>
  <c r="Z1473" i="1"/>
  <c r="AA1473" i="1"/>
  <c r="AB1473" i="1"/>
  <c r="AC1473" i="1"/>
  <c r="AD1473" i="1"/>
  <c r="AE1473" i="1"/>
  <c r="AF1473" i="1"/>
  <c r="AG1473" i="1"/>
  <c r="AH1473" i="1"/>
  <c r="AI1473" i="1"/>
  <c r="AJ1473" i="1"/>
  <c r="AK1473" i="1"/>
  <c r="AL1473" i="1"/>
  <c r="AM1473" i="1"/>
  <c r="A1474" i="1"/>
  <c r="B1474" i="1"/>
  <c r="C1474" i="1"/>
  <c r="D1474" i="1"/>
  <c r="E1474" i="1"/>
  <c r="F1474" i="1"/>
  <c r="G1474" i="1"/>
  <c r="H1474" i="1"/>
  <c r="I1474" i="1"/>
  <c r="J1474" i="1"/>
  <c r="K1474" i="1"/>
  <c r="L1474" i="1"/>
  <c r="M1474" i="1"/>
  <c r="N1474" i="1"/>
  <c r="O1474" i="1"/>
  <c r="P1474" i="1"/>
  <c r="Q1474" i="1"/>
  <c r="R1474" i="1"/>
  <c r="S1474" i="1"/>
  <c r="T1474" i="1"/>
  <c r="U1474" i="1"/>
  <c r="V1474" i="1"/>
  <c r="W1474" i="1"/>
  <c r="X1474" i="1"/>
  <c r="Y1474" i="1"/>
  <c r="Z1474" i="1"/>
  <c r="AA1474" i="1"/>
  <c r="AB1474" i="1"/>
  <c r="AC1474" i="1"/>
  <c r="AD1474" i="1"/>
  <c r="AE1474" i="1"/>
  <c r="AF1474" i="1"/>
  <c r="AG1474" i="1"/>
  <c r="AH1474" i="1"/>
  <c r="AI1474" i="1"/>
  <c r="AJ1474" i="1"/>
  <c r="AK1474" i="1"/>
  <c r="AL1474" i="1"/>
  <c r="AM1474" i="1"/>
  <c r="A1475" i="1"/>
  <c r="B1475" i="1"/>
  <c r="C1475" i="1"/>
  <c r="D1475" i="1"/>
  <c r="E1475" i="1"/>
  <c r="F1475" i="1"/>
  <c r="G1475" i="1"/>
  <c r="H1475" i="1"/>
  <c r="I1475" i="1"/>
  <c r="J1475" i="1"/>
  <c r="K1475" i="1"/>
  <c r="L1475" i="1"/>
  <c r="M1475" i="1"/>
  <c r="N1475" i="1"/>
  <c r="O1475" i="1"/>
  <c r="P1475" i="1"/>
  <c r="Q1475" i="1"/>
  <c r="R1475" i="1"/>
  <c r="S1475" i="1"/>
  <c r="T1475" i="1"/>
  <c r="U1475" i="1"/>
  <c r="V1475" i="1"/>
  <c r="W1475" i="1"/>
  <c r="X1475" i="1"/>
  <c r="Y1475" i="1"/>
  <c r="Z1475" i="1"/>
  <c r="AA1475" i="1"/>
  <c r="AB1475" i="1"/>
  <c r="AC1475" i="1"/>
  <c r="AD1475" i="1"/>
  <c r="AE1475" i="1"/>
  <c r="AF1475" i="1"/>
  <c r="AG1475" i="1"/>
  <c r="AH1475" i="1"/>
  <c r="AI1475" i="1"/>
  <c r="AJ1475" i="1"/>
  <c r="AK1475" i="1"/>
  <c r="AL1475" i="1"/>
  <c r="AM1475" i="1"/>
  <c r="A1476" i="1"/>
  <c r="B1476" i="1"/>
  <c r="C1476" i="1"/>
  <c r="D1476" i="1"/>
  <c r="E1476" i="1"/>
  <c r="F1476" i="1"/>
  <c r="G1476" i="1"/>
  <c r="H1476" i="1"/>
  <c r="I1476" i="1"/>
  <c r="J1476" i="1"/>
  <c r="K1476" i="1"/>
  <c r="L1476" i="1"/>
  <c r="M1476" i="1"/>
  <c r="N1476" i="1"/>
  <c r="O1476" i="1"/>
  <c r="P1476" i="1"/>
  <c r="Q1476" i="1"/>
  <c r="R1476" i="1"/>
  <c r="S1476" i="1"/>
  <c r="T1476" i="1"/>
  <c r="U1476" i="1"/>
  <c r="V1476" i="1"/>
  <c r="W1476" i="1"/>
  <c r="X1476" i="1"/>
  <c r="Y1476" i="1"/>
  <c r="Z1476" i="1"/>
  <c r="AA1476" i="1"/>
  <c r="AB1476" i="1"/>
  <c r="AC1476" i="1"/>
  <c r="AD1476" i="1"/>
  <c r="AE1476" i="1"/>
  <c r="AF1476" i="1"/>
  <c r="AG1476" i="1"/>
  <c r="AH1476" i="1"/>
  <c r="AI1476" i="1"/>
  <c r="AJ1476" i="1"/>
  <c r="AK1476" i="1"/>
  <c r="AL1476" i="1"/>
  <c r="AM1476" i="1"/>
  <c r="A1477" i="1"/>
  <c r="B1477" i="1"/>
  <c r="C1477" i="1"/>
  <c r="D1477" i="1"/>
  <c r="E1477" i="1"/>
  <c r="F1477" i="1"/>
  <c r="G1477" i="1"/>
  <c r="H1477" i="1"/>
  <c r="I1477" i="1"/>
  <c r="J1477" i="1"/>
  <c r="K1477" i="1"/>
  <c r="L1477" i="1"/>
  <c r="M1477" i="1"/>
  <c r="N1477" i="1"/>
  <c r="O1477" i="1"/>
  <c r="P1477" i="1"/>
  <c r="Q1477" i="1"/>
  <c r="R1477" i="1"/>
  <c r="S1477" i="1"/>
  <c r="T1477" i="1"/>
  <c r="U1477" i="1"/>
  <c r="V1477" i="1"/>
  <c r="W1477" i="1"/>
  <c r="X1477" i="1"/>
  <c r="Y1477" i="1"/>
  <c r="Z1477" i="1"/>
  <c r="AA1477" i="1"/>
  <c r="AB1477" i="1"/>
  <c r="AC1477" i="1"/>
  <c r="AD1477" i="1"/>
  <c r="AE1477" i="1"/>
  <c r="AF1477" i="1"/>
  <c r="AG1477" i="1"/>
  <c r="AH1477" i="1"/>
  <c r="AI1477" i="1"/>
  <c r="AJ1477" i="1"/>
  <c r="AK1477" i="1"/>
  <c r="AL1477" i="1"/>
  <c r="AM1477" i="1"/>
  <c r="A1478" i="1"/>
  <c r="B1478" i="1"/>
  <c r="C1478" i="1"/>
  <c r="D1478" i="1"/>
  <c r="E1478" i="1"/>
  <c r="F1478" i="1"/>
  <c r="G1478" i="1"/>
  <c r="H1478" i="1"/>
  <c r="I1478" i="1"/>
  <c r="J1478" i="1"/>
  <c r="K1478" i="1"/>
  <c r="L1478" i="1"/>
  <c r="M1478" i="1"/>
  <c r="N1478" i="1"/>
  <c r="O1478" i="1"/>
  <c r="P1478" i="1"/>
  <c r="Q1478" i="1"/>
  <c r="R1478" i="1"/>
  <c r="S1478" i="1"/>
  <c r="T1478" i="1"/>
  <c r="U1478" i="1"/>
  <c r="V1478" i="1"/>
  <c r="W1478" i="1"/>
  <c r="X1478" i="1"/>
  <c r="Y1478" i="1"/>
  <c r="Z1478" i="1"/>
  <c r="AA1478" i="1"/>
  <c r="AB1478" i="1"/>
  <c r="AC1478" i="1"/>
  <c r="AD1478" i="1"/>
  <c r="AE1478" i="1"/>
  <c r="AF1478" i="1"/>
  <c r="AG1478" i="1"/>
  <c r="AH1478" i="1"/>
  <c r="AI1478" i="1"/>
  <c r="AJ1478" i="1"/>
  <c r="AK1478" i="1"/>
  <c r="AL1478" i="1"/>
  <c r="AM1478" i="1"/>
  <c r="A1479" i="1"/>
  <c r="B1479" i="1"/>
  <c r="C1479" i="1"/>
  <c r="D1479" i="1"/>
  <c r="E1479" i="1"/>
  <c r="F1479" i="1"/>
  <c r="G1479" i="1"/>
  <c r="H1479" i="1"/>
  <c r="I1479" i="1"/>
  <c r="J1479" i="1"/>
  <c r="K1479" i="1"/>
  <c r="L1479" i="1"/>
  <c r="M1479" i="1"/>
  <c r="N1479" i="1"/>
  <c r="O1479" i="1"/>
  <c r="P1479" i="1"/>
  <c r="Q1479" i="1"/>
  <c r="R1479" i="1"/>
  <c r="S1479" i="1"/>
  <c r="T1479" i="1"/>
  <c r="U1479" i="1"/>
  <c r="V1479" i="1"/>
  <c r="W1479" i="1"/>
  <c r="X1479" i="1"/>
  <c r="Y1479" i="1"/>
  <c r="Z1479" i="1"/>
  <c r="AA1479" i="1"/>
  <c r="AB1479" i="1"/>
  <c r="AC1479" i="1"/>
  <c r="AD1479" i="1"/>
  <c r="AE1479" i="1"/>
  <c r="AF1479" i="1"/>
  <c r="AG1479" i="1"/>
  <c r="AH1479" i="1"/>
  <c r="AI1479" i="1"/>
  <c r="AJ1479" i="1"/>
  <c r="AK1479" i="1"/>
  <c r="AL1479" i="1"/>
  <c r="AM1479" i="1"/>
  <c r="A1480" i="1"/>
  <c r="B1480" i="1"/>
  <c r="C1480" i="1"/>
  <c r="D1480" i="1"/>
  <c r="E1480" i="1"/>
  <c r="F1480" i="1"/>
  <c r="G1480" i="1"/>
  <c r="H1480" i="1"/>
  <c r="I1480" i="1"/>
  <c r="J1480" i="1"/>
  <c r="K1480" i="1"/>
  <c r="L1480" i="1"/>
  <c r="M1480" i="1"/>
  <c r="N1480" i="1"/>
  <c r="O1480" i="1"/>
  <c r="P1480" i="1"/>
  <c r="Q1480" i="1"/>
  <c r="R1480" i="1"/>
  <c r="S1480" i="1"/>
  <c r="T1480" i="1"/>
  <c r="U1480" i="1"/>
  <c r="V1480" i="1"/>
  <c r="W1480" i="1"/>
  <c r="X1480" i="1"/>
  <c r="Y1480" i="1"/>
  <c r="Z1480" i="1"/>
  <c r="AA1480" i="1"/>
  <c r="AB1480" i="1"/>
  <c r="AC1480" i="1"/>
  <c r="AD1480" i="1"/>
  <c r="AE1480" i="1"/>
  <c r="AF1480" i="1"/>
  <c r="AG1480" i="1"/>
  <c r="AH1480" i="1"/>
  <c r="AI1480" i="1"/>
  <c r="AJ1480" i="1"/>
  <c r="AK1480" i="1"/>
  <c r="AL1480" i="1"/>
  <c r="AM1480" i="1"/>
  <c r="A1481" i="1"/>
  <c r="B1481" i="1"/>
  <c r="C1481" i="1"/>
  <c r="D1481" i="1"/>
  <c r="E1481" i="1"/>
  <c r="F1481" i="1"/>
  <c r="G1481" i="1"/>
  <c r="H1481" i="1"/>
  <c r="I1481" i="1"/>
  <c r="J1481" i="1"/>
  <c r="K1481" i="1"/>
  <c r="L1481" i="1"/>
  <c r="M1481" i="1"/>
  <c r="N1481" i="1"/>
  <c r="O1481" i="1"/>
  <c r="P1481" i="1"/>
  <c r="Q1481" i="1"/>
  <c r="R1481" i="1"/>
  <c r="S1481" i="1"/>
  <c r="T1481" i="1"/>
  <c r="U1481" i="1"/>
  <c r="V1481" i="1"/>
  <c r="W1481" i="1"/>
  <c r="X1481" i="1"/>
  <c r="Y1481" i="1"/>
  <c r="Z1481" i="1"/>
  <c r="AA1481" i="1"/>
  <c r="AB1481" i="1"/>
  <c r="AC1481" i="1"/>
  <c r="AD1481" i="1"/>
  <c r="AE1481" i="1"/>
  <c r="AF1481" i="1"/>
  <c r="AG1481" i="1"/>
  <c r="AH1481" i="1"/>
  <c r="AI1481" i="1"/>
  <c r="AJ1481" i="1"/>
  <c r="AK1481" i="1"/>
  <c r="AL1481" i="1"/>
  <c r="AM1481" i="1"/>
  <c r="A1482" i="1"/>
  <c r="B1482" i="1"/>
  <c r="C1482" i="1"/>
  <c r="D1482" i="1"/>
  <c r="E1482" i="1"/>
  <c r="F1482" i="1"/>
  <c r="G1482" i="1"/>
  <c r="H1482" i="1"/>
  <c r="I1482" i="1"/>
  <c r="J1482" i="1"/>
  <c r="K1482" i="1"/>
  <c r="L1482" i="1"/>
  <c r="M1482" i="1"/>
  <c r="N1482" i="1"/>
  <c r="O1482" i="1"/>
  <c r="P1482" i="1"/>
  <c r="Q1482" i="1"/>
  <c r="R1482" i="1"/>
  <c r="S1482" i="1"/>
  <c r="T1482" i="1"/>
  <c r="U1482" i="1"/>
  <c r="V1482" i="1"/>
  <c r="W1482" i="1"/>
  <c r="X1482" i="1"/>
  <c r="Y1482" i="1"/>
  <c r="Z1482" i="1"/>
  <c r="AA1482" i="1"/>
  <c r="AB1482" i="1"/>
  <c r="AC1482" i="1"/>
  <c r="AD1482" i="1"/>
  <c r="AE1482" i="1"/>
  <c r="AF1482" i="1"/>
  <c r="AG1482" i="1"/>
  <c r="AH1482" i="1"/>
  <c r="AI1482" i="1"/>
  <c r="AJ1482" i="1"/>
  <c r="AK1482" i="1"/>
  <c r="AL1482" i="1"/>
  <c r="AM1482" i="1"/>
  <c r="A1483" i="1"/>
  <c r="B1483" i="1"/>
  <c r="C1483" i="1"/>
  <c r="D1483" i="1"/>
  <c r="E1483" i="1"/>
  <c r="F1483" i="1"/>
  <c r="G1483" i="1"/>
  <c r="H1483" i="1"/>
  <c r="I1483" i="1"/>
  <c r="J1483" i="1"/>
  <c r="K1483" i="1"/>
  <c r="L1483" i="1"/>
  <c r="M1483" i="1"/>
  <c r="N1483" i="1"/>
  <c r="O1483" i="1"/>
  <c r="P1483" i="1"/>
  <c r="Q1483" i="1"/>
  <c r="R1483" i="1"/>
  <c r="S1483" i="1"/>
  <c r="T1483" i="1"/>
  <c r="U1483" i="1"/>
  <c r="V1483" i="1"/>
  <c r="W1483" i="1"/>
  <c r="X1483" i="1"/>
  <c r="Y1483" i="1"/>
  <c r="Z1483" i="1"/>
  <c r="AA1483" i="1"/>
  <c r="AB1483" i="1"/>
  <c r="AC1483" i="1"/>
  <c r="AD1483" i="1"/>
  <c r="AE1483" i="1"/>
  <c r="AF1483" i="1"/>
  <c r="AG1483" i="1"/>
  <c r="AH1483" i="1"/>
  <c r="AI1483" i="1"/>
  <c r="AJ1483" i="1"/>
  <c r="AK1483" i="1"/>
  <c r="AL1483" i="1"/>
  <c r="AM1483" i="1"/>
  <c r="A1484" i="1"/>
  <c r="B1484" i="1"/>
  <c r="C1484" i="1"/>
  <c r="D1484" i="1"/>
  <c r="E1484" i="1"/>
  <c r="F1484" i="1"/>
  <c r="G1484" i="1"/>
  <c r="H1484" i="1"/>
  <c r="I1484" i="1"/>
  <c r="J1484" i="1"/>
  <c r="K1484" i="1"/>
  <c r="L1484" i="1"/>
  <c r="M1484" i="1"/>
  <c r="N1484" i="1"/>
  <c r="O1484" i="1"/>
  <c r="P1484" i="1"/>
  <c r="Q1484" i="1"/>
  <c r="R1484" i="1"/>
  <c r="S1484" i="1"/>
  <c r="T1484" i="1"/>
  <c r="U1484" i="1"/>
  <c r="V1484" i="1"/>
  <c r="W1484" i="1"/>
  <c r="X1484" i="1"/>
  <c r="Y1484" i="1"/>
  <c r="Z1484" i="1"/>
  <c r="AA1484" i="1"/>
  <c r="AB1484" i="1"/>
  <c r="AC1484" i="1"/>
  <c r="AD1484" i="1"/>
  <c r="AE1484" i="1"/>
  <c r="AF1484" i="1"/>
  <c r="AG1484" i="1"/>
  <c r="AH1484" i="1"/>
  <c r="AI1484" i="1"/>
  <c r="AJ1484" i="1"/>
  <c r="AK1484" i="1"/>
  <c r="AL1484" i="1"/>
  <c r="AM1484" i="1"/>
  <c r="A1485" i="1"/>
  <c r="B1485" i="1"/>
  <c r="C1485" i="1"/>
  <c r="D1485" i="1"/>
  <c r="E1485" i="1"/>
  <c r="F1485" i="1"/>
  <c r="G1485" i="1"/>
  <c r="H1485" i="1"/>
  <c r="I1485" i="1"/>
  <c r="J1485" i="1"/>
  <c r="K1485" i="1"/>
  <c r="L1485" i="1"/>
  <c r="M1485" i="1"/>
  <c r="N1485" i="1"/>
  <c r="O1485" i="1"/>
  <c r="P1485" i="1"/>
  <c r="Q1485" i="1"/>
  <c r="R1485" i="1"/>
  <c r="S1485" i="1"/>
  <c r="T1485" i="1"/>
  <c r="U1485" i="1"/>
  <c r="V1485" i="1"/>
  <c r="W1485" i="1"/>
  <c r="X1485" i="1"/>
  <c r="Y1485" i="1"/>
  <c r="Z1485" i="1"/>
  <c r="AA1485" i="1"/>
  <c r="AB1485" i="1"/>
  <c r="AC1485" i="1"/>
  <c r="AD1485" i="1"/>
  <c r="AE1485" i="1"/>
  <c r="AF1485" i="1"/>
  <c r="AG1485" i="1"/>
  <c r="AH1485" i="1"/>
  <c r="AI1485" i="1"/>
  <c r="AJ1485" i="1"/>
  <c r="AK1485" i="1"/>
  <c r="AL1485" i="1"/>
  <c r="AM1485" i="1"/>
  <c r="A1486" i="1"/>
  <c r="B1486" i="1"/>
  <c r="C1486" i="1"/>
  <c r="D1486" i="1"/>
  <c r="E1486" i="1"/>
  <c r="F1486" i="1"/>
  <c r="G1486" i="1"/>
  <c r="H1486" i="1"/>
  <c r="I1486" i="1"/>
  <c r="J1486" i="1"/>
  <c r="K1486" i="1"/>
  <c r="L1486" i="1"/>
  <c r="M1486" i="1"/>
  <c r="N1486" i="1"/>
  <c r="O1486" i="1"/>
  <c r="P1486" i="1"/>
  <c r="Q1486" i="1"/>
  <c r="R1486" i="1"/>
  <c r="S1486" i="1"/>
  <c r="T1486" i="1"/>
  <c r="U1486" i="1"/>
  <c r="V1486" i="1"/>
  <c r="W1486" i="1"/>
  <c r="X1486" i="1"/>
  <c r="Y1486" i="1"/>
  <c r="Z1486" i="1"/>
  <c r="AA1486" i="1"/>
  <c r="AB1486" i="1"/>
  <c r="AC1486" i="1"/>
  <c r="AD1486" i="1"/>
  <c r="AE1486" i="1"/>
  <c r="AF1486" i="1"/>
  <c r="AG1486" i="1"/>
  <c r="AH1486" i="1"/>
  <c r="AI1486" i="1"/>
  <c r="AJ1486" i="1"/>
  <c r="AK1486" i="1"/>
  <c r="AL1486" i="1"/>
  <c r="AM1486" i="1"/>
  <c r="A1487" i="1"/>
  <c r="B1487" i="1"/>
  <c r="C1487" i="1"/>
  <c r="D1487" i="1"/>
  <c r="E1487" i="1"/>
  <c r="F1487" i="1"/>
  <c r="G1487" i="1"/>
  <c r="H1487" i="1"/>
  <c r="I1487" i="1"/>
  <c r="J1487" i="1"/>
  <c r="K1487" i="1"/>
  <c r="L1487" i="1"/>
  <c r="M1487" i="1"/>
  <c r="N1487" i="1"/>
  <c r="O1487" i="1"/>
  <c r="P1487" i="1"/>
  <c r="Q1487" i="1"/>
  <c r="R1487" i="1"/>
  <c r="S1487" i="1"/>
  <c r="T1487" i="1"/>
  <c r="U1487" i="1"/>
  <c r="V1487" i="1"/>
  <c r="W1487" i="1"/>
  <c r="X1487" i="1"/>
  <c r="Y1487" i="1"/>
  <c r="Z1487" i="1"/>
  <c r="AA1487" i="1"/>
  <c r="AB1487" i="1"/>
  <c r="AC1487" i="1"/>
  <c r="AD1487" i="1"/>
  <c r="AE1487" i="1"/>
  <c r="AF1487" i="1"/>
  <c r="AG1487" i="1"/>
  <c r="AH1487" i="1"/>
  <c r="AI1487" i="1"/>
  <c r="AJ1487" i="1"/>
  <c r="AK1487" i="1"/>
  <c r="AL1487" i="1"/>
  <c r="AM1487" i="1"/>
  <c r="A1488" i="1"/>
  <c r="B1488" i="1"/>
  <c r="C1488" i="1"/>
  <c r="D1488" i="1"/>
  <c r="E1488" i="1"/>
  <c r="F1488" i="1"/>
  <c r="G1488" i="1"/>
  <c r="H1488" i="1"/>
  <c r="I1488" i="1"/>
  <c r="J1488" i="1"/>
  <c r="K1488" i="1"/>
  <c r="L1488" i="1"/>
  <c r="M1488" i="1"/>
  <c r="N1488" i="1"/>
  <c r="O1488" i="1"/>
  <c r="P1488" i="1"/>
  <c r="Q1488" i="1"/>
  <c r="R1488" i="1"/>
  <c r="S1488" i="1"/>
  <c r="T1488" i="1"/>
  <c r="U1488" i="1"/>
  <c r="V1488" i="1"/>
  <c r="W1488" i="1"/>
  <c r="X1488" i="1"/>
  <c r="Y1488" i="1"/>
  <c r="Z1488" i="1"/>
  <c r="AA1488" i="1"/>
  <c r="AB1488" i="1"/>
  <c r="AC1488" i="1"/>
  <c r="AD1488" i="1"/>
  <c r="AE1488" i="1"/>
  <c r="AF1488" i="1"/>
  <c r="AG1488" i="1"/>
  <c r="AH1488" i="1"/>
  <c r="AI1488" i="1"/>
  <c r="AJ1488" i="1"/>
  <c r="AK1488" i="1"/>
  <c r="AL1488" i="1"/>
  <c r="AM1488" i="1"/>
  <c r="A1489" i="1"/>
  <c r="B1489" i="1"/>
  <c r="C1489" i="1"/>
  <c r="D1489" i="1"/>
  <c r="E1489" i="1"/>
  <c r="F1489" i="1"/>
  <c r="G1489" i="1"/>
  <c r="H1489" i="1"/>
  <c r="I1489" i="1"/>
  <c r="J1489" i="1"/>
  <c r="K1489" i="1"/>
  <c r="L1489" i="1"/>
  <c r="M1489" i="1"/>
  <c r="N1489" i="1"/>
  <c r="O1489" i="1"/>
  <c r="P1489" i="1"/>
  <c r="Q1489" i="1"/>
  <c r="R1489" i="1"/>
  <c r="S1489" i="1"/>
  <c r="T1489" i="1"/>
  <c r="U1489" i="1"/>
  <c r="V1489" i="1"/>
  <c r="W1489" i="1"/>
  <c r="X1489" i="1"/>
  <c r="Y1489" i="1"/>
  <c r="Z1489" i="1"/>
  <c r="AA1489" i="1"/>
  <c r="AB1489" i="1"/>
  <c r="AC1489" i="1"/>
  <c r="AD1489" i="1"/>
  <c r="AE1489" i="1"/>
  <c r="AF1489" i="1"/>
  <c r="AG1489" i="1"/>
  <c r="AH1489" i="1"/>
  <c r="AI1489" i="1"/>
  <c r="AJ1489" i="1"/>
  <c r="AK1489" i="1"/>
  <c r="AL1489" i="1"/>
  <c r="AM1489" i="1"/>
  <c r="A1490" i="1"/>
  <c r="B1490" i="1"/>
  <c r="C1490" i="1"/>
  <c r="D1490" i="1"/>
  <c r="E1490" i="1"/>
  <c r="F1490" i="1"/>
  <c r="G1490" i="1"/>
  <c r="H1490" i="1"/>
  <c r="I1490" i="1"/>
  <c r="J1490" i="1"/>
  <c r="K1490" i="1"/>
  <c r="L1490" i="1"/>
  <c r="M1490" i="1"/>
  <c r="N1490" i="1"/>
  <c r="O1490" i="1"/>
  <c r="P1490" i="1"/>
  <c r="Q1490" i="1"/>
  <c r="R1490" i="1"/>
  <c r="S1490" i="1"/>
  <c r="T1490" i="1"/>
  <c r="U1490" i="1"/>
  <c r="V1490" i="1"/>
  <c r="W1490" i="1"/>
  <c r="X1490" i="1"/>
  <c r="Y1490" i="1"/>
  <c r="Z1490" i="1"/>
  <c r="AA1490" i="1"/>
  <c r="AB1490" i="1"/>
  <c r="AC1490" i="1"/>
  <c r="AD1490" i="1"/>
  <c r="AE1490" i="1"/>
  <c r="AF1490" i="1"/>
  <c r="AG1490" i="1"/>
  <c r="AH1490" i="1"/>
  <c r="AI1490" i="1"/>
  <c r="AJ1490" i="1"/>
  <c r="AK1490" i="1"/>
  <c r="AL1490" i="1"/>
  <c r="AM1490" i="1"/>
  <c r="A1491" i="1"/>
  <c r="B1491" i="1"/>
  <c r="C1491" i="1"/>
  <c r="D1491" i="1"/>
  <c r="E1491" i="1"/>
  <c r="F1491" i="1"/>
  <c r="G1491" i="1"/>
  <c r="H1491" i="1"/>
  <c r="I1491" i="1"/>
  <c r="J1491" i="1"/>
  <c r="K1491" i="1"/>
  <c r="L1491" i="1"/>
  <c r="M1491" i="1"/>
  <c r="N1491" i="1"/>
  <c r="O1491" i="1"/>
  <c r="P1491" i="1"/>
  <c r="Q1491" i="1"/>
  <c r="R1491" i="1"/>
  <c r="S1491" i="1"/>
  <c r="T1491" i="1"/>
  <c r="U1491" i="1"/>
  <c r="V1491" i="1"/>
  <c r="W1491" i="1"/>
  <c r="X1491" i="1"/>
  <c r="Y1491" i="1"/>
  <c r="Z1491" i="1"/>
  <c r="AA1491" i="1"/>
  <c r="AB1491" i="1"/>
  <c r="AC1491" i="1"/>
  <c r="AD1491" i="1"/>
  <c r="AE1491" i="1"/>
  <c r="AF1491" i="1"/>
  <c r="AG1491" i="1"/>
  <c r="AH1491" i="1"/>
  <c r="AI1491" i="1"/>
  <c r="AJ1491" i="1"/>
  <c r="AK1491" i="1"/>
  <c r="AL1491" i="1"/>
  <c r="AM1491" i="1"/>
  <c r="A1492" i="1"/>
  <c r="B1492" i="1"/>
  <c r="C1492" i="1"/>
  <c r="D1492" i="1"/>
  <c r="E1492" i="1"/>
  <c r="F1492" i="1"/>
  <c r="G1492" i="1"/>
  <c r="H1492" i="1"/>
  <c r="I1492" i="1"/>
  <c r="J1492" i="1"/>
  <c r="K1492" i="1"/>
  <c r="L1492" i="1"/>
  <c r="M1492" i="1"/>
  <c r="N1492" i="1"/>
  <c r="O1492" i="1"/>
  <c r="P1492" i="1"/>
  <c r="Q1492" i="1"/>
  <c r="R1492" i="1"/>
  <c r="S1492" i="1"/>
  <c r="T1492" i="1"/>
  <c r="U1492" i="1"/>
  <c r="V1492" i="1"/>
  <c r="W1492" i="1"/>
  <c r="X1492" i="1"/>
  <c r="Y1492" i="1"/>
  <c r="Z1492" i="1"/>
  <c r="AA1492" i="1"/>
  <c r="AB1492" i="1"/>
  <c r="AC1492" i="1"/>
  <c r="AD1492" i="1"/>
  <c r="AE1492" i="1"/>
  <c r="AF1492" i="1"/>
  <c r="AG1492" i="1"/>
  <c r="AH1492" i="1"/>
  <c r="AI1492" i="1"/>
  <c r="AJ1492" i="1"/>
  <c r="AK1492" i="1"/>
  <c r="AL1492" i="1"/>
  <c r="AM1492" i="1"/>
  <c r="A1493" i="1"/>
  <c r="B1493" i="1"/>
  <c r="C1493" i="1"/>
  <c r="D1493" i="1"/>
  <c r="E1493" i="1"/>
  <c r="F1493" i="1"/>
  <c r="G1493" i="1"/>
  <c r="H1493" i="1"/>
  <c r="I1493" i="1"/>
  <c r="J1493" i="1"/>
  <c r="K1493" i="1"/>
  <c r="L1493" i="1"/>
  <c r="M1493" i="1"/>
  <c r="N1493" i="1"/>
  <c r="O1493" i="1"/>
  <c r="P1493" i="1"/>
  <c r="Q1493" i="1"/>
  <c r="R1493" i="1"/>
  <c r="S1493" i="1"/>
  <c r="T1493" i="1"/>
  <c r="U1493" i="1"/>
  <c r="V1493" i="1"/>
  <c r="W1493" i="1"/>
  <c r="X1493" i="1"/>
  <c r="Y1493" i="1"/>
  <c r="Z1493" i="1"/>
  <c r="AA1493" i="1"/>
  <c r="AB1493" i="1"/>
  <c r="AC1493" i="1"/>
  <c r="AD1493" i="1"/>
  <c r="AE1493" i="1"/>
  <c r="AF1493" i="1"/>
  <c r="AG1493" i="1"/>
  <c r="AH1493" i="1"/>
  <c r="AI1493" i="1"/>
  <c r="AJ1493" i="1"/>
  <c r="AK1493" i="1"/>
  <c r="AL1493" i="1"/>
  <c r="AM1493" i="1"/>
  <c r="A1494" i="1"/>
  <c r="B1494" i="1"/>
  <c r="C1494" i="1"/>
  <c r="D1494" i="1"/>
  <c r="E1494" i="1"/>
  <c r="F1494" i="1"/>
  <c r="G1494" i="1"/>
  <c r="H1494" i="1"/>
  <c r="I1494" i="1"/>
  <c r="J1494" i="1"/>
  <c r="K1494" i="1"/>
  <c r="L1494" i="1"/>
  <c r="M1494" i="1"/>
  <c r="N1494" i="1"/>
  <c r="O1494" i="1"/>
  <c r="P1494" i="1"/>
  <c r="Q1494" i="1"/>
  <c r="R1494" i="1"/>
  <c r="S1494" i="1"/>
  <c r="T1494" i="1"/>
  <c r="U1494" i="1"/>
  <c r="V1494" i="1"/>
  <c r="W1494" i="1"/>
  <c r="X1494" i="1"/>
  <c r="Y1494" i="1"/>
  <c r="Z1494" i="1"/>
  <c r="AA1494" i="1"/>
  <c r="AB1494" i="1"/>
  <c r="AC1494" i="1"/>
  <c r="AD1494" i="1"/>
  <c r="AE1494" i="1"/>
  <c r="AF1494" i="1"/>
  <c r="AG1494" i="1"/>
  <c r="AH1494" i="1"/>
  <c r="AI1494" i="1"/>
  <c r="AJ1494" i="1"/>
  <c r="AK1494" i="1"/>
  <c r="AL1494" i="1"/>
  <c r="AM1494" i="1"/>
  <c r="A1495" i="1"/>
  <c r="B1495" i="1"/>
  <c r="C1495" i="1"/>
  <c r="D1495" i="1"/>
  <c r="E1495" i="1"/>
  <c r="F1495" i="1"/>
  <c r="G1495" i="1"/>
  <c r="H1495" i="1"/>
  <c r="I1495" i="1"/>
  <c r="J1495" i="1"/>
  <c r="K1495" i="1"/>
  <c r="L1495" i="1"/>
  <c r="M1495" i="1"/>
  <c r="N1495" i="1"/>
  <c r="O1495" i="1"/>
  <c r="P1495" i="1"/>
  <c r="Q1495" i="1"/>
  <c r="R1495" i="1"/>
  <c r="S1495" i="1"/>
  <c r="T1495" i="1"/>
  <c r="U1495" i="1"/>
  <c r="V1495" i="1"/>
  <c r="W1495" i="1"/>
  <c r="X1495" i="1"/>
  <c r="Y1495" i="1"/>
  <c r="Z1495" i="1"/>
  <c r="AA1495" i="1"/>
  <c r="AB1495" i="1"/>
  <c r="AC1495" i="1"/>
  <c r="AD1495" i="1"/>
  <c r="AE1495" i="1"/>
  <c r="AF1495" i="1"/>
  <c r="AG1495" i="1"/>
  <c r="AH1495" i="1"/>
  <c r="AI1495" i="1"/>
  <c r="AJ1495" i="1"/>
  <c r="AK1495" i="1"/>
  <c r="AL1495" i="1"/>
  <c r="AM1495" i="1"/>
  <c r="A1496" i="1"/>
  <c r="B1496" i="1"/>
  <c r="C1496" i="1"/>
  <c r="D1496" i="1"/>
  <c r="E1496" i="1"/>
  <c r="F1496" i="1"/>
  <c r="G1496" i="1"/>
  <c r="H1496" i="1"/>
  <c r="I1496" i="1"/>
  <c r="J1496" i="1"/>
  <c r="K1496" i="1"/>
  <c r="L1496" i="1"/>
  <c r="M1496" i="1"/>
  <c r="N1496" i="1"/>
  <c r="O1496" i="1"/>
  <c r="P1496" i="1"/>
  <c r="Q1496" i="1"/>
  <c r="R1496" i="1"/>
  <c r="S1496" i="1"/>
  <c r="T1496" i="1"/>
  <c r="U1496" i="1"/>
  <c r="V1496" i="1"/>
  <c r="W1496" i="1"/>
  <c r="X1496" i="1"/>
  <c r="Y1496" i="1"/>
  <c r="Z1496" i="1"/>
  <c r="AA1496" i="1"/>
  <c r="AB1496" i="1"/>
  <c r="AC1496" i="1"/>
  <c r="AD1496" i="1"/>
  <c r="AE1496" i="1"/>
  <c r="AF1496" i="1"/>
  <c r="AG1496" i="1"/>
  <c r="AH1496" i="1"/>
  <c r="AI1496" i="1"/>
  <c r="AJ1496" i="1"/>
  <c r="AK1496" i="1"/>
  <c r="AL1496" i="1"/>
  <c r="AM1496" i="1"/>
  <c r="A1497" i="1"/>
  <c r="B1497" i="1"/>
  <c r="C1497" i="1"/>
  <c r="D1497" i="1"/>
  <c r="E1497" i="1"/>
  <c r="F1497" i="1"/>
  <c r="G1497" i="1"/>
  <c r="H1497" i="1"/>
  <c r="I1497" i="1"/>
  <c r="J1497" i="1"/>
  <c r="K1497" i="1"/>
  <c r="L1497" i="1"/>
  <c r="M1497" i="1"/>
  <c r="N1497" i="1"/>
  <c r="O1497" i="1"/>
  <c r="P1497" i="1"/>
  <c r="Q1497" i="1"/>
  <c r="R1497" i="1"/>
  <c r="S1497" i="1"/>
  <c r="T1497" i="1"/>
  <c r="U1497" i="1"/>
  <c r="V1497" i="1"/>
  <c r="W1497" i="1"/>
  <c r="X1497" i="1"/>
  <c r="Y1497" i="1"/>
  <c r="Z1497" i="1"/>
  <c r="AA1497" i="1"/>
  <c r="AB1497" i="1"/>
  <c r="AC1497" i="1"/>
  <c r="AD1497" i="1"/>
  <c r="AE1497" i="1"/>
  <c r="AF1497" i="1"/>
  <c r="AG1497" i="1"/>
  <c r="AH1497" i="1"/>
  <c r="AI1497" i="1"/>
  <c r="AJ1497" i="1"/>
  <c r="AK1497" i="1"/>
  <c r="AL1497" i="1"/>
  <c r="AM1497" i="1"/>
  <c r="A1498" i="1"/>
  <c r="B1498" i="1"/>
  <c r="C1498" i="1"/>
  <c r="D1498" i="1"/>
  <c r="E1498" i="1"/>
  <c r="F1498" i="1"/>
  <c r="G1498" i="1"/>
  <c r="H1498" i="1"/>
  <c r="I1498" i="1"/>
  <c r="J1498" i="1"/>
  <c r="K1498" i="1"/>
  <c r="L1498" i="1"/>
  <c r="M1498" i="1"/>
  <c r="N1498" i="1"/>
  <c r="O1498" i="1"/>
  <c r="P1498" i="1"/>
  <c r="Q1498" i="1"/>
  <c r="R1498" i="1"/>
  <c r="S1498" i="1"/>
  <c r="T1498" i="1"/>
  <c r="U1498" i="1"/>
  <c r="V1498" i="1"/>
  <c r="W1498" i="1"/>
  <c r="X1498" i="1"/>
  <c r="Y1498" i="1"/>
  <c r="Z1498" i="1"/>
  <c r="AA1498" i="1"/>
  <c r="AB1498" i="1"/>
  <c r="AC1498" i="1"/>
  <c r="AD1498" i="1"/>
  <c r="AE1498" i="1"/>
  <c r="AF1498" i="1"/>
  <c r="AG1498" i="1"/>
  <c r="AH1498" i="1"/>
  <c r="AI1498" i="1"/>
  <c r="AJ1498" i="1"/>
  <c r="AK1498" i="1"/>
  <c r="AL1498" i="1"/>
  <c r="AM1498" i="1"/>
  <c r="A1499" i="1"/>
  <c r="B1499" i="1"/>
  <c r="C1499" i="1"/>
  <c r="D1499" i="1"/>
  <c r="E1499" i="1"/>
  <c r="F1499" i="1"/>
  <c r="G1499" i="1"/>
  <c r="H1499" i="1"/>
  <c r="I1499" i="1"/>
  <c r="J1499" i="1"/>
  <c r="K1499" i="1"/>
  <c r="L1499" i="1"/>
  <c r="M1499" i="1"/>
  <c r="N1499" i="1"/>
  <c r="O1499" i="1"/>
  <c r="P1499" i="1"/>
  <c r="Q1499" i="1"/>
  <c r="R1499" i="1"/>
  <c r="S1499" i="1"/>
  <c r="T1499" i="1"/>
  <c r="U1499" i="1"/>
  <c r="V1499" i="1"/>
  <c r="W1499" i="1"/>
  <c r="X1499" i="1"/>
  <c r="Y1499" i="1"/>
  <c r="Z1499" i="1"/>
  <c r="AA1499" i="1"/>
  <c r="AB1499" i="1"/>
  <c r="AC1499" i="1"/>
  <c r="AD1499" i="1"/>
  <c r="AE1499" i="1"/>
  <c r="AF1499" i="1"/>
  <c r="AG1499" i="1"/>
  <c r="AH1499" i="1"/>
  <c r="AI1499" i="1"/>
  <c r="AJ1499" i="1"/>
  <c r="AK1499" i="1"/>
  <c r="AL1499" i="1"/>
  <c r="AM1499" i="1"/>
  <c r="A1500" i="1"/>
  <c r="B1500" i="1"/>
  <c r="C1500" i="1"/>
  <c r="D1500" i="1"/>
  <c r="E1500" i="1"/>
  <c r="F1500" i="1"/>
  <c r="G1500" i="1"/>
  <c r="H1500" i="1"/>
  <c r="I1500" i="1"/>
  <c r="J1500" i="1"/>
  <c r="K1500" i="1"/>
  <c r="L1500" i="1"/>
  <c r="M1500" i="1"/>
  <c r="N1500" i="1"/>
  <c r="O1500" i="1"/>
  <c r="P1500" i="1"/>
  <c r="Q1500" i="1"/>
  <c r="R1500" i="1"/>
  <c r="S1500" i="1"/>
  <c r="T1500" i="1"/>
  <c r="U1500" i="1"/>
  <c r="V1500" i="1"/>
  <c r="W1500" i="1"/>
  <c r="X1500" i="1"/>
  <c r="Y1500" i="1"/>
  <c r="Z1500" i="1"/>
  <c r="AA1500" i="1"/>
  <c r="AB1500" i="1"/>
  <c r="AC1500" i="1"/>
  <c r="AD1500" i="1"/>
  <c r="AE1500" i="1"/>
  <c r="AF1500" i="1"/>
  <c r="AG1500" i="1"/>
  <c r="AH1500" i="1"/>
  <c r="AI1500" i="1"/>
  <c r="AJ1500" i="1"/>
  <c r="AK1500" i="1"/>
  <c r="AL1500" i="1"/>
  <c r="AM1500" i="1"/>
  <c r="A1501" i="1"/>
  <c r="B1501" i="1"/>
  <c r="C1501" i="1"/>
  <c r="D1501" i="1"/>
  <c r="E1501" i="1"/>
  <c r="F1501" i="1"/>
  <c r="G1501" i="1"/>
  <c r="H1501" i="1"/>
  <c r="I1501" i="1"/>
  <c r="J1501" i="1"/>
  <c r="K1501" i="1"/>
  <c r="L1501" i="1"/>
  <c r="M1501" i="1"/>
  <c r="N1501" i="1"/>
  <c r="O1501" i="1"/>
  <c r="P1501" i="1"/>
  <c r="Q1501" i="1"/>
  <c r="R1501" i="1"/>
  <c r="S1501" i="1"/>
  <c r="T1501" i="1"/>
  <c r="U1501" i="1"/>
  <c r="V1501" i="1"/>
  <c r="W1501" i="1"/>
  <c r="X1501" i="1"/>
  <c r="Y1501" i="1"/>
  <c r="Z1501" i="1"/>
  <c r="AA1501" i="1"/>
  <c r="AB1501" i="1"/>
  <c r="AC1501" i="1"/>
  <c r="AD1501" i="1"/>
  <c r="AE1501" i="1"/>
  <c r="AF1501" i="1"/>
  <c r="AG1501" i="1"/>
  <c r="AH1501" i="1"/>
  <c r="AI1501" i="1"/>
  <c r="AJ1501" i="1"/>
  <c r="AK1501" i="1"/>
  <c r="AL1501" i="1"/>
  <c r="AM1501" i="1"/>
  <c r="A1502" i="1"/>
  <c r="B1502" i="1"/>
  <c r="C1502" i="1"/>
  <c r="D1502" i="1"/>
  <c r="E1502" i="1"/>
  <c r="F1502" i="1"/>
  <c r="G1502" i="1"/>
  <c r="H1502" i="1"/>
  <c r="I1502" i="1"/>
  <c r="J1502" i="1"/>
  <c r="K1502" i="1"/>
  <c r="L1502" i="1"/>
  <c r="M1502" i="1"/>
  <c r="N1502" i="1"/>
  <c r="O1502" i="1"/>
  <c r="P1502" i="1"/>
  <c r="Q1502" i="1"/>
  <c r="R1502" i="1"/>
  <c r="S1502" i="1"/>
  <c r="T1502" i="1"/>
  <c r="U1502" i="1"/>
  <c r="V1502" i="1"/>
  <c r="W1502" i="1"/>
  <c r="X1502" i="1"/>
  <c r="Y1502" i="1"/>
  <c r="Z1502" i="1"/>
  <c r="AA1502" i="1"/>
  <c r="AB1502" i="1"/>
  <c r="AC1502" i="1"/>
  <c r="AD1502" i="1"/>
  <c r="AE1502" i="1"/>
  <c r="AF1502" i="1"/>
  <c r="AG1502" i="1"/>
  <c r="AH1502" i="1"/>
  <c r="AI1502" i="1"/>
  <c r="AJ1502" i="1"/>
  <c r="AK1502" i="1"/>
  <c r="AL1502" i="1"/>
  <c r="AM1502" i="1"/>
  <c r="A1503" i="1"/>
  <c r="B1503" i="1"/>
  <c r="C1503" i="1"/>
  <c r="D1503" i="1"/>
  <c r="E1503" i="1"/>
  <c r="F1503" i="1"/>
  <c r="G1503" i="1"/>
  <c r="H1503" i="1"/>
  <c r="I1503" i="1"/>
  <c r="J1503" i="1"/>
  <c r="K1503" i="1"/>
  <c r="L1503" i="1"/>
  <c r="M1503" i="1"/>
  <c r="N1503" i="1"/>
  <c r="O1503" i="1"/>
  <c r="P1503" i="1"/>
  <c r="Q1503" i="1"/>
  <c r="R1503" i="1"/>
  <c r="S1503" i="1"/>
  <c r="T1503" i="1"/>
  <c r="U1503" i="1"/>
  <c r="V1503" i="1"/>
  <c r="W1503" i="1"/>
  <c r="X1503" i="1"/>
  <c r="Y1503" i="1"/>
  <c r="Z1503" i="1"/>
  <c r="AA1503" i="1"/>
  <c r="AB1503" i="1"/>
  <c r="AC1503" i="1"/>
  <c r="AD1503" i="1"/>
  <c r="AE1503" i="1"/>
  <c r="AF1503" i="1"/>
  <c r="AG1503" i="1"/>
  <c r="AH1503" i="1"/>
  <c r="AI1503" i="1"/>
  <c r="AJ1503" i="1"/>
  <c r="AK1503" i="1"/>
  <c r="AL1503" i="1"/>
  <c r="AM1503" i="1"/>
  <c r="A1504" i="1"/>
  <c r="B1504" i="1"/>
  <c r="C1504" i="1"/>
  <c r="D1504" i="1"/>
  <c r="E1504" i="1"/>
  <c r="F1504" i="1"/>
  <c r="G1504" i="1"/>
  <c r="H1504" i="1"/>
  <c r="I1504" i="1"/>
  <c r="J1504" i="1"/>
  <c r="K1504" i="1"/>
  <c r="L1504" i="1"/>
  <c r="M1504" i="1"/>
  <c r="N1504" i="1"/>
  <c r="O1504" i="1"/>
  <c r="P1504" i="1"/>
  <c r="Q1504" i="1"/>
  <c r="R1504" i="1"/>
  <c r="S1504" i="1"/>
  <c r="T1504" i="1"/>
  <c r="U1504" i="1"/>
  <c r="V1504" i="1"/>
  <c r="W1504" i="1"/>
  <c r="X1504" i="1"/>
  <c r="Y1504" i="1"/>
  <c r="Z1504" i="1"/>
  <c r="AA1504" i="1"/>
  <c r="AB1504" i="1"/>
  <c r="AC1504" i="1"/>
  <c r="AD1504" i="1"/>
  <c r="AE1504" i="1"/>
  <c r="AF1504" i="1"/>
  <c r="AG1504" i="1"/>
  <c r="AH1504" i="1"/>
  <c r="AI1504" i="1"/>
  <c r="AJ1504" i="1"/>
  <c r="AK1504" i="1"/>
  <c r="AL1504" i="1"/>
  <c r="AM1504" i="1"/>
  <c r="A1505" i="1"/>
  <c r="B1505" i="1"/>
  <c r="C1505" i="1"/>
  <c r="D1505" i="1"/>
  <c r="E1505" i="1"/>
  <c r="F1505" i="1"/>
  <c r="G1505" i="1"/>
  <c r="H1505" i="1"/>
  <c r="I1505" i="1"/>
  <c r="J1505" i="1"/>
  <c r="K1505" i="1"/>
  <c r="L1505" i="1"/>
  <c r="M1505" i="1"/>
  <c r="N1505" i="1"/>
  <c r="O1505" i="1"/>
  <c r="P1505" i="1"/>
  <c r="Q1505" i="1"/>
  <c r="R1505" i="1"/>
  <c r="S1505" i="1"/>
  <c r="T1505" i="1"/>
  <c r="U1505" i="1"/>
  <c r="V1505" i="1"/>
  <c r="W1505" i="1"/>
  <c r="X1505" i="1"/>
  <c r="Y1505" i="1"/>
  <c r="Z1505" i="1"/>
  <c r="AA1505" i="1"/>
  <c r="AB1505" i="1"/>
  <c r="AC1505" i="1"/>
  <c r="AD1505" i="1"/>
  <c r="AE1505" i="1"/>
  <c r="AF1505" i="1"/>
  <c r="AG1505" i="1"/>
  <c r="AH1505" i="1"/>
  <c r="AI1505" i="1"/>
  <c r="AJ1505" i="1"/>
  <c r="AK1505" i="1"/>
  <c r="AL1505" i="1"/>
  <c r="AM1505" i="1"/>
  <c r="A1506" i="1"/>
  <c r="B1506" i="1"/>
  <c r="C1506" i="1"/>
  <c r="D1506" i="1"/>
  <c r="E1506" i="1"/>
  <c r="F1506" i="1"/>
  <c r="G1506" i="1"/>
  <c r="H1506" i="1"/>
  <c r="I1506" i="1"/>
  <c r="J1506" i="1"/>
  <c r="K1506" i="1"/>
  <c r="L1506" i="1"/>
  <c r="M1506" i="1"/>
  <c r="N1506" i="1"/>
  <c r="O1506" i="1"/>
  <c r="P1506" i="1"/>
  <c r="Q1506" i="1"/>
  <c r="R1506" i="1"/>
  <c r="S1506" i="1"/>
  <c r="T1506" i="1"/>
  <c r="U1506" i="1"/>
  <c r="V1506" i="1"/>
  <c r="W1506" i="1"/>
  <c r="X1506" i="1"/>
  <c r="Y1506" i="1"/>
  <c r="Z1506" i="1"/>
  <c r="AA1506" i="1"/>
  <c r="AB1506" i="1"/>
  <c r="AC1506" i="1"/>
  <c r="AD1506" i="1"/>
  <c r="AE1506" i="1"/>
  <c r="AF1506" i="1"/>
  <c r="AG1506" i="1"/>
  <c r="AH1506" i="1"/>
  <c r="AI1506" i="1"/>
  <c r="AJ1506" i="1"/>
  <c r="AK1506" i="1"/>
  <c r="AL1506" i="1"/>
  <c r="AM1506" i="1"/>
  <c r="A1507" i="1"/>
  <c r="B1507" i="1"/>
  <c r="C1507" i="1"/>
  <c r="D1507" i="1"/>
  <c r="E1507" i="1"/>
  <c r="F1507" i="1"/>
  <c r="G1507" i="1"/>
  <c r="H1507" i="1"/>
  <c r="I1507" i="1"/>
  <c r="J1507" i="1"/>
  <c r="K1507" i="1"/>
  <c r="L1507" i="1"/>
  <c r="M1507" i="1"/>
  <c r="N1507" i="1"/>
  <c r="O1507" i="1"/>
  <c r="P1507" i="1"/>
  <c r="Q1507" i="1"/>
  <c r="R1507" i="1"/>
  <c r="S1507" i="1"/>
  <c r="T1507" i="1"/>
  <c r="U1507" i="1"/>
  <c r="V1507" i="1"/>
  <c r="W1507" i="1"/>
  <c r="X1507" i="1"/>
  <c r="Y1507" i="1"/>
  <c r="Z1507" i="1"/>
  <c r="AA1507" i="1"/>
  <c r="AB1507" i="1"/>
  <c r="AC1507" i="1"/>
  <c r="AD1507" i="1"/>
  <c r="AE1507" i="1"/>
  <c r="AF1507" i="1"/>
  <c r="AG1507" i="1"/>
  <c r="AH1507" i="1"/>
  <c r="AI1507" i="1"/>
  <c r="AJ1507" i="1"/>
  <c r="AK1507" i="1"/>
  <c r="AL1507" i="1"/>
  <c r="AM1507" i="1"/>
  <c r="A1508" i="1"/>
  <c r="B1508" i="1"/>
  <c r="C1508" i="1"/>
  <c r="D1508" i="1"/>
  <c r="E1508" i="1"/>
  <c r="F1508" i="1"/>
  <c r="G1508" i="1"/>
  <c r="H1508" i="1"/>
  <c r="I1508" i="1"/>
  <c r="J1508" i="1"/>
  <c r="K1508" i="1"/>
  <c r="L1508" i="1"/>
  <c r="M1508" i="1"/>
  <c r="N1508" i="1"/>
  <c r="O1508" i="1"/>
  <c r="P1508" i="1"/>
  <c r="Q1508" i="1"/>
  <c r="R1508" i="1"/>
  <c r="S1508" i="1"/>
  <c r="T1508" i="1"/>
  <c r="U1508" i="1"/>
  <c r="V1508" i="1"/>
  <c r="W1508" i="1"/>
  <c r="X1508" i="1"/>
  <c r="Y1508" i="1"/>
  <c r="Z1508" i="1"/>
  <c r="AA1508" i="1"/>
  <c r="AB1508" i="1"/>
  <c r="AC1508" i="1"/>
  <c r="AD1508" i="1"/>
  <c r="AE1508" i="1"/>
  <c r="AF1508" i="1"/>
  <c r="AG1508" i="1"/>
  <c r="AH1508" i="1"/>
  <c r="AI1508" i="1"/>
  <c r="AJ1508" i="1"/>
  <c r="AK1508" i="1"/>
  <c r="AL1508" i="1"/>
  <c r="AM1508" i="1"/>
  <c r="A1509" i="1"/>
  <c r="B1509" i="1"/>
  <c r="C1509" i="1"/>
  <c r="D1509" i="1"/>
  <c r="E1509" i="1"/>
  <c r="F1509" i="1"/>
  <c r="G1509" i="1"/>
  <c r="H1509" i="1"/>
  <c r="I1509" i="1"/>
  <c r="J1509" i="1"/>
  <c r="K1509" i="1"/>
  <c r="L1509" i="1"/>
  <c r="M1509" i="1"/>
  <c r="N1509" i="1"/>
  <c r="O1509" i="1"/>
  <c r="P1509" i="1"/>
  <c r="Q1509" i="1"/>
  <c r="R1509" i="1"/>
  <c r="S1509" i="1"/>
  <c r="T1509" i="1"/>
  <c r="U1509" i="1"/>
  <c r="V1509" i="1"/>
  <c r="W1509" i="1"/>
  <c r="X1509" i="1"/>
  <c r="Y1509" i="1"/>
  <c r="Z1509" i="1"/>
  <c r="AA1509" i="1"/>
  <c r="AB1509" i="1"/>
  <c r="AC1509" i="1"/>
  <c r="AD1509" i="1"/>
  <c r="AE1509" i="1"/>
  <c r="AF1509" i="1"/>
  <c r="AG1509" i="1"/>
  <c r="AH1509" i="1"/>
  <c r="AI1509" i="1"/>
  <c r="AJ1509" i="1"/>
  <c r="AK1509" i="1"/>
  <c r="AL1509" i="1"/>
  <c r="AM1509" i="1"/>
  <c r="A1510" i="1"/>
  <c r="B1510" i="1"/>
  <c r="C1510" i="1"/>
  <c r="D1510" i="1"/>
  <c r="E1510" i="1"/>
  <c r="F1510" i="1"/>
  <c r="G1510" i="1"/>
  <c r="H1510" i="1"/>
  <c r="I1510" i="1"/>
  <c r="J1510" i="1"/>
  <c r="K1510" i="1"/>
  <c r="L1510" i="1"/>
  <c r="M1510" i="1"/>
  <c r="N1510" i="1"/>
  <c r="O1510" i="1"/>
  <c r="P1510" i="1"/>
  <c r="Q1510" i="1"/>
  <c r="R1510" i="1"/>
  <c r="S1510" i="1"/>
  <c r="T1510" i="1"/>
  <c r="U1510" i="1"/>
  <c r="V1510" i="1"/>
  <c r="W1510" i="1"/>
  <c r="X1510" i="1"/>
  <c r="Y1510" i="1"/>
  <c r="Z1510" i="1"/>
  <c r="AA1510" i="1"/>
  <c r="AB1510" i="1"/>
  <c r="AC1510" i="1"/>
  <c r="AD1510" i="1"/>
  <c r="AE1510" i="1"/>
  <c r="AF1510" i="1"/>
  <c r="AG1510" i="1"/>
  <c r="AH1510" i="1"/>
  <c r="AI1510" i="1"/>
  <c r="AJ1510" i="1"/>
  <c r="AK1510" i="1"/>
  <c r="AL1510" i="1"/>
  <c r="AM1510" i="1"/>
  <c r="A1511" i="1"/>
  <c r="B1511" i="1"/>
  <c r="C1511" i="1"/>
  <c r="D1511" i="1"/>
  <c r="E1511" i="1"/>
  <c r="F1511" i="1"/>
  <c r="G1511" i="1"/>
  <c r="H1511" i="1"/>
  <c r="I1511" i="1"/>
  <c r="J1511" i="1"/>
  <c r="K1511" i="1"/>
  <c r="L1511" i="1"/>
  <c r="M1511" i="1"/>
  <c r="N1511" i="1"/>
  <c r="O1511" i="1"/>
  <c r="P1511" i="1"/>
  <c r="Q1511" i="1"/>
  <c r="R1511" i="1"/>
  <c r="S1511" i="1"/>
  <c r="T1511" i="1"/>
  <c r="U1511" i="1"/>
  <c r="V1511" i="1"/>
  <c r="W1511" i="1"/>
  <c r="X1511" i="1"/>
  <c r="Y1511" i="1"/>
  <c r="Z1511" i="1"/>
  <c r="AA1511" i="1"/>
  <c r="AB1511" i="1"/>
  <c r="AC1511" i="1"/>
  <c r="AD1511" i="1"/>
  <c r="AE1511" i="1"/>
  <c r="AF1511" i="1"/>
  <c r="AG1511" i="1"/>
  <c r="AH1511" i="1"/>
  <c r="AI1511" i="1"/>
  <c r="AJ1511" i="1"/>
  <c r="AK1511" i="1"/>
  <c r="AL1511" i="1"/>
  <c r="AM1511" i="1"/>
  <c r="A1512" i="1"/>
  <c r="B1512" i="1"/>
  <c r="C1512" i="1"/>
  <c r="D1512" i="1"/>
  <c r="E1512" i="1"/>
  <c r="F1512" i="1"/>
  <c r="G1512" i="1"/>
  <c r="H1512" i="1"/>
  <c r="I1512" i="1"/>
  <c r="J1512" i="1"/>
  <c r="K1512" i="1"/>
  <c r="L1512" i="1"/>
  <c r="M1512" i="1"/>
  <c r="N1512" i="1"/>
  <c r="O1512" i="1"/>
  <c r="P1512" i="1"/>
  <c r="Q1512" i="1"/>
  <c r="R1512" i="1"/>
  <c r="S1512" i="1"/>
  <c r="T1512" i="1"/>
  <c r="U1512" i="1"/>
  <c r="V1512" i="1"/>
  <c r="W1512" i="1"/>
  <c r="X1512" i="1"/>
  <c r="Y1512" i="1"/>
  <c r="Z1512" i="1"/>
  <c r="AA1512" i="1"/>
  <c r="AB1512" i="1"/>
  <c r="AC1512" i="1"/>
  <c r="AD1512" i="1"/>
  <c r="AE1512" i="1"/>
  <c r="AF1512" i="1"/>
  <c r="AG1512" i="1"/>
  <c r="AH1512" i="1"/>
  <c r="AI1512" i="1"/>
  <c r="AJ1512" i="1"/>
  <c r="AK1512" i="1"/>
  <c r="AL1512" i="1"/>
  <c r="AM1512" i="1"/>
  <c r="A1513" i="1"/>
  <c r="B1513" i="1"/>
  <c r="C1513" i="1"/>
  <c r="D1513" i="1"/>
  <c r="E1513" i="1"/>
  <c r="F1513" i="1"/>
  <c r="G1513" i="1"/>
  <c r="H1513" i="1"/>
  <c r="I1513" i="1"/>
  <c r="J1513" i="1"/>
  <c r="K1513" i="1"/>
  <c r="L1513" i="1"/>
  <c r="M1513" i="1"/>
  <c r="N1513" i="1"/>
  <c r="O1513" i="1"/>
  <c r="P1513" i="1"/>
  <c r="Q1513" i="1"/>
  <c r="R1513" i="1"/>
  <c r="S1513" i="1"/>
  <c r="T1513" i="1"/>
  <c r="U1513" i="1"/>
  <c r="V1513" i="1"/>
  <c r="W1513" i="1"/>
  <c r="X1513" i="1"/>
  <c r="Y1513" i="1"/>
  <c r="Z1513" i="1"/>
  <c r="AA1513" i="1"/>
  <c r="AB1513" i="1"/>
  <c r="AC1513" i="1"/>
  <c r="AD1513" i="1"/>
  <c r="AE1513" i="1"/>
  <c r="AF1513" i="1"/>
  <c r="AG1513" i="1"/>
  <c r="AH1513" i="1"/>
  <c r="AI1513" i="1"/>
  <c r="AJ1513" i="1"/>
  <c r="AK1513" i="1"/>
  <c r="AL1513" i="1"/>
  <c r="AM1513" i="1"/>
  <c r="A1514" i="1"/>
  <c r="B1514" i="1"/>
  <c r="C1514" i="1"/>
  <c r="D1514" i="1"/>
  <c r="E1514" i="1"/>
  <c r="F1514" i="1"/>
  <c r="G1514" i="1"/>
  <c r="H1514" i="1"/>
  <c r="I1514" i="1"/>
  <c r="J1514" i="1"/>
  <c r="K1514" i="1"/>
  <c r="L1514" i="1"/>
  <c r="M1514" i="1"/>
  <c r="N1514" i="1"/>
  <c r="O1514" i="1"/>
  <c r="P1514" i="1"/>
  <c r="Q1514" i="1"/>
  <c r="R1514" i="1"/>
  <c r="S1514" i="1"/>
  <c r="T1514" i="1"/>
  <c r="U1514" i="1"/>
  <c r="V1514" i="1"/>
  <c r="W1514" i="1"/>
  <c r="X1514" i="1"/>
  <c r="Y1514" i="1"/>
  <c r="Z1514" i="1"/>
  <c r="AA1514" i="1"/>
  <c r="AB1514" i="1"/>
  <c r="AC1514" i="1"/>
  <c r="AD1514" i="1"/>
  <c r="AE1514" i="1"/>
  <c r="AF1514" i="1"/>
  <c r="AG1514" i="1"/>
  <c r="AH1514" i="1"/>
  <c r="AI1514" i="1"/>
  <c r="AJ1514" i="1"/>
  <c r="AK1514" i="1"/>
  <c r="AL1514" i="1"/>
  <c r="AM1514" i="1"/>
  <c r="A1515" i="1"/>
  <c r="B1515" i="1"/>
  <c r="C1515" i="1"/>
  <c r="D1515" i="1"/>
  <c r="E1515" i="1"/>
  <c r="F1515" i="1"/>
  <c r="G1515" i="1"/>
  <c r="H1515" i="1"/>
  <c r="I1515" i="1"/>
  <c r="J1515" i="1"/>
  <c r="K1515" i="1"/>
  <c r="L1515" i="1"/>
  <c r="M1515" i="1"/>
  <c r="N1515" i="1"/>
  <c r="O1515" i="1"/>
  <c r="P1515" i="1"/>
  <c r="Q1515" i="1"/>
  <c r="R1515" i="1"/>
  <c r="S1515" i="1"/>
  <c r="T1515" i="1"/>
  <c r="U1515" i="1"/>
  <c r="V1515" i="1"/>
  <c r="W1515" i="1"/>
  <c r="X1515" i="1"/>
  <c r="Y1515" i="1"/>
  <c r="Z1515" i="1"/>
  <c r="AA1515" i="1"/>
  <c r="AB1515" i="1"/>
  <c r="AC1515" i="1"/>
  <c r="AD1515" i="1"/>
  <c r="AE1515" i="1"/>
  <c r="AF1515" i="1"/>
  <c r="AG1515" i="1"/>
  <c r="AH1515" i="1"/>
  <c r="AI1515" i="1"/>
  <c r="AJ1515" i="1"/>
  <c r="AK1515" i="1"/>
  <c r="AL1515" i="1"/>
  <c r="AM1515" i="1"/>
  <c r="A1516" i="1"/>
  <c r="B1516" i="1"/>
  <c r="C1516" i="1"/>
  <c r="D1516" i="1"/>
  <c r="E1516" i="1"/>
  <c r="F1516" i="1"/>
  <c r="G1516" i="1"/>
  <c r="H1516" i="1"/>
  <c r="I1516" i="1"/>
  <c r="J1516" i="1"/>
  <c r="K1516" i="1"/>
  <c r="L1516" i="1"/>
  <c r="M1516" i="1"/>
  <c r="N1516" i="1"/>
  <c r="O1516" i="1"/>
  <c r="P1516" i="1"/>
  <c r="Q1516" i="1"/>
  <c r="R1516" i="1"/>
  <c r="S1516" i="1"/>
  <c r="T1516" i="1"/>
  <c r="U1516" i="1"/>
  <c r="V1516" i="1"/>
  <c r="W1516" i="1"/>
  <c r="X1516" i="1"/>
  <c r="Y1516" i="1"/>
  <c r="Z1516" i="1"/>
  <c r="AA1516" i="1"/>
  <c r="AB1516" i="1"/>
  <c r="AC1516" i="1"/>
  <c r="AD1516" i="1"/>
  <c r="AE1516" i="1"/>
  <c r="AF1516" i="1"/>
  <c r="AG1516" i="1"/>
  <c r="AH1516" i="1"/>
  <c r="AI1516" i="1"/>
  <c r="AJ1516" i="1"/>
  <c r="AK1516" i="1"/>
  <c r="AL1516" i="1"/>
  <c r="AM1516" i="1"/>
  <c r="A1517" i="1"/>
  <c r="B1517" i="1"/>
  <c r="C1517" i="1"/>
  <c r="D1517" i="1"/>
  <c r="E1517" i="1"/>
  <c r="F1517" i="1"/>
  <c r="G1517" i="1"/>
  <c r="H1517" i="1"/>
  <c r="I1517" i="1"/>
  <c r="J1517" i="1"/>
  <c r="K1517" i="1"/>
  <c r="L1517" i="1"/>
  <c r="M1517" i="1"/>
  <c r="N1517" i="1"/>
  <c r="O1517" i="1"/>
  <c r="P1517" i="1"/>
  <c r="Q1517" i="1"/>
  <c r="R1517" i="1"/>
  <c r="S1517" i="1"/>
  <c r="T1517" i="1"/>
  <c r="U1517" i="1"/>
  <c r="V1517" i="1"/>
  <c r="W1517" i="1"/>
  <c r="X1517" i="1"/>
  <c r="Y1517" i="1"/>
  <c r="Z1517" i="1"/>
  <c r="AA1517" i="1"/>
  <c r="AB1517" i="1"/>
  <c r="AC1517" i="1"/>
  <c r="AD1517" i="1"/>
  <c r="AE1517" i="1"/>
  <c r="AF1517" i="1"/>
  <c r="AG1517" i="1"/>
  <c r="AH1517" i="1"/>
  <c r="AI1517" i="1"/>
  <c r="AJ1517" i="1"/>
  <c r="AK1517" i="1"/>
  <c r="AL1517" i="1"/>
  <c r="AM1517" i="1"/>
  <c r="A1518" i="1"/>
  <c r="B1518" i="1"/>
  <c r="C1518" i="1"/>
  <c r="D1518" i="1"/>
  <c r="E1518" i="1"/>
  <c r="F1518" i="1"/>
  <c r="G1518" i="1"/>
  <c r="H1518" i="1"/>
  <c r="I1518" i="1"/>
  <c r="J1518" i="1"/>
  <c r="K1518" i="1"/>
  <c r="L1518" i="1"/>
  <c r="M1518" i="1"/>
  <c r="N1518" i="1"/>
  <c r="O1518" i="1"/>
  <c r="P1518" i="1"/>
  <c r="Q1518" i="1"/>
  <c r="R1518" i="1"/>
  <c r="S1518" i="1"/>
  <c r="T1518" i="1"/>
  <c r="U1518" i="1"/>
  <c r="V1518" i="1"/>
  <c r="W1518" i="1"/>
  <c r="X1518" i="1"/>
  <c r="Y1518" i="1"/>
  <c r="Z1518" i="1"/>
  <c r="AA1518" i="1"/>
  <c r="AB1518" i="1"/>
  <c r="AC1518" i="1"/>
  <c r="AD1518" i="1"/>
  <c r="AE1518" i="1"/>
  <c r="AF1518" i="1"/>
  <c r="AG1518" i="1"/>
  <c r="AH1518" i="1"/>
  <c r="AI1518" i="1"/>
  <c r="AJ1518" i="1"/>
  <c r="AK1518" i="1"/>
  <c r="AL1518" i="1"/>
  <c r="AM1518" i="1"/>
  <c r="A1519" i="1"/>
  <c r="B1519" i="1"/>
  <c r="C1519" i="1"/>
  <c r="D1519" i="1"/>
  <c r="E1519" i="1"/>
  <c r="F1519" i="1"/>
  <c r="G1519" i="1"/>
  <c r="H1519" i="1"/>
  <c r="I1519" i="1"/>
  <c r="J1519" i="1"/>
  <c r="K1519" i="1"/>
  <c r="L1519" i="1"/>
  <c r="M1519" i="1"/>
  <c r="N1519" i="1"/>
  <c r="O1519" i="1"/>
  <c r="P1519" i="1"/>
  <c r="Q1519" i="1"/>
  <c r="R1519" i="1"/>
  <c r="S1519" i="1"/>
  <c r="T1519" i="1"/>
  <c r="U1519" i="1"/>
  <c r="V1519" i="1"/>
  <c r="W1519" i="1"/>
  <c r="X1519" i="1"/>
  <c r="Y1519" i="1"/>
  <c r="Z1519" i="1"/>
  <c r="AA1519" i="1"/>
  <c r="AB1519" i="1"/>
  <c r="AC1519" i="1"/>
  <c r="AD1519" i="1"/>
  <c r="AE1519" i="1"/>
  <c r="AF1519" i="1"/>
  <c r="AG1519" i="1"/>
  <c r="AH1519" i="1"/>
  <c r="AI1519" i="1"/>
  <c r="AJ1519" i="1"/>
  <c r="AK1519" i="1"/>
  <c r="AL1519" i="1"/>
  <c r="AM1519" i="1"/>
  <c r="A1520" i="1"/>
  <c r="B1520" i="1"/>
  <c r="C1520" i="1"/>
  <c r="D1520" i="1"/>
  <c r="E1520" i="1"/>
  <c r="F1520" i="1"/>
  <c r="G1520" i="1"/>
  <c r="H1520" i="1"/>
  <c r="I1520" i="1"/>
  <c r="J1520" i="1"/>
  <c r="K1520" i="1"/>
  <c r="L1520" i="1"/>
  <c r="M1520" i="1"/>
  <c r="N1520" i="1"/>
  <c r="O1520" i="1"/>
  <c r="P1520" i="1"/>
  <c r="Q1520" i="1"/>
  <c r="R1520" i="1"/>
  <c r="S1520" i="1"/>
  <c r="T1520" i="1"/>
  <c r="U1520" i="1"/>
  <c r="V1520" i="1"/>
  <c r="W1520" i="1"/>
  <c r="X1520" i="1"/>
  <c r="Y1520" i="1"/>
  <c r="Z1520" i="1"/>
  <c r="AA1520" i="1"/>
  <c r="AB1520" i="1"/>
  <c r="AC1520" i="1"/>
  <c r="AD1520" i="1"/>
  <c r="AE1520" i="1"/>
  <c r="AF1520" i="1"/>
  <c r="AG1520" i="1"/>
  <c r="AH1520" i="1"/>
  <c r="AI1520" i="1"/>
  <c r="AJ1520" i="1"/>
  <c r="AK1520" i="1"/>
  <c r="AL1520" i="1"/>
  <c r="AM1520" i="1"/>
  <c r="A1521" i="1"/>
  <c r="B1521" i="1"/>
  <c r="C1521" i="1"/>
  <c r="D1521" i="1"/>
  <c r="E1521" i="1"/>
  <c r="F1521" i="1"/>
  <c r="G1521" i="1"/>
  <c r="H1521" i="1"/>
  <c r="I1521" i="1"/>
  <c r="J1521" i="1"/>
  <c r="K1521" i="1"/>
  <c r="L1521" i="1"/>
  <c r="M1521" i="1"/>
  <c r="N1521" i="1"/>
  <c r="O1521" i="1"/>
  <c r="P1521" i="1"/>
  <c r="Q1521" i="1"/>
  <c r="R1521" i="1"/>
  <c r="S1521" i="1"/>
  <c r="T1521" i="1"/>
  <c r="U1521" i="1"/>
  <c r="V1521" i="1"/>
  <c r="W1521" i="1"/>
  <c r="X1521" i="1"/>
  <c r="Y1521" i="1"/>
  <c r="Z1521" i="1"/>
  <c r="AA1521" i="1"/>
  <c r="AB1521" i="1"/>
  <c r="AC1521" i="1"/>
  <c r="AD1521" i="1"/>
  <c r="AE1521" i="1"/>
  <c r="AF1521" i="1"/>
  <c r="AG1521" i="1"/>
  <c r="AH1521" i="1"/>
  <c r="AI1521" i="1"/>
  <c r="AJ1521" i="1"/>
  <c r="AK1521" i="1"/>
  <c r="AL1521" i="1"/>
  <c r="AM1521" i="1"/>
  <c r="A1522" i="1"/>
  <c r="B1522" i="1"/>
  <c r="C1522" i="1"/>
  <c r="D1522" i="1"/>
  <c r="E1522" i="1"/>
  <c r="F1522" i="1"/>
  <c r="G1522" i="1"/>
  <c r="H1522" i="1"/>
  <c r="I1522" i="1"/>
  <c r="J1522" i="1"/>
  <c r="K1522" i="1"/>
  <c r="L1522" i="1"/>
  <c r="M1522" i="1"/>
  <c r="N1522" i="1"/>
  <c r="O1522" i="1"/>
  <c r="P1522" i="1"/>
  <c r="Q1522" i="1"/>
  <c r="R1522" i="1"/>
  <c r="S1522" i="1"/>
  <c r="T1522" i="1"/>
  <c r="U1522" i="1"/>
  <c r="V1522" i="1"/>
  <c r="W1522" i="1"/>
  <c r="X1522" i="1"/>
  <c r="Y1522" i="1"/>
  <c r="Z1522" i="1"/>
  <c r="AA1522" i="1"/>
  <c r="AB1522" i="1"/>
  <c r="AC1522" i="1"/>
  <c r="AD1522" i="1"/>
  <c r="AE1522" i="1"/>
  <c r="AF1522" i="1"/>
  <c r="AG1522" i="1"/>
  <c r="AH1522" i="1"/>
  <c r="AI1522" i="1"/>
  <c r="AJ1522" i="1"/>
  <c r="AK1522" i="1"/>
  <c r="AL1522" i="1"/>
  <c r="AM1522" i="1"/>
  <c r="A1523" i="1"/>
  <c r="B1523" i="1"/>
  <c r="C1523" i="1"/>
  <c r="D1523" i="1"/>
  <c r="E1523" i="1"/>
  <c r="F1523" i="1"/>
  <c r="G1523" i="1"/>
  <c r="H1523" i="1"/>
  <c r="I1523" i="1"/>
  <c r="J1523" i="1"/>
  <c r="K1523" i="1"/>
  <c r="L1523" i="1"/>
  <c r="M1523" i="1"/>
  <c r="N1523" i="1"/>
  <c r="O1523" i="1"/>
  <c r="P1523" i="1"/>
  <c r="Q1523" i="1"/>
  <c r="R1523" i="1"/>
  <c r="S1523" i="1"/>
  <c r="T1523" i="1"/>
  <c r="U1523" i="1"/>
  <c r="V1523" i="1"/>
  <c r="W1523" i="1"/>
  <c r="X1523" i="1"/>
  <c r="Y1523" i="1"/>
  <c r="Z1523" i="1"/>
  <c r="AA1523" i="1"/>
  <c r="AB1523" i="1"/>
  <c r="AC1523" i="1"/>
  <c r="AD1523" i="1"/>
  <c r="AE1523" i="1"/>
  <c r="AF1523" i="1"/>
  <c r="AG1523" i="1"/>
  <c r="AH1523" i="1"/>
  <c r="AI1523" i="1"/>
  <c r="AJ1523" i="1"/>
  <c r="AK1523" i="1"/>
  <c r="AL1523" i="1"/>
  <c r="AM1523" i="1"/>
  <c r="A1524" i="1"/>
  <c r="B1524" i="1"/>
  <c r="C1524" i="1"/>
  <c r="D1524" i="1"/>
  <c r="E1524" i="1"/>
  <c r="F1524" i="1"/>
  <c r="G1524" i="1"/>
  <c r="H1524" i="1"/>
  <c r="I1524" i="1"/>
  <c r="J1524" i="1"/>
  <c r="K1524" i="1"/>
  <c r="L1524" i="1"/>
  <c r="M1524" i="1"/>
  <c r="N1524" i="1"/>
  <c r="O1524" i="1"/>
  <c r="P1524" i="1"/>
  <c r="Q1524" i="1"/>
  <c r="R1524" i="1"/>
  <c r="S1524" i="1"/>
  <c r="T1524" i="1"/>
  <c r="U1524" i="1"/>
  <c r="V1524" i="1"/>
  <c r="W1524" i="1"/>
  <c r="X1524" i="1"/>
  <c r="Y1524" i="1"/>
  <c r="Z1524" i="1"/>
  <c r="AA1524" i="1"/>
  <c r="AB1524" i="1"/>
  <c r="AC1524" i="1"/>
  <c r="AD1524" i="1"/>
  <c r="AE1524" i="1"/>
  <c r="AF1524" i="1"/>
  <c r="AG1524" i="1"/>
  <c r="AH1524" i="1"/>
  <c r="AI1524" i="1"/>
  <c r="AJ1524" i="1"/>
  <c r="AK1524" i="1"/>
  <c r="AL1524" i="1"/>
  <c r="AM1524" i="1"/>
  <c r="A1525" i="1"/>
  <c r="B1525" i="1"/>
  <c r="C1525" i="1"/>
  <c r="D1525" i="1"/>
  <c r="E1525" i="1"/>
  <c r="F1525" i="1"/>
  <c r="G1525" i="1"/>
  <c r="H1525" i="1"/>
  <c r="I1525" i="1"/>
  <c r="J1525" i="1"/>
  <c r="K1525" i="1"/>
  <c r="L1525" i="1"/>
  <c r="M1525" i="1"/>
  <c r="N1525" i="1"/>
  <c r="O1525" i="1"/>
  <c r="P1525" i="1"/>
  <c r="Q1525" i="1"/>
  <c r="R1525" i="1"/>
  <c r="S1525" i="1"/>
  <c r="T1525" i="1"/>
  <c r="U1525" i="1"/>
  <c r="V1525" i="1"/>
  <c r="W1525" i="1"/>
  <c r="X1525" i="1"/>
  <c r="Y1525" i="1"/>
  <c r="Z1525" i="1"/>
  <c r="AA1525" i="1"/>
  <c r="AB1525" i="1"/>
  <c r="AC1525" i="1"/>
  <c r="AD1525" i="1"/>
  <c r="AE1525" i="1"/>
  <c r="AF1525" i="1"/>
  <c r="AG1525" i="1"/>
  <c r="AH1525" i="1"/>
  <c r="AI1525" i="1"/>
  <c r="AJ1525" i="1"/>
  <c r="AK1525" i="1"/>
  <c r="AL1525" i="1"/>
  <c r="AM1525" i="1"/>
  <c r="A1526" i="1"/>
  <c r="B1526" i="1"/>
  <c r="C1526" i="1"/>
  <c r="D1526" i="1"/>
  <c r="E1526" i="1"/>
  <c r="F1526" i="1"/>
  <c r="G1526" i="1"/>
  <c r="H1526" i="1"/>
  <c r="I1526" i="1"/>
  <c r="J1526" i="1"/>
  <c r="K1526" i="1"/>
  <c r="L1526" i="1"/>
  <c r="M1526" i="1"/>
  <c r="N1526" i="1"/>
  <c r="O1526" i="1"/>
  <c r="P1526" i="1"/>
  <c r="Q1526" i="1"/>
  <c r="R1526" i="1"/>
  <c r="S1526" i="1"/>
  <c r="T1526" i="1"/>
  <c r="U1526" i="1"/>
  <c r="V1526" i="1"/>
  <c r="W1526" i="1"/>
  <c r="X1526" i="1"/>
  <c r="Y1526" i="1"/>
  <c r="Z1526" i="1"/>
  <c r="AA1526" i="1"/>
  <c r="AB1526" i="1"/>
  <c r="AC1526" i="1"/>
  <c r="AD1526" i="1"/>
  <c r="AE1526" i="1"/>
  <c r="AF1526" i="1"/>
  <c r="AG1526" i="1"/>
  <c r="AH1526" i="1"/>
  <c r="AI1526" i="1"/>
  <c r="AJ1526" i="1"/>
  <c r="AK1526" i="1"/>
  <c r="AL1526" i="1"/>
  <c r="AM1526" i="1"/>
  <c r="A1527" i="1"/>
  <c r="B1527" i="1"/>
  <c r="C1527" i="1"/>
  <c r="D1527" i="1"/>
  <c r="E1527" i="1"/>
  <c r="F1527" i="1"/>
  <c r="G1527" i="1"/>
  <c r="H1527" i="1"/>
  <c r="I1527" i="1"/>
  <c r="J1527" i="1"/>
  <c r="K1527" i="1"/>
  <c r="L1527" i="1"/>
  <c r="M1527" i="1"/>
  <c r="N1527" i="1"/>
  <c r="O1527" i="1"/>
  <c r="P1527" i="1"/>
  <c r="Q1527" i="1"/>
  <c r="R1527" i="1"/>
  <c r="S1527" i="1"/>
  <c r="T1527" i="1"/>
  <c r="U1527" i="1"/>
  <c r="V1527" i="1"/>
  <c r="W1527" i="1"/>
  <c r="X1527" i="1"/>
  <c r="Y1527" i="1"/>
  <c r="Z1527" i="1"/>
  <c r="AA1527" i="1"/>
  <c r="AB1527" i="1"/>
  <c r="AC1527" i="1"/>
  <c r="AD1527" i="1"/>
  <c r="AE1527" i="1"/>
  <c r="AF1527" i="1"/>
  <c r="AG1527" i="1"/>
  <c r="AH1527" i="1"/>
  <c r="AI1527" i="1"/>
  <c r="AJ1527" i="1"/>
  <c r="AK1527" i="1"/>
  <c r="AL1527" i="1"/>
  <c r="AM1527" i="1"/>
  <c r="A1528" i="1"/>
  <c r="B1528" i="1"/>
  <c r="C1528" i="1"/>
  <c r="D1528" i="1"/>
  <c r="E1528" i="1"/>
  <c r="F1528" i="1"/>
  <c r="G1528" i="1"/>
  <c r="H1528" i="1"/>
  <c r="I1528" i="1"/>
  <c r="J1528" i="1"/>
  <c r="K1528" i="1"/>
  <c r="L1528" i="1"/>
  <c r="M1528" i="1"/>
  <c r="N1528" i="1"/>
  <c r="O1528" i="1"/>
  <c r="P1528" i="1"/>
  <c r="Q1528" i="1"/>
  <c r="R1528" i="1"/>
  <c r="S1528" i="1"/>
  <c r="T1528" i="1"/>
  <c r="U1528" i="1"/>
  <c r="V1528" i="1"/>
  <c r="W1528" i="1"/>
  <c r="X1528" i="1"/>
  <c r="Y1528" i="1"/>
  <c r="Z1528" i="1"/>
  <c r="AA1528" i="1"/>
  <c r="AB1528" i="1"/>
  <c r="AC1528" i="1"/>
  <c r="AD1528" i="1"/>
  <c r="AE1528" i="1"/>
  <c r="AF1528" i="1"/>
  <c r="AG1528" i="1"/>
  <c r="AH1528" i="1"/>
  <c r="AI1528" i="1"/>
  <c r="AJ1528" i="1"/>
  <c r="AK1528" i="1"/>
  <c r="AL1528" i="1"/>
  <c r="AM1528" i="1"/>
  <c r="A1529" i="1"/>
  <c r="B1529" i="1"/>
  <c r="C1529" i="1"/>
  <c r="D1529" i="1"/>
  <c r="E1529" i="1"/>
  <c r="F1529" i="1"/>
  <c r="G1529" i="1"/>
  <c r="H1529" i="1"/>
  <c r="I1529" i="1"/>
  <c r="J1529" i="1"/>
  <c r="K1529" i="1"/>
  <c r="L1529" i="1"/>
  <c r="M1529" i="1"/>
  <c r="N1529" i="1"/>
  <c r="O1529" i="1"/>
  <c r="P1529" i="1"/>
  <c r="Q1529" i="1"/>
  <c r="R1529" i="1"/>
  <c r="S1529" i="1"/>
  <c r="T1529" i="1"/>
  <c r="U1529" i="1"/>
  <c r="V1529" i="1"/>
  <c r="W1529" i="1"/>
  <c r="X1529" i="1"/>
  <c r="Y1529" i="1"/>
  <c r="Z1529" i="1"/>
  <c r="AA1529" i="1"/>
  <c r="AB1529" i="1"/>
  <c r="AC1529" i="1"/>
  <c r="AD1529" i="1"/>
  <c r="AE1529" i="1"/>
  <c r="AF1529" i="1"/>
  <c r="AG1529" i="1"/>
  <c r="AH1529" i="1"/>
  <c r="AI1529" i="1"/>
  <c r="AJ1529" i="1"/>
  <c r="AK1529" i="1"/>
  <c r="AL1529" i="1"/>
  <c r="AM1529" i="1"/>
  <c r="A1530" i="1"/>
  <c r="B1530" i="1"/>
  <c r="C1530" i="1"/>
  <c r="D1530" i="1"/>
  <c r="E1530" i="1"/>
  <c r="F1530" i="1"/>
  <c r="G1530" i="1"/>
  <c r="H1530" i="1"/>
  <c r="I1530" i="1"/>
  <c r="J1530" i="1"/>
  <c r="K1530" i="1"/>
  <c r="L1530" i="1"/>
  <c r="M1530" i="1"/>
  <c r="N1530" i="1"/>
  <c r="O1530" i="1"/>
  <c r="P1530" i="1"/>
  <c r="Q1530" i="1"/>
  <c r="R1530" i="1"/>
  <c r="S1530" i="1"/>
  <c r="T1530" i="1"/>
  <c r="U1530" i="1"/>
  <c r="V1530" i="1"/>
  <c r="W1530" i="1"/>
  <c r="X1530" i="1"/>
  <c r="Y1530" i="1"/>
  <c r="Z1530" i="1"/>
  <c r="AA1530" i="1"/>
  <c r="AB1530" i="1"/>
  <c r="AC1530" i="1"/>
  <c r="AD1530" i="1"/>
  <c r="AE1530" i="1"/>
  <c r="AF1530" i="1"/>
  <c r="AG1530" i="1"/>
  <c r="AH1530" i="1"/>
  <c r="AI1530" i="1"/>
  <c r="AJ1530" i="1"/>
  <c r="AK1530" i="1"/>
  <c r="AL1530" i="1"/>
  <c r="AM1530" i="1"/>
  <c r="A1531" i="1"/>
  <c r="B1531" i="1"/>
  <c r="C1531" i="1"/>
  <c r="D1531" i="1"/>
  <c r="E1531" i="1"/>
  <c r="F1531" i="1"/>
  <c r="G1531" i="1"/>
  <c r="H1531" i="1"/>
  <c r="I1531" i="1"/>
  <c r="J1531" i="1"/>
  <c r="K1531" i="1"/>
  <c r="L1531" i="1"/>
  <c r="M1531" i="1"/>
  <c r="N1531" i="1"/>
  <c r="O1531" i="1"/>
  <c r="P1531" i="1"/>
  <c r="Q1531" i="1"/>
  <c r="R1531" i="1"/>
  <c r="S1531" i="1"/>
  <c r="T1531" i="1"/>
  <c r="U1531" i="1"/>
  <c r="V1531" i="1"/>
  <c r="W1531" i="1"/>
  <c r="X1531" i="1"/>
  <c r="Y1531" i="1"/>
  <c r="Z1531" i="1"/>
  <c r="AA1531" i="1"/>
  <c r="AB1531" i="1"/>
  <c r="AC1531" i="1"/>
  <c r="AD1531" i="1"/>
  <c r="AE1531" i="1"/>
  <c r="AF1531" i="1"/>
  <c r="AG1531" i="1"/>
  <c r="AH1531" i="1"/>
  <c r="AI1531" i="1"/>
  <c r="AJ1531" i="1"/>
  <c r="AK1531" i="1"/>
  <c r="AL1531" i="1"/>
  <c r="AM1531" i="1"/>
  <c r="A1532" i="1"/>
  <c r="B1532" i="1"/>
  <c r="C1532" i="1"/>
  <c r="D1532" i="1"/>
  <c r="E1532" i="1"/>
  <c r="F1532" i="1"/>
  <c r="G1532" i="1"/>
  <c r="H1532" i="1"/>
  <c r="I1532" i="1"/>
  <c r="J1532" i="1"/>
  <c r="K1532" i="1"/>
  <c r="L1532" i="1"/>
  <c r="M1532" i="1"/>
  <c r="N1532" i="1"/>
  <c r="O1532" i="1"/>
  <c r="P1532" i="1"/>
  <c r="Q1532" i="1"/>
  <c r="R1532" i="1"/>
  <c r="S1532" i="1"/>
  <c r="T1532" i="1"/>
  <c r="U1532" i="1"/>
  <c r="V1532" i="1"/>
  <c r="W1532" i="1"/>
  <c r="X1532" i="1"/>
  <c r="Y1532" i="1"/>
  <c r="Z1532" i="1"/>
  <c r="AA1532" i="1"/>
  <c r="AB1532" i="1"/>
  <c r="AC1532" i="1"/>
  <c r="AD1532" i="1"/>
  <c r="AE1532" i="1"/>
  <c r="AF1532" i="1"/>
  <c r="AG1532" i="1"/>
  <c r="AH1532" i="1"/>
  <c r="AI1532" i="1"/>
  <c r="AJ1532" i="1"/>
  <c r="AK1532" i="1"/>
  <c r="AL1532" i="1"/>
  <c r="AM1532" i="1"/>
  <c r="A1533" i="1"/>
  <c r="B1533" i="1"/>
  <c r="C1533" i="1"/>
  <c r="D1533" i="1"/>
  <c r="E1533" i="1"/>
  <c r="F1533" i="1"/>
  <c r="G1533" i="1"/>
  <c r="H1533" i="1"/>
  <c r="I1533" i="1"/>
  <c r="J1533" i="1"/>
  <c r="K1533" i="1"/>
  <c r="L1533" i="1"/>
  <c r="M1533" i="1"/>
  <c r="N1533" i="1"/>
  <c r="O1533" i="1"/>
  <c r="P1533" i="1"/>
  <c r="Q1533" i="1"/>
  <c r="R1533" i="1"/>
  <c r="S1533" i="1"/>
  <c r="T1533" i="1"/>
  <c r="U1533" i="1"/>
  <c r="V1533" i="1"/>
  <c r="W1533" i="1"/>
  <c r="X1533" i="1"/>
  <c r="Y1533" i="1"/>
  <c r="Z1533" i="1"/>
  <c r="AA1533" i="1"/>
  <c r="AB1533" i="1"/>
  <c r="AC1533" i="1"/>
  <c r="AD1533" i="1"/>
  <c r="AE1533" i="1"/>
  <c r="AF1533" i="1"/>
  <c r="AG1533" i="1"/>
  <c r="AH1533" i="1"/>
  <c r="AI1533" i="1"/>
  <c r="AJ1533" i="1"/>
  <c r="AK1533" i="1"/>
  <c r="AL1533" i="1"/>
  <c r="AM1533" i="1"/>
  <c r="A1534" i="1"/>
  <c r="B1534" i="1"/>
  <c r="C1534" i="1"/>
  <c r="D1534" i="1"/>
  <c r="E1534" i="1"/>
  <c r="F1534" i="1"/>
  <c r="G1534" i="1"/>
  <c r="H1534" i="1"/>
  <c r="I1534" i="1"/>
  <c r="J1534" i="1"/>
  <c r="K1534" i="1"/>
  <c r="L1534" i="1"/>
  <c r="M1534" i="1"/>
  <c r="N1534" i="1"/>
  <c r="O1534" i="1"/>
  <c r="P1534" i="1"/>
  <c r="Q1534" i="1"/>
  <c r="R1534" i="1"/>
  <c r="S1534" i="1"/>
  <c r="T1534" i="1"/>
  <c r="U1534" i="1"/>
  <c r="V1534" i="1"/>
  <c r="W1534" i="1"/>
  <c r="X1534" i="1"/>
  <c r="Y1534" i="1"/>
  <c r="Z1534" i="1"/>
  <c r="AA1534" i="1"/>
  <c r="AB1534" i="1"/>
  <c r="AC1534" i="1"/>
  <c r="AD1534" i="1"/>
  <c r="AE1534" i="1"/>
  <c r="AF1534" i="1"/>
  <c r="AG1534" i="1"/>
  <c r="AH1534" i="1"/>
  <c r="AI1534" i="1"/>
  <c r="AJ1534" i="1"/>
  <c r="AK1534" i="1"/>
  <c r="AL1534" i="1"/>
  <c r="AM1534" i="1"/>
  <c r="A1535" i="1"/>
  <c r="B1535" i="1"/>
  <c r="C1535" i="1"/>
  <c r="D1535" i="1"/>
  <c r="E1535" i="1"/>
  <c r="F1535" i="1"/>
  <c r="G1535" i="1"/>
  <c r="H1535" i="1"/>
  <c r="I1535" i="1"/>
  <c r="J1535" i="1"/>
  <c r="K1535" i="1"/>
  <c r="L1535" i="1"/>
  <c r="M1535" i="1"/>
  <c r="N1535" i="1"/>
  <c r="O1535" i="1"/>
  <c r="P1535" i="1"/>
  <c r="Q1535" i="1"/>
  <c r="R1535" i="1"/>
  <c r="S1535" i="1"/>
  <c r="T1535" i="1"/>
  <c r="U1535" i="1"/>
  <c r="V1535" i="1"/>
  <c r="W1535" i="1"/>
  <c r="X1535" i="1"/>
  <c r="Y1535" i="1"/>
  <c r="Z1535" i="1"/>
  <c r="AA1535" i="1"/>
  <c r="AB1535" i="1"/>
  <c r="AC1535" i="1"/>
  <c r="AD1535" i="1"/>
  <c r="AE1535" i="1"/>
  <c r="AF1535" i="1"/>
  <c r="AG1535" i="1"/>
  <c r="AH1535" i="1"/>
  <c r="AI1535" i="1"/>
  <c r="AJ1535" i="1"/>
  <c r="AK1535" i="1"/>
  <c r="AL1535" i="1"/>
  <c r="AM1535" i="1"/>
  <c r="A1536" i="1"/>
  <c r="B1536" i="1"/>
  <c r="C1536" i="1"/>
  <c r="D1536" i="1"/>
  <c r="E1536" i="1"/>
  <c r="F1536" i="1"/>
  <c r="G1536" i="1"/>
  <c r="H1536" i="1"/>
  <c r="I1536" i="1"/>
  <c r="J1536" i="1"/>
  <c r="K1536" i="1"/>
  <c r="L1536" i="1"/>
  <c r="M1536" i="1"/>
  <c r="N1536" i="1"/>
  <c r="O1536" i="1"/>
  <c r="P1536" i="1"/>
  <c r="Q1536" i="1"/>
  <c r="R1536" i="1"/>
  <c r="S1536" i="1"/>
  <c r="T1536" i="1"/>
  <c r="U1536" i="1"/>
  <c r="V1536" i="1"/>
  <c r="W1536" i="1"/>
  <c r="X1536" i="1"/>
  <c r="Y1536" i="1"/>
  <c r="Z1536" i="1"/>
  <c r="AA1536" i="1"/>
  <c r="AB1536" i="1"/>
  <c r="AC1536" i="1"/>
  <c r="AD1536" i="1"/>
  <c r="AE1536" i="1"/>
  <c r="AF1536" i="1"/>
  <c r="AG1536" i="1"/>
  <c r="AH1536" i="1"/>
  <c r="AI1536" i="1"/>
  <c r="AJ1536" i="1"/>
  <c r="AK1536" i="1"/>
  <c r="AL1536" i="1"/>
  <c r="AM1536" i="1"/>
  <c r="A1537" i="1"/>
  <c r="B1537" i="1"/>
  <c r="C1537" i="1"/>
  <c r="D1537" i="1"/>
  <c r="E1537" i="1"/>
  <c r="F1537" i="1"/>
  <c r="G1537" i="1"/>
  <c r="H1537" i="1"/>
  <c r="I1537" i="1"/>
  <c r="J1537" i="1"/>
  <c r="K1537" i="1"/>
  <c r="L1537" i="1"/>
  <c r="M1537" i="1"/>
  <c r="N1537" i="1"/>
  <c r="O1537" i="1"/>
  <c r="P1537" i="1"/>
  <c r="Q1537" i="1"/>
  <c r="R1537" i="1"/>
  <c r="S1537" i="1"/>
  <c r="T1537" i="1"/>
  <c r="U1537" i="1"/>
  <c r="V1537" i="1"/>
  <c r="W1537" i="1"/>
  <c r="X1537" i="1"/>
  <c r="Y1537" i="1"/>
  <c r="Z1537" i="1"/>
  <c r="AA1537" i="1"/>
  <c r="AB1537" i="1"/>
  <c r="AC1537" i="1"/>
  <c r="AD1537" i="1"/>
  <c r="AE1537" i="1"/>
  <c r="AF1537" i="1"/>
  <c r="AG1537" i="1"/>
  <c r="AH1537" i="1"/>
  <c r="AI1537" i="1"/>
  <c r="AJ1537" i="1"/>
  <c r="AK1537" i="1"/>
  <c r="AL1537" i="1"/>
  <c r="AM1537" i="1"/>
  <c r="A1538" i="1"/>
  <c r="B1538" i="1"/>
  <c r="C1538" i="1"/>
  <c r="D1538" i="1"/>
  <c r="E1538" i="1"/>
  <c r="F1538" i="1"/>
  <c r="G1538" i="1"/>
  <c r="H1538" i="1"/>
  <c r="I1538" i="1"/>
  <c r="J1538" i="1"/>
  <c r="K1538" i="1"/>
  <c r="L1538" i="1"/>
  <c r="M1538" i="1"/>
  <c r="N1538" i="1"/>
  <c r="O1538" i="1"/>
  <c r="P1538" i="1"/>
  <c r="Q1538" i="1"/>
  <c r="R1538" i="1"/>
  <c r="S1538" i="1"/>
  <c r="T1538" i="1"/>
  <c r="U1538" i="1"/>
  <c r="V1538" i="1"/>
  <c r="W1538" i="1"/>
  <c r="X1538" i="1"/>
  <c r="Y1538" i="1"/>
  <c r="Z1538" i="1"/>
  <c r="AA1538" i="1"/>
  <c r="AB1538" i="1"/>
  <c r="AC1538" i="1"/>
  <c r="AD1538" i="1"/>
  <c r="AE1538" i="1"/>
  <c r="AF1538" i="1"/>
  <c r="AG1538" i="1"/>
  <c r="AH1538" i="1"/>
  <c r="AI1538" i="1"/>
  <c r="AJ1538" i="1"/>
  <c r="AK1538" i="1"/>
  <c r="AL1538" i="1"/>
  <c r="AM1538" i="1"/>
  <c r="A1539" i="1"/>
  <c r="B1539" i="1"/>
  <c r="C1539" i="1"/>
  <c r="D1539" i="1"/>
  <c r="E1539" i="1"/>
  <c r="F1539" i="1"/>
  <c r="G1539" i="1"/>
  <c r="H1539" i="1"/>
  <c r="I1539" i="1"/>
  <c r="J1539" i="1"/>
  <c r="K1539" i="1"/>
  <c r="L1539" i="1"/>
  <c r="M1539" i="1"/>
  <c r="N1539" i="1"/>
  <c r="O1539" i="1"/>
  <c r="P1539" i="1"/>
  <c r="Q1539" i="1"/>
  <c r="R1539" i="1"/>
  <c r="S1539" i="1"/>
  <c r="T1539" i="1"/>
  <c r="U1539" i="1"/>
  <c r="V1539" i="1"/>
  <c r="W1539" i="1"/>
  <c r="X1539" i="1"/>
  <c r="Y1539" i="1"/>
  <c r="Z1539" i="1"/>
  <c r="AA1539" i="1"/>
  <c r="AB1539" i="1"/>
  <c r="AC1539" i="1"/>
  <c r="AD1539" i="1"/>
  <c r="AE1539" i="1"/>
  <c r="AF1539" i="1"/>
  <c r="AG1539" i="1"/>
  <c r="AH1539" i="1"/>
  <c r="AI1539" i="1"/>
  <c r="AJ1539" i="1"/>
  <c r="AK1539" i="1"/>
  <c r="AL1539" i="1"/>
  <c r="AM1539" i="1"/>
  <c r="A1540" i="1"/>
  <c r="B1540" i="1"/>
  <c r="C1540" i="1"/>
  <c r="D1540" i="1"/>
  <c r="E1540" i="1"/>
  <c r="F1540" i="1"/>
  <c r="G1540" i="1"/>
  <c r="H1540" i="1"/>
  <c r="I1540" i="1"/>
  <c r="J1540" i="1"/>
  <c r="K1540" i="1"/>
  <c r="L1540" i="1"/>
  <c r="M1540" i="1"/>
  <c r="N1540" i="1"/>
  <c r="O1540" i="1"/>
  <c r="P1540" i="1"/>
  <c r="Q1540" i="1"/>
  <c r="R1540" i="1"/>
  <c r="S1540" i="1"/>
  <c r="T1540" i="1"/>
  <c r="U1540" i="1"/>
  <c r="V1540" i="1"/>
  <c r="W1540" i="1"/>
  <c r="X1540" i="1"/>
  <c r="Y1540" i="1"/>
  <c r="Z1540" i="1"/>
  <c r="AA1540" i="1"/>
  <c r="AB1540" i="1"/>
  <c r="AC1540" i="1"/>
  <c r="AD1540" i="1"/>
  <c r="AE1540" i="1"/>
  <c r="AF1540" i="1"/>
  <c r="AG1540" i="1"/>
  <c r="AH1540" i="1"/>
  <c r="AI1540" i="1"/>
  <c r="AJ1540" i="1"/>
  <c r="AK1540" i="1"/>
  <c r="AL1540" i="1"/>
  <c r="AM1540" i="1"/>
  <c r="A1541" i="1"/>
  <c r="B1541" i="1"/>
  <c r="C1541" i="1"/>
  <c r="D1541" i="1"/>
  <c r="E1541" i="1"/>
  <c r="F1541" i="1"/>
  <c r="G1541" i="1"/>
  <c r="H1541" i="1"/>
  <c r="I1541" i="1"/>
  <c r="J1541" i="1"/>
  <c r="K1541" i="1"/>
  <c r="L1541" i="1"/>
  <c r="M1541" i="1"/>
  <c r="N1541" i="1"/>
  <c r="O1541" i="1"/>
  <c r="P1541" i="1"/>
  <c r="Q1541" i="1"/>
  <c r="R1541" i="1"/>
  <c r="S1541" i="1"/>
  <c r="T1541" i="1"/>
  <c r="U1541" i="1"/>
  <c r="V1541" i="1"/>
  <c r="W1541" i="1"/>
  <c r="X1541" i="1"/>
  <c r="Y1541" i="1"/>
  <c r="Z1541" i="1"/>
  <c r="AA1541" i="1"/>
  <c r="AB1541" i="1"/>
  <c r="AC1541" i="1"/>
  <c r="AD1541" i="1"/>
  <c r="AE1541" i="1"/>
  <c r="AF1541" i="1"/>
  <c r="AG1541" i="1"/>
  <c r="AH1541" i="1"/>
  <c r="AI1541" i="1"/>
  <c r="AJ1541" i="1"/>
  <c r="AK1541" i="1"/>
  <c r="AL1541" i="1"/>
  <c r="AM1541" i="1"/>
  <c r="A1542" i="1"/>
  <c r="B1542" i="1"/>
  <c r="C1542" i="1"/>
  <c r="D1542" i="1"/>
  <c r="E1542" i="1"/>
  <c r="F1542" i="1"/>
  <c r="G1542" i="1"/>
  <c r="H1542" i="1"/>
  <c r="I1542" i="1"/>
  <c r="J1542" i="1"/>
  <c r="K1542" i="1"/>
  <c r="L1542" i="1"/>
  <c r="M1542" i="1"/>
  <c r="N1542" i="1"/>
  <c r="O1542" i="1"/>
  <c r="P1542" i="1"/>
  <c r="Q1542" i="1"/>
  <c r="R1542" i="1"/>
  <c r="S1542" i="1"/>
  <c r="T1542" i="1"/>
  <c r="U1542" i="1"/>
  <c r="V1542" i="1"/>
  <c r="W1542" i="1"/>
  <c r="X1542" i="1"/>
  <c r="Y1542" i="1"/>
  <c r="Z1542" i="1"/>
  <c r="AA1542" i="1"/>
  <c r="AB1542" i="1"/>
  <c r="AC1542" i="1"/>
  <c r="AD1542" i="1"/>
  <c r="AE1542" i="1"/>
  <c r="AF1542" i="1"/>
  <c r="AG1542" i="1"/>
  <c r="AH1542" i="1"/>
  <c r="AI1542" i="1"/>
  <c r="AJ1542" i="1"/>
  <c r="AK1542" i="1"/>
  <c r="AL1542" i="1"/>
  <c r="AM1542" i="1"/>
  <c r="A1543" i="1"/>
  <c r="B1543" i="1"/>
  <c r="C1543" i="1"/>
  <c r="D1543" i="1"/>
  <c r="E1543" i="1"/>
  <c r="F1543" i="1"/>
  <c r="G1543" i="1"/>
  <c r="H1543" i="1"/>
  <c r="I1543" i="1"/>
  <c r="J1543" i="1"/>
  <c r="K1543" i="1"/>
  <c r="L1543" i="1"/>
  <c r="M1543" i="1"/>
  <c r="N1543" i="1"/>
  <c r="O1543" i="1"/>
  <c r="P1543" i="1"/>
  <c r="Q1543" i="1"/>
  <c r="R1543" i="1"/>
  <c r="S1543" i="1"/>
  <c r="T1543" i="1"/>
  <c r="U1543" i="1"/>
  <c r="V1543" i="1"/>
  <c r="W1543" i="1"/>
  <c r="X1543" i="1"/>
  <c r="Y1543" i="1"/>
  <c r="Z1543" i="1"/>
  <c r="AA1543" i="1"/>
  <c r="AB1543" i="1"/>
  <c r="AC1543" i="1"/>
  <c r="AD1543" i="1"/>
  <c r="AE1543" i="1"/>
  <c r="AF1543" i="1"/>
  <c r="AG1543" i="1"/>
  <c r="AH1543" i="1"/>
  <c r="AI1543" i="1"/>
  <c r="AJ1543" i="1"/>
  <c r="AK1543" i="1"/>
  <c r="AL1543" i="1"/>
  <c r="AM1543" i="1"/>
  <c r="A1544" i="1"/>
  <c r="B1544" i="1"/>
  <c r="C1544" i="1"/>
  <c r="D1544" i="1"/>
  <c r="E1544" i="1"/>
  <c r="F1544" i="1"/>
  <c r="G1544" i="1"/>
  <c r="H1544" i="1"/>
  <c r="I1544" i="1"/>
  <c r="J1544" i="1"/>
  <c r="K1544" i="1"/>
  <c r="L1544" i="1"/>
  <c r="M1544" i="1"/>
  <c r="N1544" i="1"/>
  <c r="O1544" i="1"/>
  <c r="P1544" i="1"/>
  <c r="Q1544" i="1"/>
  <c r="R1544" i="1"/>
  <c r="S1544" i="1"/>
  <c r="T1544" i="1"/>
  <c r="U1544" i="1"/>
  <c r="V1544" i="1"/>
  <c r="W1544" i="1"/>
  <c r="X1544" i="1"/>
  <c r="Y1544" i="1"/>
  <c r="Z1544" i="1"/>
  <c r="AA1544" i="1"/>
  <c r="AB1544" i="1"/>
  <c r="AC1544" i="1"/>
  <c r="AD1544" i="1"/>
  <c r="AE1544" i="1"/>
  <c r="AF1544" i="1"/>
  <c r="AG1544" i="1"/>
  <c r="AH1544" i="1"/>
  <c r="AI1544" i="1"/>
  <c r="AJ1544" i="1"/>
  <c r="AK1544" i="1"/>
  <c r="AL1544" i="1"/>
  <c r="AM1544" i="1"/>
  <c r="A1545" i="1"/>
  <c r="B1545" i="1"/>
  <c r="C1545" i="1"/>
  <c r="D1545" i="1"/>
  <c r="E1545" i="1"/>
  <c r="F1545" i="1"/>
  <c r="G1545" i="1"/>
  <c r="H1545" i="1"/>
  <c r="I1545" i="1"/>
  <c r="J1545" i="1"/>
  <c r="K1545" i="1"/>
  <c r="L1545" i="1"/>
  <c r="M1545" i="1"/>
  <c r="N1545" i="1"/>
  <c r="O1545" i="1"/>
  <c r="P1545" i="1"/>
  <c r="Q1545" i="1"/>
  <c r="R1545" i="1"/>
  <c r="S1545" i="1"/>
  <c r="T1545" i="1"/>
  <c r="U1545" i="1"/>
  <c r="V1545" i="1"/>
  <c r="W1545" i="1"/>
  <c r="X1545" i="1"/>
  <c r="Y1545" i="1"/>
  <c r="Z1545" i="1"/>
  <c r="AA1545" i="1"/>
  <c r="AB1545" i="1"/>
  <c r="AC1545" i="1"/>
  <c r="AD1545" i="1"/>
  <c r="AE1545" i="1"/>
  <c r="AF1545" i="1"/>
  <c r="AG1545" i="1"/>
  <c r="AH1545" i="1"/>
  <c r="AI1545" i="1"/>
  <c r="AJ1545" i="1"/>
  <c r="AK1545" i="1"/>
  <c r="AL1545" i="1"/>
  <c r="AM1545" i="1"/>
  <c r="A1546" i="1"/>
  <c r="B1546" i="1"/>
  <c r="C1546" i="1"/>
  <c r="D1546" i="1"/>
  <c r="E1546" i="1"/>
  <c r="F1546" i="1"/>
  <c r="G1546" i="1"/>
  <c r="H1546" i="1"/>
  <c r="I1546" i="1"/>
  <c r="J1546" i="1"/>
  <c r="K1546" i="1"/>
  <c r="L1546" i="1"/>
  <c r="M1546" i="1"/>
  <c r="N1546" i="1"/>
  <c r="O1546" i="1"/>
  <c r="P1546" i="1"/>
  <c r="Q1546" i="1"/>
  <c r="R1546" i="1"/>
  <c r="S1546" i="1"/>
  <c r="T1546" i="1"/>
  <c r="U1546" i="1"/>
  <c r="V1546" i="1"/>
  <c r="W1546" i="1"/>
  <c r="X1546" i="1"/>
  <c r="Y1546" i="1"/>
  <c r="Z1546" i="1"/>
  <c r="AA1546" i="1"/>
  <c r="AB1546" i="1"/>
  <c r="AC1546" i="1"/>
  <c r="AD1546" i="1"/>
  <c r="AE1546" i="1"/>
  <c r="AF1546" i="1"/>
  <c r="AG1546" i="1"/>
  <c r="AH1546" i="1"/>
  <c r="AI1546" i="1"/>
  <c r="AJ1546" i="1"/>
  <c r="AK1546" i="1"/>
  <c r="AL1546" i="1"/>
  <c r="AM1546" i="1"/>
  <c r="A1547" i="1"/>
  <c r="B1547" i="1"/>
  <c r="C1547" i="1"/>
  <c r="D1547" i="1"/>
  <c r="E1547" i="1"/>
  <c r="F1547" i="1"/>
  <c r="G1547" i="1"/>
  <c r="H1547" i="1"/>
  <c r="I1547" i="1"/>
  <c r="J1547" i="1"/>
  <c r="K1547" i="1"/>
  <c r="L1547" i="1"/>
  <c r="M1547" i="1"/>
  <c r="N1547" i="1"/>
  <c r="O1547" i="1"/>
  <c r="P1547" i="1"/>
  <c r="Q1547" i="1"/>
  <c r="R1547" i="1"/>
  <c r="S1547" i="1"/>
  <c r="T1547" i="1"/>
  <c r="U1547" i="1"/>
  <c r="V1547" i="1"/>
  <c r="W1547" i="1"/>
  <c r="X1547" i="1"/>
  <c r="Y1547" i="1"/>
  <c r="Z1547" i="1"/>
  <c r="AA1547" i="1"/>
  <c r="AB1547" i="1"/>
  <c r="AC1547" i="1"/>
  <c r="AD1547" i="1"/>
  <c r="AE1547" i="1"/>
  <c r="AF1547" i="1"/>
  <c r="AG1547" i="1"/>
  <c r="AH1547" i="1"/>
  <c r="AI1547" i="1"/>
  <c r="AJ1547" i="1"/>
  <c r="AK1547" i="1"/>
  <c r="AL1547" i="1"/>
  <c r="AM1547" i="1"/>
  <c r="A1548" i="1"/>
  <c r="B1548" i="1"/>
  <c r="C1548" i="1"/>
  <c r="D1548" i="1"/>
  <c r="E1548" i="1"/>
  <c r="F1548" i="1"/>
  <c r="G1548" i="1"/>
  <c r="H1548" i="1"/>
  <c r="I1548" i="1"/>
  <c r="J1548" i="1"/>
  <c r="K1548" i="1"/>
  <c r="L1548" i="1"/>
  <c r="M1548" i="1"/>
  <c r="N1548" i="1"/>
  <c r="O1548" i="1"/>
  <c r="P1548" i="1"/>
  <c r="Q1548" i="1"/>
  <c r="R1548" i="1"/>
  <c r="S1548" i="1"/>
  <c r="T1548" i="1"/>
  <c r="U1548" i="1"/>
  <c r="V1548" i="1"/>
  <c r="W1548" i="1"/>
  <c r="X1548" i="1"/>
  <c r="Y1548" i="1"/>
  <c r="Z1548" i="1"/>
  <c r="AA1548" i="1"/>
  <c r="AB1548" i="1"/>
  <c r="AC1548" i="1"/>
  <c r="AD1548" i="1"/>
  <c r="AE1548" i="1"/>
  <c r="AF1548" i="1"/>
  <c r="AG1548" i="1"/>
  <c r="AH1548" i="1"/>
  <c r="AI1548" i="1"/>
  <c r="AJ1548" i="1"/>
  <c r="AK1548" i="1"/>
  <c r="AL1548" i="1"/>
  <c r="AM1548" i="1"/>
  <c r="A1549" i="1"/>
  <c r="B1549" i="1"/>
  <c r="C1549" i="1"/>
  <c r="D1549" i="1"/>
  <c r="E1549" i="1"/>
  <c r="F1549" i="1"/>
  <c r="G1549" i="1"/>
  <c r="H1549" i="1"/>
  <c r="I1549" i="1"/>
  <c r="J1549" i="1"/>
  <c r="K1549" i="1"/>
  <c r="L1549" i="1"/>
  <c r="M1549" i="1"/>
  <c r="N1549" i="1"/>
  <c r="O1549" i="1"/>
  <c r="P1549" i="1"/>
  <c r="Q1549" i="1"/>
  <c r="R1549" i="1"/>
  <c r="S1549" i="1"/>
  <c r="T1549" i="1"/>
  <c r="U1549" i="1"/>
  <c r="V1549" i="1"/>
  <c r="W1549" i="1"/>
  <c r="X1549" i="1"/>
  <c r="Y1549" i="1"/>
  <c r="Z1549" i="1"/>
  <c r="AA1549" i="1"/>
  <c r="AB1549" i="1"/>
  <c r="AC1549" i="1"/>
  <c r="AD1549" i="1"/>
  <c r="AE1549" i="1"/>
  <c r="AF1549" i="1"/>
  <c r="AG1549" i="1"/>
  <c r="AH1549" i="1"/>
  <c r="AI1549" i="1"/>
  <c r="AJ1549" i="1"/>
  <c r="AK1549" i="1"/>
  <c r="AL1549" i="1"/>
  <c r="AM1549" i="1"/>
  <c r="A1550" i="1"/>
  <c r="B1550" i="1"/>
  <c r="C1550" i="1"/>
  <c r="D1550" i="1"/>
  <c r="E1550" i="1"/>
  <c r="F1550" i="1"/>
  <c r="G1550" i="1"/>
  <c r="H1550" i="1"/>
  <c r="I1550" i="1"/>
  <c r="J1550" i="1"/>
  <c r="K1550" i="1"/>
  <c r="L1550" i="1"/>
  <c r="M1550" i="1"/>
  <c r="N1550" i="1"/>
  <c r="O1550" i="1"/>
  <c r="P1550" i="1"/>
  <c r="Q1550" i="1"/>
  <c r="R1550" i="1"/>
  <c r="S1550" i="1"/>
  <c r="T1550" i="1"/>
  <c r="U1550" i="1"/>
  <c r="V1550" i="1"/>
  <c r="W1550" i="1"/>
  <c r="X1550" i="1"/>
  <c r="Y1550" i="1"/>
  <c r="Z1550" i="1"/>
  <c r="AA1550" i="1"/>
  <c r="AB1550" i="1"/>
  <c r="AC1550" i="1"/>
  <c r="AD1550" i="1"/>
  <c r="AE1550" i="1"/>
  <c r="AF1550" i="1"/>
  <c r="AG1550" i="1"/>
  <c r="AH1550" i="1"/>
  <c r="AI1550" i="1"/>
  <c r="AJ1550" i="1"/>
  <c r="AK1550" i="1"/>
  <c r="AL1550" i="1"/>
  <c r="AM1550" i="1"/>
  <c r="A1551" i="1"/>
  <c r="B1551" i="1"/>
  <c r="C1551" i="1"/>
  <c r="D1551" i="1"/>
  <c r="E1551" i="1"/>
  <c r="F1551" i="1"/>
  <c r="G1551" i="1"/>
  <c r="H1551" i="1"/>
  <c r="I1551" i="1"/>
  <c r="J1551" i="1"/>
  <c r="K1551" i="1"/>
  <c r="L1551" i="1"/>
  <c r="M1551" i="1"/>
  <c r="N1551" i="1"/>
  <c r="O1551" i="1"/>
  <c r="P1551" i="1"/>
  <c r="Q1551" i="1"/>
  <c r="R1551" i="1"/>
  <c r="S1551" i="1"/>
  <c r="T1551" i="1"/>
  <c r="U1551" i="1"/>
  <c r="V1551" i="1"/>
  <c r="W1551" i="1"/>
  <c r="X1551" i="1"/>
  <c r="Y1551" i="1"/>
  <c r="Z1551" i="1"/>
  <c r="AA1551" i="1"/>
  <c r="AB1551" i="1"/>
  <c r="AC1551" i="1"/>
  <c r="AD1551" i="1"/>
  <c r="AE1551" i="1"/>
  <c r="AF1551" i="1"/>
  <c r="AG1551" i="1"/>
  <c r="AH1551" i="1"/>
  <c r="AI1551" i="1"/>
  <c r="AJ1551" i="1"/>
  <c r="AK1551" i="1"/>
  <c r="AL1551" i="1"/>
  <c r="AM1551" i="1"/>
  <c r="A1552" i="1"/>
  <c r="B1552" i="1"/>
  <c r="C1552" i="1"/>
  <c r="D1552" i="1"/>
  <c r="E1552" i="1"/>
  <c r="F1552" i="1"/>
  <c r="G1552" i="1"/>
  <c r="H1552" i="1"/>
  <c r="I1552" i="1"/>
  <c r="J1552" i="1"/>
  <c r="K1552" i="1"/>
  <c r="L1552" i="1"/>
  <c r="M1552" i="1"/>
  <c r="N1552" i="1"/>
  <c r="O1552" i="1"/>
  <c r="P1552" i="1"/>
  <c r="Q1552" i="1"/>
  <c r="R1552" i="1"/>
  <c r="S1552" i="1"/>
  <c r="T1552" i="1"/>
  <c r="U1552" i="1"/>
  <c r="V1552" i="1"/>
  <c r="W1552" i="1"/>
  <c r="X1552" i="1"/>
  <c r="Y1552" i="1"/>
  <c r="Z1552" i="1"/>
  <c r="AA1552" i="1"/>
  <c r="AB1552" i="1"/>
  <c r="AC1552" i="1"/>
  <c r="AD1552" i="1"/>
  <c r="AE1552" i="1"/>
  <c r="AF1552" i="1"/>
  <c r="AG1552" i="1"/>
  <c r="AH1552" i="1"/>
  <c r="AI1552" i="1"/>
  <c r="AJ1552" i="1"/>
  <c r="AK1552" i="1"/>
  <c r="AL1552" i="1"/>
  <c r="AM1552" i="1"/>
  <c r="A1553" i="1"/>
  <c r="B1553" i="1"/>
  <c r="C1553" i="1"/>
  <c r="D1553" i="1"/>
  <c r="E1553" i="1"/>
  <c r="F1553" i="1"/>
  <c r="G1553" i="1"/>
  <c r="H1553" i="1"/>
  <c r="I1553" i="1"/>
  <c r="J1553" i="1"/>
  <c r="K1553" i="1"/>
  <c r="L1553" i="1"/>
  <c r="M1553" i="1"/>
  <c r="N1553" i="1"/>
  <c r="O1553" i="1"/>
  <c r="P1553" i="1"/>
  <c r="Q1553" i="1"/>
  <c r="R1553" i="1"/>
  <c r="S1553" i="1"/>
  <c r="T1553" i="1"/>
  <c r="U1553" i="1"/>
  <c r="V1553" i="1"/>
  <c r="W1553" i="1"/>
  <c r="X1553" i="1"/>
  <c r="Y1553" i="1"/>
  <c r="Z1553" i="1"/>
  <c r="AA1553" i="1"/>
  <c r="AB1553" i="1"/>
  <c r="AC1553" i="1"/>
  <c r="AD1553" i="1"/>
  <c r="AE1553" i="1"/>
  <c r="AF1553" i="1"/>
  <c r="AG1553" i="1"/>
  <c r="AH1553" i="1"/>
  <c r="AI1553" i="1"/>
  <c r="AJ1553" i="1"/>
  <c r="AK1553" i="1"/>
  <c r="AL1553" i="1"/>
  <c r="AM1553" i="1"/>
  <c r="A1554" i="1"/>
  <c r="B1554" i="1"/>
  <c r="C1554" i="1"/>
  <c r="D1554" i="1"/>
  <c r="E1554" i="1"/>
  <c r="F1554" i="1"/>
  <c r="G1554" i="1"/>
  <c r="H1554" i="1"/>
  <c r="I1554" i="1"/>
  <c r="J1554" i="1"/>
  <c r="K1554" i="1"/>
  <c r="L1554" i="1"/>
  <c r="M1554" i="1"/>
  <c r="N1554" i="1"/>
  <c r="O1554" i="1"/>
  <c r="P1554" i="1"/>
  <c r="Q1554" i="1"/>
  <c r="R1554" i="1"/>
  <c r="S1554" i="1"/>
  <c r="T1554" i="1"/>
  <c r="U1554" i="1"/>
  <c r="V1554" i="1"/>
  <c r="W1554" i="1"/>
  <c r="X1554" i="1"/>
  <c r="Y1554" i="1"/>
  <c r="Z1554" i="1"/>
  <c r="AA1554" i="1"/>
  <c r="AB1554" i="1"/>
  <c r="AC1554" i="1"/>
  <c r="AD1554" i="1"/>
  <c r="AE1554" i="1"/>
  <c r="AF1554" i="1"/>
  <c r="AG1554" i="1"/>
  <c r="AH1554" i="1"/>
  <c r="AI1554" i="1"/>
  <c r="AJ1554" i="1"/>
  <c r="AK1554" i="1"/>
  <c r="AL1554" i="1"/>
  <c r="AM1554" i="1"/>
  <c r="A1555" i="1"/>
  <c r="B1555" i="1"/>
  <c r="C1555" i="1"/>
  <c r="D1555" i="1"/>
  <c r="E1555" i="1"/>
  <c r="F1555" i="1"/>
  <c r="G1555" i="1"/>
  <c r="H1555" i="1"/>
  <c r="I1555" i="1"/>
  <c r="J1555" i="1"/>
  <c r="K1555" i="1"/>
  <c r="L1555" i="1"/>
  <c r="M1555" i="1"/>
  <c r="N1555" i="1"/>
  <c r="O1555" i="1"/>
  <c r="P1555" i="1"/>
  <c r="Q1555" i="1"/>
  <c r="R1555" i="1"/>
  <c r="S1555" i="1"/>
  <c r="T1555" i="1"/>
  <c r="U1555" i="1"/>
  <c r="V1555" i="1"/>
  <c r="W1555" i="1"/>
  <c r="X1555" i="1"/>
  <c r="Y1555" i="1"/>
  <c r="Z1555" i="1"/>
  <c r="AA1555" i="1"/>
  <c r="AB1555" i="1"/>
  <c r="AC1555" i="1"/>
  <c r="AD1555" i="1"/>
  <c r="AE1555" i="1"/>
  <c r="AF1555" i="1"/>
  <c r="AG1555" i="1"/>
  <c r="AH1555" i="1"/>
  <c r="AI1555" i="1"/>
  <c r="AJ1555" i="1"/>
  <c r="AK1555" i="1"/>
  <c r="AL1555" i="1"/>
  <c r="AM1555" i="1"/>
  <c r="A1556" i="1"/>
  <c r="B1556" i="1"/>
  <c r="C1556" i="1"/>
  <c r="D1556" i="1"/>
  <c r="E1556" i="1"/>
  <c r="F1556" i="1"/>
  <c r="G1556" i="1"/>
  <c r="H1556" i="1"/>
  <c r="I1556" i="1"/>
  <c r="J1556" i="1"/>
  <c r="K1556" i="1"/>
  <c r="L1556" i="1"/>
  <c r="M1556" i="1"/>
  <c r="N1556" i="1"/>
  <c r="O1556" i="1"/>
  <c r="P1556" i="1"/>
  <c r="Q1556" i="1"/>
  <c r="R1556" i="1"/>
  <c r="S1556" i="1"/>
  <c r="T1556" i="1"/>
  <c r="U1556" i="1"/>
  <c r="V1556" i="1"/>
  <c r="W1556" i="1"/>
  <c r="X1556" i="1"/>
  <c r="Y1556" i="1"/>
  <c r="Z1556" i="1"/>
  <c r="AA1556" i="1"/>
  <c r="AB1556" i="1"/>
  <c r="AC1556" i="1"/>
  <c r="AD1556" i="1"/>
  <c r="AE1556" i="1"/>
  <c r="AF1556" i="1"/>
  <c r="AG1556" i="1"/>
  <c r="AH1556" i="1"/>
  <c r="AI1556" i="1"/>
  <c r="AJ1556" i="1"/>
  <c r="AK1556" i="1"/>
  <c r="AL1556" i="1"/>
  <c r="AM1556" i="1"/>
  <c r="A1557" i="1"/>
  <c r="B1557" i="1"/>
  <c r="C1557" i="1"/>
  <c r="D1557" i="1"/>
  <c r="E1557" i="1"/>
  <c r="F1557" i="1"/>
  <c r="G1557" i="1"/>
  <c r="H1557" i="1"/>
  <c r="I1557" i="1"/>
  <c r="J1557" i="1"/>
  <c r="K1557" i="1"/>
  <c r="L1557" i="1"/>
  <c r="M1557" i="1"/>
  <c r="N1557" i="1"/>
  <c r="O1557" i="1"/>
  <c r="P1557" i="1"/>
  <c r="Q1557" i="1"/>
  <c r="R1557" i="1"/>
  <c r="S1557" i="1"/>
  <c r="T1557" i="1"/>
  <c r="U1557" i="1"/>
  <c r="V1557" i="1"/>
  <c r="W1557" i="1"/>
  <c r="X1557" i="1"/>
  <c r="Y1557" i="1"/>
  <c r="Z1557" i="1"/>
  <c r="AA1557" i="1"/>
  <c r="AB1557" i="1"/>
  <c r="AC1557" i="1"/>
  <c r="AD1557" i="1"/>
  <c r="AE1557" i="1"/>
  <c r="AF1557" i="1"/>
  <c r="AG1557" i="1"/>
  <c r="AH1557" i="1"/>
  <c r="AI1557" i="1"/>
  <c r="AJ1557" i="1"/>
  <c r="AK1557" i="1"/>
  <c r="AL1557" i="1"/>
  <c r="AM1557" i="1"/>
  <c r="A1558" i="1"/>
  <c r="B1558" i="1"/>
  <c r="C1558" i="1"/>
  <c r="D1558" i="1"/>
  <c r="E1558" i="1"/>
  <c r="F1558" i="1"/>
  <c r="G1558" i="1"/>
  <c r="H1558" i="1"/>
  <c r="I1558" i="1"/>
  <c r="J1558" i="1"/>
  <c r="K1558" i="1"/>
  <c r="L1558" i="1"/>
  <c r="M1558" i="1"/>
  <c r="N1558" i="1"/>
  <c r="O1558" i="1"/>
  <c r="P1558" i="1"/>
  <c r="Q1558" i="1"/>
  <c r="R1558" i="1"/>
  <c r="S1558" i="1"/>
  <c r="T1558" i="1"/>
  <c r="U1558" i="1"/>
  <c r="V1558" i="1"/>
  <c r="W1558" i="1"/>
  <c r="X1558" i="1"/>
  <c r="Y1558" i="1"/>
  <c r="Z1558" i="1"/>
  <c r="AA1558" i="1"/>
  <c r="AB1558" i="1"/>
  <c r="AC1558" i="1"/>
  <c r="AD1558" i="1"/>
  <c r="AE1558" i="1"/>
  <c r="AF1558" i="1"/>
  <c r="AG1558" i="1"/>
  <c r="AH1558" i="1"/>
  <c r="AI1558" i="1"/>
  <c r="AJ1558" i="1"/>
  <c r="AK1558" i="1"/>
  <c r="AL1558" i="1"/>
  <c r="AM1558" i="1"/>
  <c r="A1559" i="1"/>
  <c r="B1559" i="1"/>
  <c r="C1559" i="1"/>
  <c r="D1559" i="1"/>
  <c r="E1559" i="1"/>
  <c r="F1559" i="1"/>
  <c r="G1559" i="1"/>
  <c r="H1559" i="1"/>
  <c r="I1559" i="1"/>
  <c r="J1559" i="1"/>
  <c r="K1559" i="1"/>
  <c r="L1559" i="1"/>
  <c r="M1559" i="1"/>
  <c r="N1559" i="1"/>
  <c r="O1559" i="1"/>
  <c r="P1559" i="1"/>
  <c r="Q1559" i="1"/>
  <c r="R1559" i="1"/>
  <c r="S1559" i="1"/>
  <c r="T1559" i="1"/>
  <c r="U1559" i="1"/>
  <c r="V1559" i="1"/>
  <c r="W1559" i="1"/>
  <c r="X1559" i="1"/>
  <c r="Y1559" i="1"/>
  <c r="Z1559" i="1"/>
  <c r="AA1559" i="1"/>
  <c r="AB1559" i="1"/>
  <c r="AC1559" i="1"/>
  <c r="AD1559" i="1"/>
  <c r="AE1559" i="1"/>
  <c r="AF1559" i="1"/>
  <c r="AG1559" i="1"/>
  <c r="AH1559" i="1"/>
  <c r="AI1559" i="1"/>
  <c r="AJ1559" i="1"/>
  <c r="AK1559" i="1"/>
  <c r="AL1559" i="1"/>
  <c r="AM1559" i="1"/>
  <c r="A1560" i="1"/>
  <c r="B1560" i="1"/>
  <c r="C1560" i="1"/>
  <c r="D1560" i="1"/>
  <c r="E1560" i="1"/>
  <c r="F1560" i="1"/>
  <c r="G1560" i="1"/>
  <c r="H1560" i="1"/>
  <c r="I1560" i="1"/>
  <c r="J1560" i="1"/>
  <c r="K1560" i="1"/>
  <c r="L1560" i="1"/>
  <c r="M1560" i="1"/>
  <c r="N1560" i="1"/>
  <c r="O1560" i="1"/>
  <c r="P1560" i="1"/>
  <c r="Q1560" i="1"/>
  <c r="R1560" i="1"/>
  <c r="S1560" i="1"/>
  <c r="T1560" i="1"/>
  <c r="U1560" i="1"/>
  <c r="V1560" i="1"/>
  <c r="W1560" i="1"/>
  <c r="X1560" i="1"/>
  <c r="Y1560" i="1"/>
  <c r="Z1560" i="1"/>
  <c r="AA1560" i="1"/>
  <c r="AB1560" i="1"/>
  <c r="AC1560" i="1"/>
  <c r="AD1560" i="1"/>
  <c r="AE1560" i="1"/>
  <c r="AF1560" i="1"/>
  <c r="AG1560" i="1"/>
  <c r="AH1560" i="1"/>
  <c r="AI1560" i="1"/>
  <c r="AJ1560" i="1"/>
  <c r="AK1560" i="1"/>
  <c r="AL1560" i="1"/>
  <c r="AM1560" i="1"/>
  <c r="A1561" i="1"/>
  <c r="B1561" i="1"/>
  <c r="C1561" i="1"/>
  <c r="D1561" i="1"/>
  <c r="E1561" i="1"/>
  <c r="F1561" i="1"/>
  <c r="G1561" i="1"/>
  <c r="H1561" i="1"/>
  <c r="I1561" i="1"/>
  <c r="J1561" i="1"/>
  <c r="K1561" i="1"/>
  <c r="L1561" i="1"/>
  <c r="M1561" i="1"/>
  <c r="N1561" i="1"/>
  <c r="O1561" i="1"/>
  <c r="P1561" i="1"/>
  <c r="Q1561" i="1"/>
  <c r="R1561" i="1"/>
  <c r="S1561" i="1"/>
  <c r="T1561" i="1"/>
  <c r="U1561" i="1"/>
  <c r="V1561" i="1"/>
  <c r="W1561" i="1"/>
  <c r="X1561" i="1"/>
  <c r="Y1561" i="1"/>
  <c r="Z1561" i="1"/>
  <c r="AA1561" i="1"/>
  <c r="AB1561" i="1"/>
  <c r="AC1561" i="1"/>
  <c r="AD1561" i="1"/>
  <c r="AE1561" i="1"/>
  <c r="AF1561" i="1"/>
  <c r="AG1561" i="1"/>
  <c r="AH1561" i="1"/>
  <c r="AI1561" i="1"/>
  <c r="AJ1561" i="1"/>
  <c r="AK1561" i="1"/>
  <c r="AL1561" i="1"/>
  <c r="AM1561" i="1"/>
  <c r="A1562" i="1"/>
  <c r="B1562" i="1"/>
  <c r="C1562" i="1"/>
  <c r="D1562" i="1"/>
  <c r="E1562" i="1"/>
  <c r="F1562" i="1"/>
  <c r="G1562" i="1"/>
  <c r="H1562" i="1"/>
  <c r="I1562" i="1"/>
  <c r="J1562" i="1"/>
  <c r="K1562" i="1"/>
  <c r="L1562" i="1"/>
  <c r="M1562" i="1"/>
  <c r="N1562" i="1"/>
  <c r="O1562" i="1"/>
  <c r="P1562" i="1"/>
  <c r="Q1562" i="1"/>
  <c r="R1562" i="1"/>
  <c r="S1562" i="1"/>
  <c r="T1562" i="1"/>
  <c r="U1562" i="1"/>
  <c r="V1562" i="1"/>
  <c r="W1562" i="1"/>
  <c r="X1562" i="1"/>
  <c r="Y1562" i="1"/>
  <c r="Z1562" i="1"/>
  <c r="AA1562" i="1"/>
  <c r="AB1562" i="1"/>
  <c r="AC1562" i="1"/>
  <c r="AD1562" i="1"/>
  <c r="AE1562" i="1"/>
  <c r="AF1562" i="1"/>
  <c r="AG1562" i="1"/>
  <c r="AH1562" i="1"/>
  <c r="AI1562" i="1"/>
  <c r="AJ1562" i="1"/>
  <c r="AK1562" i="1"/>
  <c r="AL1562" i="1"/>
  <c r="AM1562" i="1"/>
  <c r="A1563" i="1"/>
  <c r="B1563" i="1"/>
  <c r="C1563" i="1"/>
  <c r="D1563" i="1"/>
  <c r="E1563" i="1"/>
  <c r="F1563" i="1"/>
  <c r="G1563" i="1"/>
  <c r="H1563" i="1"/>
  <c r="I1563" i="1"/>
  <c r="J1563" i="1"/>
  <c r="K1563" i="1"/>
  <c r="L1563" i="1"/>
  <c r="M1563" i="1"/>
  <c r="N1563" i="1"/>
  <c r="O1563" i="1"/>
  <c r="P1563" i="1"/>
  <c r="Q1563" i="1"/>
  <c r="R1563" i="1"/>
  <c r="S1563" i="1"/>
  <c r="T1563" i="1"/>
  <c r="U1563" i="1"/>
  <c r="V1563" i="1"/>
  <c r="W1563" i="1"/>
  <c r="X1563" i="1"/>
  <c r="Y1563" i="1"/>
  <c r="Z1563" i="1"/>
  <c r="AA1563" i="1"/>
  <c r="AB1563" i="1"/>
  <c r="AC1563" i="1"/>
  <c r="AD1563" i="1"/>
  <c r="AE1563" i="1"/>
  <c r="AF1563" i="1"/>
  <c r="AG1563" i="1"/>
  <c r="AH1563" i="1"/>
  <c r="AI1563" i="1"/>
  <c r="AJ1563" i="1"/>
  <c r="AK1563" i="1"/>
  <c r="AL1563" i="1"/>
  <c r="AM1563" i="1"/>
  <c r="A1564" i="1"/>
  <c r="B1564" i="1"/>
  <c r="C1564" i="1"/>
  <c r="D1564" i="1"/>
  <c r="E1564" i="1"/>
  <c r="F1564" i="1"/>
  <c r="G1564" i="1"/>
  <c r="H1564" i="1"/>
  <c r="I1564" i="1"/>
  <c r="J1564" i="1"/>
  <c r="K1564" i="1"/>
  <c r="L1564" i="1"/>
  <c r="M1564" i="1"/>
  <c r="N1564" i="1"/>
  <c r="O1564" i="1"/>
  <c r="P1564" i="1"/>
  <c r="Q1564" i="1"/>
  <c r="R1564" i="1"/>
  <c r="S1564" i="1"/>
  <c r="T1564" i="1"/>
  <c r="U1564" i="1"/>
  <c r="V1564" i="1"/>
  <c r="W1564" i="1"/>
  <c r="X1564" i="1"/>
  <c r="Y1564" i="1"/>
  <c r="Z1564" i="1"/>
  <c r="AA1564" i="1"/>
  <c r="AB1564" i="1"/>
  <c r="AC1564" i="1"/>
  <c r="AD1564" i="1"/>
  <c r="AE1564" i="1"/>
  <c r="AF1564" i="1"/>
  <c r="AG1564" i="1"/>
  <c r="AH1564" i="1"/>
  <c r="AI1564" i="1"/>
  <c r="AJ1564" i="1"/>
  <c r="AK1564" i="1"/>
  <c r="AL1564" i="1"/>
  <c r="AM1564" i="1"/>
  <c r="A1565" i="1"/>
  <c r="B1565" i="1"/>
  <c r="C1565" i="1"/>
  <c r="D1565" i="1"/>
  <c r="E1565" i="1"/>
  <c r="F1565" i="1"/>
  <c r="G1565" i="1"/>
  <c r="H1565" i="1"/>
  <c r="I1565" i="1"/>
  <c r="J1565" i="1"/>
  <c r="K1565" i="1"/>
  <c r="L1565" i="1"/>
  <c r="M1565" i="1"/>
  <c r="N1565" i="1"/>
  <c r="O1565" i="1"/>
  <c r="P1565" i="1"/>
  <c r="Q1565" i="1"/>
  <c r="R1565" i="1"/>
  <c r="S1565" i="1"/>
  <c r="T1565" i="1"/>
  <c r="U1565" i="1"/>
  <c r="V1565" i="1"/>
  <c r="W1565" i="1"/>
  <c r="X1565" i="1"/>
  <c r="Y1565" i="1"/>
  <c r="Z1565" i="1"/>
  <c r="AA1565" i="1"/>
  <c r="AB1565" i="1"/>
  <c r="AC1565" i="1"/>
  <c r="AD1565" i="1"/>
  <c r="AE1565" i="1"/>
  <c r="AF1565" i="1"/>
  <c r="AG1565" i="1"/>
  <c r="AH1565" i="1"/>
  <c r="AI1565" i="1"/>
  <c r="AJ1565" i="1"/>
  <c r="AK1565" i="1"/>
  <c r="AL1565" i="1"/>
  <c r="AM1565" i="1"/>
  <c r="A1566" i="1"/>
  <c r="B1566" i="1"/>
  <c r="C1566" i="1"/>
  <c r="D1566" i="1"/>
  <c r="E1566" i="1"/>
  <c r="F1566" i="1"/>
  <c r="G1566" i="1"/>
  <c r="H1566" i="1"/>
  <c r="I1566" i="1"/>
  <c r="J1566" i="1"/>
  <c r="K1566" i="1"/>
  <c r="L1566" i="1"/>
  <c r="M1566" i="1"/>
  <c r="N1566" i="1"/>
  <c r="O1566" i="1"/>
  <c r="P1566" i="1"/>
  <c r="Q1566" i="1"/>
  <c r="R1566" i="1"/>
  <c r="S1566" i="1"/>
  <c r="T1566" i="1"/>
  <c r="U1566" i="1"/>
  <c r="V1566" i="1"/>
  <c r="W1566" i="1"/>
  <c r="X1566" i="1"/>
  <c r="Y1566" i="1"/>
  <c r="Z1566" i="1"/>
  <c r="AA1566" i="1"/>
  <c r="AB1566" i="1"/>
  <c r="AC1566" i="1"/>
  <c r="AD1566" i="1"/>
  <c r="AE1566" i="1"/>
  <c r="AF1566" i="1"/>
  <c r="AG1566" i="1"/>
  <c r="AH1566" i="1"/>
  <c r="AI1566" i="1"/>
  <c r="AJ1566" i="1"/>
  <c r="AK1566" i="1"/>
  <c r="AL1566" i="1"/>
  <c r="AM1566" i="1"/>
  <c r="A1567" i="1"/>
  <c r="B1567" i="1"/>
  <c r="C1567" i="1"/>
  <c r="D1567" i="1"/>
  <c r="E1567" i="1"/>
  <c r="F1567" i="1"/>
  <c r="G1567" i="1"/>
  <c r="H1567" i="1"/>
  <c r="I1567" i="1"/>
  <c r="J1567" i="1"/>
  <c r="K1567" i="1"/>
  <c r="L1567" i="1"/>
  <c r="M1567" i="1"/>
  <c r="N1567" i="1"/>
  <c r="O1567" i="1"/>
  <c r="P1567" i="1"/>
  <c r="Q1567" i="1"/>
  <c r="R1567" i="1"/>
  <c r="S1567" i="1"/>
  <c r="T1567" i="1"/>
  <c r="U1567" i="1"/>
  <c r="V1567" i="1"/>
  <c r="W1567" i="1"/>
  <c r="X1567" i="1"/>
  <c r="Y1567" i="1"/>
  <c r="Z1567" i="1"/>
  <c r="AA1567" i="1"/>
  <c r="AB1567" i="1"/>
  <c r="AC1567" i="1"/>
  <c r="AD1567" i="1"/>
  <c r="AE1567" i="1"/>
  <c r="AF1567" i="1"/>
  <c r="AG1567" i="1"/>
  <c r="AH1567" i="1"/>
  <c r="AI1567" i="1"/>
  <c r="AJ1567" i="1"/>
  <c r="AK1567" i="1"/>
  <c r="AL1567" i="1"/>
  <c r="AM1567" i="1"/>
  <c r="A1568" i="1"/>
  <c r="B1568" i="1"/>
  <c r="C1568" i="1"/>
  <c r="D1568" i="1"/>
  <c r="E1568" i="1"/>
  <c r="F1568" i="1"/>
  <c r="G1568" i="1"/>
  <c r="H1568" i="1"/>
  <c r="I1568" i="1"/>
  <c r="J1568" i="1"/>
  <c r="K1568" i="1"/>
  <c r="L1568" i="1"/>
  <c r="M1568" i="1"/>
  <c r="N1568" i="1"/>
  <c r="O1568" i="1"/>
  <c r="P1568" i="1"/>
  <c r="Q1568" i="1"/>
  <c r="R1568" i="1"/>
  <c r="S1568" i="1"/>
  <c r="T1568" i="1"/>
  <c r="U1568" i="1"/>
  <c r="V1568" i="1"/>
  <c r="W1568" i="1"/>
  <c r="X1568" i="1"/>
  <c r="Y1568" i="1"/>
  <c r="Z1568" i="1"/>
  <c r="AA1568" i="1"/>
  <c r="AB1568" i="1"/>
  <c r="AC1568" i="1"/>
  <c r="AD1568" i="1"/>
  <c r="AE1568" i="1"/>
  <c r="AF1568" i="1"/>
  <c r="AG1568" i="1"/>
  <c r="AH1568" i="1"/>
  <c r="AI1568" i="1"/>
  <c r="AJ1568" i="1"/>
  <c r="AK1568" i="1"/>
  <c r="AL1568" i="1"/>
  <c r="AM1568" i="1"/>
  <c r="A1569" i="1"/>
  <c r="B1569" i="1"/>
  <c r="C1569" i="1"/>
  <c r="D1569" i="1"/>
  <c r="E1569" i="1"/>
  <c r="F1569" i="1"/>
  <c r="G1569" i="1"/>
  <c r="H1569" i="1"/>
  <c r="I1569" i="1"/>
  <c r="J1569" i="1"/>
  <c r="K1569" i="1"/>
  <c r="L1569" i="1"/>
  <c r="M1569" i="1"/>
  <c r="N1569" i="1"/>
  <c r="O1569" i="1"/>
  <c r="P1569" i="1"/>
  <c r="Q1569" i="1"/>
  <c r="R1569" i="1"/>
  <c r="S1569" i="1"/>
  <c r="T1569" i="1"/>
  <c r="U1569" i="1"/>
  <c r="V1569" i="1"/>
  <c r="W1569" i="1"/>
  <c r="X1569" i="1"/>
  <c r="Y1569" i="1"/>
  <c r="Z1569" i="1"/>
  <c r="AA1569" i="1"/>
  <c r="AB1569" i="1"/>
  <c r="AC1569" i="1"/>
  <c r="AD1569" i="1"/>
  <c r="AE1569" i="1"/>
  <c r="AF1569" i="1"/>
  <c r="AG1569" i="1"/>
  <c r="AH1569" i="1"/>
  <c r="AI1569" i="1"/>
  <c r="AJ1569" i="1"/>
  <c r="AK1569" i="1"/>
  <c r="AL1569" i="1"/>
  <c r="AM1569" i="1"/>
  <c r="A1570" i="1"/>
  <c r="B1570" i="1"/>
  <c r="C1570" i="1"/>
  <c r="D1570" i="1"/>
  <c r="E1570" i="1"/>
  <c r="F1570" i="1"/>
  <c r="G1570" i="1"/>
  <c r="H1570" i="1"/>
  <c r="I1570" i="1"/>
  <c r="J1570" i="1"/>
  <c r="K1570" i="1"/>
  <c r="L1570" i="1"/>
  <c r="M1570" i="1"/>
  <c r="N1570" i="1"/>
  <c r="O1570" i="1"/>
  <c r="P1570" i="1"/>
  <c r="Q1570" i="1"/>
  <c r="R1570" i="1"/>
  <c r="S1570" i="1"/>
  <c r="T1570" i="1"/>
  <c r="U1570" i="1"/>
  <c r="V1570" i="1"/>
  <c r="W1570" i="1"/>
  <c r="X1570" i="1"/>
  <c r="Y1570" i="1"/>
  <c r="Z1570" i="1"/>
  <c r="AA1570" i="1"/>
  <c r="AB1570" i="1"/>
  <c r="AC1570" i="1"/>
  <c r="AD1570" i="1"/>
  <c r="AE1570" i="1"/>
  <c r="AF1570" i="1"/>
  <c r="AG1570" i="1"/>
  <c r="AH1570" i="1"/>
  <c r="AI1570" i="1"/>
  <c r="AJ1570" i="1"/>
  <c r="AK1570" i="1"/>
  <c r="AL1570" i="1"/>
  <c r="AM1570" i="1"/>
  <c r="A1571" i="1"/>
  <c r="B1571" i="1"/>
  <c r="C1571" i="1"/>
  <c r="D1571" i="1"/>
  <c r="E1571" i="1"/>
  <c r="F1571" i="1"/>
  <c r="G1571" i="1"/>
  <c r="H1571" i="1"/>
  <c r="I1571" i="1"/>
  <c r="J1571" i="1"/>
  <c r="K1571" i="1"/>
  <c r="L1571" i="1"/>
  <c r="M1571" i="1"/>
  <c r="N1571" i="1"/>
  <c r="O1571" i="1"/>
  <c r="P1571" i="1"/>
  <c r="Q1571" i="1"/>
  <c r="R1571" i="1"/>
  <c r="S1571" i="1"/>
  <c r="T1571" i="1"/>
  <c r="U1571" i="1"/>
  <c r="V1571" i="1"/>
  <c r="W1571" i="1"/>
  <c r="X1571" i="1"/>
  <c r="Y1571" i="1"/>
  <c r="Z1571" i="1"/>
  <c r="AA1571" i="1"/>
  <c r="AB1571" i="1"/>
  <c r="AC1571" i="1"/>
  <c r="AD1571" i="1"/>
  <c r="AE1571" i="1"/>
  <c r="AF1571" i="1"/>
  <c r="AG1571" i="1"/>
  <c r="AH1571" i="1"/>
  <c r="AI1571" i="1"/>
  <c r="AJ1571" i="1"/>
  <c r="AK1571" i="1"/>
  <c r="AL1571" i="1"/>
  <c r="AM1571" i="1"/>
  <c r="A1572" i="1"/>
  <c r="B1572" i="1"/>
  <c r="C1572" i="1"/>
  <c r="D1572" i="1"/>
  <c r="E1572" i="1"/>
  <c r="F1572" i="1"/>
  <c r="G1572" i="1"/>
  <c r="H1572" i="1"/>
  <c r="I1572" i="1"/>
  <c r="J1572" i="1"/>
  <c r="K1572" i="1"/>
  <c r="L1572" i="1"/>
  <c r="M1572" i="1"/>
  <c r="N1572" i="1"/>
  <c r="O1572" i="1"/>
  <c r="P1572" i="1"/>
  <c r="Q1572" i="1"/>
  <c r="R1572" i="1"/>
  <c r="S1572" i="1"/>
  <c r="T1572" i="1"/>
  <c r="U1572" i="1"/>
  <c r="V1572" i="1"/>
  <c r="W1572" i="1"/>
  <c r="X1572" i="1"/>
  <c r="Y1572" i="1"/>
  <c r="Z1572" i="1"/>
  <c r="AA1572" i="1"/>
  <c r="AB1572" i="1"/>
  <c r="AC1572" i="1"/>
  <c r="AD1572" i="1"/>
  <c r="AE1572" i="1"/>
  <c r="AF1572" i="1"/>
  <c r="AG1572" i="1"/>
  <c r="AH1572" i="1"/>
  <c r="AI1572" i="1"/>
  <c r="AJ1572" i="1"/>
  <c r="AK1572" i="1"/>
  <c r="AL1572" i="1"/>
  <c r="AM1572" i="1"/>
  <c r="A1573" i="1"/>
  <c r="B1573" i="1"/>
  <c r="C1573" i="1"/>
  <c r="D1573" i="1"/>
  <c r="E1573" i="1"/>
  <c r="F1573" i="1"/>
  <c r="G1573" i="1"/>
  <c r="H1573" i="1"/>
  <c r="I1573" i="1"/>
  <c r="J1573" i="1"/>
  <c r="K1573" i="1"/>
  <c r="L1573" i="1"/>
  <c r="M1573" i="1"/>
  <c r="N1573" i="1"/>
  <c r="O1573" i="1"/>
  <c r="P1573" i="1"/>
  <c r="Q1573" i="1"/>
  <c r="R1573" i="1"/>
  <c r="S1573" i="1"/>
  <c r="T1573" i="1"/>
  <c r="U1573" i="1"/>
  <c r="V1573" i="1"/>
  <c r="W1573" i="1"/>
  <c r="X1573" i="1"/>
  <c r="Y1573" i="1"/>
  <c r="Z1573" i="1"/>
  <c r="AA1573" i="1"/>
  <c r="AB1573" i="1"/>
  <c r="AC1573" i="1"/>
  <c r="AD1573" i="1"/>
  <c r="AE1573" i="1"/>
  <c r="AF1573" i="1"/>
  <c r="AG1573" i="1"/>
  <c r="AH1573" i="1"/>
  <c r="AI1573" i="1"/>
  <c r="AJ1573" i="1"/>
  <c r="AK1573" i="1"/>
  <c r="AL1573" i="1"/>
  <c r="AM1573" i="1"/>
  <c r="A1574" i="1"/>
  <c r="B1574" i="1"/>
  <c r="C1574" i="1"/>
  <c r="D1574" i="1"/>
  <c r="E1574" i="1"/>
  <c r="F1574" i="1"/>
  <c r="G1574" i="1"/>
  <c r="H1574" i="1"/>
  <c r="I1574" i="1"/>
  <c r="J1574" i="1"/>
  <c r="K1574" i="1"/>
  <c r="L1574" i="1"/>
  <c r="M1574" i="1"/>
  <c r="N1574" i="1"/>
  <c r="O1574" i="1"/>
  <c r="P1574" i="1"/>
  <c r="Q1574" i="1"/>
  <c r="R1574" i="1"/>
  <c r="S1574" i="1"/>
  <c r="T1574" i="1"/>
  <c r="U1574" i="1"/>
  <c r="V1574" i="1"/>
  <c r="W1574" i="1"/>
  <c r="X1574" i="1"/>
  <c r="Y1574" i="1"/>
  <c r="Z1574" i="1"/>
  <c r="AA1574" i="1"/>
  <c r="AB1574" i="1"/>
  <c r="AC1574" i="1"/>
  <c r="AD1574" i="1"/>
  <c r="AE1574" i="1"/>
  <c r="AF1574" i="1"/>
  <c r="AG1574" i="1"/>
  <c r="AH1574" i="1"/>
  <c r="AI1574" i="1"/>
  <c r="AJ1574" i="1"/>
  <c r="AK1574" i="1"/>
  <c r="AL1574" i="1"/>
  <c r="AM1574" i="1"/>
  <c r="A1575" i="1"/>
  <c r="B1575" i="1"/>
  <c r="C1575" i="1"/>
  <c r="D1575" i="1"/>
  <c r="E1575" i="1"/>
  <c r="F1575" i="1"/>
  <c r="G1575" i="1"/>
  <c r="H1575" i="1"/>
  <c r="I1575" i="1"/>
  <c r="J1575" i="1"/>
  <c r="K1575" i="1"/>
  <c r="L1575" i="1"/>
  <c r="M1575" i="1"/>
  <c r="N1575" i="1"/>
  <c r="O1575" i="1"/>
  <c r="P1575" i="1"/>
  <c r="Q1575" i="1"/>
  <c r="R1575" i="1"/>
  <c r="S1575" i="1"/>
  <c r="T1575" i="1"/>
  <c r="U1575" i="1"/>
  <c r="V1575" i="1"/>
  <c r="W1575" i="1"/>
  <c r="X1575" i="1"/>
  <c r="Y1575" i="1"/>
  <c r="Z1575" i="1"/>
  <c r="AA1575" i="1"/>
  <c r="AB1575" i="1"/>
  <c r="AC1575" i="1"/>
  <c r="AD1575" i="1"/>
  <c r="AE1575" i="1"/>
  <c r="AF1575" i="1"/>
  <c r="AG1575" i="1"/>
  <c r="AH1575" i="1"/>
  <c r="AI1575" i="1"/>
  <c r="AJ1575" i="1"/>
  <c r="AK1575" i="1"/>
  <c r="AL1575" i="1"/>
  <c r="AM1575" i="1"/>
  <c r="A1576" i="1"/>
  <c r="B1576" i="1"/>
  <c r="C1576" i="1"/>
  <c r="D1576" i="1"/>
  <c r="E1576" i="1"/>
  <c r="F1576" i="1"/>
  <c r="G1576" i="1"/>
  <c r="H1576" i="1"/>
  <c r="I1576" i="1"/>
  <c r="J1576" i="1"/>
  <c r="K1576" i="1"/>
  <c r="L1576" i="1"/>
  <c r="M1576" i="1"/>
  <c r="N1576" i="1"/>
  <c r="O1576" i="1"/>
  <c r="P1576" i="1"/>
  <c r="Q1576" i="1"/>
  <c r="R1576" i="1"/>
  <c r="S1576" i="1"/>
  <c r="T1576" i="1"/>
  <c r="U1576" i="1"/>
  <c r="V1576" i="1"/>
  <c r="W1576" i="1"/>
  <c r="X1576" i="1"/>
  <c r="Y1576" i="1"/>
  <c r="Z1576" i="1"/>
  <c r="AA1576" i="1"/>
  <c r="AB1576" i="1"/>
  <c r="AC1576" i="1"/>
  <c r="AD1576" i="1"/>
  <c r="AE1576" i="1"/>
  <c r="AF1576" i="1"/>
  <c r="AG1576" i="1"/>
  <c r="AH1576" i="1"/>
  <c r="AI1576" i="1"/>
  <c r="AJ1576" i="1"/>
  <c r="AK1576" i="1"/>
  <c r="AL1576" i="1"/>
  <c r="AM1576" i="1"/>
  <c r="A1577" i="1"/>
  <c r="B1577" i="1"/>
  <c r="C1577" i="1"/>
  <c r="D1577" i="1"/>
  <c r="E1577" i="1"/>
  <c r="F1577" i="1"/>
  <c r="G1577" i="1"/>
  <c r="H1577" i="1"/>
  <c r="I1577" i="1"/>
  <c r="J1577" i="1"/>
  <c r="K1577" i="1"/>
  <c r="L1577" i="1"/>
  <c r="M1577" i="1"/>
  <c r="N1577" i="1"/>
  <c r="O1577" i="1"/>
  <c r="P1577" i="1"/>
  <c r="Q1577" i="1"/>
  <c r="R1577" i="1"/>
  <c r="S1577" i="1"/>
  <c r="T1577" i="1"/>
  <c r="U1577" i="1"/>
  <c r="V1577" i="1"/>
  <c r="W1577" i="1"/>
  <c r="X1577" i="1"/>
  <c r="Y1577" i="1"/>
  <c r="Z1577" i="1"/>
  <c r="AA1577" i="1"/>
  <c r="AB1577" i="1"/>
  <c r="AC1577" i="1"/>
  <c r="AD1577" i="1"/>
  <c r="AE1577" i="1"/>
  <c r="AF1577" i="1"/>
  <c r="AG1577" i="1"/>
  <c r="AH1577" i="1"/>
  <c r="AI1577" i="1"/>
  <c r="AJ1577" i="1"/>
  <c r="AK1577" i="1"/>
  <c r="AL1577" i="1"/>
  <c r="AM1577" i="1"/>
  <c r="A1578" i="1"/>
  <c r="B1578" i="1"/>
  <c r="C1578" i="1"/>
  <c r="D1578" i="1"/>
  <c r="E1578" i="1"/>
  <c r="F1578" i="1"/>
  <c r="G1578" i="1"/>
  <c r="H1578" i="1"/>
  <c r="I1578" i="1"/>
  <c r="J1578" i="1"/>
  <c r="K1578" i="1"/>
  <c r="L1578" i="1"/>
  <c r="M1578" i="1"/>
  <c r="N1578" i="1"/>
  <c r="O1578" i="1"/>
  <c r="P1578" i="1"/>
  <c r="Q1578" i="1"/>
  <c r="R1578" i="1"/>
  <c r="S1578" i="1"/>
  <c r="T1578" i="1"/>
  <c r="U1578" i="1"/>
  <c r="V1578" i="1"/>
  <c r="W1578" i="1"/>
  <c r="X1578" i="1"/>
  <c r="Y1578" i="1"/>
  <c r="Z1578" i="1"/>
  <c r="AA1578" i="1"/>
  <c r="AB1578" i="1"/>
  <c r="AC1578" i="1"/>
  <c r="AD1578" i="1"/>
  <c r="AE1578" i="1"/>
  <c r="AF1578" i="1"/>
  <c r="AG1578" i="1"/>
  <c r="AH1578" i="1"/>
  <c r="AI1578" i="1"/>
  <c r="AJ1578" i="1"/>
  <c r="AK1578" i="1"/>
  <c r="AL1578" i="1"/>
  <c r="AM1578" i="1"/>
  <c r="A1579" i="1"/>
  <c r="B1579" i="1"/>
  <c r="C1579" i="1"/>
  <c r="D1579" i="1"/>
  <c r="E1579" i="1"/>
  <c r="F1579" i="1"/>
  <c r="G1579" i="1"/>
  <c r="H1579" i="1"/>
  <c r="I1579" i="1"/>
  <c r="J1579" i="1"/>
  <c r="K1579" i="1"/>
  <c r="L1579" i="1"/>
  <c r="M1579" i="1"/>
  <c r="N1579" i="1"/>
  <c r="O1579" i="1"/>
  <c r="P1579" i="1"/>
  <c r="Q1579" i="1"/>
  <c r="R1579" i="1"/>
  <c r="S1579" i="1"/>
  <c r="T1579" i="1"/>
  <c r="U1579" i="1"/>
  <c r="V1579" i="1"/>
  <c r="W1579" i="1"/>
  <c r="X1579" i="1"/>
  <c r="Y1579" i="1"/>
  <c r="Z1579" i="1"/>
  <c r="AA1579" i="1"/>
  <c r="AB1579" i="1"/>
  <c r="AC1579" i="1"/>
  <c r="AD1579" i="1"/>
  <c r="AE1579" i="1"/>
  <c r="AF1579" i="1"/>
  <c r="AG1579" i="1"/>
  <c r="AH1579" i="1"/>
  <c r="AI1579" i="1"/>
  <c r="AJ1579" i="1"/>
  <c r="AK1579" i="1"/>
  <c r="AL1579" i="1"/>
  <c r="AM1579" i="1"/>
  <c r="A1580" i="1"/>
  <c r="B1580" i="1"/>
  <c r="C1580" i="1"/>
  <c r="D1580" i="1"/>
  <c r="E1580" i="1"/>
  <c r="F1580" i="1"/>
  <c r="G1580" i="1"/>
  <c r="H1580" i="1"/>
  <c r="I1580" i="1"/>
  <c r="J1580" i="1"/>
  <c r="K1580" i="1"/>
  <c r="L1580" i="1"/>
  <c r="M1580" i="1"/>
  <c r="N1580" i="1"/>
  <c r="O1580" i="1"/>
  <c r="P1580" i="1"/>
  <c r="Q1580" i="1"/>
  <c r="R1580" i="1"/>
  <c r="S1580" i="1"/>
  <c r="T1580" i="1"/>
  <c r="U1580" i="1"/>
  <c r="V1580" i="1"/>
  <c r="W1580" i="1"/>
  <c r="X1580" i="1"/>
  <c r="Y1580" i="1"/>
  <c r="Z1580" i="1"/>
  <c r="AA1580" i="1"/>
  <c r="AB1580" i="1"/>
  <c r="AC1580" i="1"/>
  <c r="AD1580" i="1"/>
  <c r="AE1580" i="1"/>
  <c r="AF1580" i="1"/>
  <c r="AG1580" i="1"/>
  <c r="AH1580" i="1"/>
  <c r="AI1580" i="1"/>
  <c r="AJ1580" i="1"/>
  <c r="AK1580" i="1"/>
  <c r="AL1580" i="1"/>
  <c r="AM1580" i="1"/>
  <c r="A1581" i="1"/>
  <c r="B1581" i="1"/>
  <c r="C1581" i="1"/>
  <c r="D1581" i="1"/>
  <c r="E1581" i="1"/>
  <c r="F1581" i="1"/>
  <c r="G1581" i="1"/>
  <c r="H1581" i="1"/>
  <c r="I1581" i="1"/>
  <c r="J1581" i="1"/>
  <c r="K1581" i="1"/>
  <c r="L1581" i="1"/>
  <c r="M1581" i="1"/>
  <c r="N1581" i="1"/>
  <c r="O1581" i="1"/>
  <c r="P1581" i="1"/>
  <c r="Q1581" i="1"/>
  <c r="R1581" i="1"/>
  <c r="S1581" i="1"/>
  <c r="T1581" i="1"/>
  <c r="U1581" i="1"/>
  <c r="V1581" i="1"/>
  <c r="W1581" i="1"/>
  <c r="X1581" i="1"/>
  <c r="Y1581" i="1"/>
  <c r="Z1581" i="1"/>
  <c r="AA1581" i="1"/>
  <c r="AB1581" i="1"/>
  <c r="AC1581" i="1"/>
  <c r="AD1581" i="1"/>
  <c r="AE1581" i="1"/>
  <c r="AF1581" i="1"/>
  <c r="AG1581" i="1"/>
  <c r="AH1581" i="1"/>
  <c r="AI1581" i="1"/>
  <c r="AJ1581" i="1"/>
  <c r="AK1581" i="1"/>
  <c r="AL1581" i="1"/>
  <c r="AM1581" i="1"/>
  <c r="A1582" i="1"/>
  <c r="B1582" i="1"/>
  <c r="C1582" i="1"/>
  <c r="D1582" i="1"/>
  <c r="E1582" i="1"/>
  <c r="F1582" i="1"/>
  <c r="G1582" i="1"/>
  <c r="H1582" i="1"/>
  <c r="I1582" i="1"/>
  <c r="J1582" i="1"/>
  <c r="K1582" i="1"/>
  <c r="L1582" i="1"/>
  <c r="M1582" i="1"/>
  <c r="N1582" i="1"/>
  <c r="O1582" i="1"/>
  <c r="P1582" i="1"/>
  <c r="Q1582" i="1"/>
  <c r="R1582" i="1"/>
  <c r="S1582" i="1"/>
  <c r="T1582" i="1"/>
  <c r="U1582" i="1"/>
  <c r="V1582" i="1"/>
  <c r="W1582" i="1"/>
  <c r="X1582" i="1"/>
  <c r="Y1582" i="1"/>
  <c r="Z1582" i="1"/>
  <c r="AA1582" i="1"/>
  <c r="AB1582" i="1"/>
  <c r="AC1582" i="1"/>
  <c r="AD1582" i="1"/>
  <c r="AE1582" i="1"/>
  <c r="AF1582" i="1"/>
  <c r="AG1582" i="1"/>
  <c r="AH1582" i="1"/>
  <c r="AI1582" i="1"/>
  <c r="AJ1582" i="1"/>
  <c r="AK1582" i="1"/>
  <c r="AL1582" i="1"/>
  <c r="AM1582" i="1"/>
  <c r="A1583" i="1"/>
  <c r="B1583" i="1"/>
  <c r="C1583" i="1"/>
  <c r="D1583" i="1"/>
  <c r="E1583" i="1"/>
  <c r="F1583" i="1"/>
  <c r="G1583" i="1"/>
  <c r="H1583" i="1"/>
  <c r="I1583" i="1"/>
  <c r="J1583" i="1"/>
  <c r="K1583" i="1"/>
  <c r="L1583" i="1"/>
  <c r="M1583" i="1"/>
  <c r="N1583" i="1"/>
  <c r="O1583" i="1"/>
  <c r="P1583" i="1"/>
  <c r="Q1583" i="1"/>
  <c r="R1583" i="1"/>
  <c r="S1583" i="1"/>
  <c r="T1583" i="1"/>
  <c r="U1583" i="1"/>
  <c r="V1583" i="1"/>
  <c r="W1583" i="1"/>
  <c r="X1583" i="1"/>
  <c r="Y1583" i="1"/>
  <c r="Z1583" i="1"/>
  <c r="AA1583" i="1"/>
  <c r="AB1583" i="1"/>
  <c r="AC1583" i="1"/>
  <c r="AD1583" i="1"/>
  <c r="AE1583" i="1"/>
  <c r="AF1583" i="1"/>
  <c r="AG1583" i="1"/>
  <c r="AH1583" i="1"/>
  <c r="AI1583" i="1"/>
  <c r="AJ1583" i="1"/>
  <c r="AK1583" i="1"/>
  <c r="AL1583" i="1"/>
  <c r="AM1583" i="1"/>
  <c r="A1584" i="1"/>
  <c r="B1584" i="1"/>
  <c r="C1584" i="1"/>
  <c r="D1584" i="1"/>
  <c r="E1584" i="1"/>
  <c r="F1584" i="1"/>
  <c r="G1584" i="1"/>
  <c r="H1584" i="1"/>
  <c r="I1584" i="1"/>
  <c r="J1584" i="1"/>
  <c r="K1584" i="1"/>
  <c r="L1584" i="1"/>
  <c r="M1584" i="1"/>
  <c r="N1584" i="1"/>
  <c r="O1584" i="1"/>
  <c r="P1584" i="1"/>
  <c r="Q1584" i="1"/>
  <c r="R1584" i="1"/>
  <c r="S1584" i="1"/>
  <c r="T1584" i="1"/>
  <c r="U1584" i="1"/>
  <c r="V1584" i="1"/>
  <c r="W1584" i="1"/>
  <c r="X1584" i="1"/>
  <c r="Y1584" i="1"/>
  <c r="Z1584" i="1"/>
  <c r="AA1584" i="1"/>
  <c r="AB1584" i="1"/>
  <c r="AC1584" i="1"/>
  <c r="AD1584" i="1"/>
  <c r="AE1584" i="1"/>
  <c r="AF1584" i="1"/>
  <c r="AG1584" i="1"/>
  <c r="AH1584" i="1"/>
  <c r="AI1584" i="1"/>
  <c r="AJ1584" i="1"/>
  <c r="AK1584" i="1"/>
  <c r="AL1584" i="1"/>
  <c r="AM1584" i="1"/>
  <c r="A1585" i="1"/>
  <c r="B1585" i="1"/>
  <c r="C1585" i="1"/>
  <c r="D1585" i="1"/>
  <c r="E1585" i="1"/>
  <c r="F1585" i="1"/>
  <c r="G1585" i="1"/>
  <c r="H1585" i="1"/>
  <c r="I1585" i="1"/>
  <c r="J1585" i="1"/>
  <c r="K1585" i="1"/>
  <c r="L1585" i="1"/>
  <c r="M1585" i="1"/>
  <c r="N1585" i="1"/>
  <c r="O1585" i="1"/>
  <c r="P1585" i="1"/>
  <c r="Q1585" i="1"/>
  <c r="R1585" i="1"/>
  <c r="S1585" i="1"/>
  <c r="T1585" i="1"/>
  <c r="U1585" i="1"/>
  <c r="V1585" i="1"/>
  <c r="W1585" i="1"/>
  <c r="X1585" i="1"/>
  <c r="Y1585" i="1"/>
  <c r="Z1585" i="1"/>
  <c r="AA1585" i="1"/>
  <c r="AB1585" i="1"/>
  <c r="AC1585" i="1"/>
  <c r="AD1585" i="1"/>
  <c r="AE1585" i="1"/>
  <c r="AF1585" i="1"/>
  <c r="AG1585" i="1"/>
  <c r="AH1585" i="1"/>
  <c r="AI1585" i="1"/>
  <c r="AJ1585" i="1"/>
  <c r="AK1585" i="1"/>
  <c r="AL1585" i="1"/>
  <c r="AM1585" i="1"/>
  <c r="A1586" i="1"/>
  <c r="B1586" i="1"/>
  <c r="C1586" i="1"/>
  <c r="D1586" i="1"/>
  <c r="E1586" i="1"/>
  <c r="F1586" i="1"/>
  <c r="G1586" i="1"/>
  <c r="H1586" i="1"/>
  <c r="I1586" i="1"/>
  <c r="J1586" i="1"/>
  <c r="K1586" i="1"/>
  <c r="L1586" i="1"/>
  <c r="M1586" i="1"/>
  <c r="N1586" i="1"/>
  <c r="O1586" i="1"/>
  <c r="P1586" i="1"/>
  <c r="Q1586" i="1"/>
  <c r="R1586" i="1"/>
  <c r="S1586" i="1"/>
  <c r="T1586" i="1"/>
  <c r="U1586" i="1"/>
  <c r="V1586" i="1"/>
  <c r="W1586" i="1"/>
  <c r="X1586" i="1"/>
  <c r="Y1586" i="1"/>
  <c r="Z1586" i="1"/>
  <c r="AA1586" i="1"/>
  <c r="AB1586" i="1"/>
  <c r="AC1586" i="1"/>
  <c r="AD1586" i="1"/>
  <c r="AE1586" i="1"/>
  <c r="AF1586" i="1"/>
  <c r="AG1586" i="1"/>
  <c r="AH1586" i="1"/>
  <c r="AI1586" i="1"/>
  <c r="AJ1586" i="1"/>
  <c r="AK1586" i="1"/>
  <c r="AL1586" i="1"/>
  <c r="AM1586" i="1"/>
  <c r="A1587" i="1"/>
  <c r="B1587" i="1"/>
  <c r="C1587" i="1"/>
  <c r="D1587" i="1"/>
  <c r="E1587" i="1"/>
  <c r="F1587" i="1"/>
  <c r="G1587" i="1"/>
  <c r="H1587" i="1"/>
  <c r="I1587" i="1"/>
  <c r="J1587" i="1"/>
  <c r="K1587" i="1"/>
  <c r="L1587" i="1"/>
  <c r="M1587" i="1"/>
  <c r="N1587" i="1"/>
  <c r="O1587" i="1"/>
  <c r="P1587" i="1"/>
  <c r="Q1587" i="1"/>
  <c r="R1587" i="1"/>
  <c r="S1587" i="1"/>
  <c r="T1587" i="1"/>
  <c r="U1587" i="1"/>
  <c r="V1587" i="1"/>
  <c r="W1587" i="1"/>
  <c r="X1587" i="1"/>
  <c r="Y1587" i="1"/>
  <c r="Z1587" i="1"/>
  <c r="AA1587" i="1"/>
  <c r="AB1587" i="1"/>
  <c r="AC1587" i="1"/>
  <c r="AD1587" i="1"/>
  <c r="AE1587" i="1"/>
  <c r="AF1587" i="1"/>
  <c r="AG1587" i="1"/>
  <c r="AH1587" i="1"/>
  <c r="AI1587" i="1"/>
  <c r="AJ1587" i="1"/>
  <c r="AK1587" i="1"/>
  <c r="AL1587" i="1"/>
  <c r="AM1587" i="1"/>
  <c r="A1588" i="1"/>
  <c r="B1588" i="1"/>
  <c r="C1588" i="1"/>
  <c r="D1588" i="1"/>
  <c r="E1588" i="1"/>
  <c r="F1588" i="1"/>
  <c r="G1588" i="1"/>
  <c r="H1588" i="1"/>
  <c r="I1588" i="1"/>
  <c r="J1588" i="1"/>
  <c r="K1588" i="1"/>
  <c r="L1588" i="1"/>
  <c r="M1588" i="1"/>
  <c r="N1588" i="1"/>
  <c r="O1588" i="1"/>
  <c r="P1588" i="1"/>
  <c r="Q1588" i="1"/>
  <c r="R1588" i="1"/>
  <c r="S1588" i="1"/>
  <c r="T1588" i="1"/>
  <c r="U1588" i="1"/>
  <c r="V1588" i="1"/>
  <c r="W1588" i="1"/>
  <c r="X1588" i="1"/>
  <c r="Y1588" i="1"/>
  <c r="Z1588" i="1"/>
  <c r="AA1588" i="1"/>
  <c r="AB1588" i="1"/>
  <c r="AC1588" i="1"/>
  <c r="AD1588" i="1"/>
  <c r="AE1588" i="1"/>
  <c r="AF1588" i="1"/>
  <c r="AG1588" i="1"/>
  <c r="AH1588" i="1"/>
  <c r="AI1588" i="1"/>
  <c r="AJ1588" i="1"/>
  <c r="AK1588" i="1"/>
  <c r="AL1588" i="1"/>
  <c r="AM1588" i="1"/>
  <c r="A1589" i="1"/>
  <c r="B1589" i="1"/>
  <c r="C1589" i="1"/>
  <c r="D1589" i="1"/>
  <c r="E1589" i="1"/>
  <c r="F1589" i="1"/>
  <c r="G1589" i="1"/>
  <c r="H1589" i="1"/>
  <c r="I1589" i="1"/>
  <c r="J1589" i="1"/>
  <c r="K1589" i="1"/>
  <c r="L1589" i="1"/>
  <c r="M1589" i="1"/>
  <c r="N1589" i="1"/>
  <c r="O1589" i="1"/>
  <c r="P1589" i="1"/>
  <c r="Q1589" i="1"/>
  <c r="R1589" i="1"/>
  <c r="S1589" i="1"/>
  <c r="T1589" i="1"/>
  <c r="U1589" i="1"/>
  <c r="V1589" i="1"/>
  <c r="W1589" i="1"/>
  <c r="X1589" i="1"/>
  <c r="Y1589" i="1"/>
  <c r="Z1589" i="1"/>
  <c r="AA1589" i="1"/>
  <c r="AB1589" i="1"/>
  <c r="AC1589" i="1"/>
  <c r="AD1589" i="1"/>
  <c r="AE1589" i="1"/>
  <c r="AF1589" i="1"/>
  <c r="AG1589" i="1"/>
  <c r="AH1589" i="1"/>
  <c r="AI1589" i="1"/>
  <c r="AJ1589" i="1"/>
  <c r="AK1589" i="1"/>
  <c r="AL1589" i="1"/>
  <c r="AM1589" i="1"/>
  <c r="A1590" i="1"/>
  <c r="B1590" i="1"/>
  <c r="C1590" i="1"/>
  <c r="D1590" i="1"/>
  <c r="E1590" i="1"/>
  <c r="F1590" i="1"/>
  <c r="G1590" i="1"/>
  <c r="H1590" i="1"/>
  <c r="I1590" i="1"/>
  <c r="J1590" i="1"/>
  <c r="K1590" i="1"/>
  <c r="L1590" i="1"/>
  <c r="M1590" i="1"/>
  <c r="N1590" i="1"/>
  <c r="O1590" i="1"/>
  <c r="P1590" i="1"/>
  <c r="Q1590" i="1"/>
  <c r="R1590" i="1"/>
  <c r="S1590" i="1"/>
  <c r="T1590" i="1"/>
  <c r="U1590" i="1"/>
  <c r="V1590" i="1"/>
  <c r="W1590" i="1"/>
  <c r="X1590" i="1"/>
  <c r="Y1590" i="1"/>
  <c r="Z1590" i="1"/>
  <c r="AA1590" i="1"/>
  <c r="AB1590" i="1"/>
  <c r="AC1590" i="1"/>
  <c r="AD1590" i="1"/>
  <c r="AE1590" i="1"/>
  <c r="AF1590" i="1"/>
  <c r="AG1590" i="1"/>
  <c r="AH1590" i="1"/>
  <c r="AI1590" i="1"/>
  <c r="AJ1590" i="1"/>
  <c r="AK1590" i="1"/>
  <c r="AL1590" i="1"/>
  <c r="AM1590" i="1"/>
  <c r="A1591" i="1"/>
  <c r="B1591" i="1"/>
  <c r="C1591" i="1"/>
  <c r="D1591" i="1"/>
  <c r="E1591" i="1"/>
  <c r="F1591" i="1"/>
  <c r="G1591" i="1"/>
  <c r="H1591" i="1"/>
  <c r="I1591" i="1"/>
  <c r="J1591" i="1"/>
  <c r="K1591" i="1"/>
  <c r="L1591" i="1"/>
  <c r="M1591" i="1"/>
  <c r="N1591" i="1"/>
  <c r="O1591" i="1"/>
  <c r="P1591" i="1"/>
  <c r="Q1591" i="1"/>
  <c r="R1591" i="1"/>
  <c r="S1591" i="1"/>
  <c r="T1591" i="1"/>
  <c r="U1591" i="1"/>
  <c r="V1591" i="1"/>
  <c r="W1591" i="1"/>
  <c r="X1591" i="1"/>
  <c r="Y1591" i="1"/>
  <c r="Z1591" i="1"/>
  <c r="AA1591" i="1"/>
  <c r="AB1591" i="1"/>
  <c r="AC1591" i="1"/>
  <c r="AD1591" i="1"/>
  <c r="AE1591" i="1"/>
  <c r="AF1591" i="1"/>
  <c r="AG1591" i="1"/>
  <c r="AH1591" i="1"/>
  <c r="AI1591" i="1"/>
  <c r="AJ1591" i="1"/>
  <c r="AK1591" i="1"/>
  <c r="AL1591" i="1"/>
  <c r="AM1591" i="1"/>
  <c r="A1592" i="1"/>
  <c r="B1592" i="1"/>
  <c r="C1592" i="1"/>
  <c r="D1592" i="1"/>
  <c r="E1592" i="1"/>
  <c r="F1592" i="1"/>
  <c r="G1592" i="1"/>
  <c r="H1592" i="1"/>
  <c r="I1592" i="1"/>
  <c r="J1592" i="1"/>
  <c r="K1592" i="1"/>
  <c r="L1592" i="1"/>
  <c r="M1592" i="1"/>
  <c r="N1592" i="1"/>
  <c r="O1592" i="1"/>
  <c r="P1592" i="1"/>
  <c r="Q1592" i="1"/>
  <c r="R1592" i="1"/>
  <c r="S1592" i="1"/>
  <c r="T1592" i="1"/>
  <c r="U1592" i="1"/>
  <c r="V1592" i="1"/>
  <c r="W1592" i="1"/>
  <c r="X1592" i="1"/>
  <c r="Y1592" i="1"/>
  <c r="Z1592" i="1"/>
  <c r="AA1592" i="1"/>
  <c r="AB1592" i="1"/>
  <c r="AC1592" i="1"/>
  <c r="AD1592" i="1"/>
  <c r="AE1592" i="1"/>
  <c r="AF1592" i="1"/>
  <c r="AG1592" i="1"/>
  <c r="AH1592" i="1"/>
  <c r="AI1592" i="1"/>
  <c r="AJ1592" i="1"/>
  <c r="AK1592" i="1"/>
  <c r="AL1592" i="1"/>
  <c r="AM1592" i="1"/>
  <c r="A1593" i="1"/>
  <c r="B1593" i="1"/>
  <c r="C1593" i="1"/>
  <c r="D1593" i="1"/>
  <c r="E1593" i="1"/>
  <c r="F1593" i="1"/>
  <c r="G1593" i="1"/>
  <c r="H1593" i="1"/>
  <c r="I1593" i="1"/>
  <c r="J1593" i="1"/>
  <c r="K1593" i="1"/>
  <c r="L1593" i="1"/>
  <c r="M1593" i="1"/>
  <c r="N1593" i="1"/>
  <c r="O1593" i="1"/>
  <c r="P1593" i="1"/>
  <c r="Q1593" i="1"/>
  <c r="R1593" i="1"/>
  <c r="S1593" i="1"/>
  <c r="T1593" i="1"/>
  <c r="U1593" i="1"/>
  <c r="V1593" i="1"/>
  <c r="W1593" i="1"/>
  <c r="X1593" i="1"/>
  <c r="Y1593" i="1"/>
  <c r="Z1593" i="1"/>
  <c r="AA1593" i="1"/>
  <c r="AB1593" i="1"/>
  <c r="AC1593" i="1"/>
  <c r="AD1593" i="1"/>
  <c r="AE1593" i="1"/>
  <c r="AF1593" i="1"/>
  <c r="AG1593" i="1"/>
  <c r="AH1593" i="1"/>
  <c r="AI1593" i="1"/>
  <c r="AJ1593" i="1"/>
  <c r="AK1593" i="1"/>
  <c r="AL1593" i="1"/>
  <c r="AM1593" i="1"/>
  <c r="A1594" i="1"/>
  <c r="B1594" i="1"/>
  <c r="C1594" i="1"/>
  <c r="D1594" i="1"/>
  <c r="E1594" i="1"/>
  <c r="F1594" i="1"/>
  <c r="G1594" i="1"/>
  <c r="H1594" i="1"/>
  <c r="I1594" i="1"/>
  <c r="J1594" i="1"/>
  <c r="K1594" i="1"/>
  <c r="L1594" i="1"/>
  <c r="M1594" i="1"/>
  <c r="N1594" i="1"/>
  <c r="O1594" i="1"/>
  <c r="P1594" i="1"/>
  <c r="Q1594" i="1"/>
  <c r="R1594" i="1"/>
  <c r="S1594" i="1"/>
  <c r="T1594" i="1"/>
  <c r="U1594" i="1"/>
  <c r="V1594" i="1"/>
  <c r="W1594" i="1"/>
  <c r="X1594" i="1"/>
  <c r="Y1594" i="1"/>
  <c r="Z1594" i="1"/>
  <c r="AA1594" i="1"/>
  <c r="AB1594" i="1"/>
  <c r="AC1594" i="1"/>
  <c r="AD1594" i="1"/>
  <c r="AE1594" i="1"/>
  <c r="AF1594" i="1"/>
  <c r="AG1594" i="1"/>
  <c r="AH1594" i="1"/>
  <c r="AI1594" i="1"/>
  <c r="AJ1594" i="1"/>
  <c r="AK1594" i="1"/>
  <c r="AL1594" i="1"/>
  <c r="AM1594" i="1"/>
  <c r="A1595" i="1"/>
  <c r="B1595" i="1"/>
  <c r="C1595" i="1"/>
  <c r="D1595" i="1"/>
  <c r="E1595" i="1"/>
  <c r="F1595" i="1"/>
  <c r="G1595" i="1"/>
  <c r="H1595" i="1"/>
  <c r="I1595" i="1"/>
  <c r="J1595" i="1"/>
  <c r="K1595" i="1"/>
  <c r="L1595" i="1"/>
  <c r="M1595" i="1"/>
  <c r="N1595" i="1"/>
  <c r="O1595" i="1"/>
  <c r="P1595" i="1"/>
  <c r="Q1595" i="1"/>
  <c r="R1595" i="1"/>
  <c r="S1595" i="1"/>
  <c r="T1595" i="1"/>
  <c r="U1595" i="1"/>
  <c r="V1595" i="1"/>
  <c r="W1595" i="1"/>
  <c r="X1595" i="1"/>
  <c r="Y1595" i="1"/>
  <c r="Z1595" i="1"/>
  <c r="AA1595" i="1"/>
  <c r="AB1595" i="1"/>
  <c r="AC1595" i="1"/>
  <c r="AD1595" i="1"/>
  <c r="AE1595" i="1"/>
  <c r="AF1595" i="1"/>
  <c r="AG1595" i="1"/>
  <c r="AH1595" i="1"/>
  <c r="AI1595" i="1"/>
  <c r="AJ1595" i="1"/>
  <c r="AK1595" i="1"/>
  <c r="AL1595" i="1"/>
  <c r="AM1595" i="1"/>
  <c r="A1596" i="1"/>
  <c r="B1596" i="1"/>
  <c r="C1596" i="1"/>
  <c r="D1596" i="1"/>
  <c r="E1596" i="1"/>
  <c r="F1596" i="1"/>
  <c r="G1596" i="1"/>
  <c r="H1596" i="1"/>
  <c r="I1596" i="1"/>
  <c r="J1596" i="1"/>
  <c r="K1596" i="1"/>
  <c r="L1596" i="1"/>
  <c r="M1596" i="1"/>
  <c r="N1596" i="1"/>
  <c r="O1596" i="1"/>
  <c r="P1596" i="1"/>
  <c r="Q1596" i="1"/>
  <c r="R1596" i="1"/>
  <c r="S1596" i="1"/>
  <c r="T1596" i="1"/>
  <c r="U1596" i="1"/>
  <c r="V1596" i="1"/>
  <c r="W1596" i="1"/>
  <c r="X1596" i="1"/>
  <c r="Y1596" i="1"/>
  <c r="Z1596" i="1"/>
  <c r="AA1596" i="1"/>
  <c r="AB1596" i="1"/>
  <c r="AC1596" i="1"/>
  <c r="AD1596" i="1"/>
  <c r="AE1596" i="1"/>
  <c r="AF1596" i="1"/>
  <c r="AG1596" i="1"/>
  <c r="AH1596" i="1"/>
  <c r="AI1596" i="1"/>
  <c r="AJ1596" i="1"/>
  <c r="AK1596" i="1"/>
  <c r="AL1596" i="1"/>
  <c r="AM1596" i="1"/>
  <c r="A1597" i="1"/>
  <c r="B1597" i="1"/>
  <c r="C1597" i="1"/>
  <c r="D1597" i="1"/>
  <c r="E1597" i="1"/>
  <c r="F1597" i="1"/>
  <c r="G1597" i="1"/>
  <c r="H1597" i="1"/>
  <c r="I1597" i="1"/>
  <c r="J1597" i="1"/>
  <c r="K1597" i="1"/>
  <c r="L1597" i="1"/>
  <c r="M1597" i="1"/>
  <c r="N1597" i="1"/>
  <c r="O1597" i="1"/>
  <c r="P1597" i="1"/>
  <c r="Q1597" i="1"/>
  <c r="R1597" i="1"/>
  <c r="S1597" i="1"/>
  <c r="T1597" i="1"/>
  <c r="U1597" i="1"/>
  <c r="V1597" i="1"/>
  <c r="W1597" i="1"/>
  <c r="X1597" i="1"/>
  <c r="Y1597" i="1"/>
  <c r="Z1597" i="1"/>
  <c r="AA1597" i="1"/>
  <c r="AB1597" i="1"/>
  <c r="AC1597" i="1"/>
  <c r="AD1597" i="1"/>
  <c r="AE1597" i="1"/>
  <c r="AF1597" i="1"/>
  <c r="AG1597" i="1"/>
  <c r="AH1597" i="1"/>
  <c r="AI1597" i="1"/>
  <c r="AJ1597" i="1"/>
  <c r="AK1597" i="1"/>
  <c r="AL1597" i="1"/>
  <c r="AM1597" i="1"/>
  <c r="A1598" i="1"/>
  <c r="B1598" i="1"/>
  <c r="C1598" i="1"/>
  <c r="D1598" i="1"/>
  <c r="E1598" i="1"/>
  <c r="F1598" i="1"/>
  <c r="G1598" i="1"/>
  <c r="H1598" i="1"/>
  <c r="I1598" i="1"/>
  <c r="J1598" i="1"/>
  <c r="K1598" i="1"/>
  <c r="L1598" i="1"/>
  <c r="M1598" i="1"/>
  <c r="N1598" i="1"/>
  <c r="O1598" i="1"/>
  <c r="P1598" i="1"/>
  <c r="Q1598" i="1"/>
  <c r="R1598" i="1"/>
  <c r="S1598" i="1"/>
  <c r="T1598" i="1"/>
  <c r="U1598" i="1"/>
  <c r="V1598" i="1"/>
  <c r="W1598" i="1"/>
  <c r="X1598" i="1"/>
  <c r="Y1598" i="1"/>
  <c r="Z1598" i="1"/>
  <c r="AA1598" i="1"/>
  <c r="AB1598" i="1"/>
  <c r="AC1598" i="1"/>
  <c r="AD1598" i="1"/>
  <c r="AE1598" i="1"/>
  <c r="AF1598" i="1"/>
  <c r="AG1598" i="1"/>
  <c r="AH1598" i="1"/>
  <c r="AI1598" i="1"/>
  <c r="AJ1598" i="1"/>
  <c r="AK1598" i="1"/>
  <c r="AL1598" i="1"/>
  <c r="AM1598" i="1"/>
  <c r="A1599" i="1"/>
  <c r="B1599" i="1"/>
  <c r="C1599" i="1"/>
  <c r="D1599" i="1"/>
  <c r="E1599" i="1"/>
  <c r="F1599" i="1"/>
  <c r="G1599" i="1"/>
  <c r="H1599" i="1"/>
  <c r="I1599" i="1"/>
  <c r="J1599" i="1"/>
  <c r="K1599" i="1"/>
  <c r="L1599" i="1"/>
  <c r="M1599" i="1"/>
  <c r="N1599" i="1"/>
  <c r="O1599" i="1"/>
  <c r="P1599" i="1"/>
  <c r="Q1599" i="1"/>
  <c r="R1599" i="1"/>
  <c r="S1599" i="1"/>
  <c r="T1599" i="1"/>
  <c r="U1599" i="1"/>
  <c r="V1599" i="1"/>
  <c r="W1599" i="1"/>
  <c r="X1599" i="1"/>
  <c r="Y1599" i="1"/>
  <c r="Z1599" i="1"/>
  <c r="AA1599" i="1"/>
  <c r="AB1599" i="1"/>
  <c r="AC1599" i="1"/>
  <c r="AD1599" i="1"/>
  <c r="AE1599" i="1"/>
  <c r="AF1599" i="1"/>
  <c r="AG1599" i="1"/>
  <c r="AH1599" i="1"/>
  <c r="AI1599" i="1"/>
  <c r="AJ1599" i="1"/>
  <c r="AK1599" i="1"/>
  <c r="AL1599" i="1"/>
  <c r="AM1599" i="1"/>
  <c r="A1600" i="1"/>
  <c r="B1600" i="1"/>
  <c r="C1600" i="1"/>
  <c r="D1600" i="1"/>
  <c r="E1600" i="1"/>
  <c r="F1600" i="1"/>
  <c r="G1600" i="1"/>
  <c r="H1600" i="1"/>
  <c r="I1600" i="1"/>
  <c r="J1600" i="1"/>
  <c r="K1600" i="1"/>
  <c r="L1600" i="1"/>
  <c r="M1600" i="1"/>
  <c r="N1600" i="1"/>
  <c r="O1600" i="1"/>
  <c r="P1600" i="1"/>
  <c r="Q1600" i="1"/>
  <c r="R1600" i="1"/>
  <c r="S1600" i="1"/>
  <c r="T1600" i="1"/>
  <c r="U1600" i="1"/>
  <c r="V1600" i="1"/>
  <c r="W1600" i="1"/>
  <c r="X1600" i="1"/>
  <c r="Y1600" i="1"/>
  <c r="Z1600" i="1"/>
  <c r="AA1600" i="1"/>
  <c r="AB1600" i="1"/>
  <c r="AC1600" i="1"/>
  <c r="AD1600" i="1"/>
  <c r="AE1600" i="1"/>
  <c r="AF1600" i="1"/>
  <c r="AG1600" i="1"/>
  <c r="AH1600" i="1"/>
  <c r="AI1600" i="1"/>
  <c r="AJ1600" i="1"/>
  <c r="AK1600" i="1"/>
  <c r="AL1600" i="1"/>
  <c r="AM1600" i="1"/>
  <c r="A1601" i="1"/>
  <c r="B1601" i="1"/>
  <c r="C1601" i="1"/>
  <c r="D1601" i="1"/>
  <c r="E1601" i="1"/>
  <c r="F1601" i="1"/>
  <c r="G1601" i="1"/>
  <c r="H1601" i="1"/>
  <c r="I1601" i="1"/>
  <c r="J1601" i="1"/>
  <c r="K1601" i="1"/>
  <c r="L1601" i="1"/>
  <c r="M1601" i="1"/>
  <c r="N1601" i="1"/>
  <c r="O1601" i="1"/>
  <c r="P1601" i="1"/>
  <c r="Q1601" i="1"/>
  <c r="R1601" i="1"/>
  <c r="S1601" i="1"/>
  <c r="T1601" i="1"/>
  <c r="U1601" i="1"/>
  <c r="V1601" i="1"/>
  <c r="W1601" i="1"/>
  <c r="X1601" i="1"/>
  <c r="Y1601" i="1"/>
  <c r="Z1601" i="1"/>
  <c r="AA1601" i="1"/>
  <c r="AB1601" i="1"/>
  <c r="AC1601" i="1"/>
  <c r="AD1601" i="1"/>
  <c r="AE1601" i="1"/>
  <c r="AF1601" i="1"/>
  <c r="AG1601" i="1"/>
  <c r="AH1601" i="1"/>
  <c r="AI1601" i="1"/>
  <c r="AJ1601" i="1"/>
  <c r="AK1601" i="1"/>
  <c r="AL1601" i="1"/>
  <c r="AM1601" i="1"/>
  <c r="A1602" i="1"/>
  <c r="B1602" i="1"/>
  <c r="C1602" i="1"/>
  <c r="D1602" i="1"/>
  <c r="E1602" i="1"/>
  <c r="F1602" i="1"/>
  <c r="G1602" i="1"/>
  <c r="H1602" i="1"/>
  <c r="I1602" i="1"/>
  <c r="J1602" i="1"/>
  <c r="K1602" i="1"/>
  <c r="L1602" i="1"/>
  <c r="M1602" i="1"/>
  <c r="N1602" i="1"/>
  <c r="O1602" i="1"/>
  <c r="P1602" i="1"/>
  <c r="Q1602" i="1"/>
  <c r="R1602" i="1"/>
  <c r="S1602" i="1"/>
  <c r="T1602" i="1"/>
  <c r="U1602" i="1"/>
  <c r="V1602" i="1"/>
  <c r="W1602" i="1"/>
  <c r="X1602" i="1"/>
  <c r="Y1602" i="1"/>
  <c r="Z1602" i="1"/>
  <c r="AA1602" i="1"/>
  <c r="AB1602" i="1"/>
  <c r="AC1602" i="1"/>
  <c r="AD1602" i="1"/>
  <c r="AE1602" i="1"/>
  <c r="AF1602" i="1"/>
  <c r="AG1602" i="1"/>
  <c r="AH1602" i="1"/>
  <c r="AI1602" i="1"/>
  <c r="AJ1602" i="1"/>
  <c r="AK1602" i="1"/>
  <c r="AL1602" i="1"/>
  <c r="AM1602" i="1"/>
  <c r="A1603" i="1"/>
  <c r="B1603" i="1"/>
  <c r="C1603" i="1"/>
  <c r="D1603" i="1"/>
  <c r="E1603" i="1"/>
  <c r="F1603" i="1"/>
  <c r="G1603" i="1"/>
  <c r="H1603" i="1"/>
  <c r="I1603" i="1"/>
  <c r="J1603" i="1"/>
  <c r="K1603" i="1"/>
  <c r="L1603" i="1"/>
  <c r="M1603" i="1"/>
  <c r="N1603" i="1"/>
  <c r="O1603" i="1"/>
  <c r="P1603" i="1"/>
  <c r="Q1603" i="1"/>
  <c r="R1603" i="1"/>
  <c r="S1603" i="1"/>
  <c r="T1603" i="1"/>
  <c r="U1603" i="1"/>
  <c r="V1603" i="1"/>
  <c r="W1603" i="1"/>
  <c r="X1603" i="1"/>
  <c r="Y1603" i="1"/>
  <c r="Z1603" i="1"/>
  <c r="AA1603" i="1"/>
  <c r="AB1603" i="1"/>
  <c r="AC1603" i="1"/>
  <c r="AD1603" i="1"/>
  <c r="AE1603" i="1"/>
  <c r="AF1603" i="1"/>
  <c r="AG1603" i="1"/>
  <c r="AH1603" i="1"/>
  <c r="AI1603" i="1"/>
  <c r="AJ1603" i="1"/>
  <c r="AK1603" i="1"/>
  <c r="AL1603" i="1"/>
  <c r="AM1603" i="1"/>
  <c r="A1604" i="1"/>
  <c r="B1604" i="1"/>
  <c r="C1604" i="1"/>
  <c r="D1604" i="1"/>
  <c r="E1604" i="1"/>
  <c r="F1604" i="1"/>
  <c r="G1604" i="1"/>
  <c r="H1604" i="1"/>
  <c r="I1604" i="1"/>
  <c r="J1604" i="1"/>
  <c r="K1604" i="1"/>
  <c r="L1604" i="1"/>
  <c r="M1604" i="1"/>
  <c r="N1604" i="1"/>
  <c r="O1604" i="1"/>
  <c r="P1604" i="1"/>
  <c r="Q1604" i="1"/>
  <c r="R1604" i="1"/>
  <c r="S1604" i="1"/>
  <c r="T1604" i="1"/>
  <c r="U1604" i="1"/>
  <c r="V1604" i="1"/>
  <c r="W1604" i="1"/>
  <c r="X1604" i="1"/>
  <c r="Y1604" i="1"/>
  <c r="Z1604" i="1"/>
  <c r="AA1604" i="1"/>
  <c r="AB1604" i="1"/>
  <c r="AC1604" i="1"/>
  <c r="AD1604" i="1"/>
  <c r="AE1604" i="1"/>
  <c r="AF1604" i="1"/>
  <c r="AG1604" i="1"/>
  <c r="AH1604" i="1"/>
  <c r="AI1604" i="1"/>
  <c r="AJ1604" i="1"/>
  <c r="AK1604" i="1"/>
  <c r="AL1604" i="1"/>
  <c r="AM1604" i="1"/>
  <c r="A1605" i="1"/>
  <c r="B1605" i="1"/>
  <c r="C1605" i="1"/>
  <c r="D1605" i="1"/>
  <c r="E1605" i="1"/>
  <c r="F1605" i="1"/>
  <c r="G1605" i="1"/>
  <c r="H1605" i="1"/>
  <c r="I1605" i="1"/>
  <c r="J1605" i="1"/>
  <c r="K1605" i="1"/>
  <c r="L1605" i="1"/>
  <c r="M1605" i="1"/>
  <c r="N1605" i="1"/>
  <c r="O1605" i="1"/>
  <c r="P1605" i="1"/>
  <c r="Q1605" i="1"/>
  <c r="R1605" i="1"/>
  <c r="S1605" i="1"/>
  <c r="T1605" i="1"/>
  <c r="U1605" i="1"/>
  <c r="V1605" i="1"/>
  <c r="W1605" i="1"/>
  <c r="X1605" i="1"/>
  <c r="Y1605" i="1"/>
  <c r="Z1605" i="1"/>
  <c r="AA1605" i="1"/>
  <c r="AB1605" i="1"/>
  <c r="AC1605" i="1"/>
  <c r="AD1605" i="1"/>
  <c r="AE1605" i="1"/>
  <c r="AF1605" i="1"/>
  <c r="AG1605" i="1"/>
  <c r="AH1605" i="1"/>
  <c r="AI1605" i="1"/>
  <c r="AJ1605" i="1"/>
  <c r="AK1605" i="1"/>
  <c r="AL1605" i="1"/>
  <c r="AM1605" i="1"/>
  <c r="A1606" i="1"/>
  <c r="B1606" i="1"/>
  <c r="C1606" i="1"/>
  <c r="D1606" i="1"/>
  <c r="E1606" i="1"/>
  <c r="F1606" i="1"/>
  <c r="G1606" i="1"/>
  <c r="H1606" i="1"/>
  <c r="I1606" i="1"/>
  <c r="J1606" i="1"/>
  <c r="K1606" i="1"/>
  <c r="L1606" i="1"/>
  <c r="M1606" i="1"/>
  <c r="N1606" i="1"/>
  <c r="O1606" i="1"/>
  <c r="P1606" i="1"/>
  <c r="Q1606" i="1"/>
  <c r="R1606" i="1"/>
  <c r="S1606" i="1"/>
  <c r="T1606" i="1"/>
  <c r="U1606" i="1"/>
  <c r="V1606" i="1"/>
  <c r="W1606" i="1"/>
  <c r="X1606" i="1"/>
  <c r="Y1606" i="1"/>
  <c r="Z1606" i="1"/>
  <c r="AA1606" i="1"/>
  <c r="AB1606" i="1"/>
  <c r="AC1606" i="1"/>
  <c r="AD1606" i="1"/>
  <c r="AE1606" i="1"/>
  <c r="AF1606" i="1"/>
  <c r="AG1606" i="1"/>
  <c r="AH1606" i="1"/>
  <c r="AI1606" i="1"/>
  <c r="AJ1606" i="1"/>
  <c r="AK1606" i="1"/>
  <c r="AL1606" i="1"/>
  <c r="AM1606" i="1"/>
  <c r="A1607" i="1"/>
  <c r="B1607" i="1"/>
  <c r="C1607" i="1"/>
  <c r="D1607" i="1"/>
  <c r="E1607" i="1"/>
  <c r="F1607" i="1"/>
  <c r="G1607" i="1"/>
  <c r="H1607" i="1"/>
  <c r="I1607" i="1"/>
  <c r="J1607" i="1"/>
  <c r="K1607" i="1"/>
  <c r="L1607" i="1"/>
  <c r="M1607" i="1"/>
  <c r="N1607" i="1"/>
  <c r="O1607" i="1"/>
  <c r="P1607" i="1"/>
  <c r="Q1607" i="1"/>
  <c r="R1607" i="1"/>
  <c r="S1607" i="1"/>
  <c r="T1607" i="1"/>
  <c r="U1607" i="1"/>
  <c r="V1607" i="1"/>
  <c r="W1607" i="1"/>
  <c r="X1607" i="1"/>
  <c r="Y1607" i="1"/>
  <c r="Z1607" i="1"/>
  <c r="AA1607" i="1"/>
  <c r="AB1607" i="1"/>
  <c r="AC1607" i="1"/>
  <c r="AD1607" i="1"/>
  <c r="AE1607" i="1"/>
  <c r="AF1607" i="1"/>
  <c r="AG1607" i="1"/>
  <c r="AH1607" i="1"/>
  <c r="AI1607" i="1"/>
  <c r="AJ1607" i="1"/>
  <c r="AK1607" i="1"/>
  <c r="AL1607" i="1"/>
  <c r="AM1607" i="1"/>
  <c r="A1608" i="1"/>
  <c r="B1608" i="1"/>
  <c r="C1608" i="1"/>
  <c r="D1608" i="1"/>
  <c r="E1608" i="1"/>
  <c r="F1608" i="1"/>
  <c r="G1608" i="1"/>
  <c r="H1608" i="1"/>
  <c r="I1608" i="1"/>
  <c r="J1608" i="1"/>
  <c r="K1608" i="1"/>
  <c r="L1608" i="1"/>
  <c r="M1608" i="1"/>
  <c r="N1608" i="1"/>
  <c r="O1608" i="1"/>
  <c r="P1608" i="1"/>
  <c r="Q1608" i="1"/>
  <c r="R1608" i="1"/>
  <c r="S1608" i="1"/>
  <c r="T1608" i="1"/>
  <c r="U1608" i="1"/>
  <c r="V1608" i="1"/>
  <c r="W1608" i="1"/>
  <c r="X1608" i="1"/>
  <c r="Y1608" i="1"/>
  <c r="Z1608" i="1"/>
  <c r="AA1608" i="1"/>
  <c r="AB1608" i="1"/>
  <c r="AC1608" i="1"/>
  <c r="AD1608" i="1"/>
  <c r="AE1608" i="1"/>
  <c r="AF1608" i="1"/>
  <c r="AG1608" i="1"/>
  <c r="AH1608" i="1"/>
  <c r="AI1608" i="1"/>
  <c r="AJ1608" i="1"/>
  <c r="AK1608" i="1"/>
  <c r="AL1608" i="1"/>
  <c r="AM1608" i="1"/>
  <c r="A1609" i="1"/>
  <c r="B1609" i="1"/>
  <c r="C1609" i="1"/>
  <c r="D1609" i="1"/>
  <c r="E1609" i="1"/>
  <c r="F1609" i="1"/>
  <c r="G1609" i="1"/>
  <c r="H1609" i="1"/>
  <c r="I1609" i="1"/>
  <c r="J1609" i="1"/>
  <c r="K1609" i="1"/>
  <c r="L1609" i="1"/>
  <c r="M1609" i="1"/>
  <c r="N1609" i="1"/>
  <c r="O1609" i="1"/>
  <c r="P1609" i="1"/>
  <c r="Q1609" i="1"/>
  <c r="R1609" i="1"/>
  <c r="S1609" i="1"/>
  <c r="T1609" i="1"/>
  <c r="U1609" i="1"/>
  <c r="V1609" i="1"/>
  <c r="W1609" i="1"/>
  <c r="X1609" i="1"/>
  <c r="Y1609" i="1"/>
  <c r="Z1609" i="1"/>
  <c r="AA1609" i="1"/>
  <c r="AB1609" i="1"/>
  <c r="AC1609" i="1"/>
  <c r="AD1609" i="1"/>
  <c r="AE1609" i="1"/>
  <c r="AF1609" i="1"/>
  <c r="AG1609" i="1"/>
  <c r="AH1609" i="1"/>
  <c r="AI1609" i="1"/>
  <c r="AJ1609" i="1"/>
  <c r="AK1609" i="1"/>
  <c r="AL1609" i="1"/>
  <c r="AM1609" i="1"/>
  <c r="A1610" i="1"/>
  <c r="B1610" i="1"/>
  <c r="C1610" i="1"/>
  <c r="D1610" i="1"/>
  <c r="E1610" i="1"/>
  <c r="F1610" i="1"/>
  <c r="G1610" i="1"/>
  <c r="H1610" i="1"/>
  <c r="I1610" i="1"/>
  <c r="J1610" i="1"/>
  <c r="K1610" i="1"/>
  <c r="L1610" i="1"/>
  <c r="M1610" i="1"/>
  <c r="N1610" i="1"/>
  <c r="O1610" i="1"/>
  <c r="P1610" i="1"/>
  <c r="Q1610" i="1"/>
  <c r="R1610" i="1"/>
  <c r="S1610" i="1"/>
  <c r="T1610" i="1"/>
  <c r="U1610" i="1"/>
  <c r="V1610" i="1"/>
  <c r="W1610" i="1"/>
  <c r="X1610" i="1"/>
  <c r="Y1610" i="1"/>
  <c r="Z1610" i="1"/>
  <c r="AA1610" i="1"/>
  <c r="AB1610" i="1"/>
  <c r="AC1610" i="1"/>
  <c r="AD1610" i="1"/>
  <c r="AE1610" i="1"/>
  <c r="AF1610" i="1"/>
  <c r="AG1610" i="1"/>
  <c r="AH1610" i="1"/>
  <c r="AI1610" i="1"/>
  <c r="AJ1610" i="1"/>
  <c r="AK1610" i="1"/>
  <c r="AL1610" i="1"/>
  <c r="AM1610" i="1"/>
  <c r="A1611" i="1"/>
  <c r="B1611" i="1"/>
  <c r="C1611" i="1"/>
  <c r="D1611" i="1"/>
  <c r="E1611" i="1"/>
  <c r="F1611" i="1"/>
  <c r="G1611" i="1"/>
  <c r="H1611" i="1"/>
  <c r="I1611" i="1"/>
  <c r="J1611" i="1"/>
  <c r="K1611" i="1"/>
  <c r="L1611" i="1"/>
  <c r="M1611" i="1"/>
  <c r="N1611" i="1"/>
  <c r="O1611" i="1"/>
  <c r="P1611" i="1"/>
  <c r="Q1611" i="1"/>
  <c r="R1611" i="1"/>
  <c r="S1611" i="1"/>
  <c r="T1611" i="1"/>
  <c r="U1611" i="1"/>
  <c r="V1611" i="1"/>
  <c r="W1611" i="1"/>
  <c r="X1611" i="1"/>
  <c r="Y1611" i="1"/>
  <c r="Z1611" i="1"/>
  <c r="AA1611" i="1"/>
  <c r="AB1611" i="1"/>
  <c r="AC1611" i="1"/>
  <c r="AD1611" i="1"/>
  <c r="AE1611" i="1"/>
  <c r="AF1611" i="1"/>
  <c r="AG1611" i="1"/>
  <c r="AH1611" i="1"/>
  <c r="AI1611" i="1"/>
  <c r="AJ1611" i="1"/>
  <c r="AK1611" i="1"/>
  <c r="AL1611" i="1"/>
  <c r="AM1611" i="1"/>
  <c r="A1612" i="1"/>
  <c r="B1612" i="1"/>
  <c r="C1612" i="1"/>
  <c r="D1612" i="1"/>
  <c r="E1612" i="1"/>
  <c r="F1612" i="1"/>
  <c r="G1612" i="1"/>
  <c r="H1612" i="1"/>
  <c r="I1612" i="1"/>
  <c r="J1612" i="1"/>
  <c r="K1612" i="1"/>
  <c r="L1612" i="1"/>
  <c r="M1612" i="1"/>
  <c r="N1612" i="1"/>
  <c r="O1612" i="1"/>
  <c r="P1612" i="1"/>
  <c r="Q1612" i="1"/>
  <c r="R1612" i="1"/>
  <c r="S1612" i="1"/>
  <c r="T1612" i="1"/>
  <c r="U1612" i="1"/>
  <c r="V1612" i="1"/>
  <c r="W1612" i="1"/>
  <c r="X1612" i="1"/>
  <c r="Y1612" i="1"/>
  <c r="Z1612" i="1"/>
  <c r="AA1612" i="1"/>
  <c r="AB1612" i="1"/>
  <c r="AC1612" i="1"/>
  <c r="AD1612" i="1"/>
  <c r="AE1612" i="1"/>
  <c r="AF1612" i="1"/>
  <c r="AG1612" i="1"/>
  <c r="AH1612" i="1"/>
  <c r="AI1612" i="1"/>
  <c r="AJ1612" i="1"/>
  <c r="AK1612" i="1"/>
  <c r="AL1612" i="1"/>
  <c r="AM1612" i="1"/>
  <c r="A1613" i="1"/>
  <c r="B1613" i="1"/>
  <c r="C1613" i="1"/>
  <c r="D1613" i="1"/>
  <c r="E1613" i="1"/>
  <c r="F1613" i="1"/>
  <c r="G1613" i="1"/>
  <c r="H1613" i="1"/>
  <c r="I1613" i="1"/>
  <c r="J1613" i="1"/>
  <c r="K1613" i="1"/>
  <c r="L1613" i="1"/>
  <c r="M1613" i="1"/>
  <c r="N1613" i="1"/>
  <c r="O1613" i="1"/>
  <c r="P1613" i="1"/>
  <c r="Q1613" i="1"/>
  <c r="R1613" i="1"/>
  <c r="S1613" i="1"/>
  <c r="T1613" i="1"/>
  <c r="U1613" i="1"/>
  <c r="V1613" i="1"/>
  <c r="W1613" i="1"/>
  <c r="X1613" i="1"/>
  <c r="Y1613" i="1"/>
  <c r="Z1613" i="1"/>
  <c r="AA1613" i="1"/>
  <c r="AB1613" i="1"/>
  <c r="AC1613" i="1"/>
  <c r="AD1613" i="1"/>
  <c r="AE1613" i="1"/>
  <c r="AF1613" i="1"/>
  <c r="AG1613" i="1"/>
  <c r="AH1613" i="1"/>
  <c r="AI1613" i="1"/>
  <c r="AJ1613" i="1"/>
  <c r="AK1613" i="1"/>
  <c r="AL1613" i="1"/>
  <c r="AM1613" i="1"/>
  <c r="A1614" i="1"/>
  <c r="B1614" i="1"/>
  <c r="C1614" i="1"/>
  <c r="D1614" i="1"/>
  <c r="E1614" i="1"/>
  <c r="F1614" i="1"/>
  <c r="G1614" i="1"/>
  <c r="H1614" i="1"/>
  <c r="I1614" i="1"/>
  <c r="J1614" i="1"/>
  <c r="K1614" i="1"/>
  <c r="L1614" i="1"/>
  <c r="M1614" i="1"/>
  <c r="N1614" i="1"/>
  <c r="O1614" i="1"/>
  <c r="P1614" i="1"/>
  <c r="Q1614" i="1"/>
  <c r="R1614" i="1"/>
  <c r="S1614" i="1"/>
  <c r="T1614" i="1"/>
  <c r="U1614" i="1"/>
  <c r="V1614" i="1"/>
  <c r="W1614" i="1"/>
  <c r="X1614" i="1"/>
  <c r="Y1614" i="1"/>
  <c r="Z1614" i="1"/>
  <c r="AA1614" i="1"/>
  <c r="AB1614" i="1"/>
  <c r="AC1614" i="1"/>
  <c r="AD1614" i="1"/>
  <c r="AE1614" i="1"/>
  <c r="AF1614" i="1"/>
  <c r="AG1614" i="1"/>
  <c r="AH1614" i="1"/>
  <c r="AI1614" i="1"/>
  <c r="AJ1614" i="1"/>
  <c r="AK1614" i="1"/>
  <c r="AL1614" i="1"/>
  <c r="AM1614" i="1"/>
  <c r="A1615" i="1"/>
  <c r="B1615" i="1"/>
  <c r="C1615" i="1"/>
  <c r="D1615" i="1"/>
  <c r="E1615" i="1"/>
  <c r="F1615" i="1"/>
  <c r="G1615" i="1"/>
  <c r="H1615" i="1"/>
  <c r="I1615" i="1"/>
  <c r="J1615" i="1"/>
  <c r="K1615" i="1"/>
  <c r="L1615" i="1"/>
  <c r="M1615" i="1"/>
  <c r="N1615" i="1"/>
  <c r="O1615" i="1"/>
  <c r="P1615" i="1"/>
  <c r="Q1615" i="1"/>
  <c r="R1615" i="1"/>
  <c r="S1615" i="1"/>
  <c r="T1615" i="1"/>
  <c r="U1615" i="1"/>
  <c r="V1615" i="1"/>
  <c r="W1615" i="1"/>
  <c r="X1615" i="1"/>
  <c r="Y1615" i="1"/>
  <c r="Z1615" i="1"/>
  <c r="AA1615" i="1"/>
  <c r="AB1615" i="1"/>
  <c r="AC1615" i="1"/>
  <c r="AD1615" i="1"/>
  <c r="AE1615" i="1"/>
  <c r="AF1615" i="1"/>
  <c r="AG1615" i="1"/>
  <c r="AH1615" i="1"/>
  <c r="AI1615" i="1"/>
  <c r="AJ1615" i="1"/>
  <c r="AK1615" i="1"/>
  <c r="AL1615" i="1"/>
  <c r="AM1615" i="1"/>
  <c r="A1616" i="1"/>
  <c r="B1616" i="1"/>
  <c r="C1616" i="1"/>
  <c r="D1616" i="1"/>
  <c r="E1616" i="1"/>
  <c r="F1616" i="1"/>
  <c r="G1616" i="1"/>
  <c r="H1616" i="1"/>
  <c r="I1616" i="1"/>
  <c r="J1616" i="1"/>
  <c r="K1616" i="1"/>
  <c r="L1616" i="1"/>
  <c r="M1616" i="1"/>
  <c r="N1616" i="1"/>
  <c r="O1616" i="1"/>
  <c r="P1616" i="1"/>
  <c r="Q1616" i="1"/>
  <c r="R1616" i="1"/>
  <c r="S1616" i="1"/>
  <c r="T1616" i="1"/>
  <c r="U1616" i="1"/>
  <c r="V1616" i="1"/>
  <c r="W1616" i="1"/>
  <c r="X1616" i="1"/>
  <c r="Y1616" i="1"/>
  <c r="Z1616" i="1"/>
  <c r="AA1616" i="1"/>
  <c r="AB1616" i="1"/>
  <c r="AC1616" i="1"/>
  <c r="AD1616" i="1"/>
  <c r="AE1616" i="1"/>
  <c r="AF1616" i="1"/>
  <c r="AG1616" i="1"/>
  <c r="AH1616" i="1"/>
  <c r="AI1616" i="1"/>
  <c r="AJ1616" i="1"/>
  <c r="AK1616" i="1"/>
  <c r="AL1616" i="1"/>
  <c r="AM1616" i="1"/>
  <c r="A1617" i="1"/>
  <c r="B1617" i="1"/>
  <c r="C1617" i="1"/>
  <c r="D1617" i="1"/>
  <c r="E1617" i="1"/>
  <c r="F1617" i="1"/>
  <c r="G1617" i="1"/>
  <c r="H1617" i="1"/>
  <c r="I1617" i="1"/>
  <c r="J1617" i="1"/>
  <c r="K1617" i="1"/>
  <c r="L1617" i="1"/>
  <c r="M1617" i="1"/>
  <c r="N1617" i="1"/>
  <c r="O1617" i="1"/>
  <c r="P1617" i="1"/>
  <c r="Q1617" i="1"/>
  <c r="R1617" i="1"/>
  <c r="S1617" i="1"/>
  <c r="T1617" i="1"/>
  <c r="U1617" i="1"/>
  <c r="V1617" i="1"/>
  <c r="W1617" i="1"/>
  <c r="X1617" i="1"/>
  <c r="Y1617" i="1"/>
  <c r="Z1617" i="1"/>
  <c r="AA1617" i="1"/>
  <c r="AB1617" i="1"/>
  <c r="AC1617" i="1"/>
  <c r="AD1617" i="1"/>
  <c r="AE1617" i="1"/>
  <c r="AF1617" i="1"/>
  <c r="AG1617" i="1"/>
  <c r="AH1617" i="1"/>
  <c r="AI1617" i="1"/>
  <c r="AJ1617" i="1"/>
  <c r="AK1617" i="1"/>
  <c r="AL1617" i="1"/>
  <c r="AM1617" i="1"/>
  <c r="A1618" i="1"/>
  <c r="B1618" i="1"/>
  <c r="C1618" i="1"/>
  <c r="D1618" i="1"/>
  <c r="E1618" i="1"/>
  <c r="F1618" i="1"/>
  <c r="G1618" i="1"/>
  <c r="H1618" i="1"/>
  <c r="I1618" i="1"/>
  <c r="J1618" i="1"/>
  <c r="K1618" i="1"/>
  <c r="L1618" i="1"/>
  <c r="M1618" i="1"/>
  <c r="N1618" i="1"/>
  <c r="O1618" i="1"/>
  <c r="P1618" i="1"/>
  <c r="Q1618" i="1"/>
  <c r="R1618" i="1"/>
  <c r="S1618" i="1"/>
  <c r="T1618" i="1"/>
  <c r="U1618" i="1"/>
  <c r="V1618" i="1"/>
  <c r="W1618" i="1"/>
  <c r="X1618" i="1"/>
  <c r="Y1618" i="1"/>
  <c r="Z1618" i="1"/>
  <c r="AA1618" i="1"/>
  <c r="AB1618" i="1"/>
  <c r="AC1618" i="1"/>
  <c r="AD1618" i="1"/>
  <c r="AE1618" i="1"/>
  <c r="AF1618" i="1"/>
  <c r="AG1618" i="1"/>
  <c r="AH1618" i="1"/>
  <c r="AI1618" i="1"/>
  <c r="AJ1618" i="1"/>
  <c r="AK1618" i="1"/>
  <c r="AL1618" i="1"/>
  <c r="AM1618" i="1"/>
  <c r="A1619" i="1"/>
  <c r="B1619" i="1"/>
  <c r="C1619" i="1"/>
  <c r="D1619" i="1"/>
  <c r="E1619" i="1"/>
  <c r="F1619" i="1"/>
  <c r="G1619" i="1"/>
  <c r="H1619" i="1"/>
  <c r="I1619" i="1"/>
  <c r="J1619" i="1"/>
  <c r="K1619" i="1"/>
  <c r="L1619" i="1"/>
  <c r="M1619" i="1"/>
  <c r="N1619" i="1"/>
  <c r="O1619" i="1"/>
  <c r="P1619" i="1"/>
  <c r="Q1619" i="1"/>
  <c r="R1619" i="1"/>
  <c r="S1619" i="1"/>
  <c r="T1619" i="1"/>
  <c r="U1619" i="1"/>
  <c r="V1619" i="1"/>
  <c r="W1619" i="1"/>
  <c r="X1619" i="1"/>
  <c r="Y1619" i="1"/>
  <c r="Z1619" i="1"/>
  <c r="AA1619" i="1"/>
  <c r="AB1619" i="1"/>
  <c r="AC1619" i="1"/>
  <c r="AD1619" i="1"/>
  <c r="AE1619" i="1"/>
  <c r="AF1619" i="1"/>
  <c r="AG1619" i="1"/>
  <c r="AH1619" i="1"/>
  <c r="AI1619" i="1"/>
  <c r="AJ1619" i="1"/>
  <c r="AK1619" i="1"/>
  <c r="AL1619" i="1"/>
  <c r="AM1619" i="1"/>
  <c r="A1620" i="1"/>
  <c r="B1620" i="1"/>
  <c r="C1620" i="1"/>
  <c r="D1620" i="1"/>
  <c r="E1620" i="1"/>
  <c r="F1620" i="1"/>
  <c r="G1620" i="1"/>
  <c r="H1620" i="1"/>
  <c r="I1620" i="1"/>
  <c r="J1620" i="1"/>
  <c r="K1620" i="1"/>
  <c r="L1620" i="1"/>
  <c r="M1620" i="1"/>
  <c r="N1620" i="1"/>
  <c r="O1620" i="1"/>
  <c r="P1620" i="1"/>
  <c r="Q1620" i="1"/>
  <c r="R1620" i="1"/>
  <c r="S1620" i="1"/>
  <c r="T1620" i="1"/>
  <c r="U1620" i="1"/>
  <c r="V1620" i="1"/>
  <c r="W1620" i="1"/>
  <c r="X1620" i="1"/>
  <c r="Y1620" i="1"/>
  <c r="Z1620" i="1"/>
  <c r="AA1620" i="1"/>
  <c r="AB1620" i="1"/>
  <c r="AC1620" i="1"/>
  <c r="AD1620" i="1"/>
  <c r="AE1620" i="1"/>
  <c r="AF1620" i="1"/>
  <c r="AG1620" i="1"/>
  <c r="AH1620" i="1"/>
  <c r="AI1620" i="1"/>
  <c r="AJ1620" i="1"/>
  <c r="AK1620" i="1"/>
  <c r="AL1620" i="1"/>
  <c r="AM1620" i="1"/>
  <c r="A1621" i="1"/>
  <c r="B1621" i="1"/>
  <c r="C1621" i="1"/>
  <c r="D1621" i="1"/>
  <c r="E1621" i="1"/>
  <c r="F1621" i="1"/>
  <c r="G1621" i="1"/>
  <c r="H1621" i="1"/>
  <c r="I1621" i="1"/>
  <c r="J1621" i="1"/>
  <c r="K1621" i="1"/>
  <c r="L1621" i="1"/>
  <c r="M1621" i="1"/>
  <c r="N1621" i="1"/>
  <c r="O1621" i="1"/>
  <c r="P1621" i="1"/>
  <c r="Q1621" i="1"/>
  <c r="R1621" i="1"/>
  <c r="S1621" i="1"/>
  <c r="T1621" i="1"/>
  <c r="U1621" i="1"/>
  <c r="V1621" i="1"/>
  <c r="W1621" i="1"/>
  <c r="X1621" i="1"/>
  <c r="Y1621" i="1"/>
  <c r="Z1621" i="1"/>
  <c r="AA1621" i="1"/>
  <c r="AB1621" i="1"/>
  <c r="AC1621" i="1"/>
  <c r="AD1621" i="1"/>
  <c r="AE1621" i="1"/>
  <c r="AF1621" i="1"/>
  <c r="AG1621" i="1"/>
  <c r="AH1621" i="1"/>
  <c r="AI1621" i="1"/>
  <c r="AJ1621" i="1"/>
  <c r="AK1621" i="1"/>
  <c r="AL1621" i="1"/>
  <c r="AM1621" i="1"/>
  <c r="A1622" i="1"/>
  <c r="B1622" i="1"/>
  <c r="C1622" i="1"/>
  <c r="D1622" i="1"/>
  <c r="E1622" i="1"/>
  <c r="F1622" i="1"/>
  <c r="G1622" i="1"/>
  <c r="H1622" i="1"/>
  <c r="I1622" i="1"/>
  <c r="J1622" i="1"/>
  <c r="K1622" i="1"/>
  <c r="L1622" i="1"/>
  <c r="M1622" i="1"/>
  <c r="N1622" i="1"/>
  <c r="O1622" i="1"/>
  <c r="P1622" i="1"/>
  <c r="Q1622" i="1"/>
  <c r="R1622" i="1"/>
  <c r="S1622" i="1"/>
  <c r="T1622" i="1"/>
  <c r="U1622" i="1"/>
  <c r="V1622" i="1"/>
  <c r="W1622" i="1"/>
  <c r="X1622" i="1"/>
  <c r="Y1622" i="1"/>
  <c r="Z1622" i="1"/>
  <c r="AA1622" i="1"/>
  <c r="AB1622" i="1"/>
  <c r="AC1622" i="1"/>
  <c r="AD1622" i="1"/>
  <c r="AE1622" i="1"/>
  <c r="AF1622" i="1"/>
  <c r="AG1622" i="1"/>
  <c r="AH1622" i="1"/>
  <c r="AI1622" i="1"/>
  <c r="AJ1622" i="1"/>
  <c r="AK1622" i="1"/>
  <c r="AL1622" i="1"/>
  <c r="AM1622" i="1"/>
  <c r="A1623" i="1"/>
  <c r="B1623" i="1"/>
  <c r="C1623" i="1"/>
  <c r="D1623" i="1"/>
  <c r="E1623" i="1"/>
  <c r="F1623" i="1"/>
  <c r="G1623" i="1"/>
  <c r="H1623" i="1"/>
  <c r="I1623" i="1"/>
  <c r="J1623" i="1"/>
  <c r="K1623" i="1"/>
  <c r="L1623" i="1"/>
  <c r="M1623" i="1"/>
  <c r="N1623" i="1"/>
  <c r="O1623" i="1"/>
  <c r="P1623" i="1"/>
  <c r="Q1623" i="1"/>
  <c r="R1623" i="1"/>
  <c r="S1623" i="1"/>
  <c r="T1623" i="1"/>
  <c r="U1623" i="1"/>
  <c r="V1623" i="1"/>
  <c r="W1623" i="1"/>
  <c r="X1623" i="1"/>
  <c r="Y1623" i="1"/>
  <c r="Z1623" i="1"/>
  <c r="AA1623" i="1"/>
  <c r="AB1623" i="1"/>
  <c r="AC1623" i="1"/>
  <c r="AD1623" i="1"/>
  <c r="AE1623" i="1"/>
  <c r="AF1623" i="1"/>
  <c r="AG1623" i="1"/>
  <c r="AH1623" i="1"/>
  <c r="AI1623" i="1"/>
  <c r="AJ1623" i="1"/>
  <c r="AK1623" i="1"/>
  <c r="AL1623" i="1"/>
  <c r="AM1623" i="1"/>
  <c r="A1624" i="1"/>
  <c r="B1624" i="1"/>
  <c r="C1624" i="1"/>
  <c r="D1624" i="1"/>
  <c r="E1624" i="1"/>
  <c r="F1624" i="1"/>
  <c r="G1624" i="1"/>
  <c r="H1624" i="1"/>
  <c r="I1624" i="1"/>
  <c r="J1624" i="1"/>
  <c r="K1624" i="1"/>
  <c r="L1624" i="1"/>
  <c r="M1624" i="1"/>
  <c r="N1624" i="1"/>
  <c r="O1624" i="1"/>
  <c r="P1624" i="1"/>
  <c r="Q1624" i="1"/>
  <c r="R1624" i="1"/>
  <c r="S1624" i="1"/>
  <c r="T1624" i="1"/>
  <c r="U1624" i="1"/>
  <c r="V1624" i="1"/>
  <c r="W1624" i="1"/>
  <c r="X1624" i="1"/>
  <c r="Y1624" i="1"/>
  <c r="Z1624" i="1"/>
  <c r="AA1624" i="1"/>
  <c r="AB1624" i="1"/>
  <c r="AC1624" i="1"/>
  <c r="AD1624" i="1"/>
  <c r="AE1624" i="1"/>
  <c r="AF1624" i="1"/>
  <c r="AG1624" i="1"/>
  <c r="AH1624" i="1"/>
  <c r="AI1624" i="1"/>
  <c r="AJ1624" i="1"/>
  <c r="AK1624" i="1"/>
  <c r="AL1624" i="1"/>
  <c r="AM1624" i="1"/>
  <c r="A1625" i="1"/>
  <c r="B1625" i="1"/>
  <c r="C1625" i="1"/>
  <c r="D1625" i="1"/>
  <c r="E1625" i="1"/>
  <c r="F1625" i="1"/>
  <c r="G1625" i="1"/>
  <c r="H1625" i="1"/>
  <c r="I1625" i="1"/>
  <c r="J1625" i="1"/>
  <c r="K1625" i="1"/>
  <c r="L1625" i="1"/>
  <c r="M1625" i="1"/>
  <c r="N1625" i="1"/>
  <c r="O1625" i="1"/>
  <c r="P1625" i="1"/>
  <c r="Q1625" i="1"/>
  <c r="R1625" i="1"/>
  <c r="S1625" i="1"/>
  <c r="T1625" i="1"/>
  <c r="U1625" i="1"/>
  <c r="V1625" i="1"/>
  <c r="W1625" i="1"/>
  <c r="X1625" i="1"/>
  <c r="Y1625" i="1"/>
  <c r="Z1625" i="1"/>
  <c r="AA1625" i="1"/>
  <c r="AB1625" i="1"/>
  <c r="AC1625" i="1"/>
  <c r="AD1625" i="1"/>
  <c r="AE1625" i="1"/>
  <c r="AF1625" i="1"/>
  <c r="AG1625" i="1"/>
  <c r="AH1625" i="1"/>
  <c r="AI1625" i="1"/>
  <c r="AJ1625" i="1"/>
  <c r="AK1625" i="1"/>
  <c r="AL1625" i="1"/>
  <c r="AM1625" i="1"/>
  <c r="A1626" i="1"/>
  <c r="B1626" i="1"/>
  <c r="C1626" i="1"/>
  <c r="D1626" i="1"/>
  <c r="E1626" i="1"/>
  <c r="F1626" i="1"/>
  <c r="G1626" i="1"/>
  <c r="H1626" i="1"/>
  <c r="I1626" i="1"/>
  <c r="J1626" i="1"/>
  <c r="K1626" i="1"/>
  <c r="L1626" i="1"/>
  <c r="M1626" i="1"/>
  <c r="N1626" i="1"/>
  <c r="O1626" i="1"/>
  <c r="P1626" i="1"/>
  <c r="Q1626" i="1"/>
  <c r="R1626" i="1"/>
  <c r="S1626" i="1"/>
  <c r="T1626" i="1"/>
  <c r="U1626" i="1"/>
  <c r="V1626" i="1"/>
  <c r="W1626" i="1"/>
  <c r="X1626" i="1"/>
  <c r="Y1626" i="1"/>
  <c r="Z1626" i="1"/>
  <c r="AA1626" i="1"/>
  <c r="AB1626" i="1"/>
  <c r="AC1626" i="1"/>
  <c r="AD1626" i="1"/>
  <c r="AE1626" i="1"/>
  <c r="AF1626" i="1"/>
  <c r="AG1626" i="1"/>
  <c r="AH1626" i="1"/>
  <c r="AI1626" i="1"/>
  <c r="AJ1626" i="1"/>
  <c r="AK1626" i="1"/>
  <c r="AL1626" i="1"/>
  <c r="AM1626" i="1"/>
  <c r="A1627" i="1"/>
  <c r="B1627" i="1"/>
  <c r="C1627" i="1"/>
  <c r="D1627" i="1"/>
  <c r="E1627" i="1"/>
  <c r="F1627" i="1"/>
  <c r="G1627" i="1"/>
  <c r="H1627" i="1"/>
  <c r="I1627" i="1"/>
  <c r="J1627" i="1"/>
  <c r="K1627" i="1"/>
  <c r="L1627" i="1"/>
  <c r="M1627" i="1"/>
  <c r="N1627" i="1"/>
  <c r="O1627" i="1"/>
  <c r="P1627" i="1"/>
  <c r="Q1627" i="1"/>
  <c r="R1627" i="1"/>
  <c r="S1627" i="1"/>
  <c r="T1627" i="1"/>
  <c r="U1627" i="1"/>
  <c r="V1627" i="1"/>
  <c r="W1627" i="1"/>
  <c r="X1627" i="1"/>
  <c r="Y1627" i="1"/>
  <c r="Z1627" i="1"/>
  <c r="AA1627" i="1"/>
  <c r="AB1627" i="1"/>
  <c r="AC1627" i="1"/>
  <c r="AD1627" i="1"/>
  <c r="AE1627" i="1"/>
  <c r="AF1627" i="1"/>
  <c r="AG1627" i="1"/>
  <c r="AH1627" i="1"/>
  <c r="AI1627" i="1"/>
  <c r="AJ1627" i="1"/>
  <c r="AK1627" i="1"/>
  <c r="AL1627" i="1"/>
  <c r="AM1627" i="1"/>
  <c r="A1628" i="1"/>
  <c r="B1628" i="1"/>
  <c r="C1628" i="1"/>
  <c r="D1628" i="1"/>
  <c r="E1628" i="1"/>
  <c r="F1628" i="1"/>
  <c r="G1628" i="1"/>
  <c r="H1628" i="1"/>
  <c r="I1628" i="1"/>
  <c r="J1628" i="1"/>
  <c r="K1628" i="1"/>
  <c r="L1628" i="1"/>
  <c r="M1628" i="1"/>
  <c r="N1628" i="1"/>
  <c r="O1628" i="1"/>
  <c r="P1628" i="1"/>
  <c r="Q1628" i="1"/>
  <c r="R1628" i="1"/>
  <c r="S1628" i="1"/>
  <c r="T1628" i="1"/>
  <c r="U1628" i="1"/>
  <c r="V1628" i="1"/>
  <c r="W1628" i="1"/>
  <c r="X1628" i="1"/>
  <c r="Y1628" i="1"/>
  <c r="Z1628" i="1"/>
  <c r="AA1628" i="1"/>
  <c r="AB1628" i="1"/>
  <c r="AC1628" i="1"/>
  <c r="AD1628" i="1"/>
  <c r="AE1628" i="1"/>
  <c r="AF1628" i="1"/>
  <c r="AG1628" i="1"/>
  <c r="AH1628" i="1"/>
  <c r="AI1628" i="1"/>
  <c r="AJ1628" i="1"/>
  <c r="AK1628" i="1"/>
  <c r="AL1628" i="1"/>
  <c r="AM1628" i="1"/>
  <c r="A1629" i="1"/>
  <c r="B1629" i="1"/>
  <c r="C1629" i="1"/>
  <c r="D1629" i="1"/>
  <c r="E1629" i="1"/>
  <c r="F1629" i="1"/>
  <c r="G1629" i="1"/>
  <c r="H1629" i="1"/>
  <c r="I1629" i="1"/>
  <c r="J1629" i="1"/>
  <c r="K1629" i="1"/>
  <c r="L1629" i="1"/>
  <c r="M1629" i="1"/>
  <c r="N1629" i="1"/>
  <c r="O1629" i="1"/>
  <c r="P1629" i="1"/>
  <c r="Q1629" i="1"/>
  <c r="R1629" i="1"/>
  <c r="S1629" i="1"/>
  <c r="T1629" i="1"/>
  <c r="U1629" i="1"/>
  <c r="V1629" i="1"/>
  <c r="W1629" i="1"/>
  <c r="X1629" i="1"/>
  <c r="Y1629" i="1"/>
  <c r="Z1629" i="1"/>
  <c r="AA1629" i="1"/>
  <c r="AB1629" i="1"/>
  <c r="AC1629" i="1"/>
  <c r="AD1629" i="1"/>
  <c r="AE1629" i="1"/>
  <c r="AF1629" i="1"/>
  <c r="AG1629" i="1"/>
  <c r="AH1629" i="1"/>
  <c r="AI1629" i="1"/>
  <c r="AJ1629" i="1"/>
  <c r="AK1629" i="1"/>
  <c r="AL1629" i="1"/>
  <c r="AM1629" i="1"/>
  <c r="A1630" i="1"/>
  <c r="B1630" i="1"/>
  <c r="C1630" i="1"/>
  <c r="D1630" i="1"/>
  <c r="E1630" i="1"/>
  <c r="F1630" i="1"/>
  <c r="G1630" i="1"/>
  <c r="H1630" i="1"/>
  <c r="I1630" i="1"/>
  <c r="J1630" i="1"/>
  <c r="K1630" i="1"/>
  <c r="L1630" i="1"/>
  <c r="M1630" i="1"/>
  <c r="N1630" i="1"/>
  <c r="O1630" i="1"/>
  <c r="P1630" i="1"/>
  <c r="Q1630" i="1"/>
  <c r="R1630" i="1"/>
  <c r="S1630" i="1"/>
  <c r="T1630" i="1"/>
  <c r="U1630" i="1"/>
  <c r="V1630" i="1"/>
  <c r="W1630" i="1"/>
  <c r="X1630" i="1"/>
  <c r="Y1630" i="1"/>
  <c r="Z1630" i="1"/>
  <c r="AA1630" i="1"/>
  <c r="AB1630" i="1"/>
  <c r="AC1630" i="1"/>
  <c r="AD1630" i="1"/>
  <c r="AE1630" i="1"/>
  <c r="AF1630" i="1"/>
  <c r="AG1630" i="1"/>
  <c r="AH1630" i="1"/>
  <c r="AI1630" i="1"/>
  <c r="AJ1630" i="1"/>
  <c r="AK1630" i="1"/>
  <c r="AL1630" i="1"/>
  <c r="AM1630" i="1"/>
  <c r="A1631" i="1"/>
  <c r="B1631" i="1"/>
  <c r="C1631" i="1"/>
  <c r="D1631" i="1"/>
  <c r="E1631" i="1"/>
  <c r="F1631" i="1"/>
  <c r="G1631" i="1"/>
  <c r="H1631" i="1"/>
  <c r="I1631" i="1"/>
  <c r="J1631" i="1"/>
  <c r="K1631" i="1"/>
  <c r="L1631" i="1"/>
  <c r="M1631" i="1"/>
  <c r="N1631" i="1"/>
  <c r="O1631" i="1"/>
  <c r="P1631" i="1"/>
  <c r="Q1631" i="1"/>
  <c r="R1631" i="1"/>
  <c r="S1631" i="1"/>
  <c r="T1631" i="1"/>
  <c r="U1631" i="1"/>
  <c r="V1631" i="1"/>
  <c r="W1631" i="1"/>
  <c r="X1631" i="1"/>
  <c r="Y1631" i="1"/>
  <c r="Z1631" i="1"/>
  <c r="AA1631" i="1"/>
  <c r="AB1631" i="1"/>
  <c r="AC1631" i="1"/>
  <c r="AD1631" i="1"/>
  <c r="AE1631" i="1"/>
  <c r="AF1631" i="1"/>
  <c r="AG1631" i="1"/>
  <c r="AH1631" i="1"/>
  <c r="AI1631" i="1"/>
  <c r="AJ1631" i="1"/>
  <c r="AK1631" i="1"/>
  <c r="AL1631" i="1"/>
  <c r="AM1631" i="1"/>
  <c r="A1632" i="1"/>
  <c r="B1632" i="1"/>
  <c r="C1632" i="1"/>
  <c r="D1632" i="1"/>
  <c r="E1632" i="1"/>
  <c r="F1632" i="1"/>
  <c r="G1632" i="1"/>
  <c r="H1632" i="1"/>
  <c r="I1632" i="1"/>
  <c r="J1632" i="1"/>
  <c r="K1632" i="1"/>
  <c r="L1632" i="1"/>
  <c r="M1632" i="1"/>
  <c r="N1632" i="1"/>
  <c r="O1632" i="1"/>
  <c r="P1632" i="1"/>
  <c r="Q1632" i="1"/>
  <c r="R1632" i="1"/>
  <c r="S1632" i="1"/>
  <c r="T1632" i="1"/>
  <c r="U1632" i="1"/>
  <c r="V1632" i="1"/>
  <c r="W1632" i="1"/>
  <c r="X1632" i="1"/>
  <c r="Y1632" i="1"/>
  <c r="Z1632" i="1"/>
  <c r="AA1632" i="1"/>
  <c r="AB1632" i="1"/>
  <c r="AC1632" i="1"/>
  <c r="AD1632" i="1"/>
  <c r="AE1632" i="1"/>
  <c r="AF1632" i="1"/>
  <c r="AG1632" i="1"/>
  <c r="AH1632" i="1"/>
  <c r="AI1632" i="1"/>
  <c r="AJ1632" i="1"/>
  <c r="AK1632" i="1"/>
  <c r="AL1632" i="1"/>
  <c r="AM1632" i="1"/>
  <c r="A1633" i="1"/>
  <c r="B1633" i="1"/>
  <c r="C1633" i="1"/>
  <c r="D1633" i="1"/>
  <c r="E1633" i="1"/>
  <c r="F1633" i="1"/>
  <c r="G1633" i="1"/>
  <c r="H1633" i="1"/>
  <c r="I1633" i="1"/>
  <c r="J1633" i="1"/>
  <c r="K1633" i="1"/>
  <c r="L1633" i="1"/>
  <c r="M1633" i="1"/>
  <c r="N1633" i="1"/>
  <c r="O1633" i="1"/>
  <c r="P1633" i="1"/>
  <c r="Q1633" i="1"/>
  <c r="R1633" i="1"/>
  <c r="S1633" i="1"/>
  <c r="T1633" i="1"/>
  <c r="U1633" i="1"/>
  <c r="V1633" i="1"/>
  <c r="W1633" i="1"/>
  <c r="X1633" i="1"/>
  <c r="Y1633" i="1"/>
  <c r="Z1633" i="1"/>
  <c r="AA1633" i="1"/>
  <c r="AB1633" i="1"/>
  <c r="AC1633" i="1"/>
  <c r="AD1633" i="1"/>
  <c r="AE1633" i="1"/>
  <c r="AF1633" i="1"/>
  <c r="AG1633" i="1"/>
  <c r="AH1633" i="1"/>
  <c r="AI1633" i="1"/>
  <c r="AJ1633" i="1"/>
  <c r="AK1633" i="1"/>
  <c r="AL1633" i="1"/>
  <c r="AM1633" i="1"/>
  <c r="A1634" i="1"/>
  <c r="B1634" i="1"/>
  <c r="C1634" i="1"/>
  <c r="D1634" i="1"/>
  <c r="E1634" i="1"/>
  <c r="F1634" i="1"/>
  <c r="G1634" i="1"/>
  <c r="H1634" i="1"/>
  <c r="I1634" i="1"/>
  <c r="J1634" i="1"/>
  <c r="K1634" i="1"/>
  <c r="L1634" i="1"/>
  <c r="M1634" i="1"/>
  <c r="N1634" i="1"/>
  <c r="O1634" i="1"/>
  <c r="P1634" i="1"/>
  <c r="Q1634" i="1"/>
  <c r="R1634" i="1"/>
  <c r="S1634" i="1"/>
  <c r="T1634" i="1"/>
  <c r="U1634" i="1"/>
  <c r="V1634" i="1"/>
  <c r="W1634" i="1"/>
  <c r="X1634" i="1"/>
  <c r="Y1634" i="1"/>
  <c r="Z1634" i="1"/>
  <c r="AA1634" i="1"/>
  <c r="AB1634" i="1"/>
  <c r="AC1634" i="1"/>
  <c r="AD1634" i="1"/>
  <c r="AE1634" i="1"/>
  <c r="AF1634" i="1"/>
  <c r="AG1634" i="1"/>
  <c r="AH1634" i="1"/>
  <c r="AI1634" i="1"/>
  <c r="AJ1634" i="1"/>
  <c r="AK1634" i="1"/>
  <c r="AL1634" i="1"/>
  <c r="AM1634" i="1"/>
  <c r="A1635" i="1"/>
  <c r="B1635" i="1"/>
  <c r="C1635" i="1"/>
  <c r="D1635" i="1"/>
  <c r="E1635" i="1"/>
  <c r="F1635" i="1"/>
  <c r="G1635" i="1"/>
  <c r="H1635" i="1"/>
  <c r="I1635" i="1"/>
  <c r="J1635" i="1"/>
  <c r="K1635" i="1"/>
  <c r="L1635" i="1"/>
  <c r="M1635" i="1"/>
  <c r="N1635" i="1"/>
  <c r="O1635" i="1"/>
  <c r="P1635" i="1"/>
  <c r="Q1635" i="1"/>
  <c r="R1635" i="1"/>
  <c r="S1635" i="1"/>
  <c r="T1635" i="1"/>
  <c r="U1635" i="1"/>
  <c r="V1635" i="1"/>
  <c r="W1635" i="1"/>
  <c r="X1635" i="1"/>
  <c r="Y1635" i="1"/>
  <c r="Z1635" i="1"/>
  <c r="AA1635" i="1"/>
  <c r="AB1635" i="1"/>
  <c r="AC1635" i="1"/>
  <c r="AD1635" i="1"/>
  <c r="AE1635" i="1"/>
  <c r="AF1635" i="1"/>
  <c r="AG1635" i="1"/>
  <c r="AH1635" i="1"/>
  <c r="AI1635" i="1"/>
  <c r="AJ1635" i="1"/>
  <c r="AK1635" i="1"/>
  <c r="AL1635" i="1"/>
  <c r="AM1635" i="1"/>
  <c r="A1636" i="1"/>
  <c r="B1636" i="1"/>
  <c r="C1636" i="1"/>
  <c r="D1636" i="1"/>
  <c r="E1636" i="1"/>
  <c r="F1636" i="1"/>
  <c r="G1636" i="1"/>
  <c r="H1636" i="1"/>
  <c r="I1636" i="1"/>
  <c r="J1636" i="1"/>
  <c r="K1636" i="1"/>
  <c r="L1636" i="1"/>
  <c r="M1636" i="1"/>
  <c r="N1636" i="1"/>
  <c r="O1636" i="1"/>
  <c r="P1636" i="1"/>
  <c r="Q1636" i="1"/>
  <c r="R1636" i="1"/>
  <c r="S1636" i="1"/>
  <c r="T1636" i="1"/>
  <c r="U1636" i="1"/>
  <c r="V1636" i="1"/>
  <c r="W1636" i="1"/>
  <c r="X1636" i="1"/>
  <c r="Y1636" i="1"/>
  <c r="Z1636" i="1"/>
  <c r="AA1636" i="1"/>
  <c r="AB1636" i="1"/>
  <c r="AC1636" i="1"/>
  <c r="AD1636" i="1"/>
  <c r="AE1636" i="1"/>
  <c r="AF1636" i="1"/>
  <c r="AG1636" i="1"/>
  <c r="AH1636" i="1"/>
  <c r="AI1636" i="1"/>
  <c r="AJ1636" i="1"/>
  <c r="AK1636" i="1"/>
  <c r="AL1636" i="1"/>
  <c r="AM1636" i="1"/>
  <c r="A1637" i="1"/>
  <c r="B1637" i="1"/>
  <c r="C1637" i="1"/>
  <c r="D1637" i="1"/>
  <c r="E1637" i="1"/>
  <c r="F1637" i="1"/>
  <c r="G1637" i="1"/>
  <c r="H1637" i="1"/>
  <c r="I1637" i="1"/>
  <c r="J1637" i="1"/>
  <c r="K1637" i="1"/>
  <c r="L1637" i="1"/>
  <c r="M1637" i="1"/>
  <c r="N1637" i="1"/>
  <c r="O1637" i="1"/>
  <c r="P1637" i="1"/>
  <c r="Q1637" i="1"/>
  <c r="R1637" i="1"/>
  <c r="S1637" i="1"/>
  <c r="T1637" i="1"/>
  <c r="U1637" i="1"/>
  <c r="V1637" i="1"/>
  <c r="W1637" i="1"/>
  <c r="X1637" i="1"/>
  <c r="Y1637" i="1"/>
  <c r="Z1637" i="1"/>
  <c r="AA1637" i="1"/>
  <c r="AB1637" i="1"/>
  <c r="AC1637" i="1"/>
  <c r="AD1637" i="1"/>
  <c r="AE1637" i="1"/>
  <c r="AF1637" i="1"/>
  <c r="AG1637" i="1"/>
  <c r="AH1637" i="1"/>
  <c r="AI1637" i="1"/>
  <c r="AJ1637" i="1"/>
  <c r="AK1637" i="1"/>
  <c r="AL1637" i="1"/>
  <c r="AM1637" i="1"/>
  <c r="A1638" i="1"/>
  <c r="B1638" i="1"/>
  <c r="C1638" i="1"/>
  <c r="D1638" i="1"/>
  <c r="E1638" i="1"/>
  <c r="F1638" i="1"/>
  <c r="G1638" i="1"/>
  <c r="H1638" i="1"/>
  <c r="I1638" i="1"/>
  <c r="J1638" i="1"/>
  <c r="K1638" i="1"/>
  <c r="L1638" i="1"/>
  <c r="M1638" i="1"/>
  <c r="N1638" i="1"/>
  <c r="O1638" i="1"/>
  <c r="P1638" i="1"/>
  <c r="Q1638" i="1"/>
  <c r="R1638" i="1"/>
  <c r="S1638" i="1"/>
  <c r="T1638" i="1"/>
  <c r="U1638" i="1"/>
  <c r="V1638" i="1"/>
  <c r="W1638" i="1"/>
  <c r="X1638" i="1"/>
  <c r="Y1638" i="1"/>
  <c r="Z1638" i="1"/>
  <c r="AA1638" i="1"/>
  <c r="AB1638" i="1"/>
  <c r="AC1638" i="1"/>
  <c r="AD1638" i="1"/>
  <c r="AE1638" i="1"/>
  <c r="AF1638" i="1"/>
  <c r="AG1638" i="1"/>
  <c r="AH1638" i="1"/>
  <c r="AI1638" i="1"/>
  <c r="AJ1638" i="1"/>
  <c r="AK1638" i="1"/>
  <c r="AL1638" i="1"/>
  <c r="AM1638" i="1"/>
  <c r="A1639" i="1"/>
  <c r="B1639" i="1"/>
  <c r="C1639" i="1"/>
  <c r="D1639" i="1"/>
  <c r="E1639" i="1"/>
  <c r="F1639" i="1"/>
  <c r="G1639" i="1"/>
  <c r="H1639" i="1"/>
  <c r="I1639" i="1"/>
  <c r="J1639" i="1"/>
  <c r="K1639" i="1"/>
  <c r="L1639" i="1"/>
  <c r="M1639" i="1"/>
  <c r="N1639" i="1"/>
  <c r="O1639" i="1"/>
  <c r="P1639" i="1"/>
  <c r="Q1639" i="1"/>
  <c r="R1639" i="1"/>
  <c r="S1639" i="1"/>
  <c r="T1639" i="1"/>
  <c r="U1639" i="1"/>
  <c r="V1639" i="1"/>
  <c r="W1639" i="1"/>
  <c r="X1639" i="1"/>
  <c r="Y1639" i="1"/>
  <c r="Z1639" i="1"/>
  <c r="AA1639" i="1"/>
  <c r="AB1639" i="1"/>
  <c r="AC1639" i="1"/>
  <c r="AD1639" i="1"/>
  <c r="AE1639" i="1"/>
  <c r="AF1639" i="1"/>
  <c r="AG1639" i="1"/>
  <c r="AH1639" i="1"/>
  <c r="AI1639" i="1"/>
  <c r="AJ1639" i="1"/>
  <c r="AK1639" i="1"/>
  <c r="AL1639" i="1"/>
  <c r="AM1639" i="1"/>
  <c r="A1640" i="1"/>
  <c r="B1640" i="1"/>
  <c r="C1640" i="1"/>
  <c r="D1640" i="1"/>
  <c r="E1640" i="1"/>
  <c r="F1640" i="1"/>
  <c r="G1640" i="1"/>
  <c r="H1640" i="1"/>
  <c r="I1640" i="1"/>
  <c r="J1640" i="1"/>
  <c r="K1640" i="1"/>
  <c r="L1640" i="1"/>
  <c r="M1640" i="1"/>
  <c r="N1640" i="1"/>
  <c r="O1640" i="1"/>
  <c r="P1640" i="1"/>
  <c r="Q1640" i="1"/>
  <c r="R1640" i="1"/>
  <c r="S1640" i="1"/>
  <c r="T1640" i="1"/>
  <c r="U1640" i="1"/>
  <c r="V1640" i="1"/>
  <c r="W1640" i="1"/>
  <c r="X1640" i="1"/>
  <c r="Y1640" i="1"/>
  <c r="Z1640" i="1"/>
  <c r="AA1640" i="1"/>
  <c r="AB1640" i="1"/>
  <c r="AC1640" i="1"/>
  <c r="AD1640" i="1"/>
  <c r="AE1640" i="1"/>
  <c r="AF1640" i="1"/>
  <c r="AG1640" i="1"/>
  <c r="AH1640" i="1"/>
  <c r="AI1640" i="1"/>
  <c r="AJ1640" i="1"/>
  <c r="AK1640" i="1"/>
  <c r="AL1640" i="1"/>
  <c r="AM1640" i="1"/>
  <c r="A1641" i="1"/>
  <c r="B1641" i="1"/>
  <c r="C1641" i="1"/>
  <c r="D1641" i="1"/>
  <c r="E1641" i="1"/>
  <c r="F1641" i="1"/>
  <c r="G1641" i="1"/>
  <c r="H1641" i="1"/>
  <c r="I1641" i="1"/>
  <c r="J1641" i="1"/>
  <c r="K1641" i="1"/>
  <c r="L1641" i="1"/>
  <c r="M1641" i="1"/>
  <c r="N1641" i="1"/>
  <c r="O1641" i="1"/>
  <c r="P1641" i="1"/>
  <c r="Q1641" i="1"/>
  <c r="R1641" i="1"/>
  <c r="S1641" i="1"/>
  <c r="T1641" i="1"/>
  <c r="U1641" i="1"/>
  <c r="V1641" i="1"/>
  <c r="W1641" i="1"/>
  <c r="X1641" i="1"/>
  <c r="Y1641" i="1"/>
  <c r="Z1641" i="1"/>
  <c r="AA1641" i="1"/>
  <c r="AB1641" i="1"/>
  <c r="AC1641" i="1"/>
  <c r="AD1641" i="1"/>
  <c r="AE1641" i="1"/>
  <c r="AF1641" i="1"/>
  <c r="AG1641" i="1"/>
  <c r="AH1641" i="1"/>
  <c r="AI1641" i="1"/>
  <c r="AJ1641" i="1"/>
  <c r="AK1641" i="1"/>
  <c r="AL1641" i="1"/>
  <c r="AM1641" i="1"/>
  <c r="A1642" i="1"/>
  <c r="B1642" i="1"/>
  <c r="C1642" i="1"/>
  <c r="D1642" i="1"/>
  <c r="E1642" i="1"/>
  <c r="F1642" i="1"/>
  <c r="G1642" i="1"/>
  <c r="H1642" i="1"/>
  <c r="I1642" i="1"/>
  <c r="J1642" i="1"/>
  <c r="K1642" i="1"/>
  <c r="L1642" i="1"/>
  <c r="M1642" i="1"/>
  <c r="N1642" i="1"/>
  <c r="O1642" i="1"/>
  <c r="P1642" i="1"/>
  <c r="Q1642" i="1"/>
  <c r="R1642" i="1"/>
  <c r="S1642" i="1"/>
  <c r="T1642" i="1"/>
  <c r="U1642" i="1"/>
  <c r="V1642" i="1"/>
  <c r="W1642" i="1"/>
  <c r="X1642" i="1"/>
  <c r="Y1642" i="1"/>
  <c r="Z1642" i="1"/>
  <c r="AA1642" i="1"/>
  <c r="AB1642" i="1"/>
  <c r="AC1642" i="1"/>
  <c r="AD1642" i="1"/>
  <c r="AE1642" i="1"/>
  <c r="AF1642" i="1"/>
  <c r="AG1642" i="1"/>
  <c r="AH1642" i="1"/>
  <c r="AI1642" i="1"/>
  <c r="AJ1642" i="1"/>
  <c r="AK1642" i="1"/>
  <c r="AL1642" i="1"/>
  <c r="AM1642" i="1"/>
  <c r="A1643" i="1"/>
  <c r="B1643" i="1"/>
  <c r="C1643" i="1"/>
  <c r="D1643" i="1"/>
  <c r="E1643" i="1"/>
  <c r="F1643" i="1"/>
  <c r="G1643" i="1"/>
  <c r="H1643" i="1"/>
  <c r="I1643" i="1"/>
  <c r="J1643" i="1"/>
  <c r="K1643" i="1"/>
  <c r="L1643" i="1"/>
  <c r="M1643" i="1"/>
  <c r="N1643" i="1"/>
  <c r="O1643" i="1"/>
  <c r="P1643" i="1"/>
  <c r="Q1643" i="1"/>
  <c r="R1643" i="1"/>
  <c r="S1643" i="1"/>
  <c r="T1643" i="1"/>
  <c r="U1643" i="1"/>
  <c r="V1643" i="1"/>
  <c r="W1643" i="1"/>
  <c r="X1643" i="1"/>
  <c r="Y1643" i="1"/>
  <c r="Z1643" i="1"/>
  <c r="AA1643" i="1"/>
  <c r="AB1643" i="1"/>
  <c r="AC1643" i="1"/>
  <c r="AD1643" i="1"/>
  <c r="AE1643" i="1"/>
  <c r="AF1643" i="1"/>
  <c r="AG1643" i="1"/>
  <c r="AH1643" i="1"/>
  <c r="AI1643" i="1"/>
  <c r="AJ1643" i="1"/>
  <c r="AK1643" i="1"/>
  <c r="AL1643" i="1"/>
  <c r="AM1643" i="1"/>
  <c r="A1644" i="1"/>
  <c r="B1644" i="1"/>
  <c r="C1644" i="1"/>
  <c r="D1644" i="1"/>
  <c r="E1644" i="1"/>
  <c r="F1644" i="1"/>
  <c r="G1644" i="1"/>
  <c r="H1644" i="1"/>
  <c r="I1644" i="1"/>
  <c r="J1644" i="1"/>
  <c r="K1644" i="1"/>
  <c r="L1644" i="1"/>
  <c r="M1644" i="1"/>
  <c r="N1644" i="1"/>
  <c r="O1644" i="1"/>
  <c r="P1644" i="1"/>
  <c r="Q1644" i="1"/>
  <c r="R1644" i="1"/>
  <c r="S1644" i="1"/>
  <c r="T1644" i="1"/>
  <c r="U1644" i="1"/>
  <c r="V1644" i="1"/>
  <c r="W1644" i="1"/>
  <c r="X1644" i="1"/>
  <c r="Y1644" i="1"/>
  <c r="Z1644" i="1"/>
  <c r="AA1644" i="1"/>
  <c r="AB1644" i="1"/>
  <c r="AC1644" i="1"/>
  <c r="AD1644" i="1"/>
  <c r="AE1644" i="1"/>
  <c r="AF1644" i="1"/>
  <c r="AG1644" i="1"/>
  <c r="AH1644" i="1"/>
  <c r="AI1644" i="1"/>
  <c r="AJ1644" i="1"/>
  <c r="AK1644" i="1"/>
  <c r="AL1644" i="1"/>
  <c r="AM1644" i="1"/>
  <c r="A1645" i="1"/>
  <c r="B1645" i="1"/>
  <c r="C1645" i="1"/>
  <c r="D1645" i="1"/>
  <c r="E1645" i="1"/>
  <c r="F1645" i="1"/>
  <c r="G1645" i="1"/>
  <c r="H1645" i="1"/>
  <c r="I1645" i="1"/>
  <c r="J1645" i="1"/>
  <c r="K1645" i="1"/>
  <c r="L1645" i="1"/>
  <c r="M1645" i="1"/>
  <c r="N1645" i="1"/>
  <c r="O1645" i="1"/>
  <c r="P1645" i="1"/>
  <c r="Q1645" i="1"/>
  <c r="R1645" i="1"/>
  <c r="S1645" i="1"/>
  <c r="T1645" i="1"/>
  <c r="U1645" i="1"/>
  <c r="V1645" i="1"/>
  <c r="W1645" i="1"/>
  <c r="X1645" i="1"/>
  <c r="Y1645" i="1"/>
  <c r="Z1645" i="1"/>
  <c r="AA1645" i="1"/>
  <c r="AB1645" i="1"/>
  <c r="AC1645" i="1"/>
  <c r="AD1645" i="1"/>
  <c r="AE1645" i="1"/>
  <c r="AF1645" i="1"/>
  <c r="AG1645" i="1"/>
  <c r="AH1645" i="1"/>
  <c r="AI1645" i="1"/>
  <c r="AJ1645" i="1"/>
  <c r="AK1645" i="1"/>
  <c r="AL1645" i="1"/>
  <c r="AM1645" i="1"/>
  <c r="A1646" i="1"/>
  <c r="B1646" i="1"/>
  <c r="C1646" i="1"/>
  <c r="D1646" i="1"/>
  <c r="E1646" i="1"/>
  <c r="F1646" i="1"/>
  <c r="G1646" i="1"/>
  <c r="H1646" i="1"/>
  <c r="I1646" i="1"/>
  <c r="J1646" i="1"/>
  <c r="K1646" i="1"/>
  <c r="L1646" i="1"/>
  <c r="M1646" i="1"/>
  <c r="N1646" i="1"/>
  <c r="O1646" i="1"/>
  <c r="P1646" i="1"/>
  <c r="Q1646" i="1"/>
  <c r="R1646" i="1"/>
  <c r="S1646" i="1"/>
  <c r="T1646" i="1"/>
  <c r="U1646" i="1"/>
  <c r="V1646" i="1"/>
  <c r="W1646" i="1"/>
  <c r="X1646" i="1"/>
  <c r="Y1646" i="1"/>
  <c r="Z1646" i="1"/>
  <c r="AA1646" i="1"/>
  <c r="AB1646" i="1"/>
  <c r="AC1646" i="1"/>
  <c r="AD1646" i="1"/>
  <c r="AE1646" i="1"/>
  <c r="AF1646" i="1"/>
  <c r="AG1646" i="1"/>
  <c r="AH1646" i="1"/>
  <c r="AI1646" i="1"/>
  <c r="AJ1646" i="1"/>
  <c r="AK1646" i="1"/>
  <c r="AL1646" i="1"/>
  <c r="AM1646" i="1"/>
  <c r="A1647" i="1"/>
  <c r="B1647" i="1"/>
  <c r="C1647" i="1"/>
  <c r="D1647" i="1"/>
  <c r="E1647" i="1"/>
  <c r="F1647" i="1"/>
  <c r="G1647" i="1"/>
  <c r="H1647" i="1"/>
  <c r="I1647" i="1"/>
  <c r="J1647" i="1"/>
  <c r="K1647" i="1"/>
  <c r="L1647" i="1"/>
  <c r="M1647" i="1"/>
  <c r="N1647" i="1"/>
  <c r="O1647" i="1"/>
  <c r="P1647" i="1"/>
  <c r="Q1647" i="1"/>
  <c r="R1647" i="1"/>
  <c r="S1647" i="1"/>
  <c r="T1647" i="1"/>
  <c r="U1647" i="1"/>
  <c r="V1647" i="1"/>
  <c r="W1647" i="1"/>
  <c r="X1647" i="1"/>
  <c r="Y1647" i="1"/>
  <c r="Z1647" i="1"/>
  <c r="AA1647" i="1"/>
  <c r="AB1647" i="1"/>
  <c r="AC1647" i="1"/>
  <c r="AD1647" i="1"/>
  <c r="AE1647" i="1"/>
  <c r="AF1647" i="1"/>
  <c r="AG1647" i="1"/>
  <c r="AH1647" i="1"/>
  <c r="AI1647" i="1"/>
  <c r="AJ1647" i="1"/>
  <c r="AK1647" i="1"/>
  <c r="AL1647" i="1"/>
  <c r="AM1647" i="1"/>
  <c r="A1648" i="1"/>
  <c r="B1648" i="1"/>
  <c r="C1648" i="1"/>
  <c r="D1648" i="1"/>
  <c r="E1648" i="1"/>
  <c r="F1648" i="1"/>
  <c r="G1648" i="1"/>
  <c r="H1648" i="1"/>
  <c r="I1648" i="1"/>
  <c r="J1648" i="1"/>
  <c r="K1648" i="1"/>
  <c r="L1648" i="1"/>
  <c r="M1648" i="1"/>
  <c r="N1648" i="1"/>
  <c r="O1648" i="1"/>
  <c r="P1648" i="1"/>
  <c r="Q1648" i="1"/>
  <c r="R1648" i="1"/>
  <c r="S1648" i="1"/>
  <c r="T1648" i="1"/>
  <c r="U1648" i="1"/>
  <c r="V1648" i="1"/>
  <c r="W1648" i="1"/>
  <c r="X1648" i="1"/>
  <c r="Y1648" i="1"/>
  <c r="Z1648" i="1"/>
  <c r="AA1648" i="1"/>
  <c r="AB1648" i="1"/>
  <c r="AC1648" i="1"/>
  <c r="AD1648" i="1"/>
  <c r="AE1648" i="1"/>
  <c r="AF1648" i="1"/>
  <c r="AG1648" i="1"/>
  <c r="AH1648" i="1"/>
  <c r="AI1648" i="1"/>
  <c r="AJ1648" i="1"/>
  <c r="AK1648" i="1"/>
  <c r="AL1648" i="1"/>
  <c r="AM1648" i="1"/>
  <c r="A1649" i="1"/>
  <c r="B1649" i="1"/>
  <c r="C1649" i="1"/>
  <c r="D1649" i="1"/>
  <c r="E1649" i="1"/>
  <c r="F1649" i="1"/>
  <c r="G1649" i="1"/>
  <c r="H1649" i="1"/>
  <c r="I1649" i="1"/>
  <c r="J1649" i="1"/>
  <c r="K1649" i="1"/>
  <c r="L1649" i="1"/>
  <c r="M1649" i="1"/>
  <c r="N1649" i="1"/>
  <c r="O1649" i="1"/>
  <c r="P1649" i="1"/>
  <c r="Q1649" i="1"/>
  <c r="R1649" i="1"/>
  <c r="S1649" i="1"/>
  <c r="T1649" i="1"/>
  <c r="U1649" i="1"/>
  <c r="V1649" i="1"/>
  <c r="W1649" i="1"/>
  <c r="X1649" i="1"/>
  <c r="Y1649" i="1"/>
  <c r="Z1649" i="1"/>
  <c r="AA1649" i="1"/>
  <c r="AB1649" i="1"/>
  <c r="AC1649" i="1"/>
  <c r="AD1649" i="1"/>
  <c r="AE1649" i="1"/>
  <c r="AF1649" i="1"/>
  <c r="AG1649" i="1"/>
  <c r="AH1649" i="1"/>
  <c r="AI1649" i="1"/>
  <c r="AJ1649" i="1"/>
  <c r="AK1649" i="1"/>
  <c r="AL1649" i="1"/>
  <c r="AM1649" i="1"/>
  <c r="A1650" i="1"/>
  <c r="B1650" i="1"/>
  <c r="C1650" i="1"/>
  <c r="D1650" i="1"/>
  <c r="E1650" i="1"/>
  <c r="F1650" i="1"/>
  <c r="G1650" i="1"/>
  <c r="H1650" i="1"/>
  <c r="I1650" i="1"/>
  <c r="J1650" i="1"/>
  <c r="K1650" i="1"/>
  <c r="L1650" i="1"/>
  <c r="M1650" i="1"/>
  <c r="N1650" i="1"/>
  <c r="O1650" i="1"/>
  <c r="P1650" i="1"/>
  <c r="Q1650" i="1"/>
  <c r="R1650" i="1"/>
  <c r="S1650" i="1"/>
  <c r="T1650" i="1"/>
  <c r="U1650" i="1"/>
  <c r="V1650" i="1"/>
  <c r="W1650" i="1"/>
  <c r="X1650" i="1"/>
  <c r="Y1650" i="1"/>
  <c r="Z1650" i="1"/>
  <c r="AA1650" i="1"/>
  <c r="AB1650" i="1"/>
  <c r="AC1650" i="1"/>
  <c r="AD1650" i="1"/>
  <c r="AE1650" i="1"/>
  <c r="AF1650" i="1"/>
  <c r="AG1650" i="1"/>
  <c r="AH1650" i="1"/>
  <c r="AI1650" i="1"/>
  <c r="AJ1650" i="1"/>
  <c r="AK1650" i="1"/>
  <c r="AL1650" i="1"/>
  <c r="AM1650" i="1"/>
  <c r="A1651" i="1"/>
  <c r="B1651" i="1"/>
  <c r="C1651" i="1"/>
  <c r="D1651" i="1"/>
  <c r="E1651" i="1"/>
  <c r="F1651" i="1"/>
  <c r="G1651" i="1"/>
  <c r="H1651" i="1"/>
  <c r="I1651" i="1"/>
  <c r="J1651" i="1"/>
  <c r="K1651" i="1"/>
  <c r="L1651" i="1"/>
  <c r="M1651" i="1"/>
  <c r="N1651" i="1"/>
  <c r="O1651" i="1"/>
  <c r="P1651" i="1"/>
  <c r="Q1651" i="1"/>
  <c r="R1651" i="1"/>
  <c r="S1651" i="1"/>
  <c r="T1651" i="1"/>
  <c r="U1651" i="1"/>
  <c r="V1651" i="1"/>
  <c r="W1651" i="1"/>
  <c r="X1651" i="1"/>
  <c r="Y1651" i="1"/>
  <c r="Z1651" i="1"/>
  <c r="AA1651" i="1"/>
  <c r="AB1651" i="1"/>
  <c r="AC1651" i="1"/>
  <c r="AD1651" i="1"/>
  <c r="AE1651" i="1"/>
  <c r="AF1651" i="1"/>
  <c r="AG1651" i="1"/>
  <c r="AH1651" i="1"/>
  <c r="AI1651" i="1"/>
  <c r="AJ1651" i="1"/>
  <c r="AK1651" i="1"/>
  <c r="AL1651" i="1"/>
  <c r="AM1651" i="1"/>
  <c r="A1652" i="1"/>
  <c r="B1652" i="1"/>
  <c r="C1652" i="1"/>
  <c r="D1652" i="1"/>
  <c r="E1652" i="1"/>
  <c r="F1652" i="1"/>
  <c r="G1652" i="1"/>
  <c r="H1652" i="1"/>
  <c r="I1652" i="1"/>
  <c r="J1652" i="1"/>
  <c r="K1652" i="1"/>
  <c r="L1652" i="1"/>
  <c r="M1652" i="1"/>
  <c r="N1652" i="1"/>
  <c r="O1652" i="1"/>
  <c r="P1652" i="1"/>
  <c r="Q1652" i="1"/>
  <c r="R1652" i="1"/>
  <c r="S1652" i="1"/>
  <c r="T1652" i="1"/>
  <c r="U1652" i="1"/>
  <c r="V1652" i="1"/>
  <c r="W1652" i="1"/>
  <c r="X1652" i="1"/>
  <c r="Y1652" i="1"/>
  <c r="Z1652" i="1"/>
  <c r="AA1652" i="1"/>
  <c r="AB1652" i="1"/>
  <c r="AC1652" i="1"/>
  <c r="AD1652" i="1"/>
  <c r="AE1652" i="1"/>
  <c r="AF1652" i="1"/>
  <c r="AG1652" i="1"/>
  <c r="AH1652" i="1"/>
  <c r="AI1652" i="1"/>
  <c r="AJ1652" i="1"/>
  <c r="AK1652" i="1"/>
  <c r="AL1652" i="1"/>
  <c r="AM1652" i="1"/>
  <c r="A1653" i="1"/>
  <c r="B1653" i="1"/>
  <c r="C1653" i="1"/>
  <c r="D1653" i="1"/>
  <c r="E1653" i="1"/>
  <c r="F1653" i="1"/>
  <c r="G1653" i="1"/>
  <c r="H1653" i="1"/>
  <c r="I1653" i="1"/>
  <c r="J1653" i="1"/>
  <c r="K1653" i="1"/>
  <c r="L1653" i="1"/>
  <c r="M1653" i="1"/>
  <c r="N1653" i="1"/>
  <c r="O1653" i="1"/>
  <c r="P1653" i="1"/>
  <c r="Q1653" i="1"/>
  <c r="R1653" i="1"/>
  <c r="S1653" i="1"/>
  <c r="T1653" i="1"/>
  <c r="U1653" i="1"/>
  <c r="V1653" i="1"/>
  <c r="W1653" i="1"/>
  <c r="X1653" i="1"/>
  <c r="Y1653" i="1"/>
  <c r="Z1653" i="1"/>
  <c r="AA1653" i="1"/>
  <c r="AB1653" i="1"/>
  <c r="AC1653" i="1"/>
  <c r="AD1653" i="1"/>
  <c r="AE1653" i="1"/>
  <c r="AF1653" i="1"/>
  <c r="AG1653" i="1"/>
  <c r="AH1653" i="1"/>
  <c r="AI1653" i="1"/>
  <c r="AJ1653" i="1"/>
  <c r="AK1653" i="1"/>
  <c r="AL1653" i="1"/>
  <c r="AM1653" i="1"/>
  <c r="A1654" i="1"/>
  <c r="B1654" i="1"/>
  <c r="C1654" i="1"/>
  <c r="D1654" i="1"/>
  <c r="E1654" i="1"/>
  <c r="F1654" i="1"/>
  <c r="G1654" i="1"/>
  <c r="H1654" i="1"/>
  <c r="I1654" i="1"/>
  <c r="J1654" i="1"/>
  <c r="K1654" i="1"/>
  <c r="L1654" i="1"/>
  <c r="M1654" i="1"/>
  <c r="N1654" i="1"/>
  <c r="O1654" i="1"/>
  <c r="P1654" i="1"/>
  <c r="Q1654" i="1"/>
  <c r="R1654" i="1"/>
  <c r="S1654" i="1"/>
  <c r="T1654" i="1"/>
  <c r="U1654" i="1"/>
  <c r="V1654" i="1"/>
  <c r="W1654" i="1"/>
  <c r="X1654" i="1"/>
  <c r="Y1654" i="1"/>
  <c r="Z1654" i="1"/>
  <c r="AA1654" i="1"/>
  <c r="AB1654" i="1"/>
  <c r="AC1654" i="1"/>
  <c r="AD1654" i="1"/>
  <c r="AE1654" i="1"/>
  <c r="AF1654" i="1"/>
  <c r="AG1654" i="1"/>
  <c r="AH1654" i="1"/>
  <c r="AI1654" i="1"/>
  <c r="AJ1654" i="1"/>
  <c r="AK1654" i="1"/>
  <c r="AL1654" i="1"/>
  <c r="AM1654" i="1"/>
  <c r="A1655" i="1"/>
  <c r="B1655" i="1"/>
  <c r="C1655" i="1"/>
  <c r="D1655" i="1"/>
  <c r="E1655" i="1"/>
  <c r="F1655" i="1"/>
  <c r="G1655" i="1"/>
  <c r="H1655" i="1"/>
  <c r="I1655" i="1"/>
  <c r="J1655" i="1"/>
  <c r="K1655" i="1"/>
  <c r="L1655" i="1"/>
  <c r="M1655" i="1"/>
  <c r="N1655" i="1"/>
  <c r="O1655" i="1"/>
  <c r="P1655" i="1"/>
  <c r="Q1655" i="1"/>
  <c r="R1655" i="1"/>
  <c r="S1655" i="1"/>
  <c r="T1655" i="1"/>
  <c r="U1655" i="1"/>
  <c r="V1655" i="1"/>
  <c r="W1655" i="1"/>
  <c r="X1655" i="1"/>
  <c r="Y1655" i="1"/>
  <c r="Z1655" i="1"/>
  <c r="AA1655" i="1"/>
  <c r="AB1655" i="1"/>
  <c r="AC1655" i="1"/>
  <c r="AD1655" i="1"/>
  <c r="AE1655" i="1"/>
  <c r="AF1655" i="1"/>
  <c r="AG1655" i="1"/>
  <c r="AH1655" i="1"/>
  <c r="AI1655" i="1"/>
  <c r="AJ1655" i="1"/>
  <c r="AK1655" i="1"/>
  <c r="AL1655" i="1"/>
  <c r="AM1655" i="1"/>
  <c r="A1656" i="1"/>
  <c r="B1656" i="1"/>
  <c r="C1656" i="1"/>
  <c r="D1656" i="1"/>
  <c r="E1656" i="1"/>
  <c r="F1656" i="1"/>
  <c r="G1656" i="1"/>
  <c r="H1656" i="1"/>
  <c r="I1656" i="1"/>
  <c r="J1656" i="1"/>
  <c r="K1656" i="1"/>
  <c r="L1656" i="1"/>
  <c r="M1656" i="1"/>
  <c r="N1656" i="1"/>
  <c r="O1656" i="1"/>
  <c r="P1656" i="1"/>
  <c r="Q1656" i="1"/>
  <c r="R1656" i="1"/>
  <c r="S1656" i="1"/>
  <c r="T1656" i="1"/>
  <c r="U1656" i="1"/>
  <c r="V1656" i="1"/>
  <c r="W1656" i="1"/>
  <c r="X1656" i="1"/>
  <c r="Y1656" i="1"/>
  <c r="Z1656" i="1"/>
  <c r="AA1656" i="1"/>
  <c r="AB1656" i="1"/>
  <c r="AC1656" i="1"/>
  <c r="AD1656" i="1"/>
  <c r="AE1656" i="1"/>
  <c r="AF1656" i="1"/>
  <c r="AG1656" i="1"/>
  <c r="AH1656" i="1"/>
  <c r="AI1656" i="1"/>
  <c r="AJ1656" i="1"/>
  <c r="AK1656" i="1"/>
  <c r="AL1656" i="1"/>
  <c r="AM1656" i="1"/>
  <c r="A1657" i="1"/>
  <c r="B1657" i="1"/>
  <c r="C1657" i="1"/>
  <c r="D1657" i="1"/>
  <c r="E1657" i="1"/>
  <c r="F1657" i="1"/>
  <c r="G1657" i="1"/>
  <c r="H1657" i="1"/>
  <c r="I1657" i="1"/>
  <c r="J1657" i="1"/>
  <c r="K1657" i="1"/>
  <c r="L1657" i="1"/>
  <c r="M1657" i="1"/>
  <c r="N1657" i="1"/>
  <c r="O1657" i="1"/>
  <c r="P1657" i="1"/>
  <c r="Q1657" i="1"/>
  <c r="R1657" i="1"/>
  <c r="S1657" i="1"/>
  <c r="T1657" i="1"/>
  <c r="U1657" i="1"/>
  <c r="V1657" i="1"/>
  <c r="W1657" i="1"/>
  <c r="X1657" i="1"/>
  <c r="Y1657" i="1"/>
  <c r="Z1657" i="1"/>
  <c r="AA1657" i="1"/>
  <c r="AB1657" i="1"/>
  <c r="AC1657" i="1"/>
  <c r="AD1657" i="1"/>
  <c r="AE1657" i="1"/>
  <c r="AF1657" i="1"/>
  <c r="AG1657" i="1"/>
  <c r="AH1657" i="1"/>
  <c r="AI1657" i="1"/>
  <c r="AJ1657" i="1"/>
  <c r="AK1657" i="1"/>
  <c r="AL1657" i="1"/>
  <c r="AM1657" i="1"/>
  <c r="A1658" i="1"/>
  <c r="B1658" i="1"/>
  <c r="C1658" i="1"/>
  <c r="D1658" i="1"/>
  <c r="E1658" i="1"/>
  <c r="F1658" i="1"/>
  <c r="G1658" i="1"/>
  <c r="H1658" i="1"/>
  <c r="I1658" i="1"/>
  <c r="J1658" i="1"/>
  <c r="K1658" i="1"/>
  <c r="L1658" i="1"/>
  <c r="M1658" i="1"/>
  <c r="N1658" i="1"/>
  <c r="O1658" i="1"/>
  <c r="P1658" i="1"/>
  <c r="Q1658" i="1"/>
  <c r="R1658" i="1"/>
  <c r="S1658" i="1"/>
  <c r="T1658" i="1"/>
  <c r="U1658" i="1"/>
  <c r="V1658" i="1"/>
  <c r="W1658" i="1"/>
  <c r="X1658" i="1"/>
  <c r="Y1658" i="1"/>
  <c r="Z1658" i="1"/>
  <c r="AA1658" i="1"/>
  <c r="AB1658" i="1"/>
  <c r="AC1658" i="1"/>
  <c r="AD1658" i="1"/>
  <c r="AE1658" i="1"/>
  <c r="AF1658" i="1"/>
  <c r="AG1658" i="1"/>
  <c r="AH1658" i="1"/>
  <c r="AI1658" i="1"/>
  <c r="AJ1658" i="1"/>
  <c r="AK1658" i="1"/>
  <c r="AL1658" i="1"/>
  <c r="AM1658" i="1"/>
  <c r="A1659" i="1"/>
  <c r="B1659" i="1"/>
  <c r="C1659" i="1"/>
  <c r="D1659" i="1"/>
  <c r="E1659" i="1"/>
  <c r="F1659" i="1"/>
  <c r="G1659" i="1"/>
  <c r="H1659" i="1"/>
  <c r="I1659" i="1"/>
  <c r="J1659" i="1"/>
  <c r="K1659" i="1"/>
  <c r="L1659" i="1"/>
  <c r="M1659" i="1"/>
  <c r="N1659" i="1"/>
  <c r="O1659" i="1"/>
  <c r="P1659" i="1"/>
  <c r="Q1659" i="1"/>
  <c r="R1659" i="1"/>
  <c r="S1659" i="1"/>
  <c r="T1659" i="1"/>
  <c r="U1659" i="1"/>
  <c r="V1659" i="1"/>
  <c r="W1659" i="1"/>
  <c r="X1659" i="1"/>
  <c r="Y1659" i="1"/>
  <c r="Z1659" i="1"/>
  <c r="AA1659" i="1"/>
  <c r="AB1659" i="1"/>
  <c r="AC1659" i="1"/>
  <c r="AD1659" i="1"/>
  <c r="AE1659" i="1"/>
  <c r="AF1659" i="1"/>
  <c r="AG1659" i="1"/>
  <c r="AH1659" i="1"/>
  <c r="AI1659" i="1"/>
  <c r="AJ1659" i="1"/>
  <c r="AK1659" i="1"/>
  <c r="AL1659" i="1"/>
  <c r="AM1659" i="1"/>
  <c r="A1660" i="1"/>
  <c r="B1660" i="1"/>
  <c r="C1660" i="1"/>
  <c r="D1660" i="1"/>
  <c r="E1660" i="1"/>
  <c r="F1660" i="1"/>
  <c r="G1660" i="1"/>
  <c r="H1660" i="1"/>
  <c r="I1660" i="1"/>
  <c r="J1660" i="1"/>
  <c r="K1660" i="1"/>
  <c r="L1660" i="1"/>
  <c r="M1660" i="1"/>
  <c r="N1660" i="1"/>
  <c r="O1660" i="1"/>
  <c r="P1660" i="1"/>
  <c r="Q1660" i="1"/>
  <c r="R1660" i="1"/>
  <c r="S1660" i="1"/>
  <c r="T1660" i="1"/>
  <c r="U1660" i="1"/>
  <c r="V1660" i="1"/>
  <c r="W1660" i="1"/>
  <c r="X1660" i="1"/>
  <c r="Y1660" i="1"/>
  <c r="Z1660" i="1"/>
  <c r="AA1660" i="1"/>
  <c r="AB1660" i="1"/>
  <c r="AC1660" i="1"/>
  <c r="AD1660" i="1"/>
  <c r="AE1660" i="1"/>
  <c r="AF1660" i="1"/>
  <c r="AG1660" i="1"/>
  <c r="AH1660" i="1"/>
  <c r="AI1660" i="1"/>
  <c r="AJ1660" i="1"/>
  <c r="AK1660" i="1"/>
  <c r="AL1660" i="1"/>
  <c r="AM1660" i="1"/>
  <c r="A1661" i="1"/>
  <c r="B1661" i="1"/>
  <c r="C1661" i="1"/>
  <c r="D1661" i="1"/>
  <c r="E1661" i="1"/>
  <c r="F1661" i="1"/>
  <c r="G1661" i="1"/>
  <c r="H1661" i="1"/>
  <c r="I1661" i="1"/>
  <c r="J1661" i="1"/>
  <c r="K1661" i="1"/>
  <c r="L1661" i="1"/>
  <c r="M1661" i="1"/>
  <c r="N1661" i="1"/>
  <c r="O1661" i="1"/>
  <c r="P1661" i="1"/>
  <c r="Q1661" i="1"/>
  <c r="R1661" i="1"/>
  <c r="S1661" i="1"/>
  <c r="T1661" i="1"/>
  <c r="U1661" i="1"/>
  <c r="V1661" i="1"/>
  <c r="W1661" i="1"/>
  <c r="X1661" i="1"/>
  <c r="Y1661" i="1"/>
  <c r="Z1661" i="1"/>
  <c r="AA1661" i="1"/>
  <c r="AB1661" i="1"/>
  <c r="AC1661" i="1"/>
  <c r="AD1661" i="1"/>
  <c r="AE1661" i="1"/>
  <c r="AF1661" i="1"/>
  <c r="AG1661" i="1"/>
  <c r="AH1661" i="1"/>
  <c r="AI1661" i="1"/>
  <c r="AJ1661" i="1"/>
  <c r="AK1661" i="1"/>
  <c r="AL1661" i="1"/>
  <c r="AM1661" i="1"/>
  <c r="A1662" i="1"/>
  <c r="B1662" i="1"/>
  <c r="C1662" i="1"/>
  <c r="D1662" i="1"/>
  <c r="E1662" i="1"/>
  <c r="F1662" i="1"/>
  <c r="G1662" i="1"/>
  <c r="H1662" i="1"/>
  <c r="I1662" i="1"/>
  <c r="J1662" i="1"/>
  <c r="K1662" i="1"/>
  <c r="L1662" i="1"/>
  <c r="M1662" i="1"/>
  <c r="N1662" i="1"/>
  <c r="O1662" i="1"/>
  <c r="P1662" i="1"/>
  <c r="Q1662" i="1"/>
  <c r="R1662" i="1"/>
  <c r="S1662" i="1"/>
  <c r="T1662" i="1"/>
  <c r="U1662" i="1"/>
  <c r="V1662" i="1"/>
  <c r="W1662" i="1"/>
  <c r="X1662" i="1"/>
  <c r="Y1662" i="1"/>
  <c r="Z1662" i="1"/>
  <c r="AA1662" i="1"/>
  <c r="AB1662" i="1"/>
  <c r="AC1662" i="1"/>
  <c r="AD1662" i="1"/>
  <c r="AE1662" i="1"/>
  <c r="AF1662" i="1"/>
  <c r="AG1662" i="1"/>
  <c r="AH1662" i="1"/>
  <c r="AI1662" i="1"/>
  <c r="AJ1662" i="1"/>
  <c r="AK1662" i="1"/>
  <c r="AL1662" i="1"/>
  <c r="AM1662" i="1"/>
  <c r="A1663" i="1"/>
  <c r="B1663" i="1"/>
  <c r="C1663" i="1"/>
  <c r="D1663" i="1"/>
  <c r="E1663" i="1"/>
  <c r="F1663" i="1"/>
  <c r="G1663" i="1"/>
  <c r="H1663" i="1"/>
  <c r="I1663" i="1"/>
  <c r="J1663" i="1"/>
  <c r="K1663" i="1"/>
  <c r="L1663" i="1"/>
  <c r="M1663" i="1"/>
  <c r="N1663" i="1"/>
  <c r="O1663" i="1"/>
  <c r="P1663" i="1"/>
  <c r="Q1663" i="1"/>
  <c r="R1663" i="1"/>
  <c r="S1663" i="1"/>
  <c r="T1663" i="1"/>
  <c r="U1663" i="1"/>
  <c r="V1663" i="1"/>
  <c r="W1663" i="1"/>
  <c r="X1663" i="1"/>
  <c r="Y1663" i="1"/>
  <c r="Z1663" i="1"/>
  <c r="AA1663" i="1"/>
  <c r="AB1663" i="1"/>
  <c r="AC1663" i="1"/>
  <c r="AD1663" i="1"/>
  <c r="AE1663" i="1"/>
  <c r="AF1663" i="1"/>
  <c r="AG1663" i="1"/>
  <c r="AH1663" i="1"/>
  <c r="AI1663" i="1"/>
  <c r="AJ1663" i="1"/>
  <c r="AK1663" i="1"/>
  <c r="AL1663" i="1"/>
  <c r="AM1663" i="1"/>
  <c r="A1664" i="1"/>
  <c r="B1664" i="1"/>
  <c r="C1664" i="1"/>
  <c r="D1664" i="1"/>
  <c r="E1664" i="1"/>
  <c r="F1664" i="1"/>
  <c r="G1664" i="1"/>
  <c r="H1664" i="1"/>
  <c r="I1664" i="1"/>
  <c r="J1664" i="1"/>
  <c r="K1664" i="1"/>
  <c r="L1664" i="1"/>
  <c r="M1664" i="1"/>
  <c r="N1664" i="1"/>
  <c r="O1664" i="1"/>
  <c r="P1664" i="1"/>
  <c r="Q1664" i="1"/>
  <c r="R1664" i="1"/>
  <c r="S1664" i="1"/>
  <c r="T1664" i="1"/>
  <c r="U1664" i="1"/>
  <c r="V1664" i="1"/>
  <c r="W1664" i="1"/>
  <c r="X1664" i="1"/>
  <c r="Y1664" i="1"/>
  <c r="Z1664" i="1"/>
  <c r="AA1664" i="1"/>
  <c r="AB1664" i="1"/>
  <c r="AC1664" i="1"/>
  <c r="AD1664" i="1"/>
  <c r="AE1664" i="1"/>
  <c r="AF1664" i="1"/>
  <c r="AG1664" i="1"/>
  <c r="AH1664" i="1"/>
  <c r="AI1664" i="1"/>
  <c r="AJ1664" i="1"/>
  <c r="AK1664" i="1"/>
  <c r="AL1664" i="1"/>
  <c r="AM1664" i="1"/>
  <c r="A1665" i="1"/>
  <c r="B1665" i="1"/>
  <c r="C1665" i="1"/>
  <c r="D1665" i="1"/>
  <c r="E1665" i="1"/>
  <c r="F1665" i="1"/>
  <c r="G1665" i="1"/>
  <c r="H1665" i="1"/>
  <c r="I1665" i="1"/>
  <c r="J1665" i="1"/>
  <c r="K1665" i="1"/>
  <c r="L1665" i="1"/>
  <c r="M1665" i="1"/>
  <c r="N1665" i="1"/>
  <c r="O1665" i="1"/>
  <c r="P1665" i="1"/>
  <c r="Q1665" i="1"/>
  <c r="R1665" i="1"/>
  <c r="S1665" i="1"/>
  <c r="T1665" i="1"/>
  <c r="U1665" i="1"/>
  <c r="V1665" i="1"/>
  <c r="W1665" i="1"/>
  <c r="X1665" i="1"/>
  <c r="Y1665" i="1"/>
  <c r="Z1665" i="1"/>
  <c r="AA1665" i="1"/>
  <c r="AB1665" i="1"/>
  <c r="AC1665" i="1"/>
  <c r="AD1665" i="1"/>
  <c r="AE1665" i="1"/>
  <c r="AF1665" i="1"/>
  <c r="AG1665" i="1"/>
  <c r="AH1665" i="1"/>
  <c r="AI1665" i="1"/>
  <c r="AJ1665" i="1"/>
  <c r="AK1665" i="1"/>
  <c r="AL1665" i="1"/>
  <c r="AM1665" i="1"/>
  <c r="A1666" i="1"/>
  <c r="B1666" i="1"/>
  <c r="C1666" i="1"/>
  <c r="D1666" i="1"/>
  <c r="E1666" i="1"/>
  <c r="F1666" i="1"/>
  <c r="G1666" i="1"/>
  <c r="H1666" i="1"/>
  <c r="I1666" i="1"/>
  <c r="J1666" i="1"/>
  <c r="K1666" i="1"/>
  <c r="L1666" i="1"/>
  <c r="M1666" i="1"/>
  <c r="N1666" i="1"/>
  <c r="O1666" i="1"/>
  <c r="P1666" i="1"/>
  <c r="Q1666" i="1"/>
  <c r="R1666" i="1"/>
  <c r="S1666" i="1"/>
  <c r="T1666" i="1"/>
  <c r="U1666" i="1"/>
  <c r="V1666" i="1"/>
  <c r="W1666" i="1"/>
  <c r="X1666" i="1"/>
  <c r="Y1666" i="1"/>
  <c r="Z1666" i="1"/>
  <c r="AA1666" i="1"/>
  <c r="AB1666" i="1"/>
  <c r="AC1666" i="1"/>
  <c r="AD1666" i="1"/>
  <c r="AE1666" i="1"/>
  <c r="AF1666" i="1"/>
  <c r="AG1666" i="1"/>
  <c r="AH1666" i="1"/>
  <c r="AI1666" i="1"/>
  <c r="AJ1666" i="1"/>
  <c r="AK1666" i="1"/>
  <c r="AL1666" i="1"/>
  <c r="AM1666" i="1"/>
  <c r="A1667" i="1"/>
  <c r="B1667" i="1"/>
  <c r="C1667" i="1"/>
  <c r="D1667" i="1"/>
  <c r="E1667" i="1"/>
  <c r="F1667" i="1"/>
  <c r="G1667" i="1"/>
  <c r="H1667" i="1"/>
  <c r="I1667" i="1"/>
  <c r="J1667" i="1"/>
  <c r="K1667" i="1"/>
  <c r="L1667" i="1"/>
  <c r="M1667" i="1"/>
  <c r="N1667" i="1"/>
  <c r="O1667" i="1"/>
  <c r="P1667" i="1"/>
  <c r="Q1667" i="1"/>
  <c r="R1667" i="1"/>
  <c r="S1667" i="1"/>
  <c r="T1667" i="1"/>
  <c r="U1667" i="1"/>
  <c r="V1667" i="1"/>
  <c r="W1667" i="1"/>
  <c r="X1667" i="1"/>
  <c r="Y1667" i="1"/>
  <c r="Z1667" i="1"/>
  <c r="AA1667" i="1"/>
  <c r="AB1667" i="1"/>
  <c r="AC1667" i="1"/>
  <c r="AD1667" i="1"/>
  <c r="AE1667" i="1"/>
  <c r="AF1667" i="1"/>
  <c r="AG1667" i="1"/>
  <c r="AH1667" i="1"/>
  <c r="AI1667" i="1"/>
  <c r="AJ1667" i="1"/>
  <c r="AK1667" i="1"/>
  <c r="AL1667" i="1"/>
  <c r="AM1667" i="1"/>
  <c r="A1668" i="1"/>
  <c r="B1668" i="1"/>
  <c r="C1668" i="1"/>
  <c r="D1668" i="1"/>
  <c r="E1668" i="1"/>
  <c r="F1668" i="1"/>
  <c r="G1668" i="1"/>
  <c r="H1668" i="1"/>
  <c r="I1668" i="1"/>
  <c r="J1668" i="1"/>
  <c r="K1668" i="1"/>
  <c r="L1668" i="1"/>
  <c r="M1668" i="1"/>
  <c r="N1668" i="1"/>
  <c r="O1668" i="1"/>
  <c r="P1668" i="1"/>
  <c r="Q1668" i="1"/>
  <c r="R1668" i="1"/>
  <c r="S1668" i="1"/>
  <c r="T1668" i="1"/>
  <c r="U1668" i="1"/>
  <c r="V1668" i="1"/>
  <c r="W1668" i="1"/>
  <c r="X1668" i="1"/>
  <c r="Y1668" i="1"/>
  <c r="Z1668" i="1"/>
  <c r="AA1668" i="1"/>
  <c r="AB1668" i="1"/>
  <c r="AC1668" i="1"/>
  <c r="AD1668" i="1"/>
  <c r="AE1668" i="1"/>
  <c r="AF1668" i="1"/>
  <c r="AG1668" i="1"/>
  <c r="AH1668" i="1"/>
  <c r="AI1668" i="1"/>
  <c r="AJ1668" i="1"/>
  <c r="AK1668" i="1"/>
  <c r="AL1668" i="1"/>
  <c r="AM1668" i="1"/>
  <c r="A1669" i="1"/>
  <c r="B1669" i="1"/>
  <c r="C1669" i="1"/>
  <c r="D1669" i="1"/>
  <c r="E1669" i="1"/>
  <c r="F1669" i="1"/>
  <c r="G1669" i="1"/>
  <c r="H1669" i="1"/>
  <c r="I1669" i="1"/>
  <c r="J1669" i="1"/>
  <c r="K1669" i="1"/>
  <c r="L1669" i="1"/>
  <c r="M1669" i="1"/>
  <c r="N1669" i="1"/>
  <c r="O1669" i="1"/>
  <c r="P1669" i="1"/>
  <c r="Q1669" i="1"/>
  <c r="R1669" i="1"/>
  <c r="S1669" i="1"/>
  <c r="T1669" i="1"/>
  <c r="U1669" i="1"/>
  <c r="V1669" i="1"/>
  <c r="W1669" i="1"/>
  <c r="X1669" i="1"/>
  <c r="Y1669" i="1"/>
  <c r="Z1669" i="1"/>
  <c r="AA1669" i="1"/>
  <c r="AB1669" i="1"/>
  <c r="AC1669" i="1"/>
  <c r="AD1669" i="1"/>
  <c r="AE1669" i="1"/>
  <c r="AF1669" i="1"/>
  <c r="AG1669" i="1"/>
  <c r="AH1669" i="1"/>
  <c r="AI1669" i="1"/>
  <c r="AJ1669" i="1"/>
  <c r="AK1669" i="1"/>
  <c r="AL1669" i="1"/>
  <c r="AM1669" i="1"/>
  <c r="A1670" i="1"/>
  <c r="B1670" i="1"/>
  <c r="C1670" i="1"/>
  <c r="D1670" i="1"/>
  <c r="E1670" i="1"/>
  <c r="F1670" i="1"/>
  <c r="G1670" i="1"/>
  <c r="H1670" i="1"/>
  <c r="I1670" i="1"/>
  <c r="J1670" i="1"/>
  <c r="K1670" i="1"/>
  <c r="L1670" i="1"/>
  <c r="M1670" i="1"/>
  <c r="N1670" i="1"/>
  <c r="O1670" i="1"/>
  <c r="P1670" i="1"/>
  <c r="Q1670" i="1"/>
  <c r="R1670" i="1"/>
  <c r="S1670" i="1"/>
  <c r="T1670" i="1"/>
  <c r="U1670" i="1"/>
  <c r="V1670" i="1"/>
  <c r="W1670" i="1"/>
  <c r="X1670" i="1"/>
  <c r="Y1670" i="1"/>
  <c r="Z1670" i="1"/>
  <c r="AA1670" i="1"/>
  <c r="AB1670" i="1"/>
  <c r="AC1670" i="1"/>
  <c r="AD1670" i="1"/>
  <c r="AE1670" i="1"/>
  <c r="AF1670" i="1"/>
  <c r="AG1670" i="1"/>
  <c r="AH1670" i="1"/>
  <c r="AI1670" i="1"/>
  <c r="AJ1670" i="1"/>
  <c r="AK1670" i="1"/>
  <c r="AL1670" i="1"/>
  <c r="AM1670" i="1"/>
  <c r="A1671" i="1"/>
  <c r="B1671" i="1"/>
  <c r="C1671" i="1"/>
  <c r="D1671" i="1"/>
  <c r="E1671" i="1"/>
  <c r="F1671" i="1"/>
  <c r="G1671" i="1"/>
  <c r="H1671" i="1"/>
  <c r="I1671" i="1"/>
  <c r="J1671" i="1"/>
  <c r="K1671" i="1"/>
  <c r="L1671" i="1"/>
  <c r="M1671" i="1"/>
  <c r="N1671" i="1"/>
  <c r="O1671" i="1"/>
  <c r="P1671" i="1"/>
  <c r="Q1671" i="1"/>
  <c r="R1671" i="1"/>
  <c r="S1671" i="1"/>
  <c r="T1671" i="1"/>
  <c r="U1671" i="1"/>
  <c r="V1671" i="1"/>
  <c r="W1671" i="1"/>
  <c r="X1671" i="1"/>
  <c r="Y1671" i="1"/>
  <c r="Z1671" i="1"/>
  <c r="AA1671" i="1"/>
  <c r="AB1671" i="1"/>
  <c r="AC1671" i="1"/>
  <c r="AD1671" i="1"/>
  <c r="AE1671" i="1"/>
  <c r="AF1671" i="1"/>
  <c r="AG1671" i="1"/>
  <c r="AH1671" i="1"/>
  <c r="AI1671" i="1"/>
  <c r="AJ1671" i="1"/>
  <c r="AK1671" i="1"/>
  <c r="AL1671" i="1"/>
  <c r="AM1671" i="1"/>
  <c r="A1672" i="1"/>
  <c r="B1672" i="1"/>
  <c r="C1672" i="1"/>
  <c r="D1672" i="1"/>
  <c r="E1672" i="1"/>
  <c r="F1672" i="1"/>
  <c r="G1672" i="1"/>
  <c r="H1672" i="1"/>
  <c r="I1672" i="1"/>
  <c r="J1672" i="1"/>
  <c r="K1672" i="1"/>
  <c r="L1672" i="1"/>
  <c r="M1672" i="1"/>
  <c r="N1672" i="1"/>
  <c r="O1672" i="1"/>
  <c r="P1672" i="1"/>
  <c r="Q1672" i="1"/>
  <c r="R1672" i="1"/>
  <c r="S1672" i="1"/>
  <c r="T1672" i="1"/>
  <c r="U1672" i="1"/>
  <c r="V1672" i="1"/>
  <c r="W1672" i="1"/>
  <c r="X1672" i="1"/>
  <c r="Y1672" i="1"/>
  <c r="Z1672" i="1"/>
  <c r="AA1672" i="1"/>
  <c r="AB1672" i="1"/>
  <c r="AC1672" i="1"/>
  <c r="AD1672" i="1"/>
  <c r="AE1672" i="1"/>
  <c r="AF1672" i="1"/>
  <c r="AG1672" i="1"/>
  <c r="AH1672" i="1"/>
  <c r="AI1672" i="1"/>
  <c r="AJ1672" i="1"/>
  <c r="AK1672" i="1"/>
  <c r="AL1672" i="1"/>
  <c r="AM1672" i="1"/>
  <c r="A1673" i="1"/>
  <c r="B1673" i="1"/>
  <c r="C1673" i="1"/>
  <c r="D1673" i="1"/>
  <c r="E1673" i="1"/>
  <c r="F1673" i="1"/>
  <c r="G1673" i="1"/>
  <c r="H1673" i="1"/>
  <c r="I1673" i="1"/>
  <c r="J1673" i="1"/>
  <c r="K1673" i="1"/>
  <c r="L1673" i="1"/>
  <c r="M1673" i="1"/>
  <c r="N1673" i="1"/>
  <c r="O1673" i="1"/>
  <c r="P1673" i="1"/>
  <c r="Q1673" i="1"/>
  <c r="R1673" i="1"/>
  <c r="S1673" i="1"/>
  <c r="T1673" i="1"/>
  <c r="U1673" i="1"/>
  <c r="V1673" i="1"/>
  <c r="W1673" i="1"/>
  <c r="X1673" i="1"/>
  <c r="Y1673" i="1"/>
  <c r="Z1673" i="1"/>
  <c r="AA1673" i="1"/>
  <c r="AB1673" i="1"/>
  <c r="AC1673" i="1"/>
  <c r="AD1673" i="1"/>
  <c r="AE1673" i="1"/>
  <c r="AF1673" i="1"/>
  <c r="AG1673" i="1"/>
  <c r="AH1673" i="1"/>
  <c r="AI1673" i="1"/>
  <c r="AJ1673" i="1"/>
  <c r="AK1673" i="1"/>
  <c r="AL1673" i="1"/>
  <c r="AM1673" i="1"/>
  <c r="A1674" i="1"/>
  <c r="B1674" i="1"/>
  <c r="C1674" i="1"/>
  <c r="D1674" i="1"/>
  <c r="E1674" i="1"/>
  <c r="F1674" i="1"/>
  <c r="G1674" i="1"/>
  <c r="H1674" i="1"/>
  <c r="I1674" i="1"/>
  <c r="J1674" i="1"/>
  <c r="K1674" i="1"/>
  <c r="L1674" i="1"/>
  <c r="M1674" i="1"/>
  <c r="N1674" i="1"/>
  <c r="O1674" i="1"/>
  <c r="P1674" i="1"/>
  <c r="Q1674" i="1"/>
  <c r="R1674" i="1"/>
  <c r="S1674" i="1"/>
  <c r="T1674" i="1"/>
  <c r="U1674" i="1"/>
  <c r="V1674" i="1"/>
  <c r="W1674" i="1"/>
  <c r="X1674" i="1"/>
  <c r="Y1674" i="1"/>
  <c r="Z1674" i="1"/>
  <c r="AA1674" i="1"/>
  <c r="AB1674" i="1"/>
  <c r="AC1674" i="1"/>
  <c r="AD1674" i="1"/>
  <c r="AE1674" i="1"/>
  <c r="AF1674" i="1"/>
  <c r="AG1674" i="1"/>
  <c r="AH1674" i="1"/>
  <c r="AI1674" i="1"/>
  <c r="AJ1674" i="1"/>
  <c r="AK1674" i="1"/>
  <c r="AL1674" i="1"/>
  <c r="AM1674" i="1"/>
  <c r="A1675" i="1"/>
  <c r="B1675" i="1"/>
  <c r="C1675" i="1"/>
  <c r="D1675" i="1"/>
  <c r="E1675" i="1"/>
  <c r="F1675" i="1"/>
  <c r="G1675" i="1"/>
  <c r="H1675" i="1"/>
  <c r="I1675" i="1"/>
  <c r="J1675" i="1"/>
  <c r="K1675" i="1"/>
  <c r="L1675" i="1"/>
  <c r="M1675" i="1"/>
  <c r="N1675" i="1"/>
  <c r="O1675" i="1"/>
  <c r="P1675" i="1"/>
  <c r="Q1675" i="1"/>
  <c r="R1675" i="1"/>
  <c r="S1675" i="1"/>
  <c r="T1675" i="1"/>
  <c r="U1675" i="1"/>
  <c r="V1675" i="1"/>
  <c r="W1675" i="1"/>
  <c r="X1675" i="1"/>
  <c r="Y1675" i="1"/>
  <c r="Z1675" i="1"/>
  <c r="AA1675" i="1"/>
  <c r="AB1675" i="1"/>
  <c r="AC1675" i="1"/>
  <c r="AD1675" i="1"/>
  <c r="AE1675" i="1"/>
  <c r="AF1675" i="1"/>
  <c r="AG1675" i="1"/>
  <c r="AH1675" i="1"/>
  <c r="AI1675" i="1"/>
  <c r="AJ1675" i="1"/>
  <c r="AK1675" i="1"/>
  <c r="AL1675" i="1"/>
  <c r="AM1675" i="1"/>
  <c r="A1676" i="1"/>
  <c r="B1676" i="1"/>
  <c r="C1676" i="1"/>
  <c r="D1676" i="1"/>
  <c r="E1676" i="1"/>
  <c r="F1676" i="1"/>
  <c r="G1676" i="1"/>
  <c r="H1676" i="1"/>
  <c r="I1676" i="1"/>
  <c r="J1676" i="1"/>
  <c r="K1676" i="1"/>
  <c r="L1676" i="1"/>
  <c r="M1676" i="1"/>
  <c r="N1676" i="1"/>
  <c r="O1676" i="1"/>
  <c r="P1676" i="1"/>
  <c r="Q1676" i="1"/>
  <c r="R1676" i="1"/>
  <c r="S1676" i="1"/>
  <c r="T1676" i="1"/>
  <c r="U1676" i="1"/>
  <c r="V1676" i="1"/>
  <c r="W1676" i="1"/>
  <c r="X1676" i="1"/>
  <c r="Y1676" i="1"/>
  <c r="Z1676" i="1"/>
  <c r="AA1676" i="1"/>
  <c r="AB1676" i="1"/>
  <c r="AC1676" i="1"/>
  <c r="AD1676" i="1"/>
  <c r="AE1676" i="1"/>
  <c r="AF1676" i="1"/>
  <c r="AG1676" i="1"/>
  <c r="AH1676" i="1"/>
  <c r="AI1676" i="1"/>
  <c r="AJ1676" i="1"/>
  <c r="AK1676" i="1"/>
  <c r="AL1676" i="1"/>
  <c r="AM1676" i="1"/>
  <c r="A1677" i="1"/>
  <c r="B1677" i="1"/>
  <c r="C1677" i="1"/>
  <c r="D1677" i="1"/>
  <c r="E1677" i="1"/>
  <c r="F1677" i="1"/>
  <c r="G1677" i="1"/>
  <c r="H1677" i="1"/>
  <c r="I1677" i="1"/>
  <c r="J1677" i="1"/>
  <c r="K1677" i="1"/>
  <c r="L1677" i="1"/>
  <c r="M1677" i="1"/>
  <c r="N1677" i="1"/>
  <c r="O1677" i="1"/>
  <c r="P1677" i="1"/>
  <c r="Q1677" i="1"/>
  <c r="R1677" i="1"/>
  <c r="S1677" i="1"/>
  <c r="T1677" i="1"/>
  <c r="U1677" i="1"/>
  <c r="V1677" i="1"/>
  <c r="W1677" i="1"/>
  <c r="X1677" i="1"/>
  <c r="Y1677" i="1"/>
  <c r="Z1677" i="1"/>
  <c r="AA1677" i="1"/>
  <c r="AB1677" i="1"/>
  <c r="AC1677" i="1"/>
  <c r="AD1677" i="1"/>
  <c r="AE1677" i="1"/>
  <c r="AF1677" i="1"/>
  <c r="AG1677" i="1"/>
  <c r="AH1677" i="1"/>
  <c r="AI1677" i="1"/>
  <c r="AJ1677" i="1"/>
  <c r="AK1677" i="1"/>
  <c r="AL1677" i="1"/>
  <c r="AM1677" i="1"/>
  <c r="A1678" i="1"/>
  <c r="B1678" i="1"/>
  <c r="C1678" i="1"/>
  <c r="D1678" i="1"/>
  <c r="E1678" i="1"/>
  <c r="F1678" i="1"/>
  <c r="G1678" i="1"/>
  <c r="H1678" i="1"/>
  <c r="I1678" i="1"/>
  <c r="J1678" i="1"/>
  <c r="K1678" i="1"/>
  <c r="L1678" i="1"/>
  <c r="M1678" i="1"/>
  <c r="N1678" i="1"/>
  <c r="O1678" i="1"/>
  <c r="P1678" i="1"/>
  <c r="Q1678" i="1"/>
  <c r="R1678" i="1"/>
  <c r="S1678" i="1"/>
  <c r="T1678" i="1"/>
  <c r="U1678" i="1"/>
  <c r="V1678" i="1"/>
  <c r="W1678" i="1"/>
  <c r="X1678" i="1"/>
  <c r="Y1678" i="1"/>
  <c r="Z1678" i="1"/>
  <c r="AA1678" i="1"/>
  <c r="AB1678" i="1"/>
  <c r="AC1678" i="1"/>
  <c r="AD1678" i="1"/>
  <c r="AE1678" i="1"/>
  <c r="AF1678" i="1"/>
  <c r="AG1678" i="1"/>
  <c r="AH1678" i="1"/>
  <c r="AI1678" i="1"/>
  <c r="AJ1678" i="1"/>
  <c r="AK1678" i="1"/>
  <c r="AL1678" i="1"/>
  <c r="AM1678" i="1"/>
  <c r="A1679" i="1"/>
  <c r="B1679" i="1"/>
  <c r="C1679" i="1"/>
  <c r="D1679" i="1"/>
  <c r="E1679" i="1"/>
  <c r="F1679" i="1"/>
  <c r="G1679" i="1"/>
  <c r="H1679" i="1"/>
  <c r="I1679" i="1"/>
  <c r="J1679" i="1"/>
  <c r="K1679" i="1"/>
  <c r="L1679" i="1"/>
  <c r="M1679" i="1"/>
  <c r="N1679" i="1"/>
  <c r="O1679" i="1"/>
  <c r="P1679" i="1"/>
  <c r="Q1679" i="1"/>
  <c r="R1679" i="1"/>
  <c r="S1679" i="1"/>
  <c r="T1679" i="1"/>
  <c r="U1679" i="1"/>
  <c r="V1679" i="1"/>
  <c r="W1679" i="1"/>
  <c r="X1679" i="1"/>
  <c r="Y1679" i="1"/>
  <c r="Z1679" i="1"/>
  <c r="AA1679" i="1"/>
  <c r="AB1679" i="1"/>
  <c r="AC1679" i="1"/>
  <c r="AD1679" i="1"/>
  <c r="AE1679" i="1"/>
  <c r="AF1679" i="1"/>
  <c r="AG1679" i="1"/>
  <c r="AH1679" i="1"/>
  <c r="AI1679" i="1"/>
  <c r="AJ1679" i="1"/>
  <c r="AK1679" i="1"/>
  <c r="AL1679" i="1"/>
  <c r="AM1679" i="1"/>
  <c r="A1680" i="1"/>
  <c r="B1680" i="1"/>
  <c r="C1680" i="1"/>
  <c r="D1680" i="1"/>
  <c r="E1680" i="1"/>
  <c r="F1680" i="1"/>
  <c r="G1680" i="1"/>
  <c r="H1680" i="1"/>
  <c r="I1680" i="1"/>
  <c r="J1680" i="1"/>
  <c r="K1680" i="1"/>
  <c r="L1680" i="1"/>
  <c r="M1680" i="1"/>
  <c r="N1680" i="1"/>
  <c r="O1680" i="1"/>
  <c r="P1680" i="1"/>
  <c r="Q1680" i="1"/>
  <c r="R1680" i="1"/>
  <c r="S1680" i="1"/>
  <c r="T1680" i="1"/>
  <c r="U1680" i="1"/>
  <c r="V1680" i="1"/>
  <c r="W1680" i="1"/>
  <c r="X1680" i="1"/>
  <c r="Y1680" i="1"/>
  <c r="Z1680" i="1"/>
  <c r="AA1680" i="1"/>
  <c r="AB1680" i="1"/>
  <c r="AC1680" i="1"/>
  <c r="AD1680" i="1"/>
  <c r="AE1680" i="1"/>
  <c r="AF1680" i="1"/>
  <c r="AG1680" i="1"/>
  <c r="AH1680" i="1"/>
  <c r="AI1680" i="1"/>
  <c r="AJ1680" i="1"/>
  <c r="AK1680" i="1"/>
  <c r="AL1680" i="1"/>
  <c r="AM1680" i="1"/>
  <c r="A1681" i="1"/>
  <c r="B1681" i="1"/>
  <c r="C1681" i="1"/>
  <c r="D1681" i="1"/>
  <c r="E1681" i="1"/>
  <c r="F1681" i="1"/>
  <c r="G1681" i="1"/>
  <c r="H1681" i="1"/>
  <c r="I1681" i="1"/>
  <c r="J1681" i="1"/>
  <c r="K1681" i="1"/>
  <c r="L1681" i="1"/>
  <c r="M1681" i="1"/>
  <c r="N1681" i="1"/>
  <c r="O1681" i="1"/>
  <c r="P1681" i="1"/>
  <c r="Q1681" i="1"/>
  <c r="R1681" i="1"/>
  <c r="S1681" i="1"/>
  <c r="T1681" i="1"/>
  <c r="U1681" i="1"/>
  <c r="V1681" i="1"/>
  <c r="W1681" i="1"/>
  <c r="X1681" i="1"/>
  <c r="Y1681" i="1"/>
  <c r="Z1681" i="1"/>
  <c r="AA1681" i="1"/>
  <c r="AB1681" i="1"/>
  <c r="AC1681" i="1"/>
  <c r="AD1681" i="1"/>
  <c r="AE1681" i="1"/>
  <c r="AF1681" i="1"/>
  <c r="AG1681" i="1"/>
  <c r="AH1681" i="1"/>
  <c r="AI1681" i="1"/>
  <c r="AJ1681" i="1"/>
  <c r="AK1681" i="1"/>
  <c r="AL1681" i="1"/>
  <c r="AM1681" i="1"/>
  <c r="A1682" i="1"/>
  <c r="B1682" i="1"/>
  <c r="C1682" i="1"/>
  <c r="D1682" i="1"/>
  <c r="E1682" i="1"/>
  <c r="F1682" i="1"/>
  <c r="G1682" i="1"/>
  <c r="H1682" i="1"/>
  <c r="I1682" i="1"/>
  <c r="J1682" i="1"/>
  <c r="K1682" i="1"/>
  <c r="L1682" i="1"/>
  <c r="M1682" i="1"/>
  <c r="N1682" i="1"/>
  <c r="O1682" i="1"/>
  <c r="P1682" i="1"/>
  <c r="Q1682" i="1"/>
  <c r="R1682" i="1"/>
  <c r="S1682" i="1"/>
  <c r="T1682" i="1"/>
  <c r="U1682" i="1"/>
  <c r="V1682" i="1"/>
  <c r="W1682" i="1"/>
  <c r="X1682" i="1"/>
  <c r="Y1682" i="1"/>
  <c r="Z1682" i="1"/>
  <c r="AA1682" i="1"/>
  <c r="AB1682" i="1"/>
  <c r="AC1682" i="1"/>
  <c r="AD1682" i="1"/>
  <c r="AE1682" i="1"/>
  <c r="AF1682" i="1"/>
  <c r="AG1682" i="1"/>
  <c r="AH1682" i="1"/>
  <c r="AI1682" i="1"/>
  <c r="AJ1682" i="1"/>
  <c r="AK1682" i="1"/>
  <c r="AL1682" i="1"/>
  <c r="AM1682" i="1"/>
  <c r="A1683" i="1"/>
  <c r="B1683" i="1"/>
  <c r="C1683" i="1"/>
  <c r="D1683" i="1"/>
  <c r="E1683" i="1"/>
  <c r="F1683" i="1"/>
  <c r="G1683" i="1"/>
  <c r="H1683" i="1"/>
  <c r="I1683" i="1"/>
  <c r="J1683" i="1"/>
  <c r="K1683" i="1"/>
  <c r="L1683" i="1"/>
  <c r="M1683" i="1"/>
  <c r="N1683" i="1"/>
  <c r="O1683" i="1"/>
  <c r="P1683" i="1"/>
  <c r="Q1683" i="1"/>
  <c r="R1683" i="1"/>
  <c r="S1683" i="1"/>
  <c r="T1683" i="1"/>
  <c r="U1683" i="1"/>
  <c r="V1683" i="1"/>
  <c r="W1683" i="1"/>
  <c r="X1683" i="1"/>
  <c r="Y1683" i="1"/>
  <c r="Z1683" i="1"/>
  <c r="AA1683" i="1"/>
  <c r="AB1683" i="1"/>
  <c r="AC1683" i="1"/>
  <c r="AD1683" i="1"/>
  <c r="AE1683" i="1"/>
  <c r="AF1683" i="1"/>
  <c r="AG1683" i="1"/>
  <c r="AH1683" i="1"/>
  <c r="AI1683" i="1"/>
  <c r="AJ1683" i="1"/>
  <c r="AK1683" i="1"/>
  <c r="AL1683" i="1"/>
  <c r="AM1683" i="1"/>
  <c r="A1684" i="1"/>
  <c r="B1684" i="1"/>
  <c r="C1684" i="1"/>
  <c r="D1684" i="1"/>
  <c r="E1684" i="1"/>
  <c r="F1684" i="1"/>
  <c r="G1684" i="1"/>
  <c r="H1684" i="1"/>
  <c r="I1684" i="1"/>
  <c r="J1684" i="1"/>
  <c r="K1684" i="1"/>
  <c r="L1684" i="1"/>
  <c r="M1684" i="1"/>
  <c r="N1684" i="1"/>
  <c r="O1684" i="1"/>
  <c r="P1684" i="1"/>
  <c r="Q1684" i="1"/>
  <c r="R1684" i="1"/>
  <c r="S1684" i="1"/>
  <c r="T1684" i="1"/>
  <c r="U1684" i="1"/>
  <c r="V1684" i="1"/>
  <c r="W1684" i="1"/>
  <c r="X1684" i="1"/>
  <c r="Y1684" i="1"/>
  <c r="Z1684" i="1"/>
  <c r="AA1684" i="1"/>
  <c r="AB1684" i="1"/>
  <c r="AC1684" i="1"/>
  <c r="AD1684" i="1"/>
  <c r="AE1684" i="1"/>
  <c r="AF1684" i="1"/>
  <c r="AG1684" i="1"/>
  <c r="AH1684" i="1"/>
  <c r="AI1684" i="1"/>
  <c r="AJ1684" i="1"/>
  <c r="AK1684" i="1"/>
  <c r="AL1684" i="1"/>
  <c r="AM1684" i="1"/>
  <c r="A1685" i="1"/>
  <c r="B1685" i="1"/>
  <c r="C1685" i="1"/>
  <c r="D1685" i="1"/>
  <c r="E1685" i="1"/>
  <c r="F1685" i="1"/>
  <c r="G1685" i="1"/>
  <c r="H1685" i="1"/>
  <c r="I1685" i="1"/>
  <c r="J1685" i="1"/>
  <c r="K1685" i="1"/>
  <c r="L1685" i="1"/>
  <c r="M1685" i="1"/>
  <c r="N1685" i="1"/>
  <c r="O1685" i="1"/>
  <c r="P1685" i="1"/>
  <c r="Q1685" i="1"/>
  <c r="R1685" i="1"/>
  <c r="S1685" i="1"/>
  <c r="T1685" i="1"/>
  <c r="U1685" i="1"/>
  <c r="V1685" i="1"/>
  <c r="W1685" i="1"/>
  <c r="X1685" i="1"/>
  <c r="Y1685" i="1"/>
  <c r="Z1685" i="1"/>
  <c r="AA1685" i="1"/>
  <c r="AB1685" i="1"/>
  <c r="AC1685" i="1"/>
  <c r="AD1685" i="1"/>
  <c r="AE1685" i="1"/>
  <c r="AF1685" i="1"/>
  <c r="AG1685" i="1"/>
  <c r="AH1685" i="1"/>
  <c r="AI1685" i="1"/>
  <c r="AJ1685" i="1"/>
  <c r="AK1685" i="1"/>
  <c r="AL1685" i="1"/>
  <c r="AM1685" i="1"/>
  <c r="A1686" i="1"/>
  <c r="B1686" i="1"/>
  <c r="C1686" i="1"/>
  <c r="D1686" i="1"/>
  <c r="E1686" i="1"/>
  <c r="F1686" i="1"/>
  <c r="G1686" i="1"/>
  <c r="H1686" i="1"/>
  <c r="I1686" i="1"/>
  <c r="J1686" i="1"/>
  <c r="K1686" i="1"/>
  <c r="L1686" i="1"/>
  <c r="M1686" i="1"/>
  <c r="N1686" i="1"/>
  <c r="O1686" i="1"/>
  <c r="P1686" i="1"/>
  <c r="Q1686" i="1"/>
  <c r="R1686" i="1"/>
  <c r="S1686" i="1"/>
  <c r="T1686" i="1"/>
  <c r="U1686" i="1"/>
  <c r="V1686" i="1"/>
  <c r="W1686" i="1"/>
  <c r="X1686" i="1"/>
  <c r="Y1686" i="1"/>
  <c r="Z1686" i="1"/>
  <c r="AA1686" i="1"/>
  <c r="AB1686" i="1"/>
  <c r="AC1686" i="1"/>
  <c r="AD1686" i="1"/>
  <c r="AE1686" i="1"/>
  <c r="AF1686" i="1"/>
  <c r="AG1686" i="1"/>
  <c r="AH1686" i="1"/>
  <c r="AI1686" i="1"/>
  <c r="AJ1686" i="1"/>
  <c r="AK1686" i="1"/>
  <c r="AL1686" i="1"/>
  <c r="AM1686" i="1"/>
  <c r="A1687" i="1"/>
  <c r="B1687" i="1"/>
  <c r="C1687" i="1"/>
  <c r="D1687" i="1"/>
  <c r="E1687" i="1"/>
  <c r="F1687" i="1"/>
  <c r="G1687" i="1"/>
  <c r="H1687" i="1"/>
  <c r="I1687" i="1"/>
  <c r="J1687" i="1"/>
  <c r="K1687" i="1"/>
  <c r="L1687" i="1"/>
  <c r="M1687" i="1"/>
  <c r="N1687" i="1"/>
  <c r="O1687" i="1"/>
  <c r="P1687" i="1"/>
  <c r="Q1687" i="1"/>
  <c r="R1687" i="1"/>
  <c r="S1687" i="1"/>
  <c r="T1687" i="1"/>
  <c r="U1687" i="1"/>
  <c r="V1687" i="1"/>
  <c r="W1687" i="1"/>
  <c r="X1687" i="1"/>
  <c r="Y1687" i="1"/>
  <c r="Z1687" i="1"/>
  <c r="AA1687" i="1"/>
  <c r="AB1687" i="1"/>
  <c r="AC1687" i="1"/>
  <c r="AD1687" i="1"/>
  <c r="AE1687" i="1"/>
  <c r="AF1687" i="1"/>
  <c r="AG1687" i="1"/>
  <c r="AH1687" i="1"/>
  <c r="AI1687" i="1"/>
  <c r="AJ1687" i="1"/>
  <c r="AK1687" i="1"/>
  <c r="AL1687" i="1"/>
  <c r="AM1687" i="1"/>
  <c r="A1688" i="1"/>
  <c r="B1688" i="1"/>
  <c r="C1688" i="1"/>
  <c r="D1688" i="1"/>
  <c r="E1688" i="1"/>
  <c r="F1688" i="1"/>
  <c r="G1688" i="1"/>
  <c r="H1688" i="1"/>
  <c r="I1688" i="1"/>
  <c r="J1688" i="1"/>
  <c r="K1688" i="1"/>
  <c r="L1688" i="1"/>
  <c r="M1688" i="1"/>
  <c r="N1688" i="1"/>
  <c r="O1688" i="1"/>
  <c r="P1688" i="1"/>
  <c r="Q1688" i="1"/>
  <c r="R1688" i="1"/>
  <c r="S1688" i="1"/>
  <c r="T1688" i="1"/>
  <c r="U1688" i="1"/>
  <c r="V1688" i="1"/>
  <c r="W1688" i="1"/>
  <c r="X1688" i="1"/>
  <c r="Y1688" i="1"/>
  <c r="Z1688" i="1"/>
  <c r="AA1688" i="1"/>
  <c r="AB1688" i="1"/>
  <c r="AC1688" i="1"/>
  <c r="AD1688" i="1"/>
  <c r="AE1688" i="1"/>
  <c r="AF1688" i="1"/>
  <c r="AG1688" i="1"/>
  <c r="AH1688" i="1"/>
  <c r="AI1688" i="1"/>
  <c r="AJ1688" i="1"/>
  <c r="AK1688" i="1"/>
  <c r="AL1688" i="1"/>
  <c r="AM1688" i="1"/>
  <c r="A1689" i="1"/>
  <c r="B1689" i="1"/>
  <c r="C1689" i="1"/>
  <c r="D1689" i="1"/>
  <c r="E1689" i="1"/>
  <c r="F1689" i="1"/>
  <c r="G1689" i="1"/>
  <c r="H1689" i="1"/>
  <c r="I1689" i="1"/>
  <c r="J1689" i="1"/>
  <c r="K1689" i="1"/>
  <c r="L1689" i="1"/>
  <c r="M1689" i="1"/>
  <c r="N1689" i="1"/>
  <c r="O1689" i="1"/>
  <c r="P1689" i="1"/>
  <c r="Q1689" i="1"/>
  <c r="R1689" i="1"/>
  <c r="S1689" i="1"/>
  <c r="T1689" i="1"/>
  <c r="U1689" i="1"/>
  <c r="V1689" i="1"/>
  <c r="W1689" i="1"/>
  <c r="X1689" i="1"/>
  <c r="Y1689" i="1"/>
  <c r="Z1689" i="1"/>
  <c r="AA1689" i="1"/>
  <c r="AB1689" i="1"/>
  <c r="AC1689" i="1"/>
  <c r="AD1689" i="1"/>
  <c r="AE1689" i="1"/>
  <c r="AF1689" i="1"/>
  <c r="AG1689" i="1"/>
  <c r="AH1689" i="1"/>
  <c r="AI1689" i="1"/>
  <c r="AJ1689" i="1"/>
  <c r="AK1689" i="1"/>
  <c r="AL1689" i="1"/>
  <c r="AM1689" i="1"/>
  <c r="A1690" i="1"/>
  <c r="B1690" i="1"/>
  <c r="C1690" i="1"/>
  <c r="D1690" i="1"/>
  <c r="E1690" i="1"/>
  <c r="F1690" i="1"/>
  <c r="G1690" i="1"/>
  <c r="H1690" i="1"/>
  <c r="I1690" i="1"/>
  <c r="J1690" i="1"/>
  <c r="K1690" i="1"/>
  <c r="L1690" i="1"/>
  <c r="M1690" i="1"/>
  <c r="N1690" i="1"/>
  <c r="O1690" i="1"/>
  <c r="P1690" i="1"/>
  <c r="Q1690" i="1"/>
  <c r="R1690" i="1"/>
  <c r="S1690" i="1"/>
  <c r="T1690" i="1"/>
  <c r="U1690" i="1"/>
  <c r="V1690" i="1"/>
  <c r="W1690" i="1"/>
  <c r="X1690" i="1"/>
  <c r="Y1690" i="1"/>
  <c r="Z1690" i="1"/>
  <c r="AA1690" i="1"/>
  <c r="AB1690" i="1"/>
  <c r="AC1690" i="1"/>
  <c r="AD1690" i="1"/>
  <c r="AE1690" i="1"/>
  <c r="AF1690" i="1"/>
  <c r="AG1690" i="1"/>
  <c r="AH1690" i="1"/>
  <c r="AI1690" i="1"/>
  <c r="AJ1690" i="1"/>
  <c r="AK1690" i="1"/>
  <c r="AL1690" i="1"/>
  <c r="AM1690" i="1"/>
  <c r="A1691" i="1"/>
  <c r="B1691" i="1"/>
  <c r="C1691" i="1"/>
  <c r="D1691" i="1"/>
  <c r="E1691" i="1"/>
  <c r="F1691" i="1"/>
  <c r="G1691" i="1"/>
  <c r="H1691" i="1"/>
  <c r="I1691" i="1"/>
  <c r="J1691" i="1"/>
  <c r="K1691" i="1"/>
  <c r="L1691" i="1"/>
  <c r="M1691" i="1"/>
  <c r="N1691" i="1"/>
  <c r="O1691" i="1"/>
  <c r="P1691" i="1"/>
  <c r="Q1691" i="1"/>
  <c r="R1691" i="1"/>
  <c r="S1691" i="1"/>
  <c r="T1691" i="1"/>
  <c r="U1691" i="1"/>
  <c r="V1691" i="1"/>
  <c r="W1691" i="1"/>
  <c r="X1691" i="1"/>
  <c r="Y1691" i="1"/>
  <c r="Z1691" i="1"/>
  <c r="AA1691" i="1"/>
  <c r="AB1691" i="1"/>
  <c r="AC1691" i="1"/>
  <c r="AD1691" i="1"/>
  <c r="AE1691" i="1"/>
  <c r="AF1691" i="1"/>
  <c r="AG1691" i="1"/>
  <c r="AH1691" i="1"/>
  <c r="AI1691" i="1"/>
  <c r="AJ1691" i="1"/>
  <c r="AK1691" i="1"/>
  <c r="AL1691" i="1"/>
  <c r="AM1691" i="1"/>
  <c r="A1692" i="1"/>
  <c r="B1692" i="1"/>
  <c r="C1692" i="1"/>
  <c r="D1692" i="1"/>
  <c r="E1692" i="1"/>
  <c r="F1692" i="1"/>
  <c r="G1692" i="1"/>
  <c r="H1692" i="1"/>
  <c r="I1692" i="1"/>
  <c r="J1692" i="1"/>
  <c r="K1692" i="1"/>
  <c r="L1692" i="1"/>
  <c r="M1692" i="1"/>
  <c r="N1692" i="1"/>
  <c r="O1692" i="1"/>
  <c r="P1692" i="1"/>
  <c r="Q1692" i="1"/>
  <c r="R1692" i="1"/>
  <c r="S1692" i="1"/>
  <c r="T1692" i="1"/>
  <c r="U1692" i="1"/>
  <c r="V1692" i="1"/>
  <c r="W1692" i="1"/>
  <c r="X1692" i="1"/>
  <c r="Y1692" i="1"/>
  <c r="Z1692" i="1"/>
  <c r="AA1692" i="1"/>
  <c r="AB1692" i="1"/>
  <c r="AC1692" i="1"/>
  <c r="AD1692" i="1"/>
  <c r="AE1692" i="1"/>
  <c r="AF1692" i="1"/>
  <c r="AG1692" i="1"/>
  <c r="AH1692" i="1"/>
  <c r="AI1692" i="1"/>
  <c r="AJ1692" i="1"/>
  <c r="AK1692" i="1"/>
  <c r="AL1692" i="1"/>
  <c r="AM1692" i="1"/>
  <c r="A1693" i="1"/>
  <c r="B1693" i="1"/>
  <c r="C1693" i="1"/>
  <c r="D1693" i="1"/>
  <c r="E1693" i="1"/>
  <c r="F1693" i="1"/>
  <c r="G1693" i="1"/>
  <c r="H1693" i="1"/>
  <c r="I1693" i="1"/>
  <c r="J1693" i="1"/>
  <c r="K1693" i="1"/>
  <c r="L1693" i="1"/>
  <c r="M1693" i="1"/>
  <c r="N1693" i="1"/>
  <c r="O1693" i="1"/>
  <c r="P1693" i="1"/>
  <c r="Q1693" i="1"/>
  <c r="R1693" i="1"/>
  <c r="S1693" i="1"/>
  <c r="T1693" i="1"/>
  <c r="U1693" i="1"/>
  <c r="V1693" i="1"/>
  <c r="W1693" i="1"/>
  <c r="X1693" i="1"/>
  <c r="Y1693" i="1"/>
  <c r="Z1693" i="1"/>
  <c r="AA1693" i="1"/>
  <c r="AB1693" i="1"/>
  <c r="AC1693" i="1"/>
  <c r="AD1693" i="1"/>
  <c r="AE1693" i="1"/>
  <c r="AF1693" i="1"/>
  <c r="AG1693" i="1"/>
  <c r="AH1693" i="1"/>
  <c r="AI1693" i="1"/>
  <c r="AJ1693" i="1"/>
  <c r="AK1693" i="1"/>
  <c r="AL1693" i="1"/>
  <c r="AM1693" i="1"/>
  <c r="A1694" i="1"/>
  <c r="B1694" i="1"/>
  <c r="C1694" i="1"/>
  <c r="D1694" i="1"/>
  <c r="E1694" i="1"/>
  <c r="F1694" i="1"/>
  <c r="G1694" i="1"/>
  <c r="H1694" i="1"/>
  <c r="I1694" i="1"/>
  <c r="J1694" i="1"/>
  <c r="K1694" i="1"/>
  <c r="L1694" i="1"/>
  <c r="M1694" i="1"/>
  <c r="N1694" i="1"/>
  <c r="O1694" i="1"/>
  <c r="P1694" i="1"/>
  <c r="Q1694" i="1"/>
  <c r="R1694" i="1"/>
  <c r="S1694" i="1"/>
  <c r="T1694" i="1"/>
  <c r="U1694" i="1"/>
  <c r="V1694" i="1"/>
  <c r="W1694" i="1"/>
  <c r="X1694" i="1"/>
  <c r="Y1694" i="1"/>
  <c r="Z1694" i="1"/>
  <c r="AA1694" i="1"/>
  <c r="AB1694" i="1"/>
  <c r="AC1694" i="1"/>
  <c r="AD1694" i="1"/>
  <c r="AE1694" i="1"/>
  <c r="AF1694" i="1"/>
  <c r="AG1694" i="1"/>
  <c r="AH1694" i="1"/>
  <c r="AI1694" i="1"/>
  <c r="AJ1694" i="1"/>
  <c r="AK1694" i="1"/>
  <c r="AL1694" i="1"/>
  <c r="AM1694" i="1"/>
  <c r="A1695" i="1"/>
  <c r="B1695" i="1"/>
  <c r="C1695" i="1"/>
  <c r="D1695" i="1"/>
  <c r="E1695" i="1"/>
  <c r="F1695" i="1"/>
  <c r="G1695" i="1"/>
  <c r="H1695" i="1"/>
  <c r="I1695" i="1"/>
  <c r="J1695" i="1"/>
  <c r="K1695" i="1"/>
  <c r="L1695" i="1"/>
  <c r="M1695" i="1"/>
  <c r="N1695" i="1"/>
  <c r="O1695" i="1"/>
  <c r="P1695" i="1"/>
  <c r="Q1695" i="1"/>
  <c r="R1695" i="1"/>
  <c r="S1695" i="1"/>
  <c r="T1695" i="1"/>
  <c r="U1695" i="1"/>
  <c r="V1695" i="1"/>
  <c r="W1695" i="1"/>
  <c r="X1695" i="1"/>
  <c r="Y1695" i="1"/>
  <c r="Z1695" i="1"/>
  <c r="AA1695" i="1"/>
  <c r="AB1695" i="1"/>
  <c r="AC1695" i="1"/>
  <c r="AD1695" i="1"/>
  <c r="AE1695" i="1"/>
  <c r="AF1695" i="1"/>
  <c r="AG1695" i="1"/>
  <c r="AH1695" i="1"/>
  <c r="AI1695" i="1"/>
  <c r="AJ1695" i="1"/>
  <c r="AK1695" i="1"/>
  <c r="AL1695" i="1"/>
  <c r="AM1695" i="1"/>
  <c r="A1696" i="1"/>
  <c r="B1696" i="1"/>
  <c r="C1696" i="1"/>
  <c r="D1696" i="1"/>
  <c r="E1696" i="1"/>
  <c r="F1696" i="1"/>
  <c r="G1696" i="1"/>
  <c r="H1696" i="1"/>
  <c r="I1696" i="1"/>
  <c r="J1696" i="1"/>
  <c r="K1696" i="1"/>
  <c r="L1696" i="1"/>
  <c r="M1696" i="1"/>
  <c r="N1696" i="1"/>
  <c r="O1696" i="1"/>
  <c r="P1696" i="1"/>
  <c r="Q1696" i="1"/>
  <c r="R1696" i="1"/>
  <c r="S1696" i="1"/>
  <c r="T1696" i="1"/>
  <c r="U1696" i="1"/>
  <c r="V1696" i="1"/>
  <c r="W1696" i="1"/>
  <c r="X1696" i="1"/>
  <c r="Y1696" i="1"/>
  <c r="Z1696" i="1"/>
  <c r="AA1696" i="1"/>
  <c r="AB1696" i="1"/>
  <c r="AC1696" i="1"/>
  <c r="AD1696" i="1"/>
  <c r="AE1696" i="1"/>
  <c r="AF1696" i="1"/>
  <c r="AG1696" i="1"/>
  <c r="AH1696" i="1"/>
  <c r="AI1696" i="1"/>
  <c r="AJ1696" i="1"/>
  <c r="AK1696" i="1"/>
  <c r="AL1696" i="1"/>
  <c r="AM1696" i="1"/>
  <c r="A1697" i="1"/>
  <c r="B1697" i="1"/>
  <c r="C1697" i="1"/>
  <c r="D1697" i="1"/>
  <c r="E1697" i="1"/>
  <c r="F1697" i="1"/>
  <c r="G1697" i="1"/>
  <c r="H1697" i="1"/>
  <c r="I1697" i="1"/>
  <c r="J1697" i="1"/>
  <c r="K1697" i="1"/>
  <c r="L1697" i="1"/>
  <c r="M1697" i="1"/>
  <c r="N1697" i="1"/>
  <c r="O1697" i="1"/>
  <c r="P1697" i="1"/>
  <c r="Q1697" i="1"/>
  <c r="R1697" i="1"/>
  <c r="S1697" i="1"/>
  <c r="T1697" i="1"/>
  <c r="U1697" i="1"/>
  <c r="V1697" i="1"/>
  <c r="W1697" i="1"/>
  <c r="X1697" i="1"/>
  <c r="Y1697" i="1"/>
  <c r="Z1697" i="1"/>
  <c r="AA1697" i="1"/>
  <c r="AB1697" i="1"/>
  <c r="AC1697" i="1"/>
  <c r="AD1697" i="1"/>
  <c r="AE1697" i="1"/>
  <c r="AF1697" i="1"/>
  <c r="AG1697" i="1"/>
  <c r="AH1697" i="1"/>
  <c r="AI1697" i="1"/>
  <c r="AJ1697" i="1"/>
  <c r="AK1697" i="1"/>
  <c r="AL1697" i="1"/>
  <c r="AM1697" i="1"/>
  <c r="A1698" i="1"/>
  <c r="B1698" i="1"/>
  <c r="C1698" i="1"/>
  <c r="D1698" i="1"/>
  <c r="E1698" i="1"/>
  <c r="F1698" i="1"/>
  <c r="G1698" i="1"/>
  <c r="H1698" i="1"/>
  <c r="I1698" i="1"/>
  <c r="J1698" i="1"/>
  <c r="K1698" i="1"/>
  <c r="L1698" i="1"/>
  <c r="M1698" i="1"/>
  <c r="N1698" i="1"/>
  <c r="O1698" i="1"/>
  <c r="P1698" i="1"/>
  <c r="Q1698" i="1"/>
  <c r="R1698" i="1"/>
  <c r="S1698" i="1"/>
  <c r="T1698" i="1"/>
  <c r="U1698" i="1"/>
  <c r="V1698" i="1"/>
  <c r="W1698" i="1"/>
  <c r="X1698" i="1"/>
  <c r="Y1698" i="1"/>
  <c r="Z1698" i="1"/>
  <c r="AA1698" i="1"/>
  <c r="AB1698" i="1"/>
  <c r="AC1698" i="1"/>
  <c r="AD1698" i="1"/>
  <c r="AE1698" i="1"/>
  <c r="AF1698" i="1"/>
  <c r="AG1698" i="1"/>
  <c r="AH1698" i="1"/>
  <c r="AI1698" i="1"/>
  <c r="AJ1698" i="1"/>
  <c r="AK1698" i="1"/>
  <c r="AL1698" i="1"/>
  <c r="AM1698" i="1"/>
  <c r="A1699" i="1"/>
  <c r="B1699" i="1"/>
  <c r="C1699" i="1"/>
  <c r="D1699" i="1"/>
  <c r="E1699" i="1"/>
  <c r="F1699" i="1"/>
  <c r="G1699" i="1"/>
  <c r="H1699" i="1"/>
  <c r="I1699" i="1"/>
  <c r="J1699" i="1"/>
  <c r="K1699" i="1"/>
  <c r="L1699" i="1"/>
  <c r="M1699" i="1"/>
  <c r="N1699" i="1"/>
  <c r="O1699" i="1"/>
  <c r="P1699" i="1"/>
  <c r="Q1699" i="1"/>
  <c r="R1699" i="1"/>
  <c r="S1699" i="1"/>
  <c r="T1699" i="1"/>
  <c r="U1699" i="1"/>
  <c r="V1699" i="1"/>
  <c r="W1699" i="1"/>
  <c r="X1699" i="1"/>
  <c r="Y1699" i="1"/>
  <c r="Z1699" i="1"/>
  <c r="AA1699" i="1"/>
  <c r="AB1699" i="1"/>
  <c r="AC1699" i="1"/>
  <c r="AD1699" i="1"/>
  <c r="AE1699" i="1"/>
  <c r="AF1699" i="1"/>
  <c r="AG1699" i="1"/>
  <c r="AH1699" i="1"/>
  <c r="AI1699" i="1"/>
  <c r="AJ1699" i="1"/>
  <c r="AK1699" i="1"/>
  <c r="AL1699" i="1"/>
  <c r="AM1699" i="1"/>
  <c r="A1700" i="1"/>
  <c r="B1700" i="1"/>
  <c r="C1700" i="1"/>
  <c r="D1700" i="1"/>
  <c r="E1700" i="1"/>
  <c r="F1700" i="1"/>
  <c r="G1700" i="1"/>
  <c r="H1700" i="1"/>
  <c r="I1700" i="1"/>
  <c r="J1700" i="1"/>
  <c r="K1700" i="1"/>
  <c r="L1700" i="1"/>
  <c r="M1700" i="1"/>
  <c r="N1700" i="1"/>
  <c r="O1700" i="1"/>
  <c r="P1700" i="1"/>
  <c r="Q1700" i="1"/>
  <c r="R1700" i="1"/>
  <c r="S1700" i="1"/>
  <c r="T1700" i="1"/>
  <c r="U1700" i="1"/>
  <c r="V1700" i="1"/>
  <c r="W1700" i="1"/>
  <c r="X1700" i="1"/>
  <c r="Y1700" i="1"/>
  <c r="Z1700" i="1"/>
  <c r="AA1700" i="1"/>
  <c r="AB1700" i="1"/>
  <c r="AC1700" i="1"/>
  <c r="AD1700" i="1"/>
  <c r="AE1700" i="1"/>
  <c r="AF1700" i="1"/>
  <c r="AG1700" i="1"/>
  <c r="AH1700" i="1"/>
  <c r="AI1700" i="1"/>
  <c r="AJ1700" i="1"/>
  <c r="AK1700" i="1"/>
  <c r="AL1700" i="1"/>
  <c r="AM1700" i="1"/>
  <c r="A1701" i="1"/>
  <c r="B1701" i="1"/>
  <c r="C1701" i="1"/>
  <c r="D1701" i="1"/>
  <c r="E1701" i="1"/>
  <c r="F1701" i="1"/>
  <c r="G1701" i="1"/>
  <c r="H1701" i="1"/>
  <c r="I1701" i="1"/>
  <c r="J1701" i="1"/>
  <c r="K1701" i="1"/>
  <c r="L1701" i="1"/>
  <c r="M1701" i="1"/>
  <c r="N1701" i="1"/>
  <c r="O1701" i="1"/>
  <c r="P1701" i="1"/>
  <c r="Q1701" i="1"/>
  <c r="R1701" i="1"/>
  <c r="S1701" i="1"/>
  <c r="T1701" i="1"/>
  <c r="U1701" i="1"/>
  <c r="V1701" i="1"/>
  <c r="W1701" i="1"/>
  <c r="X1701" i="1"/>
  <c r="Y1701" i="1"/>
  <c r="Z1701" i="1"/>
  <c r="AA1701" i="1"/>
  <c r="AB1701" i="1"/>
  <c r="AC1701" i="1"/>
  <c r="AD1701" i="1"/>
  <c r="AE1701" i="1"/>
  <c r="AF1701" i="1"/>
  <c r="AG1701" i="1"/>
  <c r="AH1701" i="1"/>
  <c r="AI1701" i="1"/>
  <c r="AJ1701" i="1"/>
  <c r="AK1701" i="1"/>
  <c r="AL1701" i="1"/>
  <c r="AM1701" i="1"/>
  <c r="A1702" i="1"/>
  <c r="B1702" i="1"/>
  <c r="C1702" i="1"/>
  <c r="D1702" i="1"/>
  <c r="E1702" i="1"/>
  <c r="F1702" i="1"/>
  <c r="G1702" i="1"/>
  <c r="H1702" i="1"/>
  <c r="I1702" i="1"/>
  <c r="J1702" i="1"/>
  <c r="K1702" i="1"/>
  <c r="L1702" i="1"/>
  <c r="M1702" i="1"/>
  <c r="N1702" i="1"/>
  <c r="O1702" i="1"/>
  <c r="P1702" i="1"/>
  <c r="Q1702" i="1"/>
  <c r="R1702" i="1"/>
  <c r="S1702" i="1"/>
  <c r="T1702" i="1"/>
  <c r="U1702" i="1"/>
  <c r="V1702" i="1"/>
  <c r="W1702" i="1"/>
  <c r="X1702" i="1"/>
  <c r="Y1702" i="1"/>
  <c r="Z1702" i="1"/>
  <c r="AA1702" i="1"/>
  <c r="AB1702" i="1"/>
  <c r="AC1702" i="1"/>
  <c r="AD1702" i="1"/>
  <c r="AE1702" i="1"/>
  <c r="AF1702" i="1"/>
  <c r="AG1702" i="1"/>
  <c r="AH1702" i="1"/>
  <c r="AI1702" i="1"/>
  <c r="AJ1702" i="1"/>
  <c r="AK1702" i="1"/>
  <c r="AL1702" i="1"/>
  <c r="AM1702" i="1"/>
  <c r="A1703" i="1"/>
  <c r="B1703" i="1"/>
  <c r="C1703" i="1"/>
  <c r="D1703" i="1"/>
  <c r="E1703" i="1"/>
  <c r="F1703" i="1"/>
  <c r="G1703" i="1"/>
  <c r="H1703" i="1"/>
  <c r="I1703" i="1"/>
  <c r="J1703" i="1"/>
  <c r="K1703" i="1"/>
  <c r="L1703" i="1"/>
  <c r="M1703" i="1"/>
  <c r="N1703" i="1"/>
  <c r="O1703" i="1"/>
  <c r="P1703" i="1"/>
  <c r="Q1703" i="1"/>
  <c r="R1703" i="1"/>
  <c r="S1703" i="1"/>
  <c r="T1703" i="1"/>
  <c r="U1703" i="1"/>
  <c r="V1703" i="1"/>
  <c r="W1703" i="1"/>
  <c r="X1703" i="1"/>
  <c r="Y1703" i="1"/>
  <c r="Z1703" i="1"/>
  <c r="AA1703" i="1"/>
  <c r="AB1703" i="1"/>
  <c r="AC1703" i="1"/>
  <c r="AD1703" i="1"/>
  <c r="AE1703" i="1"/>
  <c r="AF1703" i="1"/>
  <c r="AG1703" i="1"/>
  <c r="AH1703" i="1"/>
  <c r="AI1703" i="1"/>
  <c r="AJ1703" i="1"/>
  <c r="AK1703" i="1"/>
  <c r="AL1703" i="1"/>
  <c r="AM1703" i="1"/>
  <c r="A1704" i="1"/>
  <c r="B1704" i="1"/>
  <c r="C1704" i="1"/>
  <c r="D1704" i="1"/>
  <c r="E1704" i="1"/>
  <c r="F1704" i="1"/>
  <c r="G1704" i="1"/>
  <c r="H1704" i="1"/>
  <c r="I1704" i="1"/>
  <c r="J1704" i="1"/>
  <c r="K1704" i="1"/>
  <c r="L1704" i="1"/>
  <c r="M1704" i="1"/>
  <c r="N1704" i="1"/>
  <c r="O1704" i="1"/>
  <c r="P1704" i="1"/>
  <c r="Q1704" i="1"/>
  <c r="R1704" i="1"/>
  <c r="S1704" i="1"/>
  <c r="T1704" i="1"/>
  <c r="U1704" i="1"/>
  <c r="V1704" i="1"/>
  <c r="W1704" i="1"/>
  <c r="X1704" i="1"/>
  <c r="Y1704" i="1"/>
  <c r="Z1704" i="1"/>
  <c r="AA1704" i="1"/>
  <c r="AB1704" i="1"/>
  <c r="AC1704" i="1"/>
  <c r="AD1704" i="1"/>
  <c r="AE1704" i="1"/>
  <c r="AF1704" i="1"/>
  <c r="AG1704" i="1"/>
  <c r="AH1704" i="1"/>
  <c r="AI1704" i="1"/>
  <c r="AJ1704" i="1"/>
  <c r="AK1704" i="1"/>
  <c r="AL1704" i="1"/>
  <c r="AM1704" i="1"/>
  <c r="A1705" i="1"/>
  <c r="B1705" i="1"/>
  <c r="C1705" i="1"/>
  <c r="D1705" i="1"/>
  <c r="E1705" i="1"/>
  <c r="F1705" i="1"/>
  <c r="G1705" i="1"/>
  <c r="H1705" i="1"/>
  <c r="I1705" i="1"/>
  <c r="J1705" i="1"/>
  <c r="K1705" i="1"/>
  <c r="L1705" i="1"/>
  <c r="M1705" i="1"/>
  <c r="N1705" i="1"/>
  <c r="O1705" i="1"/>
  <c r="P1705" i="1"/>
  <c r="Q1705" i="1"/>
  <c r="R1705" i="1"/>
  <c r="S1705" i="1"/>
  <c r="T1705" i="1"/>
  <c r="U1705" i="1"/>
  <c r="V1705" i="1"/>
  <c r="W1705" i="1"/>
  <c r="X1705" i="1"/>
  <c r="Y1705" i="1"/>
  <c r="Z1705" i="1"/>
  <c r="AA1705" i="1"/>
  <c r="AB1705" i="1"/>
  <c r="AC1705" i="1"/>
  <c r="AD1705" i="1"/>
  <c r="AE1705" i="1"/>
  <c r="AF1705" i="1"/>
  <c r="AG1705" i="1"/>
  <c r="AH1705" i="1"/>
  <c r="AI1705" i="1"/>
  <c r="AJ1705" i="1"/>
  <c r="AK1705" i="1"/>
  <c r="AL1705" i="1"/>
  <c r="AM1705" i="1"/>
  <c r="A1706" i="1"/>
  <c r="B1706" i="1"/>
  <c r="C1706" i="1"/>
  <c r="D1706" i="1"/>
  <c r="E1706" i="1"/>
  <c r="F1706" i="1"/>
  <c r="G1706" i="1"/>
  <c r="H1706" i="1"/>
  <c r="I1706" i="1"/>
  <c r="J1706" i="1"/>
  <c r="K1706" i="1"/>
  <c r="L1706" i="1"/>
  <c r="M1706" i="1"/>
  <c r="N1706" i="1"/>
  <c r="O1706" i="1"/>
  <c r="P1706" i="1"/>
  <c r="Q1706" i="1"/>
  <c r="R1706" i="1"/>
  <c r="S1706" i="1"/>
  <c r="T1706" i="1"/>
  <c r="U1706" i="1"/>
  <c r="V1706" i="1"/>
  <c r="W1706" i="1"/>
  <c r="X1706" i="1"/>
  <c r="Y1706" i="1"/>
  <c r="Z1706" i="1"/>
  <c r="AA1706" i="1"/>
  <c r="AB1706" i="1"/>
  <c r="AC1706" i="1"/>
  <c r="AD1706" i="1"/>
  <c r="AE1706" i="1"/>
  <c r="AF1706" i="1"/>
  <c r="AG1706" i="1"/>
  <c r="AH1706" i="1"/>
  <c r="AI1706" i="1"/>
  <c r="AJ1706" i="1"/>
  <c r="AK1706" i="1"/>
  <c r="AL1706" i="1"/>
  <c r="AM1706" i="1"/>
  <c r="A1707" i="1"/>
  <c r="B1707" i="1"/>
  <c r="C1707" i="1"/>
  <c r="D1707" i="1"/>
  <c r="E1707" i="1"/>
  <c r="F1707" i="1"/>
  <c r="G1707" i="1"/>
  <c r="H1707" i="1"/>
  <c r="I1707" i="1"/>
  <c r="J1707" i="1"/>
  <c r="K1707" i="1"/>
  <c r="L1707" i="1"/>
  <c r="M1707" i="1"/>
  <c r="N1707" i="1"/>
  <c r="O1707" i="1"/>
  <c r="P1707" i="1"/>
  <c r="Q1707" i="1"/>
  <c r="R1707" i="1"/>
  <c r="S1707" i="1"/>
  <c r="T1707" i="1"/>
  <c r="U1707" i="1"/>
  <c r="V1707" i="1"/>
  <c r="W1707" i="1"/>
  <c r="X1707" i="1"/>
  <c r="Y1707" i="1"/>
  <c r="Z1707" i="1"/>
  <c r="AA1707" i="1"/>
  <c r="AB1707" i="1"/>
  <c r="AC1707" i="1"/>
  <c r="AD1707" i="1"/>
  <c r="AE1707" i="1"/>
  <c r="AF1707" i="1"/>
  <c r="AG1707" i="1"/>
  <c r="AH1707" i="1"/>
  <c r="AI1707" i="1"/>
  <c r="AJ1707" i="1"/>
  <c r="AK1707" i="1"/>
  <c r="AL1707" i="1"/>
  <c r="AM1707" i="1"/>
  <c r="A1708" i="1"/>
  <c r="B1708" i="1"/>
  <c r="C1708" i="1"/>
  <c r="D1708" i="1"/>
  <c r="E1708" i="1"/>
  <c r="F1708" i="1"/>
  <c r="G1708" i="1"/>
  <c r="H1708" i="1"/>
  <c r="I1708" i="1"/>
  <c r="J1708" i="1"/>
  <c r="K1708" i="1"/>
  <c r="L1708" i="1"/>
  <c r="M1708" i="1"/>
  <c r="N1708" i="1"/>
  <c r="O1708" i="1"/>
  <c r="P1708" i="1"/>
  <c r="Q1708" i="1"/>
  <c r="R1708" i="1"/>
  <c r="S1708" i="1"/>
  <c r="T1708" i="1"/>
  <c r="U1708" i="1"/>
  <c r="V1708" i="1"/>
  <c r="W1708" i="1"/>
  <c r="X1708" i="1"/>
  <c r="Y1708" i="1"/>
  <c r="Z1708" i="1"/>
  <c r="AA1708" i="1"/>
  <c r="AB1708" i="1"/>
  <c r="AC1708" i="1"/>
  <c r="AD1708" i="1"/>
  <c r="AE1708" i="1"/>
  <c r="AF1708" i="1"/>
  <c r="AG1708" i="1"/>
  <c r="AH1708" i="1"/>
  <c r="AI1708" i="1"/>
  <c r="AJ1708" i="1"/>
  <c r="AK1708" i="1"/>
  <c r="AL1708" i="1"/>
  <c r="AM1708" i="1"/>
  <c r="A1709" i="1"/>
  <c r="B1709" i="1"/>
  <c r="C1709" i="1"/>
  <c r="D1709" i="1"/>
  <c r="E1709" i="1"/>
  <c r="F1709" i="1"/>
  <c r="G1709" i="1"/>
  <c r="H1709" i="1"/>
  <c r="I1709" i="1"/>
  <c r="J1709" i="1"/>
  <c r="K1709" i="1"/>
  <c r="L1709" i="1"/>
  <c r="M1709" i="1"/>
  <c r="N1709" i="1"/>
  <c r="O1709" i="1"/>
  <c r="P1709" i="1"/>
  <c r="Q1709" i="1"/>
  <c r="R1709" i="1"/>
  <c r="S1709" i="1"/>
  <c r="T1709" i="1"/>
  <c r="U1709" i="1"/>
  <c r="V1709" i="1"/>
  <c r="W1709" i="1"/>
  <c r="X1709" i="1"/>
  <c r="Y1709" i="1"/>
  <c r="Z1709" i="1"/>
  <c r="AA1709" i="1"/>
  <c r="AB1709" i="1"/>
  <c r="AC1709" i="1"/>
  <c r="AD1709" i="1"/>
  <c r="AE1709" i="1"/>
  <c r="AF1709" i="1"/>
  <c r="AG1709" i="1"/>
  <c r="AH1709" i="1"/>
  <c r="AI1709" i="1"/>
  <c r="AJ1709" i="1"/>
  <c r="AK1709" i="1"/>
  <c r="AL1709" i="1"/>
  <c r="AM1709" i="1"/>
  <c r="A1710" i="1"/>
  <c r="B1710" i="1"/>
  <c r="C1710" i="1"/>
  <c r="D1710" i="1"/>
  <c r="E1710" i="1"/>
  <c r="F1710" i="1"/>
  <c r="G1710" i="1"/>
  <c r="H1710" i="1"/>
  <c r="I1710" i="1"/>
  <c r="J1710" i="1"/>
  <c r="K1710" i="1"/>
  <c r="L1710" i="1"/>
  <c r="M1710" i="1"/>
  <c r="N1710" i="1"/>
  <c r="O1710" i="1"/>
  <c r="P1710" i="1"/>
  <c r="Q1710" i="1"/>
  <c r="R1710" i="1"/>
  <c r="S1710" i="1"/>
  <c r="T1710" i="1"/>
  <c r="U1710" i="1"/>
  <c r="V1710" i="1"/>
  <c r="W1710" i="1"/>
  <c r="X1710" i="1"/>
  <c r="Y1710" i="1"/>
  <c r="Z1710" i="1"/>
  <c r="AA1710" i="1"/>
  <c r="AB1710" i="1"/>
  <c r="AC1710" i="1"/>
  <c r="AD1710" i="1"/>
  <c r="AE1710" i="1"/>
  <c r="AF1710" i="1"/>
  <c r="AG1710" i="1"/>
  <c r="AH1710" i="1"/>
  <c r="AI1710" i="1"/>
  <c r="AJ1710" i="1"/>
  <c r="AK1710" i="1"/>
  <c r="AL1710" i="1"/>
  <c r="AM1710" i="1"/>
  <c r="A1711" i="1"/>
  <c r="B1711" i="1"/>
  <c r="C1711" i="1"/>
  <c r="D1711" i="1"/>
  <c r="E1711" i="1"/>
  <c r="F1711" i="1"/>
  <c r="G1711" i="1"/>
  <c r="H1711" i="1"/>
  <c r="I1711" i="1"/>
  <c r="J1711" i="1"/>
  <c r="K1711" i="1"/>
  <c r="L1711" i="1"/>
  <c r="M1711" i="1"/>
  <c r="N1711" i="1"/>
  <c r="O1711" i="1"/>
  <c r="P1711" i="1"/>
  <c r="Q1711" i="1"/>
  <c r="R1711" i="1"/>
  <c r="S1711" i="1"/>
  <c r="T1711" i="1"/>
  <c r="U1711" i="1"/>
  <c r="V1711" i="1"/>
  <c r="W1711" i="1"/>
  <c r="X1711" i="1"/>
  <c r="Y1711" i="1"/>
  <c r="Z1711" i="1"/>
  <c r="AA1711" i="1"/>
  <c r="AB1711" i="1"/>
  <c r="AC1711" i="1"/>
  <c r="AD1711" i="1"/>
  <c r="AE1711" i="1"/>
  <c r="AF1711" i="1"/>
  <c r="AG1711" i="1"/>
  <c r="AH1711" i="1"/>
  <c r="AI1711" i="1"/>
  <c r="AJ1711" i="1"/>
  <c r="AK1711" i="1"/>
  <c r="AL1711" i="1"/>
  <c r="AM1711" i="1"/>
  <c r="A1712" i="1"/>
  <c r="B1712" i="1"/>
  <c r="C1712" i="1"/>
  <c r="D1712" i="1"/>
  <c r="E1712" i="1"/>
  <c r="F1712" i="1"/>
  <c r="G1712" i="1"/>
  <c r="H1712" i="1"/>
  <c r="I1712" i="1"/>
  <c r="J1712" i="1"/>
  <c r="K1712" i="1"/>
  <c r="L1712" i="1"/>
  <c r="M1712" i="1"/>
  <c r="N1712" i="1"/>
  <c r="O1712" i="1"/>
  <c r="P1712" i="1"/>
  <c r="Q1712" i="1"/>
  <c r="R1712" i="1"/>
  <c r="S1712" i="1"/>
  <c r="T1712" i="1"/>
  <c r="U1712" i="1"/>
  <c r="V1712" i="1"/>
  <c r="W1712" i="1"/>
  <c r="X1712" i="1"/>
  <c r="Y1712" i="1"/>
  <c r="Z1712" i="1"/>
  <c r="AA1712" i="1"/>
  <c r="AB1712" i="1"/>
  <c r="AC1712" i="1"/>
  <c r="AD1712" i="1"/>
  <c r="AE1712" i="1"/>
  <c r="AF1712" i="1"/>
  <c r="AG1712" i="1"/>
  <c r="AH1712" i="1"/>
  <c r="AI1712" i="1"/>
  <c r="AJ1712" i="1"/>
  <c r="AK1712" i="1"/>
  <c r="AL1712" i="1"/>
  <c r="AM1712" i="1"/>
  <c r="A1713" i="1"/>
  <c r="B1713" i="1"/>
  <c r="C1713" i="1"/>
  <c r="D1713" i="1"/>
  <c r="E1713" i="1"/>
  <c r="F1713" i="1"/>
  <c r="G1713" i="1"/>
  <c r="H1713" i="1"/>
  <c r="I1713" i="1"/>
  <c r="J1713" i="1"/>
  <c r="K1713" i="1"/>
  <c r="L1713" i="1"/>
  <c r="M1713" i="1"/>
  <c r="N1713" i="1"/>
  <c r="O1713" i="1"/>
  <c r="P1713" i="1"/>
  <c r="Q1713" i="1"/>
  <c r="R1713" i="1"/>
  <c r="S1713" i="1"/>
  <c r="T1713" i="1"/>
  <c r="U1713" i="1"/>
  <c r="V1713" i="1"/>
  <c r="W1713" i="1"/>
  <c r="X1713" i="1"/>
  <c r="Y1713" i="1"/>
  <c r="Z1713" i="1"/>
  <c r="AA1713" i="1"/>
  <c r="AB1713" i="1"/>
  <c r="AC1713" i="1"/>
  <c r="AD1713" i="1"/>
  <c r="AE1713" i="1"/>
  <c r="AF1713" i="1"/>
  <c r="AG1713" i="1"/>
  <c r="AH1713" i="1"/>
  <c r="AI1713" i="1"/>
  <c r="AJ1713" i="1"/>
  <c r="AK1713" i="1"/>
  <c r="AL1713" i="1"/>
  <c r="AM1713" i="1"/>
  <c r="A1714" i="1"/>
  <c r="B1714" i="1"/>
  <c r="C1714" i="1"/>
  <c r="D1714" i="1"/>
  <c r="E1714" i="1"/>
  <c r="F1714" i="1"/>
  <c r="G1714" i="1"/>
  <c r="H1714" i="1"/>
  <c r="I1714" i="1"/>
  <c r="J1714" i="1"/>
  <c r="K1714" i="1"/>
  <c r="L1714" i="1"/>
  <c r="M1714" i="1"/>
  <c r="N1714" i="1"/>
  <c r="O1714" i="1"/>
  <c r="P1714" i="1"/>
  <c r="Q1714" i="1"/>
  <c r="R1714" i="1"/>
  <c r="S1714" i="1"/>
  <c r="T1714" i="1"/>
  <c r="U1714" i="1"/>
  <c r="V1714" i="1"/>
  <c r="W1714" i="1"/>
  <c r="X1714" i="1"/>
  <c r="Y1714" i="1"/>
  <c r="Z1714" i="1"/>
  <c r="AA1714" i="1"/>
  <c r="AB1714" i="1"/>
  <c r="AC1714" i="1"/>
  <c r="AD1714" i="1"/>
  <c r="AE1714" i="1"/>
  <c r="AF1714" i="1"/>
  <c r="AG1714" i="1"/>
  <c r="AH1714" i="1"/>
  <c r="AI1714" i="1"/>
  <c r="AJ1714" i="1"/>
  <c r="AK1714" i="1"/>
  <c r="AL1714" i="1"/>
  <c r="AM1714" i="1"/>
  <c r="A1715" i="1"/>
  <c r="B1715" i="1"/>
  <c r="C1715" i="1"/>
  <c r="D1715" i="1"/>
  <c r="E1715" i="1"/>
  <c r="F1715" i="1"/>
  <c r="G1715" i="1"/>
  <c r="H1715" i="1"/>
  <c r="I1715" i="1"/>
  <c r="J1715" i="1"/>
  <c r="K1715" i="1"/>
  <c r="L1715" i="1"/>
  <c r="M1715" i="1"/>
  <c r="N1715" i="1"/>
  <c r="O1715" i="1"/>
  <c r="P1715" i="1"/>
  <c r="Q1715" i="1"/>
  <c r="R1715" i="1"/>
  <c r="S1715" i="1"/>
  <c r="T1715" i="1"/>
  <c r="U1715" i="1"/>
  <c r="V1715" i="1"/>
  <c r="W1715" i="1"/>
  <c r="X1715" i="1"/>
  <c r="Y1715" i="1"/>
  <c r="Z1715" i="1"/>
  <c r="AA1715" i="1"/>
  <c r="AB1715" i="1"/>
  <c r="AC1715" i="1"/>
  <c r="AD1715" i="1"/>
  <c r="AE1715" i="1"/>
  <c r="AF1715" i="1"/>
  <c r="AG1715" i="1"/>
  <c r="AH1715" i="1"/>
  <c r="AI1715" i="1"/>
  <c r="AJ1715" i="1"/>
  <c r="AK1715" i="1"/>
  <c r="AL1715" i="1"/>
  <c r="AM1715" i="1"/>
  <c r="A1716" i="1"/>
  <c r="B1716" i="1"/>
  <c r="C1716" i="1"/>
  <c r="D1716" i="1"/>
  <c r="E1716" i="1"/>
  <c r="F1716" i="1"/>
  <c r="G1716" i="1"/>
  <c r="H1716" i="1"/>
  <c r="I1716" i="1"/>
  <c r="J1716" i="1"/>
  <c r="K1716" i="1"/>
  <c r="L1716" i="1"/>
  <c r="M1716" i="1"/>
  <c r="N1716" i="1"/>
  <c r="O1716" i="1"/>
  <c r="P1716" i="1"/>
  <c r="Q1716" i="1"/>
  <c r="R1716" i="1"/>
  <c r="S1716" i="1"/>
  <c r="T1716" i="1"/>
  <c r="U1716" i="1"/>
  <c r="V1716" i="1"/>
  <c r="W1716" i="1"/>
  <c r="X1716" i="1"/>
  <c r="Y1716" i="1"/>
  <c r="Z1716" i="1"/>
  <c r="AA1716" i="1"/>
  <c r="AB1716" i="1"/>
  <c r="AC1716" i="1"/>
  <c r="AD1716" i="1"/>
  <c r="AE1716" i="1"/>
  <c r="AF1716" i="1"/>
  <c r="AG1716" i="1"/>
  <c r="AH1716" i="1"/>
  <c r="AI1716" i="1"/>
  <c r="AJ1716" i="1"/>
  <c r="AK1716" i="1"/>
  <c r="AL1716" i="1"/>
  <c r="AM1716" i="1"/>
  <c r="A1717" i="1"/>
  <c r="B1717" i="1"/>
  <c r="C1717" i="1"/>
  <c r="D1717" i="1"/>
  <c r="E1717" i="1"/>
  <c r="F1717" i="1"/>
  <c r="G1717" i="1"/>
  <c r="H1717" i="1"/>
  <c r="I1717" i="1"/>
  <c r="J1717" i="1"/>
  <c r="K1717" i="1"/>
  <c r="L1717" i="1"/>
  <c r="M1717" i="1"/>
  <c r="N1717" i="1"/>
  <c r="O1717" i="1"/>
  <c r="P1717" i="1"/>
  <c r="Q1717" i="1"/>
  <c r="R1717" i="1"/>
  <c r="S1717" i="1"/>
  <c r="T1717" i="1"/>
  <c r="U1717" i="1"/>
  <c r="V1717" i="1"/>
  <c r="W1717" i="1"/>
  <c r="X1717" i="1"/>
  <c r="Y1717" i="1"/>
  <c r="Z1717" i="1"/>
  <c r="AA1717" i="1"/>
  <c r="AB1717" i="1"/>
  <c r="AC1717" i="1"/>
  <c r="AD1717" i="1"/>
  <c r="AE1717" i="1"/>
  <c r="AF1717" i="1"/>
  <c r="AG1717" i="1"/>
  <c r="AH1717" i="1"/>
  <c r="AI1717" i="1"/>
  <c r="AJ1717" i="1"/>
  <c r="AK1717" i="1"/>
  <c r="AL1717" i="1"/>
  <c r="AM1717" i="1"/>
  <c r="A1718" i="1"/>
  <c r="B1718" i="1"/>
  <c r="C1718" i="1"/>
  <c r="D1718" i="1"/>
  <c r="E1718" i="1"/>
  <c r="F1718" i="1"/>
  <c r="G1718" i="1"/>
  <c r="H1718" i="1"/>
  <c r="I1718" i="1"/>
  <c r="J1718" i="1"/>
  <c r="K1718" i="1"/>
  <c r="L1718" i="1"/>
  <c r="M1718" i="1"/>
  <c r="N1718" i="1"/>
  <c r="O1718" i="1"/>
  <c r="P1718" i="1"/>
  <c r="Q1718" i="1"/>
  <c r="R1718" i="1"/>
  <c r="S1718" i="1"/>
  <c r="T1718" i="1"/>
  <c r="U1718" i="1"/>
  <c r="V1718" i="1"/>
  <c r="W1718" i="1"/>
  <c r="X1718" i="1"/>
  <c r="Y1718" i="1"/>
  <c r="Z1718" i="1"/>
  <c r="AA1718" i="1"/>
  <c r="AB1718" i="1"/>
  <c r="AC1718" i="1"/>
  <c r="AD1718" i="1"/>
  <c r="AE1718" i="1"/>
  <c r="AF1718" i="1"/>
  <c r="AG1718" i="1"/>
  <c r="AH1718" i="1"/>
  <c r="AI1718" i="1"/>
  <c r="AJ1718" i="1"/>
  <c r="AK1718" i="1"/>
  <c r="AL1718" i="1"/>
  <c r="AM1718" i="1"/>
  <c r="A1719" i="1"/>
  <c r="B1719" i="1"/>
  <c r="C1719" i="1"/>
  <c r="D1719" i="1"/>
  <c r="E1719" i="1"/>
  <c r="F1719" i="1"/>
  <c r="G1719" i="1"/>
  <c r="H1719" i="1"/>
  <c r="I1719" i="1"/>
  <c r="J1719" i="1"/>
  <c r="K1719" i="1"/>
  <c r="L1719" i="1"/>
  <c r="M1719" i="1"/>
  <c r="N1719" i="1"/>
  <c r="O1719" i="1"/>
  <c r="P1719" i="1"/>
  <c r="Q1719" i="1"/>
  <c r="R1719" i="1"/>
  <c r="S1719" i="1"/>
  <c r="T1719" i="1"/>
  <c r="U1719" i="1"/>
  <c r="V1719" i="1"/>
  <c r="W1719" i="1"/>
  <c r="X1719" i="1"/>
  <c r="Y1719" i="1"/>
  <c r="Z1719" i="1"/>
  <c r="AA1719" i="1"/>
  <c r="AB1719" i="1"/>
  <c r="AC1719" i="1"/>
  <c r="AD1719" i="1"/>
  <c r="AE1719" i="1"/>
  <c r="AF1719" i="1"/>
  <c r="AG1719" i="1"/>
  <c r="AH1719" i="1"/>
  <c r="AI1719" i="1"/>
  <c r="AJ1719" i="1"/>
  <c r="AK1719" i="1"/>
  <c r="AL1719" i="1"/>
  <c r="AM1719" i="1"/>
  <c r="A1720" i="1"/>
  <c r="B1720" i="1"/>
  <c r="C1720" i="1"/>
  <c r="D1720" i="1"/>
  <c r="E1720" i="1"/>
  <c r="F1720" i="1"/>
  <c r="G1720" i="1"/>
  <c r="H1720" i="1"/>
  <c r="I1720" i="1"/>
  <c r="J1720" i="1"/>
  <c r="K1720" i="1"/>
  <c r="L1720" i="1"/>
  <c r="M1720" i="1"/>
  <c r="N1720" i="1"/>
  <c r="O1720" i="1"/>
  <c r="P1720" i="1"/>
  <c r="Q1720" i="1"/>
  <c r="R1720" i="1"/>
  <c r="S1720" i="1"/>
  <c r="T1720" i="1"/>
  <c r="U1720" i="1"/>
  <c r="V1720" i="1"/>
  <c r="W1720" i="1"/>
  <c r="X1720" i="1"/>
  <c r="Y1720" i="1"/>
  <c r="Z1720" i="1"/>
  <c r="AA1720" i="1"/>
  <c r="AB1720" i="1"/>
  <c r="AC1720" i="1"/>
  <c r="AD1720" i="1"/>
  <c r="AE1720" i="1"/>
  <c r="AF1720" i="1"/>
  <c r="AG1720" i="1"/>
  <c r="AH1720" i="1"/>
  <c r="AI1720" i="1"/>
  <c r="AJ1720" i="1"/>
  <c r="AK1720" i="1"/>
  <c r="AL1720" i="1"/>
  <c r="AM1720" i="1"/>
  <c r="A1721" i="1"/>
  <c r="B1721" i="1"/>
  <c r="C1721" i="1"/>
  <c r="D1721" i="1"/>
  <c r="E1721" i="1"/>
  <c r="F1721" i="1"/>
  <c r="G1721" i="1"/>
  <c r="H1721" i="1"/>
  <c r="I1721" i="1"/>
  <c r="J1721" i="1"/>
  <c r="K1721" i="1"/>
  <c r="L1721" i="1"/>
  <c r="M1721" i="1"/>
  <c r="N1721" i="1"/>
  <c r="O1721" i="1"/>
  <c r="P1721" i="1"/>
  <c r="Q1721" i="1"/>
  <c r="R1721" i="1"/>
  <c r="S1721" i="1"/>
  <c r="T1721" i="1"/>
  <c r="U1721" i="1"/>
  <c r="V1721" i="1"/>
  <c r="W1721" i="1"/>
  <c r="X1721" i="1"/>
  <c r="Y1721" i="1"/>
  <c r="Z1721" i="1"/>
  <c r="AA1721" i="1"/>
  <c r="AB1721" i="1"/>
  <c r="AC1721" i="1"/>
  <c r="AD1721" i="1"/>
  <c r="AE1721" i="1"/>
  <c r="AF1721" i="1"/>
  <c r="AG1721" i="1"/>
  <c r="AH1721" i="1"/>
  <c r="AI1721" i="1"/>
  <c r="AJ1721" i="1"/>
  <c r="AK1721" i="1"/>
  <c r="AL1721" i="1"/>
  <c r="AM1721" i="1"/>
  <c r="A1722" i="1"/>
  <c r="B1722" i="1"/>
  <c r="C1722" i="1"/>
  <c r="D1722" i="1"/>
  <c r="E1722" i="1"/>
  <c r="F1722" i="1"/>
  <c r="G1722" i="1"/>
  <c r="H1722" i="1"/>
  <c r="I1722" i="1"/>
  <c r="J1722" i="1"/>
  <c r="K1722" i="1"/>
  <c r="L1722" i="1"/>
  <c r="M1722" i="1"/>
  <c r="N1722" i="1"/>
  <c r="O1722" i="1"/>
  <c r="P1722" i="1"/>
  <c r="Q1722" i="1"/>
  <c r="R1722" i="1"/>
  <c r="S1722" i="1"/>
  <c r="T1722" i="1"/>
  <c r="U1722" i="1"/>
  <c r="V1722" i="1"/>
  <c r="W1722" i="1"/>
  <c r="X1722" i="1"/>
  <c r="Y1722" i="1"/>
  <c r="Z1722" i="1"/>
  <c r="AA1722" i="1"/>
  <c r="AB1722" i="1"/>
  <c r="AC1722" i="1"/>
  <c r="AD1722" i="1"/>
  <c r="AE1722" i="1"/>
  <c r="AF1722" i="1"/>
  <c r="AG1722" i="1"/>
  <c r="AH1722" i="1"/>
  <c r="AI1722" i="1"/>
  <c r="AJ1722" i="1"/>
  <c r="AK1722" i="1"/>
  <c r="AL1722" i="1"/>
  <c r="AM1722" i="1"/>
  <c r="A1723" i="1"/>
  <c r="B1723" i="1"/>
  <c r="C1723" i="1"/>
  <c r="D1723" i="1"/>
  <c r="E1723" i="1"/>
  <c r="F1723" i="1"/>
  <c r="G1723" i="1"/>
  <c r="H1723" i="1"/>
  <c r="I1723" i="1"/>
  <c r="J1723" i="1"/>
  <c r="K1723" i="1"/>
  <c r="L1723" i="1"/>
  <c r="M1723" i="1"/>
  <c r="N1723" i="1"/>
  <c r="O1723" i="1"/>
  <c r="P1723" i="1"/>
  <c r="Q1723" i="1"/>
  <c r="R1723" i="1"/>
  <c r="S1723" i="1"/>
  <c r="T1723" i="1"/>
  <c r="U1723" i="1"/>
  <c r="V1723" i="1"/>
  <c r="W1723" i="1"/>
  <c r="X1723" i="1"/>
  <c r="Y1723" i="1"/>
  <c r="Z1723" i="1"/>
  <c r="AA1723" i="1"/>
  <c r="AB1723" i="1"/>
  <c r="AC1723" i="1"/>
  <c r="AD1723" i="1"/>
  <c r="AE1723" i="1"/>
  <c r="AF1723" i="1"/>
  <c r="AG1723" i="1"/>
  <c r="AH1723" i="1"/>
  <c r="AI1723" i="1"/>
  <c r="AJ1723" i="1"/>
  <c r="AK1723" i="1"/>
  <c r="AL1723" i="1"/>
  <c r="AM1723" i="1"/>
  <c r="A1724" i="1"/>
  <c r="B1724" i="1"/>
  <c r="C1724" i="1"/>
  <c r="D1724" i="1"/>
  <c r="E1724" i="1"/>
  <c r="F1724" i="1"/>
  <c r="G1724" i="1"/>
  <c r="H1724" i="1"/>
  <c r="I1724" i="1"/>
  <c r="J1724" i="1"/>
  <c r="K1724" i="1"/>
  <c r="L1724" i="1"/>
  <c r="M1724" i="1"/>
  <c r="N1724" i="1"/>
  <c r="O1724" i="1"/>
  <c r="P1724" i="1"/>
  <c r="Q1724" i="1"/>
  <c r="R1724" i="1"/>
  <c r="S1724" i="1"/>
  <c r="T1724" i="1"/>
  <c r="U1724" i="1"/>
  <c r="V1724" i="1"/>
  <c r="W1724" i="1"/>
  <c r="X1724" i="1"/>
  <c r="Y1724" i="1"/>
  <c r="Z1724" i="1"/>
  <c r="AA1724" i="1"/>
  <c r="AB1724" i="1"/>
  <c r="AC1724" i="1"/>
  <c r="AD1724" i="1"/>
  <c r="AE1724" i="1"/>
  <c r="AF1724" i="1"/>
  <c r="AG1724" i="1"/>
  <c r="AH1724" i="1"/>
  <c r="AI1724" i="1"/>
  <c r="AJ1724" i="1"/>
  <c r="AK1724" i="1"/>
  <c r="AL1724" i="1"/>
  <c r="AM1724" i="1"/>
  <c r="A1725" i="1"/>
  <c r="B1725" i="1"/>
  <c r="C1725" i="1"/>
  <c r="D1725" i="1"/>
  <c r="E1725" i="1"/>
  <c r="F1725" i="1"/>
  <c r="G1725" i="1"/>
  <c r="H1725" i="1"/>
  <c r="I1725" i="1"/>
  <c r="J1725" i="1"/>
  <c r="K1725" i="1"/>
  <c r="L1725" i="1"/>
  <c r="M1725" i="1"/>
  <c r="N1725" i="1"/>
  <c r="O1725" i="1"/>
  <c r="P1725" i="1"/>
  <c r="Q1725" i="1"/>
  <c r="R1725" i="1"/>
  <c r="S1725" i="1"/>
  <c r="T1725" i="1"/>
  <c r="U1725" i="1"/>
  <c r="V1725" i="1"/>
  <c r="W1725" i="1"/>
  <c r="X1725" i="1"/>
  <c r="Y1725" i="1"/>
  <c r="Z1725" i="1"/>
  <c r="AA1725" i="1"/>
  <c r="AB1725" i="1"/>
  <c r="AC1725" i="1"/>
  <c r="AD1725" i="1"/>
  <c r="AE1725" i="1"/>
  <c r="AF1725" i="1"/>
  <c r="AG1725" i="1"/>
  <c r="AH1725" i="1"/>
  <c r="AI1725" i="1"/>
  <c r="AJ1725" i="1"/>
  <c r="AK1725" i="1"/>
  <c r="AL1725" i="1"/>
  <c r="AM1725" i="1"/>
  <c r="A1726" i="1"/>
  <c r="B1726" i="1"/>
  <c r="C1726" i="1"/>
  <c r="D1726" i="1"/>
  <c r="E1726" i="1"/>
  <c r="F1726" i="1"/>
  <c r="G1726" i="1"/>
  <c r="H1726" i="1"/>
  <c r="I1726" i="1"/>
  <c r="J1726" i="1"/>
  <c r="K1726" i="1"/>
  <c r="L1726" i="1"/>
  <c r="M1726" i="1"/>
  <c r="N1726" i="1"/>
  <c r="O1726" i="1"/>
  <c r="P1726" i="1"/>
  <c r="Q1726" i="1"/>
  <c r="R1726" i="1"/>
  <c r="S1726" i="1"/>
  <c r="T1726" i="1"/>
  <c r="U1726" i="1"/>
  <c r="V1726" i="1"/>
  <c r="W1726" i="1"/>
  <c r="X1726" i="1"/>
  <c r="Y1726" i="1"/>
  <c r="Z1726" i="1"/>
  <c r="AA1726" i="1"/>
  <c r="AB1726" i="1"/>
  <c r="AC1726" i="1"/>
  <c r="AD1726" i="1"/>
  <c r="AE1726" i="1"/>
  <c r="AF1726" i="1"/>
  <c r="AG1726" i="1"/>
  <c r="AH1726" i="1"/>
  <c r="AI1726" i="1"/>
  <c r="AJ1726" i="1"/>
  <c r="AK1726" i="1"/>
  <c r="AL1726" i="1"/>
  <c r="AM1726" i="1"/>
  <c r="A1727" i="1"/>
  <c r="B1727" i="1"/>
  <c r="C1727" i="1"/>
  <c r="D1727" i="1"/>
  <c r="E1727" i="1"/>
  <c r="F1727" i="1"/>
  <c r="G1727" i="1"/>
  <c r="H1727" i="1"/>
  <c r="I1727" i="1"/>
  <c r="J1727" i="1"/>
  <c r="K1727" i="1"/>
  <c r="L1727" i="1"/>
  <c r="M1727" i="1"/>
  <c r="N1727" i="1"/>
  <c r="O1727" i="1"/>
  <c r="P1727" i="1"/>
  <c r="Q1727" i="1"/>
  <c r="R1727" i="1"/>
  <c r="S1727" i="1"/>
  <c r="T1727" i="1"/>
  <c r="U1727" i="1"/>
  <c r="V1727" i="1"/>
  <c r="W1727" i="1"/>
  <c r="X1727" i="1"/>
  <c r="Y1727" i="1"/>
  <c r="Z1727" i="1"/>
  <c r="AA1727" i="1"/>
  <c r="AB1727" i="1"/>
  <c r="AC1727" i="1"/>
  <c r="AD1727" i="1"/>
  <c r="AE1727" i="1"/>
  <c r="AF1727" i="1"/>
  <c r="AG1727" i="1"/>
  <c r="AH1727" i="1"/>
  <c r="AI1727" i="1"/>
  <c r="AJ1727" i="1"/>
  <c r="AK1727" i="1"/>
  <c r="AL1727" i="1"/>
  <c r="AM1727" i="1"/>
  <c r="A1728" i="1"/>
  <c r="B1728" i="1"/>
  <c r="C1728" i="1"/>
  <c r="D1728" i="1"/>
  <c r="E1728" i="1"/>
  <c r="F1728" i="1"/>
  <c r="G1728" i="1"/>
  <c r="H1728" i="1"/>
  <c r="I1728" i="1"/>
  <c r="J1728" i="1"/>
  <c r="K1728" i="1"/>
  <c r="L1728" i="1"/>
  <c r="M1728" i="1"/>
  <c r="N1728" i="1"/>
  <c r="O1728" i="1"/>
  <c r="P1728" i="1"/>
  <c r="Q1728" i="1"/>
  <c r="R1728" i="1"/>
  <c r="S1728" i="1"/>
  <c r="T1728" i="1"/>
  <c r="U1728" i="1"/>
  <c r="V1728" i="1"/>
  <c r="W1728" i="1"/>
  <c r="X1728" i="1"/>
  <c r="Y1728" i="1"/>
  <c r="Z1728" i="1"/>
  <c r="AA1728" i="1"/>
  <c r="AB1728" i="1"/>
  <c r="AC1728" i="1"/>
  <c r="AD1728" i="1"/>
  <c r="AE1728" i="1"/>
  <c r="AF1728" i="1"/>
  <c r="AG1728" i="1"/>
  <c r="AH1728" i="1"/>
  <c r="AI1728" i="1"/>
  <c r="AJ1728" i="1"/>
  <c r="AK1728" i="1"/>
  <c r="AL1728" i="1"/>
  <c r="AM1728" i="1"/>
  <c r="A1729" i="1"/>
  <c r="B1729" i="1"/>
  <c r="C1729" i="1"/>
  <c r="D1729" i="1"/>
  <c r="E1729" i="1"/>
  <c r="F1729" i="1"/>
  <c r="G1729" i="1"/>
  <c r="H1729" i="1"/>
  <c r="I1729" i="1"/>
  <c r="J1729" i="1"/>
  <c r="K1729" i="1"/>
  <c r="L1729" i="1"/>
  <c r="M1729" i="1"/>
  <c r="N1729" i="1"/>
  <c r="O1729" i="1"/>
  <c r="P1729" i="1"/>
  <c r="Q1729" i="1"/>
  <c r="R1729" i="1"/>
  <c r="S1729" i="1"/>
  <c r="T1729" i="1"/>
  <c r="U1729" i="1"/>
  <c r="V1729" i="1"/>
  <c r="W1729" i="1"/>
  <c r="X1729" i="1"/>
  <c r="Y1729" i="1"/>
  <c r="Z1729" i="1"/>
  <c r="AA1729" i="1"/>
  <c r="AB1729" i="1"/>
  <c r="AC1729" i="1"/>
  <c r="AD1729" i="1"/>
  <c r="AE1729" i="1"/>
  <c r="AF1729" i="1"/>
  <c r="AG1729" i="1"/>
  <c r="AH1729" i="1"/>
  <c r="AI1729" i="1"/>
  <c r="AJ1729" i="1"/>
  <c r="AK1729" i="1"/>
  <c r="AL1729" i="1"/>
  <c r="AM1729" i="1"/>
  <c r="A1730" i="1"/>
  <c r="B1730" i="1"/>
  <c r="C1730" i="1"/>
  <c r="D1730" i="1"/>
  <c r="E1730" i="1"/>
  <c r="F1730" i="1"/>
  <c r="G1730" i="1"/>
  <c r="H1730" i="1"/>
  <c r="I1730" i="1"/>
  <c r="J1730" i="1"/>
  <c r="K1730" i="1"/>
  <c r="L1730" i="1"/>
  <c r="M1730" i="1"/>
  <c r="N1730" i="1"/>
  <c r="O1730" i="1"/>
  <c r="P1730" i="1"/>
  <c r="Q1730" i="1"/>
  <c r="R1730" i="1"/>
  <c r="S1730" i="1"/>
  <c r="T1730" i="1"/>
  <c r="U1730" i="1"/>
  <c r="V1730" i="1"/>
  <c r="W1730" i="1"/>
  <c r="X1730" i="1"/>
  <c r="Y1730" i="1"/>
  <c r="Z1730" i="1"/>
  <c r="AA1730" i="1"/>
  <c r="AB1730" i="1"/>
  <c r="AC1730" i="1"/>
  <c r="AD1730" i="1"/>
  <c r="AE1730" i="1"/>
  <c r="AF1730" i="1"/>
  <c r="AG1730" i="1"/>
  <c r="AH1730" i="1"/>
  <c r="AI1730" i="1"/>
  <c r="AJ1730" i="1"/>
  <c r="AK1730" i="1"/>
  <c r="AL1730" i="1"/>
  <c r="AM1730" i="1"/>
  <c r="A1731" i="1"/>
  <c r="B1731" i="1"/>
  <c r="C1731" i="1"/>
  <c r="D1731" i="1"/>
  <c r="E1731" i="1"/>
  <c r="F1731" i="1"/>
  <c r="G1731" i="1"/>
  <c r="H1731" i="1"/>
  <c r="I1731" i="1"/>
  <c r="J1731" i="1"/>
  <c r="K1731" i="1"/>
  <c r="L1731" i="1"/>
  <c r="M1731" i="1"/>
  <c r="N1731" i="1"/>
  <c r="O1731" i="1"/>
  <c r="P1731" i="1"/>
  <c r="Q1731" i="1"/>
  <c r="R1731" i="1"/>
  <c r="S1731" i="1"/>
  <c r="T1731" i="1"/>
  <c r="U1731" i="1"/>
  <c r="V1731" i="1"/>
  <c r="W1731" i="1"/>
  <c r="X1731" i="1"/>
  <c r="Y1731" i="1"/>
  <c r="Z1731" i="1"/>
  <c r="AA1731" i="1"/>
  <c r="AB1731" i="1"/>
  <c r="AC1731" i="1"/>
  <c r="AD1731" i="1"/>
  <c r="AE1731" i="1"/>
  <c r="AF1731" i="1"/>
  <c r="AG1731" i="1"/>
  <c r="AH1731" i="1"/>
  <c r="AI1731" i="1"/>
  <c r="AJ1731" i="1"/>
  <c r="AK1731" i="1"/>
  <c r="AL1731" i="1"/>
  <c r="AM1731" i="1"/>
  <c r="A1732" i="1"/>
  <c r="B1732" i="1"/>
  <c r="C1732" i="1"/>
  <c r="D1732" i="1"/>
  <c r="E1732" i="1"/>
  <c r="F1732" i="1"/>
  <c r="G1732" i="1"/>
  <c r="H1732" i="1"/>
  <c r="I1732" i="1"/>
  <c r="J1732" i="1"/>
  <c r="K1732" i="1"/>
  <c r="L1732" i="1"/>
  <c r="M1732" i="1"/>
  <c r="N1732" i="1"/>
  <c r="O1732" i="1"/>
  <c r="P1732" i="1"/>
  <c r="Q1732" i="1"/>
  <c r="R1732" i="1"/>
  <c r="S1732" i="1"/>
  <c r="T1732" i="1"/>
  <c r="U1732" i="1"/>
  <c r="V1732" i="1"/>
  <c r="W1732" i="1"/>
  <c r="X1732" i="1"/>
  <c r="Y1732" i="1"/>
  <c r="Z1732" i="1"/>
  <c r="AA1732" i="1"/>
  <c r="AB1732" i="1"/>
  <c r="AC1732" i="1"/>
  <c r="AD1732" i="1"/>
  <c r="AE1732" i="1"/>
  <c r="AF1732" i="1"/>
  <c r="AG1732" i="1"/>
  <c r="AH1732" i="1"/>
  <c r="AI1732" i="1"/>
  <c r="AJ1732" i="1"/>
  <c r="AK1732" i="1"/>
  <c r="AL1732" i="1"/>
  <c r="AM1732" i="1"/>
  <c r="A1733" i="1"/>
  <c r="B1733" i="1"/>
  <c r="C1733" i="1"/>
  <c r="D1733" i="1"/>
  <c r="E1733" i="1"/>
  <c r="F1733" i="1"/>
  <c r="G1733" i="1"/>
  <c r="H1733" i="1"/>
  <c r="I1733" i="1"/>
  <c r="J1733" i="1"/>
  <c r="K1733" i="1"/>
  <c r="L1733" i="1"/>
  <c r="M1733" i="1"/>
  <c r="N1733" i="1"/>
  <c r="O1733" i="1"/>
  <c r="P1733" i="1"/>
  <c r="Q1733" i="1"/>
  <c r="R1733" i="1"/>
  <c r="S1733" i="1"/>
  <c r="T1733" i="1"/>
  <c r="U1733" i="1"/>
  <c r="V1733" i="1"/>
  <c r="W1733" i="1"/>
  <c r="X1733" i="1"/>
  <c r="Y1733" i="1"/>
  <c r="Z1733" i="1"/>
  <c r="AA1733" i="1"/>
  <c r="AB1733" i="1"/>
  <c r="AC1733" i="1"/>
  <c r="AD1733" i="1"/>
  <c r="AE1733" i="1"/>
  <c r="AF1733" i="1"/>
  <c r="AG1733" i="1"/>
  <c r="AH1733" i="1"/>
  <c r="AI1733" i="1"/>
  <c r="AJ1733" i="1"/>
  <c r="AK1733" i="1"/>
  <c r="AL1733" i="1"/>
  <c r="AM1733" i="1"/>
  <c r="A1734" i="1"/>
  <c r="B1734" i="1"/>
  <c r="C1734" i="1"/>
  <c r="D1734" i="1"/>
  <c r="E1734" i="1"/>
  <c r="F1734" i="1"/>
  <c r="G1734" i="1"/>
  <c r="H1734" i="1"/>
  <c r="I1734" i="1"/>
  <c r="J1734" i="1"/>
  <c r="K1734" i="1"/>
  <c r="L1734" i="1"/>
  <c r="M1734" i="1"/>
  <c r="N1734" i="1"/>
  <c r="O1734" i="1"/>
  <c r="P1734" i="1"/>
  <c r="Q1734" i="1"/>
  <c r="R1734" i="1"/>
  <c r="S1734" i="1"/>
  <c r="T1734" i="1"/>
  <c r="U1734" i="1"/>
  <c r="V1734" i="1"/>
  <c r="W1734" i="1"/>
  <c r="X1734" i="1"/>
  <c r="Y1734" i="1"/>
  <c r="Z1734" i="1"/>
  <c r="AA1734" i="1"/>
  <c r="AB1734" i="1"/>
  <c r="AC1734" i="1"/>
  <c r="AD1734" i="1"/>
  <c r="AE1734" i="1"/>
  <c r="AF1734" i="1"/>
  <c r="AG1734" i="1"/>
  <c r="AH1734" i="1"/>
  <c r="AI1734" i="1"/>
  <c r="AJ1734" i="1"/>
  <c r="AK1734" i="1"/>
  <c r="AL1734" i="1"/>
  <c r="AM1734" i="1"/>
  <c r="A1735" i="1"/>
  <c r="B1735" i="1"/>
  <c r="C1735" i="1"/>
  <c r="D1735" i="1"/>
  <c r="E1735" i="1"/>
  <c r="F1735" i="1"/>
  <c r="G1735" i="1"/>
  <c r="H1735" i="1"/>
  <c r="I1735" i="1"/>
  <c r="J1735" i="1"/>
  <c r="K1735" i="1"/>
  <c r="L1735" i="1"/>
  <c r="M1735" i="1"/>
  <c r="N1735" i="1"/>
  <c r="O1735" i="1"/>
  <c r="P1735" i="1"/>
  <c r="Q1735" i="1"/>
  <c r="R1735" i="1"/>
  <c r="S1735" i="1"/>
  <c r="T1735" i="1"/>
  <c r="U1735" i="1"/>
  <c r="V1735" i="1"/>
  <c r="W1735" i="1"/>
  <c r="X1735" i="1"/>
  <c r="Y1735" i="1"/>
  <c r="Z1735" i="1"/>
  <c r="AA1735" i="1"/>
  <c r="AB1735" i="1"/>
  <c r="AC1735" i="1"/>
  <c r="AD1735" i="1"/>
  <c r="AE1735" i="1"/>
  <c r="AF1735" i="1"/>
  <c r="AG1735" i="1"/>
  <c r="AH1735" i="1"/>
  <c r="AI1735" i="1"/>
  <c r="AJ1735" i="1"/>
  <c r="AK1735" i="1"/>
  <c r="AL1735" i="1"/>
  <c r="AM1735" i="1"/>
  <c r="A1736" i="1"/>
  <c r="B1736" i="1"/>
  <c r="C1736" i="1"/>
  <c r="D1736" i="1"/>
  <c r="E1736" i="1"/>
  <c r="F1736" i="1"/>
  <c r="G1736" i="1"/>
  <c r="H1736" i="1"/>
  <c r="I1736" i="1"/>
  <c r="J1736" i="1"/>
  <c r="K1736" i="1"/>
  <c r="L1736" i="1"/>
  <c r="M1736" i="1"/>
  <c r="N1736" i="1"/>
  <c r="O1736" i="1"/>
  <c r="P1736" i="1"/>
  <c r="Q1736" i="1"/>
  <c r="R1736" i="1"/>
  <c r="S1736" i="1"/>
  <c r="T1736" i="1"/>
  <c r="U1736" i="1"/>
  <c r="V1736" i="1"/>
  <c r="W1736" i="1"/>
  <c r="X1736" i="1"/>
  <c r="Y1736" i="1"/>
  <c r="Z1736" i="1"/>
  <c r="AA1736" i="1"/>
  <c r="AB1736" i="1"/>
  <c r="AC1736" i="1"/>
  <c r="AD1736" i="1"/>
  <c r="AE1736" i="1"/>
  <c r="AF1736" i="1"/>
  <c r="AG1736" i="1"/>
  <c r="AH1736" i="1"/>
  <c r="AI1736" i="1"/>
  <c r="AJ1736" i="1"/>
  <c r="AK1736" i="1"/>
  <c r="AL1736" i="1"/>
  <c r="AM1736" i="1"/>
  <c r="A1737" i="1"/>
  <c r="B1737" i="1"/>
  <c r="C1737" i="1"/>
  <c r="D1737" i="1"/>
  <c r="E1737" i="1"/>
  <c r="F1737" i="1"/>
  <c r="G1737" i="1"/>
  <c r="H1737" i="1"/>
  <c r="I1737" i="1"/>
  <c r="J1737" i="1"/>
  <c r="K1737" i="1"/>
  <c r="L1737" i="1"/>
  <c r="M1737" i="1"/>
  <c r="N1737" i="1"/>
  <c r="O1737" i="1"/>
  <c r="P1737" i="1"/>
  <c r="Q1737" i="1"/>
  <c r="R1737" i="1"/>
  <c r="S1737" i="1"/>
  <c r="T1737" i="1"/>
  <c r="U1737" i="1"/>
  <c r="V1737" i="1"/>
  <c r="W1737" i="1"/>
  <c r="X1737" i="1"/>
  <c r="Y1737" i="1"/>
  <c r="Z1737" i="1"/>
  <c r="AA1737" i="1"/>
  <c r="AB1737" i="1"/>
  <c r="AC1737" i="1"/>
  <c r="AD1737" i="1"/>
  <c r="AE1737" i="1"/>
  <c r="AF1737" i="1"/>
  <c r="AG1737" i="1"/>
  <c r="AH1737" i="1"/>
  <c r="AI1737" i="1"/>
  <c r="AJ1737" i="1"/>
  <c r="AK1737" i="1"/>
  <c r="AL1737" i="1"/>
  <c r="AM1737" i="1"/>
  <c r="A1738" i="1"/>
  <c r="B1738" i="1"/>
  <c r="C1738" i="1"/>
  <c r="D1738" i="1"/>
  <c r="E1738" i="1"/>
  <c r="F1738" i="1"/>
  <c r="G1738" i="1"/>
  <c r="H1738" i="1"/>
  <c r="I1738" i="1"/>
  <c r="J1738" i="1"/>
  <c r="K1738" i="1"/>
  <c r="L1738" i="1"/>
  <c r="M1738" i="1"/>
  <c r="N1738" i="1"/>
  <c r="O1738" i="1"/>
  <c r="P1738" i="1"/>
  <c r="Q1738" i="1"/>
  <c r="R1738" i="1"/>
  <c r="S1738" i="1"/>
  <c r="T1738" i="1"/>
  <c r="U1738" i="1"/>
  <c r="V1738" i="1"/>
  <c r="W1738" i="1"/>
  <c r="X1738" i="1"/>
  <c r="Y1738" i="1"/>
  <c r="Z1738" i="1"/>
  <c r="AA1738" i="1"/>
  <c r="AB1738" i="1"/>
  <c r="AC1738" i="1"/>
  <c r="AD1738" i="1"/>
  <c r="AE1738" i="1"/>
  <c r="AF1738" i="1"/>
  <c r="AG1738" i="1"/>
  <c r="AH1738" i="1"/>
  <c r="AI1738" i="1"/>
  <c r="AJ1738" i="1"/>
  <c r="AK1738" i="1"/>
  <c r="AL1738" i="1"/>
  <c r="AM1738" i="1"/>
  <c r="A1739" i="1"/>
  <c r="B1739" i="1"/>
  <c r="C1739" i="1"/>
  <c r="D1739" i="1"/>
  <c r="E1739" i="1"/>
  <c r="F1739" i="1"/>
  <c r="G1739" i="1"/>
  <c r="H1739" i="1"/>
  <c r="I1739" i="1"/>
  <c r="J1739" i="1"/>
  <c r="K1739" i="1"/>
  <c r="L1739" i="1"/>
  <c r="M1739" i="1"/>
  <c r="N1739" i="1"/>
  <c r="O1739" i="1"/>
  <c r="P1739" i="1"/>
  <c r="Q1739" i="1"/>
  <c r="R1739" i="1"/>
  <c r="S1739" i="1"/>
  <c r="T1739" i="1"/>
  <c r="U1739" i="1"/>
  <c r="V1739" i="1"/>
  <c r="W1739" i="1"/>
  <c r="X1739" i="1"/>
  <c r="Y1739" i="1"/>
  <c r="Z1739" i="1"/>
  <c r="AA1739" i="1"/>
  <c r="AB1739" i="1"/>
  <c r="AC1739" i="1"/>
  <c r="AD1739" i="1"/>
  <c r="AE1739" i="1"/>
  <c r="AF1739" i="1"/>
  <c r="AG1739" i="1"/>
  <c r="AH1739" i="1"/>
  <c r="AI1739" i="1"/>
  <c r="AJ1739" i="1"/>
  <c r="AK1739" i="1"/>
  <c r="AL1739" i="1"/>
  <c r="AM1739" i="1"/>
  <c r="A1740" i="1"/>
  <c r="B1740" i="1"/>
  <c r="C1740" i="1"/>
  <c r="D1740" i="1"/>
  <c r="E1740" i="1"/>
  <c r="F1740" i="1"/>
  <c r="G1740" i="1"/>
  <c r="H1740" i="1"/>
  <c r="I1740" i="1"/>
  <c r="J1740" i="1"/>
  <c r="K1740" i="1"/>
  <c r="L1740" i="1"/>
  <c r="M1740" i="1"/>
  <c r="N1740" i="1"/>
  <c r="O1740" i="1"/>
  <c r="P1740" i="1"/>
  <c r="Q1740" i="1"/>
  <c r="R1740" i="1"/>
  <c r="S1740" i="1"/>
  <c r="T1740" i="1"/>
  <c r="U1740" i="1"/>
  <c r="V1740" i="1"/>
  <c r="W1740" i="1"/>
  <c r="X1740" i="1"/>
  <c r="Y1740" i="1"/>
  <c r="Z1740" i="1"/>
  <c r="AA1740" i="1"/>
  <c r="AB1740" i="1"/>
  <c r="AC1740" i="1"/>
  <c r="AD1740" i="1"/>
  <c r="AE1740" i="1"/>
  <c r="AF1740" i="1"/>
  <c r="AG1740" i="1"/>
  <c r="AH1740" i="1"/>
  <c r="AI1740" i="1"/>
  <c r="AJ1740" i="1"/>
  <c r="AK1740" i="1"/>
  <c r="AL1740" i="1"/>
  <c r="AM1740" i="1"/>
  <c r="A1741" i="1"/>
  <c r="B1741" i="1"/>
  <c r="C1741" i="1"/>
  <c r="D1741" i="1"/>
  <c r="E1741" i="1"/>
  <c r="F1741" i="1"/>
  <c r="G1741" i="1"/>
  <c r="H1741" i="1"/>
  <c r="I1741" i="1"/>
  <c r="J1741" i="1"/>
  <c r="K1741" i="1"/>
  <c r="L1741" i="1"/>
  <c r="M1741" i="1"/>
  <c r="N1741" i="1"/>
  <c r="O1741" i="1"/>
  <c r="P1741" i="1"/>
  <c r="Q1741" i="1"/>
  <c r="R1741" i="1"/>
  <c r="S1741" i="1"/>
  <c r="T1741" i="1"/>
  <c r="U1741" i="1"/>
  <c r="V1741" i="1"/>
  <c r="W1741" i="1"/>
  <c r="X1741" i="1"/>
  <c r="Y1741" i="1"/>
  <c r="Z1741" i="1"/>
  <c r="AA1741" i="1"/>
  <c r="AB1741" i="1"/>
  <c r="AC1741" i="1"/>
  <c r="AD1741" i="1"/>
  <c r="AE1741" i="1"/>
  <c r="AF1741" i="1"/>
  <c r="AG1741" i="1"/>
  <c r="AH1741" i="1"/>
  <c r="AI1741" i="1"/>
  <c r="AJ1741" i="1"/>
  <c r="AK1741" i="1"/>
  <c r="AL1741" i="1"/>
  <c r="AM1741" i="1"/>
  <c r="A1742" i="1"/>
  <c r="B1742" i="1"/>
  <c r="C1742" i="1"/>
  <c r="D1742" i="1"/>
  <c r="E1742" i="1"/>
  <c r="F1742" i="1"/>
  <c r="G1742" i="1"/>
  <c r="H1742" i="1"/>
  <c r="I1742" i="1"/>
  <c r="J1742" i="1"/>
  <c r="K1742" i="1"/>
  <c r="L1742" i="1"/>
  <c r="M1742" i="1"/>
  <c r="N1742" i="1"/>
  <c r="O1742" i="1"/>
  <c r="P1742" i="1"/>
  <c r="Q1742" i="1"/>
  <c r="R1742" i="1"/>
  <c r="S1742" i="1"/>
  <c r="T1742" i="1"/>
  <c r="U1742" i="1"/>
  <c r="V1742" i="1"/>
  <c r="W1742" i="1"/>
  <c r="X1742" i="1"/>
  <c r="Y1742" i="1"/>
  <c r="Z1742" i="1"/>
  <c r="AA1742" i="1"/>
  <c r="AB1742" i="1"/>
  <c r="AC1742" i="1"/>
  <c r="AD1742" i="1"/>
  <c r="AE1742" i="1"/>
  <c r="AF1742" i="1"/>
  <c r="AG1742" i="1"/>
  <c r="AH1742" i="1"/>
  <c r="AI1742" i="1"/>
  <c r="AJ1742" i="1"/>
  <c r="AK1742" i="1"/>
  <c r="AL1742" i="1"/>
  <c r="AM1742" i="1"/>
  <c r="A1743" i="1"/>
  <c r="B1743" i="1"/>
  <c r="C1743" i="1"/>
  <c r="D1743" i="1"/>
  <c r="E1743" i="1"/>
  <c r="F1743" i="1"/>
  <c r="G1743" i="1"/>
  <c r="H1743" i="1"/>
  <c r="I1743" i="1"/>
  <c r="J1743" i="1"/>
  <c r="K1743" i="1"/>
  <c r="L1743" i="1"/>
  <c r="M1743" i="1"/>
  <c r="N1743" i="1"/>
  <c r="O1743" i="1"/>
  <c r="P1743" i="1"/>
  <c r="Q1743" i="1"/>
  <c r="R1743" i="1"/>
  <c r="S1743" i="1"/>
  <c r="T1743" i="1"/>
  <c r="U1743" i="1"/>
  <c r="V1743" i="1"/>
  <c r="W1743" i="1"/>
  <c r="X1743" i="1"/>
  <c r="Y1743" i="1"/>
  <c r="Z1743" i="1"/>
  <c r="AA1743" i="1"/>
  <c r="AB1743" i="1"/>
  <c r="AC1743" i="1"/>
  <c r="AD1743" i="1"/>
  <c r="AE1743" i="1"/>
  <c r="AF1743" i="1"/>
  <c r="AG1743" i="1"/>
  <c r="AH1743" i="1"/>
  <c r="AI1743" i="1"/>
  <c r="AJ1743" i="1"/>
  <c r="AK1743" i="1"/>
  <c r="AL1743" i="1"/>
  <c r="AM1743" i="1"/>
  <c r="A1744" i="1"/>
  <c r="B1744" i="1"/>
  <c r="C1744" i="1"/>
  <c r="D1744" i="1"/>
  <c r="E1744" i="1"/>
  <c r="F1744" i="1"/>
  <c r="G1744" i="1"/>
  <c r="H1744" i="1"/>
  <c r="I1744" i="1"/>
  <c r="J1744" i="1"/>
  <c r="K1744" i="1"/>
  <c r="L1744" i="1"/>
  <c r="M1744" i="1"/>
  <c r="N1744" i="1"/>
  <c r="O1744" i="1"/>
  <c r="P1744" i="1"/>
  <c r="Q1744" i="1"/>
  <c r="R1744" i="1"/>
  <c r="S1744" i="1"/>
  <c r="T1744" i="1"/>
  <c r="U1744" i="1"/>
  <c r="V1744" i="1"/>
  <c r="W1744" i="1"/>
  <c r="X1744" i="1"/>
  <c r="Y1744" i="1"/>
  <c r="Z1744" i="1"/>
  <c r="AA1744" i="1"/>
  <c r="AB1744" i="1"/>
  <c r="AC1744" i="1"/>
  <c r="AD1744" i="1"/>
  <c r="AE1744" i="1"/>
  <c r="AF1744" i="1"/>
  <c r="AG1744" i="1"/>
  <c r="AH1744" i="1"/>
  <c r="AI1744" i="1"/>
  <c r="AJ1744" i="1"/>
  <c r="AK1744" i="1"/>
  <c r="AL1744" i="1"/>
  <c r="AM1744" i="1"/>
  <c r="A1745" i="1"/>
  <c r="B1745" i="1"/>
  <c r="C1745" i="1"/>
  <c r="D1745" i="1"/>
  <c r="E1745" i="1"/>
  <c r="F1745" i="1"/>
  <c r="G1745" i="1"/>
  <c r="H1745" i="1"/>
  <c r="I1745" i="1"/>
  <c r="J1745" i="1"/>
  <c r="K1745" i="1"/>
  <c r="L1745" i="1"/>
  <c r="M1745" i="1"/>
  <c r="N1745" i="1"/>
  <c r="O1745" i="1"/>
  <c r="P1745" i="1"/>
  <c r="Q1745" i="1"/>
  <c r="R1745" i="1"/>
  <c r="S1745" i="1"/>
  <c r="T1745" i="1"/>
  <c r="U1745" i="1"/>
  <c r="V1745" i="1"/>
  <c r="W1745" i="1"/>
  <c r="X1745" i="1"/>
  <c r="Y1745" i="1"/>
  <c r="Z1745" i="1"/>
  <c r="AA1745" i="1"/>
  <c r="AB1745" i="1"/>
  <c r="AC1745" i="1"/>
  <c r="AD1745" i="1"/>
  <c r="AE1745" i="1"/>
  <c r="AF1745" i="1"/>
  <c r="AG1745" i="1"/>
  <c r="AH1745" i="1"/>
  <c r="AI1745" i="1"/>
  <c r="AJ1745" i="1"/>
  <c r="AK1745" i="1"/>
  <c r="AL1745" i="1"/>
  <c r="AM1745" i="1"/>
  <c r="A1746" i="1"/>
  <c r="B1746" i="1"/>
  <c r="C1746" i="1"/>
  <c r="D1746" i="1"/>
  <c r="E1746" i="1"/>
  <c r="F1746" i="1"/>
  <c r="G1746" i="1"/>
  <c r="H1746" i="1"/>
  <c r="I1746" i="1"/>
  <c r="J1746" i="1"/>
  <c r="K1746" i="1"/>
  <c r="L1746" i="1"/>
  <c r="M1746" i="1"/>
  <c r="N1746" i="1"/>
  <c r="O1746" i="1"/>
  <c r="P1746" i="1"/>
  <c r="Q1746" i="1"/>
  <c r="R1746" i="1"/>
  <c r="S1746" i="1"/>
  <c r="T1746" i="1"/>
  <c r="U1746" i="1"/>
  <c r="V1746" i="1"/>
  <c r="W1746" i="1"/>
  <c r="X1746" i="1"/>
  <c r="Y1746" i="1"/>
  <c r="Z1746" i="1"/>
  <c r="AA1746" i="1"/>
  <c r="AB1746" i="1"/>
  <c r="AC1746" i="1"/>
  <c r="AD1746" i="1"/>
  <c r="AE1746" i="1"/>
  <c r="AF1746" i="1"/>
  <c r="AG1746" i="1"/>
  <c r="AH1746" i="1"/>
  <c r="AI1746" i="1"/>
  <c r="AJ1746" i="1"/>
  <c r="AK1746" i="1"/>
  <c r="AL1746" i="1"/>
  <c r="AM1746" i="1"/>
  <c r="A1747" i="1"/>
  <c r="B1747" i="1"/>
  <c r="C1747" i="1"/>
  <c r="D1747" i="1"/>
  <c r="E1747" i="1"/>
  <c r="F1747" i="1"/>
  <c r="G1747" i="1"/>
  <c r="H1747" i="1"/>
  <c r="I1747" i="1"/>
  <c r="J1747" i="1"/>
  <c r="K1747" i="1"/>
  <c r="L1747" i="1"/>
  <c r="M1747" i="1"/>
  <c r="N1747" i="1"/>
  <c r="O1747" i="1"/>
  <c r="P1747" i="1"/>
  <c r="Q1747" i="1"/>
  <c r="R1747" i="1"/>
  <c r="S1747" i="1"/>
  <c r="T1747" i="1"/>
  <c r="U1747" i="1"/>
  <c r="V1747" i="1"/>
  <c r="W1747" i="1"/>
  <c r="X1747" i="1"/>
  <c r="Y1747" i="1"/>
  <c r="Z1747" i="1"/>
  <c r="AA1747" i="1"/>
  <c r="AB1747" i="1"/>
  <c r="AC1747" i="1"/>
  <c r="AD1747" i="1"/>
  <c r="AE1747" i="1"/>
  <c r="AF1747" i="1"/>
  <c r="AG1747" i="1"/>
  <c r="AH1747" i="1"/>
  <c r="AI1747" i="1"/>
  <c r="AJ1747" i="1"/>
  <c r="AK1747" i="1"/>
  <c r="AL1747" i="1"/>
  <c r="AM1747" i="1"/>
  <c r="A1748" i="1"/>
  <c r="B1748" i="1"/>
  <c r="C1748" i="1"/>
  <c r="D1748" i="1"/>
  <c r="E1748" i="1"/>
  <c r="F1748" i="1"/>
  <c r="G1748" i="1"/>
  <c r="H1748" i="1"/>
  <c r="I1748" i="1"/>
  <c r="J1748" i="1"/>
  <c r="K1748" i="1"/>
  <c r="L1748" i="1"/>
  <c r="M1748" i="1"/>
  <c r="N1748" i="1"/>
  <c r="O1748" i="1"/>
  <c r="P1748" i="1"/>
  <c r="Q1748" i="1"/>
  <c r="R1748" i="1"/>
  <c r="S1748" i="1"/>
  <c r="T1748" i="1"/>
  <c r="U1748" i="1"/>
  <c r="V1748" i="1"/>
  <c r="W1748" i="1"/>
  <c r="X1748" i="1"/>
  <c r="Y1748" i="1"/>
  <c r="Z1748" i="1"/>
  <c r="AA1748" i="1"/>
  <c r="AB1748" i="1"/>
  <c r="AC1748" i="1"/>
  <c r="AD1748" i="1"/>
  <c r="AE1748" i="1"/>
  <c r="AF1748" i="1"/>
  <c r="AG1748" i="1"/>
  <c r="AH1748" i="1"/>
  <c r="AI1748" i="1"/>
  <c r="AJ1748" i="1"/>
  <c r="AK1748" i="1"/>
  <c r="AL1748" i="1"/>
  <c r="AM1748" i="1"/>
  <c r="A1749" i="1"/>
  <c r="B1749" i="1"/>
  <c r="C1749" i="1"/>
  <c r="D1749" i="1"/>
  <c r="E1749" i="1"/>
  <c r="F1749" i="1"/>
  <c r="G1749" i="1"/>
  <c r="H1749" i="1"/>
  <c r="I1749" i="1"/>
  <c r="J1749" i="1"/>
  <c r="K1749" i="1"/>
  <c r="L1749" i="1"/>
  <c r="M1749" i="1"/>
  <c r="N1749" i="1"/>
  <c r="O1749" i="1"/>
  <c r="P1749" i="1"/>
  <c r="Q1749" i="1"/>
  <c r="R1749" i="1"/>
  <c r="S1749" i="1"/>
  <c r="T1749" i="1"/>
  <c r="U1749" i="1"/>
  <c r="V1749" i="1"/>
  <c r="W1749" i="1"/>
  <c r="X1749" i="1"/>
  <c r="Y1749" i="1"/>
  <c r="Z1749" i="1"/>
  <c r="AA1749" i="1"/>
  <c r="AB1749" i="1"/>
  <c r="AC1749" i="1"/>
  <c r="AD1749" i="1"/>
  <c r="AE1749" i="1"/>
  <c r="AF1749" i="1"/>
  <c r="AG1749" i="1"/>
  <c r="AH1749" i="1"/>
  <c r="AI1749" i="1"/>
  <c r="AJ1749" i="1"/>
  <c r="AK1749" i="1"/>
  <c r="AL1749" i="1"/>
  <c r="AM1749" i="1"/>
  <c r="A1750" i="1"/>
  <c r="B1750" i="1"/>
  <c r="C1750" i="1"/>
  <c r="D1750" i="1"/>
  <c r="E1750" i="1"/>
  <c r="F1750" i="1"/>
  <c r="G1750" i="1"/>
  <c r="H1750" i="1"/>
  <c r="I1750" i="1"/>
  <c r="J1750" i="1"/>
  <c r="K1750" i="1"/>
  <c r="L1750" i="1"/>
  <c r="M1750" i="1"/>
  <c r="N1750" i="1"/>
  <c r="O1750" i="1"/>
  <c r="P1750" i="1"/>
  <c r="Q1750" i="1"/>
  <c r="R1750" i="1"/>
  <c r="S1750" i="1"/>
  <c r="T1750" i="1"/>
  <c r="U1750" i="1"/>
  <c r="V1750" i="1"/>
  <c r="W1750" i="1"/>
  <c r="X1750" i="1"/>
  <c r="Y1750" i="1"/>
  <c r="Z1750" i="1"/>
  <c r="AA1750" i="1"/>
  <c r="AB1750" i="1"/>
  <c r="AC1750" i="1"/>
  <c r="AD1750" i="1"/>
  <c r="AE1750" i="1"/>
  <c r="AF1750" i="1"/>
  <c r="AG1750" i="1"/>
  <c r="AH1750" i="1"/>
  <c r="AI1750" i="1"/>
  <c r="AJ1750" i="1"/>
  <c r="AK1750" i="1"/>
  <c r="AL1750" i="1"/>
  <c r="AM1750" i="1"/>
  <c r="A1751" i="1"/>
  <c r="B1751" i="1"/>
  <c r="C1751" i="1"/>
  <c r="D1751" i="1"/>
  <c r="E1751" i="1"/>
  <c r="F1751" i="1"/>
  <c r="G1751" i="1"/>
  <c r="H1751" i="1"/>
  <c r="I1751" i="1"/>
  <c r="J1751" i="1"/>
  <c r="K1751" i="1"/>
  <c r="L1751" i="1"/>
  <c r="M1751" i="1"/>
  <c r="N1751" i="1"/>
  <c r="O1751" i="1"/>
  <c r="P1751" i="1"/>
  <c r="Q1751" i="1"/>
  <c r="R1751" i="1"/>
  <c r="S1751" i="1"/>
  <c r="T1751" i="1"/>
  <c r="U1751" i="1"/>
  <c r="V1751" i="1"/>
  <c r="W1751" i="1"/>
  <c r="X1751" i="1"/>
  <c r="Y1751" i="1"/>
  <c r="Z1751" i="1"/>
  <c r="AA1751" i="1"/>
  <c r="AB1751" i="1"/>
  <c r="AC1751" i="1"/>
  <c r="AD1751" i="1"/>
  <c r="AE1751" i="1"/>
  <c r="AF1751" i="1"/>
  <c r="AG1751" i="1"/>
  <c r="AH1751" i="1"/>
  <c r="AI1751" i="1"/>
  <c r="AJ1751" i="1"/>
  <c r="AK1751" i="1"/>
  <c r="AL1751" i="1"/>
  <c r="AM1751" i="1"/>
  <c r="A1752" i="1"/>
  <c r="B1752" i="1"/>
  <c r="C1752" i="1"/>
  <c r="D1752" i="1"/>
  <c r="E1752" i="1"/>
  <c r="F1752" i="1"/>
  <c r="G1752" i="1"/>
  <c r="H1752" i="1"/>
  <c r="I1752" i="1"/>
  <c r="J1752" i="1"/>
  <c r="K1752" i="1"/>
  <c r="L1752" i="1"/>
  <c r="M1752" i="1"/>
  <c r="N1752" i="1"/>
  <c r="O1752" i="1"/>
  <c r="P1752" i="1"/>
  <c r="Q1752" i="1"/>
  <c r="R1752" i="1"/>
  <c r="S1752" i="1"/>
  <c r="T1752" i="1"/>
  <c r="U1752" i="1"/>
  <c r="V1752" i="1"/>
  <c r="W1752" i="1"/>
  <c r="X1752" i="1"/>
  <c r="Y1752" i="1"/>
  <c r="Z1752" i="1"/>
  <c r="AA1752" i="1"/>
  <c r="AB1752" i="1"/>
  <c r="AC1752" i="1"/>
  <c r="AD1752" i="1"/>
  <c r="AE1752" i="1"/>
  <c r="AF1752" i="1"/>
  <c r="AG1752" i="1"/>
  <c r="AH1752" i="1"/>
  <c r="AI1752" i="1"/>
  <c r="AJ1752" i="1"/>
  <c r="AK1752" i="1"/>
  <c r="AL1752" i="1"/>
  <c r="AM1752" i="1"/>
  <c r="A1753" i="1"/>
  <c r="B1753" i="1"/>
  <c r="C1753" i="1"/>
  <c r="D1753" i="1"/>
  <c r="E1753" i="1"/>
  <c r="F1753" i="1"/>
  <c r="G1753" i="1"/>
  <c r="H1753" i="1"/>
  <c r="I1753" i="1"/>
  <c r="J1753" i="1"/>
  <c r="K1753" i="1"/>
  <c r="L1753" i="1"/>
  <c r="M1753" i="1"/>
  <c r="N1753" i="1"/>
  <c r="O1753" i="1"/>
  <c r="P1753" i="1"/>
  <c r="Q1753" i="1"/>
  <c r="R1753" i="1"/>
  <c r="S1753" i="1"/>
  <c r="T1753" i="1"/>
  <c r="U1753" i="1"/>
  <c r="V1753" i="1"/>
  <c r="W1753" i="1"/>
  <c r="X1753" i="1"/>
  <c r="Y1753" i="1"/>
  <c r="Z1753" i="1"/>
  <c r="AA1753" i="1"/>
  <c r="AB1753" i="1"/>
  <c r="AC1753" i="1"/>
  <c r="AD1753" i="1"/>
  <c r="AE1753" i="1"/>
  <c r="AF1753" i="1"/>
  <c r="AG1753" i="1"/>
  <c r="AH1753" i="1"/>
  <c r="AI1753" i="1"/>
  <c r="AJ1753" i="1"/>
  <c r="AK1753" i="1"/>
  <c r="AL1753" i="1"/>
  <c r="AM1753" i="1"/>
  <c r="A1754" i="1"/>
  <c r="B1754" i="1"/>
  <c r="C1754" i="1"/>
  <c r="D1754" i="1"/>
  <c r="E1754" i="1"/>
  <c r="F1754" i="1"/>
  <c r="G1754" i="1"/>
  <c r="H1754" i="1"/>
  <c r="I1754" i="1"/>
  <c r="J1754" i="1"/>
  <c r="K1754" i="1"/>
  <c r="L1754" i="1"/>
  <c r="M1754" i="1"/>
  <c r="N1754" i="1"/>
  <c r="O1754" i="1"/>
  <c r="P1754" i="1"/>
  <c r="Q1754" i="1"/>
  <c r="R1754" i="1"/>
  <c r="S1754" i="1"/>
  <c r="T1754" i="1"/>
  <c r="U1754" i="1"/>
  <c r="V1754" i="1"/>
  <c r="W1754" i="1"/>
  <c r="X1754" i="1"/>
  <c r="Y1754" i="1"/>
  <c r="Z1754" i="1"/>
  <c r="AA1754" i="1"/>
  <c r="AB1754" i="1"/>
  <c r="AC1754" i="1"/>
  <c r="AD1754" i="1"/>
  <c r="AE1754" i="1"/>
  <c r="AF1754" i="1"/>
  <c r="AG1754" i="1"/>
  <c r="AH1754" i="1"/>
  <c r="AI1754" i="1"/>
  <c r="AJ1754" i="1"/>
  <c r="AK1754" i="1"/>
  <c r="AL1754" i="1"/>
  <c r="AM1754" i="1"/>
  <c r="A1755" i="1"/>
  <c r="B1755" i="1"/>
  <c r="C1755" i="1"/>
  <c r="D1755" i="1"/>
  <c r="E1755" i="1"/>
  <c r="F1755" i="1"/>
  <c r="G1755" i="1"/>
  <c r="H1755" i="1"/>
  <c r="I1755" i="1"/>
  <c r="J1755" i="1"/>
  <c r="K1755" i="1"/>
  <c r="L1755" i="1"/>
  <c r="M1755" i="1"/>
  <c r="N1755" i="1"/>
  <c r="O1755" i="1"/>
  <c r="P1755" i="1"/>
  <c r="Q1755" i="1"/>
  <c r="R1755" i="1"/>
  <c r="S1755" i="1"/>
  <c r="T1755" i="1"/>
  <c r="U1755" i="1"/>
  <c r="V1755" i="1"/>
  <c r="W1755" i="1"/>
  <c r="X1755" i="1"/>
  <c r="Y1755" i="1"/>
  <c r="Z1755" i="1"/>
  <c r="AA1755" i="1"/>
  <c r="AB1755" i="1"/>
  <c r="AC1755" i="1"/>
  <c r="AD1755" i="1"/>
  <c r="AE1755" i="1"/>
  <c r="AF1755" i="1"/>
  <c r="AG1755" i="1"/>
  <c r="AH1755" i="1"/>
  <c r="AI1755" i="1"/>
  <c r="AJ1755" i="1"/>
  <c r="AK1755" i="1"/>
  <c r="AL1755" i="1"/>
  <c r="AM1755" i="1"/>
  <c r="A1756" i="1"/>
  <c r="B1756" i="1"/>
  <c r="C1756" i="1"/>
  <c r="D1756" i="1"/>
  <c r="E1756" i="1"/>
  <c r="F1756" i="1"/>
  <c r="G1756" i="1"/>
  <c r="H1756" i="1"/>
  <c r="I1756" i="1"/>
  <c r="J1756" i="1"/>
  <c r="K1756" i="1"/>
  <c r="L1756" i="1"/>
  <c r="M1756" i="1"/>
  <c r="N1756" i="1"/>
  <c r="O1756" i="1"/>
  <c r="P1756" i="1"/>
  <c r="Q1756" i="1"/>
  <c r="R1756" i="1"/>
  <c r="S1756" i="1"/>
  <c r="T1756" i="1"/>
  <c r="U1756" i="1"/>
  <c r="V1756" i="1"/>
  <c r="W1756" i="1"/>
  <c r="X1756" i="1"/>
  <c r="Y1756" i="1"/>
  <c r="Z1756" i="1"/>
  <c r="AA1756" i="1"/>
  <c r="AB1756" i="1"/>
  <c r="AC1756" i="1"/>
  <c r="AD1756" i="1"/>
  <c r="AE1756" i="1"/>
  <c r="AF1756" i="1"/>
  <c r="AG1756" i="1"/>
  <c r="AH1756" i="1"/>
  <c r="AI1756" i="1"/>
  <c r="AJ1756" i="1"/>
  <c r="AK1756" i="1"/>
  <c r="AL1756" i="1"/>
  <c r="AM1756" i="1"/>
  <c r="A1757" i="1"/>
  <c r="B1757" i="1"/>
  <c r="C1757" i="1"/>
  <c r="D1757" i="1"/>
  <c r="E1757" i="1"/>
  <c r="F1757" i="1"/>
  <c r="G1757" i="1"/>
  <c r="H1757" i="1"/>
  <c r="I1757" i="1"/>
  <c r="J1757" i="1"/>
  <c r="K1757" i="1"/>
  <c r="L1757" i="1"/>
  <c r="M1757" i="1"/>
  <c r="N1757" i="1"/>
  <c r="O1757" i="1"/>
  <c r="P1757" i="1"/>
  <c r="Q1757" i="1"/>
  <c r="R1757" i="1"/>
  <c r="S1757" i="1"/>
  <c r="T1757" i="1"/>
  <c r="U1757" i="1"/>
  <c r="V1757" i="1"/>
  <c r="W1757" i="1"/>
  <c r="X1757" i="1"/>
  <c r="Y1757" i="1"/>
  <c r="Z1757" i="1"/>
  <c r="AA1757" i="1"/>
  <c r="AB1757" i="1"/>
  <c r="AC1757" i="1"/>
  <c r="AD1757" i="1"/>
  <c r="AE1757" i="1"/>
  <c r="AF1757" i="1"/>
  <c r="AG1757" i="1"/>
  <c r="AH1757" i="1"/>
  <c r="AI1757" i="1"/>
  <c r="AJ1757" i="1"/>
  <c r="AK1757" i="1"/>
  <c r="AL1757" i="1"/>
  <c r="AM1757" i="1"/>
  <c r="A1758" i="1"/>
  <c r="B1758" i="1"/>
  <c r="C1758" i="1"/>
  <c r="D1758" i="1"/>
  <c r="E1758" i="1"/>
  <c r="F1758" i="1"/>
  <c r="G1758" i="1"/>
  <c r="H1758" i="1"/>
  <c r="I1758" i="1"/>
  <c r="J1758" i="1"/>
  <c r="K1758" i="1"/>
  <c r="L1758" i="1"/>
  <c r="M1758" i="1"/>
  <c r="N1758" i="1"/>
  <c r="O1758" i="1"/>
  <c r="P1758" i="1"/>
  <c r="Q1758" i="1"/>
  <c r="R1758" i="1"/>
  <c r="S1758" i="1"/>
  <c r="T1758" i="1"/>
  <c r="U1758" i="1"/>
  <c r="V1758" i="1"/>
  <c r="W1758" i="1"/>
  <c r="X1758" i="1"/>
  <c r="Y1758" i="1"/>
  <c r="Z1758" i="1"/>
  <c r="AA1758" i="1"/>
  <c r="AB1758" i="1"/>
  <c r="AC1758" i="1"/>
  <c r="AD1758" i="1"/>
  <c r="AE1758" i="1"/>
  <c r="AF1758" i="1"/>
  <c r="AG1758" i="1"/>
  <c r="AH1758" i="1"/>
  <c r="AI1758" i="1"/>
  <c r="AJ1758" i="1"/>
  <c r="AK1758" i="1"/>
  <c r="AL1758" i="1"/>
  <c r="AM1758" i="1"/>
  <c r="A1759" i="1"/>
  <c r="B1759" i="1"/>
  <c r="C1759" i="1"/>
  <c r="D1759" i="1"/>
  <c r="E1759" i="1"/>
  <c r="F1759" i="1"/>
  <c r="G1759" i="1"/>
  <c r="H1759" i="1"/>
  <c r="I1759" i="1"/>
  <c r="J1759" i="1"/>
  <c r="K1759" i="1"/>
  <c r="L1759" i="1"/>
  <c r="M1759" i="1"/>
  <c r="N1759" i="1"/>
  <c r="O1759" i="1"/>
  <c r="P1759" i="1"/>
  <c r="Q1759" i="1"/>
  <c r="R1759" i="1"/>
  <c r="S1759" i="1"/>
  <c r="T1759" i="1"/>
  <c r="U1759" i="1"/>
  <c r="V1759" i="1"/>
  <c r="W1759" i="1"/>
  <c r="X1759" i="1"/>
  <c r="Y1759" i="1"/>
  <c r="Z1759" i="1"/>
  <c r="AA1759" i="1"/>
  <c r="AB1759" i="1"/>
  <c r="AC1759" i="1"/>
  <c r="AD1759" i="1"/>
  <c r="AE1759" i="1"/>
  <c r="AF1759" i="1"/>
  <c r="AG1759" i="1"/>
  <c r="AH1759" i="1"/>
  <c r="AI1759" i="1"/>
  <c r="AJ1759" i="1"/>
  <c r="AK1759" i="1"/>
  <c r="AL1759" i="1"/>
  <c r="AM1759" i="1"/>
  <c r="A1760" i="1"/>
  <c r="B1760" i="1"/>
  <c r="C1760" i="1"/>
  <c r="D1760" i="1"/>
  <c r="E1760" i="1"/>
  <c r="F1760" i="1"/>
  <c r="G1760" i="1"/>
  <c r="H1760" i="1"/>
  <c r="I1760" i="1"/>
  <c r="J1760" i="1"/>
  <c r="K1760" i="1"/>
  <c r="L1760" i="1"/>
  <c r="M1760" i="1"/>
  <c r="N1760" i="1"/>
  <c r="O1760" i="1"/>
  <c r="P1760" i="1"/>
  <c r="Q1760" i="1"/>
  <c r="R1760" i="1"/>
  <c r="S1760" i="1"/>
  <c r="T1760" i="1"/>
  <c r="U1760" i="1"/>
  <c r="V1760" i="1"/>
  <c r="W1760" i="1"/>
  <c r="X1760" i="1"/>
  <c r="Y1760" i="1"/>
  <c r="Z1760" i="1"/>
  <c r="AA1760" i="1"/>
  <c r="AB1760" i="1"/>
  <c r="AC1760" i="1"/>
  <c r="AD1760" i="1"/>
  <c r="AE1760" i="1"/>
  <c r="AF1760" i="1"/>
  <c r="AG1760" i="1"/>
  <c r="AH1760" i="1"/>
  <c r="AI1760" i="1"/>
  <c r="AJ1760" i="1"/>
  <c r="AK1760" i="1"/>
  <c r="AL1760" i="1"/>
  <c r="AM1760" i="1"/>
  <c r="A1761" i="1"/>
  <c r="B1761" i="1"/>
  <c r="C1761" i="1"/>
  <c r="D1761" i="1"/>
  <c r="E1761" i="1"/>
  <c r="F1761" i="1"/>
  <c r="G1761" i="1"/>
  <c r="H1761" i="1"/>
  <c r="I1761" i="1"/>
  <c r="J1761" i="1"/>
  <c r="K1761" i="1"/>
  <c r="L1761" i="1"/>
  <c r="M1761" i="1"/>
  <c r="N1761" i="1"/>
  <c r="O1761" i="1"/>
  <c r="P1761" i="1"/>
  <c r="Q1761" i="1"/>
  <c r="R1761" i="1"/>
  <c r="S1761" i="1"/>
  <c r="T1761" i="1"/>
  <c r="U1761" i="1"/>
  <c r="V1761" i="1"/>
  <c r="W1761" i="1"/>
  <c r="X1761" i="1"/>
  <c r="Y1761" i="1"/>
  <c r="Z1761" i="1"/>
  <c r="AA1761" i="1"/>
  <c r="AB1761" i="1"/>
  <c r="AC1761" i="1"/>
  <c r="AD1761" i="1"/>
  <c r="AE1761" i="1"/>
  <c r="AF1761" i="1"/>
  <c r="AG1761" i="1"/>
  <c r="AH1761" i="1"/>
  <c r="AI1761" i="1"/>
  <c r="AJ1761" i="1"/>
  <c r="AK1761" i="1"/>
  <c r="AL1761" i="1"/>
  <c r="AM1761" i="1"/>
  <c r="A1762" i="1"/>
  <c r="B1762" i="1"/>
  <c r="C1762" i="1"/>
  <c r="D1762" i="1"/>
  <c r="E1762" i="1"/>
  <c r="F1762" i="1"/>
  <c r="G1762" i="1"/>
  <c r="H1762" i="1"/>
  <c r="I1762" i="1"/>
  <c r="J1762" i="1"/>
  <c r="K1762" i="1"/>
  <c r="L1762" i="1"/>
  <c r="M1762" i="1"/>
  <c r="N1762" i="1"/>
  <c r="O1762" i="1"/>
  <c r="P1762" i="1"/>
  <c r="Q1762" i="1"/>
  <c r="R1762" i="1"/>
  <c r="S1762" i="1"/>
  <c r="T1762" i="1"/>
  <c r="U1762" i="1"/>
  <c r="V1762" i="1"/>
  <c r="W1762" i="1"/>
  <c r="X1762" i="1"/>
  <c r="Y1762" i="1"/>
  <c r="Z1762" i="1"/>
  <c r="AA1762" i="1"/>
  <c r="AB1762" i="1"/>
  <c r="AC1762" i="1"/>
  <c r="AD1762" i="1"/>
  <c r="AE1762" i="1"/>
  <c r="AF1762" i="1"/>
  <c r="AG1762" i="1"/>
  <c r="AH1762" i="1"/>
  <c r="AI1762" i="1"/>
  <c r="AJ1762" i="1"/>
  <c r="AK1762" i="1"/>
  <c r="AL1762" i="1"/>
  <c r="AM1762" i="1"/>
  <c r="A1763" i="1"/>
  <c r="B1763" i="1"/>
  <c r="C1763" i="1"/>
  <c r="D1763" i="1"/>
  <c r="E1763" i="1"/>
  <c r="F1763" i="1"/>
  <c r="G1763" i="1"/>
  <c r="H1763" i="1"/>
  <c r="I1763" i="1"/>
  <c r="J1763" i="1"/>
  <c r="K1763" i="1"/>
  <c r="L1763" i="1"/>
  <c r="M1763" i="1"/>
  <c r="N1763" i="1"/>
  <c r="O1763" i="1"/>
  <c r="P1763" i="1"/>
  <c r="Q1763" i="1"/>
  <c r="R1763" i="1"/>
  <c r="S1763" i="1"/>
  <c r="T1763" i="1"/>
  <c r="U1763" i="1"/>
  <c r="V1763" i="1"/>
  <c r="W1763" i="1"/>
  <c r="X1763" i="1"/>
  <c r="Y1763" i="1"/>
  <c r="Z1763" i="1"/>
  <c r="AA1763" i="1"/>
  <c r="AB1763" i="1"/>
  <c r="AC1763" i="1"/>
  <c r="AD1763" i="1"/>
  <c r="AE1763" i="1"/>
  <c r="AF1763" i="1"/>
  <c r="AG1763" i="1"/>
  <c r="AH1763" i="1"/>
  <c r="AI1763" i="1"/>
  <c r="AJ1763" i="1"/>
  <c r="AK1763" i="1"/>
  <c r="AL1763" i="1"/>
  <c r="AM1763" i="1"/>
  <c r="A1764" i="1"/>
  <c r="B1764" i="1"/>
  <c r="C1764" i="1"/>
  <c r="D1764" i="1"/>
  <c r="E1764" i="1"/>
  <c r="F1764" i="1"/>
  <c r="G1764" i="1"/>
  <c r="H1764" i="1"/>
  <c r="I1764" i="1"/>
  <c r="J1764" i="1"/>
  <c r="K1764" i="1"/>
  <c r="L1764" i="1"/>
  <c r="M1764" i="1"/>
  <c r="N1764" i="1"/>
  <c r="O1764" i="1"/>
  <c r="P1764" i="1"/>
  <c r="Q1764" i="1"/>
  <c r="R1764" i="1"/>
  <c r="S1764" i="1"/>
  <c r="T1764" i="1"/>
  <c r="U1764" i="1"/>
  <c r="V1764" i="1"/>
  <c r="W1764" i="1"/>
  <c r="X1764" i="1"/>
  <c r="Y1764" i="1"/>
  <c r="Z1764" i="1"/>
  <c r="AA1764" i="1"/>
  <c r="AB1764" i="1"/>
  <c r="AC1764" i="1"/>
  <c r="AD1764" i="1"/>
  <c r="AE1764" i="1"/>
  <c r="AF1764" i="1"/>
  <c r="AG1764" i="1"/>
  <c r="AH1764" i="1"/>
  <c r="AI1764" i="1"/>
  <c r="AJ1764" i="1"/>
  <c r="AK1764" i="1"/>
  <c r="AL1764" i="1"/>
  <c r="AM1764" i="1"/>
  <c r="A1765" i="1"/>
  <c r="B1765" i="1"/>
  <c r="C1765" i="1"/>
  <c r="D1765" i="1"/>
  <c r="E1765" i="1"/>
  <c r="F1765" i="1"/>
  <c r="G1765" i="1"/>
  <c r="H1765" i="1"/>
  <c r="I1765" i="1"/>
  <c r="J1765" i="1"/>
  <c r="K1765" i="1"/>
  <c r="L1765" i="1"/>
  <c r="M1765" i="1"/>
  <c r="N1765" i="1"/>
  <c r="O1765" i="1"/>
  <c r="P1765" i="1"/>
  <c r="Q1765" i="1"/>
  <c r="R1765" i="1"/>
  <c r="S1765" i="1"/>
  <c r="T1765" i="1"/>
  <c r="U1765" i="1"/>
  <c r="V1765" i="1"/>
  <c r="W1765" i="1"/>
  <c r="X1765" i="1"/>
  <c r="Y1765" i="1"/>
  <c r="Z1765" i="1"/>
  <c r="AA1765" i="1"/>
  <c r="AB1765" i="1"/>
  <c r="AC1765" i="1"/>
  <c r="AD1765" i="1"/>
  <c r="AE1765" i="1"/>
  <c r="AF1765" i="1"/>
  <c r="AG1765" i="1"/>
  <c r="AH1765" i="1"/>
  <c r="AI1765" i="1"/>
  <c r="AJ1765" i="1"/>
  <c r="AK1765" i="1"/>
  <c r="AL1765" i="1"/>
  <c r="AM1765" i="1"/>
  <c r="A1766" i="1"/>
  <c r="B1766" i="1"/>
  <c r="C1766" i="1"/>
  <c r="D1766" i="1"/>
  <c r="E1766" i="1"/>
  <c r="F1766" i="1"/>
  <c r="G1766" i="1"/>
  <c r="H1766" i="1"/>
  <c r="I1766" i="1"/>
  <c r="J1766" i="1"/>
  <c r="K1766" i="1"/>
  <c r="L1766" i="1"/>
  <c r="M1766" i="1"/>
  <c r="N1766" i="1"/>
  <c r="O1766" i="1"/>
  <c r="P1766" i="1"/>
  <c r="Q1766" i="1"/>
  <c r="R1766" i="1"/>
  <c r="S1766" i="1"/>
  <c r="T1766" i="1"/>
  <c r="U1766" i="1"/>
  <c r="V1766" i="1"/>
  <c r="W1766" i="1"/>
  <c r="X1766" i="1"/>
  <c r="Y1766" i="1"/>
  <c r="Z1766" i="1"/>
  <c r="AA1766" i="1"/>
  <c r="AB1766" i="1"/>
  <c r="AC1766" i="1"/>
  <c r="AD1766" i="1"/>
  <c r="AE1766" i="1"/>
  <c r="AF1766" i="1"/>
  <c r="AG1766" i="1"/>
  <c r="AH1766" i="1"/>
  <c r="AI1766" i="1"/>
  <c r="AJ1766" i="1"/>
  <c r="AK1766" i="1"/>
  <c r="AL1766" i="1"/>
  <c r="AM1766" i="1"/>
  <c r="A1767" i="1"/>
  <c r="B1767" i="1"/>
  <c r="C1767" i="1"/>
  <c r="D1767" i="1"/>
  <c r="E1767" i="1"/>
  <c r="F1767" i="1"/>
  <c r="G1767" i="1"/>
  <c r="H1767" i="1"/>
  <c r="I1767" i="1"/>
  <c r="J1767" i="1"/>
  <c r="K1767" i="1"/>
  <c r="L1767" i="1"/>
  <c r="M1767" i="1"/>
  <c r="N1767" i="1"/>
  <c r="O1767" i="1"/>
  <c r="P1767" i="1"/>
  <c r="Q1767" i="1"/>
  <c r="R1767" i="1"/>
  <c r="S1767" i="1"/>
  <c r="T1767" i="1"/>
  <c r="U1767" i="1"/>
  <c r="V1767" i="1"/>
  <c r="W1767" i="1"/>
  <c r="X1767" i="1"/>
  <c r="Y1767" i="1"/>
  <c r="Z1767" i="1"/>
  <c r="AA1767" i="1"/>
  <c r="AB1767" i="1"/>
  <c r="AC1767" i="1"/>
  <c r="AD1767" i="1"/>
  <c r="AE1767" i="1"/>
  <c r="AF1767" i="1"/>
  <c r="AG1767" i="1"/>
  <c r="AH1767" i="1"/>
  <c r="AI1767" i="1"/>
  <c r="AJ1767" i="1"/>
  <c r="AK1767" i="1"/>
  <c r="AL1767" i="1"/>
  <c r="AM1767" i="1"/>
  <c r="A1768" i="1"/>
  <c r="B1768" i="1"/>
  <c r="C1768" i="1"/>
  <c r="D1768" i="1"/>
  <c r="E1768" i="1"/>
  <c r="F1768" i="1"/>
  <c r="G1768" i="1"/>
  <c r="H1768" i="1"/>
  <c r="I1768" i="1"/>
  <c r="J1768" i="1"/>
  <c r="K1768" i="1"/>
  <c r="L1768" i="1"/>
  <c r="M1768" i="1"/>
  <c r="N1768" i="1"/>
  <c r="O1768" i="1"/>
  <c r="P1768" i="1"/>
  <c r="Q1768" i="1"/>
  <c r="R1768" i="1"/>
  <c r="S1768" i="1"/>
  <c r="T1768" i="1"/>
  <c r="U1768" i="1"/>
  <c r="V1768" i="1"/>
  <c r="W1768" i="1"/>
  <c r="X1768" i="1"/>
  <c r="Y1768" i="1"/>
  <c r="Z1768" i="1"/>
  <c r="AA1768" i="1"/>
  <c r="AB1768" i="1"/>
  <c r="AC1768" i="1"/>
  <c r="AD1768" i="1"/>
  <c r="AE1768" i="1"/>
  <c r="AF1768" i="1"/>
  <c r="AG1768" i="1"/>
  <c r="AH1768" i="1"/>
  <c r="AI1768" i="1"/>
  <c r="AJ1768" i="1"/>
  <c r="AK1768" i="1"/>
  <c r="AL1768" i="1"/>
  <c r="AM1768" i="1"/>
  <c r="A1769" i="1"/>
  <c r="B1769" i="1"/>
  <c r="C1769" i="1"/>
  <c r="D1769" i="1"/>
  <c r="E1769" i="1"/>
  <c r="F1769" i="1"/>
  <c r="G1769" i="1"/>
  <c r="H1769" i="1"/>
  <c r="I1769" i="1"/>
  <c r="J1769" i="1"/>
  <c r="K1769" i="1"/>
  <c r="L1769" i="1"/>
  <c r="M1769" i="1"/>
  <c r="N1769" i="1"/>
  <c r="O1769" i="1"/>
  <c r="P1769" i="1"/>
  <c r="Q1769" i="1"/>
  <c r="R1769" i="1"/>
  <c r="S1769" i="1"/>
  <c r="T1769" i="1"/>
  <c r="U1769" i="1"/>
  <c r="V1769" i="1"/>
  <c r="W1769" i="1"/>
  <c r="X1769" i="1"/>
  <c r="Y1769" i="1"/>
  <c r="Z1769" i="1"/>
  <c r="AA1769" i="1"/>
  <c r="AB1769" i="1"/>
  <c r="AC1769" i="1"/>
  <c r="AD1769" i="1"/>
  <c r="AE1769" i="1"/>
  <c r="AF1769" i="1"/>
  <c r="AG1769" i="1"/>
  <c r="AH1769" i="1"/>
  <c r="AI1769" i="1"/>
  <c r="AJ1769" i="1"/>
  <c r="AK1769" i="1"/>
  <c r="AL1769" i="1"/>
  <c r="AM1769" i="1"/>
  <c r="A1770" i="1"/>
  <c r="B1770" i="1"/>
  <c r="C1770" i="1"/>
  <c r="D1770" i="1"/>
  <c r="E1770" i="1"/>
  <c r="F1770" i="1"/>
  <c r="G1770" i="1"/>
  <c r="H1770" i="1"/>
  <c r="I1770" i="1"/>
  <c r="J1770" i="1"/>
  <c r="K1770" i="1"/>
  <c r="L1770" i="1"/>
  <c r="M1770" i="1"/>
  <c r="N1770" i="1"/>
  <c r="O1770" i="1"/>
  <c r="P1770" i="1"/>
  <c r="Q1770" i="1"/>
  <c r="R1770" i="1"/>
  <c r="S1770" i="1"/>
  <c r="T1770" i="1"/>
  <c r="U1770" i="1"/>
  <c r="V1770" i="1"/>
  <c r="W1770" i="1"/>
  <c r="X1770" i="1"/>
  <c r="Y1770" i="1"/>
  <c r="Z1770" i="1"/>
  <c r="AA1770" i="1"/>
  <c r="AB1770" i="1"/>
  <c r="AC1770" i="1"/>
  <c r="AD1770" i="1"/>
  <c r="AE1770" i="1"/>
  <c r="AF1770" i="1"/>
  <c r="AG1770" i="1"/>
  <c r="AH1770" i="1"/>
  <c r="AI1770" i="1"/>
  <c r="AJ1770" i="1"/>
  <c r="AK1770" i="1"/>
  <c r="AL1770" i="1"/>
  <c r="AM1770" i="1"/>
  <c r="A1771" i="1"/>
  <c r="B1771" i="1"/>
  <c r="C1771" i="1"/>
  <c r="D1771" i="1"/>
  <c r="E1771" i="1"/>
  <c r="F1771" i="1"/>
  <c r="G1771" i="1"/>
  <c r="H1771" i="1"/>
  <c r="I1771" i="1"/>
  <c r="J1771" i="1"/>
  <c r="K1771" i="1"/>
  <c r="L1771" i="1"/>
  <c r="M1771" i="1"/>
  <c r="N1771" i="1"/>
  <c r="O1771" i="1"/>
  <c r="P1771" i="1"/>
  <c r="Q1771" i="1"/>
  <c r="R1771" i="1"/>
  <c r="S1771" i="1"/>
  <c r="T1771" i="1"/>
  <c r="U1771" i="1"/>
  <c r="V1771" i="1"/>
  <c r="W1771" i="1"/>
  <c r="X1771" i="1"/>
  <c r="Y1771" i="1"/>
  <c r="Z1771" i="1"/>
  <c r="AA1771" i="1"/>
  <c r="AB1771" i="1"/>
  <c r="AC1771" i="1"/>
  <c r="AD1771" i="1"/>
  <c r="AE1771" i="1"/>
  <c r="AF1771" i="1"/>
  <c r="AG1771" i="1"/>
  <c r="AH1771" i="1"/>
  <c r="AI1771" i="1"/>
  <c r="AJ1771" i="1"/>
  <c r="AK1771" i="1"/>
  <c r="AL1771" i="1"/>
  <c r="AM1771" i="1"/>
  <c r="A1772" i="1"/>
  <c r="B1772" i="1"/>
  <c r="C1772" i="1"/>
  <c r="D1772" i="1"/>
  <c r="E1772" i="1"/>
  <c r="F1772" i="1"/>
  <c r="G1772" i="1"/>
  <c r="H1772" i="1"/>
  <c r="I1772" i="1"/>
  <c r="J1772" i="1"/>
  <c r="K1772" i="1"/>
  <c r="L1772" i="1"/>
  <c r="M1772" i="1"/>
  <c r="N1772" i="1"/>
  <c r="O1772" i="1"/>
  <c r="P1772" i="1"/>
  <c r="Q1772" i="1"/>
  <c r="R1772" i="1"/>
  <c r="S1772" i="1"/>
  <c r="T1772" i="1"/>
  <c r="U1772" i="1"/>
  <c r="V1772" i="1"/>
  <c r="W1772" i="1"/>
  <c r="X1772" i="1"/>
  <c r="Y1772" i="1"/>
  <c r="Z1772" i="1"/>
  <c r="AA1772" i="1"/>
  <c r="AB1772" i="1"/>
  <c r="AC1772" i="1"/>
  <c r="AD1772" i="1"/>
  <c r="AE1772" i="1"/>
  <c r="AF1772" i="1"/>
  <c r="AG1772" i="1"/>
  <c r="AH1772" i="1"/>
  <c r="AI1772" i="1"/>
  <c r="AJ1772" i="1"/>
  <c r="AK1772" i="1"/>
  <c r="AL1772" i="1"/>
  <c r="AM1772" i="1"/>
  <c r="A1773" i="1"/>
  <c r="B1773" i="1"/>
  <c r="C1773" i="1"/>
  <c r="D1773" i="1"/>
  <c r="E1773" i="1"/>
  <c r="F1773" i="1"/>
  <c r="G1773" i="1"/>
  <c r="H1773" i="1"/>
  <c r="I1773" i="1"/>
  <c r="J1773" i="1"/>
  <c r="K1773" i="1"/>
  <c r="L1773" i="1"/>
  <c r="M1773" i="1"/>
  <c r="N1773" i="1"/>
  <c r="O1773" i="1"/>
  <c r="P1773" i="1"/>
  <c r="Q1773" i="1"/>
  <c r="R1773" i="1"/>
  <c r="S1773" i="1"/>
  <c r="T1773" i="1"/>
  <c r="U1773" i="1"/>
  <c r="V1773" i="1"/>
  <c r="W1773" i="1"/>
  <c r="X1773" i="1"/>
  <c r="Y1773" i="1"/>
  <c r="Z1773" i="1"/>
  <c r="AA1773" i="1"/>
  <c r="AB1773" i="1"/>
  <c r="AC1773" i="1"/>
  <c r="AD1773" i="1"/>
  <c r="AE1773" i="1"/>
  <c r="AF1773" i="1"/>
  <c r="AG1773" i="1"/>
  <c r="AH1773" i="1"/>
  <c r="AI1773" i="1"/>
  <c r="AJ1773" i="1"/>
  <c r="AK1773" i="1"/>
  <c r="AL1773" i="1"/>
  <c r="AM1773" i="1"/>
  <c r="A1774" i="1"/>
  <c r="B1774" i="1"/>
  <c r="C1774" i="1"/>
  <c r="D1774" i="1"/>
  <c r="E1774" i="1"/>
  <c r="F1774" i="1"/>
  <c r="G1774" i="1"/>
  <c r="H1774" i="1"/>
  <c r="I1774" i="1"/>
  <c r="J1774" i="1"/>
  <c r="K1774" i="1"/>
  <c r="L1774" i="1"/>
  <c r="M1774" i="1"/>
  <c r="N1774" i="1"/>
  <c r="O1774" i="1"/>
  <c r="P1774" i="1"/>
  <c r="Q1774" i="1"/>
  <c r="R1774" i="1"/>
  <c r="S1774" i="1"/>
  <c r="T1774" i="1"/>
  <c r="U1774" i="1"/>
  <c r="V1774" i="1"/>
  <c r="W1774" i="1"/>
  <c r="X1774" i="1"/>
  <c r="Y1774" i="1"/>
  <c r="Z1774" i="1"/>
  <c r="AA1774" i="1"/>
  <c r="AB1774" i="1"/>
  <c r="AC1774" i="1"/>
  <c r="AD1774" i="1"/>
  <c r="AE1774" i="1"/>
  <c r="AF1774" i="1"/>
  <c r="AG1774" i="1"/>
  <c r="AH1774" i="1"/>
  <c r="AI1774" i="1"/>
  <c r="AJ1774" i="1"/>
  <c r="AK1774" i="1"/>
  <c r="AL1774" i="1"/>
  <c r="AM1774" i="1"/>
  <c r="A1775" i="1"/>
  <c r="B1775" i="1"/>
  <c r="C1775" i="1"/>
  <c r="D1775" i="1"/>
  <c r="E1775" i="1"/>
  <c r="F1775" i="1"/>
  <c r="G1775" i="1"/>
  <c r="H1775" i="1"/>
  <c r="I1775" i="1"/>
  <c r="J1775" i="1"/>
  <c r="K1775" i="1"/>
  <c r="L1775" i="1"/>
  <c r="M1775" i="1"/>
  <c r="N1775" i="1"/>
  <c r="O1775" i="1"/>
  <c r="P1775" i="1"/>
  <c r="Q1775" i="1"/>
  <c r="R1775" i="1"/>
  <c r="S1775" i="1"/>
  <c r="T1775" i="1"/>
  <c r="U1775" i="1"/>
  <c r="V1775" i="1"/>
  <c r="W1775" i="1"/>
  <c r="X1775" i="1"/>
  <c r="Y1775" i="1"/>
  <c r="Z1775" i="1"/>
  <c r="AA1775" i="1"/>
  <c r="AB1775" i="1"/>
  <c r="AC1775" i="1"/>
  <c r="AD1775" i="1"/>
  <c r="AE1775" i="1"/>
  <c r="AF1775" i="1"/>
  <c r="AG1775" i="1"/>
  <c r="AH1775" i="1"/>
  <c r="AI1775" i="1"/>
  <c r="AJ1775" i="1"/>
  <c r="AK1775" i="1"/>
  <c r="AL1775" i="1"/>
  <c r="AM1775" i="1"/>
  <c r="A1776" i="1"/>
  <c r="B1776" i="1"/>
  <c r="C1776" i="1"/>
  <c r="D1776" i="1"/>
  <c r="E1776" i="1"/>
  <c r="F1776" i="1"/>
  <c r="G1776" i="1"/>
  <c r="H1776" i="1"/>
  <c r="I1776" i="1"/>
  <c r="J1776" i="1"/>
  <c r="K1776" i="1"/>
  <c r="L1776" i="1"/>
  <c r="M1776" i="1"/>
  <c r="N1776" i="1"/>
  <c r="O1776" i="1"/>
  <c r="P1776" i="1"/>
  <c r="Q1776" i="1"/>
  <c r="R1776" i="1"/>
  <c r="S1776" i="1"/>
  <c r="T1776" i="1"/>
  <c r="U1776" i="1"/>
  <c r="V1776" i="1"/>
  <c r="W1776" i="1"/>
  <c r="X1776" i="1"/>
  <c r="Y1776" i="1"/>
  <c r="Z1776" i="1"/>
  <c r="AA1776" i="1"/>
  <c r="AB1776" i="1"/>
  <c r="AC1776" i="1"/>
  <c r="AD1776" i="1"/>
  <c r="AE1776" i="1"/>
  <c r="AF1776" i="1"/>
  <c r="AG1776" i="1"/>
  <c r="AH1776" i="1"/>
  <c r="AI1776" i="1"/>
  <c r="AJ1776" i="1"/>
  <c r="AK1776" i="1"/>
  <c r="AL1776" i="1"/>
  <c r="AM1776" i="1"/>
  <c r="A1777" i="1"/>
  <c r="B1777" i="1"/>
  <c r="C1777" i="1"/>
  <c r="D1777" i="1"/>
  <c r="E1777" i="1"/>
  <c r="F1777" i="1"/>
  <c r="G1777" i="1"/>
  <c r="H1777" i="1"/>
  <c r="I1777" i="1"/>
  <c r="J1777" i="1"/>
  <c r="K1777" i="1"/>
  <c r="L1777" i="1"/>
  <c r="M1777" i="1"/>
  <c r="N1777" i="1"/>
  <c r="O1777" i="1"/>
  <c r="P1777" i="1"/>
  <c r="Q1777" i="1"/>
  <c r="R1777" i="1"/>
  <c r="S1777" i="1"/>
  <c r="T1777" i="1"/>
  <c r="U1777" i="1"/>
  <c r="V1777" i="1"/>
  <c r="W1777" i="1"/>
  <c r="X1777" i="1"/>
  <c r="Y1777" i="1"/>
  <c r="Z1777" i="1"/>
  <c r="AA1777" i="1"/>
  <c r="AB1777" i="1"/>
  <c r="AC1777" i="1"/>
  <c r="AD1777" i="1"/>
  <c r="AE1777" i="1"/>
  <c r="AF1777" i="1"/>
  <c r="AG1777" i="1"/>
  <c r="AH1777" i="1"/>
  <c r="AI1777" i="1"/>
  <c r="AJ1777" i="1"/>
  <c r="AK1777" i="1"/>
  <c r="AL1777" i="1"/>
  <c r="AM1777" i="1"/>
  <c r="A1778" i="1"/>
  <c r="B1778" i="1"/>
  <c r="C1778" i="1"/>
  <c r="D1778" i="1"/>
  <c r="E1778" i="1"/>
  <c r="F1778" i="1"/>
  <c r="G1778" i="1"/>
  <c r="H1778" i="1"/>
  <c r="I1778" i="1"/>
  <c r="J1778" i="1"/>
  <c r="K1778" i="1"/>
  <c r="L1778" i="1"/>
  <c r="M1778" i="1"/>
  <c r="N1778" i="1"/>
  <c r="O1778" i="1"/>
  <c r="P1778" i="1"/>
  <c r="Q1778" i="1"/>
  <c r="R1778" i="1"/>
  <c r="S1778" i="1"/>
  <c r="T1778" i="1"/>
  <c r="U1778" i="1"/>
  <c r="V1778" i="1"/>
  <c r="W1778" i="1"/>
  <c r="X1778" i="1"/>
  <c r="Y1778" i="1"/>
  <c r="Z1778" i="1"/>
  <c r="AA1778" i="1"/>
  <c r="AB1778" i="1"/>
  <c r="AC1778" i="1"/>
  <c r="AD1778" i="1"/>
  <c r="AE1778" i="1"/>
  <c r="AF1778" i="1"/>
  <c r="AG1778" i="1"/>
  <c r="AH1778" i="1"/>
  <c r="AI1778" i="1"/>
  <c r="AJ1778" i="1"/>
  <c r="AK1778" i="1"/>
  <c r="AL1778" i="1"/>
  <c r="AM1778" i="1"/>
  <c r="A1779" i="1"/>
  <c r="B1779" i="1"/>
  <c r="C1779" i="1"/>
  <c r="D1779" i="1"/>
  <c r="E1779" i="1"/>
  <c r="F1779" i="1"/>
  <c r="G1779" i="1"/>
  <c r="H1779" i="1"/>
  <c r="I1779" i="1"/>
  <c r="J1779" i="1"/>
  <c r="K1779" i="1"/>
  <c r="L1779" i="1"/>
  <c r="M1779" i="1"/>
  <c r="N1779" i="1"/>
  <c r="O1779" i="1"/>
  <c r="P1779" i="1"/>
  <c r="Q1779" i="1"/>
  <c r="R1779" i="1"/>
  <c r="S1779" i="1"/>
  <c r="T1779" i="1"/>
  <c r="U1779" i="1"/>
  <c r="V1779" i="1"/>
  <c r="W1779" i="1"/>
  <c r="X1779" i="1"/>
  <c r="Y1779" i="1"/>
  <c r="Z1779" i="1"/>
  <c r="AA1779" i="1"/>
  <c r="AB1779" i="1"/>
  <c r="AC1779" i="1"/>
  <c r="AD1779" i="1"/>
  <c r="AE1779" i="1"/>
  <c r="AF1779" i="1"/>
  <c r="AG1779" i="1"/>
  <c r="AH1779" i="1"/>
  <c r="AI1779" i="1"/>
  <c r="AJ1779" i="1"/>
  <c r="AK1779" i="1"/>
  <c r="AL1779" i="1"/>
  <c r="AM1779" i="1"/>
  <c r="A1780" i="1"/>
  <c r="B1780" i="1"/>
  <c r="C1780" i="1"/>
  <c r="D1780" i="1"/>
  <c r="E1780" i="1"/>
  <c r="F1780" i="1"/>
  <c r="G1780" i="1"/>
  <c r="H1780" i="1"/>
  <c r="I1780" i="1"/>
  <c r="J1780" i="1"/>
  <c r="K1780" i="1"/>
  <c r="L1780" i="1"/>
  <c r="M1780" i="1"/>
  <c r="N1780" i="1"/>
  <c r="O1780" i="1"/>
  <c r="P1780" i="1"/>
  <c r="Q1780" i="1"/>
  <c r="R1780" i="1"/>
  <c r="S1780" i="1"/>
  <c r="T1780" i="1"/>
  <c r="U1780" i="1"/>
  <c r="V1780" i="1"/>
  <c r="W1780" i="1"/>
  <c r="X1780" i="1"/>
  <c r="Y1780" i="1"/>
  <c r="Z1780" i="1"/>
  <c r="AA1780" i="1"/>
  <c r="AB1780" i="1"/>
  <c r="AC1780" i="1"/>
  <c r="AD1780" i="1"/>
  <c r="AE1780" i="1"/>
  <c r="AF1780" i="1"/>
  <c r="AG1780" i="1"/>
  <c r="AH1780" i="1"/>
  <c r="AI1780" i="1"/>
  <c r="AJ1780" i="1"/>
  <c r="AK1780" i="1"/>
  <c r="AL1780" i="1"/>
  <c r="AM1780" i="1"/>
  <c r="A1781" i="1"/>
  <c r="B1781" i="1"/>
  <c r="C1781" i="1"/>
  <c r="D1781" i="1"/>
  <c r="E1781" i="1"/>
  <c r="F1781" i="1"/>
  <c r="G1781" i="1"/>
  <c r="H1781" i="1"/>
  <c r="I1781" i="1"/>
  <c r="J1781" i="1"/>
  <c r="K1781" i="1"/>
  <c r="L1781" i="1"/>
  <c r="M1781" i="1"/>
  <c r="N1781" i="1"/>
  <c r="O1781" i="1"/>
  <c r="P1781" i="1"/>
  <c r="Q1781" i="1"/>
  <c r="R1781" i="1"/>
  <c r="S1781" i="1"/>
  <c r="T1781" i="1"/>
  <c r="U1781" i="1"/>
  <c r="V1781" i="1"/>
  <c r="W1781" i="1"/>
  <c r="X1781" i="1"/>
  <c r="Y1781" i="1"/>
  <c r="Z1781" i="1"/>
  <c r="AA1781" i="1"/>
  <c r="AB1781" i="1"/>
  <c r="AC1781" i="1"/>
  <c r="AD1781" i="1"/>
  <c r="AE1781" i="1"/>
  <c r="AF1781" i="1"/>
  <c r="AG1781" i="1"/>
  <c r="AH1781" i="1"/>
  <c r="AI1781" i="1"/>
  <c r="AJ1781" i="1"/>
  <c r="AK1781" i="1"/>
  <c r="AL1781" i="1"/>
  <c r="AM1781" i="1"/>
  <c r="A1782" i="1"/>
  <c r="B1782" i="1"/>
  <c r="C1782" i="1"/>
  <c r="D1782" i="1"/>
  <c r="E1782" i="1"/>
  <c r="F1782" i="1"/>
  <c r="G1782" i="1"/>
  <c r="H1782" i="1"/>
  <c r="I1782" i="1"/>
  <c r="J1782" i="1"/>
  <c r="K1782" i="1"/>
  <c r="L1782" i="1"/>
  <c r="M1782" i="1"/>
  <c r="N1782" i="1"/>
  <c r="O1782" i="1"/>
  <c r="P1782" i="1"/>
  <c r="Q1782" i="1"/>
  <c r="R1782" i="1"/>
  <c r="S1782" i="1"/>
  <c r="T1782" i="1"/>
  <c r="U1782" i="1"/>
  <c r="V1782" i="1"/>
  <c r="W1782" i="1"/>
  <c r="X1782" i="1"/>
  <c r="Y1782" i="1"/>
  <c r="Z1782" i="1"/>
  <c r="AA1782" i="1"/>
  <c r="AB1782" i="1"/>
  <c r="AC1782" i="1"/>
  <c r="AD1782" i="1"/>
  <c r="AE1782" i="1"/>
  <c r="AF1782" i="1"/>
  <c r="AG1782" i="1"/>
  <c r="AH1782" i="1"/>
  <c r="AI1782" i="1"/>
  <c r="AJ1782" i="1"/>
  <c r="AK1782" i="1"/>
  <c r="AL1782" i="1"/>
  <c r="AM1782" i="1"/>
  <c r="A1783" i="1"/>
  <c r="B1783" i="1"/>
  <c r="C1783" i="1"/>
  <c r="D1783" i="1"/>
  <c r="E1783" i="1"/>
  <c r="F1783" i="1"/>
  <c r="G1783" i="1"/>
  <c r="H1783" i="1"/>
  <c r="I1783" i="1"/>
  <c r="J1783" i="1"/>
  <c r="K1783" i="1"/>
  <c r="L1783" i="1"/>
  <c r="M1783" i="1"/>
  <c r="N1783" i="1"/>
  <c r="O1783" i="1"/>
  <c r="P1783" i="1"/>
  <c r="Q1783" i="1"/>
  <c r="R1783" i="1"/>
  <c r="S1783" i="1"/>
  <c r="T1783" i="1"/>
  <c r="U1783" i="1"/>
  <c r="V1783" i="1"/>
  <c r="W1783" i="1"/>
  <c r="X1783" i="1"/>
  <c r="Y1783" i="1"/>
  <c r="Z1783" i="1"/>
  <c r="AA1783" i="1"/>
  <c r="AB1783" i="1"/>
  <c r="AC1783" i="1"/>
  <c r="AD1783" i="1"/>
  <c r="AE1783" i="1"/>
  <c r="AF1783" i="1"/>
  <c r="AG1783" i="1"/>
  <c r="AH1783" i="1"/>
  <c r="AI1783" i="1"/>
  <c r="AJ1783" i="1"/>
  <c r="AK1783" i="1"/>
  <c r="AL1783" i="1"/>
  <c r="AM1783" i="1"/>
  <c r="A1784" i="1"/>
  <c r="B1784" i="1"/>
  <c r="C1784" i="1"/>
  <c r="D1784" i="1"/>
  <c r="E1784" i="1"/>
  <c r="F1784" i="1"/>
  <c r="G1784" i="1"/>
  <c r="H1784" i="1"/>
  <c r="I1784" i="1"/>
  <c r="J1784" i="1"/>
  <c r="K1784" i="1"/>
  <c r="L1784" i="1"/>
  <c r="M1784" i="1"/>
  <c r="N1784" i="1"/>
  <c r="O1784" i="1"/>
  <c r="P1784" i="1"/>
  <c r="Q1784" i="1"/>
  <c r="R1784" i="1"/>
  <c r="S1784" i="1"/>
  <c r="T1784" i="1"/>
  <c r="U1784" i="1"/>
  <c r="V1784" i="1"/>
  <c r="W1784" i="1"/>
  <c r="X1784" i="1"/>
  <c r="Y1784" i="1"/>
  <c r="Z1784" i="1"/>
  <c r="AA1784" i="1"/>
  <c r="AB1784" i="1"/>
  <c r="AC1784" i="1"/>
  <c r="AD1784" i="1"/>
  <c r="AE1784" i="1"/>
  <c r="AF1784" i="1"/>
  <c r="AG1784" i="1"/>
  <c r="AH1784" i="1"/>
  <c r="AI1784" i="1"/>
  <c r="AJ1784" i="1"/>
  <c r="AK1784" i="1"/>
  <c r="AL1784" i="1"/>
  <c r="AM1784" i="1"/>
  <c r="A1785" i="1"/>
  <c r="B1785" i="1"/>
  <c r="C1785" i="1"/>
  <c r="D1785" i="1"/>
  <c r="E1785" i="1"/>
  <c r="F1785" i="1"/>
  <c r="G1785" i="1"/>
  <c r="H1785" i="1"/>
  <c r="I1785" i="1"/>
  <c r="J1785" i="1"/>
  <c r="K1785" i="1"/>
  <c r="L1785" i="1"/>
  <c r="M1785" i="1"/>
  <c r="N1785" i="1"/>
  <c r="O1785" i="1"/>
  <c r="P1785" i="1"/>
  <c r="Q1785" i="1"/>
  <c r="R1785" i="1"/>
  <c r="S1785" i="1"/>
  <c r="T1785" i="1"/>
  <c r="U1785" i="1"/>
  <c r="V1785" i="1"/>
  <c r="W1785" i="1"/>
  <c r="X1785" i="1"/>
  <c r="Y1785" i="1"/>
  <c r="Z1785" i="1"/>
  <c r="AA1785" i="1"/>
  <c r="AB1785" i="1"/>
  <c r="AC1785" i="1"/>
  <c r="AD1785" i="1"/>
  <c r="AE1785" i="1"/>
  <c r="AF1785" i="1"/>
  <c r="AG1785" i="1"/>
  <c r="AH1785" i="1"/>
  <c r="AI1785" i="1"/>
  <c r="AJ1785" i="1"/>
  <c r="AK1785" i="1"/>
  <c r="AL1785" i="1"/>
  <c r="AM1785" i="1"/>
  <c r="A1786" i="1"/>
  <c r="B1786" i="1"/>
  <c r="C1786" i="1"/>
  <c r="D1786" i="1"/>
  <c r="E1786" i="1"/>
  <c r="F1786" i="1"/>
  <c r="G1786" i="1"/>
  <c r="H1786" i="1"/>
  <c r="I1786" i="1"/>
  <c r="J1786" i="1"/>
  <c r="K1786" i="1"/>
  <c r="L1786" i="1"/>
  <c r="M1786" i="1"/>
  <c r="N1786" i="1"/>
  <c r="O1786" i="1"/>
  <c r="P1786" i="1"/>
  <c r="Q1786" i="1"/>
  <c r="R1786" i="1"/>
  <c r="S1786" i="1"/>
  <c r="T1786" i="1"/>
  <c r="U1786" i="1"/>
  <c r="V1786" i="1"/>
  <c r="W1786" i="1"/>
  <c r="X1786" i="1"/>
  <c r="Y1786" i="1"/>
  <c r="Z1786" i="1"/>
  <c r="AA1786" i="1"/>
  <c r="AB1786" i="1"/>
  <c r="AC1786" i="1"/>
  <c r="AD1786" i="1"/>
  <c r="AE1786" i="1"/>
  <c r="AF1786" i="1"/>
  <c r="AG1786" i="1"/>
  <c r="AH1786" i="1"/>
  <c r="AI1786" i="1"/>
  <c r="AJ1786" i="1"/>
  <c r="AK1786" i="1"/>
  <c r="AL1786" i="1"/>
  <c r="AM1786" i="1"/>
  <c r="A1787" i="1"/>
  <c r="B1787" i="1"/>
  <c r="C1787" i="1"/>
  <c r="D1787" i="1"/>
  <c r="E1787" i="1"/>
  <c r="F1787" i="1"/>
  <c r="G1787" i="1"/>
  <c r="H1787" i="1"/>
  <c r="I1787" i="1"/>
  <c r="J1787" i="1"/>
  <c r="K1787" i="1"/>
  <c r="L1787" i="1"/>
  <c r="M1787" i="1"/>
  <c r="N1787" i="1"/>
  <c r="O1787" i="1"/>
  <c r="P1787" i="1"/>
  <c r="Q1787" i="1"/>
  <c r="R1787" i="1"/>
  <c r="S1787" i="1"/>
  <c r="T1787" i="1"/>
  <c r="U1787" i="1"/>
  <c r="V1787" i="1"/>
  <c r="W1787" i="1"/>
  <c r="X1787" i="1"/>
  <c r="Y1787" i="1"/>
  <c r="Z1787" i="1"/>
  <c r="AA1787" i="1"/>
  <c r="AB1787" i="1"/>
  <c r="AC1787" i="1"/>
  <c r="AD1787" i="1"/>
  <c r="AE1787" i="1"/>
  <c r="AF1787" i="1"/>
  <c r="AG1787" i="1"/>
  <c r="AH1787" i="1"/>
  <c r="AI1787" i="1"/>
  <c r="AJ1787" i="1"/>
  <c r="AK1787" i="1"/>
  <c r="AL1787" i="1"/>
  <c r="AM1787" i="1"/>
  <c r="A1788" i="1"/>
  <c r="B1788" i="1"/>
  <c r="C1788" i="1"/>
  <c r="D1788" i="1"/>
  <c r="E1788" i="1"/>
  <c r="F1788" i="1"/>
  <c r="G1788" i="1"/>
  <c r="H1788" i="1"/>
  <c r="I1788" i="1"/>
  <c r="J1788" i="1"/>
  <c r="K1788" i="1"/>
  <c r="L1788" i="1"/>
  <c r="M1788" i="1"/>
  <c r="N1788" i="1"/>
  <c r="O1788" i="1"/>
  <c r="P1788" i="1"/>
  <c r="Q1788" i="1"/>
  <c r="R1788" i="1"/>
  <c r="S1788" i="1"/>
  <c r="T1788" i="1"/>
  <c r="U1788" i="1"/>
  <c r="V1788" i="1"/>
  <c r="W1788" i="1"/>
  <c r="X1788" i="1"/>
  <c r="Y1788" i="1"/>
  <c r="Z1788" i="1"/>
  <c r="AA1788" i="1"/>
  <c r="AB1788" i="1"/>
  <c r="AC1788" i="1"/>
  <c r="AD1788" i="1"/>
  <c r="AE1788" i="1"/>
  <c r="AF1788" i="1"/>
  <c r="AG1788" i="1"/>
  <c r="AH1788" i="1"/>
  <c r="AI1788" i="1"/>
  <c r="AJ1788" i="1"/>
  <c r="AK1788" i="1"/>
  <c r="AL1788" i="1"/>
  <c r="AM1788" i="1"/>
  <c r="A1789" i="1"/>
  <c r="B1789" i="1"/>
  <c r="C1789" i="1"/>
  <c r="D1789" i="1"/>
  <c r="E1789" i="1"/>
  <c r="F1789" i="1"/>
  <c r="G1789" i="1"/>
  <c r="H1789" i="1"/>
  <c r="I1789" i="1"/>
  <c r="J1789" i="1"/>
  <c r="K1789" i="1"/>
  <c r="L1789" i="1"/>
  <c r="M1789" i="1"/>
  <c r="N1789" i="1"/>
  <c r="O1789" i="1"/>
  <c r="P1789" i="1"/>
  <c r="Q1789" i="1"/>
  <c r="R1789" i="1"/>
  <c r="S1789" i="1"/>
  <c r="T1789" i="1"/>
  <c r="U1789" i="1"/>
  <c r="V1789" i="1"/>
  <c r="W1789" i="1"/>
  <c r="X1789" i="1"/>
  <c r="Y1789" i="1"/>
  <c r="Z1789" i="1"/>
  <c r="AA1789" i="1"/>
  <c r="AB1789" i="1"/>
  <c r="AC1789" i="1"/>
  <c r="AD1789" i="1"/>
  <c r="AE1789" i="1"/>
  <c r="AF1789" i="1"/>
  <c r="AG1789" i="1"/>
  <c r="AH1789" i="1"/>
  <c r="AI1789" i="1"/>
  <c r="AJ1789" i="1"/>
  <c r="AK1789" i="1"/>
  <c r="AL1789" i="1"/>
  <c r="AM1789" i="1"/>
  <c r="A1790" i="1"/>
  <c r="B1790" i="1"/>
  <c r="C1790" i="1"/>
  <c r="D1790" i="1"/>
  <c r="E1790" i="1"/>
  <c r="F1790" i="1"/>
  <c r="G1790" i="1"/>
  <c r="H1790" i="1"/>
  <c r="I1790" i="1"/>
  <c r="J1790" i="1"/>
  <c r="K1790" i="1"/>
  <c r="L1790" i="1"/>
  <c r="M1790" i="1"/>
  <c r="N1790" i="1"/>
  <c r="O1790" i="1"/>
  <c r="P1790" i="1"/>
  <c r="Q1790" i="1"/>
  <c r="R1790" i="1"/>
  <c r="S1790" i="1"/>
  <c r="T1790" i="1"/>
  <c r="U1790" i="1"/>
  <c r="V1790" i="1"/>
  <c r="W1790" i="1"/>
  <c r="X1790" i="1"/>
  <c r="Y1790" i="1"/>
  <c r="Z1790" i="1"/>
  <c r="AA1790" i="1"/>
  <c r="AB1790" i="1"/>
  <c r="AC1790" i="1"/>
  <c r="AD1790" i="1"/>
  <c r="AE1790" i="1"/>
  <c r="AF1790" i="1"/>
  <c r="AG1790" i="1"/>
  <c r="AH1790" i="1"/>
  <c r="AI1790" i="1"/>
  <c r="AJ1790" i="1"/>
  <c r="AK1790" i="1"/>
  <c r="AL1790" i="1"/>
  <c r="AM1790" i="1"/>
  <c r="A1791" i="1"/>
  <c r="B1791" i="1"/>
  <c r="C1791" i="1"/>
  <c r="D1791" i="1"/>
  <c r="E1791" i="1"/>
  <c r="F1791" i="1"/>
  <c r="G1791" i="1"/>
  <c r="H1791" i="1"/>
  <c r="I1791" i="1"/>
  <c r="J1791" i="1"/>
  <c r="K1791" i="1"/>
  <c r="L1791" i="1"/>
  <c r="M1791" i="1"/>
  <c r="N1791" i="1"/>
  <c r="O1791" i="1"/>
  <c r="P1791" i="1"/>
  <c r="Q1791" i="1"/>
  <c r="R1791" i="1"/>
  <c r="S1791" i="1"/>
  <c r="T1791" i="1"/>
  <c r="U1791" i="1"/>
  <c r="V1791" i="1"/>
  <c r="W1791" i="1"/>
  <c r="X1791" i="1"/>
  <c r="Y1791" i="1"/>
  <c r="Z1791" i="1"/>
  <c r="AA1791" i="1"/>
  <c r="AB1791" i="1"/>
  <c r="AC1791" i="1"/>
  <c r="AD1791" i="1"/>
  <c r="AE1791" i="1"/>
  <c r="AF1791" i="1"/>
  <c r="AG1791" i="1"/>
  <c r="AH1791" i="1"/>
  <c r="AI1791" i="1"/>
  <c r="AJ1791" i="1"/>
  <c r="AK1791" i="1"/>
  <c r="AL1791" i="1"/>
  <c r="AM1791" i="1"/>
  <c r="A1792" i="1"/>
  <c r="B1792" i="1"/>
  <c r="C1792" i="1"/>
  <c r="D1792" i="1"/>
  <c r="E1792" i="1"/>
  <c r="F1792" i="1"/>
  <c r="G1792" i="1"/>
  <c r="H1792" i="1"/>
  <c r="I1792" i="1"/>
  <c r="J1792" i="1"/>
  <c r="K1792" i="1"/>
  <c r="L1792" i="1"/>
  <c r="M1792" i="1"/>
  <c r="N1792" i="1"/>
  <c r="O1792" i="1"/>
  <c r="P1792" i="1"/>
  <c r="Q1792" i="1"/>
  <c r="R1792" i="1"/>
  <c r="S1792" i="1"/>
  <c r="T1792" i="1"/>
  <c r="U1792" i="1"/>
  <c r="V1792" i="1"/>
  <c r="W1792" i="1"/>
  <c r="X1792" i="1"/>
  <c r="Y1792" i="1"/>
  <c r="Z1792" i="1"/>
  <c r="AA1792" i="1"/>
  <c r="AB1792" i="1"/>
  <c r="AC1792" i="1"/>
  <c r="AD1792" i="1"/>
  <c r="AE1792" i="1"/>
  <c r="AF1792" i="1"/>
  <c r="AG1792" i="1"/>
  <c r="AH1792" i="1"/>
  <c r="AI1792" i="1"/>
  <c r="AJ1792" i="1"/>
  <c r="AK1792" i="1"/>
  <c r="AL1792" i="1"/>
  <c r="AM1792" i="1"/>
  <c r="A1793" i="1"/>
  <c r="B1793" i="1"/>
  <c r="C1793" i="1"/>
  <c r="D1793" i="1"/>
  <c r="E1793" i="1"/>
  <c r="F1793" i="1"/>
  <c r="G1793" i="1"/>
  <c r="H1793" i="1"/>
  <c r="I1793" i="1"/>
  <c r="J1793" i="1"/>
  <c r="K1793" i="1"/>
  <c r="L1793" i="1"/>
  <c r="M1793" i="1"/>
  <c r="N1793" i="1"/>
  <c r="O1793" i="1"/>
  <c r="P1793" i="1"/>
  <c r="Q1793" i="1"/>
  <c r="R1793" i="1"/>
  <c r="S1793" i="1"/>
  <c r="T1793" i="1"/>
  <c r="U1793" i="1"/>
  <c r="V1793" i="1"/>
  <c r="W1793" i="1"/>
  <c r="X1793" i="1"/>
  <c r="Y1793" i="1"/>
  <c r="Z1793" i="1"/>
  <c r="AA1793" i="1"/>
  <c r="AB1793" i="1"/>
  <c r="AC1793" i="1"/>
  <c r="AD1793" i="1"/>
  <c r="AE1793" i="1"/>
  <c r="AF1793" i="1"/>
  <c r="AG1793" i="1"/>
  <c r="AH1793" i="1"/>
  <c r="AI1793" i="1"/>
  <c r="AJ1793" i="1"/>
  <c r="AK1793" i="1"/>
  <c r="AL1793" i="1"/>
  <c r="AM1793" i="1"/>
  <c r="A1794" i="1"/>
  <c r="B1794" i="1"/>
  <c r="C1794" i="1"/>
  <c r="D1794" i="1"/>
  <c r="E1794" i="1"/>
  <c r="F1794" i="1"/>
  <c r="G1794" i="1"/>
  <c r="H1794" i="1"/>
  <c r="I1794" i="1"/>
  <c r="J1794" i="1"/>
  <c r="K1794" i="1"/>
  <c r="L1794" i="1"/>
  <c r="M1794" i="1"/>
  <c r="N1794" i="1"/>
  <c r="O1794" i="1"/>
  <c r="P1794" i="1"/>
  <c r="Q1794" i="1"/>
  <c r="R1794" i="1"/>
  <c r="S1794" i="1"/>
  <c r="T1794" i="1"/>
  <c r="U1794" i="1"/>
  <c r="V1794" i="1"/>
  <c r="W1794" i="1"/>
  <c r="X1794" i="1"/>
  <c r="Y1794" i="1"/>
  <c r="Z1794" i="1"/>
  <c r="AA1794" i="1"/>
  <c r="AB1794" i="1"/>
  <c r="AC1794" i="1"/>
  <c r="AD1794" i="1"/>
  <c r="AE1794" i="1"/>
  <c r="AF1794" i="1"/>
  <c r="AG1794" i="1"/>
  <c r="AH1794" i="1"/>
  <c r="AI1794" i="1"/>
  <c r="AJ1794" i="1"/>
  <c r="AK1794" i="1"/>
  <c r="AL1794" i="1"/>
  <c r="AM1794" i="1"/>
  <c r="A1795" i="1"/>
  <c r="B1795" i="1"/>
  <c r="C1795" i="1"/>
  <c r="D1795" i="1"/>
  <c r="E1795" i="1"/>
  <c r="F1795" i="1"/>
  <c r="G1795" i="1"/>
  <c r="H1795" i="1"/>
  <c r="I1795" i="1"/>
  <c r="J1795" i="1"/>
  <c r="K1795" i="1"/>
  <c r="L1795" i="1"/>
  <c r="M1795" i="1"/>
  <c r="N1795" i="1"/>
  <c r="O1795" i="1"/>
  <c r="P1795" i="1"/>
  <c r="Q1795" i="1"/>
  <c r="R1795" i="1"/>
  <c r="S1795" i="1"/>
  <c r="T1795" i="1"/>
  <c r="U1795" i="1"/>
  <c r="V1795" i="1"/>
  <c r="W1795" i="1"/>
  <c r="X1795" i="1"/>
  <c r="Y1795" i="1"/>
  <c r="Z1795" i="1"/>
  <c r="AA1795" i="1"/>
  <c r="AB1795" i="1"/>
  <c r="AC1795" i="1"/>
  <c r="AD1795" i="1"/>
  <c r="AE1795" i="1"/>
  <c r="AF1795" i="1"/>
  <c r="AG1795" i="1"/>
  <c r="AH1795" i="1"/>
  <c r="AI1795" i="1"/>
  <c r="AJ1795" i="1"/>
  <c r="AK1795" i="1"/>
  <c r="AL1795" i="1"/>
  <c r="AM1795" i="1"/>
  <c r="A1796" i="1"/>
  <c r="B1796" i="1"/>
  <c r="C1796" i="1"/>
  <c r="D1796" i="1"/>
  <c r="E1796" i="1"/>
  <c r="F1796" i="1"/>
  <c r="G1796" i="1"/>
  <c r="H1796" i="1"/>
  <c r="I1796" i="1"/>
  <c r="J1796" i="1"/>
  <c r="K1796" i="1"/>
  <c r="L1796" i="1"/>
  <c r="M1796" i="1"/>
  <c r="N1796" i="1"/>
  <c r="O1796" i="1"/>
  <c r="P1796" i="1"/>
  <c r="Q1796" i="1"/>
  <c r="R1796" i="1"/>
  <c r="S1796" i="1"/>
  <c r="T1796" i="1"/>
  <c r="U1796" i="1"/>
  <c r="V1796" i="1"/>
  <c r="W1796" i="1"/>
  <c r="X1796" i="1"/>
  <c r="Y1796" i="1"/>
  <c r="Z1796" i="1"/>
  <c r="AA1796" i="1"/>
  <c r="AB1796" i="1"/>
  <c r="AC1796" i="1"/>
  <c r="AD1796" i="1"/>
  <c r="AE1796" i="1"/>
  <c r="AF1796" i="1"/>
  <c r="AG1796" i="1"/>
  <c r="AH1796" i="1"/>
  <c r="AI1796" i="1"/>
  <c r="AJ1796" i="1"/>
  <c r="AK1796" i="1"/>
  <c r="AL1796" i="1"/>
  <c r="AM1796" i="1"/>
  <c r="A1797" i="1"/>
  <c r="B1797" i="1"/>
  <c r="C1797" i="1"/>
  <c r="D1797" i="1"/>
  <c r="E1797" i="1"/>
  <c r="F1797" i="1"/>
  <c r="G1797" i="1"/>
  <c r="H1797" i="1"/>
  <c r="I1797" i="1"/>
  <c r="J1797" i="1"/>
  <c r="K1797" i="1"/>
  <c r="L1797" i="1"/>
  <c r="M1797" i="1"/>
  <c r="N1797" i="1"/>
  <c r="O1797" i="1"/>
  <c r="P1797" i="1"/>
  <c r="Q1797" i="1"/>
  <c r="R1797" i="1"/>
  <c r="S1797" i="1"/>
  <c r="T1797" i="1"/>
  <c r="U1797" i="1"/>
  <c r="V1797" i="1"/>
  <c r="W1797" i="1"/>
  <c r="X1797" i="1"/>
  <c r="Y1797" i="1"/>
  <c r="Z1797" i="1"/>
  <c r="AA1797" i="1"/>
  <c r="AB1797" i="1"/>
  <c r="AC1797" i="1"/>
  <c r="AD1797" i="1"/>
  <c r="AE1797" i="1"/>
  <c r="AF1797" i="1"/>
  <c r="AG1797" i="1"/>
  <c r="AH1797" i="1"/>
  <c r="AI1797" i="1"/>
  <c r="AJ1797" i="1"/>
  <c r="AK1797" i="1"/>
  <c r="AL1797" i="1"/>
  <c r="AM1797" i="1"/>
  <c r="A1798" i="1"/>
  <c r="B1798" i="1"/>
  <c r="C1798" i="1"/>
  <c r="D1798" i="1"/>
  <c r="E1798" i="1"/>
  <c r="F1798" i="1"/>
  <c r="G1798" i="1"/>
  <c r="H1798" i="1"/>
  <c r="I1798" i="1"/>
  <c r="J1798" i="1"/>
  <c r="K1798" i="1"/>
  <c r="L1798" i="1"/>
  <c r="M1798" i="1"/>
  <c r="N1798" i="1"/>
  <c r="O1798" i="1"/>
  <c r="P1798" i="1"/>
  <c r="Q1798" i="1"/>
  <c r="R1798" i="1"/>
  <c r="S1798" i="1"/>
  <c r="T1798" i="1"/>
  <c r="U1798" i="1"/>
  <c r="V1798" i="1"/>
  <c r="W1798" i="1"/>
  <c r="X1798" i="1"/>
  <c r="Y1798" i="1"/>
  <c r="Z1798" i="1"/>
  <c r="AA1798" i="1"/>
  <c r="AB1798" i="1"/>
  <c r="AC1798" i="1"/>
  <c r="AD1798" i="1"/>
  <c r="AE1798" i="1"/>
  <c r="AF1798" i="1"/>
  <c r="AG1798" i="1"/>
  <c r="AH1798" i="1"/>
  <c r="AI1798" i="1"/>
  <c r="AJ1798" i="1"/>
  <c r="AK1798" i="1"/>
  <c r="AL1798" i="1"/>
  <c r="AM1798" i="1"/>
  <c r="A1799" i="1"/>
  <c r="B1799" i="1"/>
  <c r="C1799" i="1"/>
  <c r="D1799" i="1"/>
  <c r="E1799" i="1"/>
  <c r="F1799" i="1"/>
  <c r="G1799" i="1"/>
  <c r="H1799" i="1"/>
  <c r="I1799" i="1"/>
  <c r="J1799" i="1"/>
  <c r="K1799" i="1"/>
  <c r="L1799" i="1"/>
  <c r="M1799" i="1"/>
  <c r="N1799" i="1"/>
  <c r="O1799" i="1"/>
  <c r="P1799" i="1"/>
  <c r="Q1799" i="1"/>
  <c r="R1799" i="1"/>
  <c r="S1799" i="1"/>
  <c r="T1799" i="1"/>
  <c r="U1799" i="1"/>
  <c r="V1799" i="1"/>
  <c r="W1799" i="1"/>
  <c r="X1799" i="1"/>
  <c r="Y1799" i="1"/>
  <c r="Z1799" i="1"/>
  <c r="AA1799" i="1"/>
  <c r="AB1799" i="1"/>
  <c r="AC1799" i="1"/>
  <c r="AD1799" i="1"/>
  <c r="AE1799" i="1"/>
  <c r="AF1799" i="1"/>
  <c r="AG1799" i="1"/>
  <c r="AH1799" i="1"/>
  <c r="AI1799" i="1"/>
  <c r="AJ1799" i="1"/>
  <c r="AK1799" i="1"/>
  <c r="AL1799" i="1"/>
  <c r="AM1799" i="1"/>
  <c r="A1800" i="1"/>
  <c r="B1800" i="1"/>
  <c r="C1800" i="1"/>
  <c r="D1800" i="1"/>
  <c r="E1800" i="1"/>
  <c r="F1800" i="1"/>
  <c r="G1800" i="1"/>
  <c r="H1800" i="1"/>
  <c r="I1800" i="1"/>
  <c r="J1800" i="1"/>
  <c r="K1800" i="1"/>
  <c r="L1800" i="1"/>
  <c r="M1800" i="1"/>
  <c r="N1800" i="1"/>
  <c r="O1800" i="1"/>
  <c r="P1800" i="1"/>
  <c r="Q1800" i="1"/>
  <c r="R1800" i="1"/>
  <c r="S1800" i="1"/>
  <c r="T1800" i="1"/>
  <c r="U1800" i="1"/>
  <c r="V1800" i="1"/>
  <c r="W1800" i="1"/>
  <c r="X1800" i="1"/>
  <c r="Y1800" i="1"/>
  <c r="Z1800" i="1"/>
  <c r="AA1800" i="1"/>
  <c r="AB1800" i="1"/>
  <c r="AC1800" i="1"/>
  <c r="AD1800" i="1"/>
  <c r="AE1800" i="1"/>
  <c r="AF1800" i="1"/>
  <c r="AG1800" i="1"/>
  <c r="AH1800" i="1"/>
  <c r="AI1800" i="1"/>
  <c r="AJ1800" i="1"/>
  <c r="AK1800" i="1"/>
  <c r="AL1800" i="1"/>
  <c r="AM1800" i="1"/>
  <c r="A1801" i="1"/>
  <c r="B1801" i="1"/>
  <c r="C1801" i="1"/>
  <c r="D1801" i="1"/>
  <c r="E1801" i="1"/>
  <c r="F1801" i="1"/>
  <c r="G1801" i="1"/>
  <c r="H1801" i="1"/>
  <c r="I1801" i="1"/>
  <c r="J1801" i="1"/>
  <c r="K1801" i="1"/>
  <c r="L1801" i="1"/>
  <c r="M1801" i="1"/>
  <c r="N1801" i="1"/>
  <c r="O1801" i="1"/>
  <c r="P1801" i="1"/>
  <c r="Q1801" i="1"/>
  <c r="R1801" i="1"/>
  <c r="S1801" i="1"/>
  <c r="T1801" i="1"/>
  <c r="U1801" i="1"/>
  <c r="V1801" i="1"/>
  <c r="W1801" i="1"/>
  <c r="X1801" i="1"/>
  <c r="Y1801" i="1"/>
  <c r="Z1801" i="1"/>
  <c r="AA1801" i="1"/>
  <c r="AB1801" i="1"/>
  <c r="AC1801" i="1"/>
  <c r="AD1801" i="1"/>
  <c r="AE1801" i="1"/>
  <c r="AF1801" i="1"/>
  <c r="AG1801" i="1"/>
  <c r="AH1801" i="1"/>
  <c r="AI1801" i="1"/>
  <c r="AJ1801" i="1"/>
  <c r="AK1801" i="1"/>
  <c r="AL1801" i="1"/>
  <c r="AM1801" i="1"/>
  <c r="A1802" i="1"/>
  <c r="B1802" i="1"/>
  <c r="C1802" i="1"/>
  <c r="D1802" i="1"/>
  <c r="E1802" i="1"/>
  <c r="F1802" i="1"/>
  <c r="G1802" i="1"/>
  <c r="H1802" i="1"/>
  <c r="I1802" i="1"/>
  <c r="J1802" i="1"/>
  <c r="K1802" i="1"/>
  <c r="L1802" i="1"/>
  <c r="M1802" i="1"/>
  <c r="N1802" i="1"/>
  <c r="O1802" i="1"/>
  <c r="P1802" i="1"/>
  <c r="Q1802" i="1"/>
  <c r="R1802" i="1"/>
  <c r="S1802" i="1"/>
  <c r="T1802" i="1"/>
  <c r="U1802" i="1"/>
  <c r="V1802" i="1"/>
  <c r="W1802" i="1"/>
  <c r="X1802" i="1"/>
  <c r="Y1802" i="1"/>
  <c r="Z1802" i="1"/>
  <c r="AA1802" i="1"/>
  <c r="AB1802" i="1"/>
  <c r="AC1802" i="1"/>
  <c r="AD1802" i="1"/>
  <c r="AE1802" i="1"/>
  <c r="AF1802" i="1"/>
  <c r="AG1802" i="1"/>
  <c r="AH1802" i="1"/>
  <c r="AI1802" i="1"/>
  <c r="AJ1802" i="1"/>
  <c r="AK1802" i="1"/>
  <c r="AL1802" i="1"/>
  <c r="AM1802" i="1"/>
  <c r="A1803" i="1"/>
  <c r="B1803" i="1"/>
  <c r="C1803" i="1"/>
  <c r="D1803" i="1"/>
  <c r="E1803" i="1"/>
  <c r="F1803" i="1"/>
  <c r="G1803" i="1"/>
  <c r="H1803" i="1"/>
  <c r="I1803" i="1"/>
  <c r="J1803" i="1"/>
  <c r="K1803" i="1"/>
  <c r="L1803" i="1"/>
  <c r="M1803" i="1"/>
  <c r="N1803" i="1"/>
  <c r="O1803" i="1"/>
  <c r="P1803" i="1"/>
  <c r="Q1803" i="1"/>
  <c r="R1803" i="1"/>
  <c r="S1803" i="1"/>
  <c r="T1803" i="1"/>
  <c r="U1803" i="1"/>
  <c r="V1803" i="1"/>
  <c r="W1803" i="1"/>
  <c r="X1803" i="1"/>
  <c r="Y1803" i="1"/>
  <c r="Z1803" i="1"/>
  <c r="AA1803" i="1"/>
  <c r="AB1803" i="1"/>
  <c r="AC1803" i="1"/>
  <c r="AD1803" i="1"/>
  <c r="AE1803" i="1"/>
  <c r="AF1803" i="1"/>
  <c r="AG1803" i="1"/>
  <c r="AH1803" i="1"/>
  <c r="AI1803" i="1"/>
  <c r="AJ1803" i="1"/>
  <c r="AK1803" i="1"/>
  <c r="AL1803" i="1"/>
  <c r="AM1803" i="1"/>
  <c r="A1804" i="1"/>
  <c r="B1804" i="1"/>
  <c r="C1804" i="1"/>
  <c r="D1804" i="1"/>
  <c r="E1804" i="1"/>
  <c r="F1804" i="1"/>
  <c r="G1804" i="1"/>
  <c r="H1804" i="1"/>
  <c r="I1804" i="1"/>
  <c r="J1804" i="1"/>
  <c r="K1804" i="1"/>
  <c r="L1804" i="1"/>
  <c r="M1804" i="1"/>
  <c r="N1804" i="1"/>
  <c r="O1804" i="1"/>
  <c r="P1804" i="1"/>
  <c r="Q1804" i="1"/>
  <c r="R1804" i="1"/>
  <c r="S1804" i="1"/>
  <c r="T1804" i="1"/>
  <c r="U1804" i="1"/>
  <c r="V1804" i="1"/>
  <c r="W1804" i="1"/>
  <c r="X1804" i="1"/>
  <c r="Y1804" i="1"/>
  <c r="Z1804" i="1"/>
  <c r="AA1804" i="1"/>
  <c r="AB1804" i="1"/>
  <c r="AC1804" i="1"/>
  <c r="AD1804" i="1"/>
  <c r="AE1804" i="1"/>
  <c r="AF1804" i="1"/>
  <c r="AG1804" i="1"/>
  <c r="AH1804" i="1"/>
  <c r="AI1804" i="1"/>
  <c r="AJ1804" i="1"/>
  <c r="AK1804" i="1"/>
  <c r="AL1804" i="1"/>
  <c r="AM1804" i="1"/>
  <c r="A1805" i="1"/>
  <c r="B1805" i="1"/>
  <c r="C1805" i="1"/>
  <c r="D1805" i="1"/>
  <c r="E1805" i="1"/>
  <c r="F1805" i="1"/>
  <c r="G1805" i="1"/>
  <c r="H1805" i="1"/>
  <c r="I1805" i="1"/>
  <c r="J1805" i="1"/>
  <c r="K1805" i="1"/>
  <c r="L1805" i="1"/>
  <c r="M1805" i="1"/>
  <c r="N1805" i="1"/>
  <c r="O1805" i="1"/>
  <c r="P1805" i="1"/>
  <c r="Q1805" i="1"/>
  <c r="R1805" i="1"/>
  <c r="S1805" i="1"/>
  <c r="T1805" i="1"/>
  <c r="U1805" i="1"/>
  <c r="V1805" i="1"/>
  <c r="W1805" i="1"/>
  <c r="X1805" i="1"/>
  <c r="Y1805" i="1"/>
  <c r="Z1805" i="1"/>
  <c r="AA1805" i="1"/>
  <c r="AB1805" i="1"/>
  <c r="AC1805" i="1"/>
  <c r="AD1805" i="1"/>
  <c r="AE1805" i="1"/>
  <c r="AF1805" i="1"/>
  <c r="AG1805" i="1"/>
  <c r="AH1805" i="1"/>
  <c r="AI1805" i="1"/>
  <c r="AJ1805" i="1"/>
  <c r="AK1805" i="1"/>
  <c r="AL1805" i="1"/>
  <c r="AM1805" i="1"/>
  <c r="A1806" i="1"/>
  <c r="B1806" i="1"/>
  <c r="C1806" i="1"/>
  <c r="D1806" i="1"/>
  <c r="E1806" i="1"/>
  <c r="F1806" i="1"/>
  <c r="G1806" i="1"/>
  <c r="H1806" i="1"/>
  <c r="I1806" i="1"/>
  <c r="J1806" i="1"/>
  <c r="K1806" i="1"/>
  <c r="L1806" i="1"/>
  <c r="M1806" i="1"/>
  <c r="N1806" i="1"/>
  <c r="O1806" i="1"/>
  <c r="P1806" i="1"/>
  <c r="Q1806" i="1"/>
  <c r="R1806" i="1"/>
  <c r="S1806" i="1"/>
  <c r="T1806" i="1"/>
  <c r="U1806" i="1"/>
  <c r="V1806" i="1"/>
  <c r="W1806" i="1"/>
  <c r="X1806" i="1"/>
  <c r="Y1806" i="1"/>
  <c r="Z1806" i="1"/>
  <c r="AA1806" i="1"/>
  <c r="AB1806" i="1"/>
  <c r="AC1806" i="1"/>
  <c r="AD1806" i="1"/>
  <c r="AE1806" i="1"/>
  <c r="AF1806" i="1"/>
  <c r="AG1806" i="1"/>
  <c r="AH1806" i="1"/>
  <c r="AI1806" i="1"/>
  <c r="AJ1806" i="1"/>
  <c r="AK1806" i="1"/>
  <c r="AL1806" i="1"/>
  <c r="AM1806" i="1"/>
  <c r="A1807" i="1"/>
  <c r="B1807" i="1"/>
  <c r="C1807" i="1"/>
  <c r="D1807" i="1"/>
  <c r="E1807" i="1"/>
  <c r="F1807" i="1"/>
  <c r="G1807" i="1"/>
  <c r="H1807" i="1"/>
  <c r="I1807" i="1"/>
  <c r="J1807" i="1"/>
  <c r="K1807" i="1"/>
  <c r="L1807" i="1"/>
  <c r="M1807" i="1"/>
  <c r="N1807" i="1"/>
  <c r="O1807" i="1"/>
  <c r="P1807" i="1"/>
  <c r="Q1807" i="1"/>
  <c r="R1807" i="1"/>
  <c r="S1807" i="1"/>
  <c r="T1807" i="1"/>
  <c r="U1807" i="1"/>
  <c r="V1807" i="1"/>
  <c r="W1807" i="1"/>
  <c r="X1807" i="1"/>
  <c r="Y1807" i="1"/>
  <c r="Z1807" i="1"/>
  <c r="AA1807" i="1"/>
  <c r="AB1807" i="1"/>
  <c r="AC1807" i="1"/>
  <c r="AD1807" i="1"/>
  <c r="AE1807" i="1"/>
  <c r="AF1807" i="1"/>
  <c r="AG1807" i="1"/>
  <c r="AH1807" i="1"/>
  <c r="AI1807" i="1"/>
  <c r="AJ1807" i="1"/>
  <c r="AK1807" i="1"/>
  <c r="AL1807" i="1"/>
  <c r="AM1807" i="1"/>
  <c r="A1808" i="1"/>
  <c r="B1808" i="1"/>
  <c r="C1808" i="1"/>
  <c r="D1808" i="1"/>
  <c r="E1808" i="1"/>
  <c r="F1808" i="1"/>
  <c r="G1808" i="1"/>
  <c r="H1808" i="1"/>
  <c r="I1808" i="1"/>
  <c r="J1808" i="1"/>
  <c r="K1808" i="1"/>
  <c r="L1808" i="1"/>
  <c r="M1808" i="1"/>
  <c r="N1808" i="1"/>
  <c r="O1808" i="1"/>
  <c r="P1808" i="1"/>
  <c r="Q1808" i="1"/>
  <c r="R1808" i="1"/>
  <c r="S1808" i="1"/>
  <c r="T1808" i="1"/>
  <c r="U1808" i="1"/>
  <c r="V1808" i="1"/>
  <c r="W1808" i="1"/>
  <c r="X1808" i="1"/>
  <c r="Y1808" i="1"/>
  <c r="Z1808" i="1"/>
  <c r="AA1808" i="1"/>
  <c r="AB1808" i="1"/>
  <c r="AC1808" i="1"/>
  <c r="AD1808" i="1"/>
  <c r="AE1808" i="1"/>
  <c r="AF1808" i="1"/>
  <c r="AG1808" i="1"/>
  <c r="AH1808" i="1"/>
  <c r="AI1808" i="1"/>
  <c r="AJ1808" i="1"/>
  <c r="AK1808" i="1"/>
  <c r="AL1808" i="1"/>
  <c r="AM1808" i="1"/>
  <c r="A1809" i="1"/>
  <c r="B1809" i="1"/>
  <c r="C1809" i="1"/>
  <c r="D1809" i="1"/>
  <c r="E1809" i="1"/>
  <c r="F1809" i="1"/>
  <c r="G1809" i="1"/>
  <c r="H1809" i="1"/>
  <c r="I1809" i="1"/>
  <c r="J1809" i="1"/>
  <c r="K1809" i="1"/>
  <c r="L1809" i="1"/>
  <c r="M1809" i="1"/>
  <c r="N1809" i="1"/>
  <c r="O1809" i="1"/>
  <c r="P1809" i="1"/>
  <c r="Q1809" i="1"/>
  <c r="R1809" i="1"/>
  <c r="S1809" i="1"/>
  <c r="T1809" i="1"/>
  <c r="U1809" i="1"/>
  <c r="V1809" i="1"/>
  <c r="W1809" i="1"/>
  <c r="X1809" i="1"/>
  <c r="Y1809" i="1"/>
  <c r="Z1809" i="1"/>
  <c r="AA1809" i="1"/>
  <c r="AB1809" i="1"/>
  <c r="AC1809" i="1"/>
  <c r="AD1809" i="1"/>
  <c r="AE1809" i="1"/>
  <c r="AF1809" i="1"/>
  <c r="AG1809" i="1"/>
  <c r="AH1809" i="1"/>
  <c r="AI1809" i="1"/>
  <c r="AJ1809" i="1"/>
  <c r="AK1809" i="1"/>
  <c r="AL1809" i="1"/>
  <c r="AM1809" i="1"/>
  <c r="A1810" i="1"/>
  <c r="B1810" i="1"/>
  <c r="C1810" i="1"/>
  <c r="D1810" i="1"/>
  <c r="E1810" i="1"/>
  <c r="F1810" i="1"/>
  <c r="G1810" i="1"/>
  <c r="H1810" i="1"/>
  <c r="I1810" i="1"/>
  <c r="J1810" i="1"/>
  <c r="K1810" i="1"/>
  <c r="L1810" i="1"/>
  <c r="M1810" i="1"/>
  <c r="N1810" i="1"/>
  <c r="O1810" i="1"/>
  <c r="P1810" i="1"/>
  <c r="Q1810" i="1"/>
  <c r="R1810" i="1"/>
  <c r="S1810" i="1"/>
  <c r="T1810" i="1"/>
  <c r="U1810" i="1"/>
  <c r="V1810" i="1"/>
  <c r="W1810" i="1"/>
  <c r="X1810" i="1"/>
  <c r="Y1810" i="1"/>
  <c r="Z1810" i="1"/>
  <c r="AA1810" i="1"/>
  <c r="AB1810" i="1"/>
  <c r="AC1810" i="1"/>
  <c r="AD1810" i="1"/>
  <c r="AE1810" i="1"/>
  <c r="AF1810" i="1"/>
  <c r="AG1810" i="1"/>
  <c r="AH1810" i="1"/>
  <c r="AI1810" i="1"/>
  <c r="AJ1810" i="1"/>
  <c r="AK1810" i="1"/>
  <c r="AL1810" i="1"/>
  <c r="AM1810" i="1"/>
  <c r="A1811" i="1"/>
  <c r="B1811" i="1"/>
  <c r="C1811" i="1"/>
  <c r="D1811" i="1"/>
  <c r="E1811" i="1"/>
  <c r="F1811" i="1"/>
  <c r="G1811" i="1"/>
  <c r="H1811" i="1"/>
  <c r="I1811" i="1"/>
  <c r="J1811" i="1"/>
  <c r="K1811" i="1"/>
  <c r="L1811" i="1"/>
  <c r="M1811" i="1"/>
  <c r="N1811" i="1"/>
  <c r="O1811" i="1"/>
  <c r="P1811" i="1"/>
  <c r="Q1811" i="1"/>
  <c r="R1811" i="1"/>
  <c r="S1811" i="1"/>
  <c r="T1811" i="1"/>
  <c r="U1811" i="1"/>
  <c r="V1811" i="1"/>
  <c r="W1811" i="1"/>
  <c r="X1811" i="1"/>
  <c r="Y1811" i="1"/>
  <c r="Z1811" i="1"/>
  <c r="AA1811" i="1"/>
  <c r="AB1811" i="1"/>
  <c r="AC1811" i="1"/>
  <c r="AD1811" i="1"/>
  <c r="AE1811" i="1"/>
  <c r="AF1811" i="1"/>
  <c r="AG1811" i="1"/>
  <c r="AH1811" i="1"/>
  <c r="AI1811" i="1"/>
  <c r="AJ1811" i="1"/>
  <c r="AK1811" i="1"/>
  <c r="AL1811" i="1"/>
  <c r="AM1811" i="1"/>
  <c r="A1812" i="1"/>
  <c r="B1812" i="1"/>
  <c r="C1812" i="1"/>
  <c r="D1812" i="1"/>
  <c r="E1812" i="1"/>
  <c r="F1812" i="1"/>
  <c r="G1812" i="1"/>
  <c r="H1812" i="1"/>
  <c r="I1812" i="1"/>
  <c r="J1812" i="1"/>
  <c r="K1812" i="1"/>
  <c r="L1812" i="1"/>
  <c r="M1812" i="1"/>
  <c r="N1812" i="1"/>
  <c r="O1812" i="1"/>
  <c r="P1812" i="1"/>
  <c r="Q1812" i="1"/>
  <c r="R1812" i="1"/>
  <c r="S1812" i="1"/>
  <c r="T1812" i="1"/>
  <c r="U1812" i="1"/>
  <c r="V1812" i="1"/>
  <c r="W1812" i="1"/>
  <c r="X1812" i="1"/>
  <c r="Y1812" i="1"/>
  <c r="Z1812" i="1"/>
  <c r="AA1812" i="1"/>
  <c r="AB1812" i="1"/>
  <c r="AC1812" i="1"/>
  <c r="AD1812" i="1"/>
  <c r="AE1812" i="1"/>
  <c r="AF1812" i="1"/>
  <c r="AG1812" i="1"/>
  <c r="AH1812" i="1"/>
  <c r="AI1812" i="1"/>
  <c r="AJ1812" i="1"/>
  <c r="AK1812" i="1"/>
  <c r="AL1812" i="1"/>
  <c r="AM1812" i="1"/>
  <c r="A1813" i="1"/>
  <c r="B1813" i="1"/>
  <c r="C1813" i="1"/>
  <c r="D1813" i="1"/>
  <c r="E1813" i="1"/>
  <c r="F1813" i="1"/>
  <c r="G1813" i="1"/>
  <c r="H1813" i="1"/>
  <c r="I1813" i="1"/>
  <c r="J1813" i="1"/>
  <c r="K1813" i="1"/>
  <c r="L1813" i="1"/>
  <c r="M1813" i="1"/>
  <c r="N1813" i="1"/>
  <c r="O1813" i="1"/>
  <c r="P1813" i="1"/>
  <c r="Q1813" i="1"/>
  <c r="R1813" i="1"/>
  <c r="S1813" i="1"/>
  <c r="T1813" i="1"/>
  <c r="U1813" i="1"/>
  <c r="V1813" i="1"/>
  <c r="W1813" i="1"/>
  <c r="X1813" i="1"/>
  <c r="Y1813" i="1"/>
  <c r="Z1813" i="1"/>
  <c r="AA1813" i="1"/>
  <c r="AB1813" i="1"/>
  <c r="AC1813" i="1"/>
  <c r="AD1813" i="1"/>
  <c r="AE1813" i="1"/>
  <c r="AF1813" i="1"/>
  <c r="AG1813" i="1"/>
  <c r="AH1813" i="1"/>
  <c r="AI1813" i="1"/>
  <c r="AJ1813" i="1"/>
  <c r="AK1813" i="1"/>
  <c r="AL1813" i="1"/>
  <c r="AM1813" i="1"/>
  <c r="A1814" i="1"/>
  <c r="B1814" i="1"/>
  <c r="C1814" i="1"/>
  <c r="D1814" i="1"/>
  <c r="E1814" i="1"/>
  <c r="F1814" i="1"/>
  <c r="G1814" i="1"/>
  <c r="H1814" i="1"/>
  <c r="I1814" i="1"/>
  <c r="J1814" i="1"/>
  <c r="K1814" i="1"/>
  <c r="L1814" i="1"/>
  <c r="M1814" i="1"/>
  <c r="N1814" i="1"/>
  <c r="O1814" i="1"/>
  <c r="P1814" i="1"/>
  <c r="Q1814" i="1"/>
  <c r="R1814" i="1"/>
  <c r="S1814" i="1"/>
  <c r="T1814" i="1"/>
  <c r="U1814" i="1"/>
  <c r="V1814" i="1"/>
  <c r="W1814" i="1"/>
  <c r="X1814" i="1"/>
  <c r="Y1814" i="1"/>
  <c r="Z1814" i="1"/>
  <c r="AA1814" i="1"/>
  <c r="AB1814" i="1"/>
  <c r="AC1814" i="1"/>
  <c r="AD1814" i="1"/>
  <c r="AE1814" i="1"/>
  <c r="AF1814" i="1"/>
  <c r="AG1814" i="1"/>
  <c r="AH1814" i="1"/>
  <c r="AI1814" i="1"/>
  <c r="AJ1814" i="1"/>
  <c r="AK1814" i="1"/>
  <c r="AL1814" i="1"/>
  <c r="AM1814" i="1"/>
  <c r="A1815" i="1"/>
  <c r="B1815" i="1"/>
  <c r="C1815" i="1"/>
  <c r="D1815" i="1"/>
  <c r="E1815" i="1"/>
  <c r="F1815" i="1"/>
  <c r="G1815" i="1"/>
  <c r="H1815" i="1"/>
  <c r="I1815" i="1"/>
  <c r="J1815" i="1"/>
  <c r="K1815" i="1"/>
  <c r="L1815" i="1"/>
  <c r="M1815" i="1"/>
  <c r="N1815" i="1"/>
  <c r="O1815" i="1"/>
  <c r="P1815" i="1"/>
  <c r="Q1815" i="1"/>
  <c r="R1815" i="1"/>
  <c r="S1815" i="1"/>
  <c r="T1815" i="1"/>
  <c r="U1815" i="1"/>
  <c r="V1815" i="1"/>
  <c r="W1815" i="1"/>
  <c r="X1815" i="1"/>
  <c r="Y1815" i="1"/>
  <c r="Z1815" i="1"/>
  <c r="AA1815" i="1"/>
  <c r="AB1815" i="1"/>
  <c r="AC1815" i="1"/>
  <c r="AD1815" i="1"/>
  <c r="AE1815" i="1"/>
  <c r="AF1815" i="1"/>
  <c r="AG1815" i="1"/>
  <c r="AH1815" i="1"/>
  <c r="AI1815" i="1"/>
  <c r="AJ1815" i="1"/>
  <c r="AK1815" i="1"/>
  <c r="AL1815" i="1"/>
  <c r="AM1815" i="1"/>
  <c r="A1816" i="1"/>
  <c r="B1816" i="1"/>
  <c r="C1816" i="1"/>
  <c r="D1816" i="1"/>
  <c r="E1816" i="1"/>
  <c r="F1816" i="1"/>
  <c r="G1816" i="1"/>
  <c r="H1816" i="1"/>
  <c r="I1816" i="1"/>
  <c r="J1816" i="1"/>
  <c r="K1816" i="1"/>
  <c r="L1816" i="1"/>
  <c r="M1816" i="1"/>
  <c r="N1816" i="1"/>
  <c r="O1816" i="1"/>
  <c r="P1816" i="1"/>
  <c r="Q1816" i="1"/>
  <c r="R1816" i="1"/>
  <c r="S1816" i="1"/>
  <c r="T1816" i="1"/>
  <c r="U1816" i="1"/>
  <c r="V1816" i="1"/>
  <c r="W1816" i="1"/>
  <c r="X1816" i="1"/>
  <c r="Y1816" i="1"/>
  <c r="Z1816" i="1"/>
  <c r="AA1816" i="1"/>
  <c r="AB1816" i="1"/>
  <c r="AC1816" i="1"/>
  <c r="AD1816" i="1"/>
  <c r="AE1816" i="1"/>
  <c r="AF1816" i="1"/>
  <c r="AG1816" i="1"/>
  <c r="AH1816" i="1"/>
  <c r="AI1816" i="1"/>
  <c r="AJ1816" i="1"/>
  <c r="AK1816" i="1"/>
  <c r="AL1816" i="1"/>
  <c r="AM1816" i="1"/>
  <c r="A1817" i="1"/>
  <c r="B1817" i="1"/>
  <c r="C1817" i="1"/>
  <c r="D1817" i="1"/>
  <c r="E1817" i="1"/>
  <c r="F1817" i="1"/>
  <c r="G1817" i="1"/>
  <c r="H1817" i="1"/>
  <c r="I1817" i="1"/>
  <c r="J1817" i="1"/>
  <c r="K1817" i="1"/>
  <c r="L1817" i="1"/>
  <c r="M1817" i="1"/>
  <c r="N1817" i="1"/>
  <c r="O1817" i="1"/>
  <c r="P1817" i="1"/>
  <c r="Q1817" i="1"/>
  <c r="R1817" i="1"/>
  <c r="S1817" i="1"/>
  <c r="T1817" i="1"/>
  <c r="U1817" i="1"/>
  <c r="V1817" i="1"/>
  <c r="W1817" i="1"/>
  <c r="X1817" i="1"/>
  <c r="Y1817" i="1"/>
  <c r="Z1817" i="1"/>
  <c r="AA1817" i="1"/>
  <c r="AB1817" i="1"/>
  <c r="AC1817" i="1"/>
  <c r="AD1817" i="1"/>
  <c r="AE1817" i="1"/>
  <c r="AF1817" i="1"/>
  <c r="AG1817" i="1"/>
  <c r="AH1817" i="1"/>
  <c r="AI1817" i="1"/>
  <c r="AJ1817" i="1"/>
  <c r="AK1817" i="1"/>
  <c r="AL1817" i="1"/>
  <c r="AM1817" i="1"/>
  <c r="A1818" i="1"/>
  <c r="B1818" i="1"/>
  <c r="C1818" i="1"/>
  <c r="D1818" i="1"/>
  <c r="E1818" i="1"/>
  <c r="F1818" i="1"/>
  <c r="G1818" i="1"/>
  <c r="H1818" i="1"/>
  <c r="I1818" i="1"/>
  <c r="J1818" i="1"/>
  <c r="K1818" i="1"/>
  <c r="L1818" i="1"/>
  <c r="M1818" i="1"/>
  <c r="N1818" i="1"/>
  <c r="O1818" i="1"/>
  <c r="P1818" i="1"/>
  <c r="Q1818" i="1"/>
  <c r="R1818" i="1"/>
  <c r="S1818" i="1"/>
  <c r="T1818" i="1"/>
  <c r="U1818" i="1"/>
  <c r="V1818" i="1"/>
  <c r="W1818" i="1"/>
  <c r="X1818" i="1"/>
  <c r="Y1818" i="1"/>
  <c r="Z1818" i="1"/>
  <c r="AA1818" i="1"/>
  <c r="AB1818" i="1"/>
  <c r="AC1818" i="1"/>
  <c r="AD1818" i="1"/>
  <c r="AE1818" i="1"/>
  <c r="AF1818" i="1"/>
  <c r="AG1818" i="1"/>
  <c r="AH1818" i="1"/>
  <c r="AI1818" i="1"/>
  <c r="AJ1818" i="1"/>
  <c r="AK1818" i="1"/>
  <c r="AL1818" i="1"/>
  <c r="AM1818" i="1"/>
  <c r="A1819" i="1"/>
  <c r="B1819" i="1"/>
  <c r="C1819" i="1"/>
  <c r="D1819" i="1"/>
  <c r="E1819" i="1"/>
  <c r="F1819" i="1"/>
  <c r="G1819" i="1"/>
  <c r="H1819" i="1"/>
  <c r="I1819" i="1"/>
  <c r="J1819" i="1"/>
  <c r="K1819" i="1"/>
  <c r="L1819" i="1"/>
  <c r="M1819" i="1"/>
  <c r="N1819" i="1"/>
  <c r="O1819" i="1"/>
  <c r="P1819" i="1"/>
  <c r="Q1819" i="1"/>
  <c r="R1819" i="1"/>
  <c r="S1819" i="1"/>
  <c r="T1819" i="1"/>
  <c r="U1819" i="1"/>
  <c r="V1819" i="1"/>
  <c r="W1819" i="1"/>
  <c r="X1819" i="1"/>
  <c r="Y1819" i="1"/>
  <c r="Z1819" i="1"/>
  <c r="AA1819" i="1"/>
  <c r="AB1819" i="1"/>
  <c r="AC1819" i="1"/>
  <c r="AD1819" i="1"/>
  <c r="AE1819" i="1"/>
  <c r="AF1819" i="1"/>
  <c r="AG1819" i="1"/>
  <c r="AH1819" i="1"/>
  <c r="AI1819" i="1"/>
  <c r="AJ1819" i="1"/>
  <c r="AK1819" i="1"/>
  <c r="AL1819" i="1"/>
  <c r="AM1819" i="1"/>
  <c r="A1820" i="1"/>
  <c r="B1820" i="1"/>
  <c r="C1820" i="1"/>
  <c r="D1820" i="1"/>
  <c r="E1820" i="1"/>
  <c r="F1820" i="1"/>
  <c r="G1820" i="1"/>
  <c r="H1820" i="1"/>
  <c r="I1820" i="1"/>
  <c r="J1820" i="1"/>
  <c r="K1820" i="1"/>
  <c r="L1820" i="1"/>
  <c r="M1820" i="1"/>
  <c r="N1820" i="1"/>
  <c r="O1820" i="1"/>
  <c r="P1820" i="1"/>
  <c r="Q1820" i="1"/>
  <c r="R1820" i="1"/>
  <c r="S1820" i="1"/>
  <c r="T1820" i="1"/>
  <c r="U1820" i="1"/>
  <c r="V1820" i="1"/>
  <c r="W1820" i="1"/>
  <c r="X1820" i="1"/>
  <c r="Y1820" i="1"/>
  <c r="Z1820" i="1"/>
  <c r="AA1820" i="1"/>
  <c r="AB1820" i="1"/>
  <c r="AC1820" i="1"/>
  <c r="AD1820" i="1"/>
  <c r="AE1820" i="1"/>
  <c r="AF1820" i="1"/>
  <c r="AG1820" i="1"/>
  <c r="AH1820" i="1"/>
  <c r="AI1820" i="1"/>
  <c r="AJ1820" i="1"/>
  <c r="AK1820" i="1"/>
  <c r="AL1820" i="1"/>
  <c r="AM1820" i="1"/>
  <c r="A1821" i="1"/>
  <c r="B1821" i="1"/>
  <c r="C1821" i="1"/>
  <c r="D1821" i="1"/>
  <c r="E1821" i="1"/>
  <c r="F1821" i="1"/>
  <c r="G1821" i="1"/>
  <c r="H1821" i="1"/>
  <c r="I1821" i="1"/>
  <c r="J1821" i="1"/>
  <c r="K1821" i="1"/>
  <c r="L1821" i="1"/>
  <c r="M1821" i="1"/>
  <c r="N1821" i="1"/>
  <c r="O1821" i="1"/>
  <c r="P1821" i="1"/>
  <c r="Q1821" i="1"/>
  <c r="R1821" i="1"/>
  <c r="S1821" i="1"/>
  <c r="T1821" i="1"/>
  <c r="U1821" i="1"/>
  <c r="V1821" i="1"/>
  <c r="W1821" i="1"/>
  <c r="X1821" i="1"/>
  <c r="Y1821" i="1"/>
  <c r="Z1821" i="1"/>
  <c r="AA1821" i="1"/>
  <c r="AB1821" i="1"/>
  <c r="AC1821" i="1"/>
  <c r="AD1821" i="1"/>
  <c r="AE1821" i="1"/>
  <c r="AF1821" i="1"/>
  <c r="AG1821" i="1"/>
  <c r="AH1821" i="1"/>
  <c r="AI1821" i="1"/>
  <c r="AJ1821" i="1"/>
  <c r="AK1821" i="1"/>
  <c r="AL1821" i="1"/>
  <c r="AM1821" i="1"/>
  <c r="A1822" i="1"/>
  <c r="B1822" i="1"/>
  <c r="C1822" i="1"/>
  <c r="D1822" i="1"/>
  <c r="E1822" i="1"/>
  <c r="F1822" i="1"/>
  <c r="G1822" i="1"/>
  <c r="H1822" i="1"/>
  <c r="I1822" i="1"/>
  <c r="J1822" i="1"/>
  <c r="K1822" i="1"/>
  <c r="L1822" i="1"/>
  <c r="M1822" i="1"/>
  <c r="N1822" i="1"/>
  <c r="O1822" i="1"/>
  <c r="P1822" i="1"/>
  <c r="Q1822" i="1"/>
  <c r="R1822" i="1"/>
  <c r="S1822" i="1"/>
  <c r="T1822" i="1"/>
  <c r="U1822" i="1"/>
  <c r="V1822" i="1"/>
  <c r="W1822" i="1"/>
  <c r="X1822" i="1"/>
  <c r="Y1822" i="1"/>
  <c r="Z1822" i="1"/>
  <c r="AA1822" i="1"/>
  <c r="AB1822" i="1"/>
  <c r="AC1822" i="1"/>
  <c r="AD1822" i="1"/>
  <c r="AE1822" i="1"/>
  <c r="AF1822" i="1"/>
  <c r="AG1822" i="1"/>
  <c r="AH1822" i="1"/>
  <c r="AI1822" i="1"/>
  <c r="AJ1822" i="1"/>
  <c r="AK1822" i="1"/>
  <c r="AL1822" i="1"/>
  <c r="AM1822" i="1"/>
  <c r="A1823" i="1"/>
  <c r="B1823" i="1"/>
  <c r="C1823" i="1"/>
  <c r="D1823" i="1"/>
  <c r="E1823" i="1"/>
  <c r="F1823" i="1"/>
  <c r="G1823" i="1"/>
  <c r="H1823" i="1"/>
  <c r="I1823" i="1"/>
  <c r="J1823" i="1"/>
  <c r="K1823" i="1"/>
  <c r="L1823" i="1"/>
  <c r="M1823" i="1"/>
  <c r="N1823" i="1"/>
  <c r="O1823" i="1"/>
  <c r="P1823" i="1"/>
  <c r="Q1823" i="1"/>
  <c r="R1823" i="1"/>
  <c r="S1823" i="1"/>
  <c r="T1823" i="1"/>
  <c r="U1823" i="1"/>
  <c r="V1823" i="1"/>
  <c r="W1823" i="1"/>
  <c r="X1823" i="1"/>
  <c r="Y1823" i="1"/>
  <c r="Z1823" i="1"/>
  <c r="AA1823" i="1"/>
  <c r="AB1823" i="1"/>
  <c r="AC1823" i="1"/>
  <c r="AD1823" i="1"/>
  <c r="AE1823" i="1"/>
  <c r="AF1823" i="1"/>
  <c r="AG1823" i="1"/>
  <c r="AH1823" i="1"/>
  <c r="AI1823" i="1"/>
  <c r="AJ1823" i="1"/>
  <c r="AK1823" i="1"/>
  <c r="AL1823" i="1"/>
  <c r="AM1823" i="1"/>
  <c r="A1824" i="1"/>
  <c r="B1824" i="1"/>
  <c r="C1824" i="1"/>
  <c r="D1824" i="1"/>
  <c r="E1824" i="1"/>
  <c r="F1824" i="1"/>
  <c r="G1824" i="1"/>
  <c r="H1824" i="1"/>
  <c r="I1824" i="1"/>
  <c r="J1824" i="1"/>
  <c r="K1824" i="1"/>
  <c r="L1824" i="1"/>
  <c r="M1824" i="1"/>
  <c r="N1824" i="1"/>
  <c r="O1824" i="1"/>
  <c r="P1824" i="1"/>
  <c r="Q1824" i="1"/>
  <c r="R1824" i="1"/>
  <c r="S1824" i="1"/>
  <c r="T1824" i="1"/>
  <c r="U1824" i="1"/>
  <c r="V1824" i="1"/>
  <c r="W1824" i="1"/>
  <c r="X1824" i="1"/>
  <c r="Y1824" i="1"/>
  <c r="Z1824" i="1"/>
  <c r="AA1824" i="1"/>
  <c r="AB1824" i="1"/>
  <c r="AC1824" i="1"/>
  <c r="AD1824" i="1"/>
  <c r="AE1824" i="1"/>
  <c r="AF1824" i="1"/>
  <c r="AG1824" i="1"/>
  <c r="AH1824" i="1"/>
  <c r="AI1824" i="1"/>
  <c r="AJ1824" i="1"/>
  <c r="AK1824" i="1"/>
  <c r="AL1824" i="1"/>
  <c r="AM1824" i="1"/>
  <c r="A1825" i="1"/>
  <c r="B1825" i="1"/>
  <c r="C1825" i="1"/>
  <c r="D1825" i="1"/>
  <c r="E1825" i="1"/>
  <c r="F1825" i="1"/>
  <c r="G1825" i="1"/>
  <c r="H1825" i="1"/>
  <c r="I1825" i="1"/>
  <c r="J1825" i="1"/>
  <c r="K1825" i="1"/>
  <c r="L1825" i="1"/>
  <c r="M1825" i="1"/>
  <c r="N1825" i="1"/>
  <c r="O1825" i="1"/>
  <c r="P1825" i="1"/>
  <c r="Q1825" i="1"/>
  <c r="R1825" i="1"/>
  <c r="S1825" i="1"/>
  <c r="T1825" i="1"/>
  <c r="U1825" i="1"/>
  <c r="V1825" i="1"/>
  <c r="W1825" i="1"/>
  <c r="X1825" i="1"/>
  <c r="Y1825" i="1"/>
  <c r="Z1825" i="1"/>
  <c r="AA1825" i="1"/>
  <c r="AB1825" i="1"/>
  <c r="AC1825" i="1"/>
  <c r="AD1825" i="1"/>
  <c r="AE1825" i="1"/>
  <c r="AF1825" i="1"/>
  <c r="AG1825" i="1"/>
  <c r="AH1825" i="1"/>
  <c r="AI1825" i="1"/>
  <c r="AJ1825" i="1"/>
  <c r="AK1825" i="1"/>
  <c r="AL1825" i="1"/>
  <c r="AM1825" i="1"/>
  <c r="A1826" i="1"/>
  <c r="B1826" i="1"/>
  <c r="C1826" i="1"/>
  <c r="D1826" i="1"/>
  <c r="E1826" i="1"/>
  <c r="F1826" i="1"/>
  <c r="G1826" i="1"/>
  <c r="H1826" i="1"/>
  <c r="I1826" i="1"/>
  <c r="J1826" i="1"/>
  <c r="K1826" i="1"/>
  <c r="L1826" i="1"/>
  <c r="M1826" i="1"/>
  <c r="N1826" i="1"/>
  <c r="O1826" i="1"/>
  <c r="P1826" i="1"/>
  <c r="Q1826" i="1"/>
  <c r="R1826" i="1"/>
  <c r="S1826" i="1"/>
  <c r="T1826" i="1"/>
  <c r="U1826" i="1"/>
  <c r="V1826" i="1"/>
  <c r="W1826" i="1"/>
  <c r="X1826" i="1"/>
  <c r="Y1826" i="1"/>
  <c r="Z1826" i="1"/>
  <c r="AA1826" i="1"/>
  <c r="AB1826" i="1"/>
  <c r="AC1826" i="1"/>
  <c r="AD1826" i="1"/>
  <c r="AE1826" i="1"/>
  <c r="AF1826" i="1"/>
  <c r="AG1826" i="1"/>
  <c r="AH1826" i="1"/>
  <c r="AI1826" i="1"/>
  <c r="AJ1826" i="1"/>
  <c r="AK1826" i="1"/>
  <c r="AL1826" i="1"/>
  <c r="AM1826" i="1"/>
  <c r="A1827" i="1"/>
  <c r="B1827" i="1"/>
  <c r="C1827" i="1"/>
  <c r="D1827" i="1"/>
  <c r="E1827" i="1"/>
  <c r="F1827" i="1"/>
  <c r="G1827" i="1"/>
  <c r="H1827" i="1"/>
  <c r="I1827" i="1"/>
  <c r="J1827" i="1"/>
  <c r="K1827" i="1"/>
  <c r="L1827" i="1"/>
  <c r="M1827" i="1"/>
  <c r="N1827" i="1"/>
  <c r="O1827" i="1"/>
  <c r="P1827" i="1"/>
  <c r="Q1827" i="1"/>
  <c r="R1827" i="1"/>
  <c r="S1827" i="1"/>
  <c r="T1827" i="1"/>
  <c r="U1827" i="1"/>
  <c r="V1827" i="1"/>
  <c r="W1827" i="1"/>
  <c r="X1827" i="1"/>
  <c r="Y1827" i="1"/>
  <c r="Z1827" i="1"/>
  <c r="AA1827" i="1"/>
  <c r="AB1827" i="1"/>
  <c r="AC1827" i="1"/>
  <c r="AD1827" i="1"/>
  <c r="AE1827" i="1"/>
  <c r="AF1827" i="1"/>
  <c r="AG1827" i="1"/>
  <c r="AH1827" i="1"/>
  <c r="AI1827" i="1"/>
  <c r="AJ1827" i="1"/>
  <c r="AK1827" i="1"/>
  <c r="AL1827" i="1"/>
  <c r="AM1827" i="1"/>
  <c r="A1828" i="1"/>
  <c r="B1828" i="1"/>
  <c r="C1828" i="1"/>
  <c r="D1828" i="1"/>
  <c r="E1828" i="1"/>
  <c r="F1828" i="1"/>
  <c r="G1828" i="1"/>
  <c r="H1828" i="1"/>
  <c r="I1828" i="1"/>
  <c r="J1828" i="1"/>
  <c r="K1828" i="1"/>
  <c r="L1828" i="1"/>
  <c r="M1828" i="1"/>
  <c r="N1828" i="1"/>
  <c r="O1828" i="1"/>
  <c r="P1828" i="1"/>
  <c r="Q1828" i="1"/>
  <c r="R1828" i="1"/>
  <c r="S1828" i="1"/>
  <c r="T1828" i="1"/>
  <c r="U1828" i="1"/>
  <c r="V1828" i="1"/>
  <c r="W1828" i="1"/>
  <c r="X1828" i="1"/>
  <c r="Y1828" i="1"/>
  <c r="Z1828" i="1"/>
  <c r="AA1828" i="1"/>
  <c r="AB1828" i="1"/>
  <c r="AC1828" i="1"/>
  <c r="AD1828" i="1"/>
  <c r="AE1828" i="1"/>
  <c r="AF1828" i="1"/>
  <c r="AG1828" i="1"/>
  <c r="AH1828" i="1"/>
  <c r="AI1828" i="1"/>
  <c r="AJ1828" i="1"/>
  <c r="AK1828" i="1"/>
  <c r="AL1828" i="1"/>
  <c r="AM1828" i="1"/>
  <c r="A1829" i="1"/>
  <c r="B1829" i="1"/>
  <c r="C1829" i="1"/>
  <c r="D1829" i="1"/>
  <c r="E1829" i="1"/>
  <c r="F1829" i="1"/>
  <c r="G1829" i="1"/>
  <c r="H1829" i="1"/>
  <c r="I1829" i="1"/>
  <c r="J1829" i="1"/>
  <c r="K1829" i="1"/>
  <c r="L1829" i="1"/>
  <c r="M1829" i="1"/>
  <c r="N1829" i="1"/>
  <c r="O1829" i="1"/>
  <c r="P1829" i="1"/>
  <c r="Q1829" i="1"/>
  <c r="R1829" i="1"/>
  <c r="S1829" i="1"/>
  <c r="T1829" i="1"/>
  <c r="U1829" i="1"/>
  <c r="V1829" i="1"/>
  <c r="W1829" i="1"/>
  <c r="X1829" i="1"/>
  <c r="Y1829" i="1"/>
  <c r="Z1829" i="1"/>
  <c r="AA1829" i="1"/>
  <c r="AB1829" i="1"/>
  <c r="AC1829" i="1"/>
  <c r="AD1829" i="1"/>
  <c r="AE1829" i="1"/>
  <c r="AF1829" i="1"/>
  <c r="AG1829" i="1"/>
  <c r="AH1829" i="1"/>
  <c r="AI1829" i="1"/>
  <c r="AJ1829" i="1"/>
  <c r="AK1829" i="1"/>
  <c r="AL1829" i="1"/>
  <c r="AM1829" i="1"/>
  <c r="A1830" i="1"/>
  <c r="B1830" i="1"/>
  <c r="C1830" i="1"/>
  <c r="D1830" i="1"/>
  <c r="E1830" i="1"/>
  <c r="F1830" i="1"/>
  <c r="G1830" i="1"/>
  <c r="H1830" i="1"/>
  <c r="I1830" i="1"/>
  <c r="J1830" i="1"/>
  <c r="K1830" i="1"/>
  <c r="L1830" i="1"/>
  <c r="M1830" i="1"/>
  <c r="N1830" i="1"/>
  <c r="O1830" i="1"/>
  <c r="P1830" i="1"/>
  <c r="Q1830" i="1"/>
  <c r="R1830" i="1"/>
  <c r="S1830" i="1"/>
  <c r="T1830" i="1"/>
  <c r="U1830" i="1"/>
  <c r="V1830" i="1"/>
  <c r="W1830" i="1"/>
  <c r="X1830" i="1"/>
  <c r="Y1830" i="1"/>
  <c r="Z1830" i="1"/>
  <c r="AA1830" i="1"/>
  <c r="AB1830" i="1"/>
  <c r="AC1830" i="1"/>
  <c r="AD1830" i="1"/>
  <c r="AE1830" i="1"/>
  <c r="AF1830" i="1"/>
  <c r="AG1830" i="1"/>
  <c r="AH1830" i="1"/>
  <c r="AI1830" i="1"/>
  <c r="AJ1830" i="1"/>
  <c r="AK1830" i="1"/>
  <c r="AL1830" i="1"/>
  <c r="AM1830" i="1"/>
  <c r="A1831" i="1"/>
  <c r="B1831" i="1"/>
  <c r="C1831" i="1"/>
  <c r="D1831" i="1"/>
  <c r="E1831" i="1"/>
  <c r="F1831" i="1"/>
  <c r="G1831" i="1"/>
  <c r="H1831" i="1"/>
  <c r="I1831" i="1"/>
  <c r="J1831" i="1"/>
  <c r="K1831" i="1"/>
  <c r="L1831" i="1"/>
  <c r="M1831" i="1"/>
  <c r="N1831" i="1"/>
  <c r="O1831" i="1"/>
  <c r="P1831" i="1"/>
  <c r="Q1831" i="1"/>
  <c r="R1831" i="1"/>
  <c r="S1831" i="1"/>
  <c r="T1831" i="1"/>
  <c r="U1831" i="1"/>
  <c r="V1831" i="1"/>
  <c r="W1831" i="1"/>
  <c r="X1831" i="1"/>
  <c r="Y1831" i="1"/>
  <c r="Z1831" i="1"/>
  <c r="AA1831" i="1"/>
  <c r="AB1831" i="1"/>
  <c r="AC1831" i="1"/>
  <c r="AD1831" i="1"/>
  <c r="AE1831" i="1"/>
  <c r="AF1831" i="1"/>
  <c r="AG1831" i="1"/>
  <c r="AH1831" i="1"/>
  <c r="AI1831" i="1"/>
  <c r="AJ1831" i="1"/>
  <c r="AK1831" i="1"/>
  <c r="AL1831" i="1"/>
  <c r="AM1831" i="1"/>
  <c r="A1832" i="1"/>
  <c r="B1832" i="1"/>
  <c r="C1832" i="1"/>
  <c r="D1832" i="1"/>
  <c r="E1832" i="1"/>
  <c r="F1832" i="1"/>
  <c r="G1832" i="1"/>
  <c r="H1832" i="1"/>
  <c r="I1832" i="1"/>
  <c r="J1832" i="1"/>
  <c r="K1832" i="1"/>
  <c r="L1832" i="1"/>
  <c r="M1832" i="1"/>
  <c r="N1832" i="1"/>
  <c r="O1832" i="1"/>
  <c r="P1832" i="1"/>
  <c r="Q1832" i="1"/>
  <c r="R1832" i="1"/>
  <c r="S1832" i="1"/>
  <c r="T1832" i="1"/>
  <c r="U1832" i="1"/>
  <c r="V1832" i="1"/>
  <c r="W1832" i="1"/>
  <c r="X1832" i="1"/>
  <c r="Y1832" i="1"/>
  <c r="Z1832" i="1"/>
  <c r="AA1832" i="1"/>
  <c r="AB1832" i="1"/>
  <c r="AC1832" i="1"/>
  <c r="AD1832" i="1"/>
  <c r="AE1832" i="1"/>
  <c r="AF1832" i="1"/>
  <c r="AG1832" i="1"/>
  <c r="AH1832" i="1"/>
  <c r="AI1832" i="1"/>
  <c r="AJ1832" i="1"/>
  <c r="AK1832" i="1"/>
  <c r="AL1832" i="1"/>
  <c r="AM1832" i="1"/>
  <c r="A1833" i="1"/>
  <c r="B1833" i="1"/>
  <c r="C1833" i="1"/>
  <c r="D1833" i="1"/>
  <c r="E1833" i="1"/>
  <c r="F1833" i="1"/>
  <c r="G1833" i="1"/>
  <c r="H1833" i="1"/>
  <c r="I1833" i="1"/>
  <c r="J1833" i="1"/>
  <c r="K1833" i="1"/>
  <c r="L1833" i="1"/>
  <c r="M1833" i="1"/>
  <c r="N1833" i="1"/>
  <c r="O1833" i="1"/>
  <c r="P1833" i="1"/>
  <c r="Q1833" i="1"/>
  <c r="R1833" i="1"/>
  <c r="S1833" i="1"/>
  <c r="T1833" i="1"/>
  <c r="U1833" i="1"/>
  <c r="V1833" i="1"/>
  <c r="W1833" i="1"/>
  <c r="X1833" i="1"/>
  <c r="Y1833" i="1"/>
  <c r="Z1833" i="1"/>
  <c r="AA1833" i="1"/>
  <c r="AB1833" i="1"/>
  <c r="AC1833" i="1"/>
  <c r="AD1833" i="1"/>
  <c r="AE1833" i="1"/>
  <c r="AF1833" i="1"/>
  <c r="AG1833" i="1"/>
  <c r="AH1833" i="1"/>
  <c r="AI1833" i="1"/>
  <c r="AJ1833" i="1"/>
  <c r="AK1833" i="1"/>
  <c r="AL1833" i="1"/>
  <c r="AM1833" i="1"/>
  <c r="A1834" i="1"/>
  <c r="B1834" i="1"/>
  <c r="C1834" i="1"/>
  <c r="D1834" i="1"/>
  <c r="E1834" i="1"/>
  <c r="F1834" i="1"/>
  <c r="G1834" i="1"/>
  <c r="H1834" i="1"/>
  <c r="I1834" i="1"/>
  <c r="J1834" i="1"/>
  <c r="K1834" i="1"/>
  <c r="L1834" i="1"/>
  <c r="M1834" i="1"/>
  <c r="N1834" i="1"/>
  <c r="O1834" i="1"/>
  <c r="P1834" i="1"/>
  <c r="Q1834" i="1"/>
  <c r="R1834" i="1"/>
  <c r="S1834" i="1"/>
  <c r="T1834" i="1"/>
  <c r="U1834" i="1"/>
  <c r="V1834" i="1"/>
  <c r="W1834" i="1"/>
  <c r="X1834" i="1"/>
  <c r="Y1834" i="1"/>
  <c r="Z1834" i="1"/>
  <c r="AA1834" i="1"/>
  <c r="AB1834" i="1"/>
  <c r="AC1834" i="1"/>
  <c r="AD1834" i="1"/>
  <c r="AE1834" i="1"/>
  <c r="AF1834" i="1"/>
  <c r="AG1834" i="1"/>
  <c r="AH1834" i="1"/>
  <c r="AI1834" i="1"/>
  <c r="AJ1834" i="1"/>
  <c r="AK1834" i="1"/>
  <c r="AL1834" i="1"/>
  <c r="AM1834" i="1"/>
  <c r="A1835" i="1"/>
  <c r="B1835" i="1"/>
  <c r="C1835" i="1"/>
  <c r="D1835" i="1"/>
  <c r="E1835" i="1"/>
  <c r="F1835" i="1"/>
  <c r="G1835" i="1"/>
  <c r="H1835" i="1"/>
  <c r="I1835" i="1"/>
  <c r="J1835" i="1"/>
  <c r="K1835" i="1"/>
  <c r="L1835" i="1"/>
  <c r="M1835" i="1"/>
  <c r="N1835" i="1"/>
  <c r="O1835" i="1"/>
  <c r="P1835" i="1"/>
  <c r="Q1835" i="1"/>
  <c r="R1835" i="1"/>
  <c r="S1835" i="1"/>
  <c r="T1835" i="1"/>
  <c r="U1835" i="1"/>
  <c r="V1835" i="1"/>
  <c r="W1835" i="1"/>
  <c r="X1835" i="1"/>
  <c r="Y1835" i="1"/>
  <c r="Z1835" i="1"/>
  <c r="AA1835" i="1"/>
  <c r="AB1835" i="1"/>
  <c r="AC1835" i="1"/>
  <c r="AD1835" i="1"/>
  <c r="AE1835" i="1"/>
  <c r="AF1835" i="1"/>
  <c r="AG1835" i="1"/>
  <c r="AH1835" i="1"/>
  <c r="AI1835" i="1"/>
  <c r="AJ1835" i="1"/>
  <c r="AK1835" i="1"/>
  <c r="AL1835" i="1"/>
  <c r="AM1835" i="1"/>
  <c r="A1836" i="1"/>
  <c r="B1836" i="1"/>
  <c r="C1836" i="1"/>
  <c r="D1836" i="1"/>
  <c r="E1836" i="1"/>
  <c r="F1836" i="1"/>
  <c r="G1836" i="1"/>
  <c r="H1836" i="1"/>
  <c r="I1836" i="1"/>
  <c r="J1836" i="1"/>
  <c r="K1836" i="1"/>
  <c r="L1836" i="1"/>
  <c r="M1836" i="1"/>
  <c r="N1836" i="1"/>
  <c r="O1836" i="1"/>
  <c r="P1836" i="1"/>
  <c r="Q1836" i="1"/>
  <c r="R1836" i="1"/>
  <c r="S1836" i="1"/>
  <c r="T1836" i="1"/>
  <c r="U1836" i="1"/>
  <c r="V1836" i="1"/>
  <c r="W1836" i="1"/>
  <c r="X1836" i="1"/>
  <c r="Y1836" i="1"/>
  <c r="Z1836" i="1"/>
  <c r="AA1836" i="1"/>
  <c r="AB1836" i="1"/>
  <c r="AC1836" i="1"/>
  <c r="AD1836" i="1"/>
  <c r="AE1836" i="1"/>
  <c r="AF1836" i="1"/>
  <c r="AG1836" i="1"/>
  <c r="AH1836" i="1"/>
  <c r="AI1836" i="1"/>
  <c r="AJ1836" i="1"/>
  <c r="AK1836" i="1"/>
  <c r="AL1836" i="1"/>
  <c r="AM1836" i="1"/>
  <c r="A1837" i="1"/>
  <c r="B1837" i="1"/>
  <c r="C1837" i="1"/>
  <c r="D1837" i="1"/>
  <c r="E1837" i="1"/>
  <c r="F1837" i="1"/>
  <c r="G1837" i="1"/>
  <c r="H1837" i="1"/>
  <c r="I1837" i="1"/>
  <c r="J1837" i="1"/>
  <c r="K1837" i="1"/>
  <c r="L1837" i="1"/>
  <c r="M1837" i="1"/>
  <c r="N1837" i="1"/>
  <c r="O1837" i="1"/>
  <c r="P1837" i="1"/>
  <c r="Q1837" i="1"/>
  <c r="R1837" i="1"/>
  <c r="S1837" i="1"/>
  <c r="T1837" i="1"/>
  <c r="U1837" i="1"/>
  <c r="V1837" i="1"/>
  <c r="W1837" i="1"/>
  <c r="X1837" i="1"/>
  <c r="Y1837" i="1"/>
  <c r="Z1837" i="1"/>
  <c r="AA1837" i="1"/>
  <c r="AB1837" i="1"/>
  <c r="AC1837" i="1"/>
  <c r="AD1837" i="1"/>
  <c r="AE1837" i="1"/>
  <c r="AF1837" i="1"/>
  <c r="AG1837" i="1"/>
  <c r="AH1837" i="1"/>
  <c r="AI1837" i="1"/>
  <c r="AJ1837" i="1"/>
  <c r="AK1837" i="1"/>
  <c r="AL1837" i="1"/>
  <c r="AM1837" i="1"/>
  <c r="A1838" i="1"/>
  <c r="B1838" i="1"/>
  <c r="C1838" i="1"/>
  <c r="D1838" i="1"/>
  <c r="E1838" i="1"/>
  <c r="F1838" i="1"/>
  <c r="G1838" i="1"/>
  <c r="H1838" i="1"/>
  <c r="I1838" i="1"/>
  <c r="J1838" i="1"/>
  <c r="K1838" i="1"/>
  <c r="L1838" i="1"/>
  <c r="M1838" i="1"/>
  <c r="N1838" i="1"/>
  <c r="O1838" i="1"/>
  <c r="P1838" i="1"/>
  <c r="Q1838" i="1"/>
  <c r="R1838" i="1"/>
  <c r="S1838" i="1"/>
  <c r="T1838" i="1"/>
  <c r="U1838" i="1"/>
  <c r="V1838" i="1"/>
  <c r="W1838" i="1"/>
  <c r="X1838" i="1"/>
  <c r="Y1838" i="1"/>
  <c r="Z1838" i="1"/>
  <c r="AA1838" i="1"/>
  <c r="AB1838" i="1"/>
  <c r="AC1838" i="1"/>
  <c r="AD1838" i="1"/>
  <c r="AE1838" i="1"/>
  <c r="AF1838" i="1"/>
  <c r="AG1838" i="1"/>
  <c r="AH1838" i="1"/>
  <c r="AI1838" i="1"/>
  <c r="AJ1838" i="1"/>
  <c r="AK1838" i="1"/>
  <c r="AL1838" i="1"/>
  <c r="AM1838" i="1"/>
  <c r="A1839" i="1"/>
  <c r="B1839" i="1"/>
  <c r="C1839" i="1"/>
  <c r="D1839" i="1"/>
  <c r="E1839" i="1"/>
  <c r="F1839" i="1"/>
  <c r="G1839" i="1"/>
  <c r="H1839" i="1"/>
  <c r="I1839" i="1"/>
  <c r="J1839" i="1"/>
  <c r="K1839" i="1"/>
  <c r="L1839" i="1"/>
  <c r="M1839" i="1"/>
  <c r="N1839" i="1"/>
  <c r="O1839" i="1"/>
  <c r="P1839" i="1"/>
  <c r="Q1839" i="1"/>
  <c r="R1839" i="1"/>
  <c r="S1839" i="1"/>
  <c r="T1839" i="1"/>
  <c r="U1839" i="1"/>
  <c r="V1839" i="1"/>
  <c r="W1839" i="1"/>
  <c r="X1839" i="1"/>
  <c r="Y1839" i="1"/>
  <c r="Z1839" i="1"/>
  <c r="AA1839" i="1"/>
  <c r="AB1839" i="1"/>
  <c r="AC1839" i="1"/>
  <c r="AD1839" i="1"/>
  <c r="AE1839" i="1"/>
  <c r="AF1839" i="1"/>
  <c r="AG1839" i="1"/>
  <c r="AH1839" i="1"/>
  <c r="AI1839" i="1"/>
  <c r="AJ1839" i="1"/>
  <c r="AK1839" i="1"/>
  <c r="AL1839" i="1"/>
  <c r="AM1839" i="1"/>
  <c r="A1840" i="1"/>
  <c r="B1840" i="1"/>
  <c r="C1840" i="1"/>
  <c r="D1840" i="1"/>
  <c r="E1840" i="1"/>
  <c r="F1840" i="1"/>
  <c r="G1840" i="1"/>
  <c r="H1840" i="1"/>
  <c r="I1840" i="1"/>
  <c r="J1840" i="1"/>
  <c r="K1840" i="1"/>
  <c r="L1840" i="1"/>
  <c r="M1840" i="1"/>
  <c r="N1840" i="1"/>
  <c r="O1840" i="1"/>
  <c r="P1840" i="1"/>
  <c r="Q1840" i="1"/>
  <c r="R1840" i="1"/>
  <c r="S1840" i="1"/>
  <c r="T1840" i="1"/>
  <c r="U1840" i="1"/>
  <c r="V1840" i="1"/>
  <c r="W1840" i="1"/>
  <c r="X1840" i="1"/>
  <c r="Y1840" i="1"/>
  <c r="Z1840" i="1"/>
  <c r="AA1840" i="1"/>
  <c r="AB1840" i="1"/>
  <c r="AC1840" i="1"/>
  <c r="AD1840" i="1"/>
  <c r="AE1840" i="1"/>
  <c r="AF1840" i="1"/>
  <c r="AG1840" i="1"/>
  <c r="AH1840" i="1"/>
  <c r="AI1840" i="1"/>
  <c r="AJ1840" i="1"/>
  <c r="AK1840" i="1"/>
  <c r="AL1840" i="1"/>
  <c r="AM1840" i="1"/>
  <c r="A1841" i="1"/>
  <c r="B1841" i="1"/>
  <c r="C1841" i="1"/>
  <c r="D1841" i="1"/>
  <c r="E1841" i="1"/>
  <c r="F1841" i="1"/>
  <c r="G1841" i="1"/>
  <c r="H1841" i="1"/>
  <c r="I1841" i="1"/>
  <c r="J1841" i="1"/>
  <c r="K1841" i="1"/>
  <c r="L1841" i="1"/>
  <c r="M1841" i="1"/>
  <c r="N1841" i="1"/>
  <c r="O1841" i="1"/>
  <c r="P1841" i="1"/>
  <c r="Q1841" i="1"/>
  <c r="R1841" i="1"/>
  <c r="S1841" i="1"/>
  <c r="T1841" i="1"/>
  <c r="U1841" i="1"/>
  <c r="V1841" i="1"/>
  <c r="W1841" i="1"/>
  <c r="X1841" i="1"/>
  <c r="Y1841" i="1"/>
  <c r="Z1841" i="1"/>
  <c r="AA1841" i="1"/>
  <c r="AB1841" i="1"/>
  <c r="AC1841" i="1"/>
  <c r="AD1841" i="1"/>
  <c r="AE1841" i="1"/>
  <c r="AF1841" i="1"/>
  <c r="AG1841" i="1"/>
  <c r="AH1841" i="1"/>
  <c r="AI1841" i="1"/>
  <c r="AJ1841" i="1"/>
  <c r="AK1841" i="1"/>
  <c r="AL1841" i="1"/>
  <c r="AM1841" i="1"/>
  <c r="A1842" i="1"/>
  <c r="B1842" i="1"/>
  <c r="C1842" i="1"/>
  <c r="D1842" i="1"/>
  <c r="E1842" i="1"/>
  <c r="F1842" i="1"/>
  <c r="G1842" i="1"/>
  <c r="H1842" i="1"/>
  <c r="I1842" i="1"/>
  <c r="J1842" i="1"/>
  <c r="K1842" i="1"/>
  <c r="L1842" i="1"/>
  <c r="M1842" i="1"/>
  <c r="N1842" i="1"/>
  <c r="O1842" i="1"/>
  <c r="P1842" i="1"/>
  <c r="Q1842" i="1"/>
  <c r="R1842" i="1"/>
  <c r="S1842" i="1"/>
  <c r="T1842" i="1"/>
  <c r="U1842" i="1"/>
  <c r="V1842" i="1"/>
  <c r="W1842" i="1"/>
  <c r="X1842" i="1"/>
  <c r="Y1842" i="1"/>
  <c r="Z1842" i="1"/>
  <c r="AA1842" i="1"/>
  <c r="AB1842" i="1"/>
  <c r="AC1842" i="1"/>
  <c r="AD1842" i="1"/>
  <c r="AE1842" i="1"/>
  <c r="AF1842" i="1"/>
  <c r="AG1842" i="1"/>
  <c r="AH1842" i="1"/>
  <c r="AI1842" i="1"/>
  <c r="AJ1842" i="1"/>
  <c r="AK1842" i="1"/>
  <c r="AL1842" i="1"/>
  <c r="AM1842" i="1"/>
  <c r="A1843" i="1"/>
  <c r="B1843" i="1"/>
  <c r="C1843" i="1"/>
  <c r="D1843" i="1"/>
  <c r="E1843" i="1"/>
  <c r="F1843" i="1"/>
  <c r="G1843" i="1"/>
  <c r="H1843" i="1"/>
  <c r="I1843" i="1"/>
  <c r="J1843" i="1"/>
  <c r="K1843" i="1"/>
  <c r="L1843" i="1"/>
  <c r="M1843" i="1"/>
  <c r="N1843" i="1"/>
  <c r="O1843" i="1"/>
  <c r="P1843" i="1"/>
  <c r="Q1843" i="1"/>
  <c r="R1843" i="1"/>
  <c r="S1843" i="1"/>
  <c r="T1843" i="1"/>
  <c r="U1843" i="1"/>
  <c r="V1843" i="1"/>
  <c r="W1843" i="1"/>
  <c r="X1843" i="1"/>
  <c r="Y1843" i="1"/>
  <c r="Z1843" i="1"/>
  <c r="AA1843" i="1"/>
  <c r="AB1843" i="1"/>
  <c r="AC1843" i="1"/>
  <c r="AD1843" i="1"/>
  <c r="AE1843" i="1"/>
  <c r="AF1843" i="1"/>
  <c r="AG1843" i="1"/>
  <c r="AH1843" i="1"/>
  <c r="AI1843" i="1"/>
  <c r="AJ1843" i="1"/>
  <c r="AK1843" i="1"/>
  <c r="AL1843" i="1"/>
  <c r="AM1843" i="1"/>
  <c r="A1844" i="1"/>
  <c r="B1844" i="1"/>
  <c r="C1844" i="1"/>
  <c r="D1844" i="1"/>
  <c r="E1844" i="1"/>
  <c r="F1844" i="1"/>
  <c r="G1844" i="1"/>
  <c r="H1844" i="1"/>
  <c r="I1844" i="1"/>
  <c r="J1844" i="1"/>
  <c r="K1844" i="1"/>
  <c r="L1844" i="1"/>
  <c r="M1844" i="1"/>
  <c r="N1844" i="1"/>
  <c r="O1844" i="1"/>
  <c r="P1844" i="1"/>
  <c r="Q1844" i="1"/>
  <c r="R1844" i="1"/>
  <c r="S1844" i="1"/>
  <c r="T1844" i="1"/>
  <c r="U1844" i="1"/>
  <c r="V1844" i="1"/>
  <c r="W1844" i="1"/>
  <c r="X1844" i="1"/>
  <c r="Y1844" i="1"/>
  <c r="Z1844" i="1"/>
  <c r="AA1844" i="1"/>
  <c r="AB1844" i="1"/>
  <c r="AC1844" i="1"/>
  <c r="AD1844" i="1"/>
  <c r="AE1844" i="1"/>
  <c r="AF1844" i="1"/>
  <c r="AG1844" i="1"/>
  <c r="AH1844" i="1"/>
  <c r="AI1844" i="1"/>
  <c r="AJ1844" i="1"/>
  <c r="AK1844" i="1"/>
  <c r="AL1844" i="1"/>
  <c r="AM1844" i="1"/>
  <c r="A1845" i="1"/>
  <c r="B1845" i="1"/>
  <c r="C1845" i="1"/>
  <c r="D1845" i="1"/>
  <c r="E1845" i="1"/>
  <c r="F1845" i="1"/>
  <c r="G1845" i="1"/>
  <c r="H1845" i="1"/>
  <c r="I1845" i="1"/>
  <c r="J1845" i="1"/>
  <c r="K1845" i="1"/>
  <c r="L1845" i="1"/>
  <c r="M1845" i="1"/>
  <c r="N1845" i="1"/>
  <c r="O1845" i="1"/>
  <c r="P1845" i="1"/>
  <c r="Q1845" i="1"/>
  <c r="R1845" i="1"/>
  <c r="S1845" i="1"/>
  <c r="T1845" i="1"/>
  <c r="U1845" i="1"/>
  <c r="V1845" i="1"/>
  <c r="W1845" i="1"/>
  <c r="X1845" i="1"/>
  <c r="Y1845" i="1"/>
  <c r="Z1845" i="1"/>
  <c r="AA1845" i="1"/>
  <c r="AB1845" i="1"/>
  <c r="AC1845" i="1"/>
  <c r="AD1845" i="1"/>
  <c r="AE1845" i="1"/>
  <c r="AF1845" i="1"/>
  <c r="AG1845" i="1"/>
  <c r="AH1845" i="1"/>
  <c r="AI1845" i="1"/>
  <c r="AJ1845" i="1"/>
  <c r="AK1845" i="1"/>
  <c r="AL1845" i="1"/>
  <c r="AM1845" i="1"/>
  <c r="A1846" i="1"/>
  <c r="B1846" i="1"/>
  <c r="C1846" i="1"/>
  <c r="D1846" i="1"/>
  <c r="E1846" i="1"/>
  <c r="F1846" i="1"/>
  <c r="G1846" i="1"/>
  <c r="H1846" i="1"/>
  <c r="I1846" i="1"/>
  <c r="J1846" i="1"/>
  <c r="K1846" i="1"/>
  <c r="L1846" i="1"/>
  <c r="M1846" i="1"/>
  <c r="N1846" i="1"/>
  <c r="O1846" i="1"/>
  <c r="P1846" i="1"/>
  <c r="Q1846" i="1"/>
  <c r="R1846" i="1"/>
  <c r="S1846" i="1"/>
  <c r="T1846" i="1"/>
  <c r="U1846" i="1"/>
  <c r="V1846" i="1"/>
  <c r="W1846" i="1"/>
  <c r="X1846" i="1"/>
  <c r="Y1846" i="1"/>
  <c r="Z1846" i="1"/>
  <c r="AA1846" i="1"/>
  <c r="AB1846" i="1"/>
  <c r="AC1846" i="1"/>
  <c r="AD1846" i="1"/>
  <c r="AE1846" i="1"/>
  <c r="AF1846" i="1"/>
  <c r="AG1846" i="1"/>
  <c r="AH1846" i="1"/>
  <c r="AI1846" i="1"/>
  <c r="AJ1846" i="1"/>
  <c r="AK1846" i="1"/>
  <c r="AL1846" i="1"/>
  <c r="AM1846" i="1"/>
  <c r="A1847" i="1"/>
  <c r="B1847" i="1"/>
  <c r="C1847" i="1"/>
  <c r="D1847" i="1"/>
  <c r="E1847" i="1"/>
  <c r="F1847" i="1"/>
  <c r="G1847" i="1"/>
  <c r="H1847" i="1"/>
  <c r="I1847" i="1"/>
  <c r="J1847" i="1"/>
  <c r="K1847" i="1"/>
  <c r="L1847" i="1"/>
  <c r="M1847" i="1"/>
  <c r="N1847" i="1"/>
  <c r="O1847" i="1"/>
  <c r="P1847" i="1"/>
  <c r="Q1847" i="1"/>
  <c r="R1847" i="1"/>
  <c r="S1847" i="1"/>
  <c r="T1847" i="1"/>
  <c r="U1847" i="1"/>
  <c r="V1847" i="1"/>
  <c r="W1847" i="1"/>
  <c r="X1847" i="1"/>
  <c r="Y1847" i="1"/>
  <c r="Z1847" i="1"/>
  <c r="AA1847" i="1"/>
  <c r="AB1847" i="1"/>
  <c r="AC1847" i="1"/>
  <c r="AD1847" i="1"/>
  <c r="AE1847" i="1"/>
  <c r="AF1847" i="1"/>
  <c r="AG1847" i="1"/>
  <c r="AH1847" i="1"/>
  <c r="AI1847" i="1"/>
  <c r="AJ1847" i="1"/>
  <c r="AK1847" i="1"/>
  <c r="AL1847" i="1"/>
  <c r="AM1847" i="1"/>
  <c r="A1848" i="1"/>
  <c r="B1848" i="1"/>
  <c r="C1848" i="1"/>
  <c r="D1848" i="1"/>
  <c r="E1848" i="1"/>
  <c r="F1848" i="1"/>
  <c r="G1848" i="1"/>
  <c r="H1848" i="1"/>
  <c r="I1848" i="1"/>
  <c r="J1848" i="1"/>
  <c r="K1848" i="1"/>
  <c r="L1848" i="1"/>
  <c r="M1848" i="1"/>
  <c r="N1848" i="1"/>
  <c r="O1848" i="1"/>
  <c r="P1848" i="1"/>
  <c r="Q1848" i="1"/>
  <c r="R1848" i="1"/>
  <c r="S1848" i="1"/>
  <c r="T1848" i="1"/>
  <c r="U1848" i="1"/>
  <c r="V1848" i="1"/>
  <c r="W1848" i="1"/>
  <c r="X1848" i="1"/>
  <c r="Y1848" i="1"/>
  <c r="Z1848" i="1"/>
  <c r="AA1848" i="1"/>
  <c r="AB1848" i="1"/>
  <c r="AC1848" i="1"/>
  <c r="AD1848" i="1"/>
  <c r="AE1848" i="1"/>
  <c r="AF1848" i="1"/>
  <c r="AG1848" i="1"/>
  <c r="AH1848" i="1"/>
  <c r="AI1848" i="1"/>
  <c r="AJ1848" i="1"/>
  <c r="AK1848" i="1"/>
  <c r="AL1848" i="1"/>
  <c r="AM1848" i="1"/>
  <c r="A1849" i="1"/>
  <c r="B1849" i="1"/>
  <c r="C1849" i="1"/>
  <c r="D1849" i="1"/>
  <c r="E1849" i="1"/>
  <c r="F1849" i="1"/>
  <c r="G1849" i="1"/>
  <c r="H1849" i="1"/>
  <c r="I1849" i="1"/>
  <c r="J1849" i="1"/>
  <c r="K1849" i="1"/>
  <c r="L1849" i="1"/>
  <c r="M1849" i="1"/>
  <c r="N1849" i="1"/>
  <c r="O1849" i="1"/>
  <c r="P1849" i="1"/>
  <c r="Q1849" i="1"/>
  <c r="R1849" i="1"/>
  <c r="S1849" i="1"/>
  <c r="T1849" i="1"/>
  <c r="U1849" i="1"/>
  <c r="V1849" i="1"/>
  <c r="W1849" i="1"/>
  <c r="X1849" i="1"/>
  <c r="Y1849" i="1"/>
  <c r="Z1849" i="1"/>
  <c r="AA1849" i="1"/>
  <c r="AB1849" i="1"/>
  <c r="AC1849" i="1"/>
  <c r="AD1849" i="1"/>
  <c r="AE1849" i="1"/>
  <c r="AF1849" i="1"/>
  <c r="AG1849" i="1"/>
  <c r="AH1849" i="1"/>
  <c r="AI1849" i="1"/>
  <c r="AJ1849" i="1"/>
  <c r="AK1849" i="1"/>
  <c r="AL1849" i="1"/>
  <c r="AM1849" i="1"/>
  <c r="A1850" i="1"/>
  <c r="B1850" i="1"/>
  <c r="C1850" i="1"/>
  <c r="D1850" i="1"/>
  <c r="E1850" i="1"/>
  <c r="F1850" i="1"/>
  <c r="G1850" i="1"/>
  <c r="H1850" i="1"/>
  <c r="I1850" i="1"/>
  <c r="J1850" i="1"/>
  <c r="K1850" i="1"/>
  <c r="L1850" i="1"/>
  <c r="M1850" i="1"/>
  <c r="N1850" i="1"/>
  <c r="O1850" i="1"/>
  <c r="P1850" i="1"/>
  <c r="Q1850" i="1"/>
  <c r="R1850" i="1"/>
  <c r="S1850" i="1"/>
  <c r="T1850" i="1"/>
  <c r="U1850" i="1"/>
  <c r="V1850" i="1"/>
  <c r="W1850" i="1"/>
  <c r="X1850" i="1"/>
  <c r="Y1850" i="1"/>
  <c r="Z1850" i="1"/>
  <c r="AA1850" i="1"/>
  <c r="AB1850" i="1"/>
  <c r="AC1850" i="1"/>
  <c r="AD1850" i="1"/>
  <c r="AE1850" i="1"/>
  <c r="AF1850" i="1"/>
  <c r="AG1850" i="1"/>
  <c r="AH1850" i="1"/>
  <c r="AI1850" i="1"/>
  <c r="AJ1850" i="1"/>
  <c r="AK1850" i="1"/>
  <c r="AL1850" i="1"/>
  <c r="AM1850" i="1"/>
  <c r="A1851" i="1"/>
  <c r="B1851" i="1"/>
  <c r="C1851" i="1"/>
  <c r="D1851" i="1"/>
  <c r="E1851" i="1"/>
  <c r="F1851" i="1"/>
  <c r="G1851" i="1"/>
  <c r="H1851" i="1"/>
  <c r="I1851" i="1"/>
  <c r="J1851" i="1"/>
  <c r="K1851" i="1"/>
  <c r="L1851" i="1"/>
  <c r="M1851" i="1"/>
  <c r="N1851" i="1"/>
  <c r="O1851" i="1"/>
  <c r="P1851" i="1"/>
  <c r="Q1851" i="1"/>
  <c r="R1851" i="1"/>
  <c r="S1851" i="1"/>
  <c r="T1851" i="1"/>
  <c r="U1851" i="1"/>
  <c r="V1851" i="1"/>
  <c r="W1851" i="1"/>
  <c r="X1851" i="1"/>
  <c r="Y1851" i="1"/>
  <c r="Z1851" i="1"/>
  <c r="AA1851" i="1"/>
  <c r="AB1851" i="1"/>
  <c r="AC1851" i="1"/>
  <c r="AD1851" i="1"/>
  <c r="AE1851" i="1"/>
  <c r="AF1851" i="1"/>
  <c r="AG1851" i="1"/>
  <c r="AH1851" i="1"/>
  <c r="AI1851" i="1"/>
  <c r="AJ1851" i="1"/>
  <c r="AK1851" i="1"/>
  <c r="AL1851" i="1"/>
  <c r="AM1851" i="1"/>
  <c r="A1852" i="1"/>
  <c r="B1852" i="1"/>
  <c r="C1852" i="1"/>
  <c r="D1852" i="1"/>
  <c r="E1852" i="1"/>
  <c r="F1852" i="1"/>
  <c r="G1852" i="1"/>
  <c r="H1852" i="1"/>
  <c r="I1852" i="1"/>
  <c r="J1852" i="1"/>
  <c r="K1852" i="1"/>
  <c r="L1852" i="1"/>
  <c r="M1852" i="1"/>
  <c r="N1852" i="1"/>
  <c r="O1852" i="1"/>
  <c r="P1852" i="1"/>
  <c r="Q1852" i="1"/>
  <c r="R1852" i="1"/>
  <c r="S1852" i="1"/>
  <c r="T1852" i="1"/>
  <c r="U1852" i="1"/>
  <c r="V1852" i="1"/>
  <c r="W1852" i="1"/>
  <c r="X1852" i="1"/>
  <c r="Y1852" i="1"/>
  <c r="Z1852" i="1"/>
  <c r="AA1852" i="1"/>
  <c r="AB1852" i="1"/>
  <c r="AC1852" i="1"/>
  <c r="AD1852" i="1"/>
  <c r="AE1852" i="1"/>
  <c r="AF1852" i="1"/>
  <c r="AG1852" i="1"/>
  <c r="AH1852" i="1"/>
  <c r="AI1852" i="1"/>
  <c r="AJ1852" i="1"/>
  <c r="AK1852" i="1"/>
  <c r="AL1852" i="1"/>
  <c r="AM1852" i="1"/>
  <c r="A1853" i="1"/>
  <c r="B1853" i="1"/>
  <c r="C1853" i="1"/>
  <c r="D1853" i="1"/>
  <c r="E1853" i="1"/>
  <c r="F1853" i="1"/>
  <c r="G1853" i="1"/>
  <c r="H1853" i="1"/>
  <c r="I1853" i="1"/>
  <c r="J1853" i="1"/>
  <c r="K1853" i="1"/>
  <c r="L1853" i="1"/>
  <c r="M1853" i="1"/>
  <c r="N1853" i="1"/>
  <c r="O1853" i="1"/>
  <c r="P1853" i="1"/>
  <c r="Q1853" i="1"/>
  <c r="R1853" i="1"/>
  <c r="S1853" i="1"/>
  <c r="T1853" i="1"/>
  <c r="U1853" i="1"/>
  <c r="V1853" i="1"/>
  <c r="W1853" i="1"/>
  <c r="X1853" i="1"/>
  <c r="Y1853" i="1"/>
  <c r="Z1853" i="1"/>
  <c r="AA1853" i="1"/>
  <c r="AB1853" i="1"/>
  <c r="AC1853" i="1"/>
  <c r="AD1853" i="1"/>
  <c r="AE1853" i="1"/>
  <c r="AF1853" i="1"/>
  <c r="AG1853" i="1"/>
  <c r="AH1853" i="1"/>
  <c r="AI1853" i="1"/>
  <c r="AJ1853" i="1"/>
  <c r="AK1853" i="1"/>
  <c r="AL1853" i="1"/>
  <c r="AM1853" i="1"/>
  <c r="A1854" i="1"/>
  <c r="B1854" i="1"/>
  <c r="C1854" i="1"/>
  <c r="D1854" i="1"/>
  <c r="E1854" i="1"/>
  <c r="F1854" i="1"/>
  <c r="G1854" i="1"/>
  <c r="H1854" i="1"/>
  <c r="I1854" i="1"/>
  <c r="J1854" i="1"/>
  <c r="K1854" i="1"/>
  <c r="L1854" i="1"/>
  <c r="M1854" i="1"/>
  <c r="N1854" i="1"/>
  <c r="O1854" i="1"/>
  <c r="P1854" i="1"/>
  <c r="Q1854" i="1"/>
  <c r="R1854" i="1"/>
  <c r="S1854" i="1"/>
  <c r="T1854" i="1"/>
  <c r="U1854" i="1"/>
  <c r="V1854" i="1"/>
  <c r="W1854" i="1"/>
  <c r="X1854" i="1"/>
  <c r="Y1854" i="1"/>
  <c r="Z1854" i="1"/>
  <c r="AA1854" i="1"/>
  <c r="AB1854" i="1"/>
  <c r="AC1854" i="1"/>
  <c r="AD1854" i="1"/>
  <c r="AE1854" i="1"/>
  <c r="AF1854" i="1"/>
  <c r="AG1854" i="1"/>
  <c r="AH1854" i="1"/>
  <c r="AI1854" i="1"/>
  <c r="AJ1854" i="1"/>
  <c r="AK1854" i="1"/>
  <c r="AL1854" i="1"/>
  <c r="AM1854" i="1"/>
  <c r="A1855" i="1"/>
  <c r="B1855" i="1"/>
  <c r="C1855" i="1"/>
  <c r="D1855" i="1"/>
  <c r="E1855" i="1"/>
  <c r="F1855" i="1"/>
  <c r="G1855" i="1"/>
  <c r="H1855" i="1"/>
  <c r="I1855" i="1"/>
  <c r="J1855" i="1"/>
  <c r="K1855" i="1"/>
  <c r="L1855" i="1"/>
  <c r="M1855" i="1"/>
  <c r="N1855" i="1"/>
  <c r="O1855" i="1"/>
  <c r="P1855" i="1"/>
  <c r="Q1855" i="1"/>
  <c r="R1855" i="1"/>
  <c r="S1855" i="1"/>
  <c r="T1855" i="1"/>
  <c r="U1855" i="1"/>
  <c r="V1855" i="1"/>
  <c r="W1855" i="1"/>
  <c r="X1855" i="1"/>
  <c r="Y1855" i="1"/>
  <c r="Z1855" i="1"/>
  <c r="AA1855" i="1"/>
  <c r="AB1855" i="1"/>
  <c r="AC1855" i="1"/>
  <c r="AD1855" i="1"/>
  <c r="AE1855" i="1"/>
  <c r="AF1855" i="1"/>
  <c r="AG1855" i="1"/>
  <c r="AH1855" i="1"/>
  <c r="AI1855" i="1"/>
  <c r="AJ1855" i="1"/>
  <c r="AK1855" i="1"/>
  <c r="AL1855" i="1"/>
  <c r="AM1855" i="1"/>
  <c r="A1856" i="1"/>
  <c r="B1856" i="1"/>
  <c r="C1856" i="1"/>
  <c r="D1856" i="1"/>
  <c r="E1856" i="1"/>
  <c r="F1856" i="1"/>
  <c r="G1856" i="1"/>
  <c r="H1856" i="1"/>
  <c r="I1856" i="1"/>
  <c r="J1856" i="1"/>
  <c r="K1856" i="1"/>
  <c r="L1856" i="1"/>
  <c r="M1856" i="1"/>
  <c r="N1856" i="1"/>
  <c r="O1856" i="1"/>
  <c r="P1856" i="1"/>
  <c r="Q1856" i="1"/>
  <c r="R1856" i="1"/>
  <c r="S1856" i="1"/>
  <c r="T1856" i="1"/>
  <c r="U1856" i="1"/>
  <c r="V1856" i="1"/>
  <c r="W1856" i="1"/>
  <c r="X1856" i="1"/>
  <c r="Y1856" i="1"/>
  <c r="Z1856" i="1"/>
  <c r="AA1856" i="1"/>
  <c r="AB1856" i="1"/>
  <c r="AC1856" i="1"/>
  <c r="AD1856" i="1"/>
  <c r="AE1856" i="1"/>
  <c r="AF1856" i="1"/>
  <c r="AG1856" i="1"/>
  <c r="AH1856" i="1"/>
  <c r="AI1856" i="1"/>
  <c r="AJ1856" i="1"/>
  <c r="AK1856" i="1"/>
  <c r="AL1856" i="1"/>
  <c r="AM1856" i="1"/>
  <c r="A1857" i="1"/>
  <c r="B1857" i="1"/>
  <c r="C1857" i="1"/>
  <c r="D1857" i="1"/>
  <c r="E1857" i="1"/>
  <c r="F1857" i="1"/>
  <c r="G1857" i="1"/>
  <c r="H1857" i="1"/>
  <c r="I1857" i="1"/>
  <c r="J1857" i="1"/>
  <c r="K1857" i="1"/>
  <c r="L1857" i="1"/>
  <c r="M1857" i="1"/>
  <c r="N1857" i="1"/>
  <c r="O1857" i="1"/>
  <c r="P1857" i="1"/>
  <c r="Q1857" i="1"/>
  <c r="R1857" i="1"/>
  <c r="S1857" i="1"/>
  <c r="T1857" i="1"/>
  <c r="U1857" i="1"/>
  <c r="V1857" i="1"/>
  <c r="W1857" i="1"/>
  <c r="X1857" i="1"/>
  <c r="Y1857" i="1"/>
  <c r="Z1857" i="1"/>
  <c r="AA1857" i="1"/>
  <c r="AB1857" i="1"/>
  <c r="AC1857" i="1"/>
  <c r="AD1857" i="1"/>
  <c r="AE1857" i="1"/>
  <c r="AF1857" i="1"/>
  <c r="AG1857" i="1"/>
  <c r="AH1857" i="1"/>
  <c r="AI1857" i="1"/>
  <c r="AJ1857" i="1"/>
  <c r="AK1857" i="1"/>
  <c r="AL1857" i="1"/>
  <c r="AM1857" i="1"/>
  <c r="A1858" i="1"/>
  <c r="B1858" i="1"/>
  <c r="C1858" i="1"/>
  <c r="D1858" i="1"/>
  <c r="E1858" i="1"/>
  <c r="F1858" i="1"/>
  <c r="G1858" i="1"/>
  <c r="H1858" i="1"/>
  <c r="I1858" i="1"/>
  <c r="J1858" i="1"/>
  <c r="K1858" i="1"/>
  <c r="L1858" i="1"/>
  <c r="M1858" i="1"/>
  <c r="N1858" i="1"/>
  <c r="O1858" i="1"/>
  <c r="P1858" i="1"/>
  <c r="Q1858" i="1"/>
  <c r="R1858" i="1"/>
  <c r="S1858" i="1"/>
  <c r="T1858" i="1"/>
  <c r="U1858" i="1"/>
  <c r="V1858" i="1"/>
  <c r="W1858" i="1"/>
  <c r="X1858" i="1"/>
  <c r="Y1858" i="1"/>
  <c r="Z1858" i="1"/>
  <c r="AA1858" i="1"/>
  <c r="AB1858" i="1"/>
  <c r="AC1858" i="1"/>
  <c r="AD1858" i="1"/>
  <c r="AE1858" i="1"/>
  <c r="AF1858" i="1"/>
  <c r="AG1858" i="1"/>
  <c r="AH1858" i="1"/>
  <c r="AI1858" i="1"/>
  <c r="AJ1858" i="1"/>
  <c r="AK1858" i="1"/>
  <c r="AL1858" i="1"/>
  <c r="AM1858" i="1"/>
  <c r="A1859" i="1"/>
  <c r="B1859" i="1"/>
  <c r="C1859" i="1"/>
  <c r="D1859" i="1"/>
  <c r="E1859" i="1"/>
  <c r="F1859" i="1"/>
  <c r="G1859" i="1"/>
  <c r="H1859" i="1"/>
  <c r="I1859" i="1"/>
  <c r="J1859" i="1"/>
  <c r="K1859" i="1"/>
  <c r="L1859" i="1"/>
  <c r="M1859" i="1"/>
  <c r="N1859" i="1"/>
  <c r="O1859" i="1"/>
  <c r="P1859" i="1"/>
  <c r="Q1859" i="1"/>
  <c r="R1859" i="1"/>
  <c r="S1859" i="1"/>
  <c r="T1859" i="1"/>
  <c r="U1859" i="1"/>
  <c r="V1859" i="1"/>
  <c r="W1859" i="1"/>
  <c r="X1859" i="1"/>
  <c r="Y1859" i="1"/>
  <c r="Z1859" i="1"/>
  <c r="AA1859" i="1"/>
  <c r="AB1859" i="1"/>
  <c r="AC1859" i="1"/>
  <c r="AD1859" i="1"/>
  <c r="AE1859" i="1"/>
  <c r="AF1859" i="1"/>
  <c r="AG1859" i="1"/>
  <c r="AH1859" i="1"/>
  <c r="AI1859" i="1"/>
  <c r="AJ1859" i="1"/>
  <c r="AK1859" i="1"/>
  <c r="AL1859" i="1"/>
  <c r="AM1859" i="1"/>
  <c r="A1860" i="1"/>
  <c r="B1860" i="1"/>
  <c r="C1860" i="1"/>
  <c r="D1860" i="1"/>
  <c r="E1860" i="1"/>
  <c r="F1860" i="1"/>
  <c r="G1860" i="1"/>
  <c r="H1860" i="1"/>
  <c r="I1860" i="1"/>
  <c r="J1860" i="1"/>
  <c r="K1860" i="1"/>
  <c r="L1860" i="1"/>
  <c r="M1860" i="1"/>
  <c r="N1860" i="1"/>
  <c r="O1860" i="1"/>
  <c r="P1860" i="1"/>
  <c r="Q1860" i="1"/>
  <c r="R1860" i="1"/>
  <c r="S1860" i="1"/>
  <c r="T1860" i="1"/>
  <c r="U1860" i="1"/>
  <c r="V1860" i="1"/>
  <c r="W1860" i="1"/>
  <c r="X1860" i="1"/>
  <c r="Y1860" i="1"/>
  <c r="Z1860" i="1"/>
  <c r="AA1860" i="1"/>
  <c r="AB1860" i="1"/>
  <c r="AC1860" i="1"/>
  <c r="AD1860" i="1"/>
  <c r="AE1860" i="1"/>
  <c r="AF1860" i="1"/>
  <c r="AG1860" i="1"/>
  <c r="AH1860" i="1"/>
  <c r="AI1860" i="1"/>
  <c r="AJ1860" i="1"/>
  <c r="AK1860" i="1"/>
  <c r="AL1860" i="1"/>
  <c r="AM1860" i="1"/>
  <c r="A1861" i="1"/>
  <c r="B1861" i="1"/>
  <c r="C1861" i="1"/>
  <c r="D1861" i="1"/>
  <c r="E1861" i="1"/>
  <c r="F1861" i="1"/>
  <c r="G1861" i="1"/>
  <c r="H1861" i="1"/>
  <c r="I1861" i="1"/>
  <c r="J1861" i="1"/>
  <c r="K1861" i="1"/>
  <c r="L1861" i="1"/>
  <c r="M1861" i="1"/>
  <c r="N1861" i="1"/>
  <c r="O1861" i="1"/>
  <c r="P1861" i="1"/>
  <c r="Q1861" i="1"/>
  <c r="R1861" i="1"/>
  <c r="S1861" i="1"/>
  <c r="T1861" i="1"/>
  <c r="U1861" i="1"/>
  <c r="V1861" i="1"/>
  <c r="W1861" i="1"/>
  <c r="X1861" i="1"/>
  <c r="Y1861" i="1"/>
  <c r="Z1861" i="1"/>
  <c r="AA1861" i="1"/>
  <c r="AB1861" i="1"/>
  <c r="AC1861" i="1"/>
  <c r="AD1861" i="1"/>
  <c r="AE1861" i="1"/>
  <c r="AF1861" i="1"/>
  <c r="AG1861" i="1"/>
  <c r="AH1861" i="1"/>
  <c r="AI1861" i="1"/>
  <c r="AJ1861" i="1"/>
  <c r="AK1861" i="1"/>
  <c r="AL1861" i="1"/>
  <c r="AM1861" i="1"/>
  <c r="A1862" i="1"/>
  <c r="B1862" i="1"/>
  <c r="C1862" i="1"/>
  <c r="D1862" i="1"/>
  <c r="E1862" i="1"/>
  <c r="F1862" i="1"/>
  <c r="G1862" i="1"/>
  <c r="H1862" i="1"/>
  <c r="I1862" i="1"/>
  <c r="J1862" i="1"/>
  <c r="K1862" i="1"/>
  <c r="L1862" i="1"/>
  <c r="M1862" i="1"/>
  <c r="N1862" i="1"/>
  <c r="O1862" i="1"/>
  <c r="P1862" i="1"/>
  <c r="Q1862" i="1"/>
  <c r="R1862" i="1"/>
  <c r="S1862" i="1"/>
  <c r="T1862" i="1"/>
  <c r="U1862" i="1"/>
  <c r="V1862" i="1"/>
  <c r="W1862" i="1"/>
  <c r="X1862" i="1"/>
  <c r="Y1862" i="1"/>
  <c r="Z1862" i="1"/>
  <c r="AA1862" i="1"/>
  <c r="AB1862" i="1"/>
  <c r="AC1862" i="1"/>
  <c r="AD1862" i="1"/>
  <c r="AE1862" i="1"/>
  <c r="AF1862" i="1"/>
  <c r="AG1862" i="1"/>
  <c r="AH1862" i="1"/>
  <c r="AI1862" i="1"/>
  <c r="AJ1862" i="1"/>
  <c r="AK1862" i="1"/>
  <c r="AL1862" i="1"/>
  <c r="AM1862" i="1"/>
  <c r="A1863" i="1"/>
  <c r="B1863" i="1"/>
  <c r="C1863" i="1"/>
  <c r="D1863" i="1"/>
  <c r="E1863" i="1"/>
  <c r="F1863" i="1"/>
  <c r="G1863" i="1"/>
  <c r="H1863" i="1"/>
  <c r="I1863" i="1"/>
  <c r="J1863" i="1"/>
  <c r="K1863" i="1"/>
  <c r="L1863" i="1"/>
  <c r="M1863" i="1"/>
  <c r="N1863" i="1"/>
  <c r="O1863" i="1"/>
  <c r="P1863" i="1"/>
  <c r="Q1863" i="1"/>
  <c r="R1863" i="1"/>
  <c r="S1863" i="1"/>
  <c r="T1863" i="1"/>
  <c r="U1863" i="1"/>
  <c r="V1863" i="1"/>
  <c r="W1863" i="1"/>
  <c r="X1863" i="1"/>
  <c r="Y1863" i="1"/>
  <c r="Z1863" i="1"/>
  <c r="AA1863" i="1"/>
  <c r="AB1863" i="1"/>
  <c r="AC1863" i="1"/>
  <c r="AD1863" i="1"/>
  <c r="AE1863" i="1"/>
  <c r="AF1863" i="1"/>
  <c r="AG1863" i="1"/>
  <c r="AH1863" i="1"/>
  <c r="AI1863" i="1"/>
  <c r="AJ1863" i="1"/>
  <c r="AK1863" i="1"/>
  <c r="AL1863" i="1"/>
  <c r="AM1863" i="1"/>
  <c r="A1864" i="1"/>
  <c r="B1864" i="1"/>
  <c r="C1864" i="1"/>
  <c r="D1864" i="1"/>
  <c r="E1864" i="1"/>
  <c r="F1864" i="1"/>
  <c r="G1864" i="1"/>
  <c r="H1864" i="1"/>
  <c r="I1864" i="1"/>
  <c r="J1864" i="1"/>
  <c r="K1864" i="1"/>
  <c r="L1864" i="1"/>
  <c r="M1864" i="1"/>
  <c r="N1864" i="1"/>
  <c r="O1864" i="1"/>
  <c r="P1864" i="1"/>
  <c r="Q1864" i="1"/>
  <c r="R1864" i="1"/>
  <c r="S1864" i="1"/>
  <c r="T1864" i="1"/>
  <c r="U1864" i="1"/>
  <c r="V1864" i="1"/>
  <c r="W1864" i="1"/>
  <c r="X1864" i="1"/>
  <c r="Y1864" i="1"/>
  <c r="Z1864" i="1"/>
  <c r="AA1864" i="1"/>
  <c r="AB1864" i="1"/>
  <c r="AC1864" i="1"/>
  <c r="AD1864" i="1"/>
  <c r="AE1864" i="1"/>
  <c r="AF1864" i="1"/>
  <c r="AG1864" i="1"/>
  <c r="AH1864" i="1"/>
  <c r="AI1864" i="1"/>
  <c r="AJ1864" i="1"/>
  <c r="AK1864" i="1"/>
  <c r="AL1864" i="1"/>
  <c r="AM1864" i="1"/>
  <c r="A1865" i="1"/>
  <c r="B1865" i="1"/>
  <c r="C1865" i="1"/>
  <c r="D1865" i="1"/>
  <c r="E1865" i="1"/>
  <c r="F1865" i="1"/>
  <c r="G1865" i="1"/>
  <c r="H1865" i="1"/>
  <c r="I1865" i="1"/>
  <c r="J1865" i="1"/>
  <c r="K1865" i="1"/>
  <c r="L1865" i="1"/>
  <c r="M1865" i="1"/>
  <c r="N1865" i="1"/>
  <c r="O1865" i="1"/>
  <c r="P1865" i="1"/>
  <c r="Q1865" i="1"/>
  <c r="R1865" i="1"/>
  <c r="S1865" i="1"/>
  <c r="T1865" i="1"/>
  <c r="U1865" i="1"/>
  <c r="V1865" i="1"/>
  <c r="W1865" i="1"/>
  <c r="X1865" i="1"/>
  <c r="Y1865" i="1"/>
  <c r="Z1865" i="1"/>
  <c r="AA1865" i="1"/>
  <c r="AB1865" i="1"/>
  <c r="AC1865" i="1"/>
  <c r="AD1865" i="1"/>
  <c r="AE1865" i="1"/>
  <c r="AF1865" i="1"/>
  <c r="AG1865" i="1"/>
  <c r="AH1865" i="1"/>
  <c r="AI1865" i="1"/>
  <c r="AJ1865" i="1"/>
  <c r="AK1865" i="1"/>
  <c r="AL1865" i="1"/>
  <c r="AM1865" i="1"/>
  <c r="A1866" i="1"/>
  <c r="B1866" i="1"/>
  <c r="C1866" i="1"/>
  <c r="D1866" i="1"/>
  <c r="E1866" i="1"/>
  <c r="F1866" i="1"/>
  <c r="G1866" i="1"/>
  <c r="H1866" i="1"/>
  <c r="I1866" i="1"/>
  <c r="J1866" i="1"/>
  <c r="K1866" i="1"/>
  <c r="L1866" i="1"/>
  <c r="M1866" i="1"/>
  <c r="N1866" i="1"/>
  <c r="O1866" i="1"/>
  <c r="P1866" i="1"/>
  <c r="Q1866" i="1"/>
  <c r="R1866" i="1"/>
  <c r="S1866" i="1"/>
  <c r="T1866" i="1"/>
  <c r="U1866" i="1"/>
  <c r="V1866" i="1"/>
  <c r="W1866" i="1"/>
  <c r="X1866" i="1"/>
  <c r="Y1866" i="1"/>
  <c r="Z1866" i="1"/>
  <c r="AA1866" i="1"/>
  <c r="AB1866" i="1"/>
  <c r="AC1866" i="1"/>
  <c r="AD1866" i="1"/>
  <c r="AE1866" i="1"/>
  <c r="AF1866" i="1"/>
  <c r="AG1866" i="1"/>
  <c r="AH1866" i="1"/>
  <c r="AI1866" i="1"/>
  <c r="AJ1866" i="1"/>
  <c r="AK1866" i="1"/>
  <c r="AL1866" i="1"/>
  <c r="AM1866" i="1"/>
  <c r="A1867" i="1"/>
  <c r="B1867" i="1"/>
  <c r="C1867" i="1"/>
  <c r="D1867" i="1"/>
  <c r="E1867" i="1"/>
  <c r="F1867" i="1"/>
  <c r="G1867" i="1"/>
  <c r="H1867" i="1"/>
  <c r="I1867" i="1"/>
  <c r="J1867" i="1"/>
  <c r="K1867" i="1"/>
  <c r="L1867" i="1"/>
  <c r="M1867" i="1"/>
  <c r="N1867" i="1"/>
  <c r="O1867" i="1"/>
  <c r="P1867" i="1"/>
  <c r="Q1867" i="1"/>
  <c r="R1867" i="1"/>
  <c r="S1867" i="1"/>
  <c r="T1867" i="1"/>
  <c r="U1867" i="1"/>
  <c r="V1867" i="1"/>
  <c r="W1867" i="1"/>
  <c r="X1867" i="1"/>
  <c r="Y1867" i="1"/>
  <c r="Z1867" i="1"/>
  <c r="AA1867" i="1"/>
  <c r="AB1867" i="1"/>
  <c r="AC1867" i="1"/>
  <c r="AD1867" i="1"/>
  <c r="AE1867" i="1"/>
  <c r="AF1867" i="1"/>
  <c r="AG1867" i="1"/>
  <c r="AH1867" i="1"/>
  <c r="AI1867" i="1"/>
  <c r="AJ1867" i="1"/>
  <c r="AK1867" i="1"/>
  <c r="AL1867" i="1"/>
  <c r="AM1867" i="1"/>
  <c r="A1868" i="1"/>
  <c r="B1868" i="1"/>
  <c r="C1868" i="1"/>
  <c r="D1868" i="1"/>
  <c r="E1868" i="1"/>
  <c r="F1868" i="1"/>
  <c r="G1868" i="1"/>
  <c r="H1868" i="1"/>
  <c r="I1868" i="1"/>
  <c r="J1868" i="1"/>
  <c r="K1868" i="1"/>
  <c r="L1868" i="1"/>
  <c r="M1868" i="1"/>
  <c r="N1868" i="1"/>
  <c r="O1868" i="1"/>
  <c r="P1868" i="1"/>
  <c r="Q1868" i="1"/>
  <c r="R1868" i="1"/>
  <c r="S1868" i="1"/>
  <c r="T1868" i="1"/>
  <c r="U1868" i="1"/>
  <c r="V1868" i="1"/>
  <c r="W1868" i="1"/>
  <c r="X1868" i="1"/>
  <c r="Y1868" i="1"/>
  <c r="Z1868" i="1"/>
  <c r="AA1868" i="1"/>
  <c r="AB1868" i="1"/>
  <c r="AC1868" i="1"/>
  <c r="AD1868" i="1"/>
  <c r="AE1868" i="1"/>
  <c r="AF1868" i="1"/>
  <c r="AG1868" i="1"/>
  <c r="AH1868" i="1"/>
  <c r="AI1868" i="1"/>
  <c r="AJ1868" i="1"/>
  <c r="AK1868" i="1"/>
  <c r="AL1868" i="1"/>
  <c r="AM1868" i="1"/>
  <c r="A1869" i="1"/>
  <c r="B1869" i="1"/>
  <c r="C1869" i="1"/>
  <c r="D1869" i="1"/>
  <c r="E1869" i="1"/>
  <c r="F1869" i="1"/>
  <c r="G1869" i="1"/>
  <c r="H1869" i="1"/>
  <c r="I1869" i="1"/>
  <c r="J1869" i="1"/>
  <c r="K1869" i="1"/>
  <c r="L1869" i="1"/>
  <c r="M1869" i="1"/>
  <c r="N1869" i="1"/>
  <c r="O1869" i="1"/>
  <c r="P1869" i="1"/>
  <c r="Q1869" i="1"/>
  <c r="R1869" i="1"/>
  <c r="S1869" i="1"/>
  <c r="T1869" i="1"/>
  <c r="U1869" i="1"/>
  <c r="V1869" i="1"/>
  <c r="W1869" i="1"/>
  <c r="X1869" i="1"/>
  <c r="Y1869" i="1"/>
  <c r="Z1869" i="1"/>
  <c r="AA1869" i="1"/>
  <c r="AB1869" i="1"/>
  <c r="AC1869" i="1"/>
  <c r="AD1869" i="1"/>
  <c r="AE1869" i="1"/>
  <c r="AF1869" i="1"/>
  <c r="AG1869" i="1"/>
  <c r="AH1869" i="1"/>
  <c r="AI1869" i="1"/>
  <c r="AJ1869" i="1"/>
  <c r="AK1869" i="1"/>
  <c r="AL1869" i="1"/>
  <c r="AM1869" i="1"/>
  <c r="A1870" i="1"/>
  <c r="B1870" i="1"/>
  <c r="C1870" i="1"/>
  <c r="D1870" i="1"/>
  <c r="E1870" i="1"/>
  <c r="F1870" i="1"/>
  <c r="G1870" i="1"/>
  <c r="H1870" i="1"/>
  <c r="I1870" i="1"/>
  <c r="J1870" i="1"/>
  <c r="K1870" i="1"/>
  <c r="L1870" i="1"/>
  <c r="M1870" i="1"/>
  <c r="N1870" i="1"/>
  <c r="O1870" i="1"/>
  <c r="P1870" i="1"/>
  <c r="Q1870" i="1"/>
  <c r="R1870" i="1"/>
  <c r="S1870" i="1"/>
  <c r="T1870" i="1"/>
  <c r="U1870" i="1"/>
  <c r="V1870" i="1"/>
  <c r="W1870" i="1"/>
  <c r="X1870" i="1"/>
  <c r="Y1870" i="1"/>
  <c r="Z1870" i="1"/>
  <c r="AA1870" i="1"/>
  <c r="AB1870" i="1"/>
  <c r="AC1870" i="1"/>
  <c r="AD1870" i="1"/>
  <c r="AE1870" i="1"/>
  <c r="AF1870" i="1"/>
  <c r="AG1870" i="1"/>
  <c r="AH1870" i="1"/>
  <c r="AI1870" i="1"/>
  <c r="AJ1870" i="1"/>
  <c r="AK1870" i="1"/>
  <c r="AL1870" i="1"/>
  <c r="AM1870" i="1"/>
  <c r="A1871" i="1"/>
  <c r="B1871" i="1"/>
  <c r="C1871" i="1"/>
  <c r="D1871" i="1"/>
  <c r="E1871" i="1"/>
  <c r="F1871" i="1"/>
  <c r="G1871" i="1"/>
  <c r="H1871" i="1"/>
  <c r="I1871" i="1"/>
  <c r="J1871" i="1"/>
  <c r="K1871" i="1"/>
  <c r="L1871" i="1"/>
  <c r="M1871" i="1"/>
  <c r="N1871" i="1"/>
  <c r="O1871" i="1"/>
  <c r="P1871" i="1"/>
  <c r="Q1871" i="1"/>
  <c r="R1871" i="1"/>
  <c r="S1871" i="1"/>
  <c r="T1871" i="1"/>
  <c r="U1871" i="1"/>
  <c r="V1871" i="1"/>
  <c r="W1871" i="1"/>
  <c r="X1871" i="1"/>
  <c r="Y1871" i="1"/>
  <c r="Z1871" i="1"/>
  <c r="AA1871" i="1"/>
  <c r="AB1871" i="1"/>
  <c r="AC1871" i="1"/>
  <c r="AD1871" i="1"/>
  <c r="AE1871" i="1"/>
  <c r="AF1871" i="1"/>
  <c r="AG1871" i="1"/>
  <c r="AH1871" i="1"/>
  <c r="AI1871" i="1"/>
  <c r="AJ1871" i="1"/>
  <c r="AK1871" i="1"/>
  <c r="AL1871" i="1"/>
  <c r="AM1871" i="1"/>
  <c r="A1872" i="1"/>
  <c r="B1872" i="1"/>
  <c r="C1872" i="1"/>
  <c r="D1872" i="1"/>
  <c r="E1872" i="1"/>
  <c r="F1872" i="1"/>
  <c r="G1872" i="1"/>
  <c r="H1872" i="1"/>
  <c r="I1872" i="1"/>
  <c r="J1872" i="1"/>
  <c r="K1872" i="1"/>
  <c r="L1872" i="1"/>
  <c r="M1872" i="1"/>
  <c r="N1872" i="1"/>
  <c r="O1872" i="1"/>
  <c r="P1872" i="1"/>
  <c r="Q1872" i="1"/>
  <c r="R1872" i="1"/>
  <c r="S1872" i="1"/>
  <c r="T1872" i="1"/>
  <c r="U1872" i="1"/>
  <c r="V1872" i="1"/>
  <c r="W1872" i="1"/>
  <c r="X1872" i="1"/>
  <c r="Y1872" i="1"/>
  <c r="Z1872" i="1"/>
  <c r="AA1872" i="1"/>
  <c r="AB1872" i="1"/>
  <c r="AC1872" i="1"/>
  <c r="AD1872" i="1"/>
  <c r="AE1872" i="1"/>
  <c r="AF1872" i="1"/>
  <c r="AG1872" i="1"/>
  <c r="AH1872" i="1"/>
  <c r="AI1872" i="1"/>
  <c r="AJ1872" i="1"/>
  <c r="AK1872" i="1"/>
  <c r="AL1872" i="1"/>
  <c r="AM1872" i="1"/>
  <c r="A1873" i="1"/>
  <c r="B1873" i="1"/>
  <c r="C1873" i="1"/>
  <c r="D1873" i="1"/>
  <c r="E1873" i="1"/>
  <c r="F1873" i="1"/>
  <c r="G1873" i="1"/>
  <c r="H1873" i="1"/>
  <c r="I1873" i="1"/>
  <c r="J1873" i="1"/>
  <c r="K1873" i="1"/>
  <c r="L1873" i="1"/>
  <c r="M1873" i="1"/>
  <c r="N1873" i="1"/>
  <c r="O1873" i="1"/>
  <c r="P1873" i="1"/>
  <c r="Q1873" i="1"/>
  <c r="R1873" i="1"/>
  <c r="S1873" i="1"/>
  <c r="T1873" i="1"/>
  <c r="U1873" i="1"/>
  <c r="V1873" i="1"/>
  <c r="W1873" i="1"/>
  <c r="X1873" i="1"/>
  <c r="Y1873" i="1"/>
  <c r="Z1873" i="1"/>
  <c r="AA1873" i="1"/>
  <c r="AB1873" i="1"/>
  <c r="AC1873" i="1"/>
  <c r="AD1873" i="1"/>
  <c r="AE1873" i="1"/>
  <c r="AF1873" i="1"/>
  <c r="AG1873" i="1"/>
  <c r="AH1873" i="1"/>
  <c r="AI1873" i="1"/>
  <c r="AJ1873" i="1"/>
  <c r="AK1873" i="1"/>
  <c r="AL1873" i="1"/>
  <c r="AM1873" i="1"/>
  <c r="A1874" i="1"/>
  <c r="B1874" i="1"/>
  <c r="C1874" i="1"/>
  <c r="D1874" i="1"/>
  <c r="E1874" i="1"/>
  <c r="F1874" i="1"/>
  <c r="G1874" i="1"/>
  <c r="H1874" i="1"/>
  <c r="I1874" i="1"/>
  <c r="J1874" i="1"/>
  <c r="K1874" i="1"/>
  <c r="L1874" i="1"/>
  <c r="M1874" i="1"/>
  <c r="N1874" i="1"/>
  <c r="O1874" i="1"/>
  <c r="P1874" i="1"/>
  <c r="Q1874" i="1"/>
  <c r="R1874" i="1"/>
  <c r="S1874" i="1"/>
  <c r="T1874" i="1"/>
  <c r="U1874" i="1"/>
  <c r="V1874" i="1"/>
  <c r="W1874" i="1"/>
  <c r="X1874" i="1"/>
  <c r="Y1874" i="1"/>
  <c r="Z1874" i="1"/>
  <c r="AA1874" i="1"/>
  <c r="AB1874" i="1"/>
  <c r="AC1874" i="1"/>
  <c r="AD1874" i="1"/>
  <c r="AE1874" i="1"/>
  <c r="AF1874" i="1"/>
  <c r="AG1874" i="1"/>
  <c r="AH1874" i="1"/>
  <c r="AI1874" i="1"/>
  <c r="AJ1874" i="1"/>
  <c r="AK1874" i="1"/>
  <c r="AL1874" i="1"/>
  <c r="AM1874" i="1"/>
  <c r="A1875" i="1"/>
  <c r="B1875" i="1"/>
  <c r="C1875" i="1"/>
  <c r="D1875" i="1"/>
  <c r="E1875" i="1"/>
  <c r="F1875" i="1"/>
  <c r="G1875" i="1"/>
  <c r="H1875" i="1"/>
  <c r="I1875" i="1"/>
  <c r="J1875" i="1"/>
  <c r="K1875" i="1"/>
  <c r="L1875" i="1"/>
  <c r="M1875" i="1"/>
  <c r="N1875" i="1"/>
  <c r="O1875" i="1"/>
  <c r="P1875" i="1"/>
  <c r="Q1875" i="1"/>
  <c r="R1875" i="1"/>
  <c r="S1875" i="1"/>
  <c r="T1875" i="1"/>
  <c r="U1875" i="1"/>
  <c r="V1875" i="1"/>
  <c r="W1875" i="1"/>
  <c r="X1875" i="1"/>
  <c r="Y1875" i="1"/>
  <c r="Z1875" i="1"/>
  <c r="AA1875" i="1"/>
  <c r="AB1875" i="1"/>
  <c r="AC1875" i="1"/>
  <c r="AD1875" i="1"/>
  <c r="AE1875" i="1"/>
  <c r="AF1875" i="1"/>
  <c r="AG1875" i="1"/>
  <c r="AH1875" i="1"/>
  <c r="AI1875" i="1"/>
  <c r="AJ1875" i="1"/>
  <c r="AK1875" i="1"/>
  <c r="AL1875" i="1"/>
  <c r="AM1875" i="1"/>
  <c r="A1876" i="1"/>
  <c r="B1876" i="1"/>
  <c r="C1876" i="1"/>
  <c r="D1876" i="1"/>
  <c r="E1876" i="1"/>
  <c r="F1876" i="1"/>
  <c r="G1876" i="1"/>
  <c r="H1876" i="1"/>
  <c r="I1876" i="1"/>
  <c r="J1876" i="1"/>
  <c r="K1876" i="1"/>
  <c r="L1876" i="1"/>
  <c r="M1876" i="1"/>
  <c r="N1876" i="1"/>
  <c r="O1876" i="1"/>
  <c r="P1876" i="1"/>
  <c r="Q1876" i="1"/>
  <c r="R1876" i="1"/>
  <c r="S1876" i="1"/>
  <c r="T1876" i="1"/>
  <c r="U1876" i="1"/>
  <c r="V1876" i="1"/>
  <c r="W1876" i="1"/>
  <c r="X1876" i="1"/>
  <c r="Y1876" i="1"/>
  <c r="Z1876" i="1"/>
  <c r="AA1876" i="1"/>
  <c r="AB1876" i="1"/>
  <c r="AC1876" i="1"/>
  <c r="AD1876" i="1"/>
  <c r="AE1876" i="1"/>
  <c r="AF1876" i="1"/>
  <c r="AG1876" i="1"/>
  <c r="AH1876" i="1"/>
  <c r="AI1876" i="1"/>
  <c r="AJ1876" i="1"/>
  <c r="AK1876" i="1"/>
  <c r="AL1876" i="1"/>
  <c r="AM1876" i="1"/>
  <c r="A1877" i="1"/>
  <c r="B1877" i="1"/>
  <c r="C1877" i="1"/>
  <c r="D1877" i="1"/>
  <c r="E1877" i="1"/>
  <c r="F1877" i="1"/>
  <c r="G1877" i="1"/>
  <c r="H1877" i="1"/>
  <c r="I1877" i="1"/>
  <c r="J1877" i="1"/>
  <c r="K1877" i="1"/>
  <c r="L1877" i="1"/>
  <c r="M1877" i="1"/>
  <c r="N1877" i="1"/>
  <c r="O1877" i="1"/>
  <c r="P1877" i="1"/>
  <c r="Q1877" i="1"/>
  <c r="R1877" i="1"/>
  <c r="S1877" i="1"/>
  <c r="T1877" i="1"/>
  <c r="U1877" i="1"/>
  <c r="V1877" i="1"/>
  <c r="W1877" i="1"/>
  <c r="X1877" i="1"/>
  <c r="Y1877" i="1"/>
  <c r="Z1877" i="1"/>
  <c r="AA1877" i="1"/>
  <c r="AB1877" i="1"/>
  <c r="AC1877" i="1"/>
  <c r="AD1877" i="1"/>
  <c r="AE1877" i="1"/>
  <c r="AF1877" i="1"/>
  <c r="AG1877" i="1"/>
  <c r="AH1877" i="1"/>
  <c r="AI1877" i="1"/>
  <c r="AJ1877" i="1"/>
  <c r="AK1877" i="1"/>
  <c r="AL1877" i="1"/>
  <c r="AM1877" i="1"/>
  <c r="A1878" i="1"/>
  <c r="B1878" i="1"/>
  <c r="C1878" i="1"/>
  <c r="D1878" i="1"/>
  <c r="E1878" i="1"/>
  <c r="F1878" i="1"/>
  <c r="G1878" i="1"/>
  <c r="H1878" i="1"/>
  <c r="I1878" i="1"/>
  <c r="J1878" i="1"/>
  <c r="K1878" i="1"/>
  <c r="L1878" i="1"/>
  <c r="M1878" i="1"/>
  <c r="N1878" i="1"/>
  <c r="O1878" i="1"/>
  <c r="P1878" i="1"/>
  <c r="Q1878" i="1"/>
  <c r="R1878" i="1"/>
  <c r="S1878" i="1"/>
  <c r="T1878" i="1"/>
  <c r="U1878" i="1"/>
  <c r="V1878" i="1"/>
  <c r="W1878" i="1"/>
  <c r="X1878" i="1"/>
  <c r="Y1878" i="1"/>
  <c r="Z1878" i="1"/>
  <c r="AA1878" i="1"/>
  <c r="AB1878" i="1"/>
  <c r="AC1878" i="1"/>
  <c r="AD1878" i="1"/>
  <c r="AE1878" i="1"/>
  <c r="AF1878" i="1"/>
  <c r="AG1878" i="1"/>
  <c r="AH1878" i="1"/>
  <c r="AI1878" i="1"/>
  <c r="AJ1878" i="1"/>
  <c r="AK1878" i="1"/>
  <c r="AL1878" i="1"/>
  <c r="AM1878" i="1"/>
  <c r="A1879" i="1"/>
  <c r="B1879" i="1"/>
  <c r="C1879" i="1"/>
  <c r="D1879" i="1"/>
  <c r="E1879" i="1"/>
  <c r="F1879" i="1"/>
  <c r="G1879" i="1"/>
  <c r="H1879" i="1"/>
  <c r="I1879" i="1"/>
  <c r="J1879" i="1"/>
  <c r="K1879" i="1"/>
  <c r="L1879" i="1"/>
  <c r="M1879" i="1"/>
  <c r="N1879" i="1"/>
  <c r="O1879" i="1"/>
  <c r="P1879" i="1"/>
  <c r="Q1879" i="1"/>
  <c r="R1879" i="1"/>
  <c r="S1879" i="1"/>
  <c r="T1879" i="1"/>
  <c r="U1879" i="1"/>
  <c r="V1879" i="1"/>
  <c r="W1879" i="1"/>
  <c r="X1879" i="1"/>
  <c r="Y1879" i="1"/>
  <c r="Z1879" i="1"/>
  <c r="AA1879" i="1"/>
  <c r="AB1879" i="1"/>
  <c r="AC1879" i="1"/>
  <c r="AD1879" i="1"/>
  <c r="AE1879" i="1"/>
  <c r="AF1879" i="1"/>
  <c r="AG1879" i="1"/>
  <c r="AH1879" i="1"/>
  <c r="AI1879" i="1"/>
  <c r="AJ1879" i="1"/>
  <c r="AK1879" i="1"/>
  <c r="AL1879" i="1"/>
  <c r="AM1879" i="1"/>
  <c r="A1880" i="1"/>
  <c r="B1880" i="1"/>
  <c r="C1880" i="1"/>
  <c r="D1880" i="1"/>
  <c r="E1880" i="1"/>
  <c r="F1880" i="1"/>
  <c r="G1880" i="1"/>
  <c r="H1880" i="1"/>
  <c r="I1880" i="1"/>
  <c r="J1880" i="1"/>
  <c r="K1880" i="1"/>
  <c r="L1880" i="1"/>
  <c r="M1880" i="1"/>
  <c r="N1880" i="1"/>
  <c r="O1880" i="1"/>
  <c r="P1880" i="1"/>
  <c r="Q1880" i="1"/>
  <c r="R1880" i="1"/>
  <c r="S1880" i="1"/>
  <c r="T1880" i="1"/>
  <c r="U1880" i="1"/>
  <c r="V1880" i="1"/>
  <c r="W1880" i="1"/>
  <c r="X1880" i="1"/>
  <c r="Y1880" i="1"/>
  <c r="Z1880" i="1"/>
  <c r="AA1880" i="1"/>
  <c r="AB1880" i="1"/>
  <c r="AC1880" i="1"/>
  <c r="AD1880" i="1"/>
  <c r="AE1880" i="1"/>
  <c r="AF1880" i="1"/>
  <c r="AG1880" i="1"/>
  <c r="AH1880" i="1"/>
  <c r="AI1880" i="1"/>
  <c r="AJ1880" i="1"/>
  <c r="AK1880" i="1"/>
  <c r="AL1880" i="1"/>
  <c r="AM1880" i="1"/>
  <c r="A1881" i="1"/>
  <c r="B1881" i="1"/>
  <c r="C1881" i="1"/>
  <c r="D1881" i="1"/>
  <c r="E1881" i="1"/>
  <c r="F1881" i="1"/>
  <c r="G1881" i="1"/>
  <c r="H1881" i="1"/>
  <c r="I1881" i="1"/>
  <c r="J1881" i="1"/>
  <c r="K1881" i="1"/>
  <c r="L1881" i="1"/>
  <c r="M1881" i="1"/>
  <c r="N1881" i="1"/>
  <c r="O1881" i="1"/>
  <c r="P1881" i="1"/>
  <c r="Q1881" i="1"/>
  <c r="R1881" i="1"/>
  <c r="S1881" i="1"/>
  <c r="T1881" i="1"/>
  <c r="U1881" i="1"/>
  <c r="V1881" i="1"/>
  <c r="W1881" i="1"/>
  <c r="X1881" i="1"/>
  <c r="Y1881" i="1"/>
  <c r="Z1881" i="1"/>
  <c r="AA1881" i="1"/>
  <c r="AB1881" i="1"/>
  <c r="AC1881" i="1"/>
  <c r="AD1881" i="1"/>
  <c r="AE1881" i="1"/>
  <c r="AF1881" i="1"/>
  <c r="AG1881" i="1"/>
  <c r="AH1881" i="1"/>
  <c r="AI1881" i="1"/>
  <c r="AJ1881" i="1"/>
  <c r="AK1881" i="1"/>
  <c r="AL1881" i="1"/>
  <c r="AM1881" i="1"/>
  <c r="A1882" i="1"/>
  <c r="B1882" i="1"/>
  <c r="C1882" i="1"/>
  <c r="D1882" i="1"/>
  <c r="E1882" i="1"/>
  <c r="F1882" i="1"/>
  <c r="G1882" i="1"/>
  <c r="H1882" i="1"/>
  <c r="I1882" i="1"/>
  <c r="J1882" i="1"/>
  <c r="K1882" i="1"/>
  <c r="L1882" i="1"/>
  <c r="M1882" i="1"/>
  <c r="N1882" i="1"/>
  <c r="O1882" i="1"/>
  <c r="P1882" i="1"/>
  <c r="Q1882" i="1"/>
  <c r="R1882" i="1"/>
  <c r="S1882" i="1"/>
  <c r="T1882" i="1"/>
  <c r="U1882" i="1"/>
  <c r="V1882" i="1"/>
  <c r="W1882" i="1"/>
  <c r="X1882" i="1"/>
  <c r="Y1882" i="1"/>
  <c r="Z1882" i="1"/>
  <c r="AA1882" i="1"/>
  <c r="AB1882" i="1"/>
  <c r="AC1882" i="1"/>
  <c r="AD1882" i="1"/>
  <c r="AE1882" i="1"/>
  <c r="AF1882" i="1"/>
  <c r="AG1882" i="1"/>
  <c r="AH1882" i="1"/>
  <c r="AI1882" i="1"/>
  <c r="AJ1882" i="1"/>
  <c r="AK1882" i="1"/>
  <c r="AL1882" i="1"/>
  <c r="AM1882" i="1"/>
  <c r="A1883" i="1"/>
  <c r="B1883" i="1"/>
  <c r="C1883" i="1"/>
  <c r="D1883" i="1"/>
  <c r="E1883" i="1"/>
  <c r="F1883" i="1"/>
  <c r="G1883" i="1"/>
  <c r="H1883" i="1"/>
  <c r="I1883" i="1"/>
  <c r="J1883" i="1"/>
  <c r="K1883" i="1"/>
  <c r="L1883" i="1"/>
  <c r="M1883" i="1"/>
  <c r="N1883" i="1"/>
  <c r="O1883" i="1"/>
  <c r="P1883" i="1"/>
  <c r="Q1883" i="1"/>
  <c r="R1883" i="1"/>
  <c r="S1883" i="1"/>
  <c r="T1883" i="1"/>
  <c r="U1883" i="1"/>
  <c r="V1883" i="1"/>
  <c r="W1883" i="1"/>
  <c r="X1883" i="1"/>
  <c r="Y1883" i="1"/>
  <c r="Z1883" i="1"/>
  <c r="AA1883" i="1"/>
  <c r="AB1883" i="1"/>
  <c r="AC1883" i="1"/>
  <c r="AD1883" i="1"/>
  <c r="AE1883" i="1"/>
  <c r="AF1883" i="1"/>
  <c r="AG1883" i="1"/>
  <c r="AH1883" i="1"/>
  <c r="AI1883" i="1"/>
  <c r="AJ1883" i="1"/>
  <c r="AK1883" i="1"/>
  <c r="AL1883" i="1"/>
  <c r="AM1883" i="1"/>
  <c r="A1884" i="1"/>
  <c r="B1884" i="1"/>
  <c r="C1884" i="1"/>
  <c r="D1884" i="1"/>
  <c r="E1884" i="1"/>
  <c r="F1884" i="1"/>
  <c r="G1884" i="1"/>
  <c r="H1884" i="1"/>
  <c r="I1884" i="1"/>
  <c r="J1884" i="1"/>
  <c r="K1884" i="1"/>
  <c r="L1884" i="1"/>
  <c r="M1884" i="1"/>
  <c r="N1884" i="1"/>
  <c r="O1884" i="1"/>
  <c r="P1884" i="1"/>
  <c r="Q1884" i="1"/>
  <c r="R1884" i="1"/>
  <c r="S1884" i="1"/>
  <c r="T1884" i="1"/>
  <c r="U1884" i="1"/>
  <c r="V1884" i="1"/>
  <c r="W1884" i="1"/>
  <c r="X1884" i="1"/>
  <c r="Y1884" i="1"/>
  <c r="Z1884" i="1"/>
  <c r="AA1884" i="1"/>
  <c r="AB1884" i="1"/>
  <c r="AC1884" i="1"/>
  <c r="AD1884" i="1"/>
  <c r="AE1884" i="1"/>
  <c r="AF1884" i="1"/>
  <c r="AG1884" i="1"/>
  <c r="AH1884" i="1"/>
  <c r="AI1884" i="1"/>
  <c r="AJ1884" i="1"/>
  <c r="AK1884" i="1"/>
  <c r="AL1884" i="1"/>
  <c r="AM1884" i="1"/>
  <c r="A1885" i="1"/>
  <c r="B1885" i="1"/>
  <c r="C1885" i="1"/>
  <c r="D1885" i="1"/>
  <c r="E1885" i="1"/>
  <c r="F1885" i="1"/>
  <c r="G1885" i="1"/>
  <c r="H1885" i="1"/>
  <c r="I1885" i="1"/>
  <c r="J1885" i="1"/>
  <c r="K1885" i="1"/>
  <c r="L1885" i="1"/>
  <c r="M1885" i="1"/>
  <c r="N1885" i="1"/>
  <c r="O1885" i="1"/>
  <c r="P1885" i="1"/>
  <c r="Q1885" i="1"/>
  <c r="R1885" i="1"/>
  <c r="S1885" i="1"/>
  <c r="T1885" i="1"/>
  <c r="U1885" i="1"/>
  <c r="V1885" i="1"/>
  <c r="W1885" i="1"/>
  <c r="X1885" i="1"/>
  <c r="Y1885" i="1"/>
  <c r="Z1885" i="1"/>
  <c r="AA1885" i="1"/>
  <c r="AB1885" i="1"/>
  <c r="AC1885" i="1"/>
  <c r="AD1885" i="1"/>
  <c r="AE1885" i="1"/>
  <c r="AF1885" i="1"/>
  <c r="AG1885" i="1"/>
  <c r="AH1885" i="1"/>
  <c r="AI1885" i="1"/>
  <c r="AJ1885" i="1"/>
  <c r="AK1885" i="1"/>
  <c r="AL1885" i="1"/>
  <c r="AM1885" i="1"/>
  <c r="A1886" i="1"/>
  <c r="B1886" i="1"/>
  <c r="C1886" i="1"/>
  <c r="D1886" i="1"/>
  <c r="E1886" i="1"/>
  <c r="F1886" i="1"/>
  <c r="G1886" i="1"/>
  <c r="H1886" i="1"/>
  <c r="I1886" i="1"/>
  <c r="J1886" i="1"/>
  <c r="K1886" i="1"/>
  <c r="L1886" i="1"/>
  <c r="M1886" i="1"/>
  <c r="N1886" i="1"/>
  <c r="O1886" i="1"/>
  <c r="P1886" i="1"/>
  <c r="Q1886" i="1"/>
  <c r="R1886" i="1"/>
  <c r="S1886" i="1"/>
  <c r="T1886" i="1"/>
  <c r="U1886" i="1"/>
  <c r="V1886" i="1"/>
  <c r="W1886" i="1"/>
  <c r="X1886" i="1"/>
  <c r="Y1886" i="1"/>
  <c r="Z1886" i="1"/>
  <c r="AA1886" i="1"/>
  <c r="AB1886" i="1"/>
  <c r="AC1886" i="1"/>
  <c r="AD1886" i="1"/>
  <c r="AE1886" i="1"/>
  <c r="AF1886" i="1"/>
  <c r="AG1886" i="1"/>
  <c r="AH1886" i="1"/>
  <c r="AI1886" i="1"/>
  <c r="AJ1886" i="1"/>
  <c r="AK1886" i="1"/>
  <c r="AL1886" i="1"/>
  <c r="AM1886" i="1"/>
  <c r="A1887" i="1"/>
  <c r="B1887" i="1"/>
  <c r="C1887" i="1"/>
  <c r="D1887" i="1"/>
  <c r="E1887" i="1"/>
  <c r="F1887" i="1"/>
  <c r="G1887" i="1"/>
  <c r="H1887" i="1"/>
  <c r="I1887" i="1"/>
  <c r="J1887" i="1"/>
  <c r="K1887" i="1"/>
  <c r="L1887" i="1"/>
  <c r="M1887" i="1"/>
  <c r="N1887" i="1"/>
  <c r="O1887" i="1"/>
  <c r="P1887" i="1"/>
  <c r="Q1887" i="1"/>
  <c r="R1887" i="1"/>
  <c r="S1887" i="1"/>
  <c r="T1887" i="1"/>
  <c r="U1887" i="1"/>
  <c r="V1887" i="1"/>
  <c r="W1887" i="1"/>
  <c r="X1887" i="1"/>
  <c r="Y1887" i="1"/>
  <c r="Z1887" i="1"/>
  <c r="AA1887" i="1"/>
  <c r="AB1887" i="1"/>
  <c r="AC1887" i="1"/>
  <c r="AD1887" i="1"/>
  <c r="AE1887" i="1"/>
  <c r="AF1887" i="1"/>
  <c r="AG1887" i="1"/>
  <c r="AH1887" i="1"/>
  <c r="AI1887" i="1"/>
  <c r="AJ1887" i="1"/>
  <c r="AK1887" i="1"/>
  <c r="AL1887" i="1"/>
  <c r="AM1887" i="1"/>
  <c r="A1888" i="1"/>
  <c r="B1888" i="1"/>
  <c r="C1888" i="1"/>
  <c r="D1888" i="1"/>
  <c r="E1888" i="1"/>
  <c r="F1888" i="1"/>
  <c r="G1888" i="1"/>
  <c r="H1888" i="1"/>
  <c r="I1888" i="1"/>
  <c r="J1888" i="1"/>
  <c r="K1888" i="1"/>
  <c r="L1888" i="1"/>
  <c r="M1888" i="1"/>
  <c r="N1888" i="1"/>
  <c r="O1888" i="1"/>
  <c r="P1888" i="1"/>
  <c r="Q1888" i="1"/>
  <c r="R1888" i="1"/>
  <c r="S1888" i="1"/>
  <c r="T1888" i="1"/>
  <c r="U1888" i="1"/>
  <c r="V1888" i="1"/>
  <c r="W1888" i="1"/>
  <c r="X1888" i="1"/>
  <c r="Y1888" i="1"/>
  <c r="Z1888" i="1"/>
  <c r="AA1888" i="1"/>
  <c r="AB1888" i="1"/>
  <c r="AC1888" i="1"/>
  <c r="AD1888" i="1"/>
  <c r="AE1888" i="1"/>
  <c r="AF1888" i="1"/>
  <c r="AG1888" i="1"/>
  <c r="AH1888" i="1"/>
  <c r="AI1888" i="1"/>
  <c r="AJ1888" i="1"/>
  <c r="AK1888" i="1"/>
  <c r="AL1888" i="1"/>
  <c r="AM1888" i="1"/>
  <c r="A1889" i="1"/>
  <c r="B1889" i="1"/>
  <c r="C1889" i="1"/>
  <c r="D1889" i="1"/>
  <c r="E1889" i="1"/>
  <c r="F1889" i="1"/>
  <c r="G1889" i="1"/>
  <c r="H1889" i="1"/>
  <c r="I1889" i="1"/>
  <c r="J1889" i="1"/>
  <c r="K1889" i="1"/>
  <c r="L1889" i="1"/>
  <c r="M1889" i="1"/>
  <c r="N1889" i="1"/>
  <c r="O1889" i="1"/>
  <c r="P1889" i="1"/>
  <c r="Q1889" i="1"/>
  <c r="R1889" i="1"/>
  <c r="S1889" i="1"/>
  <c r="T1889" i="1"/>
  <c r="U1889" i="1"/>
  <c r="V1889" i="1"/>
  <c r="W1889" i="1"/>
  <c r="X1889" i="1"/>
  <c r="Y1889" i="1"/>
  <c r="Z1889" i="1"/>
  <c r="AA1889" i="1"/>
  <c r="AB1889" i="1"/>
  <c r="AC1889" i="1"/>
  <c r="AD1889" i="1"/>
  <c r="AE1889" i="1"/>
  <c r="AF1889" i="1"/>
  <c r="AG1889" i="1"/>
  <c r="AH1889" i="1"/>
  <c r="AI1889" i="1"/>
  <c r="AJ1889" i="1"/>
  <c r="AK1889" i="1"/>
  <c r="AL1889" i="1"/>
  <c r="AM1889" i="1"/>
  <c r="A1890" i="1"/>
  <c r="B1890" i="1"/>
  <c r="C1890" i="1"/>
  <c r="D1890" i="1"/>
  <c r="E1890" i="1"/>
  <c r="F1890" i="1"/>
  <c r="G1890" i="1"/>
  <c r="H1890" i="1"/>
  <c r="I1890" i="1"/>
  <c r="J1890" i="1"/>
  <c r="K1890" i="1"/>
  <c r="L1890" i="1"/>
  <c r="M1890" i="1"/>
  <c r="N1890" i="1"/>
  <c r="O1890" i="1"/>
  <c r="P1890" i="1"/>
  <c r="Q1890" i="1"/>
  <c r="R1890" i="1"/>
  <c r="S1890" i="1"/>
  <c r="T1890" i="1"/>
  <c r="U1890" i="1"/>
  <c r="V1890" i="1"/>
  <c r="W1890" i="1"/>
  <c r="X1890" i="1"/>
  <c r="Y1890" i="1"/>
  <c r="Z1890" i="1"/>
  <c r="AA1890" i="1"/>
  <c r="AB1890" i="1"/>
  <c r="AC1890" i="1"/>
  <c r="AD1890" i="1"/>
  <c r="AE1890" i="1"/>
  <c r="AF1890" i="1"/>
  <c r="AG1890" i="1"/>
  <c r="AH1890" i="1"/>
  <c r="AI1890" i="1"/>
  <c r="AJ1890" i="1"/>
  <c r="AK1890" i="1"/>
  <c r="AL1890" i="1"/>
  <c r="AM1890" i="1"/>
  <c r="A1891" i="1"/>
  <c r="B1891" i="1"/>
  <c r="C1891" i="1"/>
  <c r="D1891" i="1"/>
  <c r="E1891" i="1"/>
  <c r="F1891" i="1"/>
  <c r="G1891" i="1"/>
  <c r="H1891" i="1"/>
  <c r="I1891" i="1"/>
  <c r="J1891" i="1"/>
  <c r="K1891" i="1"/>
  <c r="L1891" i="1"/>
  <c r="M1891" i="1"/>
  <c r="N1891" i="1"/>
  <c r="O1891" i="1"/>
  <c r="P1891" i="1"/>
  <c r="Q1891" i="1"/>
  <c r="R1891" i="1"/>
  <c r="S1891" i="1"/>
  <c r="T1891" i="1"/>
  <c r="U1891" i="1"/>
  <c r="V1891" i="1"/>
  <c r="W1891" i="1"/>
  <c r="X1891" i="1"/>
  <c r="Y1891" i="1"/>
  <c r="Z1891" i="1"/>
  <c r="AA1891" i="1"/>
  <c r="AB1891" i="1"/>
  <c r="AC1891" i="1"/>
  <c r="AD1891" i="1"/>
  <c r="AE1891" i="1"/>
  <c r="AF1891" i="1"/>
  <c r="AG1891" i="1"/>
  <c r="AH1891" i="1"/>
  <c r="AI1891" i="1"/>
  <c r="AJ1891" i="1"/>
  <c r="AK1891" i="1"/>
  <c r="AL1891" i="1"/>
  <c r="AM1891" i="1"/>
  <c r="A1892" i="1"/>
  <c r="B1892" i="1"/>
  <c r="C1892" i="1"/>
  <c r="D1892" i="1"/>
  <c r="E1892" i="1"/>
  <c r="F1892" i="1"/>
  <c r="G1892" i="1"/>
  <c r="H1892" i="1"/>
  <c r="I1892" i="1"/>
  <c r="J1892" i="1"/>
  <c r="K1892" i="1"/>
  <c r="L1892" i="1"/>
  <c r="M1892" i="1"/>
  <c r="N1892" i="1"/>
  <c r="O1892" i="1"/>
  <c r="P1892" i="1"/>
  <c r="Q1892" i="1"/>
  <c r="R1892" i="1"/>
  <c r="S1892" i="1"/>
  <c r="T1892" i="1"/>
  <c r="U1892" i="1"/>
  <c r="V1892" i="1"/>
  <c r="W1892" i="1"/>
  <c r="X1892" i="1"/>
  <c r="Y1892" i="1"/>
  <c r="Z1892" i="1"/>
  <c r="AA1892" i="1"/>
  <c r="AB1892" i="1"/>
  <c r="AC1892" i="1"/>
  <c r="AD1892" i="1"/>
  <c r="AE1892" i="1"/>
  <c r="AF1892" i="1"/>
  <c r="AG1892" i="1"/>
  <c r="AH1892" i="1"/>
  <c r="AI1892" i="1"/>
  <c r="AJ1892" i="1"/>
  <c r="AK1892" i="1"/>
  <c r="AL1892" i="1"/>
  <c r="AM1892" i="1"/>
  <c r="A1893" i="1"/>
  <c r="B1893" i="1"/>
  <c r="C1893" i="1"/>
  <c r="D1893" i="1"/>
  <c r="E1893" i="1"/>
  <c r="F1893" i="1"/>
  <c r="G1893" i="1"/>
  <c r="H1893" i="1"/>
  <c r="I1893" i="1"/>
  <c r="J1893" i="1"/>
  <c r="K1893" i="1"/>
  <c r="L1893" i="1"/>
  <c r="M1893" i="1"/>
  <c r="N1893" i="1"/>
  <c r="O1893" i="1"/>
  <c r="P1893" i="1"/>
  <c r="Q1893" i="1"/>
  <c r="R1893" i="1"/>
  <c r="S1893" i="1"/>
  <c r="T1893" i="1"/>
  <c r="U1893" i="1"/>
  <c r="V1893" i="1"/>
  <c r="W1893" i="1"/>
  <c r="X1893" i="1"/>
  <c r="Y1893" i="1"/>
  <c r="Z1893" i="1"/>
  <c r="AA1893" i="1"/>
  <c r="AB1893" i="1"/>
  <c r="AC1893" i="1"/>
  <c r="AD1893" i="1"/>
  <c r="AE1893" i="1"/>
  <c r="AF1893" i="1"/>
  <c r="AG1893" i="1"/>
  <c r="AH1893" i="1"/>
  <c r="AI1893" i="1"/>
  <c r="AJ1893" i="1"/>
  <c r="AK1893" i="1"/>
  <c r="AL1893" i="1"/>
  <c r="AM1893" i="1"/>
  <c r="A1894" i="1"/>
  <c r="B1894" i="1"/>
  <c r="C1894" i="1"/>
  <c r="D1894" i="1"/>
  <c r="E1894" i="1"/>
  <c r="F1894" i="1"/>
  <c r="G1894" i="1"/>
  <c r="H1894" i="1"/>
  <c r="I1894" i="1"/>
  <c r="J1894" i="1"/>
  <c r="K1894" i="1"/>
  <c r="L1894" i="1"/>
  <c r="M1894" i="1"/>
  <c r="N1894" i="1"/>
  <c r="O1894" i="1"/>
  <c r="P1894" i="1"/>
  <c r="Q1894" i="1"/>
  <c r="R1894" i="1"/>
  <c r="S1894" i="1"/>
  <c r="T1894" i="1"/>
  <c r="U1894" i="1"/>
  <c r="V1894" i="1"/>
  <c r="W1894" i="1"/>
  <c r="X1894" i="1"/>
  <c r="Y1894" i="1"/>
  <c r="Z1894" i="1"/>
  <c r="AA1894" i="1"/>
  <c r="AB1894" i="1"/>
  <c r="AC1894" i="1"/>
  <c r="AD1894" i="1"/>
  <c r="AE1894" i="1"/>
  <c r="AF1894" i="1"/>
  <c r="AG1894" i="1"/>
  <c r="AH1894" i="1"/>
  <c r="AI1894" i="1"/>
  <c r="AJ1894" i="1"/>
  <c r="AK1894" i="1"/>
  <c r="AL1894" i="1"/>
  <c r="AM1894" i="1"/>
  <c r="A1895" i="1"/>
  <c r="B1895" i="1"/>
  <c r="C1895" i="1"/>
  <c r="D1895" i="1"/>
  <c r="E1895" i="1"/>
  <c r="F1895" i="1"/>
  <c r="G1895" i="1"/>
  <c r="H1895" i="1"/>
  <c r="I1895" i="1"/>
  <c r="J1895" i="1"/>
  <c r="K1895" i="1"/>
  <c r="L1895" i="1"/>
  <c r="M1895" i="1"/>
  <c r="N1895" i="1"/>
  <c r="O1895" i="1"/>
  <c r="P1895" i="1"/>
  <c r="Q1895" i="1"/>
  <c r="R1895" i="1"/>
  <c r="S1895" i="1"/>
  <c r="T1895" i="1"/>
  <c r="U1895" i="1"/>
  <c r="V1895" i="1"/>
  <c r="W1895" i="1"/>
  <c r="X1895" i="1"/>
  <c r="Y1895" i="1"/>
  <c r="Z1895" i="1"/>
  <c r="AA1895" i="1"/>
  <c r="AB1895" i="1"/>
  <c r="AC1895" i="1"/>
  <c r="AD1895" i="1"/>
  <c r="AE1895" i="1"/>
  <c r="AF1895" i="1"/>
  <c r="AG1895" i="1"/>
  <c r="AH1895" i="1"/>
  <c r="AI1895" i="1"/>
  <c r="AJ1895" i="1"/>
  <c r="AK1895" i="1"/>
  <c r="AL1895" i="1"/>
  <c r="AM1895" i="1"/>
  <c r="A1896" i="1"/>
  <c r="B1896" i="1"/>
  <c r="C1896" i="1"/>
  <c r="D1896" i="1"/>
  <c r="E1896" i="1"/>
  <c r="F1896" i="1"/>
  <c r="G1896" i="1"/>
  <c r="H1896" i="1"/>
  <c r="I1896" i="1"/>
  <c r="J1896" i="1"/>
  <c r="K1896" i="1"/>
  <c r="L1896" i="1"/>
  <c r="M1896" i="1"/>
  <c r="N1896" i="1"/>
  <c r="O1896" i="1"/>
  <c r="P1896" i="1"/>
  <c r="Q1896" i="1"/>
  <c r="R1896" i="1"/>
  <c r="S1896" i="1"/>
  <c r="T1896" i="1"/>
  <c r="U1896" i="1"/>
  <c r="V1896" i="1"/>
  <c r="W1896" i="1"/>
  <c r="X1896" i="1"/>
  <c r="Y1896" i="1"/>
  <c r="Z1896" i="1"/>
  <c r="AA1896" i="1"/>
  <c r="AB1896" i="1"/>
  <c r="AC1896" i="1"/>
  <c r="AD1896" i="1"/>
  <c r="AE1896" i="1"/>
  <c r="AF1896" i="1"/>
  <c r="AG1896" i="1"/>
  <c r="AH1896" i="1"/>
  <c r="AI1896" i="1"/>
  <c r="AJ1896" i="1"/>
  <c r="AK1896" i="1"/>
  <c r="AL1896" i="1"/>
  <c r="AM1896" i="1"/>
  <c r="A1897" i="1"/>
  <c r="B1897" i="1"/>
  <c r="C1897" i="1"/>
  <c r="D1897" i="1"/>
  <c r="E1897" i="1"/>
  <c r="F1897" i="1"/>
  <c r="G1897" i="1"/>
  <c r="H1897" i="1"/>
  <c r="I1897" i="1"/>
  <c r="J1897" i="1"/>
  <c r="K1897" i="1"/>
  <c r="L1897" i="1"/>
  <c r="M1897" i="1"/>
  <c r="N1897" i="1"/>
  <c r="O1897" i="1"/>
  <c r="P1897" i="1"/>
  <c r="Q1897" i="1"/>
  <c r="R1897" i="1"/>
  <c r="S1897" i="1"/>
  <c r="T1897" i="1"/>
  <c r="U1897" i="1"/>
  <c r="V1897" i="1"/>
  <c r="W1897" i="1"/>
  <c r="X1897" i="1"/>
  <c r="Y1897" i="1"/>
  <c r="Z1897" i="1"/>
  <c r="AA1897" i="1"/>
  <c r="AB1897" i="1"/>
  <c r="AC1897" i="1"/>
  <c r="AD1897" i="1"/>
  <c r="AE1897" i="1"/>
  <c r="AF1897" i="1"/>
  <c r="AG1897" i="1"/>
  <c r="AH1897" i="1"/>
  <c r="AI1897" i="1"/>
  <c r="AJ1897" i="1"/>
  <c r="AK1897" i="1"/>
  <c r="AL1897" i="1"/>
  <c r="AM1897" i="1"/>
  <c r="A1898" i="1"/>
  <c r="B1898" i="1"/>
  <c r="C1898" i="1"/>
  <c r="D1898" i="1"/>
  <c r="E1898" i="1"/>
  <c r="F1898" i="1"/>
  <c r="G1898" i="1"/>
  <c r="H1898" i="1"/>
  <c r="I1898" i="1"/>
  <c r="J1898" i="1"/>
  <c r="K1898" i="1"/>
  <c r="L1898" i="1"/>
  <c r="M1898" i="1"/>
  <c r="N1898" i="1"/>
  <c r="O1898" i="1"/>
  <c r="P1898" i="1"/>
  <c r="Q1898" i="1"/>
  <c r="R1898" i="1"/>
  <c r="S1898" i="1"/>
  <c r="T1898" i="1"/>
  <c r="U1898" i="1"/>
  <c r="V1898" i="1"/>
  <c r="W1898" i="1"/>
  <c r="X1898" i="1"/>
  <c r="Y1898" i="1"/>
  <c r="Z1898" i="1"/>
  <c r="AA1898" i="1"/>
  <c r="AB1898" i="1"/>
  <c r="AC1898" i="1"/>
  <c r="AD1898" i="1"/>
  <c r="AE1898" i="1"/>
  <c r="AF1898" i="1"/>
  <c r="AG1898" i="1"/>
  <c r="AH1898" i="1"/>
  <c r="AI1898" i="1"/>
  <c r="AJ1898" i="1"/>
  <c r="AK1898" i="1"/>
  <c r="AL1898" i="1"/>
  <c r="AM1898" i="1"/>
  <c r="A1899" i="1"/>
  <c r="B1899" i="1"/>
  <c r="C1899" i="1"/>
  <c r="D1899" i="1"/>
  <c r="E1899" i="1"/>
  <c r="F1899" i="1"/>
  <c r="G1899" i="1"/>
  <c r="H1899" i="1"/>
  <c r="I1899" i="1"/>
  <c r="J1899" i="1"/>
  <c r="K1899" i="1"/>
  <c r="L1899" i="1"/>
  <c r="M1899" i="1"/>
  <c r="N1899" i="1"/>
  <c r="O1899" i="1"/>
  <c r="P1899" i="1"/>
  <c r="Q1899" i="1"/>
  <c r="R1899" i="1"/>
  <c r="S1899" i="1"/>
  <c r="T1899" i="1"/>
  <c r="U1899" i="1"/>
  <c r="V1899" i="1"/>
  <c r="W1899" i="1"/>
  <c r="X1899" i="1"/>
  <c r="Y1899" i="1"/>
  <c r="Z1899" i="1"/>
  <c r="AA1899" i="1"/>
  <c r="AB1899" i="1"/>
  <c r="AC1899" i="1"/>
  <c r="AD1899" i="1"/>
  <c r="AE1899" i="1"/>
  <c r="AF1899" i="1"/>
  <c r="AG1899" i="1"/>
  <c r="AH1899" i="1"/>
  <c r="AI1899" i="1"/>
  <c r="AJ1899" i="1"/>
  <c r="AK1899" i="1"/>
  <c r="AL1899" i="1"/>
  <c r="AM1899" i="1"/>
  <c r="A1900" i="1"/>
  <c r="B1900" i="1"/>
  <c r="C1900" i="1"/>
  <c r="D1900" i="1"/>
  <c r="E1900" i="1"/>
  <c r="F1900" i="1"/>
  <c r="G1900" i="1"/>
  <c r="H1900" i="1"/>
  <c r="I1900" i="1"/>
  <c r="J1900" i="1"/>
  <c r="K1900" i="1"/>
  <c r="L1900" i="1"/>
  <c r="M1900" i="1"/>
  <c r="N1900" i="1"/>
  <c r="O1900" i="1"/>
  <c r="P1900" i="1"/>
  <c r="Q1900" i="1"/>
  <c r="R1900" i="1"/>
  <c r="S1900" i="1"/>
  <c r="T1900" i="1"/>
  <c r="U1900" i="1"/>
  <c r="V1900" i="1"/>
  <c r="W1900" i="1"/>
  <c r="X1900" i="1"/>
  <c r="Y1900" i="1"/>
  <c r="Z1900" i="1"/>
  <c r="AA1900" i="1"/>
  <c r="AB1900" i="1"/>
  <c r="AC1900" i="1"/>
  <c r="AD1900" i="1"/>
  <c r="AE1900" i="1"/>
  <c r="AF1900" i="1"/>
  <c r="AG1900" i="1"/>
  <c r="AH1900" i="1"/>
  <c r="AI1900" i="1"/>
  <c r="AJ1900" i="1"/>
  <c r="AK1900" i="1"/>
  <c r="AL1900" i="1"/>
  <c r="AM1900" i="1"/>
  <c r="A1901" i="1"/>
  <c r="B1901" i="1"/>
  <c r="C1901" i="1"/>
  <c r="D1901" i="1"/>
  <c r="E1901" i="1"/>
  <c r="F1901" i="1"/>
  <c r="G1901" i="1"/>
  <c r="H1901" i="1"/>
  <c r="I1901" i="1"/>
  <c r="J1901" i="1"/>
  <c r="K1901" i="1"/>
  <c r="L1901" i="1"/>
  <c r="M1901" i="1"/>
  <c r="N1901" i="1"/>
  <c r="O1901" i="1"/>
  <c r="P1901" i="1"/>
  <c r="Q1901" i="1"/>
  <c r="R1901" i="1"/>
  <c r="S1901" i="1"/>
  <c r="T1901" i="1"/>
  <c r="U1901" i="1"/>
  <c r="V1901" i="1"/>
  <c r="W1901" i="1"/>
  <c r="X1901" i="1"/>
  <c r="Y1901" i="1"/>
  <c r="Z1901" i="1"/>
  <c r="AA1901" i="1"/>
  <c r="AB1901" i="1"/>
  <c r="AC1901" i="1"/>
  <c r="AD1901" i="1"/>
  <c r="AE1901" i="1"/>
  <c r="AF1901" i="1"/>
  <c r="AG1901" i="1"/>
  <c r="AH1901" i="1"/>
  <c r="AI1901" i="1"/>
  <c r="AJ1901" i="1"/>
  <c r="AK1901" i="1"/>
  <c r="AL1901" i="1"/>
  <c r="AM1901" i="1"/>
  <c r="A1902" i="1"/>
  <c r="B1902" i="1"/>
  <c r="C1902" i="1"/>
  <c r="D1902" i="1"/>
  <c r="E1902" i="1"/>
  <c r="F1902" i="1"/>
  <c r="G1902" i="1"/>
  <c r="H1902" i="1"/>
  <c r="I1902" i="1"/>
  <c r="J1902" i="1"/>
  <c r="K1902" i="1"/>
  <c r="L1902" i="1"/>
  <c r="M1902" i="1"/>
  <c r="N1902" i="1"/>
  <c r="O1902" i="1"/>
  <c r="P1902" i="1"/>
  <c r="Q1902" i="1"/>
  <c r="R1902" i="1"/>
  <c r="S1902" i="1"/>
  <c r="T1902" i="1"/>
  <c r="U1902" i="1"/>
  <c r="V1902" i="1"/>
  <c r="W1902" i="1"/>
  <c r="X1902" i="1"/>
  <c r="Y1902" i="1"/>
  <c r="Z1902" i="1"/>
  <c r="AA1902" i="1"/>
  <c r="AB1902" i="1"/>
  <c r="AC1902" i="1"/>
  <c r="AD1902" i="1"/>
  <c r="AE1902" i="1"/>
  <c r="AF1902" i="1"/>
  <c r="AG1902" i="1"/>
  <c r="AH1902" i="1"/>
  <c r="AI1902" i="1"/>
  <c r="AJ1902" i="1"/>
  <c r="AK1902" i="1"/>
  <c r="AL1902" i="1"/>
  <c r="AM1902" i="1"/>
  <c r="A1903" i="1"/>
  <c r="B1903" i="1"/>
  <c r="C1903" i="1"/>
  <c r="D1903" i="1"/>
  <c r="E1903" i="1"/>
  <c r="F1903" i="1"/>
  <c r="G1903" i="1"/>
  <c r="H1903" i="1"/>
  <c r="I1903" i="1"/>
  <c r="J1903" i="1"/>
  <c r="K1903" i="1"/>
  <c r="L1903" i="1"/>
  <c r="M1903" i="1"/>
  <c r="N1903" i="1"/>
  <c r="O1903" i="1"/>
  <c r="P1903" i="1"/>
  <c r="Q1903" i="1"/>
  <c r="R1903" i="1"/>
  <c r="S1903" i="1"/>
  <c r="T1903" i="1"/>
  <c r="U1903" i="1"/>
  <c r="V1903" i="1"/>
  <c r="W1903" i="1"/>
  <c r="X1903" i="1"/>
  <c r="Y1903" i="1"/>
  <c r="Z1903" i="1"/>
  <c r="AA1903" i="1"/>
  <c r="AB1903" i="1"/>
  <c r="AC1903" i="1"/>
  <c r="AD1903" i="1"/>
  <c r="AE1903" i="1"/>
  <c r="AF1903" i="1"/>
  <c r="AG1903" i="1"/>
  <c r="AH1903" i="1"/>
  <c r="AI1903" i="1"/>
  <c r="AJ1903" i="1"/>
  <c r="AK1903" i="1"/>
  <c r="AL1903" i="1"/>
  <c r="AM1903" i="1"/>
  <c r="A1904" i="1"/>
  <c r="B1904" i="1"/>
  <c r="C1904" i="1"/>
  <c r="D1904" i="1"/>
  <c r="E1904" i="1"/>
  <c r="F1904" i="1"/>
  <c r="G1904" i="1"/>
  <c r="H1904" i="1"/>
  <c r="I1904" i="1"/>
  <c r="J1904" i="1"/>
  <c r="K1904" i="1"/>
  <c r="L1904" i="1"/>
  <c r="M1904" i="1"/>
  <c r="N1904" i="1"/>
  <c r="O1904" i="1"/>
  <c r="P1904" i="1"/>
  <c r="Q1904" i="1"/>
  <c r="R1904" i="1"/>
  <c r="S1904" i="1"/>
  <c r="T1904" i="1"/>
  <c r="U1904" i="1"/>
  <c r="V1904" i="1"/>
  <c r="W1904" i="1"/>
  <c r="X1904" i="1"/>
  <c r="Y1904" i="1"/>
  <c r="Z1904" i="1"/>
  <c r="AA1904" i="1"/>
  <c r="AB1904" i="1"/>
  <c r="AC1904" i="1"/>
  <c r="AD1904" i="1"/>
  <c r="AE1904" i="1"/>
  <c r="AF1904" i="1"/>
  <c r="AG1904" i="1"/>
  <c r="AH1904" i="1"/>
  <c r="AI1904" i="1"/>
  <c r="AJ1904" i="1"/>
  <c r="AK1904" i="1"/>
  <c r="AL1904" i="1"/>
  <c r="AM1904" i="1"/>
  <c r="A1905" i="1"/>
  <c r="B1905" i="1"/>
  <c r="C1905" i="1"/>
  <c r="D1905" i="1"/>
  <c r="E1905" i="1"/>
  <c r="F1905" i="1"/>
  <c r="G1905" i="1"/>
  <c r="H1905" i="1"/>
  <c r="I1905" i="1"/>
  <c r="J1905" i="1"/>
  <c r="K1905" i="1"/>
  <c r="L1905" i="1"/>
  <c r="M1905" i="1"/>
  <c r="N1905" i="1"/>
  <c r="O1905" i="1"/>
  <c r="P1905" i="1"/>
  <c r="Q1905" i="1"/>
  <c r="R1905" i="1"/>
  <c r="S1905" i="1"/>
  <c r="T1905" i="1"/>
  <c r="U1905" i="1"/>
  <c r="V1905" i="1"/>
  <c r="W1905" i="1"/>
  <c r="X1905" i="1"/>
  <c r="Y1905" i="1"/>
  <c r="Z1905" i="1"/>
  <c r="AA1905" i="1"/>
  <c r="AB1905" i="1"/>
  <c r="AC1905" i="1"/>
  <c r="AD1905" i="1"/>
  <c r="AE1905" i="1"/>
  <c r="AF1905" i="1"/>
  <c r="AG1905" i="1"/>
  <c r="AH1905" i="1"/>
  <c r="AI1905" i="1"/>
  <c r="AJ1905" i="1"/>
  <c r="AK1905" i="1"/>
  <c r="AL1905" i="1"/>
  <c r="AM1905" i="1"/>
  <c r="A1906" i="1"/>
  <c r="B1906" i="1"/>
  <c r="C1906" i="1"/>
  <c r="D1906" i="1"/>
  <c r="E1906" i="1"/>
  <c r="F1906" i="1"/>
  <c r="G1906" i="1"/>
  <c r="H1906" i="1"/>
  <c r="I1906" i="1"/>
  <c r="J1906" i="1"/>
  <c r="K1906" i="1"/>
  <c r="L1906" i="1"/>
  <c r="M1906" i="1"/>
  <c r="N1906" i="1"/>
  <c r="O1906" i="1"/>
  <c r="P1906" i="1"/>
  <c r="Q1906" i="1"/>
  <c r="R1906" i="1"/>
  <c r="S1906" i="1"/>
  <c r="T1906" i="1"/>
  <c r="U1906" i="1"/>
  <c r="V1906" i="1"/>
  <c r="W1906" i="1"/>
  <c r="X1906" i="1"/>
  <c r="Y1906" i="1"/>
  <c r="Z1906" i="1"/>
  <c r="AA1906" i="1"/>
  <c r="AB1906" i="1"/>
  <c r="AC1906" i="1"/>
  <c r="AD1906" i="1"/>
  <c r="AE1906" i="1"/>
  <c r="AF1906" i="1"/>
  <c r="AG1906" i="1"/>
  <c r="AH1906" i="1"/>
  <c r="AI1906" i="1"/>
  <c r="AJ1906" i="1"/>
  <c r="AK1906" i="1"/>
  <c r="AL1906" i="1"/>
  <c r="AM1906" i="1"/>
  <c r="A1907" i="1"/>
  <c r="B1907" i="1"/>
  <c r="C1907" i="1"/>
  <c r="D1907" i="1"/>
  <c r="E1907" i="1"/>
  <c r="F1907" i="1"/>
  <c r="G1907" i="1"/>
  <c r="H1907" i="1"/>
  <c r="I1907" i="1"/>
  <c r="J1907" i="1"/>
  <c r="K1907" i="1"/>
  <c r="L1907" i="1"/>
  <c r="M1907" i="1"/>
  <c r="N1907" i="1"/>
  <c r="O1907" i="1"/>
  <c r="P1907" i="1"/>
  <c r="Q1907" i="1"/>
  <c r="R1907" i="1"/>
  <c r="S1907" i="1"/>
  <c r="T1907" i="1"/>
  <c r="U1907" i="1"/>
  <c r="V1907" i="1"/>
  <c r="W1907" i="1"/>
  <c r="X1907" i="1"/>
  <c r="Y1907" i="1"/>
  <c r="Z1907" i="1"/>
  <c r="AA1907" i="1"/>
  <c r="AB1907" i="1"/>
  <c r="AC1907" i="1"/>
  <c r="AD1907" i="1"/>
  <c r="AE1907" i="1"/>
  <c r="AF1907" i="1"/>
  <c r="AG1907" i="1"/>
  <c r="AH1907" i="1"/>
  <c r="AI1907" i="1"/>
  <c r="AJ1907" i="1"/>
  <c r="AK1907" i="1"/>
  <c r="AL1907" i="1"/>
  <c r="AM1907" i="1"/>
  <c r="A1908" i="1"/>
  <c r="B1908" i="1"/>
  <c r="C1908" i="1"/>
  <c r="D1908" i="1"/>
  <c r="E1908" i="1"/>
  <c r="F1908" i="1"/>
  <c r="G1908" i="1"/>
  <c r="H1908" i="1"/>
  <c r="I1908" i="1"/>
  <c r="J1908" i="1"/>
  <c r="K1908" i="1"/>
  <c r="L1908" i="1"/>
  <c r="M1908" i="1"/>
  <c r="N1908" i="1"/>
  <c r="O1908" i="1"/>
  <c r="P1908" i="1"/>
  <c r="Q1908" i="1"/>
  <c r="R1908" i="1"/>
  <c r="S1908" i="1"/>
  <c r="T1908" i="1"/>
  <c r="U1908" i="1"/>
  <c r="V1908" i="1"/>
  <c r="W1908" i="1"/>
  <c r="X1908" i="1"/>
  <c r="Y1908" i="1"/>
  <c r="Z1908" i="1"/>
  <c r="AA1908" i="1"/>
  <c r="AB1908" i="1"/>
  <c r="AC1908" i="1"/>
  <c r="AD1908" i="1"/>
  <c r="AE1908" i="1"/>
  <c r="AF1908" i="1"/>
  <c r="AG1908" i="1"/>
  <c r="AH1908" i="1"/>
  <c r="AI1908" i="1"/>
  <c r="AJ1908" i="1"/>
  <c r="AK1908" i="1"/>
  <c r="AL1908" i="1"/>
  <c r="AM1908" i="1"/>
  <c r="A1909" i="1"/>
  <c r="B1909" i="1"/>
  <c r="C1909" i="1"/>
  <c r="D1909" i="1"/>
  <c r="E1909" i="1"/>
  <c r="F1909" i="1"/>
  <c r="G1909" i="1"/>
  <c r="H1909" i="1"/>
  <c r="I1909" i="1"/>
  <c r="J1909" i="1"/>
  <c r="K1909" i="1"/>
  <c r="L1909" i="1"/>
  <c r="M1909" i="1"/>
  <c r="N1909" i="1"/>
  <c r="O1909" i="1"/>
  <c r="P1909" i="1"/>
  <c r="Q1909" i="1"/>
  <c r="R1909" i="1"/>
  <c r="S1909" i="1"/>
  <c r="T1909" i="1"/>
  <c r="U1909" i="1"/>
  <c r="V1909" i="1"/>
  <c r="W1909" i="1"/>
  <c r="X1909" i="1"/>
  <c r="Y1909" i="1"/>
  <c r="Z1909" i="1"/>
  <c r="AA1909" i="1"/>
  <c r="AB1909" i="1"/>
  <c r="AC1909" i="1"/>
  <c r="AD1909" i="1"/>
  <c r="AE1909" i="1"/>
  <c r="AF1909" i="1"/>
  <c r="AG1909" i="1"/>
  <c r="AH1909" i="1"/>
  <c r="AI1909" i="1"/>
  <c r="AJ1909" i="1"/>
  <c r="AK1909" i="1"/>
  <c r="AL1909" i="1"/>
  <c r="AM1909" i="1"/>
  <c r="A1910" i="1"/>
  <c r="B1910" i="1"/>
  <c r="C1910" i="1"/>
  <c r="D1910" i="1"/>
  <c r="E1910" i="1"/>
  <c r="F1910" i="1"/>
  <c r="G1910" i="1"/>
  <c r="H1910" i="1"/>
  <c r="I1910" i="1"/>
  <c r="J1910" i="1"/>
  <c r="K1910" i="1"/>
  <c r="L1910" i="1"/>
  <c r="M1910" i="1"/>
  <c r="N1910" i="1"/>
  <c r="O1910" i="1"/>
  <c r="P1910" i="1"/>
  <c r="Q1910" i="1"/>
  <c r="R1910" i="1"/>
  <c r="S1910" i="1"/>
  <c r="T1910" i="1"/>
  <c r="U1910" i="1"/>
  <c r="V1910" i="1"/>
  <c r="W1910" i="1"/>
  <c r="X1910" i="1"/>
  <c r="Y1910" i="1"/>
  <c r="Z1910" i="1"/>
  <c r="AA1910" i="1"/>
  <c r="AB1910" i="1"/>
  <c r="AC1910" i="1"/>
  <c r="AD1910" i="1"/>
  <c r="AE1910" i="1"/>
  <c r="AF1910" i="1"/>
  <c r="AG1910" i="1"/>
  <c r="AH1910" i="1"/>
  <c r="AI1910" i="1"/>
  <c r="AJ1910" i="1"/>
  <c r="AK1910" i="1"/>
  <c r="AL1910" i="1"/>
  <c r="AM1910" i="1"/>
  <c r="A1911" i="1"/>
  <c r="B1911" i="1"/>
  <c r="C1911" i="1"/>
  <c r="D1911" i="1"/>
  <c r="E1911" i="1"/>
  <c r="F1911" i="1"/>
  <c r="G1911" i="1"/>
  <c r="H1911" i="1"/>
  <c r="I1911" i="1"/>
  <c r="J1911" i="1"/>
  <c r="K1911" i="1"/>
  <c r="L1911" i="1"/>
  <c r="M1911" i="1"/>
  <c r="N1911" i="1"/>
  <c r="O1911" i="1"/>
  <c r="P1911" i="1"/>
  <c r="Q1911" i="1"/>
  <c r="R1911" i="1"/>
  <c r="S1911" i="1"/>
  <c r="T1911" i="1"/>
  <c r="U1911" i="1"/>
  <c r="V1911" i="1"/>
  <c r="W1911" i="1"/>
  <c r="X1911" i="1"/>
  <c r="Y1911" i="1"/>
  <c r="Z1911" i="1"/>
  <c r="AA1911" i="1"/>
  <c r="AB1911" i="1"/>
  <c r="AC1911" i="1"/>
  <c r="AD1911" i="1"/>
  <c r="AE1911" i="1"/>
  <c r="AF1911" i="1"/>
  <c r="AG1911" i="1"/>
  <c r="AH1911" i="1"/>
  <c r="AI1911" i="1"/>
  <c r="AJ1911" i="1"/>
  <c r="AK1911" i="1"/>
  <c r="AL1911" i="1"/>
  <c r="AM1911" i="1"/>
  <c r="A1912" i="1"/>
  <c r="B1912" i="1"/>
  <c r="C1912" i="1"/>
  <c r="D1912" i="1"/>
  <c r="E1912" i="1"/>
  <c r="F1912" i="1"/>
  <c r="G1912" i="1"/>
  <c r="H1912" i="1"/>
  <c r="I1912" i="1"/>
  <c r="J1912" i="1"/>
  <c r="K1912" i="1"/>
  <c r="L1912" i="1"/>
  <c r="M1912" i="1"/>
  <c r="N1912" i="1"/>
  <c r="O1912" i="1"/>
  <c r="P1912" i="1"/>
  <c r="Q1912" i="1"/>
  <c r="R1912" i="1"/>
  <c r="S1912" i="1"/>
  <c r="T1912" i="1"/>
  <c r="U1912" i="1"/>
  <c r="V1912" i="1"/>
  <c r="W1912" i="1"/>
  <c r="X1912" i="1"/>
  <c r="Y1912" i="1"/>
  <c r="Z1912" i="1"/>
  <c r="AA1912" i="1"/>
  <c r="AB1912" i="1"/>
  <c r="AC1912" i="1"/>
  <c r="AD1912" i="1"/>
  <c r="AE1912" i="1"/>
  <c r="AF1912" i="1"/>
  <c r="AG1912" i="1"/>
  <c r="AH1912" i="1"/>
  <c r="AI1912" i="1"/>
  <c r="AJ1912" i="1"/>
  <c r="AK1912" i="1"/>
  <c r="AL1912" i="1"/>
  <c r="AM1912" i="1"/>
  <c r="A1913" i="1"/>
  <c r="B1913" i="1"/>
  <c r="C1913" i="1"/>
  <c r="D1913" i="1"/>
  <c r="E1913" i="1"/>
  <c r="F1913" i="1"/>
  <c r="G1913" i="1"/>
  <c r="H1913" i="1"/>
  <c r="I1913" i="1"/>
  <c r="J1913" i="1"/>
  <c r="K1913" i="1"/>
  <c r="L1913" i="1"/>
  <c r="M1913" i="1"/>
  <c r="N1913" i="1"/>
  <c r="O1913" i="1"/>
  <c r="P1913" i="1"/>
  <c r="Q1913" i="1"/>
  <c r="R1913" i="1"/>
  <c r="S1913" i="1"/>
  <c r="T1913" i="1"/>
  <c r="U1913" i="1"/>
  <c r="V1913" i="1"/>
  <c r="W1913" i="1"/>
  <c r="X1913" i="1"/>
  <c r="Y1913" i="1"/>
  <c r="Z1913" i="1"/>
  <c r="AA1913" i="1"/>
  <c r="AB1913" i="1"/>
  <c r="AC1913" i="1"/>
  <c r="AD1913" i="1"/>
  <c r="AE1913" i="1"/>
  <c r="AF1913" i="1"/>
  <c r="AG1913" i="1"/>
  <c r="AH1913" i="1"/>
  <c r="AI1913" i="1"/>
  <c r="AJ1913" i="1"/>
  <c r="AK1913" i="1"/>
  <c r="AL1913" i="1"/>
  <c r="AM1913" i="1"/>
  <c r="A1914" i="1"/>
  <c r="B1914" i="1"/>
  <c r="C1914" i="1"/>
  <c r="D1914" i="1"/>
  <c r="E1914" i="1"/>
  <c r="F1914" i="1"/>
  <c r="G1914" i="1"/>
  <c r="H1914" i="1"/>
  <c r="I1914" i="1"/>
  <c r="J1914" i="1"/>
  <c r="K1914" i="1"/>
  <c r="L1914" i="1"/>
  <c r="M1914" i="1"/>
  <c r="N1914" i="1"/>
  <c r="O1914" i="1"/>
  <c r="P1914" i="1"/>
  <c r="Q1914" i="1"/>
  <c r="R1914" i="1"/>
  <c r="S1914" i="1"/>
  <c r="T1914" i="1"/>
  <c r="U1914" i="1"/>
  <c r="V1914" i="1"/>
  <c r="W1914" i="1"/>
  <c r="X1914" i="1"/>
  <c r="Y1914" i="1"/>
  <c r="Z1914" i="1"/>
  <c r="AA1914" i="1"/>
  <c r="AB1914" i="1"/>
  <c r="AC1914" i="1"/>
  <c r="AD1914" i="1"/>
  <c r="AE1914" i="1"/>
  <c r="AF1914" i="1"/>
  <c r="AG1914" i="1"/>
  <c r="AH1914" i="1"/>
  <c r="AI1914" i="1"/>
  <c r="AJ1914" i="1"/>
  <c r="AK1914" i="1"/>
  <c r="AL1914" i="1"/>
  <c r="AM1914" i="1"/>
  <c r="A1915" i="1"/>
  <c r="B1915" i="1"/>
  <c r="C1915" i="1"/>
  <c r="D1915" i="1"/>
  <c r="E1915" i="1"/>
  <c r="F1915" i="1"/>
  <c r="G1915" i="1"/>
  <c r="H1915" i="1"/>
  <c r="I1915" i="1"/>
  <c r="J1915" i="1"/>
  <c r="K1915" i="1"/>
  <c r="L1915" i="1"/>
  <c r="M1915" i="1"/>
  <c r="N1915" i="1"/>
  <c r="O1915" i="1"/>
  <c r="P1915" i="1"/>
  <c r="Q1915" i="1"/>
  <c r="R1915" i="1"/>
  <c r="S1915" i="1"/>
  <c r="T1915" i="1"/>
  <c r="U1915" i="1"/>
  <c r="V1915" i="1"/>
  <c r="W1915" i="1"/>
  <c r="X1915" i="1"/>
  <c r="Y1915" i="1"/>
  <c r="Z1915" i="1"/>
  <c r="AA1915" i="1"/>
  <c r="AB1915" i="1"/>
  <c r="AC1915" i="1"/>
  <c r="AD1915" i="1"/>
  <c r="AE1915" i="1"/>
  <c r="AF1915" i="1"/>
  <c r="AG1915" i="1"/>
  <c r="AH1915" i="1"/>
  <c r="AI1915" i="1"/>
  <c r="AJ1915" i="1"/>
  <c r="AK1915" i="1"/>
  <c r="AL1915" i="1"/>
  <c r="AM1915" i="1"/>
  <c r="A1916" i="1"/>
  <c r="B1916" i="1"/>
  <c r="C1916" i="1"/>
  <c r="D1916" i="1"/>
  <c r="E1916" i="1"/>
  <c r="F1916" i="1"/>
  <c r="G1916" i="1"/>
  <c r="H1916" i="1"/>
  <c r="I1916" i="1"/>
  <c r="J1916" i="1"/>
  <c r="K1916" i="1"/>
  <c r="L1916" i="1"/>
  <c r="M1916" i="1"/>
  <c r="N1916" i="1"/>
  <c r="O1916" i="1"/>
  <c r="P1916" i="1"/>
  <c r="Q1916" i="1"/>
  <c r="R1916" i="1"/>
  <c r="S1916" i="1"/>
  <c r="T1916" i="1"/>
  <c r="U1916" i="1"/>
  <c r="V1916" i="1"/>
  <c r="W1916" i="1"/>
  <c r="X1916" i="1"/>
  <c r="Y1916" i="1"/>
  <c r="Z1916" i="1"/>
  <c r="AA1916" i="1"/>
  <c r="AB1916" i="1"/>
  <c r="AC1916" i="1"/>
  <c r="AD1916" i="1"/>
  <c r="AE1916" i="1"/>
  <c r="AF1916" i="1"/>
  <c r="AG1916" i="1"/>
  <c r="AH1916" i="1"/>
  <c r="AI1916" i="1"/>
  <c r="AJ1916" i="1"/>
  <c r="AK1916" i="1"/>
  <c r="AL1916" i="1"/>
  <c r="AM1916" i="1"/>
  <c r="A1917" i="1"/>
  <c r="B1917" i="1"/>
  <c r="C1917" i="1"/>
  <c r="D1917" i="1"/>
  <c r="E1917" i="1"/>
  <c r="F1917" i="1"/>
  <c r="G1917" i="1"/>
  <c r="H1917" i="1"/>
  <c r="I1917" i="1"/>
  <c r="J1917" i="1"/>
  <c r="K1917" i="1"/>
  <c r="L1917" i="1"/>
  <c r="M1917" i="1"/>
  <c r="N1917" i="1"/>
  <c r="O1917" i="1"/>
  <c r="P1917" i="1"/>
  <c r="Q1917" i="1"/>
  <c r="R1917" i="1"/>
  <c r="S1917" i="1"/>
  <c r="T1917" i="1"/>
  <c r="U1917" i="1"/>
  <c r="V1917" i="1"/>
  <c r="W1917" i="1"/>
  <c r="X1917" i="1"/>
  <c r="Y1917" i="1"/>
  <c r="Z1917" i="1"/>
  <c r="AA1917" i="1"/>
  <c r="AB1917" i="1"/>
  <c r="AC1917" i="1"/>
  <c r="AD1917" i="1"/>
  <c r="AE1917" i="1"/>
  <c r="AF1917" i="1"/>
  <c r="AG1917" i="1"/>
  <c r="AH1917" i="1"/>
  <c r="AI1917" i="1"/>
  <c r="AJ1917" i="1"/>
  <c r="AK1917" i="1"/>
  <c r="AL1917" i="1"/>
  <c r="AM1917" i="1"/>
  <c r="A1918" i="1"/>
  <c r="B1918" i="1"/>
  <c r="C1918" i="1"/>
  <c r="D1918" i="1"/>
  <c r="E1918" i="1"/>
  <c r="F1918" i="1"/>
  <c r="G1918" i="1"/>
  <c r="H1918" i="1"/>
  <c r="I1918" i="1"/>
  <c r="J1918" i="1"/>
  <c r="K1918" i="1"/>
  <c r="L1918" i="1"/>
  <c r="M1918" i="1"/>
  <c r="N1918" i="1"/>
  <c r="O1918" i="1"/>
  <c r="P1918" i="1"/>
  <c r="Q1918" i="1"/>
  <c r="R1918" i="1"/>
  <c r="S1918" i="1"/>
  <c r="T1918" i="1"/>
  <c r="U1918" i="1"/>
  <c r="V1918" i="1"/>
  <c r="W1918" i="1"/>
  <c r="X1918" i="1"/>
  <c r="Y1918" i="1"/>
  <c r="Z1918" i="1"/>
  <c r="AA1918" i="1"/>
  <c r="AB1918" i="1"/>
  <c r="AC1918" i="1"/>
  <c r="AD1918" i="1"/>
  <c r="AE1918" i="1"/>
  <c r="AF1918" i="1"/>
  <c r="AG1918" i="1"/>
  <c r="AH1918" i="1"/>
  <c r="AI1918" i="1"/>
  <c r="AJ1918" i="1"/>
  <c r="AK1918" i="1"/>
  <c r="AL1918" i="1"/>
  <c r="AM1918" i="1"/>
  <c r="A1919" i="1"/>
  <c r="B1919" i="1"/>
  <c r="C1919" i="1"/>
  <c r="D1919" i="1"/>
  <c r="E1919" i="1"/>
  <c r="F1919" i="1"/>
  <c r="G1919" i="1"/>
  <c r="H1919" i="1"/>
  <c r="I1919" i="1"/>
  <c r="J1919" i="1"/>
  <c r="K1919" i="1"/>
  <c r="L1919" i="1"/>
  <c r="M1919" i="1"/>
  <c r="N1919" i="1"/>
  <c r="O1919" i="1"/>
  <c r="P1919" i="1"/>
  <c r="Q1919" i="1"/>
  <c r="R1919" i="1"/>
  <c r="S1919" i="1"/>
  <c r="T1919" i="1"/>
  <c r="U1919" i="1"/>
  <c r="V1919" i="1"/>
  <c r="W1919" i="1"/>
  <c r="X1919" i="1"/>
  <c r="Y1919" i="1"/>
  <c r="Z1919" i="1"/>
  <c r="AA1919" i="1"/>
  <c r="AB1919" i="1"/>
  <c r="AC1919" i="1"/>
  <c r="AD1919" i="1"/>
  <c r="AE1919" i="1"/>
  <c r="AF1919" i="1"/>
  <c r="AG1919" i="1"/>
  <c r="AH1919" i="1"/>
  <c r="AI1919" i="1"/>
  <c r="AJ1919" i="1"/>
  <c r="AK1919" i="1"/>
  <c r="AL1919" i="1"/>
  <c r="AM1919" i="1"/>
  <c r="A1920" i="1"/>
  <c r="B1920" i="1"/>
  <c r="C1920" i="1"/>
  <c r="D1920" i="1"/>
  <c r="E1920" i="1"/>
  <c r="F1920" i="1"/>
  <c r="G1920" i="1"/>
  <c r="H1920" i="1"/>
  <c r="I1920" i="1"/>
  <c r="J1920" i="1"/>
  <c r="K1920" i="1"/>
  <c r="L1920" i="1"/>
  <c r="M1920" i="1"/>
  <c r="N1920" i="1"/>
  <c r="O1920" i="1"/>
  <c r="P1920" i="1"/>
  <c r="Q1920" i="1"/>
  <c r="R1920" i="1"/>
  <c r="S1920" i="1"/>
  <c r="T1920" i="1"/>
  <c r="U1920" i="1"/>
  <c r="V1920" i="1"/>
  <c r="W1920" i="1"/>
  <c r="X1920" i="1"/>
  <c r="Y1920" i="1"/>
  <c r="Z1920" i="1"/>
  <c r="AA1920" i="1"/>
  <c r="AB1920" i="1"/>
  <c r="AC1920" i="1"/>
  <c r="AD1920" i="1"/>
  <c r="AE1920" i="1"/>
  <c r="AF1920" i="1"/>
  <c r="AG1920" i="1"/>
  <c r="AH1920" i="1"/>
  <c r="AI1920" i="1"/>
  <c r="AJ1920" i="1"/>
  <c r="AK1920" i="1"/>
  <c r="AL1920" i="1"/>
  <c r="AM1920" i="1"/>
  <c r="A1921" i="1"/>
  <c r="B1921" i="1"/>
  <c r="C1921" i="1"/>
  <c r="D1921" i="1"/>
  <c r="E1921" i="1"/>
  <c r="F1921" i="1"/>
  <c r="G1921" i="1"/>
  <c r="H1921" i="1"/>
  <c r="I1921" i="1"/>
  <c r="J1921" i="1"/>
  <c r="K1921" i="1"/>
  <c r="L1921" i="1"/>
  <c r="M1921" i="1"/>
  <c r="N1921" i="1"/>
  <c r="O1921" i="1"/>
  <c r="P1921" i="1"/>
  <c r="Q1921" i="1"/>
  <c r="R1921" i="1"/>
  <c r="S1921" i="1"/>
  <c r="T1921" i="1"/>
  <c r="U1921" i="1"/>
  <c r="V1921" i="1"/>
  <c r="W1921" i="1"/>
  <c r="X1921" i="1"/>
  <c r="Y1921" i="1"/>
  <c r="Z1921" i="1"/>
  <c r="AA1921" i="1"/>
  <c r="AB1921" i="1"/>
  <c r="AC1921" i="1"/>
  <c r="AD1921" i="1"/>
  <c r="AE1921" i="1"/>
  <c r="AF1921" i="1"/>
  <c r="AG1921" i="1"/>
  <c r="AH1921" i="1"/>
  <c r="AI1921" i="1"/>
  <c r="AJ1921" i="1"/>
  <c r="AK1921" i="1"/>
  <c r="AL1921" i="1"/>
  <c r="AM1921" i="1"/>
  <c r="A1922" i="1"/>
  <c r="B1922" i="1"/>
  <c r="C1922" i="1"/>
  <c r="D1922" i="1"/>
  <c r="E1922" i="1"/>
  <c r="F1922" i="1"/>
  <c r="G1922" i="1"/>
  <c r="H1922" i="1"/>
  <c r="I1922" i="1"/>
  <c r="J1922" i="1"/>
  <c r="K1922" i="1"/>
  <c r="L1922" i="1"/>
  <c r="M1922" i="1"/>
  <c r="N1922" i="1"/>
  <c r="O1922" i="1"/>
  <c r="P1922" i="1"/>
  <c r="Q1922" i="1"/>
  <c r="R1922" i="1"/>
  <c r="S1922" i="1"/>
  <c r="T1922" i="1"/>
  <c r="U1922" i="1"/>
  <c r="V1922" i="1"/>
  <c r="W1922" i="1"/>
  <c r="X1922" i="1"/>
  <c r="Y1922" i="1"/>
  <c r="Z1922" i="1"/>
  <c r="AA1922" i="1"/>
  <c r="AB1922" i="1"/>
  <c r="AC1922" i="1"/>
  <c r="AD1922" i="1"/>
  <c r="AE1922" i="1"/>
  <c r="AF1922" i="1"/>
  <c r="AG1922" i="1"/>
  <c r="AH1922" i="1"/>
  <c r="AI1922" i="1"/>
  <c r="AJ1922" i="1"/>
  <c r="AK1922" i="1"/>
  <c r="AL1922" i="1"/>
  <c r="AM1922" i="1"/>
  <c r="A1923" i="1"/>
  <c r="B1923" i="1"/>
  <c r="C1923" i="1"/>
  <c r="D1923" i="1"/>
  <c r="E1923" i="1"/>
  <c r="F1923" i="1"/>
  <c r="G1923" i="1"/>
  <c r="H1923" i="1"/>
  <c r="I1923" i="1"/>
  <c r="J1923" i="1"/>
  <c r="K1923" i="1"/>
  <c r="L1923" i="1"/>
  <c r="M1923" i="1"/>
  <c r="N1923" i="1"/>
  <c r="O1923" i="1"/>
  <c r="P1923" i="1"/>
  <c r="Q1923" i="1"/>
  <c r="R1923" i="1"/>
  <c r="S1923" i="1"/>
  <c r="T1923" i="1"/>
  <c r="U1923" i="1"/>
  <c r="V1923" i="1"/>
  <c r="W1923" i="1"/>
  <c r="X1923" i="1"/>
  <c r="Y1923" i="1"/>
  <c r="Z1923" i="1"/>
  <c r="AA1923" i="1"/>
  <c r="AB1923" i="1"/>
  <c r="AC1923" i="1"/>
  <c r="AD1923" i="1"/>
  <c r="AE1923" i="1"/>
  <c r="AF1923" i="1"/>
  <c r="AG1923" i="1"/>
  <c r="AH1923" i="1"/>
  <c r="AI1923" i="1"/>
  <c r="AJ1923" i="1"/>
  <c r="AK1923" i="1"/>
  <c r="AL1923" i="1"/>
  <c r="AM1923" i="1"/>
  <c r="A1924" i="1"/>
  <c r="B1924" i="1"/>
  <c r="C1924" i="1"/>
  <c r="D1924" i="1"/>
  <c r="E1924" i="1"/>
  <c r="F1924" i="1"/>
  <c r="G1924" i="1"/>
  <c r="H1924" i="1"/>
  <c r="I1924" i="1"/>
  <c r="J1924" i="1"/>
  <c r="K1924" i="1"/>
  <c r="L1924" i="1"/>
  <c r="M1924" i="1"/>
  <c r="N1924" i="1"/>
  <c r="O1924" i="1"/>
  <c r="P1924" i="1"/>
  <c r="Q1924" i="1"/>
  <c r="R1924" i="1"/>
  <c r="S1924" i="1"/>
  <c r="T1924" i="1"/>
  <c r="U1924" i="1"/>
  <c r="V1924" i="1"/>
  <c r="W1924" i="1"/>
  <c r="X1924" i="1"/>
  <c r="Y1924" i="1"/>
  <c r="Z1924" i="1"/>
  <c r="AA1924" i="1"/>
  <c r="AB1924" i="1"/>
  <c r="AC1924" i="1"/>
  <c r="AD1924" i="1"/>
  <c r="AE1924" i="1"/>
  <c r="AF1924" i="1"/>
  <c r="AG1924" i="1"/>
  <c r="AH1924" i="1"/>
  <c r="AI1924" i="1"/>
  <c r="AJ1924" i="1"/>
  <c r="AK1924" i="1"/>
  <c r="AL1924" i="1"/>
  <c r="AM1924" i="1"/>
  <c r="A1925" i="1"/>
  <c r="B1925" i="1"/>
  <c r="C1925" i="1"/>
  <c r="D1925" i="1"/>
  <c r="E1925" i="1"/>
  <c r="F1925" i="1"/>
  <c r="G1925" i="1"/>
  <c r="H1925" i="1"/>
  <c r="I1925" i="1"/>
  <c r="J1925" i="1"/>
  <c r="K1925" i="1"/>
  <c r="L1925" i="1"/>
  <c r="M1925" i="1"/>
  <c r="N1925" i="1"/>
  <c r="O1925" i="1"/>
  <c r="P1925" i="1"/>
  <c r="Q1925" i="1"/>
  <c r="R1925" i="1"/>
  <c r="S1925" i="1"/>
  <c r="T1925" i="1"/>
  <c r="U1925" i="1"/>
  <c r="V1925" i="1"/>
  <c r="W1925" i="1"/>
  <c r="X1925" i="1"/>
  <c r="Y1925" i="1"/>
  <c r="Z1925" i="1"/>
  <c r="AA1925" i="1"/>
  <c r="AB1925" i="1"/>
  <c r="AC1925" i="1"/>
  <c r="AD1925" i="1"/>
  <c r="AE1925" i="1"/>
  <c r="AF1925" i="1"/>
  <c r="AG1925" i="1"/>
  <c r="AH1925" i="1"/>
  <c r="AI1925" i="1"/>
  <c r="AJ1925" i="1"/>
  <c r="AK1925" i="1"/>
  <c r="AL1925" i="1"/>
  <c r="AM1925" i="1"/>
  <c r="A1926" i="1"/>
  <c r="B1926" i="1"/>
  <c r="C1926" i="1"/>
  <c r="D1926" i="1"/>
  <c r="E1926" i="1"/>
  <c r="F1926" i="1"/>
  <c r="G1926" i="1"/>
  <c r="H1926" i="1"/>
  <c r="I1926" i="1"/>
  <c r="J1926" i="1"/>
  <c r="K1926" i="1"/>
  <c r="L1926" i="1"/>
  <c r="M1926" i="1"/>
  <c r="N1926" i="1"/>
  <c r="O1926" i="1"/>
  <c r="P1926" i="1"/>
  <c r="Q1926" i="1"/>
  <c r="R1926" i="1"/>
  <c r="S1926" i="1"/>
  <c r="T1926" i="1"/>
  <c r="U1926" i="1"/>
  <c r="V1926" i="1"/>
  <c r="W1926" i="1"/>
  <c r="X1926" i="1"/>
  <c r="Y1926" i="1"/>
  <c r="Z1926" i="1"/>
  <c r="AA1926" i="1"/>
  <c r="AB1926" i="1"/>
  <c r="AC1926" i="1"/>
  <c r="AD1926" i="1"/>
  <c r="AE1926" i="1"/>
  <c r="AF1926" i="1"/>
  <c r="AG1926" i="1"/>
  <c r="AH1926" i="1"/>
  <c r="AI1926" i="1"/>
  <c r="AJ1926" i="1"/>
  <c r="AK1926" i="1"/>
  <c r="AL1926" i="1"/>
  <c r="AM1926" i="1"/>
  <c r="A1927" i="1"/>
  <c r="B1927" i="1"/>
  <c r="C1927" i="1"/>
  <c r="D1927" i="1"/>
  <c r="E1927" i="1"/>
  <c r="F1927" i="1"/>
  <c r="G1927" i="1"/>
  <c r="H1927" i="1"/>
  <c r="I1927" i="1"/>
  <c r="J1927" i="1"/>
  <c r="K1927" i="1"/>
  <c r="L1927" i="1"/>
  <c r="M1927" i="1"/>
  <c r="N1927" i="1"/>
  <c r="O1927" i="1"/>
  <c r="P1927" i="1"/>
  <c r="Q1927" i="1"/>
  <c r="R1927" i="1"/>
  <c r="S1927" i="1"/>
  <c r="T1927" i="1"/>
  <c r="U1927" i="1"/>
  <c r="V1927" i="1"/>
  <c r="W1927" i="1"/>
  <c r="X1927" i="1"/>
  <c r="Y1927" i="1"/>
  <c r="Z1927" i="1"/>
  <c r="AA1927" i="1"/>
  <c r="AB1927" i="1"/>
  <c r="AC1927" i="1"/>
  <c r="AD1927" i="1"/>
  <c r="AE1927" i="1"/>
  <c r="AF1927" i="1"/>
  <c r="AG1927" i="1"/>
  <c r="AH1927" i="1"/>
  <c r="AI1927" i="1"/>
  <c r="AJ1927" i="1"/>
  <c r="AK1927" i="1"/>
  <c r="AL1927" i="1"/>
  <c r="AM1927" i="1"/>
  <c r="A1928" i="1"/>
  <c r="B1928" i="1"/>
  <c r="C1928" i="1"/>
  <c r="D1928" i="1"/>
  <c r="E1928" i="1"/>
  <c r="F1928" i="1"/>
  <c r="G1928" i="1"/>
  <c r="H1928" i="1"/>
  <c r="I1928" i="1"/>
  <c r="J1928" i="1"/>
  <c r="K1928" i="1"/>
  <c r="L1928" i="1"/>
  <c r="M1928" i="1"/>
  <c r="N1928" i="1"/>
  <c r="O1928" i="1"/>
  <c r="P1928" i="1"/>
  <c r="Q1928" i="1"/>
  <c r="R1928" i="1"/>
  <c r="S1928" i="1"/>
  <c r="T1928" i="1"/>
  <c r="U1928" i="1"/>
  <c r="V1928" i="1"/>
  <c r="W1928" i="1"/>
  <c r="X1928" i="1"/>
  <c r="Y1928" i="1"/>
  <c r="Z1928" i="1"/>
  <c r="AA1928" i="1"/>
  <c r="AB1928" i="1"/>
  <c r="AC1928" i="1"/>
  <c r="AD1928" i="1"/>
  <c r="AE1928" i="1"/>
  <c r="AF1928" i="1"/>
  <c r="AG1928" i="1"/>
  <c r="AH1928" i="1"/>
  <c r="AI1928" i="1"/>
  <c r="AJ1928" i="1"/>
  <c r="AK1928" i="1"/>
  <c r="AL1928" i="1"/>
  <c r="AM1928" i="1"/>
  <c r="A1929" i="1"/>
  <c r="B1929" i="1"/>
  <c r="C1929" i="1"/>
  <c r="D1929" i="1"/>
  <c r="E1929" i="1"/>
  <c r="F1929" i="1"/>
  <c r="G1929" i="1"/>
  <c r="H1929" i="1"/>
  <c r="I1929" i="1"/>
  <c r="J1929" i="1"/>
  <c r="K1929" i="1"/>
  <c r="L1929" i="1"/>
  <c r="M1929" i="1"/>
  <c r="N1929" i="1"/>
  <c r="O1929" i="1"/>
  <c r="P1929" i="1"/>
  <c r="Q1929" i="1"/>
  <c r="R1929" i="1"/>
  <c r="S1929" i="1"/>
  <c r="T1929" i="1"/>
  <c r="U1929" i="1"/>
  <c r="V1929" i="1"/>
  <c r="W1929" i="1"/>
  <c r="X1929" i="1"/>
  <c r="Y1929" i="1"/>
  <c r="Z1929" i="1"/>
  <c r="AA1929" i="1"/>
  <c r="AB1929" i="1"/>
  <c r="AC1929" i="1"/>
  <c r="AD1929" i="1"/>
  <c r="AE1929" i="1"/>
  <c r="AF1929" i="1"/>
  <c r="AG1929" i="1"/>
  <c r="AH1929" i="1"/>
  <c r="AI1929" i="1"/>
  <c r="AJ1929" i="1"/>
  <c r="AK1929" i="1"/>
  <c r="AL1929" i="1"/>
  <c r="AM1929" i="1"/>
  <c r="A1930" i="1"/>
  <c r="B1930" i="1"/>
  <c r="C1930" i="1"/>
  <c r="D1930" i="1"/>
  <c r="E1930" i="1"/>
  <c r="F1930" i="1"/>
  <c r="G1930" i="1"/>
  <c r="H1930" i="1"/>
  <c r="I1930" i="1"/>
  <c r="J1930" i="1"/>
  <c r="K1930" i="1"/>
  <c r="L1930" i="1"/>
  <c r="M1930" i="1"/>
  <c r="N1930" i="1"/>
  <c r="O1930" i="1"/>
  <c r="P1930" i="1"/>
  <c r="Q1930" i="1"/>
  <c r="R1930" i="1"/>
  <c r="S1930" i="1"/>
  <c r="T1930" i="1"/>
  <c r="U1930" i="1"/>
  <c r="V1930" i="1"/>
  <c r="W1930" i="1"/>
  <c r="X1930" i="1"/>
  <c r="Y1930" i="1"/>
  <c r="Z1930" i="1"/>
  <c r="AA1930" i="1"/>
  <c r="AB1930" i="1"/>
  <c r="AC1930" i="1"/>
  <c r="AD1930" i="1"/>
  <c r="AE1930" i="1"/>
  <c r="AF1930" i="1"/>
  <c r="AG1930" i="1"/>
  <c r="AH1930" i="1"/>
  <c r="AI1930" i="1"/>
  <c r="AJ1930" i="1"/>
  <c r="AK1930" i="1"/>
  <c r="AL1930" i="1"/>
  <c r="AM1930" i="1"/>
  <c r="A1931" i="1"/>
  <c r="B1931" i="1"/>
  <c r="C1931" i="1"/>
  <c r="D1931" i="1"/>
  <c r="E1931" i="1"/>
  <c r="F1931" i="1"/>
  <c r="G1931" i="1"/>
  <c r="H1931" i="1"/>
  <c r="I1931" i="1"/>
  <c r="J1931" i="1"/>
  <c r="K1931" i="1"/>
  <c r="L1931" i="1"/>
  <c r="M1931" i="1"/>
  <c r="N1931" i="1"/>
  <c r="O1931" i="1"/>
  <c r="P1931" i="1"/>
  <c r="Q1931" i="1"/>
  <c r="R1931" i="1"/>
  <c r="S1931" i="1"/>
  <c r="T1931" i="1"/>
  <c r="U1931" i="1"/>
  <c r="V1931" i="1"/>
  <c r="W1931" i="1"/>
  <c r="X1931" i="1"/>
  <c r="Y1931" i="1"/>
  <c r="Z1931" i="1"/>
  <c r="AA1931" i="1"/>
  <c r="AB1931" i="1"/>
  <c r="AC1931" i="1"/>
  <c r="AD1931" i="1"/>
  <c r="AE1931" i="1"/>
  <c r="AF1931" i="1"/>
  <c r="AG1931" i="1"/>
  <c r="AH1931" i="1"/>
  <c r="AI1931" i="1"/>
  <c r="AJ1931" i="1"/>
  <c r="AK1931" i="1"/>
  <c r="AL1931" i="1"/>
  <c r="AM1931" i="1"/>
  <c r="A1932" i="1"/>
  <c r="B1932" i="1"/>
  <c r="C1932" i="1"/>
  <c r="D1932" i="1"/>
  <c r="E1932" i="1"/>
  <c r="F1932" i="1"/>
  <c r="G1932" i="1"/>
  <c r="H1932" i="1"/>
  <c r="I1932" i="1"/>
  <c r="J1932" i="1"/>
  <c r="K1932" i="1"/>
  <c r="L1932" i="1"/>
  <c r="M1932" i="1"/>
  <c r="N1932" i="1"/>
  <c r="O1932" i="1"/>
  <c r="P1932" i="1"/>
  <c r="Q1932" i="1"/>
  <c r="R1932" i="1"/>
  <c r="S1932" i="1"/>
  <c r="T1932" i="1"/>
  <c r="U1932" i="1"/>
  <c r="V1932" i="1"/>
  <c r="W1932" i="1"/>
  <c r="X1932" i="1"/>
  <c r="Y1932" i="1"/>
  <c r="Z1932" i="1"/>
  <c r="AA1932" i="1"/>
  <c r="AB1932" i="1"/>
  <c r="AC1932" i="1"/>
  <c r="AD1932" i="1"/>
  <c r="AE1932" i="1"/>
  <c r="AF1932" i="1"/>
  <c r="AG1932" i="1"/>
  <c r="AH1932" i="1"/>
  <c r="AI1932" i="1"/>
  <c r="AJ1932" i="1"/>
  <c r="AK1932" i="1"/>
  <c r="AL1932" i="1"/>
  <c r="AM1932" i="1"/>
  <c r="A1933" i="1"/>
  <c r="B1933" i="1"/>
  <c r="C1933" i="1"/>
  <c r="D1933" i="1"/>
  <c r="E1933" i="1"/>
  <c r="F1933" i="1"/>
  <c r="G1933" i="1"/>
  <c r="H1933" i="1"/>
  <c r="I1933" i="1"/>
  <c r="J1933" i="1"/>
  <c r="K1933" i="1"/>
  <c r="L1933" i="1"/>
  <c r="M1933" i="1"/>
  <c r="N1933" i="1"/>
  <c r="O1933" i="1"/>
  <c r="P1933" i="1"/>
  <c r="Q1933" i="1"/>
  <c r="R1933" i="1"/>
  <c r="S1933" i="1"/>
  <c r="T1933" i="1"/>
  <c r="U1933" i="1"/>
  <c r="V1933" i="1"/>
  <c r="W1933" i="1"/>
  <c r="X1933" i="1"/>
  <c r="Y1933" i="1"/>
  <c r="Z1933" i="1"/>
  <c r="AA1933" i="1"/>
  <c r="AB1933" i="1"/>
  <c r="AC1933" i="1"/>
  <c r="AD1933" i="1"/>
  <c r="AE1933" i="1"/>
  <c r="AF1933" i="1"/>
  <c r="AG1933" i="1"/>
  <c r="AH1933" i="1"/>
  <c r="AI1933" i="1"/>
  <c r="AJ1933" i="1"/>
  <c r="AK1933" i="1"/>
  <c r="AL1933" i="1"/>
  <c r="AM1933" i="1"/>
  <c r="A1934" i="1"/>
  <c r="B1934" i="1"/>
  <c r="C1934" i="1"/>
  <c r="D1934" i="1"/>
  <c r="E1934" i="1"/>
  <c r="F1934" i="1"/>
  <c r="G1934" i="1"/>
  <c r="H1934" i="1"/>
  <c r="I1934" i="1"/>
  <c r="J1934" i="1"/>
  <c r="K1934" i="1"/>
  <c r="L1934" i="1"/>
  <c r="M1934" i="1"/>
  <c r="N1934" i="1"/>
  <c r="O1934" i="1"/>
  <c r="P1934" i="1"/>
  <c r="Q1934" i="1"/>
  <c r="R1934" i="1"/>
  <c r="S1934" i="1"/>
  <c r="T1934" i="1"/>
  <c r="U1934" i="1"/>
  <c r="V1934" i="1"/>
  <c r="W1934" i="1"/>
  <c r="X1934" i="1"/>
  <c r="Y1934" i="1"/>
  <c r="Z1934" i="1"/>
  <c r="AA1934" i="1"/>
  <c r="AB1934" i="1"/>
  <c r="AC1934" i="1"/>
  <c r="AD1934" i="1"/>
  <c r="AE1934" i="1"/>
  <c r="AF1934" i="1"/>
  <c r="AG1934" i="1"/>
  <c r="AH1934" i="1"/>
  <c r="AI1934" i="1"/>
  <c r="AJ1934" i="1"/>
  <c r="AK1934" i="1"/>
  <c r="AL1934" i="1"/>
  <c r="AM1934" i="1"/>
  <c r="A1935" i="1"/>
  <c r="B1935" i="1"/>
  <c r="C1935" i="1"/>
  <c r="D1935" i="1"/>
  <c r="E1935" i="1"/>
  <c r="F1935" i="1"/>
  <c r="G1935" i="1"/>
  <c r="H1935" i="1"/>
  <c r="I1935" i="1"/>
  <c r="J1935" i="1"/>
  <c r="K1935" i="1"/>
  <c r="L1935" i="1"/>
  <c r="M1935" i="1"/>
  <c r="N1935" i="1"/>
  <c r="O1935" i="1"/>
  <c r="P1935" i="1"/>
  <c r="Q1935" i="1"/>
  <c r="R1935" i="1"/>
  <c r="S1935" i="1"/>
  <c r="T1935" i="1"/>
  <c r="U1935" i="1"/>
  <c r="V1935" i="1"/>
  <c r="W1935" i="1"/>
  <c r="X1935" i="1"/>
  <c r="Y1935" i="1"/>
  <c r="Z1935" i="1"/>
  <c r="AA1935" i="1"/>
  <c r="AB1935" i="1"/>
  <c r="AC1935" i="1"/>
  <c r="AD1935" i="1"/>
  <c r="AE1935" i="1"/>
  <c r="AF1935" i="1"/>
  <c r="AG1935" i="1"/>
  <c r="AH1935" i="1"/>
  <c r="AI1935" i="1"/>
  <c r="AJ1935" i="1"/>
  <c r="AK1935" i="1"/>
  <c r="AL1935" i="1"/>
  <c r="AM1935" i="1"/>
  <c r="A1936" i="1"/>
  <c r="B1936" i="1"/>
  <c r="C1936" i="1"/>
  <c r="D1936" i="1"/>
  <c r="E1936" i="1"/>
  <c r="F1936" i="1"/>
  <c r="G1936" i="1"/>
  <c r="H1936" i="1"/>
  <c r="I1936" i="1"/>
  <c r="J1936" i="1"/>
  <c r="K1936" i="1"/>
  <c r="L1936" i="1"/>
  <c r="M1936" i="1"/>
  <c r="N1936" i="1"/>
  <c r="O1936" i="1"/>
  <c r="P1936" i="1"/>
  <c r="Q1936" i="1"/>
  <c r="R1936" i="1"/>
  <c r="S1936" i="1"/>
  <c r="T1936" i="1"/>
  <c r="U1936" i="1"/>
  <c r="V1936" i="1"/>
  <c r="W1936" i="1"/>
  <c r="X1936" i="1"/>
  <c r="Y1936" i="1"/>
  <c r="Z1936" i="1"/>
  <c r="AA1936" i="1"/>
  <c r="AB1936" i="1"/>
  <c r="AC1936" i="1"/>
  <c r="AD1936" i="1"/>
  <c r="AE1936" i="1"/>
  <c r="AF1936" i="1"/>
  <c r="AG1936" i="1"/>
  <c r="AH1936" i="1"/>
  <c r="AI1936" i="1"/>
  <c r="AJ1936" i="1"/>
  <c r="AK1936" i="1"/>
  <c r="AL1936" i="1"/>
  <c r="AM1936" i="1"/>
  <c r="A1937" i="1"/>
  <c r="B1937" i="1"/>
  <c r="C1937" i="1"/>
  <c r="D1937" i="1"/>
  <c r="E1937" i="1"/>
  <c r="F1937" i="1"/>
  <c r="G1937" i="1"/>
  <c r="H1937" i="1"/>
  <c r="I1937" i="1"/>
  <c r="J1937" i="1"/>
  <c r="K1937" i="1"/>
  <c r="L1937" i="1"/>
  <c r="M1937" i="1"/>
  <c r="N1937" i="1"/>
  <c r="O1937" i="1"/>
  <c r="P1937" i="1"/>
  <c r="Q1937" i="1"/>
  <c r="R1937" i="1"/>
  <c r="S1937" i="1"/>
  <c r="T1937" i="1"/>
  <c r="U1937" i="1"/>
  <c r="V1937" i="1"/>
  <c r="W1937" i="1"/>
  <c r="X1937" i="1"/>
  <c r="Y1937" i="1"/>
  <c r="Z1937" i="1"/>
  <c r="AA1937" i="1"/>
  <c r="AB1937" i="1"/>
  <c r="AC1937" i="1"/>
  <c r="AD1937" i="1"/>
  <c r="AE1937" i="1"/>
  <c r="AF1937" i="1"/>
  <c r="AG1937" i="1"/>
  <c r="AH1937" i="1"/>
  <c r="AI1937" i="1"/>
  <c r="AJ1937" i="1"/>
  <c r="AK1937" i="1"/>
  <c r="AL1937" i="1"/>
  <c r="AM1937" i="1"/>
  <c r="A1938" i="1"/>
  <c r="B1938" i="1"/>
  <c r="C1938" i="1"/>
  <c r="D1938" i="1"/>
  <c r="E1938" i="1"/>
  <c r="F1938" i="1"/>
  <c r="G1938" i="1"/>
  <c r="H1938" i="1"/>
  <c r="I1938" i="1"/>
  <c r="J1938" i="1"/>
  <c r="K1938" i="1"/>
  <c r="L1938" i="1"/>
  <c r="M1938" i="1"/>
  <c r="N1938" i="1"/>
  <c r="O1938" i="1"/>
  <c r="P1938" i="1"/>
  <c r="Q1938" i="1"/>
  <c r="R1938" i="1"/>
  <c r="S1938" i="1"/>
  <c r="T1938" i="1"/>
  <c r="U1938" i="1"/>
  <c r="V1938" i="1"/>
  <c r="W1938" i="1"/>
  <c r="X1938" i="1"/>
  <c r="Y1938" i="1"/>
  <c r="Z1938" i="1"/>
  <c r="AA1938" i="1"/>
  <c r="AB1938" i="1"/>
  <c r="AC1938" i="1"/>
  <c r="AD1938" i="1"/>
  <c r="AE1938" i="1"/>
  <c r="AF1938" i="1"/>
  <c r="AG1938" i="1"/>
  <c r="AH1938" i="1"/>
  <c r="AI1938" i="1"/>
  <c r="AJ1938" i="1"/>
  <c r="AK1938" i="1"/>
  <c r="AL1938" i="1"/>
  <c r="AM1938" i="1"/>
  <c r="A1939" i="1"/>
  <c r="B1939" i="1"/>
  <c r="C1939" i="1"/>
  <c r="D1939" i="1"/>
  <c r="E1939" i="1"/>
  <c r="F1939" i="1"/>
  <c r="G1939" i="1"/>
  <c r="H1939" i="1"/>
  <c r="I1939" i="1"/>
  <c r="J1939" i="1"/>
  <c r="K1939" i="1"/>
  <c r="L1939" i="1"/>
  <c r="M1939" i="1"/>
  <c r="N1939" i="1"/>
  <c r="O1939" i="1"/>
  <c r="P1939" i="1"/>
  <c r="Q1939" i="1"/>
  <c r="R1939" i="1"/>
  <c r="S1939" i="1"/>
  <c r="T1939" i="1"/>
  <c r="U1939" i="1"/>
  <c r="V1939" i="1"/>
  <c r="W1939" i="1"/>
  <c r="X1939" i="1"/>
  <c r="Y1939" i="1"/>
  <c r="Z1939" i="1"/>
  <c r="AA1939" i="1"/>
  <c r="AB1939" i="1"/>
  <c r="AC1939" i="1"/>
  <c r="AD1939" i="1"/>
  <c r="AE1939" i="1"/>
  <c r="AF1939" i="1"/>
  <c r="AG1939" i="1"/>
  <c r="AH1939" i="1"/>
  <c r="AI1939" i="1"/>
  <c r="AJ1939" i="1"/>
  <c r="AK1939" i="1"/>
  <c r="AL1939" i="1"/>
  <c r="AM1939" i="1"/>
  <c r="A1940" i="1"/>
  <c r="B1940" i="1"/>
  <c r="C1940" i="1"/>
  <c r="D1940" i="1"/>
  <c r="E1940" i="1"/>
  <c r="F1940" i="1"/>
  <c r="G1940" i="1"/>
  <c r="H1940" i="1"/>
  <c r="I1940" i="1"/>
  <c r="J1940" i="1"/>
  <c r="K1940" i="1"/>
  <c r="L1940" i="1"/>
  <c r="M1940" i="1"/>
  <c r="N1940" i="1"/>
  <c r="O1940" i="1"/>
  <c r="P1940" i="1"/>
  <c r="Q1940" i="1"/>
  <c r="R1940" i="1"/>
  <c r="S1940" i="1"/>
  <c r="T1940" i="1"/>
  <c r="U1940" i="1"/>
  <c r="V1940" i="1"/>
  <c r="W1940" i="1"/>
  <c r="X1940" i="1"/>
  <c r="Y1940" i="1"/>
  <c r="Z1940" i="1"/>
  <c r="AA1940" i="1"/>
  <c r="AB1940" i="1"/>
  <c r="AC1940" i="1"/>
  <c r="AD1940" i="1"/>
  <c r="AE1940" i="1"/>
  <c r="AF1940" i="1"/>
  <c r="AG1940" i="1"/>
  <c r="AH1940" i="1"/>
  <c r="AI1940" i="1"/>
  <c r="AJ1940" i="1"/>
  <c r="AK1940" i="1"/>
  <c r="AL1940" i="1"/>
  <c r="AM1940" i="1"/>
  <c r="A1941" i="1"/>
  <c r="B1941" i="1"/>
  <c r="C1941" i="1"/>
  <c r="D1941" i="1"/>
  <c r="E1941" i="1"/>
  <c r="F1941" i="1"/>
  <c r="G1941" i="1"/>
  <c r="H1941" i="1"/>
  <c r="I1941" i="1"/>
  <c r="J1941" i="1"/>
  <c r="K1941" i="1"/>
  <c r="L1941" i="1"/>
  <c r="M1941" i="1"/>
  <c r="N1941" i="1"/>
  <c r="O1941" i="1"/>
  <c r="P1941" i="1"/>
  <c r="Q1941" i="1"/>
  <c r="R1941" i="1"/>
  <c r="S1941" i="1"/>
  <c r="T1941" i="1"/>
  <c r="U1941" i="1"/>
  <c r="V1941" i="1"/>
  <c r="W1941" i="1"/>
  <c r="X1941" i="1"/>
  <c r="Y1941" i="1"/>
  <c r="Z1941" i="1"/>
  <c r="AA1941" i="1"/>
  <c r="AB1941" i="1"/>
  <c r="AC1941" i="1"/>
  <c r="AD1941" i="1"/>
  <c r="AE1941" i="1"/>
  <c r="AF1941" i="1"/>
  <c r="AG1941" i="1"/>
  <c r="AH1941" i="1"/>
  <c r="AI1941" i="1"/>
  <c r="AJ1941" i="1"/>
  <c r="AK1941" i="1"/>
  <c r="AL1941" i="1"/>
  <c r="AM1941" i="1"/>
  <c r="A1942" i="1"/>
  <c r="B1942" i="1"/>
  <c r="C1942" i="1"/>
  <c r="D1942" i="1"/>
  <c r="E1942" i="1"/>
  <c r="F1942" i="1"/>
  <c r="G1942" i="1"/>
  <c r="H1942" i="1"/>
  <c r="I1942" i="1"/>
  <c r="J1942" i="1"/>
  <c r="K1942" i="1"/>
  <c r="L1942" i="1"/>
  <c r="M1942" i="1"/>
  <c r="N1942" i="1"/>
  <c r="O1942" i="1"/>
  <c r="P1942" i="1"/>
  <c r="Q1942" i="1"/>
  <c r="R1942" i="1"/>
  <c r="S1942" i="1"/>
  <c r="T1942" i="1"/>
  <c r="U1942" i="1"/>
  <c r="V1942" i="1"/>
  <c r="W1942" i="1"/>
  <c r="X1942" i="1"/>
  <c r="Y1942" i="1"/>
  <c r="Z1942" i="1"/>
  <c r="AA1942" i="1"/>
  <c r="AB1942" i="1"/>
  <c r="AC1942" i="1"/>
  <c r="AD1942" i="1"/>
  <c r="AE1942" i="1"/>
  <c r="AF1942" i="1"/>
  <c r="AG1942" i="1"/>
  <c r="AH1942" i="1"/>
  <c r="AI1942" i="1"/>
  <c r="AJ1942" i="1"/>
  <c r="AK1942" i="1"/>
  <c r="AL1942" i="1"/>
  <c r="AM1942" i="1"/>
  <c r="A1943" i="1"/>
  <c r="B1943" i="1"/>
  <c r="C1943" i="1"/>
  <c r="D1943" i="1"/>
  <c r="E1943" i="1"/>
  <c r="F1943" i="1"/>
  <c r="G1943" i="1"/>
  <c r="H1943" i="1"/>
  <c r="I1943" i="1"/>
  <c r="J1943" i="1"/>
  <c r="K1943" i="1"/>
  <c r="L1943" i="1"/>
  <c r="M1943" i="1"/>
  <c r="N1943" i="1"/>
  <c r="O1943" i="1"/>
  <c r="P1943" i="1"/>
  <c r="Q1943" i="1"/>
  <c r="R1943" i="1"/>
  <c r="S1943" i="1"/>
  <c r="T1943" i="1"/>
  <c r="U1943" i="1"/>
  <c r="V1943" i="1"/>
  <c r="W1943" i="1"/>
  <c r="X1943" i="1"/>
  <c r="Y1943" i="1"/>
  <c r="Z1943" i="1"/>
  <c r="AA1943" i="1"/>
  <c r="AB1943" i="1"/>
  <c r="AC1943" i="1"/>
  <c r="AD1943" i="1"/>
  <c r="AE1943" i="1"/>
  <c r="AF1943" i="1"/>
  <c r="AG1943" i="1"/>
  <c r="AH1943" i="1"/>
  <c r="AI1943" i="1"/>
  <c r="AJ1943" i="1"/>
  <c r="AK1943" i="1"/>
  <c r="AL1943" i="1"/>
  <c r="AM1943" i="1"/>
  <c r="A1944" i="1"/>
  <c r="B1944" i="1"/>
  <c r="C1944" i="1"/>
  <c r="D1944" i="1"/>
  <c r="E1944" i="1"/>
  <c r="F1944" i="1"/>
  <c r="G1944" i="1"/>
  <c r="H1944" i="1"/>
  <c r="I1944" i="1"/>
  <c r="J1944" i="1"/>
  <c r="K1944" i="1"/>
  <c r="L1944" i="1"/>
  <c r="M1944" i="1"/>
  <c r="N1944" i="1"/>
  <c r="O1944" i="1"/>
  <c r="P1944" i="1"/>
  <c r="Q1944" i="1"/>
  <c r="R1944" i="1"/>
  <c r="S1944" i="1"/>
  <c r="T1944" i="1"/>
  <c r="U1944" i="1"/>
  <c r="V1944" i="1"/>
  <c r="W1944" i="1"/>
  <c r="X1944" i="1"/>
  <c r="Y1944" i="1"/>
  <c r="Z1944" i="1"/>
  <c r="AA1944" i="1"/>
  <c r="AB1944" i="1"/>
  <c r="AC1944" i="1"/>
  <c r="AD1944" i="1"/>
  <c r="AE1944" i="1"/>
  <c r="AF1944" i="1"/>
  <c r="AG1944" i="1"/>
  <c r="AH1944" i="1"/>
  <c r="AI1944" i="1"/>
  <c r="AJ1944" i="1"/>
  <c r="AK1944" i="1"/>
  <c r="AL1944" i="1"/>
  <c r="AM1944" i="1"/>
  <c r="A1945" i="1"/>
  <c r="B1945" i="1"/>
  <c r="C1945" i="1"/>
  <c r="D1945" i="1"/>
  <c r="E1945" i="1"/>
  <c r="F1945" i="1"/>
  <c r="G1945" i="1"/>
  <c r="H1945" i="1"/>
  <c r="I1945" i="1"/>
  <c r="J1945" i="1"/>
  <c r="K1945" i="1"/>
  <c r="L1945" i="1"/>
  <c r="M1945" i="1"/>
  <c r="N1945" i="1"/>
  <c r="O1945" i="1"/>
  <c r="P1945" i="1"/>
  <c r="Q1945" i="1"/>
  <c r="R1945" i="1"/>
  <c r="S1945" i="1"/>
  <c r="T1945" i="1"/>
  <c r="U1945" i="1"/>
  <c r="V1945" i="1"/>
  <c r="W1945" i="1"/>
  <c r="X1945" i="1"/>
  <c r="Y1945" i="1"/>
  <c r="Z1945" i="1"/>
  <c r="AA1945" i="1"/>
  <c r="AB1945" i="1"/>
  <c r="AC1945" i="1"/>
  <c r="AD1945" i="1"/>
  <c r="AE1945" i="1"/>
  <c r="AF1945" i="1"/>
  <c r="AG1945" i="1"/>
  <c r="AH1945" i="1"/>
  <c r="AI1945" i="1"/>
  <c r="AJ1945" i="1"/>
  <c r="AK1945" i="1"/>
  <c r="AL1945" i="1"/>
  <c r="AM1945" i="1"/>
  <c r="A1946" i="1"/>
  <c r="B1946" i="1"/>
  <c r="C1946" i="1"/>
  <c r="D1946" i="1"/>
  <c r="E1946" i="1"/>
  <c r="F1946" i="1"/>
  <c r="G1946" i="1"/>
  <c r="H1946" i="1"/>
  <c r="I1946" i="1"/>
  <c r="J1946" i="1"/>
  <c r="K1946" i="1"/>
  <c r="L1946" i="1"/>
  <c r="M1946" i="1"/>
  <c r="N1946" i="1"/>
  <c r="O1946" i="1"/>
  <c r="P1946" i="1"/>
  <c r="Q1946" i="1"/>
  <c r="R1946" i="1"/>
  <c r="S1946" i="1"/>
  <c r="T1946" i="1"/>
  <c r="U1946" i="1"/>
  <c r="V1946" i="1"/>
  <c r="W1946" i="1"/>
  <c r="X1946" i="1"/>
  <c r="Y1946" i="1"/>
  <c r="Z1946" i="1"/>
  <c r="AA1946" i="1"/>
  <c r="AB1946" i="1"/>
  <c r="AC1946" i="1"/>
  <c r="AD1946" i="1"/>
  <c r="AE1946" i="1"/>
  <c r="AF1946" i="1"/>
  <c r="AG1946" i="1"/>
  <c r="AH1946" i="1"/>
  <c r="AI1946" i="1"/>
  <c r="AJ1946" i="1"/>
  <c r="AK1946" i="1"/>
  <c r="AL1946" i="1"/>
  <c r="AM1946" i="1"/>
  <c r="A1947" i="1"/>
  <c r="B1947" i="1"/>
  <c r="C1947" i="1"/>
  <c r="D1947" i="1"/>
  <c r="E1947" i="1"/>
  <c r="F1947" i="1"/>
  <c r="G1947" i="1"/>
  <c r="H1947" i="1"/>
  <c r="I1947" i="1"/>
  <c r="J1947" i="1"/>
  <c r="K1947" i="1"/>
  <c r="L1947" i="1"/>
  <c r="M1947" i="1"/>
  <c r="N1947" i="1"/>
  <c r="O1947" i="1"/>
  <c r="P1947" i="1"/>
  <c r="Q1947" i="1"/>
  <c r="R1947" i="1"/>
  <c r="S1947" i="1"/>
  <c r="T1947" i="1"/>
  <c r="U1947" i="1"/>
  <c r="V1947" i="1"/>
  <c r="W1947" i="1"/>
  <c r="X1947" i="1"/>
  <c r="Y1947" i="1"/>
  <c r="Z1947" i="1"/>
  <c r="AA1947" i="1"/>
  <c r="AB1947" i="1"/>
  <c r="AC1947" i="1"/>
  <c r="AD1947" i="1"/>
  <c r="AE1947" i="1"/>
  <c r="AF1947" i="1"/>
  <c r="AG1947" i="1"/>
  <c r="AH1947" i="1"/>
  <c r="AI1947" i="1"/>
  <c r="AJ1947" i="1"/>
  <c r="AK1947" i="1"/>
  <c r="AL1947" i="1"/>
  <c r="AM1947" i="1"/>
  <c r="A1948" i="1"/>
  <c r="B1948" i="1"/>
  <c r="C1948" i="1"/>
  <c r="D1948" i="1"/>
  <c r="E1948" i="1"/>
  <c r="F1948" i="1"/>
  <c r="G1948" i="1"/>
  <c r="H1948" i="1"/>
  <c r="I1948" i="1"/>
  <c r="J1948" i="1"/>
  <c r="K1948" i="1"/>
  <c r="L1948" i="1"/>
  <c r="M1948" i="1"/>
  <c r="N1948" i="1"/>
  <c r="O1948" i="1"/>
  <c r="P1948" i="1"/>
  <c r="Q1948" i="1"/>
  <c r="R1948" i="1"/>
  <c r="S1948" i="1"/>
  <c r="T1948" i="1"/>
  <c r="U1948" i="1"/>
  <c r="V1948" i="1"/>
  <c r="W1948" i="1"/>
  <c r="X1948" i="1"/>
  <c r="Y1948" i="1"/>
  <c r="Z1948" i="1"/>
  <c r="AA1948" i="1"/>
  <c r="AB1948" i="1"/>
  <c r="AC1948" i="1"/>
  <c r="AD1948" i="1"/>
  <c r="AE1948" i="1"/>
  <c r="AF1948" i="1"/>
  <c r="AG1948" i="1"/>
  <c r="AH1948" i="1"/>
  <c r="AI1948" i="1"/>
  <c r="AJ1948" i="1"/>
  <c r="AK1948" i="1"/>
  <c r="AL1948" i="1"/>
  <c r="AM1948" i="1"/>
  <c r="A1949" i="1"/>
  <c r="B1949" i="1"/>
  <c r="C1949" i="1"/>
  <c r="D1949" i="1"/>
  <c r="E1949" i="1"/>
  <c r="F1949" i="1"/>
  <c r="G1949" i="1"/>
  <c r="H1949" i="1"/>
  <c r="I1949" i="1"/>
  <c r="J1949" i="1"/>
  <c r="K1949" i="1"/>
  <c r="L1949" i="1"/>
  <c r="M1949" i="1"/>
  <c r="N1949" i="1"/>
  <c r="O1949" i="1"/>
  <c r="P1949" i="1"/>
  <c r="Q1949" i="1"/>
  <c r="R1949" i="1"/>
  <c r="S1949" i="1"/>
  <c r="T1949" i="1"/>
  <c r="U1949" i="1"/>
  <c r="V1949" i="1"/>
  <c r="W1949" i="1"/>
  <c r="X1949" i="1"/>
  <c r="Y1949" i="1"/>
  <c r="Z1949" i="1"/>
  <c r="AA1949" i="1"/>
  <c r="AB1949" i="1"/>
  <c r="AC1949" i="1"/>
  <c r="AD1949" i="1"/>
  <c r="AE1949" i="1"/>
  <c r="AF1949" i="1"/>
  <c r="AG1949" i="1"/>
  <c r="AH1949" i="1"/>
  <c r="AI1949" i="1"/>
  <c r="AJ1949" i="1"/>
  <c r="AK1949" i="1"/>
  <c r="AL1949" i="1"/>
  <c r="AM1949" i="1"/>
  <c r="A1950" i="1"/>
  <c r="B1950" i="1"/>
  <c r="C1950" i="1"/>
  <c r="D1950" i="1"/>
  <c r="E1950" i="1"/>
  <c r="F1950" i="1"/>
  <c r="G1950" i="1"/>
  <c r="H1950" i="1"/>
  <c r="I1950" i="1"/>
  <c r="J1950" i="1"/>
  <c r="K1950" i="1"/>
  <c r="L1950" i="1"/>
  <c r="M1950" i="1"/>
  <c r="N1950" i="1"/>
  <c r="O1950" i="1"/>
  <c r="P1950" i="1"/>
  <c r="Q1950" i="1"/>
  <c r="R1950" i="1"/>
  <c r="S1950" i="1"/>
  <c r="T1950" i="1"/>
  <c r="U1950" i="1"/>
  <c r="V1950" i="1"/>
  <c r="W1950" i="1"/>
  <c r="X1950" i="1"/>
  <c r="Y1950" i="1"/>
  <c r="Z1950" i="1"/>
  <c r="AA1950" i="1"/>
  <c r="AB1950" i="1"/>
  <c r="AC1950" i="1"/>
  <c r="AD1950" i="1"/>
  <c r="AE1950" i="1"/>
  <c r="AF1950" i="1"/>
  <c r="AG1950" i="1"/>
  <c r="AH1950" i="1"/>
  <c r="AI1950" i="1"/>
  <c r="AJ1950" i="1"/>
  <c r="AK1950" i="1"/>
  <c r="AL1950" i="1"/>
  <c r="AM1950" i="1"/>
  <c r="A1951" i="1"/>
  <c r="B1951" i="1"/>
  <c r="C1951" i="1"/>
  <c r="D1951" i="1"/>
  <c r="E1951" i="1"/>
  <c r="F1951" i="1"/>
  <c r="G1951" i="1"/>
  <c r="H1951" i="1"/>
  <c r="I1951" i="1"/>
  <c r="J1951" i="1"/>
  <c r="K1951" i="1"/>
  <c r="L1951" i="1"/>
  <c r="M1951" i="1"/>
  <c r="N1951" i="1"/>
  <c r="O1951" i="1"/>
  <c r="P1951" i="1"/>
  <c r="Q1951" i="1"/>
  <c r="R1951" i="1"/>
  <c r="S1951" i="1"/>
  <c r="T1951" i="1"/>
  <c r="U1951" i="1"/>
  <c r="V1951" i="1"/>
  <c r="W1951" i="1"/>
  <c r="X1951" i="1"/>
  <c r="Y1951" i="1"/>
  <c r="Z1951" i="1"/>
  <c r="AA1951" i="1"/>
  <c r="AB1951" i="1"/>
  <c r="AC1951" i="1"/>
  <c r="AD1951" i="1"/>
  <c r="AE1951" i="1"/>
  <c r="AF1951" i="1"/>
  <c r="AG1951" i="1"/>
  <c r="AH1951" i="1"/>
  <c r="AI1951" i="1"/>
  <c r="AJ1951" i="1"/>
  <c r="AK1951" i="1"/>
  <c r="AL1951" i="1"/>
  <c r="AM1951" i="1"/>
  <c r="A1952" i="1"/>
  <c r="B1952" i="1"/>
  <c r="C1952" i="1"/>
  <c r="D1952" i="1"/>
  <c r="E1952" i="1"/>
  <c r="F1952" i="1"/>
  <c r="G1952" i="1"/>
  <c r="H1952" i="1"/>
  <c r="I1952" i="1"/>
  <c r="J1952" i="1"/>
  <c r="K1952" i="1"/>
  <c r="L1952" i="1"/>
  <c r="M1952" i="1"/>
  <c r="N1952" i="1"/>
  <c r="O1952" i="1"/>
  <c r="P1952" i="1"/>
  <c r="Q1952" i="1"/>
  <c r="R1952" i="1"/>
  <c r="S1952" i="1"/>
  <c r="T1952" i="1"/>
  <c r="U1952" i="1"/>
  <c r="V1952" i="1"/>
  <c r="W1952" i="1"/>
  <c r="X1952" i="1"/>
  <c r="Y1952" i="1"/>
  <c r="Z1952" i="1"/>
  <c r="AA1952" i="1"/>
  <c r="AB1952" i="1"/>
  <c r="AC1952" i="1"/>
  <c r="AD1952" i="1"/>
  <c r="AE1952" i="1"/>
  <c r="AF1952" i="1"/>
  <c r="AG1952" i="1"/>
  <c r="AH1952" i="1"/>
  <c r="AI1952" i="1"/>
  <c r="AJ1952" i="1"/>
  <c r="AK1952" i="1"/>
  <c r="AL1952" i="1"/>
  <c r="AM1952" i="1"/>
  <c r="A1953" i="1"/>
  <c r="B1953" i="1"/>
  <c r="C1953" i="1"/>
  <c r="D1953" i="1"/>
  <c r="E1953" i="1"/>
  <c r="F1953" i="1"/>
  <c r="G1953" i="1"/>
  <c r="H1953" i="1"/>
  <c r="I1953" i="1"/>
  <c r="J1953" i="1"/>
  <c r="K1953" i="1"/>
  <c r="L1953" i="1"/>
  <c r="M1953" i="1"/>
  <c r="N1953" i="1"/>
  <c r="O1953" i="1"/>
  <c r="P1953" i="1"/>
  <c r="Q1953" i="1"/>
  <c r="R1953" i="1"/>
  <c r="S1953" i="1"/>
  <c r="T1953" i="1"/>
  <c r="U1953" i="1"/>
  <c r="V1953" i="1"/>
  <c r="W1953" i="1"/>
  <c r="X1953" i="1"/>
  <c r="Y1953" i="1"/>
  <c r="Z1953" i="1"/>
  <c r="AA1953" i="1"/>
  <c r="AB1953" i="1"/>
  <c r="AC1953" i="1"/>
  <c r="AD1953" i="1"/>
  <c r="AE1953" i="1"/>
  <c r="AF1953" i="1"/>
  <c r="AG1953" i="1"/>
  <c r="AH1953" i="1"/>
  <c r="AI1953" i="1"/>
  <c r="AJ1953" i="1"/>
  <c r="AK1953" i="1"/>
  <c r="AL1953" i="1"/>
  <c r="AM1953" i="1"/>
  <c r="A1954" i="1"/>
  <c r="B1954" i="1"/>
  <c r="C1954" i="1"/>
  <c r="D1954" i="1"/>
  <c r="E1954" i="1"/>
  <c r="F1954" i="1"/>
  <c r="G1954" i="1"/>
  <c r="H1954" i="1"/>
  <c r="I1954" i="1"/>
  <c r="J1954" i="1"/>
  <c r="K1954" i="1"/>
  <c r="L1954" i="1"/>
  <c r="M1954" i="1"/>
  <c r="N1954" i="1"/>
  <c r="O1954" i="1"/>
  <c r="P1954" i="1"/>
  <c r="Q1954" i="1"/>
  <c r="R1954" i="1"/>
  <c r="S1954" i="1"/>
  <c r="T1954" i="1"/>
  <c r="U1954" i="1"/>
  <c r="V1954" i="1"/>
  <c r="W1954" i="1"/>
  <c r="X1954" i="1"/>
  <c r="Y1954" i="1"/>
  <c r="Z1954" i="1"/>
  <c r="AA1954" i="1"/>
  <c r="AB1954" i="1"/>
  <c r="AC1954" i="1"/>
  <c r="AD1954" i="1"/>
  <c r="AE1954" i="1"/>
  <c r="AF1954" i="1"/>
  <c r="AG1954" i="1"/>
  <c r="AH1954" i="1"/>
  <c r="AI1954" i="1"/>
  <c r="AJ1954" i="1"/>
  <c r="AK1954" i="1"/>
  <c r="AL1954" i="1"/>
  <c r="AM1954" i="1"/>
  <c r="A1955" i="1"/>
  <c r="B1955" i="1"/>
  <c r="C1955" i="1"/>
  <c r="D1955" i="1"/>
  <c r="E1955" i="1"/>
  <c r="F1955" i="1"/>
  <c r="G1955" i="1"/>
  <c r="H1955" i="1"/>
  <c r="I1955" i="1"/>
  <c r="J1955" i="1"/>
  <c r="K1955" i="1"/>
  <c r="L1955" i="1"/>
  <c r="M1955" i="1"/>
  <c r="N1955" i="1"/>
  <c r="O1955" i="1"/>
  <c r="P1955" i="1"/>
  <c r="Q1955" i="1"/>
  <c r="R1955" i="1"/>
  <c r="S1955" i="1"/>
  <c r="T1955" i="1"/>
  <c r="U1955" i="1"/>
  <c r="V1955" i="1"/>
  <c r="W1955" i="1"/>
  <c r="X1955" i="1"/>
  <c r="Y1955" i="1"/>
  <c r="Z1955" i="1"/>
  <c r="AA1955" i="1"/>
  <c r="AB1955" i="1"/>
  <c r="AC1955" i="1"/>
  <c r="AD1955" i="1"/>
  <c r="AE1955" i="1"/>
  <c r="AF1955" i="1"/>
  <c r="AG1955" i="1"/>
  <c r="AH1955" i="1"/>
  <c r="AI1955" i="1"/>
  <c r="AJ1955" i="1"/>
  <c r="AK1955" i="1"/>
  <c r="AL1955" i="1"/>
  <c r="AM1955" i="1"/>
  <c r="A1956" i="1"/>
  <c r="B1956" i="1"/>
  <c r="C1956" i="1"/>
  <c r="D1956" i="1"/>
  <c r="E1956" i="1"/>
  <c r="F1956" i="1"/>
  <c r="G1956" i="1"/>
  <c r="H1956" i="1"/>
  <c r="I1956" i="1"/>
  <c r="J1956" i="1"/>
  <c r="K1956" i="1"/>
  <c r="L1956" i="1"/>
  <c r="M1956" i="1"/>
  <c r="N1956" i="1"/>
  <c r="O1956" i="1"/>
  <c r="P1956" i="1"/>
  <c r="Q1956" i="1"/>
  <c r="R1956" i="1"/>
  <c r="S1956" i="1"/>
  <c r="T1956" i="1"/>
  <c r="U1956" i="1"/>
  <c r="V1956" i="1"/>
  <c r="W1956" i="1"/>
  <c r="X1956" i="1"/>
  <c r="Y1956" i="1"/>
  <c r="Z1956" i="1"/>
  <c r="AA1956" i="1"/>
  <c r="AB1956" i="1"/>
  <c r="AC1956" i="1"/>
  <c r="AD1956" i="1"/>
  <c r="AE1956" i="1"/>
  <c r="AF1956" i="1"/>
  <c r="AG1956" i="1"/>
  <c r="AH1956" i="1"/>
  <c r="AI1956" i="1"/>
  <c r="AJ1956" i="1"/>
  <c r="AK1956" i="1"/>
  <c r="AL1956" i="1"/>
  <c r="AM1956" i="1"/>
  <c r="A1957" i="1"/>
  <c r="B1957" i="1"/>
  <c r="C1957" i="1"/>
  <c r="D1957" i="1"/>
  <c r="E1957" i="1"/>
  <c r="F1957" i="1"/>
  <c r="G1957" i="1"/>
  <c r="H1957" i="1"/>
  <c r="I1957" i="1"/>
  <c r="J1957" i="1"/>
  <c r="K1957" i="1"/>
  <c r="L1957" i="1"/>
  <c r="M1957" i="1"/>
  <c r="N1957" i="1"/>
  <c r="O1957" i="1"/>
  <c r="P1957" i="1"/>
  <c r="Q1957" i="1"/>
  <c r="R1957" i="1"/>
  <c r="S1957" i="1"/>
  <c r="T1957" i="1"/>
  <c r="U1957" i="1"/>
  <c r="V1957" i="1"/>
  <c r="W1957" i="1"/>
  <c r="X1957" i="1"/>
  <c r="Y1957" i="1"/>
  <c r="Z1957" i="1"/>
  <c r="AA1957" i="1"/>
  <c r="AB1957" i="1"/>
  <c r="AC1957" i="1"/>
  <c r="AD1957" i="1"/>
  <c r="AE1957" i="1"/>
  <c r="AF1957" i="1"/>
  <c r="AG1957" i="1"/>
  <c r="AH1957" i="1"/>
  <c r="AI1957" i="1"/>
  <c r="AJ1957" i="1"/>
  <c r="AK1957" i="1"/>
  <c r="AL1957" i="1"/>
  <c r="AM1957" i="1"/>
  <c r="A1958" i="1"/>
  <c r="B1958" i="1"/>
  <c r="C1958" i="1"/>
  <c r="D1958" i="1"/>
  <c r="E1958" i="1"/>
  <c r="F1958" i="1"/>
  <c r="G1958" i="1"/>
  <c r="H1958" i="1"/>
  <c r="I1958" i="1"/>
  <c r="J1958" i="1"/>
  <c r="K1958" i="1"/>
  <c r="L1958" i="1"/>
  <c r="M1958" i="1"/>
  <c r="N1958" i="1"/>
  <c r="O1958" i="1"/>
  <c r="P1958" i="1"/>
  <c r="Q1958" i="1"/>
  <c r="R1958" i="1"/>
  <c r="S1958" i="1"/>
  <c r="T1958" i="1"/>
  <c r="U1958" i="1"/>
  <c r="V1958" i="1"/>
  <c r="W1958" i="1"/>
  <c r="X1958" i="1"/>
  <c r="Y1958" i="1"/>
  <c r="Z1958" i="1"/>
  <c r="AA1958" i="1"/>
  <c r="AB1958" i="1"/>
  <c r="AC1958" i="1"/>
  <c r="AD1958" i="1"/>
  <c r="AE1958" i="1"/>
  <c r="AF1958" i="1"/>
  <c r="AG1958" i="1"/>
  <c r="AH1958" i="1"/>
  <c r="AI1958" i="1"/>
  <c r="AJ1958" i="1"/>
  <c r="AK1958" i="1"/>
  <c r="AL1958" i="1"/>
  <c r="AM1958" i="1"/>
  <c r="A1959" i="1"/>
  <c r="B1959" i="1"/>
  <c r="C1959" i="1"/>
  <c r="D1959" i="1"/>
  <c r="E1959" i="1"/>
  <c r="F1959" i="1"/>
  <c r="G1959" i="1"/>
  <c r="H1959" i="1"/>
  <c r="I1959" i="1"/>
  <c r="J1959" i="1"/>
  <c r="K1959" i="1"/>
  <c r="L1959" i="1"/>
  <c r="M1959" i="1"/>
  <c r="N1959" i="1"/>
  <c r="O1959" i="1"/>
  <c r="P1959" i="1"/>
  <c r="Q1959" i="1"/>
  <c r="R1959" i="1"/>
  <c r="S1959" i="1"/>
  <c r="T1959" i="1"/>
  <c r="U1959" i="1"/>
  <c r="V1959" i="1"/>
  <c r="W1959" i="1"/>
  <c r="X1959" i="1"/>
  <c r="Y1959" i="1"/>
  <c r="Z1959" i="1"/>
  <c r="AA1959" i="1"/>
  <c r="AB1959" i="1"/>
  <c r="AC1959" i="1"/>
  <c r="AD1959" i="1"/>
  <c r="AE1959" i="1"/>
  <c r="AF1959" i="1"/>
  <c r="AG1959" i="1"/>
  <c r="AH1959" i="1"/>
  <c r="AI1959" i="1"/>
  <c r="AJ1959" i="1"/>
  <c r="AK1959" i="1"/>
  <c r="AL1959" i="1"/>
  <c r="AM1959" i="1"/>
  <c r="A1960" i="1"/>
  <c r="B1960" i="1"/>
  <c r="C1960" i="1"/>
  <c r="D1960" i="1"/>
  <c r="E1960" i="1"/>
  <c r="F1960" i="1"/>
  <c r="G1960" i="1"/>
  <c r="H1960" i="1"/>
  <c r="I1960" i="1"/>
  <c r="J1960" i="1"/>
  <c r="K1960" i="1"/>
  <c r="L1960" i="1"/>
  <c r="M1960" i="1"/>
  <c r="N1960" i="1"/>
  <c r="O1960" i="1"/>
  <c r="P1960" i="1"/>
  <c r="Q1960" i="1"/>
  <c r="R1960" i="1"/>
  <c r="S1960" i="1"/>
  <c r="T1960" i="1"/>
  <c r="U1960" i="1"/>
  <c r="V1960" i="1"/>
  <c r="W1960" i="1"/>
  <c r="X1960" i="1"/>
  <c r="Y1960" i="1"/>
  <c r="Z1960" i="1"/>
  <c r="AA1960" i="1"/>
  <c r="AB1960" i="1"/>
  <c r="AC1960" i="1"/>
  <c r="AD1960" i="1"/>
  <c r="AE1960" i="1"/>
  <c r="AF1960" i="1"/>
  <c r="AG1960" i="1"/>
  <c r="AH1960" i="1"/>
  <c r="AI1960" i="1"/>
  <c r="AJ1960" i="1"/>
  <c r="AK1960" i="1"/>
  <c r="AL1960" i="1"/>
  <c r="AM1960" i="1"/>
  <c r="A1961" i="1"/>
  <c r="B1961" i="1"/>
  <c r="C1961" i="1"/>
  <c r="D1961" i="1"/>
  <c r="E1961" i="1"/>
  <c r="F1961" i="1"/>
  <c r="G1961" i="1"/>
  <c r="H1961" i="1"/>
  <c r="I1961" i="1"/>
  <c r="J1961" i="1"/>
  <c r="K1961" i="1"/>
  <c r="L1961" i="1"/>
  <c r="M1961" i="1"/>
  <c r="N1961" i="1"/>
  <c r="O1961" i="1"/>
  <c r="P1961" i="1"/>
  <c r="Q1961" i="1"/>
  <c r="R1961" i="1"/>
  <c r="S1961" i="1"/>
  <c r="T1961" i="1"/>
  <c r="U1961" i="1"/>
  <c r="V1961" i="1"/>
  <c r="W1961" i="1"/>
  <c r="X1961" i="1"/>
  <c r="Y1961" i="1"/>
  <c r="Z1961" i="1"/>
  <c r="AA1961" i="1"/>
  <c r="AB1961" i="1"/>
  <c r="AC1961" i="1"/>
  <c r="AD1961" i="1"/>
  <c r="AE1961" i="1"/>
  <c r="AF1961" i="1"/>
  <c r="AG1961" i="1"/>
  <c r="AH1961" i="1"/>
  <c r="AI1961" i="1"/>
  <c r="AJ1961" i="1"/>
  <c r="AK1961" i="1"/>
  <c r="AL1961" i="1"/>
  <c r="AM1961" i="1"/>
  <c r="A1962" i="1"/>
  <c r="B1962" i="1"/>
  <c r="C1962" i="1"/>
  <c r="D1962" i="1"/>
  <c r="E1962" i="1"/>
  <c r="F1962" i="1"/>
  <c r="G1962" i="1"/>
  <c r="H1962" i="1"/>
  <c r="I1962" i="1"/>
  <c r="J1962" i="1"/>
  <c r="K1962" i="1"/>
  <c r="L1962" i="1"/>
  <c r="M1962" i="1"/>
  <c r="N1962" i="1"/>
  <c r="O1962" i="1"/>
  <c r="P1962" i="1"/>
  <c r="Q1962" i="1"/>
  <c r="R1962" i="1"/>
  <c r="S1962" i="1"/>
  <c r="T1962" i="1"/>
  <c r="U1962" i="1"/>
  <c r="V1962" i="1"/>
  <c r="W1962" i="1"/>
  <c r="X1962" i="1"/>
  <c r="Y1962" i="1"/>
  <c r="Z1962" i="1"/>
  <c r="AA1962" i="1"/>
  <c r="AB1962" i="1"/>
  <c r="AC1962" i="1"/>
  <c r="AD1962" i="1"/>
  <c r="AE1962" i="1"/>
  <c r="AF1962" i="1"/>
  <c r="AG1962" i="1"/>
  <c r="AH1962" i="1"/>
  <c r="AI1962" i="1"/>
  <c r="AJ1962" i="1"/>
  <c r="AK1962" i="1"/>
  <c r="AL1962" i="1"/>
  <c r="AM1962" i="1"/>
  <c r="A1963" i="1"/>
  <c r="B1963" i="1"/>
  <c r="C1963" i="1"/>
  <c r="D1963" i="1"/>
  <c r="E1963" i="1"/>
  <c r="F1963" i="1"/>
  <c r="G1963" i="1"/>
  <c r="H1963" i="1"/>
  <c r="I1963" i="1"/>
  <c r="J1963" i="1"/>
  <c r="K1963" i="1"/>
  <c r="L1963" i="1"/>
  <c r="M1963" i="1"/>
  <c r="N1963" i="1"/>
  <c r="O1963" i="1"/>
  <c r="P1963" i="1"/>
  <c r="Q1963" i="1"/>
  <c r="R1963" i="1"/>
  <c r="S1963" i="1"/>
  <c r="T1963" i="1"/>
  <c r="U1963" i="1"/>
  <c r="V1963" i="1"/>
  <c r="W1963" i="1"/>
  <c r="X1963" i="1"/>
  <c r="Y1963" i="1"/>
  <c r="Z1963" i="1"/>
  <c r="AA1963" i="1"/>
  <c r="AB1963" i="1"/>
  <c r="AC1963" i="1"/>
  <c r="AD1963" i="1"/>
  <c r="AE1963" i="1"/>
  <c r="AF1963" i="1"/>
  <c r="AG1963" i="1"/>
  <c r="AH1963" i="1"/>
  <c r="AI1963" i="1"/>
  <c r="AJ1963" i="1"/>
  <c r="AK1963" i="1"/>
  <c r="AL1963" i="1"/>
  <c r="AM1963" i="1"/>
  <c r="A1964" i="1"/>
  <c r="B1964" i="1"/>
  <c r="C1964" i="1"/>
  <c r="D1964" i="1"/>
  <c r="E1964" i="1"/>
  <c r="F1964" i="1"/>
  <c r="G1964" i="1"/>
  <c r="H1964" i="1"/>
  <c r="I1964" i="1"/>
  <c r="J1964" i="1"/>
  <c r="K1964" i="1"/>
  <c r="L1964" i="1"/>
  <c r="M1964" i="1"/>
  <c r="N1964" i="1"/>
  <c r="O1964" i="1"/>
  <c r="P1964" i="1"/>
  <c r="Q1964" i="1"/>
  <c r="R1964" i="1"/>
  <c r="S1964" i="1"/>
  <c r="T1964" i="1"/>
  <c r="U1964" i="1"/>
  <c r="V1964" i="1"/>
  <c r="W1964" i="1"/>
  <c r="X1964" i="1"/>
  <c r="Y1964" i="1"/>
  <c r="Z1964" i="1"/>
  <c r="AA1964" i="1"/>
  <c r="AB1964" i="1"/>
  <c r="AC1964" i="1"/>
  <c r="AD1964" i="1"/>
  <c r="AE1964" i="1"/>
  <c r="AF1964" i="1"/>
  <c r="AG1964" i="1"/>
  <c r="AH1964" i="1"/>
  <c r="AI1964" i="1"/>
  <c r="AJ1964" i="1"/>
  <c r="AK1964" i="1"/>
  <c r="AL1964" i="1"/>
  <c r="AM1964" i="1"/>
  <c r="A1965" i="1"/>
  <c r="B1965" i="1"/>
  <c r="C1965" i="1"/>
  <c r="D1965" i="1"/>
  <c r="E1965" i="1"/>
  <c r="F1965" i="1"/>
  <c r="G1965" i="1"/>
  <c r="H1965" i="1"/>
  <c r="I1965" i="1"/>
  <c r="J1965" i="1"/>
  <c r="K1965" i="1"/>
  <c r="L1965" i="1"/>
  <c r="M1965" i="1"/>
  <c r="N1965" i="1"/>
  <c r="O1965" i="1"/>
  <c r="P1965" i="1"/>
  <c r="Q1965" i="1"/>
  <c r="R1965" i="1"/>
  <c r="S1965" i="1"/>
  <c r="T1965" i="1"/>
  <c r="U1965" i="1"/>
  <c r="V1965" i="1"/>
  <c r="W1965" i="1"/>
  <c r="X1965" i="1"/>
  <c r="Y1965" i="1"/>
  <c r="Z1965" i="1"/>
  <c r="AA1965" i="1"/>
  <c r="AB1965" i="1"/>
  <c r="AC1965" i="1"/>
  <c r="AD1965" i="1"/>
  <c r="AE1965" i="1"/>
  <c r="AF1965" i="1"/>
  <c r="AG1965" i="1"/>
  <c r="AH1965" i="1"/>
  <c r="AI1965" i="1"/>
  <c r="AJ1965" i="1"/>
  <c r="AK1965" i="1"/>
  <c r="AL1965" i="1"/>
  <c r="AM1965" i="1"/>
  <c r="A1966" i="1"/>
  <c r="B1966" i="1"/>
  <c r="C1966" i="1"/>
  <c r="D1966" i="1"/>
  <c r="E1966" i="1"/>
  <c r="F1966" i="1"/>
  <c r="G1966" i="1"/>
  <c r="H1966" i="1"/>
  <c r="I1966" i="1"/>
  <c r="J1966" i="1"/>
  <c r="K1966" i="1"/>
  <c r="L1966" i="1"/>
  <c r="M1966" i="1"/>
  <c r="N1966" i="1"/>
  <c r="O1966" i="1"/>
  <c r="P1966" i="1"/>
  <c r="Q1966" i="1"/>
  <c r="R1966" i="1"/>
  <c r="S1966" i="1"/>
  <c r="T1966" i="1"/>
  <c r="U1966" i="1"/>
  <c r="V1966" i="1"/>
  <c r="W1966" i="1"/>
  <c r="X1966" i="1"/>
  <c r="Y1966" i="1"/>
  <c r="Z1966" i="1"/>
  <c r="AA1966" i="1"/>
  <c r="AB1966" i="1"/>
  <c r="AC1966" i="1"/>
  <c r="AD1966" i="1"/>
  <c r="AE1966" i="1"/>
  <c r="AF1966" i="1"/>
  <c r="AG1966" i="1"/>
  <c r="AH1966" i="1"/>
  <c r="AI1966" i="1"/>
  <c r="AJ1966" i="1"/>
  <c r="AK1966" i="1"/>
  <c r="AL1966" i="1"/>
  <c r="AM1966" i="1"/>
  <c r="A1967" i="1"/>
  <c r="B1967" i="1"/>
  <c r="C1967" i="1"/>
  <c r="D1967" i="1"/>
  <c r="E1967" i="1"/>
  <c r="F1967" i="1"/>
  <c r="G1967" i="1"/>
  <c r="H1967" i="1"/>
  <c r="I1967" i="1"/>
  <c r="J1967" i="1"/>
  <c r="K1967" i="1"/>
  <c r="L1967" i="1"/>
  <c r="M1967" i="1"/>
  <c r="N1967" i="1"/>
  <c r="O1967" i="1"/>
  <c r="P1967" i="1"/>
  <c r="Q1967" i="1"/>
  <c r="R1967" i="1"/>
  <c r="S1967" i="1"/>
  <c r="T1967" i="1"/>
  <c r="U1967" i="1"/>
  <c r="V1967" i="1"/>
  <c r="W1967" i="1"/>
  <c r="X1967" i="1"/>
  <c r="Y1967" i="1"/>
  <c r="Z1967" i="1"/>
  <c r="AA1967" i="1"/>
  <c r="AB1967" i="1"/>
  <c r="AC1967" i="1"/>
  <c r="AD1967" i="1"/>
  <c r="AE1967" i="1"/>
  <c r="AF1967" i="1"/>
  <c r="AG1967" i="1"/>
  <c r="AH1967" i="1"/>
  <c r="AI1967" i="1"/>
  <c r="AJ1967" i="1"/>
  <c r="AK1967" i="1"/>
  <c r="AL1967" i="1"/>
  <c r="AM1967" i="1"/>
  <c r="A1968" i="1"/>
  <c r="B1968" i="1"/>
  <c r="C1968" i="1"/>
  <c r="D1968" i="1"/>
  <c r="E1968" i="1"/>
  <c r="F1968" i="1"/>
  <c r="G1968" i="1"/>
  <c r="H1968" i="1"/>
  <c r="I1968" i="1"/>
  <c r="J1968" i="1"/>
  <c r="K1968" i="1"/>
  <c r="L1968" i="1"/>
  <c r="M1968" i="1"/>
  <c r="N1968" i="1"/>
  <c r="O1968" i="1"/>
  <c r="P1968" i="1"/>
  <c r="Q1968" i="1"/>
  <c r="R1968" i="1"/>
  <c r="S1968" i="1"/>
  <c r="T1968" i="1"/>
  <c r="U1968" i="1"/>
  <c r="V1968" i="1"/>
  <c r="W1968" i="1"/>
  <c r="X1968" i="1"/>
  <c r="Y1968" i="1"/>
  <c r="Z1968" i="1"/>
  <c r="AA1968" i="1"/>
  <c r="AB1968" i="1"/>
  <c r="AC1968" i="1"/>
  <c r="AD1968" i="1"/>
  <c r="AE1968" i="1"/>
  <c r="AF1968" i="1"/>
  <c r="AG1968" i="1"/>
  <c r="AH1968" i="1"/>
  <c r="AI1968" i="1"/>
  <c r="AJ1968" i="1"/>
  <c r="AK1968" i="1"/>
  <c r="AL1968" i="1"/>
  <c r="AM1968" i="1"/>
  <c r="A1969" i="1"/>
  <c r="B1969" i="1"/>
  <c r="C1969" i="1"/>
  <c r="D1969" i="1"/>
  <c r="E1969" i="1"/>
  <c r="F1969" i="1"/>
  <c r="G1969" i="1"/>
  <c r="H1969" i="1"/>
  <c r="I1969" i="1"/>
  <c r="J1969" i="1"/>
  <c r="K1969" i="1"/>
  <c r="L1969" i="1"/>
  <c r="M1969" i="1"/>
  <c r="N1969" i="1"/>
  <c r="O1969" i="1"/>
  <c r="P1969" i="1"/>
  <c r="Q1969" i="1"/>
  <c r="R1969" i="1"/>
  <c r="S1969" i="1"/>
  <c r="T1969" i="1"/>
  <c r="U1969" i="1"/>
  <c r="V1969" i="1"/>
  <c r="W1969" i="1"/>
  <c r="X1969" i="1"/>
  <c r="Y1969" i="1"/>
  <c r="Z1969" i="1"/>
  <c r="AA1969" i="1"/>
  <c r="AB1969" i="1"/>
  <c r="AC1969" i="1"/>
  <c r="AD1969" i="1"/>
  <c r="AE1969" i="1"/>
  <c r="AF1969" i="1"/>
  <c r="AG1969" i="1"/>
  <c r="AH1969" i="1"/>
  <c r="AI1969" i="1"/>
  <c r="AJ1969" i="1"/>
  <c r="AK1969" i="1"/>
  <c r="AL1969" i="1"/>
  <c r="AM1969" i="1"/>
  <c r="A1970" i="1"/>
  <c r="B1970" i="1"/>
  <c r="C1970" i="1"/>
  <c r="D1970" i="1"/>
  <c r="E1970" i="1"/>
  <c r="F1970" i="1"/>
  <c r="G1970" i="1"/>
  <c r="H1970" i="1"/>
  <c r="I1970" i="1"/>
  <c r="J1970" i="1"/>
  <c r="K1970" i="1"/>
  <c r="L1970" i="1"/>
  <c r="M1970" i="1"/>
  <c r="N1970" i="1"/>
  <c r="O1970" i="1"/>
  <c r="P1970" i="1"/>
  <c r="Q1970" i="1"/>
  <c r="R1970" i="1"/>
  <c r="S1970" i="1"/>
  <c r="T1970" i="1"/>
  <c r="U1970" i="1"/>
  <c r="V1970" i="1"/>
  <c r="W1970" i="1"/>
  <c r="X1970" i="1"/>
  <c r="Y1970" i="1"/>
  <c r="Z1970" i="1"/>
  <c r="AA1970" i="1"/>
  <c r="AB1970" i="1"/>
  <c r="AC1970" i="1"/>
  <c r="AD1970" i="1"/>
  <c r="AE1970" i="1"/>
  <c r="AF1970" i="1"/>
  <c r="AG1970" i="1"/>
  <c r="AH1970" i="1"/>
  <c r="AI1970" i="1"/>
  <c r="AJ1970" i="1"/>
  <c r="AK1970" i="1"/>
  <c r="AL1970" i="1"/>
  <c r="AM1970" i="1"/>
  <c r="A1971" i="1"/>
  <c r="B1971" i="1"/>
  <c r="C1971" i="1"/>
  <c r="D1971" i="1"/>
  <c r="E1971" i="1"/>
  <c r="F1971" i="1"/>
  <c r="G1971" i="1"/>
  <c r="H1971" i="1"/>
  <c r="I1971" i="1"/>
  <c r="J1971" i="1"/>
  <c r="K1971" i="1"/>
  <c r="L1971" i="1"/>
  <c r="M1971" i="1"/>
  <c r="N1971" i="1"/>
  <c r="O1971" i="1"/>
  <c r="P1971" i="1"/>
  <c r="Q1971" i="1"/>
  <c r="R1971" i="1"/>
  <c r="S1971" i="1"/>
  <c r="T1971" i="1"/>
  <c r="U1971" i="1"/>
  <c r="V1971" i="1"/>
  <c r="W1971" i="1"/>
  <c r="X1971" i="1"/>
  <c r="Y1971" i="1"/>
  <c r="Z1971" i="1"/>
  <c r="AA1971" i="1"/>
  <c r="AB1971" i="1"/>
  <c r="AC1971" i="1"/>
  <c r="AD1971" i="1"/>
  <c r="AE1971" i="1"/>
  <c r="AF1971" i="1"/>
  <c r="AG1971" i="1"/>
  <c r="AH1971" i="1"/>
  <c r="AI1971" i="1"/>
  <c r="AJ1971" i="1"/>
  <c r="AK1971" i="1"/>
  <c r="AL1971" i="1"/>
  <c r="AM1971" i="1"/>
  <c r="A1972" i="1"/>
  <c r="B1972" i="1"/>
  <c r="C1972" i="1"/>
  <c r="D1972" i="1"/>
  <c r="E1972" i="1"/>
  <c r="F1972" i="1"/>
  <c r="G1972" i="1"/>
  <c r="H1972" i="1"/>
  <c r="I1972" i="1"/>
  <c r="J1972" i="1"/>
  <c r="K1972" i="1"/>
  <c r="L1972" i="1"/>
  <c r="M1972" i="1"/>
  <c r="N1972" i="1"/>
  <c r="O1972" i="1"/>
  <c r="P1972" i="1"/>
  <c r="Q1972" i="1"/>
  <c r="R1972" i="1"/>
  <c r="S1972" i="1"/>
  <c r="T1972" i="1"/>
  <c r="U1972" i="1"/>
  <c r="V1972" i="1"/>
  <c r="W1972" i="1"/>
  <c r="X1972" i="1"/>
  <c r="Y1972" i="1"/>
  <c r="Z1972" i="1"/>
  <c r="AA1972" i="1"/>
  <c r="AB1972" i="1"/>
  <c r="AC1972" i="1"/>
  <c r="AD1972" i="1"/>
  <c r="AE1972" i="1"/>
  <c r="AF1972" i="1"/>
  <c r="AG1972" i="1"/>
  <c r="AH1972" i="1"/>
  <c r="AI1972" i="1"/>
  <c r="AJ1972" i="1"/>
  <c r="AK1972" i="1"/>
  <c r="AL1972" i="1"/>
  <c r="AM1972" i="1"/>
  <c r="A1973" i="1"/>
  <c r="B1973" i="1"/>
  <c r="C1973" i="1"/>
  <c r="D1973" i="1"/>
  <c r="E1973" i="1"/>
  <c r="F1973" i="1"/>
  <c r="G1973" i="1"/>
  <c r="H1973" i="1"/>
  <c r="I1973" i="1"/>
  <c r="J1973" i="1"/>
  <c r="K1973" i="1"/>
  <c r="L1973" i="1"/>
  <c r="M1973" i="1"/>
  <c r="N1973" i="1"/>
  <c r="O1973" i="1"/>
  <c r="P1973" i="1"/>
  <c r="Q1973" i="1"/>
  <c r="R1973" i="1"/>
  <c r="S1973" i="1"/>
  <c r="T1973" i="1"/>
  <c r="U1973" i="1"/>
  <c r="V1973" i="1"/>
  <c r="W1973" i="1"/>
  <c r="X1973" i="1"/>
  <c r="Y1973" i="1"/>
  <c r="Z1973" i="1"/>
  <c r="AA1973" i="1"/>
  <c r="AB1973" i="1"/>
  <c r="AC1973" i="1"/>
  <c r="AD1973" i="1"/>
  <c r="AE1973" i="1"/>
  <c r="AF1973" i="1"/>
  <c r="AG1973" i="1"/>
  <c r="AH1973" i="1"/>
  <c r="AI1973" i="1"/>
  <c r="AJ1973" i="1"/>
  <c r="AK1973" i="1"/>
  <c r="AL1973" i="1"/>
  <c r="AM1973" i="1"/>
  <c r="A1974" i="1"/>
  <c r="B1974" i="1"/>
  <c r="C1974" i="1"/>
  <c r="D1974" i="1"/>
  <c r="E1974" i="1"/>
  <c r="F1974" i="1"/>
  <c r="G1974" i="1"/>
  <c r="H1974" i="1"/>
  <c r="I1974" i="1"/>
  <c r="J1974" i="1"/>
  <c r="K1974" i="1"/>
  <c r="L1974" i="1"/>
  <c r="M1974" i="1"/>
  <c r="N1974" i="1"/>
  <c r="O1974" i="1"/>
  <c r="P1974" i="1"/>
  <c r="Q1974" i="1"/>
  <c r="R1974" i="1"/>
  <c r="S1974" i="1"/>
  <c r="T1974" i="1"/>
  <c r="U1974" i="1"/>
  <c r="V1974" i="1"/>
  <c r="W1974" i="1"/>
  <c r="X1974" i="1"/>
  <c r="Y1974" i="1"/>
  <c r="Z1974" i="1"/>
  <c r="AA1974" i="1"/>
  <c r="AB1974" i="1"/>
  <c r="AC1974" i="1"/>
  <c r="AD1974" i="1"/>
  <c r="AE1974" i="1"/>
  <c r="AF1974" i="1"/>
  <c r="AG1974" i="1"/>
  <c r="AH1974" i="1"/>
  <c r="AI1974" i="1"/>
  <c r="AJ1974" i="1"/>
  <c r="AK1974" i="1"/>
  <c r="AL1974" i="1"/>
  <c r="AM1974" i="1"/>
  <c r="A1975" i="1"/>
  <c r="B1975" i="1"/>
  <c r="C1975" i="1"/>
  <c r="D1975" i="1"/>
  <c r="E1975" i="1"/>
  <c r="F1975" i="1"/>
  <c r="G1975" i="1"/>
  <c r="H1975" i="1"/>
  <c r="I1975" i="1"/>
  <c r="J1975" i="1"/>
  <c r="K1975" i="1"/>
  <c r="L1975" i="1"/>
  <c r="M1975" i="1"/>
  <c r="N1975" i="1"/>
  <c r="O1975" i="1"/>
  <c r="P1975" i="1"/>
  <c r="Q1975" i="1"/>
  <c r="R1975" i="1"/>
  <c r="S1975" i="1"/>
  <c r="T1975" i="1"/>
  <c r="U1975" i="1"/>
  <c r="V1975" i="1"/>
  <c r="W1975" i="1"/>
  <c r="X1975" i="1"/>
  <c r="Y1975" i="1"/>
  <c r="Z1975" i="1"/>
  <c r="AA1975" i="1"/>
  <c r="AB1975" i="1"/>
  <c r="AC1975" i="1"/>
  <c r="AD1975" i="1"/>
  <c r="AE1975" i="1"/>
  <c r="AF1975" i="1"/>
  <c r="AG1975" i="1"/>
  <c r="AH1975" i="1"/>
  <c r="AI1975" i="1"/>
  <c r="AJ1975" i="1"/>
  <c r="AK1975" i="1"/>
  <c r="AL1975" i="1"/>
  <c r="AM1975" i="1"/>
  <c r="A1976" i="1"/>
  <c r="B1976" i="1"/>
  <c r="C1976" i="1"/>
  <c r="D1976" i="1"/>
  <c r="E1976" i="1"/>
  <c r="F1976" i="1"/>
  <c r="G1976" i="1"/>
  <c r="H1976" i="1"/>
  <c r="I1976" i="1"/>
  <c r="J1976" i="1"/>
  <c r="K1976" i="1"/>
  <c r="L1976" i="1"/>
  <c r="M1976" i="1"/>
  <c r="N1976" i="1"/>
  <c r="O1976" i="1"/>
  <c r="P1976" i="1"/>
  <c r="Q1976" i="1"/>
  <c r="R1976" i="1"/>
  <c r="S1976" i="1"/>
  <c r="T1976" i="1"/>
  <c r="U1976" i="1"/>
  <c r="V1976" i="1"/>
  <c r="W1976" i="1"/>
  <c r="X1976" i="1"/>
  <c r="Y1976" i="1"/>
  <c r="Z1976" i="1"/>
  <c r="AA1976" i="1"/>
  <c r="AB1976" i="1"/>
  <c r="AC1976" i="1"/>
  <c r="AD1976" i="1"/>
  <c r="AE1976" i="1"/>
  <c r="AF1976" i="1"/>
  <c r="AG1976" i="1"/>
  <c r="AH1976" i="1"/>
  <c r="AI1976" i="1"/>
  <c r="AJ1976" i="1"/>
  <c r="AK1976" i="1"/>
  <c r="AL1976" i="1"/>
  <c r="AM1976" i="1"/>
  <c r="A1977" i="1"/>
  <c r="B1977" i="1"/>
  <c r="C1977" i="1"/>
  <c r="D1977" i="1"/>
  <c r="E1977" i="1"/>
  <c r="F1977" i="1"/>
  <c r="G1977" i="1"/>
  <c r="H1977" i="1"/>
  <c r="I1977" i="1"/>
  <c r="J1977" i="1"/>
  <c r="K1977" i="1"/>
  <c r="L1977" i="1"/>
  <c r="M1977" i="1"/>
  <c r="N1977" i="1"/>
  <c r="O1977" i="1"/>
  <c r="P1977" i="1"/>
  <c r="Q1977" i="1"/>
  <c r="R1977" i="1"/>
  <c r="S1977" i="1"/>
  <c r="T1977" i="1"/>
  <c r="U1977" i="1"/>
  <c r="V1977" i="1"/>
  <c r="W1977" i="1"/>
  <c r="X1977" i="1"/>
  <c r="Y1977" i="1"/>
  <c r="Z1977" i="1"/>
  <c r="AA1977" i="1"/>
  <c r="AB1977" i="1"/>
  <c r="AC1977" i="1"/>
  <c r="AD1977" i="1"/>
  <c r="AE1977" i="1"/>
  <c r="AF1977" i="1"/>
  <c r="AG1977" i="1"/>
  <c r="AH1977" i="1"/>
  <c r="AI1977" i="1"/>
  <c r="AJ1977" i="1"/>
  <c r="AK1977" i="1"/>
  <c r="AL1977" i="1"/>
  <c r="AM1977" i="1"/>
  <c r="A1978" i="1"/>
  <c r="B1978" i="1"/>
  <c r="C1978" i="1"/>
  <c r="D1978" i="1"/>
  <c r="E1978" i="1"/>
  <c r="F1978" i="1"/>
  <c r="G1978" i="1"/>
  <c r="H1978" i="1"/>
  <c r="I1978" i="1"/>
  <c r="J1978" i="1"/>
  <c r="K1978" i="1"/>
  <c r="L1978" i="1"/>
  <c r="M1978" i="1"/>
  <c r="N1978" i="1"/>
  <c r="O1978" i="1"/>
  <c r="P1978" i="1"/>
  <c r="Q1978" i="1"/>
  <c r="R1978" i="1"/>
  <c r="S1978" i="1"/>
  <c r="T1978" i="1"/>
  <c r="U1978" i="1"/>
  <c r="V1978" i="1"/>
  <c r="W1978" i="1"/>
  <c r="X1978" i="1"/>
  <c r="Y1978" i="1"/>
  <c r="Z1978" i="1"/>
  <c r="AA1978" i="1"/>
  <c r="AB1978" i="1"/>
  <c r="AC1978" i="1"/>
  <c r="AD1978" i="1"/>
  <c r="AE1978" i="1"/>
  <c r="AF1978" i="1"/>
  <c r="AG1978" i="1"/>
  <c r="AH1978" i="1"/>
  <c r="AI1978" i="1"/>
  <c r="AJ1978" i="1"/>
  <c r="AK1978" i="1"/>
  <c r="AL1978" i="1"/>
  <c r="AM1978" i="1"/>
  <c r="A1979" i="1"/>
  <c r="B1979" i="1"/>
  <c r="C1979" i="1"/>
  <c r="D1979" i="1"/>
  <c r="E1979" i="1"/>
  <c r="F1979" i="1"/>
  <c r="G1979" i="1"/>
  <c r="H1979" i="1"/>
  <c r="I1979" i="1"/>
  <c r="J1979" i="1"/>
  <c r="K1979" i="1"/>
  <c r="L1979" i="1"/>
  <c r="M1979" i="1"/>
  <c r="N1979" i="1"/>
  <c r="O1979" i="1"/>
  <c r="P1979" i="1"/>
  <c r="Q1979" i="1"/>
  <c r="R1979" i="1"/>
  <c r="S1979" i="1"/>
  <c r="T1979" i="1"/>
  <c r="U1979" i="1"/>
  <c r="V1979" i="1"/>
  <c r="W1979" i="1"/>
  <c r="X1979" i="1"/>
  <c r="Y1979" i="1"/>
  <c r="Z1979" i="1"/>
  <c r="AA1979" i="1"/>
  <c r="AB1979" i="1"/>
  <c r="AC1979" i="1"/>
  <c r="AD1979" i="1"/>
  <c r="AE1979" i="1"/>
  <c r="AF1979" i="1"/>
  <c r="AG1979" i="1"/>
  <c r="AH1979" i="1"/>
  <c r="AI1979" i="1"/>
  <c r="AJ1979" i="1"/>
  <c r="AK1979" i="1"/>
  <c r="AL1979" i="1"/>
  <c r="AM1979" i="1"/>
  <c r="A1980" i="1"/>
  <c r="B1980" i="1"/>
  <c r="C1980" i="1"/>
  <c r="D1980" i="1"/>
  <c r="E1980" i="1"/>
  <c r="F1980" i="1"/>
  <c r="G1980" i="1"/>
  <c r="H1980" i="1"/>
  <c r="I1980" i="1"/>
  <c r="J1980" i="1"/>
  <c r="K1980" i="1"/>
  <c r="L1980" i="1"/>
  <c r="M1980" i="1"/>
  <c r="N1980" i="1"/>
  <c r="O1980" i="1"/>
  <c r="P1980" i="1"/>
  <c r="Q1980" i="1"/>
  <c r="R1980" i="1"/>
  <c r="S1980" i="1"/>
  <c r="T1980" i="1"/>
  <c r="U1980" i="1"/>
  <c r="V1980" i="1"/>
  <c r="W1980" i="1"/>
  <c r="X1980" i="1"/>
  <c r="Y1980" i="1"/>
  <c r="Z1980" i="1"/>
  <c r="AA1980" i="1"/>
  <c r="AB1980" i="1"/>
  <c r="AC1980" i="1"/>
  <c r="AD1980" i="1"/>
  <c r="AE1980" i="1"/>
  <c r="AF1980" i="1"/>
  <c r="AG1980" i="1"/>
  <c r="AH1980" i="1"/>
  <c r="AI1980" i="1"/>
  <c r="AJ1980" i="1"/>
  <c r="AK1980" i="1"/>
  <c r="AL1980" i="1"/>
  <c r="AM1980" i="1"/>
  <c r="A1981" i="1"/>
  <c r="B1981" i="1"/>
  <c r="C1981" i="1"/>
  <c r="D1981" i="1"/>
  <c r="E1981" i="1"/>
  <c r="F1981" i="1"/>
  <c r="G1981" i="1"/>
  <c r="H1981" i="1"/>
  <c r="I1981" i="1"/>
  <c r="J1981" i="1"/>
  <c r="K1981" i="1"/>
  <c r="L1981" i="1"/>
  <c r="M1981" i="1"/>
  <c r="N1981" i="1"/>
  <c r="O1981" i="1"/>
  <c r="P1981" i="1"/>
  <c r="Q1981" i="1"/>
  <c r="R1981" i="1"/>
  <c r="S1981" i="1"/>
  <c r="T1981" i="1"/>
  <c r="U1981" i="1"/>
  <c r="V1981" i="1"/>
  <c r="W1981" i="1"/>
  <c r="X1981" i="1"/>
  <c r="Y1981" i="1"/>
  <c r="Z1981" i="1"/>
  <c r="AA1981" i="1"/>
  <c r="AB1981" i="1"/>
  <c r="AC1981" i="1"/>
  <c r="AD1981" i="1"/>
  <c r="AE1981" i="1"/>
  <c r="AF1981" i="1"/>
  <c r="AG1981" i="1"/>
  <c r="AH1981" i="1"/>
  <c r="AI1981" i="1"/>
  <c r="AJ1981" i="1"/>
  <c r="AK1981" i="1"/>
  <c r="AL1981" i="1"/>
  <c r="AM1981" i="1"/>
  <c r="A1982" i="1"/>
  <c r="B1982" i="1"/>
  <c r="C1982" i="1"/>
  <c r="D1982" i="1"/>
  <c r="E1982" i="1"/>
  <c r="F1982" i="1"/>
  <c r="G1982" i="1"/>
  <c r="H1982" i="1"/>
  <c r="I1982" i="1"/>
  <c r="J1982" i="1"/>
  <c r="K1982" i="1"/>
  <c r="L1982" i="1"/>
  <c r="M1982" i="1"/>
  <c r="N1982" i="1"/>
  <c r="O1982" i="1"/>
  <c r="P1982" i="1"/>
  <c r="Q1982" i="1"/>
  <c r="R1982" i="1"/>
  <c r="S1982" i="1"/>
  <c r="T1982" i="1"/>
  <c r="U1982" i="1"/>
  <c r="V1982" i="1"/>
  <c r="W1982" i="1"/>
  <c r="X1982" i="1"/>
  <c r="Y1982" i="1"/>
  <c r="Z1982" i="1"/>
  <c r="AA1982" i="1"/>
  <c r="AB1982" i="1"/>
  <c r="AC1982" i="1"/>
  <c r="AD1982" i="1"/>
  <c r="AE1982" i="1"/>
  <c r="AF1982" i="1"/>
  <c r="AG1982" i="1"/>
  <c r="AH1982" i="1"/>
  <c r="AI1982" i="1"/>
  <c r="AJ1982" i="1"/>
  <c r="AK1982" i="1"/>
  <c r="AL1982" i="1"/>
  <c r="AM1982" i="1"/>
  <c r="A1983" i="1"/>
  <c r="B1983" i="1"/>
  <c r="C1983" i="1"/>
  <c r="D1983" i="1"/>
  <c r="E1983" i="1"/>
  <c r="F1983" i="1"/>
  <c r="G1983" i="1"/>
  <c r="H1983" i="1"/>
  <c r="I1983" i="1"/>
  <c r="J1983" i="1"/>
  <c r="K1983" i="1"/>
  <c r="L1983" i="1"/>
  <c r="M1983" i="1"/>
  <c r="N1983" i="1"/>
  <c r="O1983" i="1"/>
  <c r="P1983" i="1"/>
  <c r="Q1983" i="1"/>
  <c r="R1983" i="1"/>
  <c r="S1983" i="1"/>
  <c r="T1983" i="1"/>
  <c r="U1983" i="1"/>
  <c r="V1983" i="1"/>
  <c r="W1983" i="1"/>
  <c r="X1983" i="1"/>
  <c r="Y1983" i="1"/>
  <c r="Z1983" i="1"/>
  <c r="AA1983" i="1"/>
  <c r="AB1983" i="1"/>
  <c r="AC1983" i="1"/>
  <c r="AD1983" i="1"/>
  <c r="AE1983" i="1"/>
  <c r="AF1983" i="1"/>
  <c r="AG1983" i="1"/>
  <c r="AH1983" i="1"/>
  <c r="AI1983" i="1"/>
  <c r="AJ1983" i="1"/>
  <c r="AK1983" i="1"/>
  <c r="AL1983" i="1"/>
  <c r="AM1983" i="1"/>
  <c r="A1984" i="1"/>
  <c r="B1984" i="1"/>
  <c r="C1984" i="1"/>
  <c r="D1984" i="1"/>
  <c r="E1984" i="1"/>
  <c r="F1984" i="1"/>
  <c r="G1984" i="1"/>
  <c r="H1984" i="1"/>
  <c r="I1984" i="1"/>
  <c r="J1984" i="1"/>
  <c r="K1984" i="1"/>
  <c r="L1984" i="1"/>
  <c r="M1984" i="1"/>
  <c r="N1984" i="1"/>
  <c r="O1984" i="1"/>
  <c r="P1984" i="1"/>
  <c r="Q1984" i="1"/>
  <c r="R1984" i="1"/>
  <c r="S1984" i="1"/>
  <c r="T1984" i="1"/>
  <c r="U1984" i="1"/>
  <c r="V1984" i="1"/>
  <c r="W1984" i="1"/>
  <c r="X1984" i="1"/>
  <c r="Y1984" i="1"/>
  <c r="Z1984" i="1"/>
  <c r="AA1984" i="1"/>
  <c r="AB1984" i="1"/>
  <c r="AC1984" i="1"/>
  <c r="AD1984" i="1"/>
  <c r="AE1984" i="1"/>
  <c r="AF1984" i="1"/>
  <c r="AG1984" i="1"/>
  <c r="AH1984" i="1"/>
  <c r="AI1984" i="1"/>
  <c r="AJ1984" i="1"/>
  <c r="AK1984" i="1"/>
  <c r="AL1984" i="1"/>
  <c r="AM1984" i="1"/>
  <c r="A1985" i="1"/>
  <c r="B1985" i="1"/>
  <c r="C1985" i="1"/>
  <c r="D1985" i="1"/>
  <c r="E1985" i="1"/>
  <c r="F1985" i="1"/>
  <c r="G1985" i="1"/>
  <c r="H1985" i="1"/>
  <c r="I1985" i="1"/>
  <c r="J1985" i="1"/>
  <c r="K1985" i="1"/>
  <c r="L1985" i="1"/>
  <c r="M1985" i="1"/>
  <c r="N1985" i="1"/>
  <c r="O1985" i="1"/>
  <c r="P1985" i="1"/>
  <c r="Q1985" i="1"/>
  <c r="R1985" i="1"/>
  <c r="S1985" i="1"/>
  <c r="T1985" i="1"/>
  <c r="U1985" i="1"/>
  <c r="V1985" i="1"/>
  <c r="W1985" i="1"/>
  <c r="X1985" i="1"/>
  <c r="Y1985" i="1"/>
  <c r="Z1985" i="1"/>
  <c r="AA1985" i="1"/>
  <c r="AB1985" i="1"/>
  <c r="AC1985" i="1"/>
  <c r="AD1985" i="1"/>
  <c r="AE1985" i="1"/>
  <c r="AF1985" i="1"/>
  <c r="AG1985" i="1"/>
  <c r="AH1985" i="1"/>
  <c r="AI1985" i="1"/>
  <c r="AJ1985" i="1"/>
  <c r="AK1985" i="1"/>
  <c r="AL1985" i="1"/>
  <c r="AM1985" i="1"/>
  <c r="A1986" i="1"/>
  <c r="B1986" i="1"/>
  <c r="C1986" i="1"/>
  <c r="D1986" i="1"/>
  <c r="E1986" i="1"/>
  <c r="F1986" i="1"/>
  <c r="G1986" i="1"/>
  <c r="H1986" i="1"/>
  <c r="I1986" i="1"/>
  <c r="J1986" i="1"/>
  <c r="K1986" i="1"/>
  <c r="L1986" i="1"/>
  <c r="M1986" i="1"/>
  <c r="N1986" i="1"/>
  <c r="O1986" i="1"/>
  <c r="P1986" i="1"/>
  <c r="Q1986" i="1"/>
  <c r="R1986" i="1"/>
  <c r="S1986" i="1"/>
  <c r="T1986" i="1"/>
  <c r="U1986" i="1"/>
  <c r="V1986" i="1"/>
  <c r="W1986" i="1"/>
  <c r="X1986" i="1"/>
  <c r="Y1986" i="1"/>
  <c r="Z1986" i="1"/>
  <c r="AA1986" i="1"/>
  <c r="AB1986" i="1"/>
  <c r="AC1986" i="1"/>
  <c r="AD1986" i="1"/>
  <c r="AE1986" i="1"/>
  <c r="AF1986" i="1"/>
  <c r="AG1986" i="1"/>
  <c r="AH1986" i="1"/>
  <c r="AI1986" i="1"/>
  <c r="AJ1986" i="1"/>
  <c r="AK1986" i="1"/>
  <c r="AL1986" i="1"/>
  <c r="AM1986" i="1"/>
  <c r="A1987" i="1"/>
  <c r="B1987" i="1"/>
  <c r="C1987" i="1"/>
  <c r="D1987" i="1"/>
  <c r="E1987" i="1"/>
  <c r="F1987" i="1"/>
  <c r="G1987" i="1"/>
  <c r="H1987" i="1"/>
  <c r="I1987" i="1"/>
  <c r="J1987" i="1"/>
  <c r="K1987" i="1"/>
  <c r="L1987" i="1"/>
  <c r="M1987" i="1"/>
  <c r="N1987" i="1"/>
  <c r="O1987" i="1"/>
  <c r="P1987" i="1"/>
  <c r="Q1987" i="1"/>
  <c r="R1987" i="1"/>
  <c r="S1987" i="1"/>
  <c r="T1987" i="1"/>
  <c r="U1987" i="1"/>
  <c r="V1987" i="1"/>
  <c r="W1987" i="1"/>
  <c r="X1987" i="1"/>
  <c r="Y1987" i="1"/>
  <c r="Z1987" i="1"/>
  <c r="AA1987" i="1"/>
  <c r="AB1987" i="1"/>
  <c r="AC1987" i="1"/>
  <c r="AD1987" i="1"/>
  <c r="AE1987" i="1"/>
  <c r="AF1987" i="1"/>
  <c r="AG1987" i="1"/>
  <c r="AH1987" i="1"/>
  <c r="AI1987" i="1"/>
  <c r="AJ1987" i="1"/>
  <c r="AK1987" i="1"/>
  <c r="AL1987" i="1"/>
  <c r="AM1987" i="1"/>
  <c r="A1988" i="1"/>
  <c r="B1988" i="1"/>
  <c r="C1988" i="1"/>
  <c r="D1988" i="1"/>
  <c r="E1988" i="1"/>
  <c r="F1988" i="1"/>
  <c r="G1988" i="1"/>
  <c r="H1988" i="1"/>
  <c r="I1988" i="1"/>
  <c r="J1988" i="1"/>
  <c r="K1988" i="1"/>
  <c r="L1988" i="1"/>
  <c r="M1988" i="1"/>
  <c r="N1988" i="1"/>
  <c r="O1988" i="1"/>
  <c r="P1988" i="1"/>
  <c r="Q1988" i="1"/>
  <c r="R1988" i="1"/>
  <c r="S1988" i="1"/>
  <c r="T1988" i="1"/>
  <c r="U1988" i="1"/>
  <c r="V1988" i="1"/>
  <c r="W1988" i="1"/>
  <c r="X1988" i="1"/>
  <c r="Y1988" i="1"/>
  <c r="Z1988" i="1"/>
  <c r="AA1988" i="1"/>
  <c r="AB1988" i="1"/>
  <c r="AC1988" i="1"/>
  <c r="AD1988" i="1"/>
  <c r="AE1988" i="1"/>
  <c r="AF1988" i="1"/>
  <c r="AG1988" i="1"/>
  <c r="AH1988" i="1"/>
  <c r="AI1988" i="1"/>
  <c r="AJ1988" i="1"/>
  <c r="AK1988" i="1"/>
  <c r="AL1988" i="1"/>
  <c r="AM1988" i="1"/>
  <c r="A1989" i="1"/>
  <c r="B1989" i="1"/>
  <c r="C1989" i="1"/>
  <c r="D1989" i="1"/>
  <c r="E1989" i="1"/>
  <c r="F1989" i="1"/>
  <c r="G1989" i="1"/>
  <c r="H1989" i="1"/>
  <c r="I1989" i="1"/>
  <c r="J1989" i="1"/>
  <c r="K1989" i="1"/>
  <c r="L1989" i="1"/>
  <c r="M1989" i="1"/>
  <c r="N1989" i="1"/>
  <c r="O1989" i="1"/>
  <c r="P1989" i="1"/>
  <c r="Q1989" i="1"/>
  <c r="R1989" i="1"/>
  <c r="S1989" i="1"/>
  <c r="T1989" i="1"/>
  <c r="U1989" i="1"/>
  <c r="V1989" i="1"/>
  <c r="W1989" i="1"/>
  <c r="X1989" i="1"/>
  <c r="Y1989" i="1"/>
  <c r="Z1989" i="1"/>
  <c r="AA1989" i="1"/>
  <c r="AB1989" i="1"/>
  <c r="AC1989" i="1"/>
  <c r="AD1989" i="1"/>
  <c r="AE1989" i="1"/>
  <c r="AF1989" i="1"/>
  <c r="AG1989" i="1"/>
  <c r="AH1989" i="1"/>
  <c r="AI1989" i="1"/>
  <c r="AJ1989" i="1"/>
  <c r="AK1989" i="1"/>
  <c r="AL1989" i="1"/>
  <c r="AM1989" i="1"/>
  <c r="A1990" i="1"/>
  <c r="B1990" i="1"/>
  <c r="C1990" i="1"/>
  <c r="D1990" i="1"/>
  <c r="E1990" i="1"/>
  <c r="F1990" i="1"/>
  <c r="G1990" i="1"/>
  <c r="H1990" i="1"/>
  <c r="I1990" i="1"/>
  <c r="J1990" i="1"/>
  <c r="K1990" i="1"/>
  <c r="L1990" i="1"/>
  <c r="M1990" i="1"/>
  <c r="N1990" i="1"/>
  <c r="O1990" i="1"/>
  <c r="P1990" i="1"/>
  <c r="Q1990" i="1"/>
  <c r="R1990" i="1"/>
  <c r="S1990" i="1"/>
  <c r="T1990" i="1"/>
  <c r="U1990" i="1"/>
  <c r="V1990" i="1"/>
  <c r="W1990" i="1"/>
  <c r="X1990" i="1"/>
  <c r="Y1990" i="1"/>
  <c r="Z1990" i="1"/>
  <c r="AA1990" i="1"/>
  <c r="AB1990" i="1"/>
  <c r="AC1990" i="1"/>
  <c r="AD1990" i="1"/>
  <c r="AE1990" i="1"/>
  <c r="AF1990" i="1"/>
  <c r="AG1990" i="1"/>
  <c r="AH1990" i="1"/>
  <c r="AI1990" i="1"/>
  <c r="AJ1990" i="1"/>
  <c r="AK1990" i="1"/>
  <c r="AL1990" i="1"/>
  <c r="AM1990" i="1"/>
  <c r="A1991" i="1"/>
  <c r="B1991" i="1"/>
  <c r="C1991" i="1"/>
  <c r="D1991" i="1"/>
  <c r="E1991" i="1"/>
  <c r="F1991" i="1"/>
  <c r="G1991" i="1"/>
  <c r="H1991" i="1"/>
  <c r="I1991" i="1"/>
  <c r="J1991" i="1"/>
  <c r="K1991" i="1"/>
  <c r="L1991" i="1"/>
  <c r="M1991" i="1"/>
  <c r="N1991" i="1"/>
  <c r="O1991" i="1"/>
  <c r="P1991" i="1"/>
  <c r="Q1991" i="1"/>
  <c r="R1991" i="1"/>
  <c r="S1991" i="1"/>
  <c r="T1991" i="1"/>
  <c r="U1991" i="1"/>
  <c r="V1991" i="1"/>
  <c r="W1991" i="1"/>
  <c r="X1991" i="1"/>
  <c r="Y1991" i="1"/>
  <c r="Z1991" i="1"/>
  <c r="AA1991" i="1"/>
  <c r="AB1991" i="1"/>
  <c r="AC1991" i="1"/>
  <c r="AD1991" i="1"/>
  <c r="AE1991" i="1"/>
  <c r="AF1991" i="1"/>
  <c r="AG1991" i="1"/>
  <c r="AH1991" i="1"/>
  <c r="AI1991" i="1"/>
  <c r="AJ1991" i="1"/>
  <c r="AK1991" i="1"/>
  <c r="AL1991" i="1"/>
  <c r="AM1991" i="1"/>
  <c r="A1992" i="1"/>
  <c r="B1992" i="1"/>
  <c r="C1992" i="1"/>
  <c r="D1992" i="1"/>
  <c r="E1992" i="1"/>
  <c r="F1992" i="1"/>
  <c r="G1992" i="1"/>
  <c r="H1992" i="1"/>
  <c r="I1992" i="1"/>
  <c r="J1992" i="1"/>
  <c r="K1992" i="1"/>
  <c r="L1992" i="1"/>
  <c r="M1992" i="1"/>
  <c r="N1992" i="1"/>
  <c r="O1992" i="1"/>
  <c r="P1992" i="1"/>
  <c r="Q1992" i="1"/>
  <c r="R1992" i="1"/>
  <c r="S1992" i="1"/>
  <c r="T1992" i="1"/>
  <c r="U1992" i="1"/>
  <c r="V1992" i="1"/>
  <c r="W1992" i="1"/>
  <c r="X1992" i="1"/>
  <c r="Y1992" i="1"/>
  <c r="Z1992" i="1"/>
  <c r="AA1992" i="1"/>
  <c r="AB1992" i="1"/>
  <c r="AC1992" i="1"/>
  <c r="AD1992" i="1"/>
  <c r="AE1992" i="1"/>
  <c r="AF1992" i="1"/>
  <c r="AG1992" i="1"/>
  <c r="AH1992" i="1"/>
  <c r="AI1992" i="1"/>
  <c r="AJ1992" i="1"/>
  <c r="AK1992" i="1"/>
  <c r="AL1992" i="1"/>
  <c r="AM1992" i="1"/>
  <c r="A1993" i="1"/>
  <c r="B1993" i="1"/>
  <c r="C1993" i="1"/>
  <c r="D1993" i="1"/>
  <c r="E1993" i="1"/>
  <c r="F1993" i="1"/>
  <c r="G1993" i="1"/>
  <c r="H1993" i="1"/>
  <c r="I1993" i="1"/>
  <c r="J1993" i="1"/>
  <c r="K1993" i="1"/>
  <c r="L1993" i="1"/>
  <c r="M1993" i="1"/>
  <c r="N1993" i="1"/>
  <c r="O1993" i="1"/>
  <c r="P1993" i="1"/>
  <c r="Q1993" i="1"/>
  <c r="R1993" i="1"/>
  <c r="S1993" i="1"/>
  <c r="T1993" i="1"/>
  <c r="U1993" i="1"/>
  <c r="V1993" i="1"/>
  <c r="W1993" i="1"/>
  <c r="X1993" i="1"/>
  <c r="Y1993" i="1"/>
  <c r="Z1993" i="1"/>
  <c r="AA1993" i="1"/>
  <c r="AB1993" i="1"/>
  <c r="AC1993" i="1"/>
  <c r="AD1993" i="1"/>
  <c r="AE1993" i="1"/>
  <c r="AF1993" i="1"/>
  <c r="AG1993" i="1"/>
  <c r="AH1993" i="1"/>
  <c r="AI1993" i="1"/>
  <c r="AJ1993" i="1"/>
  <c r="AK1993" i="1"/>
  <c r="AL1993" i="1"/>
  <c r="AM1993" i="1"/>
  <c r="A1994" i="1"/>
  <c r="B1994" i="1"/>
  <c r="C1994" i="1"/>
  <c r="D1994" i="1"/>
  <c r="E1994" i="1"/>
  <c r="F1994" i="1"/>
  <c r="G1994" i="1"/>
  <c r="H1994" i="1"/>
  <c r="I1994" i="1"/>
  <c r="J1994" i="1"/>
  <c r="K1994" i="1"/>
  <c r="L1994" i="1"/>
  <c r="M1994" i="1"/>
  <c r="N1994" i="1"/>
  <c r="O1994" i="1"/>
  <c r="P1994" i="1"/>
  <c r="Q1994" i="1"/>
  <c r="R1994" i="1"/>
  <c r="S1994" i="1"/>
  <c r="T1994" i="1"/>
  <c r="U1994" i="1"/>
  <c r="V1994" i="1"/>
  <c r="W1994" i="1"/>
  <c r="X1994" i="1"/>
  <c r="Y1994" i="1"/>
  <c r="Z1994" i="1"/>
  <c r="AA1994" i="1"/>
  <c r="AB1994" i="1"/>
  <c r="AC1994" i="1"/>
  <c r="AD1994" i="1"/>
  <c r="AE1994" i="1"/>
  <c r="AF1994" i="1"/>
  <c r="AG1994" i="1"/>
  <c r="AH1994" i="1"/>
  <c r="AI1994" i="1"/>
  <c r="AJ1994" i="1"/>
  <c r="AK1994" i="1"/>
  <c r="AL1994" i="1"/>
  <c r="AM1994" i="1"/>
  <c r="A1995" i="1"/>
  <c r="B1995" i="1"/>
  <c r="C1995" i="1"/>
  <c r="D1995" i="1"/>
  <c r="E1995" i="1"/>
  <c r="F1995" i="1"/>
  <c r="G1995" i="1"/>
  <c r="H1995" i="1"/>
  <c r="I1995" i="1"/>
  <c r="J1995" i="1"/>
  <c r="K1995" i="1"/>
  <c r="L1995" i="1"/>
  <c r="M1995" i="1"/>
  <c r="N1995" i="1"/>
  <c r="O1995" i="1"/>
  <c r="P1995" i="1"/>
  <c r="Q1995" i="1"/>
  <c r="R1995" i="1"/>
  <c r="S1995" i="1"/>
  <c r="T1995" i="1"/>
  <c r="U1995" i="1"/>
  <c r="V1995" i="1"/>
  <c r="W1995" i="1"/>
  <c r="X1995" i="1"/>
  <c r="Y1995" i="1"/>
  <c r="Z1995" i="1"/>
  <c r="AA1995" i="1"/>
  <c r="AB1995" i="1"/>
  <c r="AC1995" i="1"/>
  <c r="AD1995" i="1"/>
  <c r="AE1995" i="1"/>
  <c r="AF1995" i="1"/>
  <c r="AG1995" i="1"/>
  <c r="AH1995" i="1"/>
  <c r="AI1995" i="1"/>
  <c r="AJ1995" i="1"/>
  <c r="AK1995" i="1"/>
  <c r="AL1995" i="1"/>
  <c r="AM1995" i="1"/>
  <c r="A1996" i="1"/>
  <c r="B1996" i="1"/>
  <c r="C1996" i="1"/>
  <c r="D1996" i="1"/>
  <c r="E1996" i="1"/>
  <c r="F1996" i="1"/>
  <c r="G1996" i="1"/>
  <c r="H1996" i="1"/>
  <c r="I1996" i="1"/>
  <c r="J1996" i="1"/>
  <c r="K1996" i="1"/>
  <c r="L1996" i="1"/>
  <c r="M1996" i="1"/>
  <c r="N1996" i="1"/>
  <c r="O1996" i="1"/>
  <c r="P1996" i="1"/>
  <c r="Q1996" i="1"/>
  <c r="R1996" i="1"/>
  <c r="S1996" i="1"/>
  <c r="T1996" i="1"/>
  <c r="U1996" i="1"/>
  <c r="V1996" i="1"/>
  <c r="W1996" i="1"/>
  <c r="X1996" i="1"/>
  <c r="Y1996" i="1"/>
  <c r="Z1996" i="1"/>
  <c r="AA1996" i="1"/>
  <c r="AB1996" i="1"/>
  <c r="AC1996" i="1"/>
  <c r="AD1996" i="1"/>
  <c r="AE1996" i="1"/>
  <c r="AF1996" i="1"/>
  <c r="AG1996" i="1"/>
  <c r="AH1996" i="1"/>
  <c r="AI1996" i="1"/>
  <c r="AJ1996" i="1"/>
  <c r="AK1996" i="1"/>
  <c r="AL1996" i="1"/>
  <c r="AM1996" i="1"/>
  <c r="A1997" i="1"/>
  <c r="B1997" i="1"/>
  <c r="C1997" i="1"/>
  <c r="D1997" i="1"/>
  <c r="E1997" i="1"/>
  <c r="F1997" i="1"/>
  <c r="G1997" i="1"/>
  <c r="H1997" i="1"/>
  <c r="I1997" i="1"/>
  <c r="J1997" i="1"/>
  <c r="K1997" i="1"/>
  <c r="L1997" i="1"/>
  <c r="M1997" i="1"/>
  <c r="N1997" i="1"/>
  <c r="O1997" i="1"/>
  <c r="P1997" i="1"/>
  <c r="Q1997" i="1"/>
  <c r="R1997" i="1"/>
  <c r="S1997" i="1"/>
  <c r="T1997" i="1"/>
  <c r="U1997" i="1"/>
  <c r="V1997" i="1"/>
  <c r="W1997" i="1"/>
  <c r="X1997" i="1"/>
  <c r="Y1997" i="1"/>
  <c r="Z1997" i="1"/>
  <c r="AA1997" i="1"/>
  <c r="AB1997" i="1"/>
  <c r="AC1997" i="1"/>
  <c r="AD1997" i="1"/>
  <c r="AE1997" i="1"/>
  <c r="AF1997" i="1"/>
  <c r="AG1997" i="1"/>
  <c r="AH1997" i="1"/>
  <c r="AI1997" i="1"/>
  <c r="AJ1997" i="1"/>
  <c r="AK1997" i="1"/>
  <c r="AL1997" i="1"/>
  <c r="AM1997" i="1"/>
  <c r="A1998" i="1"/>
  <c r="B1998" i="1"/>
  <c r="C1998" i="1"/>
  <c r="D1998" i="1"/>
  <c r="E1998" i="1"/>
  <c r="F1998" i="1"/>
  <c r="G1998" i="1"/>
  <c r="H1998" i="1"/>
  <c r="I1998" i="1"/>
  <c r="J1998" i="1"/>
  <c r="K1998" i="1"/>
  <c r="L1998" i="1"/>
  <c r="M1998" i="1"/>
  <c r="N1998" i="1"/>
  <c r="O1998" i="1"/>
  <c r="P1998" i="1"/>
  <c r="Q1998" i="1"/>
  <c r="R1998" i="1"/>
  <c r="S1998" i="1"/>
  <c r="T1998" i="1"/>
  <c r="U1998" i="1"/>
  <c r="V1998" i="1"/>
  <c r="W1998" i="1"/>
  <c r="X1998" i="1"/>
  <c r="Y1998" i="1"/>
  <c r="Z1998" i="1"/>
  <c r="AA1998" i="1"/>
  <c r="AB1998" i="1"/>
  <c r="AC1998" i="1"/>
  <c r="AD1998" i="1"/>
  <c r="AE1998" i="1"/>
  <c r="AF1998" i="1"/>
  <c r="AG1998" i="1"/>
  <c r="AH1998" i="1"/>
  <c r="AI1998" i="1"/>
  <c r="AJ1998" i="1"/>
  <c r="AK1998" i="1"/>
  <c r="AL1998" i="1"/>
  <c r="AM1998" i="1"/>
  <c r="A1999" i="1"/>
  <c r="B1999" i="1"/>
  <c r="C1999" i="1"/>
  <c r="D1999" i="1"/>
  <c r="E1999" i="1"/>
  <c r="F1999" i="1"/>
  <c r="G1999" i="1"/>
  <c r="H1999" i="1"/>
  <c r="I1999" i="1"/>
  <c r="J1999" i="1"/>
  <c r="K1999" i="1"/>
  <c r="L1999" i="1"/>
  <c r="M1999" i="1"/>
  <c r="N1999" i="1"/>
  <c r="O1999" i="1"/>
  <c r="P1999" i="1"/>
  <c r="Q1999" i="1"/>
  <c r="R1999" i="1"/>
  <c r="S1999" i="1"/>
  <c r="T1999" i="1"/>
  <c r="U1999" i="1"/>
  <c r="V1999" i="1"/>
  <c r="W1999" i="1"/>
  <c r="X1999" i="1"/>
  <c r="Y1999" i="1"/>
  <c r="Z1999" i="1"/>
  <c r="AA1999" i="1"/>
  <c r="AB1999" i="1"/>
  <c r="AC1999" i="1"/>
  <c r="AD1999" i="1"/>
  <c r="AE1999" i="1"/>
  <c r="AF1999" i="1"/>
  <c r="AG1999" i="1"/>
  <c r="AH1999" i="1"/>
  <c r="AI1999" i="1"/>
  <c r="AJ1999" i="1"/>
  <c r="AK1999" i="1"/>
  <c r="AL1999" i="1"/>
  <c r="AM1999" i="1"/>
  <c r="A2000" i="1"/>
  <c r="B2000" i="1"/>
  <c r="C2000" i="1"/>
  <c r="D2000" i="1"/>
  <c r="E2000" i="1"/>
  <c r="F2000" i="1"/>
  <c r="G2000" i="1"/>
  <c r="H2000" i="1"/>
  <c r="I2000" i="1"/>
  <c r="J2000" i="1"/>
  <c r="K2000" i="1"/>
  <c r="L2000" i="1"/>
  <c r="M2000" i="1"/>
  <c r="N2000" i="1"/>
  <c r="O2000" i="1"/>
  <c r="P2000" i="1"/>
  <c r="Q2000" i="1"/>
  <c r="R2000" i="1"/>
  <c r="S2000" i="1"/>
  <c r="T2000" i="1"/>
  <c r="U2000" i="1"/>
  <c r="V2000" i="1"/>
  <c r="W2000" i="1"/>
  <c r="X2000" i="1"/>
  <c r="Y2000" i="1"/>
  <c r="Z2000" i="1"/>
  <c r="AA2000" i="1"/>
  <c r="AB2000" i="1"/>
  <c r="AC2000" i="1"/>
  <c r="AD2000" i="1"/>
  <c r="AE2000" i="1"/>
  <c r="AF2000" i="1"/>
  <c r="AG2000" i="1"/>
  <c r="AH2000" i="1"/>
  <c r="AI2000" i="1"/>
  <c r="AJ2000" i="1"/>
  <c r="AK2000" i="1"/>
  <c r="AL2000" i="1"/>
  <c r="AM2000" i="1"/>
  <c r="A2001" i="1"/>
  <c r="B2001" i="1"/>
  <c r="C2001" i="1"/>
  <c r="D2001" i="1"/>
  <c r="E2001" i="1"/>
  <c r="F2001" i="1"/>
  <c r="G2001" i="1"/>
  <c r="H2001" i="1"/>
  <c r="I2001" i="1"/>
  <c r="J2001" i="1"/>
  <c r="K2001" i="1"/>
  <c r="L2001" i="1"/>
  <c r="M2001" i="1"/>
  <c r="N2001" i="1"/>
  <c r="O2001" i="1"/>
  <c r="P2001" i="1"/>
  <c r="Q2001" i="1"/>
  <c r="R2001" i="1"/>
  <c r="S2001" i="1"/>
  <c r="T2001" i="1"/>
  <c r="U2001" i="1"/>
  <c r="V2001" i="1"/>
  <c r="W2001" i="1"/>
  <c r="X2001" i="1"/>
  <c r="Y2001" i="1"/>
  <c r="Z2001" i="1"/>
  <c r="AA2001" i="1"/>
  <c r="AB2001" i="1"/>
  <c r="AC2001" i="1"/>
  <c r="AD2001" i="1"/>
  <c r="AE2001" i="1"/>
  <c r="AF2001" i="1"/>
  <c r="AG2001" i="1"/>
  <c r="AH2001" i="1"/>
  <c r="AI2001" i="1"/>
  <c r="AJ2001" i="1"/>
  <c r="AK2001" i="1"/>
  <c r="AL2001" i="1"/>
  <c r="AM2001" i="1"/>
  <c r="A2002" i="1"/>
  <c r="B2002" i="1"/>
  <c r="C2002" i="1"/>
  <c r="D2002" i="1"/>
  <c r="E2002" i="1"/>
  <c r="F2002" i="1"/>
  <c r="G2002" i="1"/>
  <c r="H2002" i="1"/>
  <c r="I2002" i="1"/>
  <c r="J2002" i="1"/>
  <c r="K2002" i="1"/>
  <c r="L2002" i="1"/>
  <c r="M2002" i="1"/>
  <c r="N2002" i="1"/>
  <c r="O2002" i="1"/>
  <c r="P2002" i="1"/>
  <c r="Q2002" i="1"/>
  <c r="R2002" i="1"/>
  <c r="S2002" i="1"/>
  <c r="T2002" i="1"/>
  <c r="U2002" i="1"/>
  <c r="V2002" i="1"/>
  <c r="W2002" i="1"/>
  <c r="X2002" i="1"/>
  <c r="Y2002" i="1"/>
  <c r="Z2002" i="1"/>
  <c r="AA2002" i="1"/>
  <c r="AB2002" i="1"/>
  <c r="AC2002" i="1"/>
  <c r="AD2002" i="1"/>
  <c r="AE2002" i="1"/>
  <c r="AF2002" i="1"/>
  <c r="AG2002" i="1"/>
  <c r="AH2002" i="1"/>
  <c r="AI2002" i="1"/>
  <c r="AJ2002" i="1"/>
  <c r="AK2002" i="1"/>
  <c r="AL2002" i="1"/>
  <c r="AM2002" i="1"/>
  <c r="A2003" i="1"/>
  <c r="B2003" i="1"/>
  <c r="C2003" i="1"/>
  <c r="D2003" i="1"/>
  <c r="E2003" i="1"/>
  <c r="F2003" i="1"/>
  <c r="G2003" i="1"/>
  <c r="H2003" i="1"/>
  <c r="I2003" i="1"/>
  <c r="J2003" i="1"/>
  <c r="K2003" i="1"/>
  <c r="L2003" i="1"/>
  <c r="M2003" i="1"/>
  <c r="N2003" i="1"/>
  <c r="O2003" i="1"/>
  <c r="P2003" i="1"/>
  <c r="Q2003" i="1"/>
  <c r="R2003" i="1"/>
  <c r="S2003" i="1"/>
  <c r="T2003" i="1"/>
  <c r="U2003" i="1"/>
  <c r="V2003" i="1"/>
  <c r="W2003" i="1"/>
  <c r="X2003" i="1"/>
  <c r="Y2003" i="1"/>
  <c r="Z2003" i="1"/>
  <c r="AA2003" i="1"/>
  <c r="AB2003" i="1"/>
  <c r="AC2003" i="1"/>
  <c r="AD2003" i="1"/>
  <c r="AE2003" i="1"/>
  <c r="AF2003" i="1"/>
  <c r="AG2003" i="1"/>
  <c r="AH2003" i="1"/>
  <c r="AI2003" i="1"/>
  <c r="AJ2003" i="1"/>
  <c r="AK2003" i="1"/>
  <c r="AL2003" i="1"/>
  <c r="AM2003" i="1"/>
  <c r="A2004" i="1"/>
  <c r="B2004" i="1"/>
  <c r="C2004" i="1"/>
  <c r="D2004" i="1"/>
  <c r="E2004" i="1"/>
  <c r="F2004" i="1"/>
  <c r="G2004" i="1"/>
  <c r="H2004" i="1"/>
  <c r="I2004" i="1"/>
  <c r="J2004" i="1"/>
  <c r="K2004" i="1"/>
  <c r="L2004" i="1"/>
  <c r="M2004" i="1"/>
  <c r="N2004" i="1"/>
  <c r="O2004" i="1"/>
  <c r="P2004" i="1"/>
  <c r="Q2004" i="1"/>
  <c r="R2004" i="1"/>
  <c r="S2004" i="1"/>
  <c r="T2004" i="1"/>
  <c r="U2004" i="1"/>
  <c r="V2004" i="1"/>
  <c r="W2004" i="1"/>
  <c r="X2004" i="1"/>
  <c r="Y2004" i="1"/>
  <c r="Z2004" i="1"/>
  <c r="AA2004" i="1"/>
  <c r="AB2004" i="1"/>
  <c r="AC2004" i="1"/>
  <c r="AD2004" i="1"/>
  <c r="AE2004" i="1"/>
  <c r="AF2004" i="1"/>
  <c r="AG2004" i="1"/>
  <c r="AH2004" i="1"/>
  <c r="AI2004" i="1"/>
  <c r="AJ2004" i="1"/>
  <c r="AK2004" i="1"/>
  <c r="AL2004" i="1"/>
  <c r="AM2004" i="1"/>
  <c r="A2005" i="1"/>
  <c r="B2005" i="1"/>
  <c r="C2005" i="1"/>
  <c r="D2005" i="1"/>
  <c r="E2005" i="1"/>
  <c r="F2005" i="1"/>
  <c r="G2005" i="1"/>
  <c r="H2005" i="1"/>
  <c r="I2005" i="1"/>
  <c r="J2005" i="1"/>
  <c r="K2005" i="1"/>
  <c r="L2005" i="1"/>
  <c r="M2005" i="1"/>
  <c r="N2005" i="1"/>
  <c r="O2005" i="1"/>
  <c r="P2005" i="1"/>
  <c r="Q2005" i="1"/>
  <c r="R2005" i="1"/>
  <c r="S2005" i="1"/>
  <c r="T2005" i="1"/>
  <c r="U2005" i="1"/>
  <c r="V2005" i="1"/>
  <c r="W2005" i="1"/>
  <c r="X2005" i="1"/>
  <c r="Y2005" i="1"/>
  <c r="Z2005" i="1"/>
  <c r="AA2005" i="1"/>
  <c r="AB2005" i="1"/>
  <c r="AC2005" i="1"/>
  <c r="AD2005" i="1"/>
  <c r="AE2005" i="1"/>
  <c r="AF2005" i="1"/>
  <c r="AG2005" i="1"/>
  <c r="AH2005" i="1"/>
  <c r="AI2005" i="1"/>
  <c r="AJ2005" i="1"/>
  <c r="AK2005" i="1"/>
  <c r="AL2005" i="1"/>
  <c r="AM2005" i="1"/>
  <c r="A2006" i="1"/>
  <c r="B2006" i="1"/>
  <c r="C2006" i="1"/>
  <c r="D2006" i="1"/>
  <c r="E2006" i="1"/>
  <c r="F2006" i="1"/>
  <c r="G2006" i="1"/>
  <c r="H2006" i="1"/>
  <c r="I2006" i="1"/>
  <c r="J2006" i="1"/>
  <c r="K2006" i="1"/>
  <c r="L2006" i="1"/>
  <c r="M2006" i="1"/>
  <c r="N2006" i="1"/>
  <c r="O2006" i="1"/>
  <c r="P2006" i="1"/>
  <c r="Q2006" i="1"/>
  <c r="R2006" i="1"/>
  <c r="S2006" i="1"/>
  <c r="T2006" i="1"/>
  <c r="U2006" i="1"/>
  <c r="V2006" i="1"/>
  <c r="W2006" i="1"/>
  <c r="X2006" i="1"/>
  <c r="Y2006" i="1"/>
  <c r="Z2006" i="1"/>
  <c r="AA2006" i="1"/>
  <c r="AB2006" i="1"/>
  <c r="AC2006" i="1"/>
  <c r="AD2006" i="1"/>
  <c r="AE2006" i="1"/>
  <c r="AF2006" i="1"/>
  <c r="AG2006" i="1"/>
  <c r="AH2006" i="1"/>
  <c r="AI2006" i="1"/>
  <c r="AJ2006" i="1"/>
  <c r="AK2006" i="1"/>
  <c r="AL2006" i="1"/>
  <c r="AM2006" i="1"/>
  <c r="A2007" i="1"/>
  <c r="B2007" i="1"/>
  <c r="C2007" i="1"/>
  <c r="D2007" i="1"/>
  <c r="E2007" i="1"/>
  <c r="F2007" i="1"/>
  <c r="G2007" i="1"/>
  <c r="H2007" i="1"/>
  <c r="I2007" i="1"/>
  <c r="J2007" i="1"/>
  <c r="K2007" i="1"/>
  <c r="L2007" i="1"/>
  <c r="M2007" i="1"/>
  <c r="N2007" i="1"/>
  <c r="O2007" i="1"/>
  <c r="P2007" i="1"/>
  <c r="Q2007" i="1"/>
  <c r="R2007" i="1"/>
  <c r="S2007" i="1"/>
  <c r="T2007" i="1"/>
  <c r="U2007" i="1"/>
  <c r="V2007" i="1"/>
  <c r="W2007" i="1"/>
  <c r="X2007" i="1"/>
  <c r="Y2007" i="1"/>
  <c r="Z2007" i="1"/>
  <c r="AA2007" i="1"/>
  <c r="AB2007" i="1"/>
  <c r="AC2007" i="1"/>
  <c r="AD2007" i="1"/>
  <c r="AE2007" i="1"/>
  <c r="AF2007" i="1"/>
  <c r="AG2007" i="1"/>
  <c r="AH2007" i="1"/>
  <c r="AI2007" i="1"/>
  <c r="AJ2007" i="1"/>
  <c r="AK2007" i="1"/>
  <c r="AL2007" i="1"/>
  <c r="AM2007" i="1"/>
  <c r="A2008" i="1"/>
  <c r="B2008" i="1"/>
  <c r="C2008" i="1"/>
  <c r="D2008" i="1"/>
  <c r="E2008" i="1"/>
  <c r="F2008" i="1"/>
  <c r="G2008" i="1"/>
  <c r="H2008" i="1"/>
  <c r="I2008" i="1"/>
  <c r="J2008" i="1"/>
  <c r="K2008" i="1"/>
  <c r="L2008" i="1"/>
  <c r="M2008" i="1"/>
  <c r="N2008" i="1"/>
  <c r="O2008" i="1"/>
  <c r="P2008" i="1"/>
  <c r="Q2008" i="1"/>
  <c r="R2008" i="1"/>
  <c r="S2008" i="1"/>
  <c r="T2008" i="1"/>
  <c r="U2008" i="1"/>
  <c r="V2008" i="1"/>
  <c r="W2008" i="1"/>
  <c r="X2008" i="1"/>
  <c r="Y2008" i="1"/>
  <c r="Z2008" i="1"/>
  <c r="AA2008" i="1"/>
  <c r="AB2008" i="1"/>
  <c r="AC2008" i="1"/>
  <c r="AD2008" i="1"/>
  <c r="AE2008" i="1"/>
  <c r="AF2008" i="1"/>
  <c r="AG2008" i="1"/>
  <c r="AH2008" i="1"/>
  <c r="AI2008" i="1"/>
  <c r="AJ2008" i="1"/>
  <c r="AK2008" i="1"/>
  <c r="AL2008" i="1"/>
  <c r="AM2008" i="1"/>
  <c r="A2009" i="1"/>
  <c r="B2009" i="1"/>
  <c r="C2009" i="1"/>
  <c r="D2009" i="1"/>
  <c r="E2009" i="1"/>
  <c r="F2009" i="1"/>
  <c r="G2009" i="1"/>
  <c r="H2009" i="1"/>
  <c r="I2009" i="1"/>
  <c r="J2009" i="1"/>
  <c r="K2009" i="1"/>
  <c r="L2009" i="1"/>
  <c r="M2009" i="1"/>
  <c r="N2009" i="1"/>
  <c r="O2009" i="1"/>
  <c r="P2009" i="1"/>
  <c r="Q2009" i="1"/>
  <c r="R2009" i="1"/>
  <c r="S2009" i="1"/>
  <c r="T2009" i="1"/>
  <c r="U2009" i="1"/>
  <c r="V2009" i="1"/>
  <c r="W2009" i="1"/>
  <c r="X2009" i="1"/>
  <c r="Y2009" i="1"/>
  <c r="Z2009" i="1"/>
  <c r="AA2009" i="1"/>
  <c r="AB2009" i="1"/>
  <c r="AC2009" i="1"/>
  <c r="AD2009" i="1"/>
  <c r="AE2009" i="1"/>
  <c r="AF2009" i="1"/>
  <c r="AG2009" i="1"/>
  <c r="AH2009" i="1"/>
  <c r="AI2009" i="1"/>
  <c r="AJ2009" i="1"/>
  <c r="AK2009" i="1"/>
  <c r="AL2009" i="1"/>
  <c r="AM2009" i="1"/>
  <c r="A2010" i="1"/>
  <c r="B2010" i="1"/>
  <c r="C2010" i="1"/>
  <c r="D2010" i="1"/>
  <c r="E2010" i="1"/>
  <c r="F2010" i="1"/>
  <c r="G2010" i="1"/>
  <c r="H2010" i="1"/>
  <c r="I2010" i="1"/>
  <c r="J2010" i="1"/>
  <c r="K2010" i="1"/>
  <c r="L2010" i="1"/>
  <c r="M2010" i="1"/>
  <c r="N2010" i="1"/>
  <c r="O2010" i="1"/>
  <c r="P2010" i="1"/>
  <c r="Q2010" i="1"/>
  <c r="R2010" i="1"/>
  <c r="S2010" i="1"/>
  <c r="T2010" i="1"/>
  <c r="U2010" i="1"/>
  <c r="V2010" i="1"/>
  <c r="W2010" i="1"/>
  <c r="X2010" i="1"/>
  <c r="Y2010" i="1"/>
  <c r="Z2010" i="1"/>
  <c r="AA2010" i="1"/>
  <c r="AB2010" i="1"/>
  <c r="AC2010" i="1"/>
  <c r="AD2010" i="1"/>
  <c r="AE2010" i="1"/>
  <c r="AF2010" i="1"/>
  <c r="AG2010" i="1"/>
  <c r="AH2010" i="1"/>
  <c r="AI2010" i="1"/>
  <c r="AJ2010" i="1"/>
  <c r="AK2010" i="1"/>
  <c r="AL2010" i="1"/>
  <c r="AM2010" i="1"/>
  <c r="A2011" i="1"/>
  <c r="B2011" i="1"/>
  <c r="C2011" i="1"/>
  <c r="D2011" i="1"/>
  <c r="E2011" i="1"/>
  <c r="F2011" i="1"/>
  <c r="G2011" i="1"/>
  <c r="H2011" i="1"/>
  <c r="I2011" i="1"/>
  <c r="J2011" i="1"/>
  <c r="K2011" i="1"/>
  <c r="L2011" i="1"/>
  <c r="M2011" i="1"/>
  <c r="N2011" i="1"/>
  <c r="O2011" i="1"/>
  <c r="P2011" i="1"/>
  <c r="Q2011" i="1"/>
  <c r="R2011" i="1"/>
  <c r="S2011" i="1"/>
  <c r="T2011" i="1"/>
  <c r="U2011" i="1"/>
  <c r="V2011" i="1"/>
  <c r="W2011" i="1"/>
  <c r="X2011" i="1"/>
  <c r="Y2011" i="1"/>
  <c r="Z2011" i="1"/>
  <c r="AA2011" i="1"/>
  <c r="AB2011" i="1"/>
  <c r="AC2011" i="1"/>
  <c r="AD2011" i="1"/>
  <c r="AE2011" i="1"/>
  <c r="AF2011" i="1"/>
  <c r="AG2011" i="1"/>
  <c r="AH2011" i="1"/>
  <c r="AI2011" i="1"/>
  <c r="AJ2011" i="1"/>
  <c r="AK2011" i="1"/>
  <c r="AL2011" i="1"/>
  <c r="AM2011" i="1"/>
  <c r="A2012" i="1"/>
  <c r="B2012" i="1"/>
  <c r="C2012" i="1"/>
  <c r="D2012" i="1"/>
  <c r="E2012" i="1"/>
  <c r="F2012" i="1"/>
  <c r="G2012" i="1"/>
  <c r="H2012" i="1"/>
  <c r="I2012" i="1"/>
  <c r="J2012" i="1"/>
  <c r="K2012" i="1"/>
  <c r="L2012" i="1"/>
  <c r="M2012" i="1"/>
  <c r="N2012" i="1"/>
  <c r="O2012" i="1"/>
  <c r="P2012" i="1"/>
  <c r="Q2012" i="1"/>
  <c r="R2012" i="1"/>
  <c r="S2012" i="1"/>
  <c r="T2012" i="1"/>
  <c r="U2012" i="1"/>
  <c r="V2012" i="1"/>
  <c r="W2012" i="1"/>
  <c r="X2012" i="1"/>
  <c r="Y2012" i="1"/>
  <c r="Z2012" i="1"/>
  <c r="AA2012" i="1"/>
  <c r="AB2012" i="1"/>
  <c r="AC2012" i="1"/>
  <c r="AD2012" i="1"/>
  <c r="AE2012" i="1"/>
  <c r="AF2012" i="1"/>
  <c r="AG2012" i="1"/>
  <c r="AH2012" i="1"/>
  <c r="AI2012" i="1"/>
  <c r="AJ2012" i="1"/>
  <c r="AK2012" i="1"/>
  <c r="AL2012" i="1"/>
  <c r="AM2012" i="1"/>
  <c r="A2013" i="1"/>
  <c r="B2013" i="1"/>
  <c r="C2013" i="1"/>
  <c r="D2013" i="1"/>
  <c r="E2013" i="1"/>
  <c r="F2013" i="1"/>
  <c r="G2013" i="1"/>
  <c r="H2013" i="1"/>
  <c r="I2013" i="1"/>
  <c r="J2013" i="1"/>
  <c r="K2013" i="1"/>
  <c r="L2013" i="1"/>
  <c r="M2013" i="1"/>
  <c r="N2013" i="1"/>
  <c r="O2013" i="1"/>
  <c r="P2013" i="1"/>
  <c r="Q2013" i="1"/>
  <c r="R2013" i="1"/>
  <c r="S2013" i="1"/>
  <c r="T2013" i="1"/>
  <c r="U2013" i="1"/>
  <c r="V2013" i="1"/>
  <c r="W2013" i="1"/>
  <c r="X2013" i="1"/>
  <c r="Y2013" i="1"/>
  <c r="Z2013" i="1"/>
  <c r="AA2013" i="1"/>
  <c r="AB2013" i="1"/>
  <c r="AC2013" i="1"/>
  <c r="AD2013" i="1"/>
  <c r="AE2013" i="1"/>
  <c r="AF2013" i="1"/>
  <c r="AG2013" i="1"/>
  <c r="AH2013" i="1"/>
  <c r="AI2013" i="1"/>
  <c r="AJ2013" i="1"/>
  <c r="AK2013" i="1"/>
  <c r="AL2013" i="1"/>
  <c r="AM2013" i="1"/>
  <c r="A2014" i="1"/>
  <c r="B2014" i="1"/>
  <c r="C2014" i="1"/>
  <c r="D2014" i="1"/>
  <c r="E2014" i="1"/>
  <c r="F2014" i="1"/>
  <c r="G2014" i="1"/>
  <c r="H2014" i="1"/>
  <c r="I2014" i="1"/>
  <c r="J2014" i="1"/>
  <c r="K2014" i="1"/>
  <c r="L2014" i="1"/>
  <c r="M2014" i="1"/>
  <c r="N2014" i="1"/>
  <c r="O2014" i="1"/>
  <c r="P2014" i="1"/>
  <c r="Q2014" i="1"/>
  <c r="R2014" i="1"/>
  <c r="S2014" i="1"/>
  <c r="T2014" i="1"/>
  <c r="U2014" i="1"/>
  <c r="V2014" i="1"/>
  <c r="W2014" i="1"/>
  <c r="X2014" i="1"/>
  <c r="Y2014" i="1"/>
  <c r="Z2014" i="1"/>
  <c r="AA2014" i="1"/>
  <c r="AB2014" i="1"/>
  <c r="AC2014" i="1"/>
  <c r="AD2014" i="1"/>
  <c r="AE2014" i="1"/>
  <c r="AF2014" i="1"/>
  <c r="AG2014" i="1"/>
  <c r="AH2014" i="1"/>
  <c r="AI2014" i="1"/>
  <c r="AJ2014" i="1"/>
  <c r="AK2014" i="1"/>
  <c r="AL2014" i="1"/>
  <c r="AM2014" i="1"/>
  <c r="A2015" i="1"/>
  <c r="B2015" i="1"/>
  <c r="C2015" i="1"/>
  <c r="D2015" i="1"/>
  <c r="E2015" i="1"/>
  <c r="F2015" i="1"/>
  <c r="G2015" i="1"/>
  <c r="H2015" i="1"/>
  <c r="I2015" i="1"/>
  <c r="J2015" i="1"/>
  <c r="K2015" i="1"/>
  <c r="L2015" i="1"/>
  <c r="M2015" i="1"/>
  <c r="N2015" i="1"/>
  <c r="O2015" i="1"/>
  <c r="P2015" i="1"/>
  <c r="Q2015" i="1"/>
  <c r="R2015" i="1"/>
  <c r="S2015" i="1"/>
  <c r="T2015" i="1"/>
  <c r="U2015" i="1"/>
  <c r="V2015" i="1"/>
  <c r="W2015" i="1"/>
  <c r="X2015" i="1"/>
  <c r="Y2015" i="1"/>
  <c r="Z2015" i="1"/>
  <c r="AA2015" i="1"/>
  <c r="AB2015" i="1"/>
  <c r="AC2015" i="1"/>
  <c r="AD2015" i="1"/>
  <c r="AE2015" i="1"/>
  <c r="AF2015" i="1"/>
  <c r="AG2015" i="1"/>
  <c r="AH2015" i="1"/>
  <c r="AI2015" i="1"/>
  <c r="AJ2015" i="1"/>
  <c r="AK2015" i="1"/>
  <c r="AL2015" i="1"/>
  <c r="AM2015" i="1"/>
  <c r="A2016" i="1"/>
  <c r="B2016" i="1"/>
  <c r="C2016" i="1"/>
  <c r="D2016" i="1"/>
  <c r="E2016" i="1"/>
  <c r="F2016" i="1"/>
  <c r="G2016" i="1"/>
  <c r="H2016" i="1"/>
  <c r="I2016" i="1"/>
  <c r="J2016" i="1"/>
  <c r="K2016" i="1"/>
  <c r="L2016" i="1"/>
  <c r="M2016" i="1"/>
  <c r="N2016" i="1"/>
  <c r="O2016" i="1"/>
  <c r="P2016" i="1"/>
  <c r="Q2016" i="1"/>
  <c r="R2016" i="1"/>
  <c r="S2016" i="1"/>
  <c r="T2016" i="1"/>
  <c r="U2016" i="1"/>
  <c r="V2016" i="1"/>
  <c r="W2016" i="1"/>
  <c r="X2016" i="1"/>
  <c r="Y2016" i="1"/>
  <c r="Z2016" i="1"/>
  <c r="AA2016" i="1"/>
  <c r="AB2016" i="1"/>
  <c r="AC2016" i="1"/>
  <c r="AD2016" i="1"/>
  <c r="AE2016" i="1"/>
  <c r="AF2016" i="1"/>
  <c r="AG2016" i="1"/>
  <c r="AH2016" i="1"/>
  <c r="AI2016" i="1"/>
  <c r="AJ2016" i="1"/>
  <c r="AK2016" i="1"/>
  <c r="AL2016" i="1"/>
  <c r="AM2016" i="1"/>
  <c r="A2017" i="1"/>
  <c r="B2017" i="1"/>
  <c r="C2017" i="1"/>
  <c r="D2017" i="1"/>
  <c r="E2017" i="1"/>
  <c r="F2017" i="1"/>
  <c r="G2017" i="1"/>
  <c r="H2017" i="1"/>
  <c r="I2017" i="1"/>
  <c r="J2017" i="1"/>
  <c r="K2017" i="1"/>
  <c r="L2017" i="1"/>
  <c r="M2017" i="1"/>
  <c r="N2017" i="1"/>
  <c r="O2017" i="1"/>
  <c r="P2017" i="1"/>
  <c r="Q2017" i="1"/>
  <c r="R2017" i="1"/>
  <c r="S2017" i="1"/>
  <c r="T2017" i="1"/>
  <c r="U2017" i="1"/>
  <c r="V2017" i="1"/>
  <c r="W2017" i="1"/>
  <c r="X2017" i="1"/>
  <c r="Y2017" i="1"/>
  <c r="Z2017" i="1"/>
  <c r="AA2017" i="1"/>
  <c r="AB2017" i="1"/>
  <c r="AC2017" i="1"/>
  <c r="AD2017" i="1"/>
  <c r="AE2017" i="1"/>
  <c r="AF2017" i="1"/>
  <c r="AG2017" i="1"/>
  <c r="AH2017" i="1"/>
  <c r="AI2017" i="1"/>
  <c r="AJ2017" i="1"/>
  <c r="AK2017" i="1"/>
  <c r="AL2017" i="1"/>
  <c r="AM2017" i="1"/>
  <c r="A2018" i="1"/>
  <c r="B2018" i="1"/>
  <c r="C2018" i="1"/>
  <c r="D2018" i="1"/>
  <c r="E2018" i="1"/>
  <c r="F2018" i="1"/>
  <c r="G2018" i="1"/>
  <c r="H2018" i="1"/>
  <c r="I2018" i="1"/>
  <c r="J2018" i="1"/>
  <c r="K2018" i="1"/>
  <c r="L2018" i="1"/>
  <c r="M2018" i="1"/>
  <c r="N2018" i="1"/>
  <c r="O2018" i="1"/>
  <c r="P2018" i="1"/>
  <c r="Q2018" i="1"/>
  <c r="R2018" i="1"/>
  <c r="S2018" i="1"/>
  <c r="T2018" i="1"/>
  <c r="U2018" i="1"/>
  <c r="V2018" i="1"/>
  <c r="W2018" i="1"/>
  <c r="X2018" i="1"/>
  <c r="Y2018" i="1"/>
  <c r="Z2018" i="1"/>
  <c r="AA2018" i="1"/>
  <c r="AB2018" i="1"/>
  <c r="AC2018" i="1"/>
  <c r="AD2018" i="1"/>
  <c r="AE2018" i="1"/>
  <c r="AF2018" i="1"/>
  <c r="AG2018" i="1"/>
  <c r="AH2018" i="1"/>
  <c r="AI2018" i="1"/>
  <c r="AJ2018" i="1"/>
  <c r="AK2018" i="1"/>
  <c r="AL2018" i="1"/>
  <c r="AM2018" i="1"/>
  <c r="A2019" i="1"/>
  <c r="B2019" i="1"/>
  <c r="C2019" i="1"/>
  <c r="D2019" i="1"/>
  <c r="E2019" i="1"/>
  <c r="F2019" i="1"/>
  <c r="G2019" i="1"/>
  <c r="H2019" i="1"/>
  <c r="I2019" i="1"/>
  <c r="J2019" i="1"/>
  <c r="K2019" i="1"/>
  <c r="L2019" i="1"/>
  <c r="M2019" i="1"/>
  <c r="N2019" i="1"/>
  <c r="O2019" i="1"/>
  <c r="P2019" i="1"/>
  <c r="Q2019" i="1"/>
  <c r="R2019" i="1"/>
  <c r="S2019" i="1"/>
  <c r="T2019" i="1"/>
  <c r="U2019" i="1"/>
  <c r="V2019" i="1"/>
  <c r="W2019" i="1"/>
  <c r="X2019" i="1"/>
  <c r="Y2019" i="1"/>
  <c r="Z2019" i="1"/>
  <c r="AA2019" i="1"/>
  <c r="AB2019" i="1"/>
  <c r="AC2019" i="1"/>
  <c r="AD2019" i="1"/>
  <c r="AE2019" i="1"/>
  <c r="AF2019" i="1"/>
  <c r="AG2019" i="1"/>
  <c r="AH2019" i="1"/>
  <c r="AI2019" i="1"/>
  <c r="AJ2019" i="1"/>
  <c r="AK2019" i="1"/>
  <c r="AL2019" i="1"/>
  <c r="AM2019" i="1"/>
  <c r="A2020" i="1"/>
  <c r="B2020" i="1"/>
  <c r="C2020" i="1"/>
  <c r="D2020" i="1"/>
  <c r="E2020" i="1"/>
  <c r="F2020" i="1"/>
  <c r="G2020" i="1"/>
  <c r="H2020" i="1"/>
  <c r="I2020" i="1"/>
  <c r="J2020" i="1"/>
  <c r="K2020" i="1"/>
  <c r="L2020" i="1"/>
  <c r="M2020" i="1"/>
  <c r="N2020" i="1"/>
  <c r="O2020" i="1"/>
  <c r="P2020" i="1"/>
  <c r="Q2020" i="1"/>
  <c r="R2020" i="1"/>
  <c r="S2020" i="1"/>
  <c r="T2020" i="1"/>
  <c r="U2020" i="1"/>
  <c r="V2020" i="1"/>
  <c r="W2020" i="1"/>
  <c r="X2020" i="1"/>
  <c r="Y2020" i="1"/>
  <c r="Z2020" i="1"/>
  <c r="AA2020" i="1"/>
  <c r="AB2020" i="1"/>
  <c r="AC2020" i="1"/>
  <c r="AD2020" i="1"/>
  <c r="AE2020" i="1"/>
  <c r="AF2020" i="1"/>
  <c r="AG2020" i="1"/>
  <c r="AH2020" i="1"/>
  <c r="AI2020" i="1"/>
  <c r="AJ2020" i="1"/>
  <c r="AK2020" i="1"/>
  <c r="AL2020" i="1"/>
  <c r="AM2020" i="1"/>
  <c r="A2021" i="1"/>
  <c r="B2021" i="1"/>
  <c r="C2021" i="1"/>
  <c r="D2021" i="1"/>
  <c r="E2021" i="1"/>
  <c r="F2021" i="1"/>
  <c r="G2021" i="1"/>
  <c r="H2021" i="1"/>
  <c r="I2021" i="1"/>
  <c r="J2021" i="1"/>
  <c r="K2021" i="1"/>
  <c r="L2021" i="1"/>
  <c r="M2021" i="1"/>
  <c r="N2021" i="1"/>
  <c r="O2021" i="1"/>
  <c r="P2021" i="1"/>
  <c r="Q2021" i="1"/>
  <c r="R2021" i="1"/>
  <c r="S2021" i="1"/>
  <c r="T2021" i="1"/>
  <c r="U2021" i="1"/>
  <c r="V2021" i="1"/>
  <c r="W2021" i="1"/>
  <c r="X2021" i="1"/>
  <c r="Y2021" i="1"/>
  <c r="Z2021" i="1"/>
  <c r="AA2021" i="1"/>
  <c r="AB2021" i="1"/>
  <c r="AC2021" i="1"/>
  <c r="AD2021" i="1"/>
  <c r="AE2021" i="1"/>
  <c r="AF2021" i="1"/>
  <c r="AG2021" i="1"/>
  <c r="AH2021" i="1"/>
  <c r="AI2021" i="1"/>
  <c r="AJ2021" i="1"/>
  <c r="AK2021" i="1"/>
  <c r="AL2021" i="1"/>
  <c r="AM2021" i="1"/>
  <c r="A2022" i="1"/>
  <c r="B2022" i="1"/>
  <c r="C2022" i="1"/>
  <c r="D2022" i="1"/>
  <c r="E2022" i="1"/>
  <c r="F2022" i="1"/>
  <c r="G2022" i="1"/>
  <c r="H2022" i="1"/>
  <c r="I2022" i="1"/>
  <c r="J2022" i="1"/>
  <c r="K2022" i="1"/>
  <c r="L2022" i="1"/>
  <c r="M2022" i="1"/>
  <c r="N2022" i="1"/>
  <c r="O2022" i="1"/>
  <c r="P2022" i="1"/>
  <c r="Q2022" i="1"/>
  <c r="R2022" i="1"/>
  <c r="S2022" i="1"/>
  <c r="T2022" i="1"/>
  <c r="U2022" i="1"/>
  <c r="V2022" i="1"/>
  <c r="W2022" i="1"/>
  <c r="X2022" i="1"/>
  <c r="Y2022" i="1"/>
  <c r="Z2022" i="1"/>
  <c r="AA2022" i="1"/>
  <c r="AB2022" i="1"/>
  <c r="AC2022" i="1"/>
  <c r="AD2022" i="1"/>
  <c r="AE2022" i="1"/>
  <c r="AF2022" i="1"/>
  <c r="AG2022" i="1"/>
  <c r="AH2022" i="1"/>
  <c r="AI2022" i="1"/>
  <c r="AJ2022" i="1"/>
  <c r="AK2022" i="1"/>
  <c r="AL2022" i="1"/>
  <c r="AM2022" i="1"/>
  <c r="A2023" i="1"/>
  <c r="B2023" i="1"/>
  <c r="C2023" i="1"/>
  <c r="D2023" i="1"/>
  <c r="E2023" i="1"/>
  <c r="F2023" i="1"/>
  <c r="G2023" i="1"/>
  <c r="H2023" i="1"/>
  <c r="I2023" i="1"/>
  <c r="J2023" i="1"/>
  <c r="K2023" i="1"/>
  <c r="L2023" i="1"/>
  <c r="M2023" i="1"/>
  <c r="N2023" i="1"/>
  <c r="O2023" i="1"/>
  <c r="P2023" i="1"/>
  <c r="Q2023" i="1"/>
  <c r="R2023" i="1"/>
  <c r="S2023" i="1"/>
  <c r="T2023" i="1"/>
  <c r="U2023" i="1"/>
  <c r="V2023" i="1"/>
  <c r="W2023" i="1"/>
  <c r="X2023" i="1"/>
  <c r="Y2023" i="1"/>
  <c r="Z2023" i="1"/>
  <c r="AA2023" i="1"/>
  <c r="AB2023" i="1"/>
  <c r="AC2023" i="1"/>
  <c r="AD2023" i="1"/>
  <c r="AE2023" i="1"/>
  <c r="AF2023" i="1"/>
  <c r="AG2023" i="1"/>
  <c r="AH2023" i="1"/>
  <c r="AI2023" i="1"/>
  <c r="AJ2023" i="1"/>
  <c r="AK2023" i="1"/>
  <c r="AL2023" i="1"/>
  <c r="AM2023" i="1"/>
  <c r="A2024" i="1"/>
  <c r="B2024" i="1"/>
  <c r="C2024" i="1"/>
  <c r="D2024" i="1"/>
  <c r="E2024" i="1"/>
  <c r="F2024" i="1"/>
  <c r="G2024" i="1"/>
  <c r="H2024" i="1"/>
  <c r="I2024" i="1"/>
  <c r="J2024" i="1"/>
  <c r="K2024" i="1"/>
  <c r="L2024" i="1"/>
  <c r="M2024" i="1"/>
  <c r="N2024" i="1"/>
  <c r="O2024" i="1"/>
  <c r="P2024" i="1"/>
  <c r="Q2024" i="1"/>
  <c r="R2024" i="1"/>
  <c r="S2024" i="1"/>
  <c r="T2024" i="1"/>
  <c r="U2024" i="1"/>
  <c r="V2024" i="1"/>
  <c r="W2024" i="1"/>
  <c r="X2024" i="1"/>
  <c r="Y2024" i="1"/>
  <c r="Z2024" i="1"/>
  <c r="AA2024" i="1"/>
  <c r="AB2024" i="1"/>
  <c r="AC2024" i="1"/>
  <c r="AD2024" i="1"/>
  <c r="AE2024" i="1"/>
  <c r="AF2024" i="1"/>
  <c r="AG2024" i="1"/>
  <c r="AH2024" i="1"/>
  <c r="AI2024" i="1"/>
  <c r="AJ2024" i="1"/>
  <c r="AK2024" i="1"/>
  <c r="AL2024" i="1"/>
  <c r="AM2024" i="1"/>
  <c r="A2025" i="1"/>
  <c r="B2025" i="1"/>
  <c r="C2025" i="1"/>
  <c r="D2025" i="1"/>
  <c r="E2025" i="1"/>
  <c r="F2025" i="1"/>
  <c r="G2025" i="1"/>
  <c r="H2025" i="1"/>
  <c r="I2025" i="1"/>
  <c r="J2025" i="1"/>
  <c r="K2025" i="1"/>
  <c r="L2025" i="1"/>
  <c r="M2025" i="1"/>
  <c r="N2025" i="1"/>
  <c r="O2025" i="1"/>
  <c r="P2025" i="1"/>
  <c r="Q2025" i="1"/>
  <c r="R2025" i="1"/>
  <c r="S2025" i="1"/>
  <c r="T2025" i="1"/>
  <c r="U2025" i="1"/>
  <c r="V2025" i="1"/>
  <c r="W2025" i="1"/>
  <c r="X2025" i="1"/>
  <c r="Y2025" i="1"/>
  <c r="Z2025" i="1"/>
  <c r="AA2025" i="1"/>
  <c r="AB2025" i="1"/>
  <c r="AC2025" i="1"/>
  <c r="AD2025" i="1"/>
  <c r="AE2025" i="1"/>
  <c r="AF2025" i="1"/>
  <c r="AG2025" i="1"/>
  <c r="AH2025" i="1"/>
  <c r="AI2025" i="1"/>
  <c r="AJ2025" i="1"/>
  <c r="AK2025" i="1"/>
  <c r="AL2025" i="1"/>
  <c r="AM2025" i="1"/>
  <c r="A2026" i="1"/>
  <c r="B2026" i="1"/>
  <c r="C2026" i="1"/>
  <c r="D2026" i="1"/>
  <c r="E2026" i="1"/>
  <c r="F2026" i="1"/>
  <c r="G2026" i="1"/>
  <c r="H2026" i="1"/>
  <c r="I2026" i="1"/>
  <c r="J2026" i="1"/>
  <c r="K2026" i="1"/>
  <c r="L2026" i="1"/>
  <c r="M2026" i="1"/>
  <c r="N2026" i="1"/>
  <c r="O2026" i="1"/>
  <c r="P2026" i="1"/>
  <c r="Q2026" i="1"/>
  <c r="R2026" i="1"/>
  <c r="S2026" i="1"/>
  <c r="T2026" i="1"/>
  <c r="U2026" i="1"/>
  <c r="V2026" i="1"/>
  <c r="W2026" i="1"/>
  <c r="X2026" i="1"/>
  <c r="Y2026" i="1"/>
  <c r="Z2026" i="1"/>
  <c r="AA2026" i="1"/>
  <c r="AB2026" i="1"/>
  <c r="AC2026" i="1"/>
  <c r="AD2026" i="1"/>
  <c r="AE2026" i="1"/>
  <c r="AF2026" i="1"/>
  <c r="AG2026" i="1"/>
  <c r="AH2026" i="1"/>
  <c r="AI2026" i="1"/>
  <c r="AJ2026" i="1"/>
  <c r="AK2026" i="1"/>
  <c r="AL2026" i="1"/>
  <c r="AM2026" i="1"/>
  <c r="A2027" i="1"/>
  <c r="B2027" i="1"/>
  <c r="C2027" i="1"/>
  <c r="D2027" i="1"/>
  <c r="E2027" i="1"/>
  <c r="F2027" i="1"/>
  <c r="G2027" i="1"/>
  <c r="H2027" i="1"/>
  <c r="I2027" i="1"/>
  <c r="J2027" i="1"/>
  <c r="K2027" i="1"/>
  <c r="L2027" i="1"/>
  <c r="M2027" i="1"/>
  <c r="N2027" i="1"/>
  <c r="O2027" i="1"/>
  <c r="P2027" i="1"/>
  <c r="Q2027" i="1"/>
  <c r="R2027" i="1"/>
  <c r="S2027" i="1"/>
  <c r="T2027" i="1"/>
  <c r="U2027" i="1"/>
  <c r="V2027" i="1"/>
  <c r="W2027" i="1"/>
  <c r="X2027" i="1"/>
  <c r="Y2027" i="1"/>
  <c r="Z2027" i="1"/>
  <c r="AA2027" i="1"/>
  <c r="AB2027" i="1"/>
  <c r="AC2027" i="1"/>
  <c r="AD2027" i="1"/>
  <c r="AE2027" i="1"/>
  <c r="AF2027" i="1"/>
  <c r="AG2027" i="1"/>
  <c r="AH2027" i="1"/>
  <c r="AI2027" i="1"/>
  <c r="AJ2027" i="1"/>
  <c r="AK2027" i="1"/>
  <c r="AL2027" i="1"/>
  <c r="AM2027" i="1"/>
  <c r="A2028" i="1"/>
  <c r="B2028" i="1"/>
  <c r="C2028" i="1"/>
  <c r="D2028" i="1"/>
  <c r="E2028" i="1"/>
  <c r="F2028" i="1"/>
  <c r="G2028" i="1"/>
  <c r="H2028" i="1"/>
  <c r="I2028" i="1"/>
  <c r="J2028" i="1"/>
  <c r="K2028" i="1"/>
  <c r="L2028" i="1"/>
  <c r="M2028" i="1"/>
  <c r="N2028" i="1"/>
  <c r="O2028" i="1"/>
  <c r="P2028" i="1"/>
  <c r="Q2028" i="1"/>
  <c r="R2028" i="1"/>
  <c r="S2028" i="1"/>
  <c r="T2028" i="1"/>
  <c r="U2028" i="1"/>
  <c r="V2028" i="1"/>
  <c r="W2028" i="1"/>
  <c r="X2028" i="1"/>
  <c r="Y2028" i="1"/>
  <c r="Z2028" i="1"/>
  <c r="AA2028" i="1"/>
  <c r="AB2028" i="1"/>
  <c r="AC2028" i="1"/>
  <c r="AD2028" i="1"/>
  <c r="AE2028" i="1"/>
  <c r="AF2028" i="1"/>
  <c r="AG2028" i="1"/>
  <c r="AH2028" i="1"/>
  <c r="AI2028" i="1"/>
  <c r="AJ2028" i="1"/>
  <c r="AK2028" i="1"/>
  <c r="AL2028" i="1"/>
  <c r="AM2028" i="1"/>
  <c r="A2029" i="1"/>
  <c r="B2029" i="1"/>
  <c r="C2029" i="1"/>
  <c r="D2029" i="1"/>
  <c r="E2029" i="1"/>
  <c r="F2029" i="1"/>
  <c r="G2029" i="1"/>
  <c r="H2029" i="1"/>
  <c r="I2029" i="1"/>
  <c r="J2029" i="1"/>
  <c r="K2029" i="1"/>
  <c r="L2029" i="1"/>
  <c r="M2029" i="1"/>
  <c r="N2029" i="1"/>
  <c r="O2029" i="1"/>
  <c r="P2029" i="1"/>
  <c r="Q2029" i="1"/>
  <c r="R2029" i="1"/>
  <c r="S2029" i="1"/>
  <c r="T2029" i="1"/>
  <c r="U2029" i="1"/>
  <c r="V2029" i="1"/>
  <c r="W2029" i="1"/>
  <c r="X2029" i="1"/>
  <c r="Y2029" i="1"/>
  <c r="Z2029" i="1"/>
  <c r="AA2029" i="1"/>
  <c r="AB2029" i="1"/>
  <c r="AC2029" i="1"/>
  <c r="AD2029" i="1"/>
  <c r="AE2029" i="1"/>
  <c r="AF2029" i="1"/>
  <c r="AG2029" i="1"/>
  <c r="AH2029" i="1"/>
  <c r="AI2029" i="1"/>
  <c r="AJ2029" i="1"/>
  <c r="AK2029" i="1"/>
  <c r="AL2029" i="1"/>
  <c r="AM2029" i="1"/>
  <c r="A2030" i="1"/>
  <c r="B2030" i="1"/>
  <c r="C2030" i="1"/>
  <c r="D2030" i="1"/>
  <c r="E2030" i="1"/>
  <c r="F2030" i="1"/>
  <c r="G2030" i="1"/>
  <c r="H2030" i="1"/>
  <c r="I2030" i="1"/>
  <c r="J2030" i="1"/>
  <c r="K2030" i="1"/>
  <c r="L2030" i="1"/>
  <c r="M2030" i="1"/>
  <c r="N2030" i="1"/>
  <c r="O2030" i="1"/>
  <c r="P2030" i="1"/>
  <c r="Q2030" i="1"/>
  <c r="R2030" i="1"/>
  <c r="S2030" i="1"/>
  <c r="T2030" i="1"/>
  <c r="U2030" i="1"/>
  <c r="V2030" i="1"/>
  <c r="W2030" i="1"/>
  <c r="X2030" i="1"/>
  <c r="Y2030" i="1"/>
  <c r="Z2030" i="1"/>
  <c r="AA2030" i="1"/>
  <c r="AB2030" i="1"/>
  <c r="AC2030" i="1"/>
  <c r="AD2030" i="1"/>
  <c r="AE2030" i="1"/>
  <c r="AF2030" i="1"/>
  <c r="AG2030" i="1"/>
  <c r="AH2030" i="1"/>
  <c r="AI2030" i="1"/>
  <c r="AJ2030" i="1"/>
  <c r="AK2030" i="1"/>
  <c r="AL2030" i="1"/>
  <c r="AM2030" i="1"/>
  <c r="A2031" i="1"/>
  <c r="B2031" i="1"/>
  <c r="C2031" i="1"/>
  <c r="D2031" i="1"/>
  <c r="E2031" i="1"/>
  <c r="F2031" i="1"/>
  <c r="G2031" i="1"/>
  <c r="H2031" i="1"/>
  <c r="I2031" i="1"/>
  <c r="J2031" i="1"/>
  <c r="K2031" i="1"/>
  <c r="L2031" i="1"/>
  <c r="M2031" i="1"/>
  <c r="N2031" i="1"/>
  <c r="O2031" i="1"/>
  <c r="P2031" i="1"/>
  <c r="Q2031" i="1"/>
  <c r="R2031" i="1"/>
  <c r="S2031" i="1"/>
  <c r="T2031" i="1"/>
  <c r="U2031" i="1"/>
  <c r="V2031" i="1"/>
  <c r="W2031" i="1"/>
  <c r="X2031" i="1"/>
  <c r="Y2031" i="1"/>
  <c r="Z2031" i="1"/>
  <c r="AA2031" i="1"/>
  <c r="AB2031" i="1"/>
  <c r="AC2031" i="1"/>
  <c r="AD2031" i="1"/>
  <c r="AE2031" i="1"/>
  <c r="AF2031" i="1"/>
  <c r="AG2031" i="1"/>
  <c r="AH2031" i="1"/>
  <c r="AI2031" i="1"/>
  <c r="AJ2031" i="1"/>
  <c r="AK2031" i="1"/>
  <c r="AL2031" i="1"/>
  <c r="AM2031" i="1"/>
  <c r="A2032" i="1"/>
  <c r="B2032" i="1"/>
  <c r="C2032" i="1"/>
  <c r="D2032" i="1"/>
  <c r="E2032" i="1"/>
  <c r="F2032" i="1"/>
  <c r="G2032" i="1"/>
  <c r="H2032" i="1"/>
  <c r="I2032" i="1"/>
  <c r="J2032" i="1"/>
  <c r="K2032" i="1"/>
  <c r="L2032" i="1"/>
  <c r="M2032" i="1"/>
  <c r="N2032" i="1"/>
  <c r="O2032" i="1"/>
  <c r="P2032" i="1"/>
  <c r="Q2032" i="1"/>
  <c r="R2032" i="1"/>
  <c r="S2032" i="1"/>
  <c r="T2032" i="1"/>
  <c r="U2032" i="1"/>
  <c r="V2032" i="1"/>
  <c r="W2032" i="1"/>
  <c r="X2032" i="1"/>
  <c r="Y2032" i="1"/>
  <c r="Z2032" i="1"/>
  <c r="AA2032" i="1"/>
  <c r="AB2032" i="1"/>
  <c r="AC2032" i="1"/>
  <c r="AD2032" i="1"/>
  <c r="AE2032" i="1"/>
  <c r="AF2032" i="1"/>
  <c r="AG2032" i="1"/>
  <c r="AH2032" i="1"/>
  <c r="AI2032" i="1"/>
  <c r="AJ2032" i="1"/>
  <c r="AK2032" i="1"/>
  <c r="AL2032" i="1"/>
  <c r="AM2032" i="1"/>
  <c r="A2033" i="1"/>
  <c r="B2033" i="1"/>
  <c r="C2033" i="1"/>
  <c r="D2033" i="1"/>
  <c r="E2033" i="1"/>
  <c r="F2033" i="1"/>
  <c r="G2033" i="1"/>
  <c r="H2033" i="1"/>
  <c r="I2033" i="1"/>
  <c r="J2033" i="1"/>
  <c r="K2033" i="1"/>
  <c r="L2033" i="1"/>
  <c r="M2033" i="1"/>
  <c r="N2033" i="1"/>
  <c r="O2033" i="1"/>
  <c r="P2033" i="1"/>
  <c r="Q2033" i="1"/>
  <c r="R2033" i="1"/>
  <c r="S2033" i="1"/>
  <c r="T2033" i="1"/>
  <c r="U2033" i="1"/>
  <c r="V2033" i="1"/>
  <c r="W2033" i="1"/>
  <c r="X2033" i="1"/>
  <c r="Y2033" i="1"/>
  <c r="Z2033" i="1"/>
  <c r="AA2033" i="1"/>
  <c r="AB2033" i="1"/>
  <c r="AC2033" i="1"/>
  <c r="AD2033" i="1"/>
  <c r="AE2033" i="1"/>
  <c r="AF2033" i="1"/>
  <c r="AG2033" i="1"/>
  <c r="AH2033" i="1"/>
  <c r="AI2033" i="1"/>
  <c r="AJ2033" i="1"/>
  <c r="AK2033" i="1"/>
  <c r="AL2033" i="1"/>
  <c r="AM2033" i="1"/>
  <c r="A2034" i="1"/>
  <c r="B2034" i="1"/>
  <c r="C2034" i="1"/>
  <c r="D2034" i="1"/>
  <c r="E2034" i="1"/>
  <c r="F2034" i="1"/>
  <c r="G2034" i="1"/>
  <c r="H2034" i="1"/>
  <c r="I2034" i="1"/>
  <c r="J2034" i="1"/>
  <c r="K2034" i="1"/>
  <c r="L2034" i="1"/>
  <c r="M2034" i="1"/>
  <c r="N2034" i="1"/>
  <c r="O2034" i="1"/>
  <c r="P2034" i="1"/>
  <c r="Q2034" i="1"/>
  <c r="R2034" i="1"/>
  <c r="S2034" i="1"/>
  <c r="T2034" i="1"/>
  <c r="U2034" i="1"/>
  <c r="V2034" i="1"/>
  <c r="W2034" i="1"/>
  <c r="X2034" i="1"/>
  <c r="Y2034" i="1"/>
  <c r="Z2034" i="1"/>
  <c r="AA2034" i="1"/>
  <c r="AB2034" i="1"/>
  <c r="AC2034" i="1"/>
  <c r="AD2034" i="1"/>
  <c r="AE2034" i="1"/>
  <c r="AF2034" i="1"/>
  <c r="AG2034" i="1"/>
  <c r="AH2034" i="1"/>
  <c r="AI2034" i="1"/>
  <c r="AJ2034" i="1"/>
  <c r="AK2034" i="1"/>
  <c r="AL2034" i="1"/>
  <c r="AM2034" i="1"/>
  <c r="A2035" i="1"/>
  <c r="B2035" i="1"/>
  <c r="C2035" i="1"/>
  <c r="D2035" i="1"/>
  <c r="E2035" i="1"/>
  <c r="F2035" i="1"/>
  <c r="G2035" i="1"/>
  <c r="H2035" i="1"/>
  <c r="I2035" i="1"/>
  <c r="J2035" i="1"/>
  <c r="K2035" i="1"/>
  <c r="L2035" i="1"/>
  <c r="M2035" i="1"/>
  <c r="N2035" i="1"/>
  <c r="O2035" i="1"/>
  <c r="P2035" i="1"/>
  <c r="Q2035" i="1"/>
  <c r="R2035" i="1"/>
  <c r="S2035" i="1"/>
  <c r="T2035" i="1"/>
  <c r="U2035" i="1"/>
  <c r="V2035" i="1"/>
  <c r="W2035" i="1"/>
  <c r="X2035" i="1"/>
  <c r="Y2035" i="1"/>
  <c r="Z2035" i="1"/>
  <c r="AA2035" i="1"/>
  <c r="AB2035" i="1"/>
  <c r="AC2035" i="1"/>
  <c r="AD2035" i="1"/>
  <c r="AE2035" i="1"/>
  <c r="AF2035" i="1"/>
  <c r="AG2035" i="1"/>
  <c r="AH2035" i="1"/>
  <c r="AI2035" i="1"/>
  <c r="AJ2035" i="1"/>
  <c r="AK2035" i="1"/>
  <c r="AL2035" i="1"/>
  <c r="AM2035" i="1"/>
  <c r="A2036" i="1"/>
  <c r="B2036" i="1"/>
  <c r="C2036" i="1"/>
  <c r="D2036" i="1"/>
  <c r="E2036" i="1"/>
  <c r="F2036" i="1"/>
  <c r="G2036" i="1"/>
  <c r="H2036" i="1"/>
  <c r="I2036" i="1"/>
  <c r="J2036" i="1"/>
  <c r="K2036" i="1"/>
  <c r="L2036" i="1"/>
  <c r="M2036" i="1"/>
  <c r="N2036" i="1"/>
  <c r="O2036" i="1"/>
  <c r="P2036" i="1"/>
  <c r="Q2036" i="1"/>
  <c r="R2036" i="1"/>
  <c r="S2036" i="1"/>
  <c r="T2036" i="1"/>
  <c r="U2036" i="1"/>
  <c r="V2036" i="1"/>
  <c r="W2036" i="1"/>
  <c r="X2036" i="1"/>
  <c r="Y2036" i="1"/>
  <c r="Z2036" i="1"/>
  <c r="AA2036" i="1"/>
  <c r="AB2036" i="1"/>
  <c r="AC2036" i="1"/>
  <c r="AD2036" i="1"/>
  <c r="AE2036" i="1"/>
  <c r="AF2036" i="1"/>
  <c r="AG2036" i="1"/>
  <c r="AH2036" i="1"/>
  <c r="AI2036" i="1"/>
  <c r="AJ2036" i="1"/>
  <c r="AK2036" i="1"/>
  <c r="AL2036" i="1"/>
  <c r="AM2036" i="1"/>
  <c r="A2037" i="1"/>
  <c r="B2037" i="1"/>
  <c r="C2037" i="1"/>
  <c r="D2037" i="1"/>
  <c r="E2037" i="1"/>
  <c r="F2037" i="1"/>
  <c r="G2037" i="1"/>
  <c r="H2037" i="1"/>
  <c r="I2037" i="1"/>
  <c r="J2037" i="1"/>
  <c r="K2037" i="1"/>
  <c r="L2037" i="1"/>
  <c r="M2037" i="1"/>
  <c r="N2037" i="1"/>
  <c r="O2037" i="1"/>
  <c r="P2037" i="1"/>
  <c r="Q2037" i="1"/>
  <c r="R2037" i="1"/>
  <c r="S2037" i="1"/>
  <c r="T2037" i="1"/>
  <c r="U2037" i="1"/>
  <c r="V2037" i="1"/>
  <c r="W2037" i="1"/>
  <c r="X2037" i="1"/>
  <c r="Y2037" i="1"/>
  <c r="Z2037" i="1"/>
  <c r="AA2037" i="1"/>
  <c r="AB2037" i="1"/>
  <c r="AC2037" i="1"/>
  <c r="AD2037" i="1"/>
  <c r="AE2037" i="1"/>
  <c r="AF2037" i="1"/>
  <c r="AG2037" i="1"/>
  <c r="AH2037" i="1"/>
  <c r="AI2037" i="1"/>
  <c r="AJ2037" i="1"/>
  <c r="AK2037" i="1"/>
  <c r="AL2037" i="1"/>
  <c r="AM2037" i="1"/>
  <c r="A2038" i="1"/>
  <c r="B2038" i="1"/>
  <c r="C2038" i="1"/>
  <c r="D2038" i="1"/>
  <c r="E2038" i="1"/>
  <c r="F2038" i="1"/>
  <c r="G2038" i="1"/>
  <c r="H2038" i="1"/>
  <c r="I2038" i="1"/>
  <c r="J2038" i="1"/>
  <c r="K2038" i="1"/>
  <c r="L2038" i="1"/>
  <c r="M2038" i="1"/>
  <c r="N2038" i="1"/>
  <c r="O2038" i="1"/>
  <c r="P2038" i="1"/>
  <c r="Q2038" i="1"/>
  <c r="R2038" i="1"/>
  <c r="S2038" i="1"/>
  <c r="T2038" i="1"/>
  <c r="U2038" i="1"/>
  <c r="V2038" i="1"/>
  <c r="W2038" i="1"/>
  <c r="X2038" i="1"/>
  <c r="Y2038" i="1"/>
  <c r="Z2038" i="1"/>
  <c r="AA2038" i="1"/>
  <c r="AB2038" i="1"/>
  <c r="AC2038" i="1"/>
  <c r="AD2038" i="1"/>
  <c r="AE2038" i="1"/>
  <c r="AF2038" i="1"/>
  <c r="AG2038" i="1"/>
  <c r="AH2038" i="1"/>
  <c r="AI2038" i="1"/>
  <c r="AJ2038" i="1"/>
  <c r="AK2038" i="1"/>
  <c r="AL2038" i="1"/>
  <c r="AM2038" i="1"/>
  <c r="A2039" i="1"/>
  <c r="B2039" i="1"/>
  <c r="C2039" i="1"/>
  <c r="D2039" i="1"/>
  <c r="E2039" i="1"/>
  <c r="F2039" i="1"/>
  <c r="G2039" i="1"/>
  <c r="H2039" i="1"/>
  <c r="I2039" i="1"/>
  <c r="J2039" i="1"/>
  <c r="K2039" i="1"/>
  <c r="L2039" i="1"/>
  <c r="M2039" i="1"/>
  <c r="N2039" i="1"/>
  <c r="O2039" i="1"/>
  <c r="P2039" i="1"/>
  <c r="Q2039" i="1"/>
  <c r="R2039" i="1"/>
  <c r="S2039" i="1"/>
  <c r="T2039" i="1"/>
  <c r="U2039" i="1"/>
  <c r="V2039" i="1"/>
  <c r="W2039" i="1"/>
  <c r="X2039" i="1"/>
  <c r="Y2039" i="1"/>
  <c r="Z2039" i="1"/>
  <c r="AA2039" i="1"/>
  <c r="AB2039" i="1"/>
  <c r="AC2039" i="1"/>
  <c r="AD2039" i="1"/>
  <c r="AE2039" i="1"/>
  <c r="AF2039" i="1"/>
  <c r="AG2039" i="1"/>
  <c r="AH2039" i="1"/>
  <c r="AI2039" i="1"/>
  <c r="AJ2039" i="1"/>
  <c r="AK2039" i="1"/>
  <c r="AL2039" i="1"/>
  <c r="AM2039" i="1"/>
  <c r="A2040" i="1"/>
  <c r="B2040" i="1"/>
  <c r="C2040" i="1"/>
  <c r="D2040" i="1"/>
  <c r="E2040" i="1"/>
  <c r="F2040" i="1"/>
  <c r="G2040" i="1"/>
  <c r="H2040" i="1"/>
  <c r="I2040" i="1"/>
  <c r="J2040" i="1"/>
  <c r="K2040" i="1"/>
  <c r="L2040" i="1"/>
  <c r="M2040" i="1"/>
  <c r="N2040" i="1"/>
  <c r="O2040" i="1"/>
  <c r="P2040" i="1"/>
  <c r="Q2040" i="1"/>
  <c r="R2040" i="1"/>
  <c r="S2040" i="1"/>
  <c r="T2040" i="1"/>
  <c r="U2040" i="1"/>
  <c r="V2040" i="1"/>
  <c r="W2040" i="1"/>
  <c r="X2040" i="1"/>
  <c r="Y2040" i="1"/>
  <c r="Z2040" i="1"/>
  <c r="AA2040" i="1"/>
  <c r="AB2040" i="1"/>
  <c r="AC2040" i="1"/>
  <c r="AD2040" i="1"/>
  <c r="AE2040" i="1"/>
  <c r="AF2040" i="1"/>
  <c r="AG2040" i="1"/>
  <c r="AH2040" i="1"/>
  <c r="AI2040" i="1"/>
  <c r="AJ2040" i="1"/>
  <c r="AK2040" i="1"/>
  <c r="AL2040" i="1"/>
  <c r="AM2040" i="1"/>
  <c r="A2041" i="1"/>
  <c r="B2041" i="1"/>
  <c r="C2041" i="1"/>
  <c r="D2041" i="1"/>
  <c r="E2041" i="1"/>
  <c r="F2041" i="1"/>
  <c r="G2041" i="1"/>
  <c r="H2041" i="1"/>
  <c r="I2041" i="1"/>
  <c r="J2041" i="1"/>
  <c r="K2041" i="1"/>
  <c r="L2041" i="1"/>
  <c r="M2041" i="1"/>
  <c r="N2041" i="1"/>
  <c r="O2041" i="1"/>
  <c r="P2041" i="1"/>
  <c r="Q2041" i="1"/>
  <c r="R2041" i="1"/>
  <c r="S2041" i="1"/>
  <c r="T2041" i="1"/>
  <c r="U2041" i="1"/>
  <c r="V2041" i="1"/>
  <c r="W2041" i="1"/>
  <c r="X2041" i="1"/>
  <c r="Y2041" i="1"/>
  <c r="Z2041" i="1"/>
  <c r="AA2041" i="1"/>
  <c r="AB2041" i="1"/>
  <c r="AC2041" i="1"/>
  <c r="AD2041" i="1"/>
  <c r="AE2041" i="1"/>
  <c r="AF2041" i="1"/>
  <c r="AG2041" i="1"/>
  <c r="AH2041" i="1"/>
  <c r="AI2041" i="1"/>
  <c r="AJ2041" i="1"/>
  <c r="AK2041" i="1"/>
  <c r="AL2041" i="1"/>
  <c r="AM2041" i="1"/>
  <c r="A2042" i="1"/>
  <c r="B2042" i="1"/>
  <c r="C2042" i="1"/>
  <c r="D2042" i="1"/>
  <c r="E2042" i="1"/>
  <c r="F2042" i="1"/>
  <c r="G2042" i="1"/>
  <c r="H2042" i="1"/>
  <c r="I2042" i="1"/>
  <c r="J2042" i="1"/>
  <c r="K2042" i="1"/>
  <c r="L2042" i="1"/>
  <c r="M2042" i="1"/>
  <c r="N2042" i="1"/>
  <c r="O2042" i="1"/>
  <c r="P2042" i="1"/>
  <c r="Q2042" i="1"/>
  <c r="R2042" i="1"/>
  <c r="S2042" i="1"/>
  <c r="T2042" i="1"/>
  <c r="U2042" i="1"/>
  <c r="V2042" i="1"/>
  <c r="W2042" i="1"/>
  <c r="X2042" i="1"/>
  <c r="Y2042" i="1"/>
  <c r="Z2042" i="1"/>
  <c r="AA2042" i="1"/>
  <c r="AB2042" i="1"/>
  <c r="AC2042" i="1"/>
  <c r="AD2042" i="1"/>
  <c r="AE2042" i="1"/>
  <c r="AF2042" i="1"/>
  <c r="AG2042" i="1"/>
  <c r="AH2042" i="1"/>
  <c r="AI2042" i="1"/>
  <c r="AJ2042" i="1"/>
  <c r="AK2042" i="1"/>
  <c r="AL2042" i="1"/>
  <c r="AM2042" i="1"/>
  <c r="A2043" i="1"/>
  <c r="B2043" i="1"/>
  <c r="C2043" i="1"/>
  <c r="D2043" i="1"/>
  <c r="E2043" i="1"/>
  <c r="F2043" i="1"/>
  <c r="G2043" i="1"/>
  <c r="H2043" i="1"/>
  <c r="I2043" i="1"/>
  <c r="J2043" i="1"/>
  <c r="K2043" i="1"/>
  <c r="L2043" i="1"/>
  <c r="M2043" i="1"/>
  <c r="N2043" i="1"/>
  <c r="O2043" i="1"/>
  <c r="P2043" i="1"/>
  <c r="Q2043" i="1"/>
  <c r="R2043" i="1"/>
  <c r="S2043" i="1"/>
  <c r="T2043" i="1"/>
  <c r="U2043" i="1"/>
  <c r="V2043" i="1"/>
  <c r="W2043" i="1"/>
  <c r="X2043" i="1"/>
  <c r="Y2043" i="1"/>
  <c r="Z2043" i="1"/>
  <c r="AA2043" i="1"/>
  <c r="AB2043" i="1"/>
  <c r="AC2043" i="1"/>
  <c r="AD2043" i="1"/>
  <c r="AE2043" i="1"/>
  <c r="AF2043" i="1"/>
  <c r="AG2043" i="1"/>
  <c r="AH2043" i="1"/>
  <c r="AI2043" i="1"/>
  <c r="AJ2043" i="1"/>
  <c r="AK2043" i="1"/>
  <c r="AL2043" i="1"/>
  <c r="AM2043" i="1"/>
  <c r="A2044" i="1"/>
  <c r="B2044" i="1"/>
  <c r="C2044" i="1"/>
  <c r="D2044" i="1"/>
  <c r="E2044" i="1"/>
  <c r="F2044" i="1"/>
  <c r="G2044" i="1"/>
  <c r="H2044" i="1"/>
  <c r="I2044" i="1"/>
  <c r="J2044" i="1"/>
  <c r="K2044" i="1"/>
  <c r="L2044" i="1"/>
  <c r="M2044" i="1"/>
  <c r="N2044" i="1"/>
  <c r="O2044" i="1"/>
  <c r="P2044" i="1"/>
  <c r="Q2044" i="1"/>
  <c r="R2044" i="1"/>
  <c r="S2044" i="1"/>
  <c r="T2044" i="1"/>
  <c r="U2044" i="1"/>
  <c r="V2044" i="1"/>
  <c r="W2044" i="1"/>
  <c r="X2044" i="1"/>
  <c r="Y2044" i="1"/>
  <c r="Z2044" i="1"/>
  <c r="AA2044" i="1"/>
  <c r="AB2044" i="1"/>
  <c r="AC2044" i="1"/>
  <c r="AD2044" i="1"/>
  <c r="AE2044" i="1"/>
  <c r="AF2044" i="1"/>
  <c r="AG2044" i="1"/>
  <c r="AH2044" i="1"/>
  <c r="AI2044" i="1"/>
  <c r="AJ2044" i="1"/>
  <c r="AK2044" i="1"/>
  <c r="AL2044" i="1"/>
  <c r="AM2044" i="1"/>
  <c r="A2045" i="1"/>
  <c r="B2045" i="1"/>
  <c r="C2045" i="1"/>
  <c r="D2045" i="1"/>
  <c r="E2045" i="1"/>
  <c r="F2045" i="1"/>
  <c r="G2045" i="1"/>
  <c r="H2045" i="1"/>
  <c r="I2045" i="1"/>
  <c r="J2045" i="1"/>
  <c r="K2045" i="1"/>
  <c r="L2045" i="1"/>
  <c r="M2045" i="1"/>
  <c r="N2045" i="1"/>
  <c r="O2045" i="1"/>
  <c r="P2045" i="1"/>
  <c r="Q2045" i="1"/>
  <c r="R2045" i="1"/>
  <c r="S2045" i="1"/>
  <c r="T2045" i="1"/>
  <c r="U2045" i="1"/>
  <c r="V2045" i="1"/>
  <c r="W2045" i="1"/>
  <c r="X2045" i="1"/>
  <c r="Y2045" i="1"/>
  <c r="Z2045" i="1"/>
  <c r="AA2045" i="1"/>
  <c r="AB2045" i="1"/>
  <c r="AC2045" i="1"/>
  <c r="AD2045" i="1"/>
  <c r="AE2045" i="1"/>
  <c r="AF2045" i="1"/>
  <c r="AG2045" i="1"/>
  <c r="AH2045" i="1"/>
  <c r="AI2045" i="1"/>
  <c r="AJ2045" i="1"/>
  <c r="AK2045" i="1"/>
  <c r="AL2045" i="1"/>
  <c r="AM2045" i="1"/>
  <c r="A2046" i="1"/>
  <c r="B2046" i="1"/>
  <c r="C2046" i="1"/>
  <c r="D2046" i="1"/>
  <c r="E2046" i="1"/>
  <c r="F2046" i="1"/>
  <c r="G2046" i="1"/>
  <c r="H2046" i="1"/>
  <c r="I2046" i="1"/>
  <c r="J2046" i="1"/>
  <c r="K2046" i="1"/>
  <c r="L2046" i="1"/>
  <c r="M2046" i="1"/>
  <c r="N2046" i="1"/>
  <c r="O2046" i="1"/>
  <c r="P2046" i="1"/>
  <c r="Q2046" i="1"/>
  <c r="R2046" i="1"/>
  <c r="S2046" i="1"/>
  <c r="T2046" i="1"/>
  <c r="U2046" i="1"/>
  <c r="V2046" i="1"/>
  <c r="W2046" i="1"/>
  <c r="X2046" i="1"/>
  <c r="Y2046" i="1"/>
  <c r="Z2046" i="1"/>
  <c r="AA2046" i="1"/>
  <c r="AB2046" i="1"/>
  <c r="AC2046" i="1"/>
  <c r="AD2046" i="1"/>
  <c r="AE2046" i="1"/>
  <c r="AF2046" i="1"/>
  <c r="AG2046" i="1"/>
  <c r="AH2046" i="1"/>
  <c r="AI2046" i="1"/>
  <c r="AJ2046" i="1"/>
  <c r="AK2046" i="1"/>
  <c r="AL2046" i="1"/>
  <c r="AM2046" i="1"/>
  <c r="A2047" i="1"/>
  <c r="B2047" i="1"/>
  <c r="C2047" i="1"/>
  <c r="D2047" i="1"/>
  <c r="E2047" i="1"/>
  <c r="F2047" i="1"/>
  <c r="G2047" i="1"/>
  <c r="H2047" i="1"/>
  <c r="I2047" i="1"/>
  <c r="J2047" i="1"/>
  <c r="K2047" i="1"/>
  <c r="L2047" i="1"/>
  <c r="M2047" i="1"/>
  <c r="N2047" i="1"/>
  <c r="O2047" i="1"/>
  <c r="P2047" i="1"/>
  <c r="Q2047" i="1"/>
  <c r="R2047" i="1"/>
  <c r="S2047" i="1"/>
  <c r="T2047" i="1"/>
  <c r="U2047" i="1"/>
  <c r="V2047" i="1"/>
  <c r="W2047" i="1"/>
  <c r="X2047" i="1"/>
  <c r="Y2047" i="1"/>
  <c r="Z2047" i="1"/>
  <c r="AA2047" i="1"/>
  <c r="AB2047" i="1"/>
  <c r="AC2047" i="1"/>
  <c r="AD2047" i="1"/>
  <c r="AE2047" i="1"/>
  <c r="AF2047" i="1"/>
  <c r="AG2047" i="1"/>
  <c r="AH2047" i="1"/>
  <c r="AI2047" i="1"/>
  <c r="AJ2047" i="1"/>
  <c r="AK2047" i="1"/>
  <c r="AL2047" i="1"/>
  <c r="AM2047" i="1"/>
  <c r="A2048" i="1"/>
  <c r="B2048" i="1"/>
  <c r="C2048" i="1"/>
  <c r="D2048" i="1"/>
  <c r="E2048" i="1"/>
  <c r="F2048" i="1"/>
  <c r="G2048" i="1"/>
  <c r="H2048" i="1"/>
  <c r="I2048" i="1"/>
  <c r="J2048" i="1"/>
  <c r="K2048" i="1"/>
  <c r="L2048" i="1"/>
  <c r="M2048" i="1"/>
  <c r="N2048" i="1"/>
  <c r="O2048" i="1"/>
  <c r="P2048" i="1"/>
  <c r="Q2048" i="1"/>
  <c r="R2048" i="1"/>
  <c r="S2048" i="1"/>
  <c r="T2048" i="1"/>
  <c r="U2048" i="1"/>
  <c r="V2048" i="1"/>
  <c r="W2048" i="1"/>
  <c r="X2048" i="1"/>
  <c r="Y2048" i="1"/>
  <c r="Z2048" i="1"/>
  <c r="AA2048" i="1"/>
  <c r="AB2048" i="1"/>
  <c r="AC2048" i="1"/>
  <c r="AD2048" i="1"/>
  <c r="AE2048" i="1"/>
  <c r="AF2048" i="1"/>
  <c r="AG2048" i="1"/>
  <c r="AH2048" i="1"/>
  <c r="AI2048" i="1"/>
  <c r="AJ2048" i="1"/>
  <c r="AK2048" i="1"/>
  <c r="AL2048" i="1"/>
  <c r="AM2048" i="1"/>
  <c r="A2049" i="1"/>
  <c r="B2049" i="1"/>
  <c r="C2049" i="1"/>
  <c r="D2049" i="1"/>
  <c r="E2049" i="1"/>
  <c r="F2049" i="1"/>
  <c r="G2049" i="1"/>
  <c r="H2049" i="1"/>
  <c r="I2049" i="1"/>
  <c r="J2049" i="1"/>
  <c r="K2049" i="1"/>
  <c r="L2049" i="1"/>
  <c r="M2049" i="1"/>
  <c r="N2049" i="1"/>
  <c r="O2049" i="1"/>
  <c r="P2049" i="1"/>
  <c r="Q2049" i="1"/>
  <c r="R2049" i="1"/>
  <c r="S2049" i="1"/>
  <c r="T2049" i="1"/>
  <c r="U2049" i="1"/>
  <c r="V2049" i="1"/>
  <c r="W2049" i="1"/>
  <c r="X2049" i="1"/>
  <c r="Y2049" i="1"/>
  <c r="Z2049" i="1"/>
  <c r="AA2049" i="1"/>
  <c r="AB2049" i="1"/>
  <c r="AC2049" i="1"/>
  <c r="AD2049" i="1"/>
  <c r="AE2049" i="1"/>
  <c r="AF2049" i="1"/>
  <c r="AG2049" i="1"/>
  <c r="AH2049" i="1"/>
  <c r="AI2049" i="1"/>
  <c r="AJ2049" i="1"/>
  <c r="AK2049" i="1"/>
  <c r="AL2049" i="1"/>
  <c r="AM2049" i="1"/>
  <c r="A2050" i="1"/>
  <c r="B2050" i="1"/>
  <c r="C2050" i="1"/>
  <c r="D2050" i="1"/>
  <c r="E2050" i="1"/>
  <c r="F2050" i="1"/>
  <c r="G2050" i="1"/>
  <c r="H2050" i="1"/>
  <c r="I2050" i="1"/>
  <c r="J2050" i="1"/>
  <c r="K2050" i="1"/>
  <c r="L2050" i="1"/>
  <c r="M2050" i="1"/>
  <c r="N2050" i="1"/>
  <c r="O2050" i="1"/>
  <c r="P2050" i="1"/>
  <c r="Q2050" i="1"/>
  <c r="R2050" i="1"/>
  <c r="S2050" i="1"/>
  <c r="T2050" i="1"/>
  <c r="U2050" i="1"/>
  <c r="V2050" i="1"/>
  <c r="W2050" i="1"/>
  <c r="X2050" i="1"/>
  <c r="Y2050" i="1"/>
  <c r="Z2050" i="1"/>
  <c r="AA2050" i="1"/>
  <c r="AB2050" i="1"/>
  <c r="AC2050" i="1"/>
  <c r="AD2050" i="1"/>
  <c r="AE2050" i="1"/>
  <c r="AF2050" i="1"/>
  <c r="AG2050" i="1"/>
  <c r="AH2050" i="1"/>
  <c r="AI2050" i="1"/>
  <c r="AJ2050" i="1"/>
  <c r="AK2050" i="1"/>
  <c r="AL2050" i="1"/>
  <c r="AM2050" i="1"/>
  <c r="A2051" i="1"/>
  <c r="B2051" i="1"/>
  <c r="C2051" i="1"/>
  <c r="D2051" i="1"/>
  <c r="E2051" i="1"/>
  <c r="F2051" i="1"/>
  <c r="G2051" i="1"/>
  <c r="H2051" i="1"/>
  <c r="I2051" i="1"/>
  <c r="J2051" i="1"/>
  <c r="K2051" i="1"/>
  <c r="L2051" i="1"/>
  <c r="M2051" i="1"/>
  <c r="N2051" i="1"/>
  <c r="O2051" i="1"/>
  <c r="P2051" i="1"/>
  <c r="Q2051" i="1"/>
  <c r="R2051" i="1"/>
  <c r="S2051" i="1"/>
  <c r="T2051" i="1"/>
  <c r="U2051" i="1"/>
  <c r="V2051" i="1"/>
  <c r="W2051" i="1"/>
  <c r="X2051" i="1"/>
  <c r="Y2051" i="1"/>
  <c r="Z2051" i="1"/>
  <c r="AA2051" i="1"/>
  <c r="AB2051" i="1"/>
  <c r="AC2051" i="1"/>
  <c r="AD2051" i="1"/>
  <c r="AE2051" i="1"/>
  <c r="AF2051" i="1"/>
  <c r="AG2051" i="1"/>
  <c r="AH2051" i="1"/>
  <c r="AI2051" i="1"/>
  <c r="AJ2051" i="1"/>
  <c r="AK2051" i="1"/>
  <c r="AL2051" i="1"/>
  <c r="AM2051" i="1"/>
  <c r="A2052" i="1"/>
  <c r="B2052" i="1"/>
  <c r="C2052" i="1"/>
  <c r="D2052" i="1"/>
  <c r="E2052" i="1"/>
  <c r="F2052" i="1"/>
  <c r="G2052" i="1"/>
  <c r="H2052" i="1"/>
  <c r="I2052" i="1"/>
  <c r="J2052" i="1"/>
  <c r="K2052" i="1"/>
  <c r="L2052" i="1"/>
  <c r="M2052" i="1"/>
  <c r="N2052" i="1"/>
  <c r="O2052" i="1"/>
  <c r="P2052" i="1"/>
  <c r="Q2052" i="1"/>
  <c r="R2052" i="1"/>
  <c r="S2052" i="1"/>
  <c r="T2052" i="1"/>
  <c r="U2052" i="1"/>
  <c r="V2052" i="1"/>
  <c r="W2052" i="1"/>
  <c r="X2052" i="1"/>
  <c r="Y2052" i="1"/>
  <c r="Z2052" i="1"/>
  <c r="AA2052" i="1"/>
  <c r="AB2052" i="1"/>
  <c r="AC2052" i="1"/>
  <c r="AD2052" i="1"/>
  <c r="AE2052" i="1"/>
  <c r="AF2052" i="1"/>
  <c r="AG2052" i="1"/>
  <c r="AH2052" i="1"/>
  <c r="AI2052" i="1"/>
  <c r="AJ2052" i="1"/>
  <c r="AK2052" i="1"/>
  <c r="AL2052" i="1"/>
  <c r="AM2052" i="1"/>
  <c r="A2053" i="1"/>
  <c r="B2053" i="1"/>
  <c r="C2053" i="1"/>
  <c r="D2053" i="1"/>
  <c r="E2053" i="1"/>
  <c r="F2053" i="1"/>
  <c r="G2053" i="1"/>
  <c r="H2053" i="1"/>
  <c r="I2053" i="1"/>
  <c r="J2053" i="1"/>
  <c r="K2053" i="1"/>
  <c r="L2053" i="1"/>
  <c r="M2053" i="1"/>
  <c r="N2053" i="1"/>
  <c r="O2053" i="1"/>
  <c r="P2053" i="1"/>
  <c r="Q2053" i="1"/>
  <c r="R2053" i="1"/>
  <c r="S2053" i="1"/>
  <c r="T2053" i="1"/>
  <c r="U2053" i="1"/>
  <c r="V2053" i="1"/>
  <c r="W2053" i="1"/>
  <c r="X2053" i="1"/>
  <c r="Y2053" i="1"/>
  <c r="Z2053" i="1"/>
  <c r="AA2053" i="1"/>
  <c r="AB2053" i="1"/>
  <c r="AC2053" i="1"/>
  <c r="AD2053" i="1"/>
  <c r="AE2053" i="1"/>
  <c r="AF2053" i="1"/>
  <c r="AG2053" i="1"/>
  <c r="AH2053" i="1"/>
  <c r="AI2053" i="1"/>
  <c r="AJ2053" i="1"/>
  <c r="AK2053" i="1"/>
  <c r="AL2053" i="1"/>
  <c r="AM2053" i="1"/>
  <c r="A2054" i="1"/>
  <c r="B2054" i="1"/>
  <c r="C2054" i="1"/>
  <c r="D2054" i="1"/>
  <c r="E2054" i="1"/>
  <c r="F2054" i="1"/>
  <c r="G2054" i="1"/>
  <c r="H2054" i="1"/>
  <c r="I2054" i="1"/>
  <c r="J2054" i="1"/>
  <c r="K2054" i="1"/>
  <c r="L2054" i="1"/>
  <c r="M2054" i="1"/>
  <c r="N2054" i="1"/>
  <c r="O2054" i="1"/>
  <c r="P2054" i="1"/>
  <c r="Q2054" i="1"/>
  <c r="R2054" i="1"/>
  <c r="S2054" i="1"/>
  <c r="T2054" i="1"/>
  <c r="U2054" i="1"/>
  <c r="V2054" i="1"/>
  <c r="W2054" i="1"/>
  <c r="X2054" i="1"/>
  <c r="Y2054" i="1"/>
  <c r="Z2054" i="1"/>
  <c r="AA2054" i="1"/>
  <c r="AB2054" i="1"/>
  <c r="AC2054" i="1"/>
  <c r="AD2054" i="1"/>
  <c r="AE2054" i="1"/>
  <c r="AF2054" i="1"/>
  <c r="AG2054" i="1"/>
  <c r="AH2054" i="1"/>
  <c r="AI2054" i="1"/>
  <c r="AJ2054" i="1"/>
  <c r="AK2054" i="1"/>
  <c r="AL2054" i="1"/>
  <c r="AM2054" i="1"/>
  <c r="A2055" i="1"/>
  <c r="B2055" i="1"/>
  <c r="C2055" i="1"/>
  <c r="D2055" i="1"/>
  <c r="E2055" i="1"/>
  <c r="F2055" i="1"/>
  <c r="G2055" i="1"/>
  <c r="H2055" i="1"/>
  <c r="I2055" i="1"/>
  <c r="J2055" i="1"/>
  <c r="K2055" i="1"/>
  <c r="L2055" i="1"/>
  <c r="M2055" i="1"/>
  <c r="N2055" i="1"/>
  <c r="O2055" i="1"/>
  <c r="P2055" i="1"/>
  <c r="Q2055" i="1"/>
  <c r="R2055" i="1"/>
  <c r="S2055" i="1"/>
  <c r="T2055" i="1"/>
  <c r="U2055" i="1"/>
  <c r="V2055" i="1"/>
  <c r="W2055" i="1"/>
  <c r="X2055" i="1"/>
  <c r="Y2055" i="1"/>
  <c r="Z2055" i="1"/>
  <c r="AA2055" i="1"/>
  <c r="AB2055" i="1"/>
  <c r="AC2055" i="1"/>
  <c r="AD2055" i="1"/>
  <c r="AE2055" i="1"/>
  <c r="AF2055" i="1"/>
  <c r="AG2055" i="1"/>
  <c r="AH2055" i="1"/>
  <c r="AI2055" i="1"/>
  <c r="AJ2055" i="1"/>
  <c r="AK2055" i="1"/>
  <c r="AL2055" i="1"/>
  <c r="AM2055" i="1"/>
  <c r="A2056" i="1"/>
  <c r="B2056" i="1"/>
  <c r="C2056" i="1"/>
  <c r="D2056" i="1"/>
  <c r="E2056" i="1"/>
  <c r="F2056" i="1"/>
  <c r="G2056" i="1"/>
  <c r="H2056" i="1"/>
  <c r="I2056" i="1"/>
  <c r="J2056" i="1"/>
  <c r="K2056" i="1"/>
  <c r="L2056" i="1"/>
  <c r="M2056" i="1"/>
  <c r="N2056" i="1"/>
  <c r="O2056" i="1"/>
  <c r="P2056" i="1"/>
  <c r="Q2056" i="1"/>
  <c r="R2056" i="1"/>
  <c r="S2056" i="1"/>
  <c r="T2056" i="1"/>
  <c r="U2056" i="1"/>
  <c r="V2056" i="1"/>
  <c r="W2056" i="1"/>
  <c r="X2056" i="1"/>
  <c r="Y2056" i="1"/>
  <c r="Z2056" i="1"/>
  <c r="AA2056" i="1"/>
  <c r="AB2056" i="1"/>
  <c r="AC2056" i="1"/>
  <c r="AD2056" i="1"/>
  <c r="AE2056" i="1"/>
  <c r="AF2056" i="1"/>
  <c r="AG2056" i="1"/>
  <c r="AH2056" i="1"/>
  <c r="AI2056" i="1"/>
  <c r="AJ2056" i="1"/>
  <c r="AK2056" i="1"/>
  <c r="AL2056" i="1"/>
  <c r="AM2056" i="1"/>
  <c r="A2057" i="1"/>
  <c r="B2057" i="1"/>
  <c r="C2057" i="1"/>
  <c r="D2057" i="1"/>
  <c r="E2057" i="1"/>
  <c r="F2057" i="1"/>
  <c r="G2057" i="1"/>
  <c r="H2057" i="1"/>
  <c r="I2057" i="1"/>
  <c r="J2057" i="1"/>
  <c r="K2057" i="1"/>
  <c r="L2057" i="1"/>
  <c r="M2057" i="1"/>
  <c r="N2057" i="1"/>
  <c r="O2057" i="1"/>
  <c r="P2057" i="1"/>
  <c r="Q2057" i="1"/>
  <c r="R2057" i="1"/>
  <c r="S2057" i="1"/>
  <c r="T2057" i="1"/>
  <c r="U2057" i="1"/>
  <c r="V2057" i="1"/>
  <c r="W2057" i="1"/>
  <c r="X2057" i="1"/>
  <c r="Y2057" i="1"/>
  <c r="Z2057" i="1"/>
  <c r="AA2057" i="1"/>
  <c r="AB2057" i="1"/>
  <c r="AC2057" i="1"/>
  <c r="AD2057" i="1"/>
  <c r="AE2057" i="1"/>
  <c r="AF2057" i="1"/>
  <c r="AG2057" i="1"/>
  <c r="AH2057" i="1"/>
  <c r="AI2057" i="1"/>
  <c r="AJ2057" i="1"/>
  <c r="AK2057" i="1"/>
  <c r="AL2057" i="1"/>
  <c r="AM2057" i="1"/>
  <c r="A2058" i="1"/>
  <c r="B2058" i="1"/>
  <c r="C2058" i="1"/>
  <c r="D2058" i="1"/>
  <c r="E2058" i="1"/>
  <c r="F2058" i="1"/>
  <c r="G2058" i="1"/>
  <c r="H2058" i="1"/>
  <c r="I2058" i="1"/>
  <c r="J2058" i="1"/>
  <c r="K2058" i="1"/>
  <c r="L2058" i="1"/>
  <c r="M2058" i="1"/>
  <c r="N2058" i="1"/>
  <c r="O2058" i="1"/>
  <c r="P2058" i="1"/>
  <c r="Q2058" i="1"/>
  <c r="R2058" i="1"/>
  <c r="S2058" i="1"/>
  <c r="T2058" i="1"/>
  <c r="U2058" i="1"/>
  <c r="V2058" i="1"/>
  <c r="W2058" i="1"/>
  <c r="X2058" i="1"/>
  <c r="Y2058" i="1"/>
  <c r="Z2058" i="1"/>
  <c r="AA2058" i="1"/>
  <c r="AB2058" i="1"/>
  <c r="AC2058" i="1"/>
  <c r="AD2058" i="1"/>
  <c r="AE2058" i="1"/>
  <c r="AF2058" i="1"/>
  <c r="AG2058" i="1"/>
  <c r="AH2058" i="1"/>
  <c r="AI2058" i="1"/>
  <c r="AJ2058" i="1"/>
  <c r="AK2058" i="1"/>
  <c r="AL2058" i="1"/>
  <c r="AM2058" i="1"/>
  <c r="A2059" i="1"/>
  <c r="B2059" i="1"/>
  <c r="C2059" i="1"/>
  <c r="D2059" i="1"/>
  <c r="E2059" i="1"/>
  <c r="F2059" i="1"/>
  <c r="G2059" i="1"/>
  <c r="H2059" i="1"/>
  <c r="I2059" i="1"/>
  <c r="J2059" i="1"/>
  <c r="K2059" i="1"/>
  <c r="L2059" i="1"/>
  <c r="M2059" i="1"/>
  <c r="N2059" i="1"/>
  <c r="O2059" i="1"/>
  <c r="P2059" i="1"/>
  <c r="Q2059" i="1"/>
  <c r="R2059" i="1"/>
  <c r="S2059" i="1"/>
  <c r="T2059" i="1"/>
  <c r="U2059" i="1"/>
  <c r="V2059" i="1"/>
  <c r="W2059" i="1"/>
  <c r="X2059" i="1"/>
  <c r="Y2059" i="1"/>
  <c r="Z2059" i="1"/>
  <c r="AA2059" i="1"/>
  <c r="AB2059" i="1"/>
  <c r="AC2059" i="1"/>
  <c r="AD2059" i="1"/>
  <c r="AE2059" i="1"/>
  <c r="AF2059" i="1"/>
  <c r="AG2059" i="1"/>
  <c r="AH2059" i="1"/>
  <c r="AI2059" i="1"/>
  <c r="AJ2059" i="1"/>
  <c r="AK2059" i="1"/>
  <c r="AL2059" i="1"/>
  <c r="AM2059" i="1"/>
  <c r="A2060" i="1"/>
  <c r="B2060" i="1"/>
  <c r="C2060" i="1"/>
  <c r="D2060" i="1"/>
  <c r="E2060" i="1"/>
  <c r="F2060" i="1"/>
  <c r="G2060" i="1"/>
  <c r="H2060" i="1"/>
  <c r="I2060" i="1"/>
  <c r="J2060" i="1"/>
  <c r="K2060" i="1"/>
  <c r="L2060" i="1"/>
  <c r="M2060" i="1"/>
  <c r="N2060" i="1"/>
  <c r="O2060" i="1"/>
  <c r="P2060" i="1"/>
  <c r="Q2060" i="1"/>
  <c r="R2060" i="1"/>
  <c r="S2060" i="1"/>
  <c r="T2060" i="1"/>
  <c r="U2060" i="1"/>
  <c r="V2060" i="1"/>
  <c r="W2060" i="1"/>
  <c r="X2060" i="1"/>
  <c r="Y2060" i="1"/>
  <c r="Z2060" i="1"/>
  <c r="AA2060" i="1"/>
  <c r="AB2060" i="1"/>
  <c r="AC2060" i="1"/>
  <c r="AD2060" i="1"/>
  <c r="AE2060" i="1"/>
  <c r="AF2060" i="1"/>
  <c r="AG2060" i="1"/>
  <c r="AH2060" i="1"/>
  <c r="AI2060" i="1"/>
  <c r="AJ2060" i="1"/>
  <c r="AK2060" i="1"/>
  <c r="AL2060" i="1"/>
  <c r="AM2060" i="1"/>
  <c r="A2061" i="1"/>
  <c r="B2061" i="1"/>
  <c r="C2061" i="1"/>
  <c r="D2061" i="1"/>
  <c r="E2061" i="1"/>
  <c r="F2061" i="1"/>
  <c r="G2061" i="1"/>
  <c r="H2061" i="1"/>
  <c r="I2061" i="1"/>
  <c r="J2061" i="1"/>
  <c r="K2061" i="1"/>
  <c r="L2061" i="1"/>
  <c r="M2061" i="1"/>
  <c r="N2061" i="1"/>
  <c r="O2061" i="1"/>
  <c r="P2061" i="1"/>
  <c r="Q2061" i="1"/>
  <c r="R2061" i="1"/>
  <c r="S2061" i="1"/>
  <c r="T2061" i="1"/>
  <c r="U2061" i="1"/>
  <c r="V2061" i="1"/>
  <c r="W2061" i="1"/>
  <c r="X2061" i="1"/>
  <c r="Y2061" i="1"/>
  <c r="Z2061" i="1"/>
  <c r="AA2061" i="1"/>
  <c r="AB2061" i="1"/>
  <c r="AC2061" i="1"/>
  <c r="AD2061" i="1"/>
  <c r="AE2061" i="1"/>
  <c r="AF2061" i="1"/>
  <c r="AG2061" i="1"/>
  <c r="AH2061" i="1"/>
  <c r="AI2061" i="1"/>
  <c r="AJ2061" i="1"/>
  <c r="AK2061" i="1"/>
  <c r="AL2061" i="1"/>
  <c r="AM2061" i="1"/>
  <c r="A2062" i="1"/>
  <c r="B2062" i="1"/>
  <c r="C2062" i="1"/>
  <c r="D2062" i="1"/>
  <c r="E2062" i="1"/>
  <c r="F2062" i="1"/>
  <c r="G2062" i="1"/>
  <c r="H2062" i="1"/>
  <c r="I2062" i="1"/>
  <c r="J2062" i="1"/>
  <c r="K2062" i="1"/>
  <c r="L2062" i="1"/>
  <c r="M2062" i="1"/>
  <c r="N2062" i="1"/>
  <c r="O2062" i="1"/>
  <c r="P2062" i="1"/>
  <c r="Q2062" i="1"/>
  <c r="R2062" i="1"/>
  <c r="S2062" i="1"/>
  <c r="T2062" i="1"/>
  <c r="U2062" i="1"/>
  <c r="V2062" i="1"/>
  <c r="W2062" i="1"/>
  <c r="X2062" i="1"/>
  <c r="Y2062" i="1"/>
  <c r="Z2062" i="1"/>
  <c r="AA2062" i="1"/>
  <c r="AB2062" i="1"/>
  <c r="AC2062" i="1"/>
  <c r="AD2062" i="1"/>
  <c r="AE2062" i="1"/>
  <c r="AF2062" i="1"/>
  <c r="AG2062" i="1"/>
  <c r="AH2062" i="1"/>
  <c r="AI2062" i="1"/>
  <c r="AJ2062" i="1"/>
  <c r="AK2062" i="1"/>
  <c r="AL2062" i="1"/>
  <c r="AM2062" i="1"/>
  <c r="A2063" i="1"/>
  <c r="B2063" i="1"/>
  <c r="C2063" i="1"/>
  <c r="D2063" i="1"/>
  <c r="E2063" i="1"/>
  <c r="F2063" i="1"/>
  <c r="G2063" i="1"/>
  <c r="H2063" i="1"/>
  <c r="I2063" i="1"/>
  <c r="J2063" i="1"/>
  <c r="K2063" i="1"/>
  <c r="L2063" i="1"/>
  <c r="M2063" i="1"/>
  <c r="N2063" i="1"/>
  <c r="O2063" i="1"/>
  <c r="P2063" i="1"/>
  <c r="Q2063" i="1"/>
  <c r="R2063" i="1"/>
  <c r="S2063" i="1"/>
  <c r="T2063" i="1"/>
  <c r="U2063" i="1"/>
  <c r="V2063" i="1"/>
  <c r="W2063" i="1"/>
  <c r="X2063" i="1"/>
  <c r="Y2063" i="1"/>
  <c r="Z2063" i="1"/>
  <c r="AA2063" i="1"/>
  <c r="AB2063" i="1"/>
  <c r="AC2063" i="1"/>
  <c r="AD2063" i="1"/>
  <c r="AE2063" i="1"/>
  <c r="AF2063" i="1"/>
  <c r="AG2063" i="1"/>
  <c r="AH2063" i="1"/>
  <c r="AI2063" i="1"/>
  <c r="AJ2063" i="1"/>
  <c r="AK2063" i="1"/>
  <c r="AL2063" i="1"/>
  <c r="AM2063" i="1"/>
  <c r="A2064" i="1"/>
  <c r="B2064" i="1"/>
  <c r="C2064" i="1"/>
  <c r="D2064" i="1"/>
  <c r="E2064" i="1"/>
  <c r="F2064" i="1"/>
  <c r="G2064" i="1"/>
  <c r="H2064" i="1"/>
  <c r="I2064" i="1"/>
  <c r="J2064" i="1"/>
  <c r="K2064" i="1"/>
  <c r="L2064" i="1"/>
  <c r="M2064" i="1"/>
  <c r="N2064" i="1"/>
  <c r="O2064" i="1"/>
  <c r="P2064" i="1"/>
  <c r="Q2064" i="1"/>
  <c r="R2064" i="1"/>
  <c r="S2064" i="1"/>
  <c r="T2064" i="1"/>
  <c r="U2064" i="1"/>
  <c r="V2064" i="1"/>
  <c r="W2064" i="1"/>
  <c r="X2064" i="1"/>
  <c r="Y2064" i="1"/>
  <c r="Z2064" i="1"/>
  <c r="AA2064" i="1"/>
  <c r="AB2064" i="1"/>
  <c r="AC2064" i="1"/>
  <c r="AD2064" i="1"/>
  <c r="AE2064" i="1"/>
  <c r="AF2064" i="1"/>
  <c r="AG2064" i="1"/>
  <c r="AH2064" i="1"/>
  <c r="AI2064" i="1"/>
  <c r="AJ2064" i="1"/>
  <c r="AK2064" i="1"/>
  <c r="AL2064" i="1"/>
  <c r="AM2064" i="1"/>
  <c r="A2065" i="1"/>
  <c r="B2065" i="1"/>
  <c r="C2065" i="1"/>
  <c r="D2065" i="1"/>
  <c r="E2065" i="1"/>
  <c r="F2065" i="1"/>
  <c r="G2065" i="1"/>
  <c r="H2065" i="1"/>
  <c r="I2065" i="1"/>
  <c r="J2065" i="1"/>
  <c r="K2065" i="1"/>
  <c r="L2065" i="1"/>
  <c r="M2065" i="1"/>
  <c r="N2065" i="1"/>
  <c r="O2065" i="1"/>
  <c r="P2065" i="1"/>
  <c r="Q2065" i="1"/>
  <c r="R2065" i="1"/>
  <c r="S2065" i="1"/>
  <c r="T2065" i="1"/>
  <c r="U2065" i="1"/>
  <c r="V2065" i="1"/>
  <c r="W2065" i="1"/>
  <c r="X2065" i="1"/>
  <c r="Y2065" i="1"/>
  <c r="Z2065" i="1"/>
  <c r="AA2065" i="1"/>
  <c r="AB2065" i="1"/>
  <c r="AC2065" i="1"/>
  <c r="AD2065" i="1"/>
  <c r="AE2065" i="1"/>
  <c r="AF2065" i="1"/>
  <c r="AG2065" i="1"/>
  <c r="AH2065" i="1"/>
  <c r="AI2065" i="1"/>
  <c r="AJ2065" i="1"/>
  <c r="AK2065" i="1"/>
  <c r="AL2065" i="1"/>
  <c r="AM2065" i="1"/>
  <c r="A2066" i="1"/>
  <c r="B2066" i="1"/>
  <c r="C2066" i="1"/>
  <c r="D2066" i="1"/>
  <c r="E2066" i="1"/>
  <c r="F2066" i="1"/>
  <c r="G2066" i="1"/>
  <c r="H2066" i="1"/>
  <c r="I2066" i="1"/>
  <c r="J2066" i="1"/>
  <c r="K2066" i="1"/>
  <c r="L2066" i="1"/>
  <c r="M2066" i="1"/>
  <c r="N2066" i="1"/>
  <c r="O2066" i="1"/>
  <c r="P2066" i="1"/>
  <c r="Q2066" i="1"/>
  <c r="R2066" i="1"/>
  <c r="S2066" i="1"/>
  <c r="T2066" i="1"/>
  <c r="U2066" i="1"/>
  <c r="V2066" i="1"/>
  <c r="W2066" i="1"/>
  <c r="X2066" i="1"/>
  <c r="Y2066" i="1"/>
  <c r="Z2066" i="1"/>
  <c r="AA2066" i="1"/>
  <c r="AB2066" i="1"/>
  <c r="AC2066" i="1"/>
  <c r="AD2066" i="1"/>
  <c r="AE2066" i="1"/>
  <c r="AF2066" i="1"/>
  <c r="AG2066" i="1"/>
  <c r="AH2066" i="1"/>
  <c r="AI2066" i="1"/>
  <c r="AJ2066" i="1"/>
  <c r="AK2066" i="1"/>
  <c r="AL2066" i="1"/>
  <c r="AM2066" i="1"/>
  <c r="A2067" i="1"/>
  <c r="B2067" i="1"/>
  <c r="C2067" i="1"/>
  <c r="D2067" i="1"/>
  <c r="E2067" i="1"/>
  <c r="F2067" i="1"/>
  <c r="G2067" i="1"/>
  <c r="H2067" i="1"/>
  <c r="I2067" i="1"/>
  <c r="J2067" i="1"/>
  <c r="K2067" i="1"/>
  <c r="L2067" i="1"/>
  <c r="M2067" i="1"/>
  <c r="N2067" i="1"/>
  <c r="O2067" i="1"/>
  <c r="P2067" i="1"/>
  <c r="Q2067" i="1"/>
  <c r="R2067" i="1"/>
  <c r="S2067" i="1"/>
  <c r="T2067" i="1"/>
  <c r="U2067" i="1"/>
  <c r="V2067" i="1"/>
  <c r="W2067" i="1"/>
  <c r="X2067" i="1"/>
  <c r="Y2067" i="1"/>
  <c r="Z2067" i="1"/>
  <c r="AA2067" i="1"/>
  <c r="AB2067" i="1"/>
  <c r="AC2067" i="1"/>
  <c r="AD2067" i="1"/>
  <c r="AE2067" i="1"/>
  <c r="AF2067" i="1"/>
  <c r="AG2067" i="1"/>
  <c r="AH2067" i="1"/>
  <c r="AI2067" i="1"/>
  <c r="AJ2067" i="1"/>
  <c r="AK2067" i="1"/>
  <c r="AL2067" i="1"/>
  <c r="AM2067" i="1"/>
  <c r="A2068" i="1"/>
  <c r="B2068" i="1"/>
  <c r="C2068" i="1"/>
  <c r="D2068" i="1"/>
  <c r="E2068" i="1"/>
  <c r="F2068" i="1"/>
  <c r="G2068" i="1"/>
  <c r="H2068" i="1"/>
  <c r="I2068" i="1"/>
  <c r="J2068" i="1"/>
  <c r="K2068" i="1"/>
  <c r="L2068" i="1"/>
  <c r="M2068" i="1"/>
  <c r="N2068" i="1"/>
  <c r="O2068" i="1"/>
  <c r="P2068" i="1"/>
  <c r="Q2068" i="1"/>
  <c r="R2068" i="1"/>
  <c r="S2068" i="1"/>
  <c r="T2068" i="1"/>
  <c r="U2068" i="1"/>
  <c r="V2068" i="1"/>
  <c r="W2068" i="1"/>
  <c r="X2068" i="1"/>
  <c r="Y2068" i="1"/>
  <c r="Z2068" i="1"/>
  <c r="AA2068" i="1"/>
  <c r="AB2068" i="1"/>
  <c r="AC2068" i="1"/>
  <c r="AD2068" i="1"/>
  <c r="AE2068" i="1"/>
  <c r="AF2068" i="1"/>
  <c r="AG2068" i="1"/>
  <c r="AH2068" i="1"/>
  <c r="AI2068" i="1"/>
  <c r="AJ2068" i="1"/>
  <c r="AK2068" i="1"/>
  <c r="AL2068" i="1"/>
  <c r="AM2068" i="1"/>
  <c r="A2069" i="1"/>
  <c r="B2069" i="1"/>
  <c r="C2069" i="1"/>
  <c r="D2069" i="1"/>
  <c r="E2069" i="1"/>
  <c r="F2069" i="1"/>
  <c r="G2069" i="1"/>
  <c r="H2069" i="1"/>
  <c r="I2069" i="1"/>
  <c r="J2069" i="1"/>
  <c r="K2069" i="1"/>
  <c r="L2069" i="1"/>
  <c r="M2069" i="1"/>
  <c r="N2069" i="1"/>
  <c r="O2069" i="1"/>
  <c r="P2069" i="1"/>
  <c r="Q2069" i="1"/>
  <c r="R2069" i="1"/>
  <c r="S2069" i="1"/>
  <c r="T2069" i="1"/>
  <c r="U2069" i="1"/>
  <c r="V2069" i="1"/>
  <c r="W2069" i="1"/>
  <c r="X2069" i="1"/>
  <c r="Y2069" i="1"/>
  <c r="Z2069" i="1"/>
  <c r="AA2069" i="1"/>
  <c r="AB2069" i="1"/>
  <c r="AC2069" i="1"/>
  <c r="AD2069" i="1"/>
  <c r="AE2069" i="1"/>
  <c r="AF2069" i="1"/>
  <c r="AG2069" i="1"/>
  <c r="AH2069" i="1"/>
  <c r="AI2069" i="1"/>
  <c r="AJ2069" i="1"/>
  <c r="AK2069" i="1"/>
  <c r="AL2069" i="1"/>
  <c r="AM2069" i="1"/>
  <c r="A2070" i="1"/>
  <c r="B2070" i="1"/>
  <c r="C2070" i="1"/>
  <c r="D2070" i="1"/>
  <c r="E2070" i="1"/>
  <c r="F2070" i="1"/>
  <c r="G2070" i="1"/>
  <c r="H2070" i="1"/>
  <c r="I2070" i="1"/>
  <c r="J2070" i="1"/>
  <c r="K2070" i="1"/>
  <c r="L2070" i="1"/>
  <c r="M2070" i="1"/>
  <c r="N2070" i="1"/>
  <c r="O2070" i="1"/>
  <c r="P2070" i="1"/>
  <c r="Q2070" i="1"/>
  <c r="R2070" i="1"/>
  <c r="S2070" i="1"/>
  <c r="T2070" i="1"/>
  <c r="U2070" i="1"/>
  <c r="V2070" i="1"/>
  <c r="W2070" i="1"/>
  <c r="X2070" i="1"/>
  <c r="Y2070" i="1"/>
  <c r="Z2070" i="1"/>
  <c r="AA2070" i="1"/>
  <c r="AB2070" i="1"/>
  <c r="AC2070" i="1"/>
  <c r="AD2070" i="1"/>
  <c r="AE2070" i="1"/>
  <c r="AF2070" i="1"/>
  <c r="AG2070" i="1"/>
  <c r="AH2070" i="1"/>
  <c r="AI2070" i="1"/>
  <c r="AJ2070" i="1"/>
  <c r="AK2070" i="1"/>
  <c r="AL2070" i="1"/>
  <c r="AM2070" i="1"/>
  <c r="A2071" i="1"/>
  <c r="B2071" i="1"/>
  <c r="C2071" i="1"/>
  <c r="D2071" i="1"/>
  <c r="E2071" i="1"/>
  <c r="F2071" i="1"/>
  <c r="G2071" i="1"/>
  <c r="H2071" i="1"/>
  <c r="I2071" i="1"/>
  <c r="J2071" i="1"/>
  <c r="K2071" i="1"/>
  <c r="L2071" i="1"/>
  <c r="M2071" i="1"/>
  <c r="N2071" i="1"/>
  <c r="O2071" i="1"/>
  <c r="P2071" i="1"/>
  <c r="Q2071" i="1"/>
  <c r="R2071" i="1"/>
  <c r="S2071" i="1"/>
  <c r="T2071" i="1"/>
  <c r="U2071" i="1"/>
  <c r="V2071" i="1"/>
  <c r="W2071" i="1"/>
  <c r="X2071" i="1"/>
  <c r="Y2071" i="1"/>
  <c r="Z2071" i="1"/>
  <c r="AA2071" i="1"/>
  <c r="AB2071" i="1"/>
  <c r="AC2071" i="1"/>
  <c r="AD2071" i="1"/>
  <c r="AE2071" i="1"/>
  <c r="AF2071" i="1"/>
  <c r="AG2071" i="1"/>
  <c r="AH2071" i="1"/>
  <c r="AI2071" i="1"/>
  <c r="AJ2071" i="1"/>
  <c r="AK2071" i="1"/>
  <c r="AL2071" i="1"/>
  <c r="AM2071" i="1"/>
  <c r="A2072" i="1"/>
  <c r="B2072" i="1"/>
  <c r="C2072" i="1"/>
  <c r="D2072" i="1"/>
  <c r="E2072" i="1"/>
  <c r="F2072" i="1"/>
  <c r="G2072" i="1"/>
  <c r="H2072" i="1"/>
  <c r="I2072" i="1"/>
  <c r="J2072" i="1"/>
  <c r="K2072" i="1"/>
  <c r="L2072" i="1"/>
  <c r="M2072" i="1"/>
  <c r="N2072" i="1"/>
  <c r="O2072" i="1"/>
  <c r="P2072" i="1"/>
  <c r="Q2072" i="1"/>
  <c r="R2072" i="1"/>
  <c r="S2072" i="1"/>
  <c r="T2072" i="1"/>
  <c r="U2072" i="1"/>
  <c r="V2072" i="1"/>
  <c r="W2072" i="1"/>
  <c r="X2072" i="1"/>
  <c r="Y2072" i="1"/>
  <c r="Z2072" i="1"/>
  <c r="AA2072" i="1"/>
  <c r="AB2072" i="1"/>
  <c r="AC2072" i="1"/>
  <c r="AD2072" i="1"/>
  <c r="AE2072" i="1"/>
  <c r="AF2072" i="1"/>
  <c r="AG2072" i="1"/>
  <c r="AH2072" i="1"/>
  <c r="AI2072" i="1"/>
  <c r="AJ2072" i="1"/>
  <c r="AK2072" i="1"/>
  <c r="AL2072" i="1"/>
  <c r="AM2072" i="1"/>
  <c r="A2073" i="1"/>
  <c r="B2073" i="1"/>
  <c r="C2073" i="1"/>
  <c r="D2073" i="1"/>
  <c r="E2073" i="1"/>
  <c r="F2073" i="1"/>
  <c r="G2073" i="1"/>
  <c r="H2073" i="1"/>
  <c r="I2073" i="1"/>
  <c r="J2073" i="1"/>
  <c r="K2073" i="1"/>
  <c r="L2073" i="1"/>
  <c r="M2073" i="1"/>
  <c r="N2073" i="1"/>
  <c r="O2073" i="1"/>
  <c r="P2073" i="1"/>
  <c r="Q2073" i="1"/>
  <c r="R2073" i="1"/>
  <c r="S2073" i="1"/>
  <c r="T2073" i="1"/>
  <c r="U2073" i="1"/>
  <c r="V2073" i="1"/>
  <c r="W2073" i="1"/>
  <c r="X2073" i="1"/>
  <c r="Y2073" i="1"/>
  <c r="Z2073" i="1"/>
  <c r="AA2073" i="1"/>
  <c r="AB2073" i="1"/>
  <c r="AC2073" i="1"/>
  <c r="AD2073" i="1"/>
  <c r="AE2073" i="1"/>
  <c r="AF2073" i="1"/>
  <c r="AG2073" i="1"/>
  <c r="AH2073" i="1"/>
  <c r="AI2073" i="1"/>
  <c r="AJ2073" i="1"/>
  <c r="AK2073" i="1"/>
  <c r="AL2073" i="1"/>
  <c r="AM2073" i="1"/>
  <c r="A2074" i="1"/>
  <c r="B2074" i="1"/>
  <c r="C2074" i="1"/>
  <c r="D2074" i="1"/>
  <c r="E2074" i="1"/>
  <c r="F2074" i="1"/>
  <c r="G2074" i="1"/>
  <c r="H2074" i="1"/>
  <c r="I2074" i="1"/>
  <c r="J2074" i="1"/>
  <c r="K2074" i="1"/>
  <c r="L2074" i="1"/>
  <c r="M2074" i="1"/>
  <c r="N2074" i="1"/>
  <c r="O2074" i="1"/>
  <c r="P2074" i="1"/>
  <c r="Q2074" i="1"/>
  <c r="R2074" i="1"/>
  <c r="S2074" i="1"/>
  <c r="T2074" i="1"/>
  <c r="U2074" i="1"/>
  <c r="V2074" i="1"/>
  <c r="W2074" i="1"/>
  <c r="X2074" i="1"/>
  <c r="Y2074" i="1"/>
  <c r="Z2074" i="1"/>
  <c r="AA2074" i="1"/>
  <c r="AB2074" i="1"/>
  <c r="AC2074" i="1"/>
  <c r="AD2074" i="1"/>
  <c r="AE2074" i="1"/>
  <c r="AF2074" i="1"/>
  <c r="AG2074" i="1"/>
  <c r="AH2074" i="1"/>
  <c r="AI2074" i="1"/>
  <c r="AJ2074" i="1"/>
  <c r="AK2074" i="1"/>
  <c r="AL2074" i="1"/>
  <c r="AM2074" i="1"/>
  <c r="A2075" i="1"/>
  <c r="B2075" i="1"/>
  <c r="C2075" i="1"/>
  <c r="D2075" i="1"/>
  <c r="E2075" i="1"/>
  <c r="F2075" i="1"/>
  <c r="G2075" i="1"/>
  <c r="H2075" i="1"/>
  <c r="I2075" i="1"/>
  <c r="J2075" i="1"/>
  <c r="K2075" i="1"/>
  <c r="L2075" i="1"/>
  <c r="M2075" i="1"/>
  <c r="N2075" i="1"/>
  <c r="O2075" i="1"/>
  <c r="P2075" i="1"/>
  <c r="Q2075" i="1"/>
  <c r="R2075" i="1"/>
  <c r="S2075" i="1"/>
  <c r="T2075" i="1"/>
  <c r="U2075" i="1"/>
  <c r="V2075" i="1"/>
  <c r="W2075" i="1"/>
  <c r="X2075" i="1"/>
  <c r="Y2075" i="1"/>
  <c r="Z2075" i="1"/>
  <c r="AA2075" i="1"/>
  <c r="AB2075" i="1"/>
  <c r="AC2075" i="1"/>
  <c r="AD2075" i="1"/>
  <c r="AE2075" i="1"/>
  <c r="AF2075" i="1"/>
  <c r="AG2075" i="1"/>
  <c r="AH2075" i="1"/>
  <c r="AI2075" i="1"/>
  <c r="AJ2075" i="1"/>
  <c r="AK2075" i="1"/>
  <c r="AL2075" i="1"/>
  <c r="AM2075" i="1"/>
  <c r="A2076" i="1"/>
  <c r="B2076" i="1"/>
  <c r="C2076" i="1"/>
  <c r="D2076" i="1"/>
  <c r="E2076" i="1"/>
  <c r="F2076" i="1"/>
  <c r="G2076" i="1"/>
  <c r="H2076" i="1"/>
  <c r="I2076" i="1"/>
  <c r="J2076" i="1"/>
  <c r="K2076" i="1"/>
  <c r="L2076" i="1"/>
  <c r="M2076" i="1"/>
  <c r="N2076" i="1"/>
  <c r="O2076" i="1"/>
  <c r="P2076" i="1"/>
  <c r="Q2076" i="1"/>
  <c r="R2076" i="1"/>
  <c r="S2076" i="1"/>
  <c r="T2076" i="1"/>
  <c r="U2076" i="1"/>
  <c r="V2076" i="1"/>
  <c r="W2076" i="1"/>
  <c r="X2076" i="1"/>
  <c r="Y2076" i="1"/>
  <c r="Z2076" i="1"/>
  <c r="AA2076" i="1"/>
  <c r="AB2076" i="1"/>
  <c r="AC2076" i="1"/>
  <c r="AD2076" i="1"/>
  <c r="AE2076" i="1"/>
  <c r="AF2076" i="1"/>
  <c r="AG2076" i="1"/>
  <c r="AH2076" i="1"/>
  <c r="AI2076" i="1"/>
  <c r="AJ2076" i="1"/>
  <c r="AK2076" i="1"/>
  <c r="AL2076" i="1"/>
  <c r="AM2076" i="1"/>
  <c r="A2077" i="1"/>
  <c r="B2077" i="1"/>
  <c r="C2077" i="1"/>
  <c r="D2077" i="1"/>
  <c r="E2077" i="1"/>
  <c r="F2077" i="1"/>
  <c r="G2077" i="1"/>
  <c r="H2077" i="1"/>
  <c r="I2077" i="1"/>
  <c r="J2077" i="1"/>
  <c r="K2077" i="1"/>
  <c r="L2077" i="1"/>
  <c r="M2077" i="1"/>
  <c r="N2077" i="1"/>
  <c r="O2077" i="1"/>
  <c r="P2077" i="1"/>
  <c r="Q2077" i="1"/>
  <c r="R2077" i="1"/>
  <c r="S2077" i="1"/>
  <c r="T2077" i="1"/>
  <c r="U2077" i="1"/>
  <c r="V2077" i="1"/>
  <c r="W2077" i="1"/>
  <c r="X2077" i="1"/>
  <c r="Y2077" i="1"/>
  <c r="Z2077" i="1"/>
  <c r="AA2077" i="1"/>
  <c r="AB2077" i="1"/>
  <c r="AC2077" i="1"/>
  <c r="AD2077" i="1"/>
  <c r="AE2077" i="1"/>
  <c r="AF2077" i="1"/>
  <c r="AG2077" i="1"/>
  <c r="AH2077" i="1"/>
  <c r="AI2077" i="1"/>
  <c r="AJ2077" i="1"/>
  <c r="AK2077" i="1"/>
  <c r="AL2077" i="1"/>
  <c r="AM2077" i="1"/>
  <c r="A2078" i="1"/>
  <c r="B2078" i="1"/>
  <c r="C2078" i="1"/>
  <c r="D2078" i="1"/>
  <c r="E2078" i="1"/>
  <c r="F2078" i="1"/>
  <c r="G2078" i="1"/>
  <c r="H2078" i="1"/>
  <c r="I2078" i="1"/>
  <c r="J2078" i="1"/>
  <c r="K2078" i="1"/>
  <c r="L2078" i="1"/>
  <c r="M2078" i="1"/>
  <c r="N2078" i="1"/>
  <c r="O2078" i="1"/>
  <c r="P2078" i="1"/>
  <c r="Q2078" i="1"/>
  <c r="R2078" i="1"/>
  <c r="S2078" i="1"/>
  <c r="T2078" i="1"/>
  <c r="U2078" i="1"/>
  <c r="V2078" i="1"/>
  <c r="W2078" i="1"/>
  <c r="X2078" i="1"/>
  <c r="Y2078" i="1"/>
  <c r="Z2078" i="1"/>
  <c r="AA2078" i="1"/>
  <c r="AB2078" i="1"/>
  <c r="AC2078" i="1"/>
  <c r="AD2078" i="1"/>
  <c r="AE2078" i="1"/>
  <c r="AF2078" i="1"/>
  <c r="AG2078" i="1"/>
  <c r="AH2078" i="1"/>
  <c r="AI2078" i="1"/>
  <c r="AJ2078" i="1"/>
  <c r="AK2078" i="1"/>
  <c r="AL2078" i="1"/>
  <c r="AM2078" i="1"/>
  <c r="A2079" i="1"/>
  <c r="B2079" i="1"/>
  <c r="C2079" i="1"/>
  <c r="D2079" i="1"/>
  <c r="E2079" i="1"/>
  <c r="F2079" i="1"/>
  <c r="G2079" i="1"/>
  <c r="H2079" i="1"/>
  <c r="I2079" i="1"/>
  <c r="J2079" i="1"/>
  <c r="K2079" i="1"/>
  <c r="L2079" i="1"/>
  <c r="M2079" i="1"/>
  <c r="N2079" i="1"/>
  <c r="O2079" i="1"/>
  <c r="P2079" i="1"/>
  <c r="Q2079" i="1"/>
  <c r="R2079" i="1"/>
  <c r="S2079" i="1"/>
  <c r="T2079" i="1"/>
  <c r="U2079" i="1"/>
  <c r="V2079" i="1"/>
  <c r="W2079" i="1"/>
  <c r="X2079" i="1"/>
  <c r="Y2079" i="1"/>
  <c r="Z2079" i="1"/>
  <c r="AA2079" i="1"/>
  <c r="AB2079" i="1"/>
  <c r="AC2079" i="1"/>
  <c r="AD2079" i="1"/>
  <c r="AE2079" i="1"/>
  <c r="AF2079" i="1"/>
  <c r="AG2079" i="1"/>
  <c r="AH2079" i="1"/>
  <c r="AI2079" i="1"/>
  <c r="AJ2079" i="1"/>
  <c r="AK2079" i="1"/>
  <c r="AL2079" i="1"/>
  <c r="AM2079" i="1"/>
  <c r="A2080" i="1"/>
  <c r="B2080" i="1"/>
  <c r="C2080" i="1"/>
  <c r="D2080" i="1"/>
  <c r="E2080" i="1"/>
  <c r="F2080" i="1"/>
  <c r="G2080" i="1"/>
  <c r="H2080" i="1"/>
  <c r="I2080" i="1"/>
  <c r="J2080" i="1"/>
  <c r="K2080" i="1"/>
  <c r="L2080" i="1"/>
  <c r="M2080" i="1"/>
  <c r="N2080" i="1"/>
  <c r="O2080" i="1"/>
  <c r="P2080" i="1"/>
  <c r="Q2080" i="1"/>
  <c r="R2080" i="1"/>
  <c r="S2080" i="1"/>
  <c r="T2080" i="1"/>
  <c r="U2080" i="1"/>
  <c r="V2080" i="1"/>
  <c r="W2080" i="1"/>
  <c r="X2080" i="1"/>
  <c r="Y2080" i="1"/>
  <c r="Z2080" i="1"/>
  <c r="AA2080" i="1"/>
  <c r="AB2080" i="1"/>
  <c r="AC2080" i="1"/>
  <c r="AD2080" i="1"/>
  <c r="AE2080" i="1"/>
  <c r="AF2080" i="1"/>
  <c r="AG2080" i="1"/>
  <c r="AH2080" i="1"/>
  <c r="AI2080" i="1"/>
  <c r="AJ2080" i="1"/>
  <c r="AK2080" i="1"/>
  <c r="AL2080" i="1"/>
  <c r="AM2080" i="1"/>
  <c r="A2081" i="1"/>
  <c r="B2081" i="1"/>
  <c r="C2081" i="1"/>
  <c r="D2081" i="1"/>
  <c r="E2081" i="1"/>
  <c r="F2081" i="1"/>
  <c r="G2081" i="1"/>
  <c r="H2081" i="1"/>
  <c r="I2081" i="1"/>
  <c r="J2081" i="1"/>
  <c r="K2081" i="1"/>
  <c r="L2081" i="1"/>
  <c r="M2081" i="1"/>
  <c r="N2081" i="1"/>
  <c r="O2081" i="1"/>
  <c r="P2081" i="1"/>
  <c r="Q2081" i="1"/>
  <c r="R2081" i="1"/>
  <c r="S2081" i="1"/>
  <c r="T2081" i="1"/>
  <c r="U2081" i="1"/>
  <c r="V2081" i="1"/>
  <c r="W2081" i="1"/>
  <c r="X2081" i="1"/>
  <c r="Y2081" i="1"/>
  <c r="Z2081" i="1"/>
  <c r="AA2081" i="1"/>
  <c r="AB2081" i="1"/>
  <c r="AC2081" i="1"/>
  <c r="AD2081" i="1"/>
  <c r="AE2081" i="1"/>
  <c r="AF2081" i="1"/>
  <c r="AG2081" i="1"/>
  <c r="AH2081" i="1"/>
  <c r="AI2081" i="1"/>
  <c r="AJ2081" i="1"/>
  <c r="AK2081" i="1"/>
  <c r="AL2081" i="1"/>
  <c r="AM2081" i="1"/>
  <c r="A2082" i="1"/>
  <c r="B2082" i="1"/>
  <c r="C2082" i="1"/>
  <c r="D2082" i="1"/>
  <c r="E2082" i="1"/>
  <c r="F2082" i="1"/>
  <c r="G2082" i="1"/>
  <c r="H2082" i="1"/>
  <c r="I2082" i="1"/>
  <c r="J2082" i="1"/>
  <c r="K2082" i="1"/>
  <c r="L2082" i="1"/>
  <c r="M2082" i="1"/>
  <c r="N2082" i="1"/>
  <c r="O2082" i="1"/>
  <c r="P2082" i="1"/>
  <c r="Q2082" i="1"/>
  <c r="R2082" i="1"/>
  <c r="S2082" i="1"/>
  <c r="T2082" i="1"/>
  <c r="U2082" i="1"/>
  <c r="V2082" i="1"/>
  <c r="W2082" i="1"/>
  <c r="X2082" i="1"/>
  <c r="Y2082" i="1"/>
  <c r="Z2082" i="1"/>
  <c r="AA2082" i="1"/>
  <c r="AB2082" i="1"/>
  <c r="AC2082" i="1"/>
  <c r="AD2082" i="1"/>
  <c r="AE2082" i="1"/>
  <c r="AF2082" i="1"/>
  <c r="AG2082" i="1"/>
  <c r="AH2082" i="1"/>
  <c r="AI2082" i="1"/>
  <c r="AJ2082" i="1"/>
  <c r="AK2082" i="1"/>
  <c r="AL2082" i="1"/>
  <c r="AM2082" i="1"/>
  <c r="A2083" i="1"/>
  <c r="B2083" i="1"/>
  <c r="C2083" i="1"/>
  <c r="D2083" i="1"/>
  <c r="E2083" i="1"/>
  <c r="F2083" i="1"/>
  <c r="G2083" i="1"/>
  <c r="H2083" i="1"/>
  <c r="I2083" i="1"/>
  <c r="J2083" i="1"/>
  <c r="K2083" i="1"/>
  <c r="L2083" i="1"/>
  <c r="M2083" i="1"/>
  <c r="N2083" i="1"/>
  <c r="O2083" i="1"/>
  <c r="P2083" i="1"/>
  <c r="Q2083" i="1"/>
  <c r="R2083" i="1"/>
  <c r="S2083" i="1"/>
  <c r="T2083" i="1"/>
  <c r="U2083" i="1"/>
  <c r="V2083" i="1"/>
  <c r="W2083" i="1"/>
  <c r="X2083" i="1"/>
  <c r="Y2083" i="1"/>
  <c r="Z2083" i="1"/>
  <c r="AA2083" i="1"/>
  <c r="AB2083" i="1"/>
  <c r="AC2083" i="1"/>
  <c r="AD2083" i="1"/>
  <c r="AE2083" i="1"/>
  <c r="AF2083" i="1"/>
  <c r="AG2083" i="1"/>
  <c r="AH2083" i="1"/>
  <c r="AI2083" i="1"/>
  <c r="AJ2083" i="1"/>
  <c r="AK2083" i="1"/>
  <c r="AL2083" i="1"/>
  <c r="AM2083" i="1"/>
  <c r="A2084" i="1"/>
  <c r="B2084" i="1"/>
  <c r="C2084" i="1"/>
  <c r="D2084" i="1"/>
  <c r="E2084" i="1"/>
  <c r="F2084" i="1"/>
  <c r="G2084" i="1"/>
  <c r="H2084" i="1"/>
  <c r="I2084" i="1"/>
  <c r="J2084" i="1"/>
  <c r="K2084" i="1"/>
  <c r="L2084" i="1"/>
  <c r="M2084" i="1"/>
  <c r="N2084" i="1"/>
  <c r="O2084" i="1"/>
  <c r="P2084" i="1"/>
  <c r="Q2084" i="1"/>
  <c r="R2084" i="1"/>
  <c r="S2084" i="1"/>
  <c r="T2084" i="1"/>
  <c r="U2084" i="1"/>
  <c r="V2084" i="1"/>
  <c r="W2084" i="1"/>
  <c r="X2084" i="1"/>
  <c r="Y2084" i="1"/>
  <c r="Z2084" i="1"/>
  <c r="AA2084" i="1"/>
  <c r="AB2084" i="1"/>
  <c r="AC2084" i="1"/>
  <c r="AD2084" i="1"/>
  <c r="AE2084" i="1"/>
  <c r="AF2084" i="1"/>
  <c r="AG2084" i="1"/>
  <c r="AH2084" i="1"/>
  <c r="AI2084" i="1"/>
  <c r="AJ2084" i="1"/>
  <c r="AK2084" i="1"/>
  <c r="AL2084" i="1"/>
  <c r="AM2084" i="1"/>
  <c r="A2085" i="1"/>
  <c r="B2085" i="1"/>
  <c r="C2085" i="1"/>
  <c r="D2085" i="1"/>
  <c r="E2085" i="1"/>
  <c r="F2085" i="1"/>
  <c r="G2085" i="1"/>
  <c r="H2085" i="1"/>
  <c r="I2085" i="1"/>
  <c r="J2085" i="1"/>
  <c r="K2085" i="1"/>
  <c r="L2085" i="1"/>
  <c r="M2085" i="1"/>
  <c r="N2085" i="1"/>
  <c r="O2085" i="1"/>
  <c r="P2085" i="1"/>
  <c r="Q2085" i="1"/>
  <c r="R2085" i="1"/>
  <c r="S2085" i="1"/>
  <c r="T2085" i="1"/>
  <c r="U2085" i="1"/>
  <c r="V2085" i="1"/>
  <c r="W2085" i="1"/>
  <c r="X2085" i="1"/>
  <c r="Y2085" i="1"/>
  <c r="Z2085" i="1"/>
  <c r="AA2085" i="1"/>
  <c r="AB2085" i="1"/>
  <c r="AC2085" i="1"/>
  <c r="AD2085" i="1"/>
  <c r="AE2085" i="1"/>
  <c r="AF2085" i="1"/>
  <c r="AG2085" i="1"/>
  <c r="AH2085" i="1"/>
  <c r="AI2085" i="1"/>
  <c r="AJ2085" i="1"/>
  <c r="AK2085" i="1"/>
  <c r="AL2085" i="1"/>
  <c r="AM2085" i="1"/>
  <c r="A2086" i="1"/>
  <c r="B2086" i="1"/>
  <c r="C2086" i="1"/>
  <c r="D2086" i="1"/>
  <c r="E2086" i="1"/>
  <c r="F2086" i="1"/>
  <c r="G2086" i="1"/>
  <c r="H2086" i="1"/>
  <c r="I2086" i="1"/>
  <c r="J2086" i="1"/>
  <c r="K2086" i="1"/>
  <c r="L2086" i="1"/>
  <c r="M2086" i="1"/>
  <c r="N2086" i="1"/>
  <c r="O2086" i="1"/>
  <c r="P2086" i="1"/>
  <c r="Q2086" i="1"/>
  <c r="R2086" i="1"/>
  <c r="S2086" i="1"/>
  <c r="T2086" i="1"/>
  <c r="U2086" i="1"/>
  <c r="V2086" i="1"/>
  <c r="W2086" i="1"/>
  <c r="X2086" i="1"/>
  <c r="Y2086" i="1"/>
  <c r="Z2086" i="1"/>
  <c r="AA2086" i="1"/>
  <c r="AB2086" i="1"/>
  <c r="AC2086" i="1"/>
  <c r="AD2086" i="1"/>
  <c r="AE2086" i="1"/>
  <c r="AF2086" i="1"/>
  <c r="AG2086" i="1"/>
  <c r="AH2086" i="1"/>
  <c r="AI2086" i="1"/>
  <c r="AJ2086" i="1"/>
  <c r="AK2086" i="1"/>
  <c r="AL2086" i="1"/>
  <c r="AM2086" i="1"/>
  <c r="A2087" i="1"/>
  <c r="B2087" i="1"/>
  <c r="C2087" i="1"/>
  <c r="D2087" i="1"/>
  <c r="E2087" i="1"/>
  <c r="F2087" i="1"/>
  <c r="G2087" i="1"/>
  <c r="H2087" i="1"/>
  <c r="I2087" i="1"/>
  <c r="J2087" i="1"/>
  <c r="K2087" i="1"/>
  <c r="L2087" i="1"/>
  <c r="M2087" i="1"/>
  <c r="N2087" i="1"/>
  <c r="O2087" i="1"/>
  <c r="P2087" i="1"/>
  <c r="Q2087" i="1"/>
  <c r="R2087" i="1"/>
  <c r="S2087" i="1"/>
  <c r="T2087" i="1"/>
  <c r="U2087" i="1"/>
  <c r="V2087" i="1"/>
  <c r="W2087" i="1"/>
  <c r="X2087" i="1"/>
  <c r="Y2087" i="1"/>
  <c r="Z2087" i="1"/>
  <c r="AA2087" i="1"/>
  <c r="AB2087" i="1"/>
  <c r="AC2087" i="1"/>
  <c r="AD2087" i="1"/>
  <c r="AE2087" i="1"/>
  <c r="AF2087" i="1"/>
  <c r="AG2087" i="1"/>
  <c r="AH2087" i="1"/>
  <c r="AI2087" i="1"/>
  <c r="AJ2087" i="1"/>
  <c r="AK2087" i="1"/>
  <c r="AL2087" i="1"/>
  <c r="AM2087" i="1"/>
  <c r="A2088" i="1"/>
  <c r="B2088" i="1"/>
  <c r="C2088" i="1"/>
  <c r="D2088" i="1"/>
  <c r="E2088" i="1"/>
  <c r="F2088" i="1"/>
  <c r="G2088" i="1"/>
  <c r="H2088" i="1"/>
  <c r="I2088" i="1"/>
  <c r="J2088" i="1"/>
  <c r="K2088" i="1"/>
  <c r="L2088" i="1"/>
  <c r="M2088" i="1"/>
  <c r="N2088" i="1"/>
  <c r="O2088" i="1"/>
  <c r="P2088" i="1"/>
  <c r="Q2088" i="1"/>
  <c r="R2088" i="1"/>
  <c r="S2088" i="1"/>
  <c r="T2088" i="1"/>
  <c r="U2088" i="1"/>
  <c r="V2088" i="1"/>
  <c r="W2088" i="1"/>
  <c r="X2088" i="1"/>
  <c r="Y2088" i="1"/>
  <c r="Z2088" i="1"/>
  <c r="AA2088" i="1"/>
  <c r="AB2088" i="1"/>
  <c r="AC2088" i="1"/>
  <c r="AD2088" i="1"/>
  <c r="AE2088" i="1"/>
  <c r="AF2088" i="1"/>
  <c r="AG2088" i="1"/>
  <c r="AH2088" i="1"/>
  <c r="AI2088" i="1"/>
  <c r="AJ2088" i="1"/>
  <c r="AK2088" i="1"/>
  <c r="AL2088" i="1"/>
  <c r="AM2088" i="1"/>
  <c r="A2089" i="1"/>
  <c r="B2089" i="1"/>
  <c r="C2089" i="1"/>
  <c r="D2089" i="1"/>
  <c r="E2089" i="1"/>
  <c r="F2089" i="1"/>
  <c r="G2089" i="1"/>
  <c r="H2089" i="1"/>
  <c r="I2089" i="1"/>
  <c r="J2089" i="1"/>
  <c r="K2089" i="1"/>
  <c r="L2089" i="1"/>
  <c r="M2089" i="1"/>
  <c r="N2089" i="1"/>
  <c r="O2089" i="1"/>
  <c r="P2089" i="1"/>
  <c r="Q2089" i="1"/>
  <c r="R2089" i="1"/>
  <c r="S2089" i="1"/>
  <c r="T2089" i="1"/>
  <c r="U2089" i="1"/>
  <c r="V2089" i="1"/>
  <c r="W2089" i="1"/>
  <c r="X2089" i="1"/>
  <c r="Y2089" i="1"/>
  <c r="Z2089" i="1"/>
  <c r="AA2089" i="1"/>
  <c r="AB2089" i="1"/>
  <c r="AC2089" i="1"/>
  <c r="AD2089" i="1"/>
  <c r="AE2089" i="1"/>
  <c r="AF2089" i="1"/>
  <c r="AG2089" i="1"/>
  <c r="AH2089" i="1"/>
  <c r="AI2089" i="1"/>
  <c r="AJ2089" i="1"/>
  <c r="AK2089" i="1"/>
  <c r="AL2089" i="1"/>
  <c r="AM2089" i="1"/>
  <c r="A2090" i="1"/>
  <c r="B2090" i="1"/>
  <c r="C2090" i="1"/>
  <c r="D2090" i="1"/>
  <c r="E2090" i="1"/>
  <c r="F2090" i="1"/>
  <c r="G2090" i="1"/>
  <c r="H2090" i="1"/>
  <c r="I2090" i="1"/>
  <c r="J2090" i="1"/>
  <c r="K2090" i="1"/>
  <c r="L2090" i="1"/>
  <c r="M2090" i="1"/>
  <c r="N2090" i="1"/>
  <c r="O2090" i="1"/>
  <c r="P2090" i="1"/>
  <c r="Q2090" i="1"/>
  <c r="R2090" i="1"/>
  <c r="S2090" i="1"/>
  <c r="T2090" i="1"/>
  <c r="U2090" i="1"/>
  <c r="V2090" i="1"/>
  <c r="W2090" i="1"/>
  <c r="X2090" i="1"/>
  <c r="Y2090" i="1"/>
  <c r="Z2090" i="1"/>
  <c r="AA2090" i="1"/>
  <c r="AB2090" i="1"/>
  <c r="AC2090" i="1"/>
  <c r="AD2090" i="1"/>
  <c r="AE2090" i="1"/>
  <c r="AF2090" i="1"/>
  <c r="AG2090" i="1"/>
  <c r="AH2090" i="1"/>
  <c r="AI2090" i="1"/>
  <c r="AJ2090" i="1"/>
  <c r="AK2090" i="1"/>
  <c r="AL2090" i="1"/>
  <c r="AM2090" i="1"/>
  <c r="A2091" i="1"/>
  <c r="B2091" i="1"/>
  <c r="C2091" i="1"/>
  <c r="D2091" i="1"/>
  <c r="E2091" i="1"/>
  <c r="F2091" i="1"/>
  <c r="G2091" i="1"/>
  <c r="H2091" i="1"/>
  <c r="I2091" i="1"/>
  <c r="J2091" i="1"/>
  <c r="K2091" i="1"/>
  <c r="L2091" i="1"/>
  <c r="M2091" i="1"/>
  <c r="N2091" i="1"/>
  <c r="O2091" i="1"/>
  <c r="P2091" i="1"/>
  <c r="Q2091" i="1"/>
  <c r="R2091" i="1"/>
  <c r="S2091" i="1"/>
  <c r="T2091" i="1"/>
  <c r="U2091" i="1"/>
  <c r="V2091" i="1"/>
  <c r="W2091" i="1"/>
  <c r="X2091" i="1"/>
  <c r="Y2091" i="1"/>
  <c r="Z2091" i="1"/>
  <c r="AA2091" i="1"/>
  <c r="AB2091" i="1"/>
  <c r="AC2091" i="1"/>
  <c r="AD2091" i="1"/>
  <c r="AE2091" i="1"/>
  <c r="AF2091" i="1"/>
  <c r="AG2091" i="1"/>
  <c r="AH2091" i="1"/>
  <c r="AI2091" i="1"/>
  <c r="AJ2091" i="1"/>
  <c r="AK2091" i="1"/>
  <c r="AL2091" i="1"/>
  <c r="AM2091" i="1"/>
  <c r="A2092" i="1"/>
  <c r="B2092" i="1"/>
  <c r="C2092" i="1"/>
  <c r="D2092" i="1"/>
  <c r="E2092" i="1"/>
  <c r="F2092" i="1"/>
  <c r="G2092" i="1"/>
  <c r="H2092" i="1"/>
  <c r="I2092" i="1"/>
  <c r="J2092" i="1"/>
  <c r="K2092" i="1"/>
  <c r="L2092" i="1"/>
  <c r="M2092" i="1"/>
  <c r="N2092" i="1"/>
  <c r="O2092" i="1"/>
  <c r="P2092" i="1"/>
  <c r="Q2092" i="1"/>
  <c r="R2092" i="1"/>
  <c r="S2092" i="1"/>
  <c r="T2092" i="1"/>
  <c r="U2092" i="1"/>
  <c r="V2092" i="1"/>
  <c r="W2092" i="1"/>
  <c r="X2092" i="1"/>
  <c r="Y2092" i="1"/>
  <c r="Z2092" i="1"/>
  <c r="AA2092" i="1"/>
  <c r="AB2092" i="1"/>
  <c r="AC2092" i="1"/>
  <c r="AD2092" i="1"/>
  <c r="AE2092" i="1"/>
  <c r="AF2092" i="1"/>
  <c r="AG2092" i="1"/>
  <c r="AH2092" i="1"/>
  <c r="AI2092" i="1"/>
  <c r="AJ2092" i="1"/>
  <c r="AK2092" i="1"/>
  <c r="AL2092" i="1"/>
  <c r="AM2092" i="1"/>
  <c r="A2093" i="1"/>
  <c r="B2093" i="1"/>
  <c r="C2093" i="1"/>
  <c r="D2093" i="1"/>
  <c r="E2093" i="1"/>
  <c r="F2093" i="1"/>
  <c r="G2093" i="1"/>
  <c r="H2093" i="1"/>
  <c r="I2093" i="1"/>
  <c r="J2093" i="1"/>
  <c r="K2093" i="1"/>
  <c r="L2093" i="1"/>
  <c r="M2093" i="1"/>
  <c r="N2093" i="1"/>
  <c r="O2093" i="1"/>
  <c r="P2093" i="1"/>
  <c r="Q2093" i="1"/>
  <c r="R2093" i="1"/>
  <c r="S2093" i="1"/>
  <c r="T2093" i="1"/>
  <c r="U2093" i="1"/>
  <c r="V2093" i="1"/>
  <c r="W2093" i="1"/>
  <c r="X2093" i="1"/>
  <c r="Y2093" i="1"/>
  <c r="Z2093" i="1"/>
  <c r="AA2093" i="1"/>
  <c r="AB2093" i="1"/>
  <c r="AC2093" i="1"/>
  <c r="AD2093" i="1"/>
  <c r="AE2093" i="1"/>
  <c r="AF2093" i="1"/>
  <c r="AG2093" i="1"/>
  <c r="AH2093" i="1"/>
  <c r="AI2093" i="1"/>
  <c r="AJ2093" i="1"/>
  <c r="AK2093" i="1"/>
  <c r="AL2093" i="1"/>
  <c r="AM2093" i="1"/>
  <c r="A2094" i="1"/>
  <c r="B2094" i="1"/>
  <c r="C2094" i="1"/>
  <c r="D2094" i="1"/>
  <c r="E2094" i="1"/>
  <c r="F2094" i="1"/>
  <c r="G2094" i="1"/>
  <c r="H2094" i="1"/>
  <c r="I2094" i="1"/>
  <c r="J2094" i="1"/>
  <c r="K2094" i="1"/>
  <c r="L2094" i="1"/>
  <c r="M2094" i="1"/>
  <c r="N2094" i="1"/>
  <c r="O2094" i="1"/>
  <c r="P2094" i="1"/>
  <c r="Q2094" i="1"/>
  <c r="R2094" i="1"/>
  <c r="S2094" i="1"/>
  <c r="T2094" i="1"/>
  <c r="U2094" i="1"/>
  <c r="V2094" i="1"/>
  <c r="W2094" i="1"/>
  <c r="X2094" i="1"/>
  <c r="Y2094" i="1"/>
  <c r="Z2094" i="1"/>
  <c r="AA2094" i="1"/>
  <c r="AB2094" i="1"/>
  <c r="AC2094" i="1"/>
  <c r="AD2094" i="1"/>
  <c r="AE2094" i="1"/>
  <c r="AF2094" i="1"/>
  <c r="AG2094" i="1"/>
  <c r="AH2094" i="1"/>
  <c r="AI2094" i="1"/>
  <c r="AJ2094" i="1"/>
  <c r="AK2094" i="1"/>
  <c r="AL2094" i="1"/>
  <c r="AM2094" i="1"/>
  <c r="A2095" i="1"/>
  <c r="B2095" i="1"/>
  <c r="C2095" i="1"/>
  <c r="D2095" i="1"/>
  <c r="E2095" i="1"/>
  <c r="F2095" i="1"/>
  <c r="G2095" i="1"/>
  <c r="H2095" i="1"/>
  <c r="I2095" i="1"/>
  <c r="J2095" i="1"/>
  <c r="K2095" i="1"/>
  <c r="L2095" i="1"/>
  <c r="M2095" i="1"/>
  <c r="N2095" i="1"/>
  <c r="O2095" i="1"/>
  <c r="P2095" i="1"/>
  <c r="Q2095" i="1"/>
  <c r="R2095" i="1"/>
  <c r="S2095" i="1"/>
  <c r="T2095" i="1"/>
  <c r="U2095" i="1"/>
  <c r="V2095" i="1"/>
  <c r="W2095" i="1"/>
  <c r="X2095" i="1"/>
  <c r="Y2095" i="1"/>
  <c r="Z2095" i="1"/>
  <c r="AA2095" i="1"/>
  <c r="AB2095" i="1"/>
  <c r="AC2095" i="1"/>
  <c r="AD2095" i="1"/>
  <c r="AE2095" i="1"/>
  <c r="AF2095" i="1"/>
  <c r="AG2095" i="1"/>
  <c r="AH2095" i="1"/>
  <c r="AI2095" i="1"/>
  <c r="AJ2095" i="1"/>
  <c r="AK2095" i="1"/>
  <c r="AL2095" i="1"/>
  <c r="AM2095" i="1"/>
  <c r="A2096" i="1"/>
  <c r="B2096" i="1"/>
  <c r="C2096" i="1"/>
  <c r="D2096" i="1"/>
  <c r="E2096" i="1"/>
  <c r="F2096" i="1"/>
  <c r="G2096" i="1"/>
  <c r="H2096" i="1"/>
  <c r="I2096" i="1"/>
  <c r="J2096" i="1"/>
  <c r="K2096" i="1"/>
  <c r="L2096" i="1"/>
  <c r="M2096" i="1"/>
  <c r="N2096" i="1"/>
  <c r="O2096" i="1"/>
  <c r="P2096" i="1"/>
  <c r="Q2096" i="1"/>
  <c r="R2096" i="1"/>
  <c r="S2096" i="1"/>
  <c r="T2096" i="1"/>
  <c r="U2096" i="1"/>
  <c r="V2096" i="1"/>
  <c r="W2096" i="1"/>
  <c r="X2096" i="1"/>
  <c r="Y2096" i="1"/>
  <c r="Z2096" i="1"/>
  <c r="AA2096" i="1"/>
  <c r="AB2096" i="1"/>
  <c r="AC2096" i="1"/>
  <c r="AD2096" i="1"/>
  <c r="AE2096" i="1"/>
  <c r="AF2096" i="1"/>
  <c r="AG2096" i="1"/>
  <c r="AH2096" i="1"/>
  <c r="AI2096" i="1"/>
  <c r="AJ2096" i="1"/>
  <c r="AK2096" i="1"/>
  <c r="AL2096" i="1"/>
  <c r="AM2096" i="1"/>
  <c r="A2097" i="1"/>
  <c r="B2097" i="1"/>
  <c r="C2097" i="1"/>
  <c r="D2097" i="1"/>
  <c r="E2097" i="1"/>
  <c r="F2097" i="1"/>
  <c r="G2097" i="1"/>
  <c r="H2097" i="1"/>
  <c r="I2097" i="1"/>
  <c r="J2097" i="1"/>
  <c r="K2097" i="1"/>
  <c r="L2097" i="1"/>
  <c r="M2097" i="1"/>
  <c r="N2097" i="1"/>
  <c r="O2097" i="1"/>
  <c r="P2097" i="1"/>
  <c r="Q2097" i="1"/>
  <c r="R2097" i="1"/>
  <c r="S2097" i="1"/>
  <c r="T2097" i="1"/>
  <c r="U2097" i="1"/>
  <c r="V2097" i="1"/>
  <c r="W2097" i="1"/>
  <c r="X2097" i="1"/>
  <c r="Y2097" i="1"/>
  <c r="Z2097" i="1"/>
  <c r="AA2097" i="1"/>
  <c r="AB2097" i="1"/>
  <c r="AC2097" i="1"/>
  <c r="AD2097" i="1"/>
  <c r="AE2097" i="1"/>
  <c r="AF2097" i="1"/>
  <c r="AG2097" i="1"/>
  <c r="AH2097" i="1"/>
  <c r="AI2097" i="1"/>
  <c r="AJ2097" i="1"/>
  <c r="AK2097" i="1"/>
  <c r="AL2097" i="1"/>
  <c r="AM2097" i="1"/>
  <c r="A2098" i="1"/>
  <c r="B2098" i="1"/>
  <c r="C2098" i="1"/>
  <c r="D2098" i="1"/>
  <c r="E2098" i="1"/>
  <c r="F2098" i="1"/>
  <c r="G2098" i="1"/>
  <c r="H2098" i="1"/>
  <c r="I2098" i="1"/>
  <c r="J2098" i="1"/>
  <c r="K2098" i="1"/>
  <c r="L2098" i="1"/>
  <c r="M2098" i="1"/>
  <c r="N2098" i="1"/>
  <c r="O2098" i="1"/>
  <c r="P2098" i="1"/>
  <c r="Q2098" i="1"/>
  <c r="R2098" i="1"/>
  <c r="S2098" i="1"/>
  <c r="T2098" i="1"/>
  <c r="U2098" i="1"/>
  <c r="V2098" i="1"/>
  <c r="W2098" i="1"/>
  <c r="X2098" i="1"/>
  <c r="Y2098" i="1"/>
  <c r="Z2098" i="1"/>
  <c r="AA2098" i="1"/>
  <c r="AB2098" i="1"/>
  <c r="AC2098" i="1"/>
  <c r="AD2098" i="1"/>
  <c r="AE2098" i="1"/>
  <c r="AF2098" i="1"/>
  <c r="AG2098" i="1"/>
  <c r="AH2098" i="1"/>
  <c r="AI2098" i="1"/>
  <c r="AJ2098" i="1"/>
  <c r="AK2098" i="1"/>
  <c r="AL2098" i="1"/>
  <c r="AM2098" i="1"/>
  <c r="A2099" i="1"/>
  <c r="B2099" i="1"/>
  <c r="C2099" i="1"/>
  <c r="D2099" i="1"/>
  <c r="E2099" i="1"/>
  <c r="F2099" i="1"/>
  <c r="G2099" i="1"/>
  <c r="H2099" i="1"/>
  <c r="I2099" i="1"/>
  <c r="J2099" i="1"/>
  <c r="K2099" i="1"/>
  <c r="L2099" i="1"/>
  <c r="M2099" i="1"/>
  <c r="N2099" i="1"/>
  <c r="O2099" i="1"/>
  <c r="P2099" i="1"/>
  <c r="Q2099" i="1"/>
  <c r="R2099" i="1"/>
  <c r="S2099" i="1"/>
  <c r="T2099" i="1"/>
  <c r="U2099" i="1"/>
  <c r="V2099" i="1"/>
  <c r="W2099" i="1"/>
  <c r="X2099" i="1"/>
  <c r="Y2099" i="1"/>
  <c r="Z2099" i="1"/>
  <c r="AA2099" i="1"/>
  <c r="AB2099" i="1"/>
  <c r="AC2099" i="1"/>
  <c r="AD2099" i="1"/>
  <c r="AE2099" i="1"/>
  <c r="AF2099" i="1"/>
  <c r="AG2099" i="1"/>
  <c r="AH2099" i="1"/>
  <c r="AI2099" i="1"/>
  <c r="AJ2099" i="1"/>
  <c r="AK2099" i="1"/>
  <c r="AL2099" i="1"/>
  <c r="AM2099" i="1"/>
  <c r="A2100" i="1"/>
  <c r="B2100" i="1"/>
  <c r="C2100" i="1"/>
  <c r="D2100" i="1"/>
  <c r="E2100" i="1"/>
  <c r="F2100" i="1"/>
  <c r="G2100" i="1"/>
  <c r="H2100" i="1"/>
  <c r="I2100" i="1"/>
  <c r="J2100" i="1"/>
  <c r="K2100" i="1"/>
  <c r="L2100" i="1"/>
  <c r="M2100" i="1"/>
  <c r="N2100" i="1"/>
  <c r="O2100" i="1"/>
  <c r="P2100" i="1"/>
  <c r="Q2100" i="1"/>
  <c r="R2100" i="1"/>
  <c r="S2100" i="1"/>
  <c r="T2100" i="1"/>
  <c r="U2100" i="1"/>
  <c r="V2100" i="1"/>
  <c r="W2100" i="1"/>
  <c r="X2100" i="1"/>
  <c r="Y2100" i="1"/>
  <c r="Z2100" i="1"/>
  <c r="AA2100" i="1"/>
  <c r="AB2100" i="1"/>
  <c r="AC2100" i="1"/>
  <c r="AD2100" i="1"/>
  <c r="AE2100" i="1"/>
  <c r="AF2100" i="1"/>
  <c r="AG2100" i="1"/>
  <c r="AH2100" i="1"/>
  <c r="AI2100" i="1"/>
  <c r="AJ2100" i="1"/>
  <c r="AK2100" i="1"/>
  <c r="AL2100" i="1"/>
  <c r="AM2100" i="1"/>
  <c r="A2101" i="1"/>
  <c r="B2101" i="1"/>
  <c r="C2101" i="1"/>
  <c r="D2101" i="1"/>
  <c r="E2101" i="1"/>
  <c r="F2101" i="1"/>
  <c r="G2101" i="1"/>
  <c r="H2101" i="1"/>
  <c r="I2101" i="1"/>
  <c r="J2101" i="1"/>
  <c r="K2101" i="1"/>
  <c r="L2101" i="1"/>
  <c r="M2101" i="1"/>
  <c r="N2101" i="1"/>
  <c r="O2101" i="1"/>
  <c r="P2101" i="1"/>
  <c r="Q2101" i="1"/>
  <c r="R2101" i="1"/>
  <c r="S2101" i="1"/>
  <c r="T2101" i="1"/>
  <c r="U2101" i="1"/>
  <c r="V2101" i="1"/>
  <c r="W2101" i="1"/>
  <c r="X2101" i="1"/>
  <c r="Y2101" i="1"/>
  <c r="Z2101" i="1"/>
  <c r="AA2101" i="1"/>
  <c r="AB2101" i="1"/>
  <c r="AC2101" i="1"/>
  <c r="AD2101" i="1"/>
  <c r="AE2101" i="1"/>
  <c r="AF2101" i="1"/>
  <c r="AG2101" i="1"/>
  <c r="AH2101" i="1"/>
  <c r="AI2101" i="1"/>
  <c r="AJ2101" i="1"/>
  <c r="AK2101" i="1"/>
  <c r="AL2101" i="1"/>
  <c r="AM2101" i="1"/>
  <c r="A2102" i="1"/>
  <c r="B2102" i="1"/>
  <c r="C2102" i="1"/>
  <c r="D2102" i="1"/>
  <c r="E2102" i="1"/>
  <c r="F2102" i="1"/>
  <c r="G2102" i="1"/>
  <c r="H2102" i="1"/>
  <c r="I2102" i="1"/>
  <c r="J2102" i="1"/>
  <c r="K2102" i="1"/>
  <c r="L2102" i="1"/>
  <c r="M2102" i="1"/>
  <c r="N2102" i="1"/>
  <c r="O2102" i="1"/>
  <c r="P2102" i="1"/>
  <c r="Q2102" i="1"/>
  <c r="R2102" i="1"/>
  <c r="S2102" i="1"/>
  <c r="T2102" i="1"/>
  <c r="U2102" i="1"/>
  <c r="V2102" i="1"/>
  <c r="W2102" i="1"/>
  <c r="X2102" i="1"/>
  <c r="Y2102" i="1"/>
  <c r="Z2102" i="1"/>
  <c r="AA2102" i="1"/>
  <c r="AB2102" i="1"/>
  <c r="AC2102" i="1"/>
  <c r="AD2102" i="1"/>
  <c r="AE2102" i="1"/>
  <c r="AF2102" i="1"/>
  <c r="AG2102" i="1"/>
  <c r="AH2102" i="1"/>
  <c r="AI2102" i="1"/>
  <c r="AJ2102" i="1"/>
  <c r="AK2102" i="1"/>
  <c r="AL2102" i="1"/>
  <c r="AM2102" i="1"/>
  <c r="A2103" i="1"/>
  <c r="B2103" i="1"/>
  <c r="C2103" i="1"/>
  <c r="D2103" i="1"/>
  <c r="E2103" i="1"/>
  <c r="F2103" i="1"/>
  <c r="G2103" i="1"/>
  <c r="H2103" i="1"/>
  <c r="I2103" i="1"/>
  <c r="J2103" i="1"/>
  <c r="K2103" i="1"/>
  <c r="L2103" i="1"/>
  <c r="M2103" i="1"/>
  <c r="N2103" i="1"/>
  <c r="O2103" i="1"/>
  <c r="P2103" i="1"/>
  <c r="Q2103" i="1"/>
  <c r="R2103" i="1"/>
  <c r="S2103" i="1"/>
  <c r="T2103" i="1"/>
  <c r="U2103" i="1"/>
  <c r="V2103" i="1"/>
  <c r="W2103" i="1"/>
  <c r="X2103" i="1"/>
  <c r="Y2103" i="1"/>
  <c r="Z2103" i="1"/>
  <c r="AA2103" i="1"/>
  <c r="AB2103" i="1"/>
  <c r="AC2103" i="1"/>
  <c r="AD2103" i="1"/>
  <c r="AE2103" i="1"/>
  <c r="AF2103" i="1"/>
  <c r="AG2103" i="1"/>
  <c r="AH2103" i="1"/>
  <c r="AI2103" i="1"/>
  <c r="AJ2103" i="1"/>
  <c r="AK2103" i="1"/>
  <c r="AL2103" i="1"/>
  <c r="AM2103" i="1"/>
  <c r="A2104" i="1"/>
  <c r="B2104" i="1"/>
  <c r="C2104" i="1"/>
  <c r="D2104" i="1"/>
  <c r="E2104" i="1"/>
  <c r="F2104" i="1"/>
  <c r="G2104" i="1"/>
  <c r="H2104" i="1"/>
  <c r="I2104" i="1"/>
  <c r="J2104" i="1"/>
  <c r="K2104" i="1"/>
  <c r="L2104" i="1"/>
  <c r="M2104" i="1"/>
  <c r="N2104" i="1"/>
  <c r="O2104" i="1"/>
  <c r="P2104" i="1"/>
  <c r="Q2104" i="1"/>
  <c r="R2104" i="1"/>
  <c r="S2104" i="1"/>
  <c r="T2104" i="1"/>
  <c r="U2104" i="1"/>
  <c r="V2104" i="1"/>
  <c r="W2104" i="1"/>
  <c r="X2104" i="1"/>
  <c r="Y2104" i="1"/>
  <c r="Z2104" i="1"/>
  <c r="AA2104" i="1"/>
  <c r="AB2104" i="1"/>
  <c r="AC2104" i="1"/>
  <c r="AD2104" i="1"/>
  <c r="AE2104" i="1"/>
  <c r="AF2104" i="1"/>
  <c r="AG2104" i="1"/>
  <c r="AH2104" i="1"/>
  <c r="AI2104" i="1"/>
  <c r="AJ2104" i="1"/>
  <c r="AK2104" i="1"/>
  <c r="AL2104" i="1"/>
  <c r="AM2104" i="1"/>
  <c r="A2105" i="1"/>
  <c r="B2105" i="1"/>
  <c r="C2105" i="1"/>
  <c r="D2105" i="1"/>
  <c r="E2105" i="1"/>
  <c r="F2105" i="1"/>
  <c r="G2105" i="1"/>
  <c r="H2105" i="1"/>
  <c r="I2105" i="1"/>
  <c r="J2105" i="1"/>
  <c r="K2105" i="1"/>
  <c r="L2105" i="1"/>
  <c r="M2105" i="1"/>
  <c r="N2105" i="1"/>
  <c r="O2105" i="1"/>
  <c r="P2105" i="1"/>
  <c r="Q2105" i="1"/>
  <c r="R2105" i="1"/>
  <c r="S2105" i="1"/>
  <c r="T2105" i="1"/>
  <c r="U2105" i="1"/>
  <c r="V2105" i="1"/>
  <c r="W2105" i="1"/>
  <c r="X2105" i="1"/>
  <c r="Y2105" i="1"/>
  <c r="Z2105" i="1"/>
  <c r="AA2105" i="1"/>
  <c r="AB2105" i="1"/>
  <c r="AC2105" i="1"/>
  <c r="AD2105" i="1"/>
  <c r="AE2105" i="1"/>
  <c r="AF2105" i="1"/>
  <c r="AG2105" i="1"/>
  <c r="AH2105" i="1"/>
  <c r="AI2105" i="1"/>
  <c r="AJ2105" i="1"/>
  <c r="AK2105" i="1"/>
  <c r="AL2105" i="1"/>
  <c r="AM2105" i="1"/>
  <c r="A2106" i="1"/>
  <c r="B2106" i="1"/>
  <c r="C2106" i="1"/>
  <c r="D2106" i="1"/>
  <c r="E2106" i="1"/>
  <c r="F2106" i="1"/>
  <c r="G2106" i="1"/>
  <c r="H2106" i="1"/>
  <c r="I2106" i="1"/>
  <c r="J2106" i="1"/>
  <c r="K2106" i="1"/>
  <c r="L2106" i="1"/>
  <c r="M2106" i="1"/>
  <c r="N2106" i="1"/>
  <c r="O2106" i="1"/>
  <c r="P2106" i="1"/>
  <c r="Q2106" i="1"/>
  <c r="R2106" i="1"/>
  <c r="S2106" i="1"/>
  <c r="T2106" i="1"/>
  <c r="U2106" i="1"/>
  <c r="V2106" i="1"/>
  <c r="W2106" i="1"/>
  <c r="X2106" i="1"/>
  <c r="Y2106" i="1"/>
  <c r="Z2106" i="1"/>
  <c r="AA2106" i="1"/>
  <c r="AB2106" i="1"/>
  <c r="AC2106" i="1"/>
  <c r="AD2106" i="1"/>
  <c r="AE2106" i="1"/>
  <c r="AF2106" i="1"/>
  <c r="AG2106" i="1"/>
  <c r="AH2106" i="1"/>
  <c r="AI2106" i="1"/>
  <c r="AJ2106" i="1"/>
  <c r="AK2106" i="1"/>
  <c r="AL2106" i="1"/>
  <c r="AM2106" i="1"/>
  <c r="A2107" i="1"/>
  <c r="B2107" i="1"/>
  <c r="C2107" i="1"/>
  <c r="D2107" i="1"/>
  <c r="E2107" i="1"/>
  <c r="F2107" i="1"/>
  <c r="G2107" i="1"/>
  <c r="H2107" i="1"/>
  <c r="I2107" i="1"/>
  <c r="J2107" i="1"/>
  <c r="K2107" i="1"/>
  <c r="L2107" i="1"/>
  <c r="M2107" i="1"/>
  <c r="N2107" i="1"/>
  <c r="O2107" i="1"/>
  <c r="P2107" i="1"/>
  <c r="Q2107" i="1"/>
  <c r="R2107" i="1"/>
  <c r="S2107" i="1"/>
  <c r="T2107" i="1"/>
  <c r="U2107" i="1"/>
  <c r="V2107" i="1"/>
  <c r="W2107" i="1"/>
  <c r="X2107" i="1"/>
  <c r="Y2107" i="1"/>
  <c r="Z2107" i="1"/>
  <c r="AA2107" i="1"/>
  <c r="AB2107" i="1"/>
  <c r="AC2107" i="1"/>
  <c r="AD2107" i="1"/>
  <c r="AE2107" i="1"/>
  <c r="AF2107" i="1"/>
  <c r="AG2107" i="1"/>
  <c r="AH2107" i="1"/>
  <c r="AI2107" i="1"/>
  <c r="AJ2107" i="1"/>
  <c r="AK2107" i="1"/>
  <c r="AL2107" i="1"/>
  <c r="AM2107" i="1"/>
  <c r="A2108" i="1"/>
  <c r="B2108" i="1"/>
  <c r="C2108" i="1"/>
  <c r="D2108" i="1"/>
  <c r="E2108" i="1"/>
  <c r="F2108" i="1"/>
  <c r="G2108" i="1"/>
  <c r="H2108" i="1"/>
  <c r="I2108" i="1"/>
  <c r="J2108" i="1"/>
  <c r="K2108" i="1"/>
  <c r="L2108" i="1"/>
  <c r="M2108" i="1"/>
  <c r="N2108" i="1"/>
  <c r="O2108" i="1"/>
  <c r="P2108" i="1"/>
  <c r="Q2108" i="1"/>
  <c r="R2108" i="1"/>
  <c r="S2108" i="1"/>
  <c r="T2108" i="1"/>
  <c r="U2108" i="1"/>
  <c r="V2108" i="1"/>
  <c r="W2108" i="1"/>
  <c r="X2108" i="1"/>
  <c r="Y2108" i="1"/>
  <c r="Z2108" i="1"/>
  <c r="AA2108" i="1"/>
  <c r="AB2108" i="1"/>
  <c r="AC2108" i="1"/>
  <c r="AD2108" i="1"/>
  <c r="AE2108" i="1"/>
  <c r="AF2108" i="1"/>
  <c r="AG2108" i="1"/>
  <c r="AH2108" i="1"/>
  <c r="AI2108" i="1"/>
  <c r="AJ2108" i="1"/>
  <c r="AK2108" i="1"/>
  <c r="AL2108" i="1"/>
  <c r="AM2108" i="1"/>
  <c r="A2109" i="1"/>
  <c r="B2109" i="1"/>
  <c r="C2109" i="1"/>
  <c r="D2109" i="1"/>
  <c r="E2109" i="1"/>
  <c r="F2109" i="1"/>
  <c r="G2109" i="1"/>
  <c r="H2109" i="1"/>
  <c r="I2109" i="1"/>
  <c r="J2109" i="1"/>
  <c r="K2109" i="1"/>
  <c r="L2109" i="1"/>
  <c r="M2109" i="1"/>
  <c r="N2109" i="1"/>
  <c r="O2109" i="1"/>
  <c r="P2109" i="1"/>
  <c r="Q2109" i="1"/>
  <c r="R2109" i="1"/>
  <c r="S2109" i="1"/>
  <c r="T2109" i="1"/>
  <c r="U2109" i="1"/>
  <c r="V2109" i="1"/>
  <c r="W2109" i="1"/>
  <c r="X2109" i="1"/>
  <c r="Y2109" i="1"/>
  <c r="Z2109" i="1"/>
  <c r="AA2109" i="1"/>
  <c r="AB2109" i="1"/>
  <c r="AC2109" i="1"/>
  <c r="AD2109" i="1"/>
  <c r="AE2109" i="1"/>
  <c r="AF2109" i="1"/>
  <c r="AG2109" i="1"/>
  <c r="AH2109" i="1"/>
  <c r="AI2109" i="1"/>
  <c r="AJ2109" i="1"/>
  <c r="AK2109" i="1"/>
  <c r="AL2109" i="1"/>
  <c r="AM2109" i="1"/>
  <c r="A2110" i="1"/>
  <c r="B2110" i="1"/>
  <c r="C2110" i="1"/>
  <c r="D2110" i="1"/>
  <c r="E2110" i="1"/>
  <c r="F2110" i="1"/>
  <c r="G2110" i="1"/>
  <c r="H2110" i="1"/>
  <c r="I2110" i="1"/>
  <c r="J2110" i="1"/>
  <c r="K2110" i="1"/>
  <c r="L2110" i="1"/>
  <c r="M2110" i="1"/>
  <c r="N2110" i="1"/>
  <c r="O2110" i="1"/>
  <c r="P2110" i="1"/>
  <c r="Q2110" i="1"/>
  <c r="R2110" i="1"/>
  <c r="S2110" i="1"/>
  <c r="T2110" i="1"/>
  <c r="U2110" i="1"/>
  <c r="V2110" i="1"/>
  <c r="W2110" i="1"/>
  <c r="X2110" i="1"/>
  <c r="Y2110" i="1"/>
  <c r="Z2110" i="1"/>
  <c r="AA2110" i="1"/>
  <c r="AB2110" i="1"/>
  <c r="AC2110" i="1"/>
  <c r="AD2110" i="1"/>
  <c r="AE2110" i="1"/>
  <c r="AF2110" i="1"/>
  <c r="AG2110" i="1"/>
  <c r="AH2110" i="1"/>
  <c r="AI2110" i="1"/>
  <c r="AJ2110" i="1"/>
  <c r="AK2110" i="1"/>
  <c r="AL2110" i="1"/>
  <c r="AM2110" i="1"/>
  <c r="A2111" i="1"/>
  <c r="B2111" i="1"/>
  <c r="C2111" i="1"/>
  <c r="D2111" i="1"/>
  <c r="E2111" i="1"/>
  <c r="F2111" i="1"/>
  <c r="G2111" i="1"/>
  <c r="H2111" i="1"/>
  <c r="I2111" i="1"/>
  <c r="J2111" i="1"/>
  <c r="K2111" i="1"/>
  <c r="L2111" i="1"/>
  <c r="M2111" i="1"/>
  <c r="N2111" i="1"/>
  <c r="O2111" i="1"/>
  <c r="P2111" i="1"/>
  <c r="Q2111" i="1"/>
  <c r="R2111" i="1"/>
  <c r="S2111" i="1"/>
  <c r="T2111" i="1"/>
  <c r="U2111" i="1"/>
  <c r="V2111" i="1"/>
  <c r="W2111" i="1"/>
  <c r="X2111" i="1"/>
  <c r="Y2111" i="1"/>
  <c r="Z2111" i="1"/>
  <c r="AA2111" i="1"/>
  <c r="AB2111" i="1"/>
  <c r="AC2111" i="1"/>
  <c r="AD2111" i="1"/>
  <c r="AE2111" i="1"/>
  <c r="AF2111" i="1"/>
  <c r="AG2111" i="1"/>
  <c r="AH2111" i="1"/>
  <c r="AI2111" i="1"/>
  <c r="AJ2111" i="1"/>
  <c r="AK2111" i="1"/>
  <c r="AL2111" i="1"/>
  <c r="AM2111" i="1"/>
  <c r="A2112" i="1"/>
  <c r="B2112" i="1"/>
  <c r="C2112" i="1"/>
  <c r="D2112" i="1"/>
  <c r="E2112" i="1"/>
  <c r="F2112" i="1"/>
  <c r="G2112" i="1"/>
  <c r="H2112" i="1"/>
  <c r="I2112" i="1"/>
  <c r="J2112" i="1"/>
  <c r="K2112" i="1"/>
  <c r="L2112" i="1"/>
  <c r="M2112" i="1"/>
  <c r="N2112" i="1"/>
  <c r="O2112" i="1"/>
  <c r="P2112" i="1"/>
  <c r="Q2112" i="1"/>
  <c r="R2112" i="1"/>
  <c r="S2112" i="1"/>
  <c r="T2112" i="1"/>
  <c r="U2112" i="1"/>
  <c r="V2112" i="1"/>
  <c r="W2112" i="1"/>
  <c r="X2112" i="1"/>
  <c r="Y2112" i="1"/>
  <c r="Z2112" i="1"/>
  <c r="AA2112" i="1"/>
  <c r="AB2112" i="1"/>
  <c r="AC2112" i="1"/>
  <c r="AD2112" i="1"/>
  <c r="AE2112" i="1"/>
  <c r="AF2112" i="1"/>
  <c r="AG2112" i="1"/>
  <c r="AH2112" i="1"/>
  <c r="AI2112" i="1"/>
  <c r="AJ2112" i="1"/>
  <c r="AK2112" i="1"/>
  <c r="AL2112" i="1"/>
  <c r="AM2112" i="1"/>
  <c r="A2113" i="1"/>
  <c r="B2113" i="1"/>
  <c r="C2113" i="1"/>
  <c r="D2113" i="1"/>
  <c r="E2113" i="1"/>
  <c r="F2113" i="1"/>
  <c r="G2113" i="1"/>
  <c r="H2113" i="1"/>
  <c r="I2113" i="1"/>
  <c r="J2113" i="1"/>
  <c r="K2113" i="1"/>
  <c r="L2113" i="1"/>
  <c r="M2113" i="1"/>
  <c r="N2113" i="1"/>
  <c r="O2113" i="1"/>
  <c r="P2113" i="1"/>
  <c r="Q2113" i="1"/>
  <c r="R2113" i="1"/>
  <c r="S2113" i="1"/>
  <c r="T2113" i="1"/>
  <c r="U2113" i="1"/>
  <c r="V2113" i="1"/>
  <c r="W2113" i="1"/>
  <c r="X2113" i="1"/>
  <c r="Y2113" i="1"/>
  <c r="Z2113" i="1"/>
  <c r="AA2113" i="1"/>
  <c r="AB2113" i="1"/>
  <c r="AC2113" i="1"/>
  <c r="AD2113" i="1"/>
  <c r="AE2113" i="1"/>
  <c r="AF2113" i="1"/>
  <c r="AG2113" i="1"/>
  <c r="AH2113" i="1"/>
  <c r="AI2113" i="1"/>
  <c r="AJ2113" i="1"/>
  <c r="AK2113" i="1"/>
  <c r="AL2113" i="1"/>
  <c r="AM2113" i="1"/>
  <c r="A2114" i="1"/>
  <c r="B2114" i="1"/>
  <c r="C2114" i="1"/>
  <c r="D2114" i="1"/>
  <c r="E2114" i="1"/>
  <c r="F2114" i="1"/>
  <c r="G2114" i="1"/>
  <c r="H2114" i="1"/>
  <c r="I2114" i="1"/>
  <c r="J2114" i="1"/>
  <c r="K2114" i="1"/>
  <c r="L2114" i="1"/>
  <c r="M2114" i="1"/>
  <c r="N2114" i="1"/>
  <c r="O2114" i="1"/>
  <c r="P2114" i="1"/>
  <c r="Q2114" i="1"/>
  <c r="R2114" i="1"/>
  <c r="S2114" i="1"/>
  <c r="T2114" i="1"/>
  <c r="U2114" i="1"/>
  <c r="V2114" i="1"/>
  <c r="W2114" i="1"/>
  <c r="X2114" i="1"/>
  <c r="Y2114" i="1"/>
  <c r="Z2114" i="1"/>
  <c r="AA2114" i="1"/>
  <c r="AB2114" i="1"/>
  <c r="AC2114" i="1"/>
  <c r="AD2114" i="1"/>
  <c r="AE2114" i="1"/>
  <c r="AF2114" i="1"/>
  <c r="AG2114" i="1"/>
  <c r="AH2114" i="1"/>
  <c r="AI2114" i="1"/>
  <c r="AJ2114" i="1"/>
  <c r="AK2114" i="1"/>
  <c r="AL2114" i="1"/>
  <c r="AM2114" i="1"/>
  <c r="A2115" i="1"/>
  <c r="B2115" i="1"/>
  <c r="C2115" i="1"/>
  <c r="D2115" i="1"/>
  <c r="E2115" i="1"/>
  <c r="F2115" i="1"/>
  <c r="G2115" i="1"/>
  <c r="H2115" i="1"/>
  <c r="I2115" i="1"/>
  <c r="J2115" i="1"/>
  <c r="K2115" i="1"/>
  <c r="L2115" i="1"/>
  <c r="M2115" i="1"/>
  <c r="N2115" i="1"/>
  <c r="O2115" i="1"/>
  <c r="P2115" i="1"/>
  <c r="Q2115" i="1"/>
  <c r="R2115" i="1"/>
  <c r="S2115" i="1"/>
  <c r="T2115" i="1"/>
  <c r="U2115" i="1"/>
  <c r="V2115" i="1"/>
  <c r="W2115" i="1"/>
  <c r="X2115" i="1"/>
  <c r="Y2115" i="1"/>
  <c r="Z2115" i="1"/>
  <c r="AA2115" i="1"/>
  <c r="AB2115" i="1"/>
  <c r="AC2115" i="1"/>
  <c r="AD2115" i="1"/>
  <c r="AE2115" i="1"/>
  <c r="AF2115" i="1"/>
  <c r="AG2115" i="1"/>
  <c r="AH2115" i="1"/>
  <c r="AI2115" i="1"/>
  <c r="AJ2115" i="1"/>
  <c r="AK2115" i="1"/>
  <c r="AL2115" i="1"/>
  <c r="AM2115" i="1"/>
  <c r="A2116" i="1"/>
  <c r="B2116" i="1"/>
  <c r="C2116" i="1"/>
  <c r="D2116" i="1"/>
  <c r="E2116" i="1"/>
  <c r="F2116" i="1"/>
  <c r="G2116" i="1"/>
  <c r="H2116" i="1"/>
  <c r="I2116" i="1"/>
  <c r="J2116" i="1"/>
  <c r="K2116" i="1"/>
  <c r="L2116" i="1"/>
  <c r="M2116" i="1"/>
  <c r="N2116" i="1"/>
  <c r="O2116" i="1"/>
  <c r="P2116" i="1"/>
  <c r="Q2116" i="1"/>
  <c r="R2116" i="1"/>
  <c r="S2116" i="1"/>
  <c r="T2116" i="1"/>
  <c r="U2116" i="1"/>
  <c r="V2116" i="1"/>
  <c r="W2116" i="1"/>
  <c r="X2116" i="1"/>
  <c r="Y2116" i="1"/>
  <c r="Z2116" i="1"/>
  <c r="AA2116" i="1"/>
  <c r="AB2116" i="1"/>
  <c r="AC2116" i="1"/>
  <c r="AD2116" i="1"/>
  <c r="AE2116" i="1"/>
  <c r="AF2116" i="1"/>
  <c r="AG2116" i="1"/>
  <c r="AH2116" i="1"/>
  <c r="AI2116" i="1"/>
  <c r="AJ2116" i="1"/>
  <c r="AK2116" i="1"/>
  <c r="AL2116" i="1"/>
  <c r="AM2116" i="1"/>
  <c r="A2117" i="1"/>
  <c r="B2117" i="1"/>
  <c r="C2117" i="1"/>
  <c r="D2117" i="1"/>
  <c r="E2117" i="1"/>
  <c r="F2117" i="1"/>
  <c r="G2117" i="1"/>
  <c r="H2117" i="1"/>
  <c r="I2117" i="1"/>
  <c r="J2117" i="1"/>
  <c r="K2117" i="1"/>
  <c r="L2117" i="1"/>
  <c r="M2117" i="1"/>
  <c r="N2117" i="1"/>
  <c r="O2117" i="1"/>
  <c r="P2117" i="1"/>
  <c r="Q2117" i="1"/>
  <c r="R2117" i="1"/>
  <c r="S2117" i="1"/>
  <c r="T2117" i="1"/>
  <c r="U2117" i="1"/>
  <c r="V2117" i="1"/>
  <c r="W2117" i="1"/>
  <c r="X2117" i="1"/>
  <c r="Y2117" i="1"/>
  <c r="Z2117" i="1"/>
  <c r="AA2117" i="1"/>
  <c r="AB2117" i="1"/>
  <c r="AC2117" i="1"/>
  <c r="AD2117" i="1"/>
  <c r="AE2117" i="1"/>
  <c r="AF2117" i="1"/>
  <c r="AG2117" i="1"/>
  <c r="AH2117" i="1"/>
  <c r="AI2117" i="1"/>
  <c r="AJ2117" i="1"/>
  <c r="AK2117" i="1"/>
  <c r="AL2117" i="1"/>
  <c r="AM2117" i="1"/>
  <c r="A2118" i="1"/>
  <c r="B2118" i="1"/>
  <c r="C2118" i="1"/>
  <c r="D2118" i="1"/>
  <c r="E2118" i="1"/>
  <c r="F2118" i="1"/>
  <c r="G2118" i="1"/>
  <c r="H2118" i="1"/>
  <c r="I2118" i="1"/>
  <c r="J2118" i="1"/>
  <c r="K2118" i="1"/>
  <c r="L2118" i="1"/>
  <c r="M2118" i="1"/>
  <c r="N2118" i="1"/>
  <c r="O2118" i="1"/>
  <c r="P2118" i="1"/>
  <c r="Q2118" i="1"/>
  <c r="R2118" i="1"/>
  <c r="S2118" i="1"/>
  <c r="T2118" i="1"/>
  <c r="U2118" i="1"/>
  <c r="V2118" i="1"/>
  <c r="W2118" i="1"/>
  <c r="X2118" i="1"/>
  <c r="Y2118" i="1"/>
  <c r="Z2118" i="1"/>
  <c r="AA2118" i="1"/>
  <c r="AB2118" i="1"/>
  <c r="AC2118" i="1"/>
  <c r="AD2118" i="1"/>
  <c r="AE2118" i="1"/>
  <c r="AF2118" i="1"/>
  <c r="AG2118" i="1"/>
  <c r="AH2118" i="1"/>
  <c r="AI2118" i="1"/>
  <c r="AJ2118" i="1"/>
  <c r="AK2118" i="1"/>
  <c r="AL2118" i="1"/>
  <c r="AM2118" i="1"/>
  <c r="A2119" i="1"/>
  <c r="B2119" i="1"/>
  <c r="C2119" i="1"/>
  <c r="D2119" i="1"/>
  <c r="E2119" i="1"/>
  <c r="F2119" i="1"/>
  <c r="G2119" i="1"/>
  <c r="H2119" i="1"/>
  <c r="I2119" i="1"/>
  <c r="J2119" i="1"/>
  <c r="K2119" i="1"/>
  <c r="L2119" i="1"/>
  <c r="M2119" i="1"/>
  <c r="N2119" i="1"/>
  <c r="O2119" i="1"/>
  <c r="P2119" i="1"/>
  <c r="Q2119" i="1"/>
  <c r="R2119" i="1"/>
  <c r="S2119" i="1"/>
  <c r="T2119" i="1"/>
  <c r="U2119" i="1"/>
  <c r="V2119" i="1"/>
  <c r="W2119" i="1"/>
  <c r="X2119" i="1"/>
  <c r="Y2119" i="1"/>
  <c r="Z2119" i="1"/>
  <c r="AA2119" i="1"/>
  <c r="AB2119" i="1"/>
  <c r="AC2119" i="1"/>
  <c r="AD2119" i="1"/>
  <c r="AE2119" i="1"/>
  <c r="AF2119" i="1"/>
  <c r="AG2119" i="1"/>
  <c r="AH2119" i="1"/>
  <c r="AI2119" i="1"/>
  <c r="AJ2119" i="1"/>
  <c r="AK2119" i="1"/>
  <c r="AL2119" i="1"/>
  <c r="AM2119" i="1"/>
  <c r="A2120" i="1"/>
  <c r="B2120" i="1"/>
  <c r="C2120" i="1"/>
  <c r="D2120" i="1"/>
  <c r="E2120" i="1"/>
  <c r="F2120" i="1"/>
  <c r="G2120" i="1"/>
  <c r="H2120" i="1"/>
  <c r="I2120" i="1"/>
  <c r="J2120" i="1"/>
  <c r="K2120" i="1"/>
  <c r="L2120" i="1"/>
  <c r="M2120" i="1"/>
  <c r="N2120" i="1"/>
  <c r="O2120" i="1"/>
  <c r="P2120" i="1"/>
  <c r="Q2120" i="1"/>
  <c r="R2120" i="1"/>
  <c r="S2120" i="1"/>
  <c r="T2120" i="1"/>
  <c r="U2120" i="1"/>
  <c r="V2120" i="1"/>
  <c r="W2120" i="1"/>
  <c r="X2120" i="1"/>
  <c r="Y2120" i="1"/>
  <c r="Z2120" i="1"/>
  <c r="AA2120" i="1"/>
  <c r="AB2120" i="1"/>
  <c r="AC2120" i="1"/>
  <c r="AD2120" i="1"/>
  <c r="AE2120" i="1"/>
  <c r="AF2120" i="1"/>
  <c r="AG2120" i="1"/>
  <c r="AH2120" i="1"/>
  <c r="AI2120" i="1"/>
  <c r="AJ2120" i="1"/>
  <c r="AK2120" i="1"/>
  <c r="AL2120" i="1"/>
  <c r="AM2120" i="1"/>
  <c r="A2121" i="1"/>
  <c r="B2121" i="1"/>
  <c r="C2121" i="1"/>
  <c r="D2121" i="1"/>
  <c r="E2121" i="1"/>
  <c r="F2121" i="1"/>
  <c r="G2121" i="1"/>
  <c r="H2121" i="1"/>
  <c r="I2121" i="1"/>
  <c r="J2121" i="1"/>
  <c r="K2121" i="1"/>
  <c r="L2121" i="1"/>
  <c r="M2121" i="1"/>
  <c r="N2121" i="1"/>
  <c r="O2121" i="1"/>
  <c r="P2121" i="1"/>
  <c r="Q2121" i="1"/>
  <c r="R2121" i="1"/>
  <c r="S2121" i="1"/>
  <c r="T2121" i="1"/>
  <c r="U2121" i="1"/>
  <c r="V2121" i="1"/>
  <c r="W2121" i="1"/>
  <c r="X2121" i="1"/>
  <c r="Y2121" i="1"/>
  <c r="Z2121" i="1"/>
  <c r="AA2121" i="1"/>
  <c r="AB2121" i="1"/>
  <c r="AC2121" i="1"/>
  <c r="AD2121" i="1"/>
  <c r="AE2121" i="1"/>
  <c r="AF2121" i="1"/>
  <c r="AG2121" i="1"/>
  <c r="AH2121" i="1"/>
  <c r="AI2121" i="1"/>
  <c r="AJ2121" i="1"/>
  <c r="AK2121" i="1"/>
  <c r="AL2121" i="1"/>
  <c r="AM2121" i="1"/>
  <c r="A2122" i="1"/>
  <c r="B2122" i="1"/>
  <c r="C2122" i="1"/>
  <c r="D2122" i="1"/>
  <c r="E2122" i="1"/>
  <c r="F2122" i="1"/>
  <c r="G2122" i="1"/>
  <c r="H2122" i="1"/>
  <c r="I2122" i="1"/>
  <c r="J2122" i="1"/>
  <c r="K2122" i="1"/>
  <c r="L2122" i="1"/>
  <c r="M2122" i="1"/>
  <c r="N2122" i="1"/>
  <c r="O2122" i="1"/>
  <c r="P2122" i="1"/>
  <c r="Q2122" i="1"/>
  <c r="R2122" i="1"/>
  <c r="S2122" i="1"/>
  <c r="T2122" i="1"/>
  <c r="U2122" i="1"/>
  <c r="V2122" i="1"/>
  <c r="W2122" i="1"/>
  <c r="X2122" i="1"/>
  <c r="Y2122" i="1"/>
  <c r="Z2122" i="1"/>
  <c r="AA2122" i="1"/>
  <c r="AB2122" i="1"/>
  <c r="AC2122" i="1"/>
  <c r="AD2122" i="1"/>
  <c r="AE2122" i="1"/>
  <c r="AF2122" i="1"/>
  <c r="AG2122" i="1"/>
  <c r="AH2122" i="1"/>
  <c r="AI2122" i="1"/>
  <c r="AJ2122" i="1"/>
  <c r="AK2122" i="1"/>
  <c r="AL2122" i="1"/>
  <c r="AM2122" i="1"/>
  <c r="A2123" i="1"/>
  <c r="B2123" i="1"/>
  <c r="C2123" i="1"/>
  <c r="D2123" i="1"/>
  <c r="E2123" i="1"/>
  <c r="F2123" i="1"/>
  <c r="G2123" i="1"/>
  <c r="H2123" i="1"/>
  <c r="I2123" i="1"/>
  <c r="J2123" i="1"/>
  <c r="K2123" i="1"/>
  <c r="L2123" i="1"/>
  <c r="M2123" i="1"/>
  <c r="N2123" i="1"/>
  <c r="O2123" i="1"/>
  <c r="P2123" i="1"/>
  <c r="Q2123" i="1"/>
  <c r="R2123" i="1"/>
  <c r="S2123" i="1"/>
  <c r="T2123" i="1"/>
  <c r="U2123" i="1"/>
  <c r="V2123" i="1"/>
  <c r="W2123" i="1"/>
  <c r="X2123" i="1"/>
  <c r="Y2123" i="1"/>
  <c r="Z2123" i="1"/>
  <c r="AA2123" i="1"/>
  <c r="AB2123" i="1"/>
  <c r="AC2123" i="1"/>
  <c r="AD2123" i="1"/>
  <c r="AE2123" i="1"/>
  <c r="AF2123" i="1"/>
  <c r="AG2123" i="1"/>
  <c r="AH2123" i="1"/>
  <c r="AI2123" i="1"/>
  <c r="AJ2123" i="1"/>
  <c r="AK2123" i="1"/>
  <c r="AL2123" i="1"/>
  <c r="AM2123" i="1"/>
  <c r="A2124" i="1"/>
  <c r="B2124" i="1"/>
  <c r="C2124" i="1"/>
  <c r="D2124" i="1"/>
  <c r="E2124" i="1"/>
  <c r="F2124" i="1"/>
  <c r="G2124" i="1"/>
  <c r="H2124" i="1"/>
  <c r="I2124" i="1"/>
  <c r="J2124" i="1"/>
  <c r="K2124" i="1"/>
  <c r="L2124" i="1"/>
  <c r="M2124" i="1"/>
  <c r="N2124" i="1"/>
  <c r="O2124" i="1"/>
  <c r="P2124" i="1"/>
  <c r="Q2124" i="1"/>
  <c r="R2124" i="1"/>
  <c r="S2124" i="1"/>
  <c r="T2124" i="1"/>
  <c r="U2124" i="1"/>
  <c r="V2124" i="1"/>
  <c r="W2124" i="1"/>
  <c r="X2124" i="1"/>
  <c r="Y2124" i="1"/>
  <c r="Z2124" i="1"/>
  <c r="AA2124" i="1"/>
  <c r="AB2124" i="1"/>
  <c r="AC2124" i="1"/>
  <c r="AD2124" i="1"/>
  <c r="AE2124" i="1"/>
  <c r="AF2124" i="1"/>
  <c r="AG2124" i="1"/>
  <c r="AH2124" i="1"/>
  <c r="AI2124" i="1"/>
  <c r="AJ2124" i="1"/>
  <c r="AK2124" i="1"/>
  <c r="AL2124" i="1"/>
  <c r="AM2124" i="1"/>
  <c r="A2125" i="1"/>
  <c r="B2125" i="1"/>
  <c r="C2125" i="1"/>
  <c r="D2125" i="1"/>
  <c r="E2125" i="1"/>
  <c r="F2125" i="1"/>
  <c r="G2125" i="1"/>
  <c r="H2125" i="1"/>
  <c r="I2125" i="1"/>
  <c r="J2125" i="1"/>
  <c r="K2125" i="1"/>
  <c r="L2125" i="1"/>
  <c r="M2125" i="1"/>
  <c r="N2125" i="1"/>
  <c r="O2125" i="1"/>
  <c r="P2125" i="1"/>
  <c r="Q2125" i="1"/>
  <c r="R2125" i="1"/>
  <c r="S2125" i="1"/>
  <c r="T2125" i="1"/>
  <c r="U2125" i="1"/>
  <c r="V2125" i="1"/>
  <c r="W2125" i="1"/>
  <c r="X2125" i="1"/>
  <c r="Y2125" i="1"/>
  <c r="Z2125" i="1"/>
  <c r="AA2125" i="1"/>
  <c r="AB2125" i="1"/>
  <c r="AC2125" i="1"/>
  <c r="AD2125" i="1"/>
  <c r="AE2125" i="1"/>
  <c r="AF2125" i="1"/>
  <c r="AG2125" i="1"/>
  <c r="AH2125" i="1"/>
  <c r="AI2125" i="1"/>
  <c r="AJ2125" i="1"/>
  <c r="AK2125" i="1"/>
  <c r="AL2125" i="1"/>
  <c r="AM2125" i="1"/>
  <c r="A2126" i="1"/>
  <c r="B2126" i="1"/>
  <c r="C2126" i="1"/>
  <c r="D2126" i="1"/>
  <c r="E2126" i="1"/>
  <c r="F2126" i="1"/>
  <c r="G2126" i="1"/>
  <c r="H2126" i="1"/>
  <c r="I2126" i="1"/>
  <c r="J2126" i="1"/>
  <c r="K2126" i="1"/>
  <c r="L2126" i="1"/>
  <c r="M2126" i="1"/>
  <c r="N2126" i="1"/>
  <c r="O2126" i="1"/>
  <c r="P2126" i="1"/>
  <c r="Q2126" i="1"/>
  <c r="R2126" i="1"/>
  <c r="S2126" i="1"/>
  <c r="T2126" i="1"/>
  <c r="U2126" i="1"/>
  <c r="V2126" i="1"/>
  <c r="W2126" i="1"/>
  <c r="X2126" i="1"/>
  <c r="Y2126" i="1"/>
  <c r="Z2126" i="1"/>
  <c r="AA2126" i="1"/>
  <c r="AB2126" i="1"/>
  <c r="AC2126" i="1"/>
  <c r="AD2126" i="1"/>
  <c r="AE2126" i="1"/>
  <c r="AF2126" i="1"/>
  <c r="AG2126" i="1"/>
  <c r="AH2126" i="1"/>
  <c r="AI2126" i="1"/>
  <c r="AJ2126" i="1"/>
  <c r="AK2126" i="1"/>
  <c r="AL2126" i="1"/>
  <c r="AM2126" i="1"/>
  <c r="A2127" i="1"/>
  <c r="B2127" i="1"/>
  <c r="C2127" i="1"/>
  <c r="D2127" i="1"/>
  <c r="E2127" i="1"/>
  <c r="F2127" i="1"/>
  <c r="G2127" i="1"/>
  <c r="H2127" i="1"/>
  <c r="I2127" i="1"/>
  <c r="J2127" i="1"/>
  <c r="K2127" i="1"/>
  <c r="L2127" i="1"/>
  <c r="M2127" i="1"/>
  <c r="N2127" i="1"/>
  <c r="O2127" i="1"/>
  <c r="P2127" i="1"/>
  <c r="Q2127" i="1"/>
  <c r="R2127" i="1"/>
  <c r="S2127" i="1"/>
  <c r="T2127" i="1"/>
  <c r="U2127" i="1"/>
  <c r="V2127" i="1"/>
  <c r="W2127" i="1"/>
  <c r="X2127" i="1"/>
  <c r="Y2127" i="1"/>
  <c r="Z2127" i="1"/>
  <c r="AA2127" i="1"/>
  <c r="AB2127" i="1"/>
  <c r="AC2127" i="1"/>
  <c r="AD2127" i="1"/>
  <c r="AE2127" i="1"/>
  <c r="AF2127" i="1"/>
  <c r="AG2127" i="1"/>
  <c r="AH2127" i="1"/>
  <c r="AI2127" i="1"/>
  <c r="AJ2127" i="1"/>
  <c r="AK2127" i="1"/>
  <c r="AL2127" i="1"/>
  <c r="AM2127" i="1"/>
  <c r="A2128" i="1"/>
  <c r="B2128" i="1"/>
  <c r="C2128" i="1"/>
  <c r="D2128" i="1"/>
  <c r="E2128" i="1"/>
  <c r="F2128" i="1"/>
  <c r="G2128" i="1"/>
  <c r="H2128" i="1"/>
  <c r="I2128" i="1"/>
  <c r="J2128" i="1"/>
  <c r="K2128" i="1"/>
  <c r="L2128" i="1"/>
  <c r="M2128" i="1"/>
  <c r="N2128" i="1"/>
  <c r="O2128" i="1"/>
  <c r="P2128" i="1"/>
  <c r="Q2128" i="1"/>
  <c r="R2128" i="1"/>
  <c r="S2128" i="1"/>
  <c r="T2128" i="1"/>
  <c r="U2128" i="1"/>
  <c r="V2128" i="1"/>
  <c r="W2128" i="1"/>
  <c r="X2128" i="1"/>
  <c r="Y2128" i="1"/>
  <c r="Z2128" i="1"/>
  <c r="AA2128" i="1"/>
  <c r="AB2128" i="1"/>
  <c r="AC2128" i="1"/>
  <c r="AD2128" i="1"/>
  <c r="AE2128" i="1"/>
  <c r="AF2128" i="1"/>
  <c r="AG2128" i="1"/>
  <c r="AH2128" i="1"/>
  <c r="AI2128" i="1"/>
  <c r="AJ2128" i="1"/>
  <c r="AK2128" i="1"/>
  <c r="AL2128" i="1"/>
  <c r="AM2128" i="1"/>
  <c r="A2129" i="1"/>
  <c r="B2129" i="1"/>
  <c r="C2129" i="1"/>
  <c r="D2129" i="1"/>
  <c r="E2129" i="1"/>
  <c r="F2129" i="1"/>
  <c r="G2129" i="1"/>
  <c r="H2129" i="1"/>
  <c r="I2129" i="1"/>
  <c r="J2129" i="1"/>
  <c r="K2129" i="1"/>
  <c r="L2129" i="1"/>
  <c r="M2129" i="1"/>
  <c r="N2129" i="1"/>
  <c r="O2129" i="1"/>
  <c r="P2129" i="1"/>
  <c r="Q2129" i="1"/>
  <c r="R2129" i="1"/>
  <c r="S2129" i="1"/>
  <c r="T2129" i="1"/>
  <c r="U2129" i="1"/>
  <c r="V2129" i="1"/>
  <c r="W2129" i="1"/>
  <c r="X2129" i="1"/>
  <c r="Y2129" i="1"/>
  <c r="Z2129" i="1"/>
  <c r="AA2129" i="1"/>
  <c r="AB2129" i="1"/>
  <c r="AC2129" i="1"/>
  <c r="AD2129" i="1"/>
  <c r="AE2129" i="1"/>
  <c r="AF2129" i="1"/>
  <c r="AG2129" i="1"/>
  <c r="AH2129" i="1"/>
  <c r="AI2129" i="1"/>
  <c r="AJ2129" i="1"/>
  <c r="AK2129" i="1"/>
  <c r="AL2129" i="1"/>
  <c r="AM2129" i="1"/>
  <c r="A2130" i="1"/>
  <c r="B2130" i="1"/>
  <c r="C2130" i="1"/>
  <c r="D2130" i="1"/>
  <c r="E2130" i="1"/>
  <c r="F2130" i="1"/>
  <c r="G2130" i="1"/>
  <c r="H2130" i="1"/>
  <c r="I2130" i="1"/>
  <c r="J2130" i="1"/>
  <c r="K2130" i="1"/>
  <c r="L2130" i="1"/>
  <c r="M2130" i="1"/>
  <c r="N2130" i="1"/>
  <c r="O2130" i="1"/>
  <c r="P2130" i="1"/>
  <c r="Q2130" i="1"/>
  <c r="R2130" i="1"/>
  <c r="S2130" i="1"/>
  <c r="T2130" i="1"/>
  <c r="U2130" i="1"/>
  <c r="V2130" i="1"/>
  <c r="W2130" i="1"/>
  <c r="X2130" i="1"/>
  <c r="Y2130" i="1"/>
  <c r="Z2130" i="1"/>
  <c r="AA2130" i="1"/>
  <c r="AB2130" i="1"/>
  <c r="AC2130" i="1"/>
  <c r="AD2130" i="1"/>
  <c r="AE2130" i="1"/>
  <c r="AF2130" i="1"/>
  <c r="AG2130" i="1"/>
  <c r="AH2130" i="1"/>
  <c r="AI2130" i="1"/>
  <c r="AJ2130" i="1"/>
  <c r="AK2130" i="1"/>
  <c r="AL2130" i="1"/>
  <c r="AM2130" i="1"/>
  <c r="A2131" i="1"/>
  <c r="B2131" i="1"/>
  <c r="C2131" i="1"/>
  <c r="D2131" i="1"/>
  <c r="E2131" i="1"/>
  <c r="F2131" i="1"/>
  <c r="G2131" i="1"/>
  <c r="H2131" i="1"/>
  <c r="I2131" i="1"/>
  <c r="J2131" i="1"/>
  <c r="K2131" i="1"/>
  <c r="L2131" i="1"/>
  <c r="M2131" i="1"/>
  <c r="N2131" i="1"/>
  <c r="O2131" i="1"/>
  <c r="P2131" i="1"/>
  <c r="Q2131" i="1"/>
  <c r="R2131" i="1"/>
  <c r="S2131" i="1"/>
  <c r="T2131" i="1"/>
  <c r="U2131" i="1"/>
  <c r="V2131" i="1"/>
  <c r="W2131" i="1"/>
  <c r="X2131" i="1"/>
  <c r="Y2131" i="1"/>
  <c r="Z2131" i="1"/>
  <c r="AA2131" i="1"/>
  <c r="AB2131" i="1"/>
  <c r="AC2131" i="1"/>
  <c r="AD2131" i="1"/>
  <c r="AE2131" i="1"/>
  <c r="AF2131" i="1"/>
  <c r="AG2131" i="1"/>
  <c r="AH2131" i="1"/>
  <c r="AI2131" i="1"/>
  <c r="AJ2131" i="1"/>
  <c r="AK2131" i="1"/>
  <c r="AL2131" i="1"/>
  <c r="AM2131" i="1"/>
  <c r="A2132" i="1"/>
  <c r="B2132" i="1"/>
  <c r="C2132" i="1"/>
  <c r="D2132" i="1"/>
  <c r="E2132" i="1"/>
  <c r="F2132" i="1"/>
  <c r="G2132" i="1"/>
  <c r="H2132" i="1"/>
  <c r="I2132" i="1"/>
  <c r="J2132" i="1"/>
  <c r="K2132" i="1"/>
  <c r="L2132" i="1"/>
  <c r="M2132" i="1"/>
  <c r="N2132" i="1"/>
  <c r="O2132" i="1"/>
  <c r="P2132" i="1"/>
  <c r="Q2132" i="1"/>
  <c r="R2132" i="1"/>
  <c r="S2132" i="1"/>
  <c r="T2132" i="1"/>
  <c r="U2132" i="1"/>
  <c r="V2132" i="1"/>
  <c r="W2132" i="1"/>
  <c r="X2132" i="1"/>
  <c r="Y2132" i="1"/>
  <c r="Z2132" i="1"/>
  <c r="AA2132" i="1"/>
  <c r="AB2132" i="1"/>
  <c r="AC2132" i="1"/>
  <c r="AD2132" i="1"/>
  <c r="AE2132" i="1"/>
  <c r="AF2132" i="1"/>
  <c r="AG2132" i="1"/>
  <c r="AH2132" i="1"/>
  <c r="AI2132" i="1"/>
  <c r="AJ2132" i="1"/>
  <c r="AK2132" i="1"/>
  <c r="AL2132" i="1"/>
  <c r="AM2132" i="1"/>
  <c r="A2133" i="1"/>
  <c r="B2133" i="1"/>
  <c r="C2133" i="1"/>
  <c r="D2133" i="1"/>
  <c r="E2133" i="1"/>
  <c r="F2133" i="1"/>
  <c r="G2133" i="1"/>
  <c r="H2133" i="1"/>
  <c r="I2133" i="1"/>
  <c r="J2133" i="1"/>
  <c r="K2133" i="1"/>
  <c r="L2133" i="1"/>
  <c r="M2133" i="1"/>
  <c r="N2133" i="1"/>
  <c r="O2133" i="1"/>
  <c r="P2133" i="1"/>
  <c r="Q2133" i="1"/>
  <c r="R2133" i="1"/>
  <c r="S2133" i="1"/>
  <c r="T2133" i="1"/>
  <c r="U2133" i="1"/>
  <c r="V2133" i="1"/>
  <c r="W2133" i="1"/>
  <c r="X2133" i="1"/>
  <c r="Y2133" i="1"/>
  <c r="Z2133" i="1"/>
  <c r="AA2133" i="1"/>
  <c r="AB2133" i="1"/>
  <c r="AC2133" i="1"/>
  <c r="AD2133" i="1"/>
  <c r="AE2133" i="1"/>
  <c r="AF2133" i="1"/>
  <c r="AG2133" i="1"/>
  <c r="AH2133" i="1"/>
  <c r="AI2133" i="1"/>
  <c r="AJ2133" i="1"/>
  <c r="AK2133" i="1"/>
  <c r="AL2133" i="1"/>
  <c r="AM2133" i="1"/>
  <c r="A2134" i="1"/>
  <c r="B2134" i="1"/>
  <c r="C2134" i="1"/>
  <c r="D2134" i="1"/>
  <c r="E2134" i="1"/>
  <c r="F2134" i="1"/>
  <c r="G2134" i="1"/>
  <c r="H2134" i="1"/>
  <c r="I2134" i="1"/>
  <c r="J2134" i="1"/>
  <c r="K2134" i="1"/>
  <c r="L2134" i="1"/>
  <c r="M2134" i="1"/>
  <c r="N2134" i="1"/>
  <c r="O2134" i="1"/>
  <c r="P2134" i="1"/>
  <c r="Q2134" i="1"/>
  <c r="R2134" i="1"/>
  <c r="S2134" i="1"/>
  <c r="T2134" i="1"/>
  <c r="U2134" i="1"/>
  <c r="V2134" i="1"/>
  <c r="W2134" i="1"/>
  <c r="X2134" i="1"/>
  <c r="Y2134" i="1"/>
  <c r="Z2134" i="1"/>
  <c r="AA2134" i="1"/>
  <c r="AB2134" i="1"/>
  <c r="AC2134" i="1"/>
  <c r="AD2134" i="1"/>
  <c r="AE2134" i="1"/>
  <c r="AF2134" i="1"/>
  <c r="AG2134" i="1"/>
  <c r="AH2134" i="1"/>
  <c r="AI2134" i="1"/>
  <c r="AJ2134" i="1"/>
  <c r="AK2134" i="1"/>
  <c r="AL2134" i="1"/>
  <c r="AM2134" i="1"/>
  <c r="A2135" i="1"/>
  <c r="B2135" i="1"/>
  <c r="C2135" i="1"/>
  <c r="D2135" i="1"/>
  <c r="E2135" i="1"/>
  <c r="F2135" i="1"/>
  <c r="G2135" i="1"/>
  <c r="H2135" i="1"/>
  <c r="I2135" i="1"/>
  <c r="J2135" i="1"/>
  <c r="K2135" i="1"/>
  <c r="L2135" i="1"/>
  <c r="M2135" i="1"/>
  <c r="N2135" i="1"/>
  <c r="O2135" i="1"/>
  <c r="P2135" i="1"/>
  <c r="Q2135" i="1"/>
  <c r="R2135" i="1"/>
  <c r="S2135" i="1"/>
  <c r="T2135" i="1"/>
  <c r="U2135" i="1"/>
  <c r="V2135" i="1"/>
  <c r="W2135" i="1"/>
  <c r="X2135" i="1"/>
  <c r="Y2135" i="1"/>
  <c r="Z2135" i="1"/>
  <c r="AA2135" i="1"/>
  <c r="AB2135" i="1"/>
  <c r="AC2135" i="1"/>
  <c r="AD2135" i="1"/>
  <c r="AE2135" i="1"/>
  <c r="AF2135" i="1"/>
  <c r="AG2135" i="1"/>
  <c r="AH2135" i="1"/>
  <c r="AI2135" i="1"/>
  <c r="AJ2135" i="1"/>
  <c r="AK2135" i="1"/>
  <c r="AL2135" i="1"/>
  <c r="AM2135" i="1"/>
  <c r="A2136" i="1"/>
  <c r="B2136" i="1"/>
  <c r="C2136" i="1"/>
  <c r="D2136" i="1"/>
  <c r="E2136" i="1"/>
  <c r="F2136" i="1"/>
  <c r="G2136" i="1"/>
  <c r="H2136" i="1"/>
  <c r="I2136" i="1"/>
  <c r="J2136" i="1"/>
  <c r="K2136" i="1"/>
  <c r="L2136" i="1"/>
  <c r="M2136" i="1"/>
  <c r="N2136" i="1"/>
  <c r="O2136" i="1"/>
  <c r="P2136" i="1"/>
  <c r="Q2136" i="1"/>
  <c r="R2136" i="1"/>
  <c r="S2136" i="1"/>
  <c r="T2136" i="1"/>
  <c r="U2136" i="1"/>
  <c r="V2136" i="1"/>
  <c r="W2136" i="1"/>
  <c r="X2136" i="1"/>
  <c r="Y2136" i="1"/>
  <c r="Z2136" i="1"/>
  <c r="AA2136" i="1"/>
  <c r="AB2136" i="1"/>
  <c r="AC2136" i="1"/>
  <c r="AD2136" i="1"/>
  <c r="AE2136" i="1"/>
  <c r="AF2136" i="1"/>
  <c r="AG2136" i="1"/>
  <c r="AH2136" i="1"/>
  <c r="AI2136" i="1"/>
  <c r="AJ2136" i="1"/>
  <c r="AK2136" i="1"/>
  <c r="AL2136" i="1"/>
  <c r="AM2136" i="1"/>
  <c r="A2137" i="1"/>
  <c r="B2137" i="1"/>
  <c r="C2137" i="1"/>
  <c r="D2137" i="1"/>
  <c r="E2137" i="1"/>
  <c r="F2137" i="1"/>
  <c r="G2137" i="1"/>
  <c r="H2137" i="1"/>
  <c r="I2137" i="1"/>
  <c r="J2137" i="1"/>
  <c r="K2137" i="1"/>
  <c r="L2137" i="1"/>
  <c r="M2137" i="1"/>
  <c r="N2137" i="1"/>
  <c r="O2137" i="1"/>
  <c r="P2137" i="1"/>
  <c r="Q2137" i="1"/>
  <c r="R2137" i="1"/>
  <c r="S2137" i="1"/>
  <c r="T2137" i="1"/>
  <c r="U2137" i="1"/>
  <c r="V2137" i="1"/>
  <c r="W2137" i="1"/>
  <c r="X2137" i="1"/>
  <c r="Y2137" i="1"/>
  <c r="Z2137" i="1"/>
  <c r="AA2137" i="1"/>
  <c r="AB2137" i="1"/>
  <c r="AC2137" i="1"/>
  <c r="AD2137" i="1"/>
  <c r="AE2137" i="1"/>
  <c r="AF2137" i="1"/>
  <c r="AG2137" i="1"/>
  <c r="AH2137" i="1"/>
  <c r="AI2137" i="1"/>
  <c r="AJ2137" i="1"/>
  <c r="AK2137" i="1"/>
  <c r="AL2137" i="1"/>
  <c r="AM2137" i="1"/>
  <c r="A2138" i="1"/>
  <c r="B2138" i="1"/>
  <c r="C2138" i="1"/>
  <c r="D2138" i="1"/>
  <c r="E2138" i="1"/>
  <c r="F2138" i="1"/>
  <c r="G2138" i="1"/>
  <c r="H2138" i="1"/>
  <c r="I2138" i="1"/>
  <c r="J2138" i="1"/>
  <c r="K2138" i="1"/>
  <c r="L2138" i="1"/>
  <c r="M2138" i="1"/>
  <c r="N2138" i="1"/>
  <c r="O2138" i="1"/>
  <c r="P2138" i="1"/>
  <c r="Q2138" i="1"/>
  <c r="R2138" i="1"/>
  <c r="S2138" i="1"/>
  <c r="T2138" i="1"/>
  <c r="U2138" i="1"/>
  <c r="V2138" i="1"/>
  <c r="W2138" i="1"/>
  <c r="X2138" i="1"/>
  <c r="Y2138" i="1"/>
  <c r="Z2138" i="1"/>
  <c r="AA2138" i="1"/>
  <c r="AB2138" i="1"/>
  <c r="AC2138" i="1"/>
  <c r="AD2138" i="1"/>
  <c r="AE2138" i="1"/>
  <c r="AF2138" i="1"/>
  <c r="AG2138" i="1"/>
  <c r="AH2138" i="1"/>
  <c r="AI2138" i="1"/>
  <c r="AJ2138" i="1"/>
  <c r="AK2138" i="1"/>
  <c r="AL2138" i="1"/>
  <c r="AM2138" i="1"/>
  <c r="A2139" i="1"/>
  <c r="B2139" i="1"/>
  <c r="C2139" i="1"/>
  <c r="D2139" i="1"/>
  <c r="E2139" i="1"/>
  <c r="F2139" i="1"/>
  <c r="G2139" i="1"/>
  <c r="H2139" i="1"/>
  <c r="I2139" i="1"/>
  <c r="J2139" i="1"/>
  <c r="K2139" i="1"/>
  <c r="L2139" i="1"/>
  <c r="M2139" i="1"/>
  <c r="N2139" i="1"/>
  <c r="O2139" i="1"/>
  <c r="P2139" i="1"/>
  <c r="Q2139" i="1"/>
  <c r="R2139" i="1"/>
  <c r="S2139" i="1"/>
  <c r="T2139" i="1"/>
  <c r="U2139" i="1"/>
  <c r="V2139" i="1"/>
  <c r="W2139" i="1"/>
  <c r="X2139" i="1"/>
  <c r="Y2139" i="1"/>
  <c r="Z2139" i="1"/>
  <c r="AA2139" i="1"/>
  <c r="AB2139" i="1"/>
  <c r="AC2139" i="1"/>
  <c r="AD2139" i="1"/>
  <c r="AE2139" i="1"/>
  <c r="AF2139" i="1"/>
  <c r="AG2139" i="1"/>
  <c r="AH2139" i="1"/>
  <c r="AI2139" i="1"/>
  <c r="AJ2139" i="1"/>
  <c r="AK2139" i="1"/>
  <c r="AL2139" i="1"/>
  <c r="AM2139" i="1"/>
  <c r="A2140" i="1"/>
  <c r="B2140" i="1"/>
  <c r="C2140" i="1"/>
  <c r="D2140" i="1"/>
  <c r="E2140" i="1"/>
  <c r="F2140" i="1"/>
  <c r="G2140" i="1"/>
  <c r="H2140" i="1"/>
  <c r="I2140" i="1"/>
  <c r="J2140" i="1"/>
  <c r="K2140" i="1"/>
  <c r="L2140" i="1"/>
  <c r="M2140" i="1"/>
  <c r="N2140" i="1"/>
  <c r="O2140" i="1"/>
  <c r="P2140" i="1"/>
  <c r="Q2140" i="1"/>
  <c r="R2140" i="1"/>
  <c r="S2140" i="1"/>
  <c r="T2140" i="1"/>
  <c r="U2140" i="1"/>
  <c r="V2140" i="1"/>
  <c r="W2140" i="1"/>
  <c r="X2140" i="1"/>
  <c r="Y2140" i="1"/>
  <c r="Z2140" i="1"/>
  <c r="AA2140" i="1"/>
  <c r="AB2140" i="1"/>
  <c r="AC2140" i="1"/>
  <c r="AD2140" i="1"/>
  <c r="AE2140" i="1"/>
  <c r="AF2140" i="1"/>
  <c r="AG2140" i="1"/>
  <c r="AH2140" i="1"/>
  <c r="AI2140" i="1"/>
  <c r="AJ2140" i="1"/>
  <c r="AK2140" i="1"/>
  <c r="AL2140" i="1"/>
  <c r="AM2140" i="1"/>
  <c r="A2141" i="1"/>
  <c r="B2141" i="1"/>
  <c r="C2141" i="1"/>
  <c r="D2141" i="1"/>
  <c r="E2141" i="1"/>
  <c r="F2141" i="1"/>
  <c r="G2141" i="1"/>
  <c r="H2141" i="1"/>
  <c r="I2141" i="1"/>
  <c r="J2141" i="1"/>
  <c r="K2141" i="1"/>
  <c r="L2141" i="1"/>
  <c r="M2141" i="1"/>
  <c r="N2141" i="1"/>
  <c r="O2141" i="1"/>
  <c r="P2141" i="1"/>
  <c r="Q2141" i="1"/>
  <c r="R2141" i="1"/>
  <c r="S2141" i="1"/>
  <c r="T2141" i="1"/>
  <c r="U2141" i="1"/>
  <c r="V2141" i="1"/>
  <c r="W2141" i="1"/>
  <c r="X2141" i="1"/>
  <c r="Y2141" i="1"/>
  <c r="Z2141" i="1"/>
  <c r="AA2141" i="1"/>
  <c r="AB2141" i="1"/>
  <c r="AC2141" i="1"/>
  <c r="AD2141" i="1"/>
  <c r="AE2141" i="1"/>
  <c r="AF2141" i="1"/>
  <c r="AG2141" i="1"/>
  <c r="AH2141" i="1"/>
  <c r="AI2141" i="1"/>
  <c r="AJ2141" i="1"/>
  <c r="AK2141" i="1"/>
  <c r="AL2141" i="1"/>
  <c r="AM2141" i="1"/>
  <c r="A2142" i="1"/>
  <c r="B2142" i="1"/>
  <c r="C2142" i="1"/>
  <c r="D2142" i="1"/>
  <c r="E2142" i="1"/>
  <c r="F2142" i="1"/>
  <c r="G2142" i="1"/>
  <c r="H2142" i="1"/>
  <c r="I2142" i="1"/>
  <c r="J2142" i="1"/>
  <c r="K2142" i="1"/>
  <c r="L2142" i="1"/>
  <c r="M2142" i="1"/>
  <c r="N2142" i="1"/>
  <c r="O2142" i="1"/>
  <c r="P2142" i="1"/>
  <c r="Q2142" i="1"/>
  <c r="R2142" i="1"/>
  <c r="S2142" i="1"/>
  <c r="T2142" i="1"/>
  <c r="U2142" i="1"/>
  <c r="V2142" i="1"/>
  <c r="W2142" i="1"/>
  <c r="X2142" i="1"/>
  <c r="Y2142" i="1"/>
  <c r="Z2142" i="1"/>
  <c r="AA2142" i="1"/>
  <c r="AB2142" i="1"/>
  <c r="AC2142" i="1"/>
  <c r="AD2142" i="1"/>
  <c r="AE2142" i="1"/>
  <c r="AF2142" i="1"/>
  <c r="AG2142" i="1"/>
  <c r="AH2142" i="1"/>
  <c r="AI2142" i="1"/>
  <c r="AJ2142" i="1"/>
  <c r="AK2142" i="1"/>
  <c r="AL2142" i="1"/>
  <c r="AM2142" i="1"/>
  <c r="A2143" i="1"/>
  <c r="B2143" i="1"/>
  <c r="C2143" i="1"/>
  <c r="D2143" i="1"/>
  <c r="E2143" i="1"/>
  <c r="F2143" i="1"/>
  <c r="G2143" i="1"/>
  <c r="H2143" i="1"/>
  <c r="I2143" i="1"/>
  <c r="J2143" i="1"/>
  <c r="K2143" i="1"/>
  <c r="L2143" i="1"/>
  <c r="M2143" i="1"/>
  <c r="N2143" i="1"/>
  <c r="O2143" i="1"/>
  <c r="P2143" i="1"/>
  <c r="Q2143" i="1"/>
  <c r="R2143" i="1"/>
  <c r="S2143" i="1"/>
  <c r="T2143" i="1"/>
  <c r="U2143" i="1"/>
  <c r="V2143" i="1"/>
  <c r="W2143" i="1"/>
  <c r="X2143" i="1"/>
  <c r="Y2143" i="1"/>
  <c r="Z2143" i="1"/>
  <c r="AA2143" i="1"/>
  <c r="AB2143" i="1"/>
  <c r="AC2143" i="1"/>
  <c r="AD2143" i="1"/>
  <c r="AE2143" i="1"/>
  <c r="AF2143" i="1"/>
  <c r="AG2143" i="1"/>
  <c r="AH2143" i="1"/>
  <c r="AI2143" i="1"/>
  <c r="AJ2143" i="1"/>
  <c r="AK2143" i="1"/>
  <c r="AL2143" i="1"/>
  <c r="AM2143" i="1"/>
  <c r="A2144" i="1"/>
  <c r="B2144" i="1"/>
  <c r="C2144" i="1"/>
  <c r="D2144" i="1"/>
  <c r="E2144" i="1"/>
  <c r="F2144" i="1"/>
  <c r="G2144" i="1"/>
  <c r="H2144" i="1"/>
  <c r="I2144" i="1"/>
  <c r="J2144" i="1"/>
  <c r="K2144" i="1"/>
  <c r="L2144" i="1"/>
  <c r="M2144" i="1"/>
  <c r="N2144" i="1"/>
  <c r="O2144" i="1"/>
  <c r="P2144" i="1"/>
  <c r="Q2144" i="1"/>
  <c r="R2144" i="1"/>
  <c r="S2144" i="1"/>
  <c r="T2144" i="1"/>
  <c r="U2144" i="1"/>
  <c r="V2144" i="1"/>
  <c r="W2144" i="1"/>
  <c r="X2144" i="1"/>
  <c r="Y2144" i="1"/>
  <c r="Z2144" i="1"/>
  <c r="AA2144" i="1"/>
  <c r="AB2144" i="1"/>
  <c r="AC2144" i="1"/>
  <c r="AD2144" i="1"/>
  <c r="AE2144" i="1"/>
  <c r="AF2144" i="1"/>
  <c r="AG2144" i="1"/>
  <c r="AH2144" i="1"/>
  <c r="AI2144" i="1"/>
  <c r="AJ2144" i="1"/>
  <c r="AK2144" i="1"/>
  <c r="AL2144" i="1"/>
  <c r="AM2144" i="1"/>
  <c r="A2145" i="1"/>
  <c r="B2145" i="1"/>
  <c r="C2145" i="1"/>
  <c r="D2145" i="1"/>
  <c r="E2145" i="1"/>
  <c r="F2145" i="1"/>
  <c r="G2145" i="1"/>
  <c r="H2145" i="1"/>
  <c r="I2145" i="1"/>
  <c r="J2145" i="1"/>
  <c r="K2145" i="1"/>
  <c r="L2145" i="1"/>
  <c r="M2145" i="1"/>
  <c r="N2145" i="1"/>
  <c r="O2145" i="1"/>
  <c r="P2145" i="1"/>
  <c r="Q2145" i="1"/>
  <c r="R2145" i="1"/>
  <c r="S2145" i="1"/>
  <c r="T2145" i="1"/>
  <c r="U2145" i="1"/>
  <c r="V2145" i="1"/>
  <c r="W2145" i="1"/>
  <c r="X2145" i="1"/>
  <c r="Y2145" i="1"/>
  <c r="Z2145" i="1"/>
  <c r="AA2145" i="1"/>
  <c r="AB2145" i="1"/>
  <c r="AC2145" i="1"/>
  <c r="AD2145" i="1"/>
  <c r="AE2145" i="1"/>
  <c r="AF2145" i="1"/>
  <c r="AG2145" i="1"/>
  <c r="AH2145" i="1"/>
  <c r="AI2145" i="1"/>
  <c r="AJ2145" i="1"/>
  <c r="AK2145" i="1"/>
  <c r="AL2145" i="1"/>
  <c r="AM2145" i="1"/>
  <c r="A2146" i="1"/>
  <c r="B2146" i="1"/>
  <c r="C2146" i="1"/>
  <c r="D2146" i="1"/>
  <c r="E2146" i="1"/>
  <c r="F2146" i="1"/>
  <c r="G2146" i="1"/>
  <c r="H2146" i="1"/>
  <c r="I2146" i="1"/>
  <c r="J2146" i="1"/>
  <c r="K2146" i="1"/>
  <c r="L2146" i="1"/>
  <c r="M2146" i="1"/>
  <c r="N2146" i="1"/>
  <c r="O2146" i="1"/>
  <c r="P2146" i="1"/>
  <c r="Q2146" i="1"/>
  <c r="R2146" i="1"/>
  <c r="S2146" i="1"/>
  <c r="T2146" i="1"/>
  <c r="U2146" i="1"/>
  <c r="V2146" i="1"/>
  <c r="W2146" i="1"/>
  <c r="X2146" i="1"/>
  <c r="Y2146" i="1"/>
  <c r="Z2146" i="1"/>
  <c r="AA2146" i="1"/>
  <c r="AB2146" i="1"/>
  <c r="AC2146" i="1"/>
  <c r="AD2146" i="1"/>
  <c r="AE2146" i="1"/>
  <c r="AF2146" i="1"/>
  <c r="AG2146" i="1"/>
  <c r="AH2146" i="1"/>
  <c r="AI2146" i="1"/>
  <c r="AJ2146" i="1"/>
  <c r="AK2146" i="1"/>
  <c r="AL2146" i="1"/>
  <c r="AM2146" i="1"/>
  <c r="A2147" i="1"/>
  <c r="B2147" i="1"/>
  <c r="C2147" i="1"/>
  <c r="D2147" i="1"/>
  <c r="E2147" i="1"/>
  <c r="F2147" i="1"/>
  <c r="G2147" i="1"/>
  <c r="H2147" i="1"/>
  <c r="I2147" i="1"/>
  <c r="J2147" i="1"/>
  <c r="K2147" i="1"/>
  <c r="L2147" i="1"/>
  <c r="M2147" i="1"/>
  <c r="N2147" i="1"/>
  <c r="O2147" i="1"/>
  <c r="P2147" i="1"/>
  <c r="Q2147" i="1"/>
  <c r="R2147" i="1"/>
  <c r="S2147" i="1"/>
  <c r="T2147" i="1"/>
  <c r="U2147" i="1"/>
  <c r="V2147" i="1"/>
  <c r="W2147" i="1"/>
  <c r="X2147" i="1"/>
  <c r="Y2147" i="1"/>
  <c r="Z2147" i="1"/>
  <c r="AA2147" i="1"/>
  <c r="AB2147" i="1"/>
  <c r="AC2147" i="1"/>
  <c r="AD2147" i="1"/>
  <c r="AE2147" i="1"/>
  <c r="AF2147" i="1"/>
  <c r="AG2147" i="1"/>
  <c r="AH2147" i="1"/>
  <c r="AI2147" i="1"/>
  <c r="AJ2147" i="1"/>
  <c r="AK2147" i="1"/>
  <c r="AL2147" i="1"/>
  <c r="AM2147" i="1"/>
  <c r="A2148" i="1"/>
  <c r="B2148" i="1"/>
  <c r="C2148" i="1"/>
  <c r="D2148" i="1"/>
  <c r="E2148" i="1"/>
  <c r="F2148" i="1"/>
  <c r="G2148" i="1"/>
  <c r="H2148" i="1"/>
  <c r="I2148" i="1"/>
  <c r="J2148" i="1"/>
  <c r="K2148" i="1"/>
  <c r="L2148" i="1"/>
  <c r="M2148" i="1"/>
  <c r="N2148" i="1"/>
  <c r="O2148" i="1"/>
  <c r="P2148" i="1"/>
  <c r="Q2148" i="1"/>
  <c r="R2148" i="1"/>
  <c r="S2148" i="1"/>
  <c r="T2148" i="1"/>
  <c r="U2148" i="1"/>
  <c r="V2148" i="1"/>
  <c r="W2148" i="1"/>
  <c r="X2148" i="1"/>
  <c r="Y2148" i="1"/>
  <c r="Z2148" i="1"/>
  <c r="AA2148" i="1"/>
  <c r="AB2148" i="1"/>
  <c r="AC2148" i="1"/>
  <c r="AD2148" i="1"/>
  <c r="AE2148" i="1"/>
  <c r="AF2148" i="1"/>
  <c r="AG2148" i="1"/>
  <c r="AH2148" i="1"/>
  <c r="AI2148" i="1"/>
  <c r="AJ2148" i="1"/>
  <c r="AK2148" i="1"/>
  <c r="AL2148" i="1"/>
  <c r="AM2148" i="1"/>
  <c r="A2149" i="1"/>
  <c r="B2149" i="1"/>
  <c r="C2149" i="1"/>
  <c r="D2149" i="1"/>
  <c r="E2149" i="1"/>
  <c r="F2149" i="1"/>
  <c r="G2149" i="1"/>
  <c r="H2149" i="1"/>
  <c r="I2149" i="1"/>
  <c r="J2149" i="1"/>
  <c r="K2149" i="1"/>
  <c r="L2149" i="1"/>
  <c r="M2149" i="1"/>
  <c r="N2149" i="1"/>
  <c r="O2149" i="1"/>
  <c r="P2149" i="1"/>
  <c r="Q2149" i="1"/>
  <c r="R2149" i="1"/>
  <c r="S2149" i="1"/>
  <c r="T2149" i="1"/>
  <c r="U2149" i="1"/>
  <c r="V2149" i="1"/>
  <c r="W2149" i="1"/>
  <c r="X2149" i="1"/>
  <c r="Y2149" i="1"/>
  <c r="Z2149" i="1"/>
  <c r="AA2149" i="1"/>
  <c r="AB2149" i="1"/>
  <c r="AC2149" i="1"/>
  <c r="AD2149" i="1"/>
  <c r="AE2149" i="1"/>
  <c r="AF2149" i="1"/>
  <c r="AG2149" i="1"/>
  <c r="AH2149" i="1"/>
  <c r="AI2149" i="1"/>
  <c r="AJ2149" i="1"/>
  <c r="AK2149" i="1"/>
  <c r="AL2149" i="1"/>
  <c r="AM2149" i="1"/>
  <c r="A2150" i="1"/>
  <c r="B2150" i="1"/>
  <c r="C2150" i="1"/>
  <c r="D2150" i="1"/>
  <c r="E2150" i="1"/>
  <c r="F2150" i="1"/>
  <c r="G2150" i="1"/>
  <c r="H2150" i="1"/>
  <c r="I2150" i="1"/>
  <c r="J2150" i="1"/>
  <c r="K2150" i="1"/>
  <c r="L2150" i="1"/>
  <c r="M2150" i="1"/>
  <c r="N2150" i="1"/>
  <c r="O2150" i="1"/>
  <c r="P2150" i="1"/>
  <c r="Q2150" i="1"/>
  <c r="R2150" i="1"/>
  <c r="S2150" i="1"/>
  <c r="T2150" i="1"/>
  <c r="U2150" i="1"/>
  <c r="V2150" i="1"/>
  <c r="W2150" i="1"/>
  <c r="X2150" i="1"/>
  <c r="Y2150" i="1"/>
  <c r="Z2150" i="1"/>
  <c r="AA2150" i="1"/>
  <c r="AB2150" i="1"/>
  <c r="AC2150" i="1"/>
  <c r="AD2150" i="1"/>
  <c r="AE2150" i="1"/>
  <c r="AF2150" i="1"/>
  <c r="AG2150" i="1"/>
  <c r="AH2150" i="1"/>
  <c r="AI2150" i="1"/>
  <c r="AJ2150" i="1"/>
  <c r="AK2150" i="1"/>
  <c r="AL2150" i="1"/>
  <c r="AM2150" i="1"/>
  <c r="A2151" i="1"/>
  <c r="B2151" i="1"/>
  <c r="C2151" i="1"/>
  <c r="D2151" i="1"/>
  <c r="E2151" i="1"/>
  <c r="F2151" i="1"/>
  <c r="G2151" i="1"/>
  <c r="H2151" i="1"/>
  <c r="I2151" i="1"/>
  <c r="J2151" i="1"/>
  <c r="K2151" i="1"/>
  <c r="L2151" i="1"/>
  <c r="M2151" i="1"/>
  <c r="N2151" i="1"/>
  <c r="O2151" i="1"/>
  <c r="P2151" i="1"/>
  <c r="Q2151" i="1"/>
  <c r="R2151" i="1"/>
  <c r="S2151" i="1"/>
  <c r="T2151" i="1"/>
  <c r="U2151" i="1"/>
  <c r="V2151" i="1"/>
  <c r="W2151" i="1"/>
  <c r="X2151" i="1"/>
  <c r="Y2151" i="1"/>
  <c r="Z2151" i="1"/>
  <c r="AA2151" i="1"/>
  <c r="AB2151" i="1"/>
  <c r="AC2151" i="1"/>
  <c r="AD2151" i="1"/>
  <c r="AE2151" i="1"/>
  <c r="AF2151" i="1"/>
  <c r="AG2151" i="1"/>
  <c r="AH2151" i="1"/>
  <c r="AI2151" i="1"/>
  <c r="AJ2151" i="1"/>
  <c r="AK2151" i="1"/>
  <c r="AL2151" i="1"/>
  <c r="AM2151" i="1"/>
  <c r="A2152" i="1"/>
  <c r="B2152" i="1"/>
  <c r="C2152" i="1"/>
  <c r="D2152" i="1"/>
  <c r="E2152" i="1"/>
  <c r="F2152" i="1"/>
  <c r="G2152" i="1"/>
  <c r="H2152" i="1"/>
  <c r="I2152" i="1"/>
  <c r="J2152" i="1"/>
  <c r="K2152" i="1"/>
  <c r="L2152" i="1"/>
  <c r="M2152" i="1"/>
  <c r="N2152" i="1"/>
  <c r="O2152" i="1"/>
  <c r="P2152" i="1"/>
  <c r="Q2152" i="1"/>
  <c r="R2152" i="1"/>
  <c r="S2152" i="1"/>
  <c r="T2152" i="1"/>
  <c r="U2152" i="1"/>
  <c r="V2152" i="1"/>
  <c r="W2152" i="1"/>
  <c r="X2152" i="1"/>
  <c r="Y2152" i="1"/>
  <c r="Z2152" i="1"/>
  <c r="AA2152" i="1"/>
  <c r="AB2152" i="1"/>
  <c r="AC2152" i="1"/>
  <c r="AD2152" i="1"/>
  <c r="AE2152" i="1"/>
  <c r="AF2152" i="1"/>
  <c r="AG2152" i="1"/>
  <c r="AH2152" i="1"/>
  <c r="AI2152" i="1"/>
  <c r="AJ2152" i="1"/>
  <c r="AK2152" i="1"/>
  <c r="AL2152" i="1"/>
  <c r="AM2152" i="1"/>
  <c r="A2153" i="1"/>
  <c r="B2153" i="1"/>
  <c r="C2153" i="1"/>
  <c r="D2153" i="1"/>
  <c r="E2153" i="1"/>
  <c r="F2153" i="1"/>
  <c r="G2153" i="1"/>
  <c r="H2153" i="1"/>
  <c r="I2153" i="1"/>
  <c r="J2153" i="1"/>
  <c r="K2153" i="1"/>
  <c r="L2153" i="1"/>
  <c r="M2153" i="1"/>
  <c r="N2153" i="1"/>
  <c r="O2153" i="1"/>
  <c r="P2153" i="1"/>
  <c r="Q2153" i="1"/>
  <c r="R2153" i="1"/>
  <c r="S2153" i="1"/>
  <c r="T2153" i="1"/>
  <c r="U2153" i="1"/>
  <c r="V2153" i="1"/>
  <c r="W2153" i="1"/>
  <c r="X2153" i="1"/>
  <c r="Y2153" i="1"/>
  <c r="Z2153" i="1"/>
  <c r="AA2153" i="1"/>
  <c r="AB2153" i="1"/>
  <c r="AC2153" i="1"/>
  <c r="AD2153" i="1"/>
  <c r="AE2153" i="1"/>
  <c r="AF2153" i="1"/>
  <c r="AG2153" i="1"/>
  <c r="AH2153" i="1"/>
  <c r="AI2153" i="1"/>
  <c r="AJ2153" i="1"/>
  <c r="AK2153" i="1"/>
  <c r="AL2153" i="1"/>
  <c r="AM2153" i="1"/>
  <c r="A2154" i="1"/>
  <c r="B2154" i="1"/>
  <c r="C2154" i="1"/>
  <c r="D2154" i="1"/>
  <c r="E2154" i="1"/>
  <c r="F2154" i="1"/>
  <c r="G2154" i="1"/>
  <c r="H2154" i="1"/>
  <c r="I2154" i="1"/>
  <c r="J2154" i="1"/>
  <c r="K2154" i="1"/>
  <c r="L2154" i="1"/>
  <c r="M2154" i="1"/>
  <c r="N2154" i="1"/>
  <c r="O2154" i="1"/>
  <c r="P2154" i="1"/>
  <c r="Q2154" i="1"/>
  <c r="R2154" i="1"/>
  <c r="S2154" i="1"/>
  <c r="T2154" i="1"/>
  <c r="U2154" i="1"/>
  <c r="V2154" i="1"/>
  <c r="W2154" i="1"/>
  <c r="X2154" i="1"/>
  <c r="Y2154" i="1"/>
  <c r="Z2154" i="1"/>
  <c r="AA2154" i="1"/>
  <c r="AB2154" i="1"/>
  <c r="AC2154" i="1"/>
  <c r="AD2154" i="1"/>
  <c r="AE2154" i="1"/>
  <c r="AF2154" i="1"/>
  <c r="AG2154" i="1"/>
  <c r="AH2154" i="1"/>
  <c r="AI2154" i="1"/>
  <c r="AJ2154" i="1"/>
  <c r="AK2154" i="1"/>
  <c r="AL2154" i="1"/>
  <c r="AM2154" i="1"/>
  <c r="A2155" i="1"/>
  <c r="B2155" i="1"/>
  <c r="C2155" i="1"/>
  <c r="D2155" i="1"/>
  <c r="E2155" i="1"/>
  <c r="F2155" i="1"/>
  <c r="G2155" i="1"/>
  <c r="H2155" i="1"/>
  <c r="I2155" i="1"/>
  <c r="J2155" i="1"/>
  <c r="K2155" i="1"/>
  <c r="L2155" i="1"/>
  <c r="M2155" i="1"/>
  <c r="N2155" i="1"/>
  <c r="O2155" i="1"/>
  <c r="P2155" i="1"/>
  <c r="Q2155" i="1"/>
  <c r="R2155" i="1"/>
  <c r="S2155" i="1"/>
  <c r="T2155" i="1"/>
  <c r="U2155" i="1"/>
  <c r="V2155" i="1"/>
  <c r="W2155" i="1"/>
  <c r="X2155" i="1"/>
  <c r="Y2155" i="1"/>
  <c r="Z2155" i="1"/>
  <c r="AA2155" i="1"/>
  <c r="AB2155" i="1"/>
  <c r="AC2155" i="1"/>
  <c r="AD2155" i="1"/>
  <c r="AE2155" i="1"/>
  <c r="AF2155" i="1"/>
  <c r="AG2155" i="1"/>
  <c r="AH2155" i="1"/>
  <c r="AI2155" i="1"/>
  <c r="AJ2155" i="1"/>
  <c r="AK2155" i="1"/>
  <c r="AL2155" i="1"/>
  <c r="AM2155" i="1"/>
  <c r="A2156" i="1"/>
  <c r="B2156" i="1"/>
  <c r="C2156" i="1"/>
  <c r="D2156" i="1"/>
  <c r="E2156" i="1"/>
  <c r="F2156" i="1"/>
  <c r="G2156" i="1"/>
  <c r="H2156" i="1"/>
  <c r="I2156" i="1"/>
  <c r="J2156" i="1"/>
  <c r="K2156" i="1"/>
  <c r="L2156" i="1"/>
  <c r="M2156" i="1"/>
  <c r="N2156" i="1"/>
  <c r="O2156" i="1"/>
  <c r="P2156" i="1"/>
  <c r="Q2156" i="1"/>
  <c r="R2156" i="1"/>
  <c r="S2156" i="1"/>
  <c r="T2156" i="1"/>
  <c r="U2156" i="1"/>
  <c r="V2156" i="1"/>
  <c r="W2156" i="1"/>
  <c r="X2156" i="1"/>
  <c r="Y2156" i="1"/>
  <c r="Z2156" i="1"/>
  <c r="AA2156" i="1"/>
  <c r="AB2156" i="1"/>
  <c r="AC2156" i="1"/>
  <c r="AD2156" i="1"/>
  <c r="AE2156" i="1"/>
  <c r="AF2156" i="1"/>
  <c r="AG2156" i="1"/>
  <c r="AH2156" i="1"/>
  <c r="AI2156" i="1"/>
  <c r="AJ2156" i="1"/>
  <c r="AK2156" i="1"/>
  <c r="AL2156" i="1"/>
  <c r="AM2156" i="1"/>
  <c r="A2157" i="1"/>
  <c r="B2157" i="1"/>
  <c r="C2157" i="1"/>
  <c r="D2157" i="1"/>
  <c r="E2157" i="1"/>
  <c r="F2157" i="1"/>
  <c r="G2157" i="1"/>
  <c r="H2157" i="1"/>
  <c r="I2157" i="1"/>
  <c r="J2157" i="1"/>
  <c r="K2157" i="1"/>
  <c r="L2157" i="1"/>
  <c r="M2157" i="1"/>
  <c r="N2157" i="1"/>
  <c r="O2157" i="1"/>
  <c r="P2157" i="1"/>
  <c r="Q2157" i="1"/>
  <c r="R2157" i="1"/>
  <c r="S2157" i="1"/>
  <c r="T2157" i="1"/>
  <c r="U2157" i="1"/>
  <c r="V2157" i="1"/>
  <c r="W2157" i="1"/>
  <c r="X2157" i="1"/>
  <c r="Y2157" i="1"/>
  <c r="Z2157" i="1"/>
  <c r="AA2157" i="1"/>
  <c r="AB2157" i="1"/>
  <c r="AC2157" i="1"/>
  <c r="AD2157" i="1"/>
  <c r="AE2157" i="1"/>
  <c r="AF2157" i="1"/>
  <c r="AG2157" i="1"/>
  <c r="AH2157" i="1"/>
  <c r="AI2157" i="1"/>
  <c r="AJ2157" i="1"/>
  <c r="AK2157" i="1"/>
  <c r="AL2157" i="1"/>
  <c r="AM2157" i="1"/>
  <c r="A2158" i="1"/>
  <c r="B2158" i="1"/>
  <c r="C2158" i="1"/>
  <c r="D2158" i="1"/>
  <c r="E2158" i="1"/>
  <c r="F2158" i="1"/>
  <c r="G2158" i="1"/>
  <c r="H2158" i="1"/>
  <c r="I2158" i="1"/>
  <c r="J2158" i="1"/>
  <c r="K2158" i="1"/>
  <c r="L2158" i="1"/>
  <c r="M2158" i="1"/>
  <c r="N2158" i="1"/>
  <c r="O2158" i="1"/>
  <c r="P2158" i="1"/>
  <c r="Q2158" i="1"/>
  <c r="R2158" i="1"/>
  <c r="S2158" i="1"/>
  <c r="T2158" i="1"/>
  <c r="U2158" i="1"/>
  <c r="V2158" i="1"/>
  <c r="W2158" i="1"/>
  <c r="X2158" i="1"/>
  <c r="Y2158" i="1"/>
  <c r="Z2158" i="1"/>
  <c r="AA2158" i="1"/>
  <c r="AB2158" i="1"/>
  <c r="AC2158" i="1"/>
  <c r="AD2158" i="1"/>
  <c r="AE2158" i="1"/>
  <c r="AF2158" i="1"/>
  <c r="AG2158" i="1"/>
  <c r="AH2158" i="1"/>
  <c r="AI2158" i="1"/>
  <c r="AJ2158" i="1"/>
  <c r="AK2158" i="1"/>
  <c r="AL2158" i="1"/>
  <c r="AM2158" i="1"/>
  <c r="A2159" i="1"/>
  <c r="B2159" i="1"/>
  <c r="C2159" i="1"/>
  <c r="D2159" i="1"/>
  <c r="E2159" i="1"/>
  <c r="F2159" i="1"/>
  <c r="G2159" i="1"/>
  <c r="H2159" i="1"/>
  <c r="I2159" i="1"/>
  <c r="J2159" i="1"/>
  <c r="K2159" i="1"/>
  <c r="L2159" i="1"/>
  <c r="M2159" i="1"/>
  <c r="N2159" i="1"/>
  <c r="O2159" i="1"/>
  <c r="P2159" i="1"/>
  <c r="Q2159" i="1"/>
  <c r="R2159" i="1"/>
  <c r="S2159" i="1"/>
  <c r="T2159" i="1"/>
  <c r="U2159" i="1"/>
  <c r="V2159" i="1"/>
  <c r="W2159" i="1"/>
  <c r="X2159" i="1"/>
  <c r="Y2159" i="1"/>
  <c r="Z2159" i="1"/>
  <c r="AA2159" i="1"/>
  <c r="AB2159" i="1"/>
  <c r="AC2159" i="1"/>
  <c r="AD2159" i="1"/>
  <c r="AE2159" i="1"/>
  <c r="AF2159" i="1"/>
  <c r="AG2159" i="1"/>
  <c r="AH2159" i="1"/>
  <c r="AI2159" i="1"/>
  <c r="AJ2159" i="1"/>
  <c r="AK2159" i="1"/>
  <c r="AL2159" i="1"/>
  <c r="AM2159" i="1"/>
  <c r="A2160" i="1"/>
  <c r="B2160" i="1"/>
  <c r="C2160" i="1"/>
  <c r="D2160" i="1"/>
  <c r="E2160" i="1"/>
  <c r="F2160" i="1"/>
  <c r="G2160" i="1"/>
  <c r="H2160" i="1"/>
  <c r="I2160" i="1"/>
  <c r="J2160" i="1"/>
  <c r="K2160" i="1"/>
  <c r="L2160" i="1"/>
  <c r="M2160" i="1"/>
  <c r="N2160" i="1"/>
  <c r="O2160" i="1"/>
  <c r="P2160" i="1"/>
  <c r="Q2160" i="1"/>
  <c r="R2160" i="1"/>
  <c r="S2160" i="1"/>
  <c r="T2160" i="1"/>
  <c r="U2160" i="1"/>
  <c r="V2160" i="1"/>
  <c r="W2160" i="1"/>
  <c r="X2160" i="1"/>
  <c r="Y2160" i="1"/>
  <c r="Z2160" i="1"/>
  <c r="AA2160" i="1"/>
  <c r="AB2160" i="1"/>
  <c r="AC2160" i="1"/>
  <c r="AD2160" i="1"/>
  <c r="AE2160" i="1"/>
  <c r="AF2160" i="1"/>
  <c r="AG2160" i="1"/>
  <c r="AH2160" i="1"/>
  <c r="AI2160" i="1"/>
  <c r="AJ2160" i="1"/>
  <c r="AK2160" i="1"/>
  <c r="AL2160" i="1"/>
  <c r="AM2160" i="1"/>
  <c r="A2161" i="1"/>
  <c r="B2161" i="1"/>
  <c r="C2161" i="1"/>
  <c r="D2161" i="1"/>
  <c r="E2161" i="1"/>
  <c r="F2161" i="1"/>
  <c r="G2161" i="1"/>
  <c r="H2161" i="1"/>
  <c r="I2161" i="1"/>
  <c r="J2161" i="1"/>
  <c r="K2161" i="1"/>
  <c r="L2161" i="1"/>
  <c r="M2161" i="1"/>
  <c r="N2161" i="1"/>
  <c r="O2161" i="1"/>
  <c r="P2161" i="1"/>
  <c r="Q2161" i="1"/>
  <c r="R2161" i="1"/>
  <c r="S2161" i="1"/>
  <c r="T2161" i="1"/>
  <c r="U2161" i="1"/>
  <c r="V2161" i="1"/>
  <c r="W2161" i="1"/>
  <c r="X2161" i="1"/>
  <c r="Y2161" i="1"/>
  <c r="Z2161" i="1"/>
  <c r="AA2161" i="1"/>
  <c r="AB2161" i="1"/>
  <c r="AC2161" i="1"/>
  <c r="AD2161" i="1"/>
  <c r="AE2161" i="1"/>
  <c r="AF2161" i="1"/>
  <c r="AG2161" i="1"/>
  <c r="AH2161" i="1"/>
  <c r="AI2161" i="1"/>
  <c r="AJ2161" i="1"/>
  <c r="AK2161" i="1"/>
  <c r="AL2161" i="1"/>
  <c r="AM2161" i="1"/>
  <c r="A2162" i="1"/>
  <c r="B2162" i="1"/>
  <c r="C2162" i="1"/>
  <c r="D2162" i="1"/>
  <c r="E2162" i="1"/>
  <c r="F2162" i="1"/>
  <c r="G2162" i="1"/>
  <c r="H2162" i="1"/>
  <c r="I2162" i="1"/>
  <c r="J2162" i="1"/>
  <c r="K2162" i="1"/>
  <c r="L2162" i="1"/>
  <c r="M2162" i="1"/>
  <c r="N2162" i="1"/>
  <c r="O2162" i="1"/>
  <c r="P2162" i="1"/>
  <c r="Q2162" i="1"/>
  <c r="R2162" i="1"/>
  <c r="S2162" i="1"/>
  <c r="T2162" i="1"/>
  <c r="U2162" i="1"/>
  <c r="V2162" i="1"/>
  <c r="W2162" i="1"/>
  <c r="X2162" i="1"/>
  <c r="Y2162" i="1"/>
  <c r="Z2162" i="1"/>
  <c r="AA2162" i="1"/>
  <c r="AB2162" i="1"/>
  <c r="AC2162" i="1"/>
  <c r="AD2162" i="1"/>
  <c r="AE2162" i="1"/>
  <c r="AF2162" i="1"/>
  <c r="AG2162" i="1"/>
  <c r="AH2162" i="1"/>
  <c r="AI2162" i="1"/>
  <c r="AJ2162" i="1"/>
  <c r="AK2162" i="1"/>
  <c r="AL2162" i="1"/>
  <c r="AM2162" i="1"/>
  <c r="A2163" i="1"/>
  <c r="B2163" i="1"/>
  <c r="C2163" i="1"/>
  <c r="D2163" i="1"/>
  <c r="E2163" i="1"/>
  <c r="F2163" i="1"/>
  <c r="G2163" i="1"/>
  <c r="H2163" i="1"/>
  <c r="I2163" i="1"/>
  <c r="J2163" i="1"/>
  <c r="K2163" i="1"/>
  <c r="L2163" i="1"/>
  <c r="M2163" i="1"/>
  <c r="N2163" i="1"/>
  <c r="O2163" i="1"/>
  <c r="P2163" i="1"/>
  <c r="Q2163" i="1"/>
  <c r="R2163" i="1"/>
  <c r="S2163" i="1"/>
  <c r="T2163" i="1"/>
  <c r="U2163" i="1"/>
  <c r="V2163" i="1"/>
  <c r="W2163" i="1"/>
  <c r="X2163" i="1"/>
  <c r="Y2163" i="1"/>
  <c r="Z2163" i="1"/>
  <c r="AA2163" i="1"/>
  <c r="AB2163" i="1"/>
  <c r="AC2163" i="1"/>
  <c r="AD2163" i="1"/>
  <c r="AE2163" i="1"/>
  <c r="AF2163" i="1"/>
  <c r="AG2163" i="1"/>
  <c r="AH2163" i="1"/>
  <c r="AI2163" i="1"/>
  <c r="AJ2163" i="1"/>
  <c r="AK2163" i="1"/>
  <c r="AL2163" i="1"/>
  <c r="AM2163" i="1"/>
  <c r="A2164" i="1"/>
  <c r="B2164" i="1"/>
  <c r="C2164" i="1"/>
  <c r="D2164" i="1"/>
  <c r="E2164" i="1"/>
  <c r="F2164" i="1"/>
  <c r="G2164" i="1"/>
  <c r="H2164" i="1"/>
  <c r="I2164" i="1"/>
  <c r="J2164" i="1"/>
  <c r="K2164" i="1"/>
  <c r="L2164" i="1"/>
  <c r="M2164" i="1"/>
  <c r="N2164" i="1"/>
  <c r="O2164" i="1"/>
  <c r="P2164" i="1"/>
  <c r="Q2164" i="1"/>
  <c r="R2164" i="1"/>
  <c r="S2164" i="1"/>
  <c r="T2164" i="1"/>
  <c r="U2164" i="1"/>
  <c r="V2164" i="1"/>
  <c r="W2164" i="1"/>
  <c r="X2164" i="1"/>
  <c r="Y2164" i="1"/>
  <c r="Z2164" i="1"/>
  <c r="AA2164" i="1"/>
  <c r="AB2164" i="1"/>
  <c r="AC2164" i="1"/>
  <c r="AD2164" i="1"/>
  <c r="AE2164" i="1"/>
  <c r="AF2164" i="1"/>
  <c r="AG2164" i="1"/>
  <c r="AH2164" i="1"/>
  <c r="AI2164" i="1"/>
  <c r="AJ2164" i="1"/>
  <c r="AK2164" i="1"/>
  <c r="AL2164" i="1"/>
  <c r="AM2164" i="1"/>
  <c r="A2165" i="1"/>
  <c r="B2165" i="1"/>
  <c r="C2165" i="1"/>
  <c r="D2165" i="1"/>
  <c r="E2165" i="1"/>
  <c r="F2165" i="1"/>
  <c r="G2165" i="1"/>
  <c r="H2165" i="1"/>
  <c r="I2165" i="1"/>
  <c r="J2165" i="1"/>
  <c r="K2165" i="1"/>
  <c r="L2165" i="1"/>
  <c r="M2165" i="1"/>
  <c r="N2165" i="1"/>
  <c r="O2165" i="1"/>
  <c r="P2165" i="1"/>
  <c r="Q2165" i="1"/>
  <c r="R2165" i="1"/>
  <c r="S2165" i="1"/>
  <c r="T2165" i="1"/>
  <c r="U2165" i="1"/>
  <c r="V2165" i="1"/>
  <c r="W2165" i="1"/>
  <c r="X2165" i="1"/>
  <c r="Y2165" i="1"/>
  <c r="Z2165" i="1"/>
  <c r="AA2165" i="1"/>
  <c r="AB2165" i="1"/>
  <c r="AC2165" i="1"/>
  <c r="AD2165" i="1"/>
  <c r="AE2165" i="1"/>
  <c r="AF2165" i="1"/>
  <c r="AG2165" i="1"/>
  <c r="AH2165" i="1"/>
  <c r="AI2165" i="1"/>
  <c r="AJ2165" i="1"/>
  <c r="AK2165" i="1"/>
  <c r="AL2165" i="1"/>
  <c r="AM2165" i="1"/>
  <c r="A2166" i="1"/>
  <c r="B2166" i="1"/>
  <c r="C2166" i="1"/>
  <c r="D2166" i="1"/>
  <c r="E2166" i="1"/>
  <c r="F2166" i="1"/>
  <c r="G2166" i="1"/>
  <c r="H2166" i="1"/>
  <c r="I2166" i="1"/>
  <c r="J2166" i="1"/>
  <c r="K2166" i="1"/>
  <c r="L2166" i="1"/>
  <c r="M2166" i="1"/>
  <c r="N2166" i="1"/>
  <c r="O2166" i="1"/>
  <c r="P2166" i="1"/>
  <c r="Q2166" i="1"/>
  <c r="R2166" i="1"/>
  <c r="S2166" i="1"/>
  <c r="T2166" i="1"/>
  <c r="U2166" i="1"/>
  <c r="V2166" i="1"/>
  <c r="W2166" i="1"/>
  <c r="X2166" i="1"/>
  <c r="Y2166" i="1"/>
  <c r="Z2166" i="1"/>
  <c r="AA2166" i="1"/>
  <c r="AB2166" i="1"/>
  <c r="AC2166" i="1"/>
  <c r="AD2166" i="1"/>
  <c r="AE2166" i="1"/>
  <c r="AF2166" i="1"/>
  <c r="AG2166" i="1"/>
  <c r="AH2166" i="1"/>
  <c r="AI2166" i="1"/>
  <c r="AJ2166" i="1"/>
  <c r="AK2166" i="1"/>
  <c r="AL2166" i="1"/>
  <c r="AM2166" i="1"/>
  <c r="A2167" i="1"/>
  <c r="B2167" i="1"/>
  <c r="C2167" i="1"/>
  <c r="D2167" i="1"/>
  <c r="E2167" i="1"/>
  <c r="F2167" i="1"/>
  <c r="G2167" i="1"/>
  <c r="H2167" i="1"/>
  <c r="I2167" i="1"/>
  <c r="J2167" i="1"/>
  <c r="K2167" i="1"/>
  <c r="L2167" i="1"/>
  <c r="M2167" i="1"/>
  <c r="N2167" i="1"/>
  <c r="O2167" i="1"/>
  <c r="P2167" i="1"/>
  <c r="Q2167" i="1"/>
  <c r="R2167" i="1"/>
  <c r="S2167" i="1"/>
  <c r="T2167" i="1"/>
  <c r="U2167" i="1"/>
  <c r="V2167" i="1"/>
  <c r="W2167" i="1"/>
  <c r="X2167" i="1"/>
  <c r="Y2167" i="1"/>
  <c r="Z2167" i="1"/>
  <c r="AA2167" i="1"/>
  <c r="AB2167" i="1"/>
  <c r="AC2167" i="1"/>
  <c r="AD2167" i="1"/>
  <c r="AE2167" i="1"/>
  <c r="AF2167" i="1"/>
  <c r="AG2167" i="1"/>
  <c r="AH2167" i="1"/>
  <c r="AI2167" i="1"/>
  <c r="AJ2167" i="1"/>
  <c r="AK2167" i="1"/>
  <c r="AL2167" i="1"/>
  <c r="AM2167" i="1"/>
  <c r="A2168" i="1"/>
  <c r="B2168" i="1"/>
  <c r="C2168" i="1"/>
  <c r="D2168" i="1"/>
  <c r="E2168" i="1"/>
  <c r="F2168" i="1"/>
  <c r="G2168" i="1"/>
  <c r="H2168" i="1"/>
  <c r="I2168" i="1"/>
  <c r="J2168" i="1"/>
  <c r="K2168" i="1"/>
  <c r="L2168" i="1"/>
  <c r="M2168" i="1"/>
  <c r="N2168" i="1"/>
  <c r="O2168" i="1"/>
  <c r="P2168" i="1"/>
  <c r="Q2168" i="1"/>
  <c r="R2168" i="1"/>
  <c r="S2168" i="1"/>
  <c r="T2168" i="1"/>
  <c r="U2168" i="1"/>
  <c r="V2168" i="1"/>
  <c r="W2168" i="1"/>
  <c r="X2168" i="1"/>
  <c r="Y2168" i="1"/>
  <c r="Z2168" i="1"/>
  <c r="AA2168" i="1"/>
  <c r="AB2168" i="1"/>
  <c r="AC2168" i="1"/>
  <c r="AD2168" i="1"/>
  <c r="AE2168" i="1"/>
  <c r="AF2168" i="1"/>
  <c r="AG2168" i="1"/>
  <c r="AH2168" i="1"/>
  <c r="AI2168" i="1"/>
  <c r="AJ2168" i="1"/>
  <c r="AK2168" i="1"/>
  <c r="AL2168" i="1"/>
  <c r="AM2168" i="1"/>
  <c r="A2169" i="1"/>
  <c r="B2169" i="1"/>
  <c r="C2169" i="1"/>
  <c r="D2169" i="1"/>
  <c r="E2169" i="1"/>
  <c r="F2169" i="1"/>
  <c r="G2169" i="1"/>
  <c r="H2169" i="1"/>
  <c r="I2169" i="1"/>
  <c r="J2169" i="1"/>
  <c r="K2169" i="1"/>
  <c r="L2169" i="1"/>
  <c r="M2169" i="1"/>
  <c r="N2169" i="1"/>
  <c r="O2169" i="1"/>
  <c r="P2169" i="1"/>
  <c r="Q2169" i="1"/>
  <c r="R2169" i="1"/>
  <c r="S2169" i="1"/>
  <c r="T2169" i="1"/>
  <c r="U2169" i="1"/>
  <c r="V2169" i="1"/>
  <c r="W2169" i="1"/>
  <c r="X2169" i="1"/>
  <c r="Y2169" i="1"/>
  <c r="Z2169" i="1"/>
  <c r="AA2169" i="1"/>
  <c r="AB2169" i="1"/>
  <c r="AC2169" i="1"/>
  <c r="AD2169" i="1"/>
  <c r="AE2169" i="1"/>
  <c r="AF2169" i="1"/>
  <c r="AG2169" i="1"/>
  <c r="AH2169" i="1"/>
  <c r="AI2169" i="1"/>
  <c r="AJ2169" i="1"/>
  <c r="AK2169" i="1"/>
  <c r="AL2169" i="1"/>
  <c r="AM2169" i="1"/>
  <c r="A2170" i="1"/>
  <c r="B2170" i="1"/>
  <c r="C2170" i="1"/>
  <c r="D2170" i="1"/>
  <c r="E2170" i="1"/>
  <c r="F2170" i="1"/>
  <c r="G2170" i="1"/>
  <c r="H2170" i="1"/>
  <c r="I2170" i="1"/>
  <c r="J2170" i="1"/>
  <c r="K2170" i="1"/>
  <c r="L2170" i="1"/>
  <c r="M2170" i="1"/>
  <c r="N2170" i="1"/>
  <c r="O2170" i="1"/>
  <c r="P2170" i="1"/>
  <c r="Q2170" i="1"/>
  <c r="R2170" i="1"/>
  <c r="S2170" i="1"/>
  <c r="T2170" i="1"/>
  <c r="U2170" i="1"/>
  <c r="V2170" i="1"/>
  <c r="W2170" i="1"/>
  <c r="X2170" i="1"/>
  <c r="Y2170" i="1"/>
  <c r="Z2170" i="1"/>
  <c r="AA2170" i="1"/>
  <c r="AB2170" i="1"/>
  <c r="AC2170" i="1"/>
  <c r="AD2170" i="1"/>
  <c r="AE2170" i="1"/>
  <c r="AF2170" i="1"/>
  <c r="AG2170" i="1"/>
  <c r="AH2170" i="1"/>
  <c r="AI2170" i="1"/>
  <c r="AJ2170" i="1"/>
  <c r="AK2170" i="1"/>
  <c r="AL2170" i="1"/>
  <c r="AM2170" i="1"/>
  <c r="A2171" i="1"/>
  <c r="B2171" i="1"/>
  <c r="C2171" i="1"/>
  <c r="D2171" i="1"/>
  <c r="E2171" i="1"/>
  <c r="F2171" i="1"/>
  <c r="G2171" i="1"/>
  <c r="H2171" i="1"/>
  <c r="I2171" i="1"/>
  <c r="J2171" i="1"/>
  <c r="K2171" i="1"/>
  <c r="L2171" i="1"/>
  <c r="M2171" i="1"/>
  <c r="N2171" i="1"/>
  <c r="O2171" i="1"/>
  <c r="P2171" i="1"/>
  <c r="Q2171" i="1"/>
  <c r="R2171" i="1"/>
  <c r="S2171" i="1"/>
  <c r="T2171" i="1"/>
  <c r="U2171" i="1"/>
  <c r="V2171" i="1"/>
  <c r="W2171" i="1"/>
  <c r="X2171" i="1"/>
  <c r="Y2171" i="1"/>
  <c r="Z2171" i="1"/>
  <c r="AA2171" i="1"/>
  <c r="AB2171" i="1"/>
  <c r="AC2171" i="1"/>
  <c r="AD2171" i="1"/>
  <c r="AE2171" i="1"/>
  <c r="AF2171" i="1"/>
  <c r="AG2171" i="1"/>
  <c r="AH2171" i="1"/>
  <c r="AI2171" i="1"/>
  <c r="AJ2171" i="1"/>
  <c r="AK2171" i="1"/>
  <c r="AL2171" i="1"/>
  <c r="AM2171" i="1"/>
  <c r="A2172" i="1"/>
  <c r="B2172" i="1"/>
  <c r="C2172" i="1"/>
  <c r="D2172" i="1"/>
  <c r="E2172" i="1"/>
  <c r="F2172" i="1"/>
  <c r="G2172" i="1"/>
  <c r="H2172" i="1"/>
  <c r="I2172" i="1"/>
  <c r="J2172" i="1"/>
  <c r="K2172" i="1"/>
  <c r="L2172" i="1"/>
  <c r="M2172" i="1"/>
  <c r="N2172" i="1"/>
  <c r="O2172" i="1"/>
  <c r="P2172" i="1"/>
  <c r="Q2172" i="1"/>
  <c r="R2172" i="1"/>
  <c r="S2172" i="1"/>
  <c r="T2172" i="1"/>
  <c r="U2172" i="1"/>
  <c r="V2172" i="1"/>
  <c r="W2172" i="1"/>
  <c r="X2172" i="1"/>
  <c r="Y2172" i="1"/>
  <c r="Z2172" i="1"/>
  <c r="AA2172" i="1"/>
  <c r="AB2172" i="1"/>
  <c r="AC2172" i="1"/>
  <c r="AD2172" i="1"/>
  <c r="AE2172" i="1"/>
  <c r="AF2172" i="1"/>
  <c r="AG2172" i="1"/>
  <c r="AH2172" i="1"/>
  <c r="AI2172" i="1"/>
  <c r="AJ2172" i="1"/>
  <c r="AK2172" i="1"/>
  <c r="AL2172" i="1"/>
  <c r="AM2172" i="1"/>
  <c r="A2173" i="1"/>
  <c r="B2173" i="1"/>
  <c r="C2173" i="1"/>
  <c r="D2173" i="1"/>
  <c r="E2173" i="1"/>
  <c r="F2173" i="1"/>
  <c r="G2173" i="1"/>
  <c r="H2173" i="1"/>
  <c r="I2173" i="1"/>
  <c r="J2173" i="1"/>
  <c r="K2173" i="1"/>
  <c r="L2173" i="1"/>
  <c r="M2173" i="1"/>
  <c r="N2173" i="1"/>
  <c r="O2173" i="1"/>
  <c r="P2173" i="1"/>
  <c r="Q2173" i="1"/>
  <c r="R2173" i="1"/>
  <c r="S2173" i="1"/>
  <c r="T2173" i="1"/>
  <c r="U2173" i="1"/>
  <c r="V2173" i="1"/>
  <c r="W2173" i="1"/>
  <c r="X2173" i="1"/>
  <c r="Y2173" i="1"/>
  <c r="Z2173" i="1"/>
  <c r="AA2173" i="1"/>
  <c r="AB2173" i="1"/>
  <c r="AC2173" i="1"/>
  <c r="AD2173" i="1"/>
  <c r="AE2173" i="1"/>
  <c r="AF2173" i="1"/>
  <c r="AG2173" i="1"/>
  <c r="AH2173" i="1"/>
  <c r="AI2173" i="1"/>
  <c r="AJ2173" i="1"/>
  <c r="AK2173" i="1"/>
  <c r="AL2173" i="1"/>
  <c r="AM2173" i="1"/>
  <c r="A2174" i="1"/>
  <c r="B2174" i="1"/>
  <c r="C2174" i="1"/>
  <c r="D2174" i="1"/>
  <c r="E2174" i="1"/>
  <c r="F2174" i="1"/>
  <c r="G2174" i="1"/>
  <c r="H2174" i="1"/>
  <c r="I2174" i="1"/>
  <c r="J2174" i="1"/>
  <c r="K2174" i="1"/>
  <c r="L2174" i="1"/>
  <c r="M2174" i="1"/>
  <c r="N2174" i="1"/>
  <c r="O2174" i="1"/>
  <c r="P2174" i="1"/>
  <c r="Q2174" i="1"/>
  <c r="R2174" i="1"/>
  <c r="S2174" i="1"/>
  <c r="T2174" i="1"/>
  <c r="U2174" i="1"/>
  <c r="V2174" i="1"/>
  <c r="W2174" i="1"/>
  <c r="X2174" i="1"/>
  <c r="Y2174" i="1"/>
  <c r="Z2174" i="1"/>
  <c r="AA2174" i="1"/>
  <c r="AB2174" i="1"/>
  <c r="AC2174" i="1"/>
  <c r="AD2174" i="1"/>
  <c r="AE2174" i="1"/>
  <c r="AF2174" i="1"/>
  <c r="AG2174" i="1"/>
  <c r="AH2174" i="1"/>
  <c r="AI2174" i="1"/>
  <c r="AJ2174" i="1"/>
  <c r="AK2174" i="1"/>
  <c r="AL2174" i="1"/>
  <c r="AM2174" i="1"/>
  <c r="A2175" i="1"/>
  <c r="B2175" i="1"/>
  <c r="C2175" i="1"/>
  <c r="D2175" i="1"/>
  <c r="E2175" i="1"/>
  <c r="F2175" i="1"/>
  <c r="G2175" i="1"/>
  <c r="H2175" i="1"/>
  <c r="I2175" i="1"/>
  <c r="J2175" i="1"/>
  <c r="K2175" i="1"/>
  <c r="L2175" i="1"/>
  <c r="M2175" i="1"/>
  <c r="N2175" i="1"/>
  <c r="O2175" i="1"/>
  <c r="P2175" i="1"/>
  <c r="Q2175" i="1"/>
  <c r="R2175" i="1"/>
  <c r="S2175" i="1"/>
  <c r="T2175" i="1"/>
  <c r="U2175" i="1"/>
  <c r="V2175" i="1"/>
  <c r="W2175" i="1"/>
  <c r="X2175" i="1"/>
  <c r="Y2175" i="1"/>
  <c r="Z2175" i="1"/>
  <c r="AA2175" i="1"/>
  <c r="AB2175" i="1"/>
  <c r="AC2175" i="1"/>
  <c r="AD2175" i="1"/>
  <c r="AE2175" i="1"/>
  <c r="AF2175" i="1"/>
  <c r="AG2175" i="1"/>
  <c r="AH2175" i="1"/>
  <c r="AI2175" i="1"/>
  <c r="AJ2175" i="1"/>
  <c r="AK2175" i="1"/>
  <c r="AL2175" i="1"/>
  <c r="AM2175" i="1"/>
  <c r="A2176" i="1"/>
  <c r="B2176" i="1"/>
  <c r="C2176" i="1"/>
  <c r="D2176" i="1"/>
  <c r="E2176" i="1"/>
  <c r="F2176" i="1"/>
  <c r="G2176" i="1"/>
  <c r="H2176" i="1"/>
  <c r="I2176" i="1"/>
  <c r="J2176" i="1"/>
  <c r="K2176" i="1"/>
  <c r="L2176" i="1"/>
  <c r="M2176" i="1"/>
  <c r="N2176" i="1"/>
  <c r="O2176" i="1"/>
  <c r="P2176" i="1"/>
  <c r="Q2176" i="1"/>
  <c r="R2176" i="1"/>
  <c r="S2176" i="1"/>
  <c r="T2176" i="1"/>
  <c r="U2176" i="1"/>
  <c r="V2176" i="1"/>
  <c r="W2176" i="1"/>
  <c r="X2176" i="1"/>
  <c r="Y2176" i="1"/>
  <c r="Z2176" i="1"/>
  <c r="AA2176" i="1"/>
  <c r="AB2176" i="1"/>
  <c r="AC2176" i="1"/>
  <c r="AD2176" i="1"/>
  <c r="AE2176" i="1"/>
  <c r="AF2176" i="1"/>
  <c r="AG2176" i="1"/>
  <c r="AH2176" i="1"/>
  <c r="AI2176" i="1"/>
  <c r="AJ2176" i="1"/>
  <c r="AK2176" i="1"/>
  <c r="AL2176" i="1"/>
  <c r="AM2176" i="1"/>
  <c r="A2177" i="1"/>
  <c r="B2177" i="1"/>
  <c r="C2177" i="1"/>
  <c r="D2177" i="1"/>
  <c r="E2177" i="1"/>
  <c r="F2177" i="1"/>
  <c r="G2177" i="1"/>
  <c r="H2177" i="1"/>
  <c r="I2177" i="1"/>
  <c r="J2177" i="1"/>
  <c r="K2177" i="1"/>
  <c r="L2177" i="1"/>
  <c r="M2177" i="1"/>
  <c r="N2177" i="1"/>
  <c r="O2177" i="1"/>
  <c r="P2177" i="1"/>
  <c r="Q2177" i="1"/>
  <c r="R2177" i="1"/>
  <c r="S2177" i="1"/>
  <c r="T2177" i="1"/>
  <c r="U2177" i="1"/>
  <c r="V2177" i="1"/>
  <c r="W2177" i="1"/>
  <c r="X2177" i="1"/>
  <c r="Y2177" i="1"/>
  <c r="Z2177" i="1"/>
  <c r="AA2177" i="1"/>
  <c r="AB2177" i="1"/>
  <c r="AC2177" i="1"/>
  <c r="AD2177" i="1"/>
  <c r="AE2177" i="1"/>
  <c r="AF2177" i="1"/>
  <c r="AG2177" i="1"/>
  <c r="AH2177" i="1"/>
  <c r="AI2177" i="1"/>
  <c r="AJ2177" i="1"/>
  <c r="AK2177" i="1"/>
  <c r="AL2177" i="1"/>
  <c r="AM2177" i="1"/>
  <c r="A2178" i="1"/>
  <c r="B2178" i="1"/>
  <c r="C2178" i="1"/>
  <c r="D2178" i="1"/>
  <c r="E2178" i="1"/>
  <c r="F2178" i="1"/>
  <c r="G2178" i="1"/>
  <c r="H2178" i="1"/>
  <c r="I2178" i="1"/>
  <c r="J2178" i="1"/>
  <c r="K2178" i="1"/>
  <c r="L2178" i="1"/>
  <c r="M2178" i="1"/>
  <c r="N2178" i="1"/>
  <c r="O2178" i="1"/>
  <c r="P2178" i="1"/>
  <c r="Q2178" i="1"/>
  <c r="R2178" i="1"/>
  <c r="S2178" i="1"/>
  <c r="T2178" i="1"/>
  <c r="U2178" i="1"/>
  <c r="V2178" i="1"/>
  <c r="W2178" i="1"/>
  <c r="X2178" i="1"/>
  <c r="Y2178" i="1"/>
  <c r="Z2178" i="1"/>
  <c r="AA2178" i="1"/>
  <c r="AB2178" i="1"/>
  <c r="AC2178" i="1"/>
  <c r="AD2178" i="1"/>
  <c r="AE2178" i="1"/>
  <c r="AF2178" i="1"/>
  <c r="AG2178" i="1"/>
  <c r="AH2178" i="1"/>
  <c r="AI2178" i="1"/>
  <c r="AJ2178" i="1"/>
  <c r="AK2178" i="1"/>
  <c r="AL2178" i="1"/>
  <c r="AM2178" i="1"/>
  <c r="A2179" i="1"/>
  <c r="B2179" i="1"/>
  <c r="C2179" i="1"/>
  <c r="D2179" i="1"/>
  <c r="E2179" i="1"/>
  <c r="F2179" i="1"/>
  <c r="G2179" i="1"/>
  <c r="H2179" i="1"/>
  <c r="I2179" i="1"/>
  <c r="J2179" i="1"/>
  <c r="K2179" i="1"/>
  <c r="L2179" i="1"/>
  <c r="M2179" i="1"/>
  <c r="N2179" i="1"/>
  <c r="O2179" i="1"/>
  <c r="P2179" i="1"/>
  <c r="Q2179" i="1"/>
  <c r="R2179" i="1"/>
  <c r="S2179" i="1"/>
  <c r="T2179" i="1"/>
  <c r="U2179" i="1"/>
  <c r="V2179" i="1"/>
  <c r="W2179" i="1"/>
  <c r="X2179" i="1"/>
  <c r="Y2179" i="1"/>
  <c r="Z2179" i="1"/>
  <c r="AA2179" i="1"/>
  <c r="AB2179" i="1"/>
  <c r="AC2179" i="1"/>
  <c r="AD2179" i="1"/>
  <c r="AE2179" i="1"/>
  <c r="AF2179" i="1"/>
  <c r="AG2179" i="1"/>
  <c r="AH2179" i="1"/>
  <c r="AI2179" i="1"/>
  <c r="AJ2179" i="1"/>
  <c r="AK2179" i="1"/>
  <c r="AL2179" i="1"/>
  <c r="AM2179" i="1"/>
  <c r="A2180" i="1"/>
  <c r="B2180" i="1"/>
  <c r="C2180" i="1"/>
  <c r="D2180" i="1"/>
  <c r="E2180" i="1"/>
  <c r="F2180" i="1"/>
  <c r="G2180" i="1"/>
  <c r="H2180" i="1"/>
  <c r="I2180" i="1"/>
  <c r="J2180" i="1"/>
  <c r="K2180" i="1"/>
  <c r="L2180" i="1"/>
  <c r="M2180" i="1"/>
  <c r="N2180" i="1"/>
  <c r="O2180" i="1"/>
  <c r="P2180" i="1"/>
  <c r="Q2180" i="1"/>
  <c r="R2180" i="1"/>
  <c r="S2180" i="1"/>
  <c r="T2180" i="1"/>
  <c r="U2180" i="1"/>
  <c r="V2180" i="1"/>
  <c r="W2180" i="1"/>
  <c r="X2180" i="1"/>
  <c r="Y2180" i="1"/>
  <c r="Z2180" i="1"/>
  <c r="AA2180" i="1"/>
  <c r="AB2180" i="1"/>
  <c r="AC2180" i="1"/>
  <c r="AD2180" i="1"/>
  <c r="AE2180" i="1"/>
  <c r="AF2180" i="1"/>
  <c r="AG2180" i="1"/>
  <c r="AH2180" i="1"/>
  <c r="AI2180" i="1"/>
  <c r="AJ2180" i="1"/>
  <c r="AK2180" i="1"/>
  <c r="AL2180" i="1"/>
  <c r="AM2180" i="1"/>
  <c r="A2181" i="1"/>
  <c r="B2181" i="1"/>
  <c r="C2181" i="1"/>
  <c r="D2181" i="1"/>
  <c r="E2181" i="1"/>
  <c r="F2181" i="1"/>
  <c r="G2181" i="1"/>
  <c r="H2181" i="1"/>
  <c r="I2181" i="1"/>
  <c r="J2181" i="1"/>
  <c r="K2181" i="1"/>
  <c r="L2181" i="1"/>
  <c r="M2181" i="1"/>
  <c r="N2181" i="1"/>
  <c r="O2181" i="1"/>
  <c r="P2181" i="1"/>
  <c r="Q2181" i="1"/>
  <c r="R2181" i="1"/>
  <c r="S2181" i="1"/>
  <c r="T2181" i="1"/>
  <c r="U2181" i="1"/>
  <c r="V2181" i="1"/>
  <c r="W2181" i="1"/>
  <c r="X2181" i="1"/>
  <c r="Y2181" i="1"/>
  <c r="Z2181" i="1"/>
  <c r="AA2181" i="1"/>
  <c r="AB2181" i="1"/>
  <c r="AC2181" i="1"/>
  <c r="AD2181" i="1"/>
  <c r="AE2181" i="1"/>
  <c r="AF2181" i="1"/>
  <c r="AG2181" i="1"/>
  <c r="AH2181" i="1"/>
  <c r="AI2181" i="1"/>
  <c r="AJ2181" i="1"/>
  <c r="AK2181" i="1"/>
  <c r="AL2181" i="1"/>
  <c r="AM2181" i="1"/>
  <c r="A2182" i="1"/>
  <c r="B2182" i="1"/>
  <c r="C2182" i="1"/>
  <c r="D2182" i="1"/>
  <c r="E2182" i="1"/>
  <c r="F2182" i="1"/>
  <c r="G2182" i="1"/>
  <c r="H2182" i="1"/>
  <c r="I2182" i="1"/>
  <c r="J2182" i="1"/>
  <c r="K2182" i="1"/>
  <c r="L2182" i="1"/>
  <c r="M2182" i="1"/>
  <c r="N2182" i="1"/>
  <c r="O2182" i="1"/>
  <c r="P2182" i="1"/>
  <c r="Q2182" i="1"/>
  <c r="R2182" i="1"/>
  <c r="S2182" i="1"/>
  <c r="T2182" i="1"/>
  <c r="U2182" i="1"/>
  <c r="V2182" i="1"/>
  <c r="W2182" i="1"/>
  <c r="X2182" i="1"/>
  <c r="Y2182" i="1"/>
  <c r="Z2182" i="1"/>
  <c r="AA2182" i="1"/>
  <c r="AB2182" i="1"/>
  <c r="AC2182" i="1"/>
  <c r="AD2182" i="1"/>
  <c r="AE2182" i="1"/>
  <c r="AF2182" i="1"/>
  <c r="AG2182" i="1"/>
  <c r="AH2182" i="1"/>
  <c r="AI2182" i="1"/>
  <c r="AJ2182" i="1"/>
  <c r="AK2182" i="1"/>
  <c r="AL2182" i="1"/>
  <c r="AM2182" i="1"/>
  <c r="A2183" i="1"/>
  <c r="B2183" i="1"/>
  <c r="C2183" i="1"/>
  <c r="D2183" i="1"/>
  <c r="E2183" i="1"/>
  <c r="F2183" i="1"/>
  <c r="G2183" i="1"/>
  <c r="H2183" i="1"/>
  <c r="I2183" i="1"/>
  <c r="J2183" i="1"/>
  <c r="K2183" i="1"/>
  <c r="L2183" i="1"/>
  <c r="M2183" i="1"/>
  <c r="N2183" i="1"/>
  <c r="O2183" i="1"/>
  <c r="P2183" i="1"/>
  <c r="Q2183" i="1"/>
  <c r="R2183" i="1"/>
  <c r="S2183" i="1"/>
  <c r="T2183" i="1"/>
  <c r="U2183" i="1"/>
  <c r="V2183" i="1"/>
  <c r="W2183" i="1"/>
  <c r="X2183" i="1"/>
  <c r="Y2183" i="1"/>
  <c r="Z2183" i="1"/>
  <c r="AA2183" i="1"/>
  <c r="AB2183" i="1"/>
  <c r="AC2183" i="1"/>
  <c r="AD2183" i="1"/>
  <c r="AE2183" i="1"/>
  <c r="AF2183" i="1"/>
  <c r="AG2183" i="1"/>
  <c r="AH2183" i="1"/>
  <c r="AI2183" i="1"/>
  <c r="AJ2183" i="1"/>
  <c r="AK2183" i="1"/>
  <c r="AL2183" i="1"/>
  <c r="AM2183" i="1"/>
  <c r="A2184" i="1"/>
  <c r="B2184" i="1"/>
  <c r="C2184" i="1"/>
  <c r="D2184" i="1"/>
  <c r="E2184" i="1"/>
  <c r="F2184" i="1"/>
  <c r="G2184" i="1"/>
  <c r="H2184" i="1"/>
  <c r="I2184" i="1"/>
  <c r="J2184" i="1"/>
  <c r="K2184" i="1"/>
  <c r="L2184" i="1"/>
  <c r="M2184" i="1"/>
  <c r="N2184" i="1"/>
  <c r="O2184" i="1"/>
  <c r="P2184" i="1"/>
  <c r="Q2184" i="1"/>
  <c r="R2184" i="1"/>
  <c r="S2184" i="1"/>
  <c r="T2184" i="1"/>
  <c r="U2184" i="1"/>
  <c r="V2184" i="1"/>
  <c r="W2184" i="1"/>
  <c r="X2184" i="1"/>
  <c r="Y2184" i="1"/>
  <c r="Z2184" i="1"/>
  <c r="AA2184" i="1"/>
  <c r="AB2184" i="1"/>
  <c r="AC2184" i="1"/>
  <c r="AD2184" i="1"/>
  <c r="AE2184" i="1"/>
  <c r="AF2184" i="1"/>
  <c r="AG2184" i="1"/>
  <c r="AH2184" i="1"/>
  <c r="AI2184" i="1"/>
  <c r="AJ2184" i="1"/>
  <c r="AK2184" i="1"/>
  <c r="AL2184" i="1"/>
  <c r="AM2184" i="1"/>
  <c r="A2185" i="1"/>
  <c r="B2185" i="1"/>
  <c r="C2185" i="1"/>
  <c r="D2185" i="1"/>
  <c r="E2185" i="1"/>
  <c r="F2185" i="1"/>
  <c r="G2185" i="1"/>
  <c r="H2185" i="1"/>
  <c r="I2185" i="1"/>
  <c r="J2185" i="1"/>
  <c r="K2185" i="1"/>
  <c r="L2185" i="1"/>
  <c r="M2185" i="1"/>
  <c r="N2185" i="1"/>
  <c r="O2185" i="1"/>
  <c r="P2185" i="1"/>
  <c r="Q2185" i="1"/>
  <c r="R2185" i="1"/>
  <c r="S2185" i="1"/>
  <c r="T2185" i="1"/>
  <c r="U2185" i="1"/>
  <c r="V2185" i="1"/>
  <c r="W2185" i="1"/>
  <c r="X2185" i="1"/>
  <c r="Y2185" i="1"/>
  <c r="Z2185" i="1"/>
  <c r="AA2185" i="1"/>
  <c r="AB2185" i="1"/>
  <c r="AC2185" i="1"/>
  <c r="AD2185" i="1"/>
  <c r="AE2185" i="1"/>
  <c r="AF2185" i="1"/>
  <c r="AG2185" i="1"/>
  <c r="AH2185" i="1"/>
  <c r="AI2185" i="1"/>
  <c r="AJ2185" i="1"/>
  <c r="AK2185" i="1"/>
  <c r="AL2185" i="1"/>
  <c r="AM2185" i="1"/>
  <c r="A2186" i="1"/>
  <c r="B2186" i="1"/>
  <c r="C2186" i="1"/>
  <c r="D2186" i="1"/>
  <c r="E2186" i="1"/>
  <c r="F2186" i="1"/>
  <c r="G2186" i="1"/>
  <c r="H2186" i="1"/>
  <c r="I2186" i="1"/>
  <c r="J2186" i="1"/>
  <c r="K2186" i="1"/>
  <c r="L2186" i="1"/>
  <c r="M2186" i="1"/>
  <c r="N2186" i="1"/>
  <c r="O2186" i="1"/>
  <c r="P2186" i="1"/>
  <c r="Q2186" i="1"/>
  <c r="R2186" i="1"/>
  <c r="S2186" i="1"/>
  <c r="T2186" i="1"/>
  <c r="U2186" i="1"/>
  <c r="V2186" i="1"/>
  <c r="W2186" i="1"/>
  <c r="X2186" i="1"/>
  <c r="Y2186" i="1"/>
  <c r="Z2186" i="1"/>
  <c r="AA2186" i="1"/>
  <c r="AB2186" i="1"/>
  <c r="AC2186" i="1"/>
  <c r="AD2186" i="1"/>
  <c r="AE2186" i="1"/>
  <c r="AF2186" i="1"/>
  <c r="AG2186" i="1"/>
  <c r="AH2186" i="1"/>
  <c r="AI2186" i="1"/>
  <c r="AJ2186" i="1"/>
  <c r="AK2186" i="1"/>
  <c r="AL2186" i="1"/>
  <c r="AM2186" i="1"/>
  <c r="A2187" i="1"/>
  <c r="B2187" i="1"/>
  <c r="C2187" i="1"/>
  <c r="D2187" i="1"/>
  <c r="E2187" i="1"/>
  <c r="F2187" i="1"/>
  <c r="G2187" i="1"/>
  <c r="H2187" i="1"/>
  <c r="I2187" i="1"/>
  <c r="J2187" i="1"/>
  <c r="K2187" i="1"/>
  <c r="L2187" i="1"/>
  <c r="M2187" i="1"/>
  <c r="N2187" i="1"/>
  <c r="O2187" i="1"/>
  <c r="P2187" i="1"/>
  <c r="Q2187" i="1"/>
  <c r="R2187" i="1"/>
  <c r="S2187" i="1"/>
  <c r="T2187" i="1"/>
  <c r="U2187" i="1"/>
  <c r="V2187" i="1"/>
  <c r="W2187" i="1"/>
  <c r="X2187" i="1"/>
  <c r="Y2187" i="1"/>
  <c r="Z2187" i="1"/>
  <c r="AA2187" i="1"/>
  <c r="AB2187" i="1"/>
  <c r="AC2187" i="1"/>
  <c r="AD2187" i="1"/>
  <c r="AE2187" i="1"/>
  <c r="AF2187" i="1"/>
  <c r="AG2187" i="1"/>
  <c r="AH2187" i="1"/>
  <c r="AI2187" i="1"/>
  <c r="AJ2187" i="1"/>
  <c r="AK2187" i="1"/>
  <c r="AL2187" i="1"/>
  <c r="AM2187" i="1"/>
  <c r="A2188" i="1"/>
  <c r="B2188" i="1"/>
  <c r="C2188" i="1"/>
  <c r="D2188" i="1"/>
  <c r="E2188" i="1"/>
  <c r="F2188" i="1"/>
  <c r="G2188" i="1"/>
  <c r="H2188" i="1"/>
  <c r="I2188" i="1"/>
  <c r="J2188" i="1"/>
  <c r="K2188" i="1"/>
  <c r="L2188" i="1"/>
  <c r="M2188" i="1"/>
  <c r="N2188" i="1"/>
  <c r="O2188" i="1"/>
  <c r="P2188" i="1"/>
  <c r="Q2188" i="1"/>
  <c r="R2188" i="1"/>
  <c r="S2188" i="1"/>
  <c r="T2188" i="1"/>
  <c r="U2188" i="1"/>
  <c r="V2188" i="1"/>
  <c r="W2188" i="1"/>
  <c r="X2188" i="1"/>
  <c r="Y2188" i="1"/>
  <c r="Z2188" i="1"/>
  <c r="AA2188" i="1"/>
  <c r="AB2188" i="1"/>
  <c r="AC2188" i="1"/>
  <c r="AD2188" i="1"/>
  <c r="AE2188" i="1"/>
  <c r="AF2188" i="1"/>
  <c r="AG2188" i="1"/>
  <c r="AH2188" i="1"/>
  <c r="AI2188" i="1"/>
  <c r="AJ2188" i="1"/>
  <c r="AK2188" i="1"/>
  <c r="AL2188" i="1"/>
  <c r="AM2188" i="1"/>
  <c r="A2189" i="1"/>
  <c r="B2189" i="1"/>
  <c r="C2189" i="1"/>
  <c r="D2189" i="1"/>
  <c r="E2189" i="1"/>
  <c r="F2189" i="1"/>
  <c r="G2189" i="1"/>
  <c r="H2189" i="1"/>
  <c r="I2189" i="1"/>
  <c r="J2189" i="1"/>
  <c r="K2189" i="1"/>
  <c r="L2189" i="1"/>
  <c r="M2189" i="1"/>
  <c r="N2189" i="1"/>
  <c r="O2189" i="1"/>
  <c r="P2189" i="1"/>
  <c r="Q2189" i="1"/>
  <c r="R2189" i="1"/>
  <c r="S2189" i="1"/>
  <c r="T2189" i="1"/>
  <c r="U2189" i="1"/>
  <c r="V2189" i="1"/>
  <c r="W2189" i="1"/>
  <c r="X2189" i="1"/>
  <c r="Y2189" i="1"/>
  <c r="Z2189" i="1"/>
  <c r="AA2189" i="1"/>
  <c r="AB2189" i="1"/>
  <c r="AC2189" i="1"/>
  <c r="AD2189" i="1"/>
  <c r="AE2189" i="1"/>
  <c r="AF2189" i="1"/>
  <c r="AG2189" i="1"/>
  <c r="AH2189" i="1"/>
  <c r="AI2189" i="1"/>
  <c r="AJ2189" i="1"/>
  <c r="AK2189" i="1"/>
  <c r="AL2189" i="1"/>
  <c r="AM2189" i="1"/>
  <c r="A2190" i="1"/>
  <c r="B2190" i="1"/>
  <c r="C2190" i="1"/>
  <c r="D2190" i="1"/>
  <c r="E2190" i="1"/>
  <c r="F2190" i="1"/>
  <c r="G2190" i="1"/>
  <c r="H2190" i="1"/>
  <c r="I2190" i="1"/>
  <c r="J2190" i="1"/>
  <c r="K2190" i="1"/>
  <c r="L2190" i="1"/>
  <c r="M2190" i="1"/>
  <c r="N2190" i="1"/>
  <c r="O2190" i="1"/>
  <c r="P2190" i="1"/>
  <c r="Q2190" i="1"/>
  <c r="R2190" i="1"/>
  <c r="S2190" i="1"/>
  <c r="T2190" i="1"/>
  <c r="U2190" i="1"/>
  <c r="V2190" i="1"/>
  <c r="W2190" i="1"/>
  <c r="X2190" i="1"/>
  <c r="Y2190" i="1"/>
  <c r="Z2190" i="1"/>
  <c r="AA2190" i="1"/>
  <c r="AB2190" i="1"/>
  <c r="AC2190" i="1"/>
  <c r="AD2190" i="1"/>
  <c r="AE2190" i="1"/>
  <c r="AF2190" i="1"/>
  <c r="AG2190" i="1"/>
  <c r="AH2190" i="1"/>
  <c r="AI2190" i="1"/>
  <c r="AJ2190" i="1"/>
  <c r="AK2190" i="1"/>
  <c r="AL2190" i="1"/>
  <c r="AM2190" i="1"/>
  <c r="A2191" i="1"/>
  <c r="B2191" i="1"/>
  <c r="C2191" i="1"/>
  <c r="D2191" i="1"/>
  <c r="E2191" i="1"/>
  <c r="F2191" i="1"/>
  <c r="G2191" i="1"/>
  <c r="H2191" i="1"/>
  <c r="I2191" i="1"/>
  <c r="J2191" i="1"/>
  <c r="K2191" i="1"/>
  <c r="L2191" i="1"/>
  <c r="M2191" i="1"/>
  <c r="N2191" i="1"/>
  <c r="O2191" i="1"/>
  <c r="P2191" i="1"/>
  <c r="Q2191" i="1"/>
  <c r="R2191" i="1"/>
  <c r="S2191" i="1"/>
  <c r="T2191" i="1"/>
  <c r="U2191" i="1"/>
  <c r="V2191" i="1"/>
  <c r="W2191" i="1"/>
  <c r="X2191" i="1"/>
  <c r="Y2191" i="1"/>
  <c r="Z2191" i="1"/>
  <c r="AA2191" i="1"/>
  <c r="AB2191" i="1"/>
  <c r="AC2191" i="1"/>
  <c r="AD2191" i="1"/>
  <c r="AE2191" i="1"/>
  <c r="AF2191" i="1"/>
  <c r="AG2191" i="1"/>
  <c r="AH2191" i="1"/>
  <c r="AI2191" i="1"/>
  <c r="AJ2191" i="1"/>
  <c r="AK2191" i="1"/>
  <c r="AL2191" i="1"/>
  <c r="AM2191" i="1"/>
  <c r="A2192" i="1"/>
  <c r="B2192" i="1"/>
  <c r="C2192" i="1"/>
  <c r="D2192" i="1"/>
  <c r="E2192" i="1"/>
  <c r="F2192" i="1"/>
  <c r="G2192" i="1"/>
  <c r="H2192" i="1"/>
  <c r="I2192" i="1"/>
  <c r="J2192" i="1"/>
  <c r="K2192" i="1"/>
  <c r="L2192" i="1"/>
  <c r="M2192" i="1"/>
  <c r="N2192" i="1"/>
  <c r="O2192" i="1"/>
  <c r="P2192" i="1"/>
  <c r="Q2192" i="1"/>
  <c r="R2192" i="1"/>
  <c r="S2192" i="1"/>
  <c r="T2192" i="1"/>
  <c r="U2192" i="1"/>
  <c r="V2192" i="1"/>
  <c r="W2192" i="1"/>
  <c r="X2192" i="1"/>
  <c r="Y2192" i="1"/>
  <c r="Z2192" i="1"/>
  <c r="AA2192" i="1"/>
  <c r="AB2192" i="1"/>
  <c r="AC2192" i="1"/>
  <c r="AD2192" i="1"/>
  <c r="AE2192" i="1"/>
  <c r="AF2192" i="1"/>
  <c r="AG2192" i="1"/>
  <c r="AH2192" i="1"/>
  <c r="AI2192" i="1"/>
  <c r="AJ2192" i="1"/>
  <c r="AK2192" i="1"/>
  <c r="AL2192" i="1"/>
  <c r="AM2192" i="1"/>
  <c r="A2193" i="1"/>
  <c r="B2193" i="1"/>
  <c r="C2193" i="1"/>
  <c r="D2193" i="1"/>
  <c r="E2193" i="1"/>
  <c r="F2193" i="1"/>
  <c r="G2193" i="1"/>
  <c r="H2193" i="1"/>
  <c r="I2193" i="1"/>
  <c r="J2193" i="1"/>
  <c r="K2193" i="1"/>
  <c r="L2193" i="1"/>
  <c r="M2193" i="1"/>
  <c r="N2193" i="1"/>
  <c r="O2193" i="1"/>
  <c r="P2193" i="1"/>
  <c r="Q2193" i="1"/>
  <c r="R2193" i="1"/>
  <c r="S2193" i="1"/>
  <c r="T2193" i="1"/>
  <c r="U2193" i="1"/>
  <c r="V2193" i="1"/>
  <c r="W2193" i="1"/>
  <c r="X2193" i="1"/>
  <c r="Y2193" i="1"/>
  <c r="Z2193" i="1"/>
  <c r="AA2193" i="1"/>
  <c r="AB2193" i="1"/>
  <c r="AC2193" i="1"/>
  <c r="AD2193" i="1"/>
  <c r="AE2193" i="1"/>
  <c r="AF2193" i="1"/>
  <c r="AG2193" i="1"/>
  <c r="AH2193" i="1"/>
  <c r="AI2193" i="1"/>
  <c r="AJ2193" i="1"/>
  <c r="AK2193" i="1"/>
  <c r="AL2193" i="1"/>
  <c r="AM2193" i="1"/>
  <c r="A2194" i="1"/>
  <c r="B2194" i="1"/>
  <c r="C2194" i="1"/>
  <c r="D2194" i="1"/>
  <c r="E2194" i="1"/>
  <c r="F2194" i="1"/>
  <c r="G2194" i="1"/>
  <c r="H2194" i="1"/>
  <c r="I2194" i="1"/>
  <c r="J2194" i="1"/>
  <c r="K2194" i="1"/>
  <c r="L2194" i="1"/>
  <c r="M2194" i="1"/>
  <c r="N2194" i="1"/>
  <c r="O2194" i="1"/>
  <c r="P2194" i="1"/>
  <c r="Q2194" i="1"/>
  <c r="R2194" i="1"/>
  <c r="S2194" i="1"/>
  <c r="T2194" i="1"/>
  <c r="U2194" i="1"/>
  <c r="V2194" i="1"/>
  <c r="W2194" i="1"/>
  <c r="X2194" i="1"/>
  <c r="Y2194" i="1"/>
  <c r="Z2194" i="1"/>
  <c r="AA2194" i="1"/>
  <c r="AB2194" i="1"/>
  <c r="AC2194" i="1"/>
  <c r="AD2194" i="1"/>
  <c r="AE2194" i="1"/>
  <c r="AF2194" i="1"/>
  <c r="AG2194" i="1"/>
  <c r="AH2194" i="1"/>
  <c r="AI2194" i="1"/>
  <c r="AJ2194" i="1"/>
  <c r="AK2194" i="1"/>
  <c r="AL2194" i="1"/>
  <c r="AM2194" i="1"/>
  <c r="A2195" i="1"/>
  <c r="B2195" i="1"/>
  <c r="C2195" i="1"/>
  <c r="D2195" i="1"/>
  <c r="E2195" i="1"/>
  <c r="F2195" i="1"/>
  <c r="G2195" i="1"/>
  <c r="H2195" i="1"/>
  <c r="I2195" i="1"/>
  <c r="J2195" i="1"/>
  <c r="K2195" i="1"/>
  <c r="L2195" i="1"/>
  <c r="M2195" i="1"/>
  <c r="N2195" i="1"/>
  <c r="O2195" i="1"/>
  <c r="P2195" i="1"/>
  <c r="Q2195" i="1"/>
  <c r="R2195" i="1"/>
  <c r="S2195" i="1"/>
  <c r="T2195" i="1"/>
  <c r="U2195" i="1"/>
  <c r="V2195" i="1"/>
  <c r="W2195" i="1"/>
  <c r="X2195" i="1"/>
  <c r="Y2195" i="1"/>
  <c r="Z2195" i="1"/>
  <c r="AA2195" i="1"/>
  <c r="AB2195" i="1"/>
  <c r="AC2195" i="1"/>
  <c r="AD2195" i="1"/>
  <c r="AE2195" i="1"/>
  <c r="AF2195" i="1"/>
  <c r="AG2195" i="1"/>
  <c r="AH2195" i="1"/>
  <c r="AI2195" i="1"/>
  <c r="AJ2195" i="1"/>
  <c r="AK2195" i="1"/>
  <c r="AL2195" i="1"/>
  <c r="AM2195" i="1"/>
  <c r="A2196" i="1"/>
  <c r="B2196" i="1"/>
  <c r="C2196" i="1"/>
  <c r="D2196" i="1"/>
  <c r="E2196" i="1"/>
  <c r="F2196" i="1"/>
  <c r="G2196" i="1"/>
  <c r="H2196" i="1"/>
  <c r="I2196" i="1"/>
  <c r="J2196" i="1"/>
  <c r="K2196" i="1"/>
  <c r="L2196" i="1"/>
  <c r="M2196" i="1"/>
  <c r="N2196" i="1"/>
  <c r="O2196" i="1"/>
  <c r="P2196" i="1"/>
  <c r="Q2196" i="1"/>
  <c r="R2196" i="1"/>
  <c r="S2196" i="1"/>
  <c r="T2196" i="1"/>
  <c r="U2196" i="1"/>
  <c r="V2196" i="1"/>
  <c r="W2196" i="1"/>
  <c r="X2196" i="1"/>
  <c r="Y2196" i="1"/>
  <c r="Z2196" i="1"/>
  <c r="AA2196" i="1"/>
  <c r="AB2196" i="1"/>
  <c r="AC2196" i="1"/>
  <c r="AD2196" i="1"/>
  <c r="AE2196" i="1"/>
  <c r="AF2196" i="1"/>
  <c r="AG2196" i="1"/>
  <c r="AH2196" i="1"/>
  <c r="AI2196" i="1"/>
  <c r="AJ2196" i="1"/>
  <c r="AK2196" i="1"/>
  <c r="AL2196" i="1"/>
  <c r="AM2196" i="1"/>
  <c r="A2197" i="1"/>
  <c r="B2197" i="1"/>
  <c r="C2197" i="1"/>
  <c r="D2197" i="1"/>
  <c r="E2197" i="1"/>
  <c r="F2197" i="1"/>
  <c r="G2197" i="1"/>
  <c r="H2197" i="1"/>
  <c r="I2197" i="1"/>
  <c r="J2197" i="1"/>
  <c r="K2197" i="1"/>
  <c r="L2197" i="1"/>
  <c r="M2197" i="1"/>
  <c r="N2197" i="1"/>
  <c r="O2197" i="1"/>
  <c r="P2197" i="1"/>
  <c r="Q2197" i="1"/>
  <c r="R2197" i="1"/>
  <c r="S2197" i="1"/>
  <c r="T2197" i="1"/>
  <c r="U2197" i="1"/>
  <c r="V2197" i="1"/>
  <c r="W2197" i="1"/>
  <c r="X2197" i="1"/>
  <c r="Y2197" i="1"/>
  <c r="Z2197" i="1"/>
  <c r="AA2197" i="1"/>
  <c r="AB2197" i="1"/>
  <c r="AC2197" i="1"/>
  <c r="AD2197" i="1"/>
  <c r="AE2197" i="1"/>
  <c r="AF2197" i="1"/>
  <c r="AG2197" i="1"/>
  <c r="AH2197" i="1"/>
  <c r="AI2197" i="1"/>
  <c r="AJ2197" i="1"/>
  <c r="AK2197" i="1"/>
  <c r="AL2197" i="1"/>
  <c r="AM2197" i="1"/>
  <c r="A2198" i="1"/>
  <c r="B2198" i="1"/>
  <c r="C2198" i="1"/>
  <c r="D2198" i="1"/>
  <c r="E2198" i="1"/>
  <c r="F2198" i="1"/>
  <c r="G2198" i="1"/>
  <c r="H2198" i="1"/>
  <c r="I2198" i="1"/>
  <c r="J2198" i="1"/>
  <c r="K2198" i="1"/>
  <c r="L2198" i="1"/>
  <c r="M2198" i="1"/>
  <c r="N2198" i="1"/>
  <c r="O2198" i="1"/>
  <c r="P2198" i="1"/>
  <c r="Q2198" i="1"/>
  <c r="R2198" i="1"/>
  <c r="S2198" i="1"/>
  <c r="T2198" i="1"/>
  <c r="U2198" i="1"/>
  <c r="V2198" i="1"/>
  <c r="W2198" i="1"/>
  <c r="X2198" i="1"/>
  <c r="Y2198" i="1"/>
  <c r="Z2198" i="1"/>
  <c r="AA2198" i="1"/>
  <c r="AB2198" i="1"/>
  <c r="AC2198" i="1"/>
  <c r="AD2198" i="1"/>
  <c r="AE2198" i="1"/>
  <c r="AF2198" i="1"/>
  <c r="AG2198" i="1"/>
  <c r="AH2198" i="1"/>
  <c r="AI2198" i="1"/>
  <c r="AJ2198" i="1"/>
  <c r="AK2198" i="1"/>
  <c r="AL2198" i="1"/>
  <c r="AM2198" i="1"/>
  <c r="A2199" i="1"/>
  <c r="B2199" i="1"/>
  <c r="C2199" i="1"/>
  <c r="D2199" i="1"/>
  <c r="E2199" i="1"/>
  <c r="F2199" i="1"/>
  <c r="G2199" i="1"/>
  <c r="H2199" i="1"/>
  <c r="I2199" i="1"/>
  <c r="J2199" i="1"/>
  <c r="K2199" i="1"/>
  <c r="L2199" i="1"/>
  <c r="M2199" i="1"/>
  <c r="N2199" i="1"/>
  <c r="O2199" i="1"/>
  <c r="P2199" i="1"/>
  <c r="Q2199" i="1"/>
  <c r="R2199" i="1"/>
  <c r="S2199" i="1"/>
  <c r="T2199" i="1"/>
  <c r="U2199" i="1"/>
  <c r="V2199" i="1"/>
  <c r="W2199" i="1"/>
  <c r="X2199" i="1"/>
  <c r="Y2199" i="1"/>
  <c r="Z2199" i="1"/>
  <c r="AA2199" i="1"/>
  <c r="AB2199" i="1"/>
  <c r="AC2199" i="1"/>
  <c r="AD2199" i="1"/>
  <c r="AE2199" i="1"/>
  <c r="AF2199" i="1"/>
  <c r="AG2199" i="1"/>
  <c r="AH2199" i="1"/>
  <c r="AI2199" i="1"/>
  <c r="AJ2199" i="1"/>
  <c r="AK2199" i="1"/>
  <c r="AL2199" i="1"/>
  <c r="AM2199" i="1"/>
  <c r="A2200" i="1"/>
  <c r="B2200" i="1"/>
  <c r="C2200" i="1"/>
  <c r="D2200" i="1"/>
  <c r="E2200" i="1"/>
  <c r="F2200" i="1"/>
  <c r="G2200" i="1"/>
  <c r="H2200" i="1"/>
  <c r="I2200" i="1"/>
  <c r="J2200" i="1"/>
  <c r="K2200" i="1"/>
  <c r="L2200" i="1"/>
  <c r="M2200" i="1"/>
  <c r="N2200" i="1"/>
  <c r="O2200" i="1"/>
  <c r="P2200" i="1"/>
  <c r="Q2200" i="1"/>
  <c r="R2200" i="1"/>
  <c r="S2200" i="1"/>
  <c r="T2200" i="1"/>
  <c r="U2200" i="1"/>
  <c r="V2200" i="1"/>
  <c r="W2200" i="1"/>
  <c r="X2200" i="1"/>
  <c r="Y2200" i="1"/>
  <c r="Z2200" i="1"/>
  <c r="AA2200" i="1"/>
  <c r="AB2200" i="1"/>
  <c r="AC2200" i="1"/>
  <c r="AD2200" i="1"/>
  <c r="AE2200" i="1"/>
  <c r="AF2200" i="1"/>
  <c r="AG2200" i="1"/>
  <c r="AH2200" i="1"/>
  <c r="AI2200" i="1"/>
  <c r="AJ2200" i="1"/>
  <c r="AK2200" i="1"/>
  <c r="AL2200" i="1"/>
  <c r="AM2200" i="1"/>
  <c r="A2201" i="1"/>
  <c r="B2201" i="1"/>
  <c r="C2201" i="1"/>
  <c r="D2201" i="1"/>
  <c r="E2201" i="1"/>
  <c r="F2201" i="1"/>
  <c r="G2201" i="1"/>
  <c r="H2201" i="1"/>
  <c r="I2201" i="1"/>
  <c r="J2201" i="1"/>
  <c r="K2201" i="1"/>
  <c r="L2201" i="1"/>
  <c r="M2201" i="1"/>
  <c r="N2201" i="1"/>
  <c r="O2201" i="1"/>
  <c r="P2201" i="1"/>
  <c r="Q2201" i="1"/>
  <c r="R2201" i="1"/>
  <c r="S2201" i="1"/>
  <c r="T2201" i="1"/>
  <c r="U2201" i="1"/>
  <c r="V2201" i="1"/>
  <c r="W2201" i="1"/>
  <c r="X2201" i="1"/>
  <c r="Y2201" i="1"/>
  <c r="Z2201" i="1"/>
  <c r="AA2201" i="1"/>
  <c r="AB2201" i="1"/>
  <c r="AC2201" i="1"/>
  <c r="AD2201" i="1"/>
  <c r="AE2201" i="1"/>
  <c r="AF2201" i="1"/>
  <c r="AG2201" i="1"/>
  <c r="AH2201" i="1"/>
  <c r="AI2201" i="1"/>
  <c r="AJ2201" i="1"/>
  <c r="AK2201" i="1"/>
  <c r="AL2201" i="1"/>
  <c r="AM2201" i="1"/>
  <c r="A2202" i="1"/>
  <c r="B2202" i="1"/>
  <c r="C2202" i="1"/>
  <c r="D2202" i="1"/>
  <c r="E2202" i="1"/>
  <c r="F2202" i="1"/>
  <c r="G2202" i="1"/>
  <c r="H2202" i="1"/>
  <c r="I2202" i="1"/>
  <c r="J2202" i="1"/>
  <c r="K2202" i="1"/>
  <c r="L2202" i="1"/>
  <c r="M2202" i="1"/>
  <c r="N2202" i="1"/>
  <c r="O2202" i="1"/>
  <c r="P2202" i="1"/>
  <c r="Q2202" i="1"/>
  <c r="R2202" i="1"/>
  <c r="S2202" i="1"/>
  <c r="T2202" i="1"/>
  <c r="U2202" i="1"/>
  <c r="V2202" i="1"/>
  <c r="W2202" i="1"/>
  <c r="X2202" i="1"/>
  <c r="Y2202" i="1"/>
  <c r="Z2202" i="1"/>
  <c r="AA2202" i="1"/>
  <c r="AB2202" i="1"/>
  <c r="AC2202" i="1"/>
  <c r="AD2202" i="1"/>
  <c r="AE2202" i="1"/>
  <c r="AF2202" i="1"/>
  <c r="AG2202" i="1"/>
  <c r="AH2202" i="1"/>
  <c r="AI2202" i="1"/>
  <c r="AJ2202" i="1"/>
  <c r="AK2202" i="1"/>
  <c r="AL2202" i="1"/>
  <c r="AM2202" i="1"/>
  <c r="A2203" i="1"/>
  <c r="B2203" i="1"/>
  <c r="C2203" i="1"/>
  <c r="D2203" i="1"/>
  <c r="E2203" i="1"/>
  <c r="F2203" i="1"/>
  <c r="G2203" i="1"/>
  <c r="H2203" i="1"/>
  <c r="I2203" i="1"/>
  <c r="J2203" i="1"/>
  <c r="K2203" i="1"/>
  <c r="L2203" i="1"/>
  <c r="M2203" i="1"/>
  <c r="N2203" i="1"/>
  <c r="O2203" i="1"/>
  <c r="P2203" i="1"/>
  <c r="Q2203" i="1"/>
  <c r="R2203" i="1"/>
  <c r="S2203" i="1"/>
  <c r="T2203" i="1"/>
  <c r="U2203" i="1"/>
  <c r="V2203" i="1"/>
  <c r="W2203" i="1"/>
  <c r="X2203" i="1"/>
  <c r="Y2203" i="1"/>
  <c r="Z2203" i="1"/>
  <c r="AA2203" i="1"/>
  <c r="AB2203" i="1"/>
  <c r="AC2203" i="1"/>
  <c r="AD2203" i="1"/>
  <c r="AE2203" i="1"/>
  <c r="AF2203" i="1"/>
  <c r="AG2203" i="1"/>
  <c r="AH2203" i="1"/>
  <c r="AI2203" i="1"/>
  <c r="AJ2203" i="1"/>
  <c r="AK2203" i="1"/>
  <c r="AL2203" i="1"/>
  <c r="AM2203" i="1"/>
  <c r="A2204" i="1"/>
  <c r="B2204" i="1"/>
  <c r="C2204" i="1"/>
  <c r="D2204" i="1"/>
  <c r="E2204" i="1"/>
  <c r="F2204" i="1"/>
  <c r="G2204" i="1"/>
  <c r="H2204" i="1"/>
  <c r="I2204" i="1"/>
  <c r="J2204" i="1"/>
  <c r="K2204" i="1"/>
  <c r="L2204" i="1"/>
  <c r="M2204" i="1"/>
  <c r="N2204" i="1"/>
  <c r="O2204" i="1"/>
  <c r="P2204" i="1"/>
  <c r="Q2204" i="1"/>
  <c r="R2204" i="1"/>
  <c r="S2204" i="1"/>
  <c r="T2204" i="1"/>
  <c r="U2204" i="1"/>
  <c r="V2204" i="1"/>
  <c r="W2204" i="1"/>
  <c r="X2204" i="1"/>
  <c r="Y2204" i="1"/>
  <c r="Z2204" i="1"/>
  <c r="AA2204" i="1"/>
  <c r="AB2204" i="1"/>
  <c r="AC2204" i="1"/>
  <c r="AD2204" i="1"/>
  <c r="AE2204" i="1"/>
  <c r="AF2204" i="1"/>
  <c r="AG2204" i="1"/>
  <c r="AH2204" i="1"/>
  <c r="AI2204" i="1"/>
  <c r="AJ2204" i="1"/>
  <c r="AK2204" i="1"/>
  <c r="AL2204" i="1"/>
  <c r="AM2204" i="1"/>
  <c r="A2205" i="1"/>
  <c r="B2205" i="1"/>
  <c r="C2205" i="1"/>
  <c r="D2205" i="1"/>
  <c r="E2205" i="1"/>
  <c r="F2205" i="1"/>
  <c r="G2205" i="1"/>
  <c r="H2205" i="1"/>
  <c r="I2205" i="1"/>
  <c r="J2205" i="1"/>
  <c r="K2205" i="1"/>
  <c r="L2205" i="1"/>
  <c r="M2205" i="1"/>
  <c r="N2205" i="1"/>
  <c r="O2205" i="1"/>
  <c r="P2205" i="1"/>
  <c r="Q2205" i="1"/>
  <c r="R2205" i="1"/>
  <c r="S2205" i="1"/>
  <c r="T2205" i="1"/>
  <c r="U2205" i="1"/>
  <c r="V2205" i="1"/>
  <c r="W2205" i="1"/>
  <c r="X2205" i="1"/>
  <c r="Y2205" i="1"/>
  <c r="Z2205" i="1"/>
  <c r="AA2205" i="1"/>
  <c r="AB2205" i="1"/>
  <c r="AC2205" i="1"/>
  <c r="AD2205" i="1"/>
  <c r="AE2205" i="1"/>
  <c r="AF2205" i="1"/>
  <c r="AG2205" i="1"/>
  <c r="AH2205" i="1"/>
  <c r="AI2205" i="1"/>
  <c r="AJ2205" i="1"/>
  <c r="AK2205" i="1"/>
  <c r="AL2205" i="1"/>
  <c r="AM2205" i="1"/>
  <c r="A2206" i="1"/>
  <c r="B2206" i="1"/>
  <c r="C2206" i="1"/>
  <c r="D2206" i="1"/>
  <c r="E2206" i="1"/>
  <c r="F2206" i="1"/>
  <c r="G2206" i="1"/>
  <c r="H2206" i="1"/>
  <c r="I2206" i="1"/>
  <c r="J2206" i="1"/>
  <c r="K2206" i="1"/>
  <c r="L2206" i="1"/>
  <c r="M2206" i="1"/>
  <c r="N2206" i="1"/>
  <c r="O2206" i="1"/>
  <c r="P2206" i="1"/>
  <c r="Q2206" i="1"/>
  <c r="R2206" i="1"/>
  <c r="S2206" i="1"/>
  <c r="T2206" i="1"/>
  <c r="U2206" i="1"/>
  <c r="V2206" i="1"/>
  <c r="W2206" i="1"/>
  <c r="X2206" i="1"/>
  <c r="Y2206" i="1"/>
  <c r="Z2206" i="1"/>
  <c r="AA2206" i="1"/>
  <c r="AB2206" i="1"/>
  <c r="AC2206" i="1"/>
  <c r="AD2206" i="1"/>
  <c r="AE2206" i="1"/>
  <c r="AF2206" i="1"/>
  <c r="AG2206" i="1"/>
  <c r="AH2206" i="1"/>
  <c r="AI2206" i="1"/>
  <c r="AJ2206" i="1"/>
  <c r="AK2206" i="1"/>
  <c r="AL2206" i="1"/>
  <c r="AM2206" i="1"/>
  <c r="A2207" i="1"/>
  <c r="B2207" i="1"/>
  <c r="C2207" i="1"/>
  <c r="D2207" i="1"/>
  <c r="E2207" i="1"/>
  <c r="F2207" i="1"/>
  <c r="G2207" i="1"/>
  <c r="H2207" i="1"/>
  <c r="I2207" i="1"/>
  <c r="J2207" i="1"/>
  <c r="K2207" i="1"/>
  <c r="L2207" i="1"/>
  <c r="M2207" i="1"/>
  <c r="N2207" i="1"/>
  <c r="O2207" i="1"/>
  <c r="P2207" i="1"/>
  <c r="Q2207" i="1"/>
  <c r="R2207" i="1"/>
  <c r="S2207" i="1"/>
  <c r="T2207" i="1"/>
  <c r="U2207" i="1"/>
  <c r="V2207" i="1"/>
  <c r="W2207" i="1"/>
  <c r="X2207" i="1"/>
  <c r="Y2207" i="1"/>
  <c r="Z2207" i="1"/>
  <c r="AA2207" i="1"/>
  <c r="AB2207" i="1"/>
  <c r="AC2207" i="1"/>
  <c r="AD2207" i="1"/>
  <c r="AE2207" i="1"/>
  <c r="AF2207" i="1"/>
  <c r="AG2207" i="1"/>
  <c r="AH2207" i="1"/>
  <c r="AI2207" i="1"/>
  <c r="AJ2207" i="1"/>
  <c r="AK2207" i="1"/>
  <c r="AL2207" i="1"/>
  <c r="AM2207" i="1"/>
  <c r="A2208" i="1"/>
  <c r="B2208" i="1"/>
  <c r="C2208" i="1"/>
  <c r="D2208" i="1"/>
  <c r="E2208" i="1"/>
  <c r="F2208" i="1"/>
  <c r="G2208" i="1"/>
  <c r="H2208" i="1"/>
  <c r="I2208" i="1"/>
  <c r="J2208" i="1"/>
  <c r="K2208" i="1"/>
  <c r="L2208" i="1"/>
  <c r="M2208" i="1"/>
  <c r="N2208" i="1"/>
  <c r="O2208" i="1"/>
  <c r="P2208" i="1"/>
  <c r="Q2208" i="1"/>
  <c r="R2208" i="1"/>
  <c r="S2208" i="1"/>
  <c r="T2208" i="1"/>
  <c r="U2208" i="1"/>
  <c r="V2208" i="1"/>
  <c r="W2208" i="1"/>
  <c r="X2208" i="1"/>
  <c r="Y2208" i="1"/>
  <c r="Z2208" i="1"/>
  <c r="AA2208" i="1"/>
  <c r="AB2208" i="1"/>
  <c r="AC2208" i="1"/>
  <c r="AD2208" i="1"/>
  <c r="AE2208" i="1"/>
  <c r="AF2208" i="1"/>
  <c r="AG2208" i="1"/>
  <c r="AH2208" i="1"/>
  <c r="AI2208" i="1"/>
  <c r="AJ2208" i="1"/>
  <c r="AK2208" i="1"/>
  <c r="AL2208" i="1"/>
  <c r="AM2208" i="1"/>
  <c r="A2209" i="1"/>
  <c r="B2209" i="1"/>
  <c r="C2209" i="1"/>
  <c r="D2209" i="1"/>
  <c r="E2209" i="1"/>
  <c r="F2209" i="1"/>
  <c r="G2209" i="1"/>
  <c r="H2209" i="1"/>
  <c r="I2209" i="1"/>
  <c r="J2209" i="1"/>
  <c r="K2209" i="1"/>
  <c r="L2209" i="1"/>
  <c r="M2209" i="1"/>
  <c r="N2209" i="1"/>
  <c r="O2209" i="1"/>
  <c r="P2209" i="1"/>
  <c r="Q2209" i="1"/>
  <c r="R2209" i="1"/>
  <c r="S2209" i="1"/>
  <c r="T2209" i="1"/>
  <c r="U2209" i="1"/>
  <c r="V2209" i="1"/>
  <c r="W2209" i="1"/>
  <c r="X2209" i="1"/>
  <c r="Y2209" i="1"/>
  <c r="Z2209" i="1"/>
  <c r="AA2209" i="1"/>
  <c r="AB2209" i="1"/>
  <c r="AC2209" i="1"/>
  <c r="AD2209" i="1"/>
  <c r="AE2209" i="1"/>
  <c r="AF2209" i="1"/>
  <c r="AG2209" i="1"/>
  <c r="AH2209" i="1"/>
  <c r="AI2209" i="1"/>
  <c r="AJ2209" i="1"/>
  <c r="AK2209" i="1"/>
  <c r="AL2209" i="1"/>
  <c r="AM2209" i="1"/>
  <c r="A2210" i="1"/>
  <c r="B2210" i="1"/>
  <c r="C2210" i="1"/>
  <c r="D2210" i="1"/>
  <c r="E2210" i="1"/>
  <c r="F2210" i="1"/>
  <c r="G2210" i="1"/>
  <c r="H2210" i="1"/>
  <c r="I2210" i="1"/>
  <c r="J2210" i="1"/>
  <c r="K2210" i="1"/>
  <c r="L2210" i="1"/>
  <c r="M2210" i="1"/>
  <c r="N2210" i="1"/>
  <c r="O2210" i="1"/>
  <c r="P2210" i="1"/>
  <c r="Q2210" i="1"/>
  <c r="R2210" i="1"/>
  <c r="S2210" i="1"/>
  <c r="T2210" i="1"/>
  <c r="U2210" i="1"/>
  <c r="V2210" i="1"/>
  <c r="W2210" i="1"/>
  <c r="X2210" i="1"/>
  <c r="Y2210" i="1"/>
  <c r="Z2210" i="1"/>
  <c r="AA2210" i="1"/>
  <c r="AB2210" i="1"/>
  <c r="AC2210" i="1"/>
  <c r="AD2210" i="1"/>
  <c r="AE2210" i="1"/>
  <c r="AF2210" i="1"/>
  <c r="AG2210" i="1"/>
  <c r="AH2210" i="1"/>
  <c r="AI2210" i="1"/>
  <c r="AJ2210" i="1"/>
  <c r="AK2210" i="1"/>
  <c r="AL2210" i="1"/>
  <c r="AM2210" i="1"/>
  <c r="A2211" i="1"/>
  <c r="B2211" i="1"/>
  <c r="C2211" i="1"/>
  <c r="D2211" i="1"/>
  <c r="E2211" i="1"/>
  <c r="F2211" i="1"/>
  <c r="G2211" i="1"/>
  <c r="H2211" i="1"/>
  <c r="I2211" i="1"/>
  <c r="J2211" i="1"/>
  <c r="K2211" i="1"/>
  <c r="L2211" i="1"/>
  <c r="M2211" i="1"/>
  <c r="N2211" i="1"/>
  <c r="O2211" i="1"/>
  <c r="P2211" i="1"/>
  <c r="Q2211" i="1"/>
  <c r="R2211" i="1"/>
  <c r="S2211" i="1"/>
  <c r="T2211" i="1"/>
  <c r="U2211" i="1"/>
  <c r="V2211" i="1"/>
  <c r="W2211" i="1"/>
  <c r="X2211" i="1"/>
  <c r="Y2211" i="1"/>
  <c r="Z2211" i="1"/>
  <c r="AA2211" i="1"/>
  <c r="AB2211" i="1"/>
  <c r="AC2211" i="1"/>
  <c r="AD2211" i="1"/>
  <c r="AE2211" i="1"/>
  <c r="AF2211" i="1"/>
  <c r="AG2211" i="1"/>
  <c r="AH2211" i="1"/>
  <c r="AI2211" i="1"/>
  <c r="AJ2211" i="1"/>
  <c r="AK2211" i="1"/>
  <c r="AL2211" i="1"/>
  <c r="AM2211" i="1"/>
  <c r="A2212" i="1"/>
  <c r="B2212" i="1"/>
  <c r="C2212" i="1"/>
  <c r="D2212" i="1"/>
  <c r="E2212" i="1"/>
  <c r="F2212" i="1"/>
  <c r="G2212" i="1"/>
  <c r="H2212" i="1"/>
  <c r="I2212" i="1"/>
  <c r="J2212" i="1"/>
  <c r="K2212" i="1"/>
  <c r="L2212" i="1"/>
  <c r="M2212" i="1"/>
  <c r="N2212" i="1"/>
  <c r="O2212" i="1"/>
  <c r="P2212" i="1"/>
  <c r="Q2212" i="1"/>
  <c r="R2212" i="1"/>
  <c r="S2212" i="1"/>
  <c r="T2212" i="1"/>
  <c r="U2212" i="1"/>
  <c r="V2212" i="1"/>
  <c r="W2212" i="1"/>
  <c r="X2212" i="1"/>
  <c r="Y2212" i="1"/>
  <c r="Z2212" i="1"/>
  <c r="AA2212" i="1"/>
  <c r="AB2212" i="1"/>
  <c r="AC2212" i="1"/>
  <c r="AD2212" i="1"/>
  <c r="AE2212" i="1"/>
  <c r="AF2212" i="1"/>
  <c r="AG2212" i="1"/>
  <c r="AH2212" i="1"/>
  <c r="AI2212" i="1"/>
  <c r="AJ2212" i="1"/>
  <c r="AK2212" i="1"/>
  <c r="AL2212" i="1"/>
  <c r="AM2212" i="1"/>
  <c r="A2213" i="1"/>
  <c r="B2213" i="1"/>
  <c r="C2213" i="1"/>
  <c r="D2213" i="1"/>
  <c r="E2213" i="1"/>
  <c r="F2213" i="1"/>
  <c r="G2213" i="1"/>
  <c r="H2213" i="1"/>
  <c r="I2213" i="1"/>
  <c r="J2213" i="1"/>
  <c r="K2213" i="1"/>
  <c r="L2213" i="1"/>
  <c r="M2213" i="1"/>
  <c r="N2213" i="1"/>
  <c r="O2213" i="1"/>
  <c r="P2213" i="1"/>
  <c r="Q2213" i="1"/>
  <c r="R2213" i="1"/>
  <c r="S2213" i="1"/>
  <c r="T2213" i="1"/>
  <c r="U2213" i="1"/>
  <c r="V2213" i="1"/>
  <c r="W2213" i="1"/>
  <c r="X2213" i="1"/>
  <c r="Y2213" i="1"/>
  <c r="Z2213" i="1"/>
  <c r="AA2213" i="1"/>
  <c r="AB2213" i="1"/>
  <c r="AC2213" i="1"/>
  <c r="AD2213" i="1"/>
  <c r="AE2213" i="1"/>
  <c r="AF2213" i="1"/>
  <c r="AG2213" i="1"/>
  <c r="AH2213" i="1"/>
  <c r="AI2213" i="1"/>
  <c r="AJ2213" i="1"/>
  <c r="AK2213" i="1"/>
  <c r="AL2213" i="1"/>
  <c r="AM2213" i="1"/>
  <c r="A2214" i="1"/>
  <c r="B2214" i="1"/>
  <c r="C2214" i="1"/>
  <c r="D2214" i="1"/>
  <c r="E2214" i="1"/>
  <c r="F2214" i="1"/>
  <c r="G2214" i="1"/>
  <c r="H2214" i="1"/>
  <c r="I2214" i="1"/>
  <c r="J2214" i="1"/>
  <c r="K2214" i="1"/>
  <c r="L2214" i="1"/>
  <c r="M2214" i="1"/>
  <c r="N2214" i="1"/>
  <c r="O2214" i="1"/>
  <c r="P2214" i="1"/>
  <c r="Q2214" i="1"/>
  <c r="R2214" i="1"/>
  <c r="S2214" i="1"/>
  <c r="T2214" i="1"/>
  <c r="U2214" i="1"/>
  <c r="V2214" i="1"/>
  <c r="W2214" i="1"/>
  <c r="X2214" i="1"/>
  <c r="Y2214" i="1"/>
  <c r="Z2214" i="1"/>
  <c r="AA2214" i="1"/>
  <c r="AB2214" i="1"/>
  <c r="AC2214" i="1"/>
  <c r="AD2214" i="1"/>
  <c r="AE2214" i="1"/>
  <c r="AF2214" i="1"/>
  <c r="AG2214" i="1"/>
  <c r="AH2214" i="1"/>
  <c r="AI2214" i="1"/>
  <c r="AJ2214" i="1"/>
  <c r="AK2214" i="1"/>
  <c r="AL2214" i="1"/>
  <c r="AM2214" i="1"/>
  <c r="A2215" i="1"/>
  <c r="B2215" i="1"/>
  <c r="C2215" i="1"/>
  <c r="D2215" i="1"/>
  <c r="E2215" i="1"/>
  <c r="F2215" i="1"/>
  <c r="G2215" i="1"/>
  <c r="H2215" i="1"/>
  <c r="I2215" i="1"/>
  <c r="J2215" i="1"/>
  <c r="K2215" i="1"/>
  <c r="L2215" i="1"/>
  <c r="M2215" i="1"/>
  <c r="N2215" i="1"/>
  <c r="O2215" i="1"/>
  <c r="P2215" i="1"/>
  <c r="Q2215" i="1"/>
  <c r="R2215" i="1"/>
  <c r="S2215" i="1"/>
  <c r="T2215" i="1"/>
  <c r="U2215" i="1"/>
  <c r="V2215" i="1"/>
  <c r="W2215" i="1"/>
  <c r="X2215" i="1"/>
  <c r="Y2215" i="1"/>
  <c r="Z2215" i="1"/>
  <c r="AA2215" i="1"/>
  <c r="AB2215" i="1"/>
  <c r="AC2215" i="1"/>
  <c r="AD2215" i="1"/>
  <c r="AE2215" i="1"/>
  <c r="AF2215" i="1"/>
  <c r="AG2215" i="1"/>
  <c r="AH2215" i="1"/>
  <c r="AI2215" i="1"/>
  <c r="AJ2215" i="1"/>
  <c r="AK2215" i="1"/>
  <c r="AL2215" i="1"/>
  <c r="AM2215" i="1"/>
  <c r="A2216" i="1"/>
  <c r="B2216" i="1"/>
  <c r="C2216" i="1"/>
  <c r="D2216" i="1"/>
  <c r="E2216" i="1"/>
  <c r="F2216" i="1"/>
  <c r="G2216" i="1"/>
  <c r="H2216" i="1"/>
  <c r="I2216" i="1"/>
  <c r="J2216" i="1"/>
  <c r="K2216" i="1"/>
  <c r="L2216" i="1"/>
  <c r="M2216" i="1"/>
  <c r="N2216" i="1"/>
  <c r="O2216" i="1"/>
  <c r="P2216" i="1"/>
  <c r="Q2216" i="1"/>
  <c r="R2216" i="1"/>
  <c r="S2216" i="1"/>
  <c r="T2216" i="1"/>
  <c r="U2216" i="1"/>
  <c r="V2216" i="1"/>
  <c r="W2216" i="1"/>
  <c r="X2216" i="1"/>
  <c r="Y2216" i="1"/>
  <c r="Z2216" i="1"/>
  <c r="AA2216" i="1"/>
  <c r="AB2216" i="1"/>
  <c r="AC2216" i="1"/>
  <c r="AD2216" i="1"/>
  <c r="AE2216" i="1"/>
  <c r="AF2216" i="1"/>
  <c r="AG2216" i="1"/>
  <c r="AH2216" i="1"/>
  <c r="AI2216" i="1"/>
  <c r="AJ2216" i="1"/>
  <c r="AK2216" i="1"/>
  <c r="AL2216" i="1"/>
  <c r="AM2216" i="1"/>
  <c r="A2217" i="1"/>
  <c r="B2217" i="1"/>
  <c r="C2217" i="1"/>
  <c r="D2217" i="1"/>
  <c r="E2217" i="1"/>
  <c r="F2217" i="1"/>
  <c r="G2217" i="1"/>
  <c r="H2217" i="1"/>
  <c r="I2217" i="1"/>
  <c r="J2217" i="1"/>
  <c r="K2217" i="1"/>
  <c r="L2217" i="1"/>
  <c r="M2217" i="1"/>
  <c r="N2217" i="1"/>
  <c r="O2217" i="1"/>
  <c r="P2217" i="1"/>
  <c r="Q2217" i="1"/>
  <c r="R2217" i="1"/>
  <c r="S2217" i="1"/>
  <c r="T2217" i="1"/>
  <c r="U2217" i="1"/>
  <c r="V2217" i="1"/>
  <c r="W2217" i="1"/>
  <c r="X2217" i="1"/>
  <c r="Y2217" i="1"/>
  <c r="Z2217" i="1"/>
  <c r="AA2217" i="1"/>
  <c r="AB2217" i="1"/>
  <c r="AC2217" i="1"/>
  <c r="AD2217" i="1"/>
  <c r="AE2217" i="1"/>
  <c r="AF2217" i="1"/>
  <c r="AG2217" i="1"/>
  <c r="AH2217" i="1"/>
  <c r="AI2217" i="1"/>
  <c r="AJ2217" i="1"/>
  <c r="AK2217" i="1"/>
  <c r="AL2217" i="1"/>
  <c r="AM2217" i="1"/>
  <c r="A2218" i="1"/>
  <c r="B2218" i="1"/>
  <c r="C2218" i="1"/>
  <c r="D2218" i="1"/>
  <c r="E2218" i="1"/>
  <c r="F2218" i="1"/>
  <c r="G2218" i="1"/>
  <c r="H2218" i="1"/>
  <c r="I2218" i="1"/>
  <c r="J2218" i="1"/>
  <c r="K2218" i="1"/>
  <c r="L2218" i="1"/>
  <c r="M2218" i="1"/>
  <c r="N2218" i="1"/>
  <c r="O2218" i="1"/>
  <c r="P2218" i="1"/>
  <c r="Q2218" i="1"/>
  <c r="R2218" i="1"/>
  <c r="S2218" i="1"/>
  <c r="T2218" i="1"/>
  <c r="U2218" i="1"/>
  <c r="V2218" i="1"/>
  <c r="W2218" i="1"/>
  <c r="X2218" i="1"/>
  <c r="Y2218" i="1"/>
  <c r="Z2218" i="1"/>
  <c r="AA2218" i="1"/>
  <c r="AB2218" i="1"/>
  <c r="AC2218" i="1"/>
  <c r="AD2218" i="1"/>
  <c r="AE2218" i="1"/>
  <c r="AF2218" i="1"/>
  <c r="AG2218" i="1"/>
  <c r="AH2218" i="1"/>
  <c r="AI2218" i="1"/>
  <c r="AJ2218" i="1"/>
  <c r="AK2218" i="1"/>
  <c r="AL2218" i="1"/>
  <c r="AM2218" i="1"/>
  <c r="A2219" i="1"/>
  <c r="B2219" i="1"/>
  <c r="C2219" i="1"/>
  <c r="D2219" i="1"/>
  <c r="E2219" i="1"/>
  <c r="F2219" i="1"/>
  <c r="G2219" i="1"/>
  <c r="H2219" i="1"/>
  <c r="I2219" i="1"/>
  <c r="J2219" i="1"/>
  <c r="K2219" i="1"/>
  <c r="L2219" i="1"/>
  <c r="M2219" i="1"/>
  <c r="N2219" i="1"/>
  <c r="O2219" i="1"/>
  <c r="P2219" i="1"/>
  <c r="Q2219" i="1"/>
  <c r="R2219" i="1"/>
  <c r="S2219" i="1"/>
  <c r="T2219" i="1"/>
  <c r="U2219" i="1"/>
  <c r="V2219" i="1"/>
  <c r="W2219" i="1"/>
  <c r="X2219" i="1"/>
  <c r="Y2219" i="1"/>
  <c r="Z2219" i="1"/>
  <c r="AA2219" i="1"/>
  <c r="AB2219" i="1"/>
  <c r="AC2219" i="1"/>
  <c r="AD2219" i="1"/>
  <c r="AE2219" i="1"/>
  <c r="AF2219" i="1"/>
  <c r="AG2219" i="1"/>
  <c r="AH2219" i="1"/>
  <c r="AI2219" i="1"/>
  <c r="AJ2219" i="1"/>
  <c r="AK2219" i="1"/>
  <c r="AL2219" i="1"/>
  <c r="AM2219" i="1"/>
  <c r="A2220" i="1"/>
  <c r="B2220" i="1"/>
  <c r="C2220" i="1"/>
  <c r="D2220" i="1"/>
  <c r="E2220" i="1"/>
  <c r="F2220" i="1"/>
  <c r="G2220" i="1"/>
  <c r="H2220" i="1"/>
  <c r="I2220" i="1"/>
  <c r="J2220" i="1"/>
  <c r="K2220" i="1"/>
  <c r="L2220" i="1"/>
  <c r="M2220" i="1"/>
  <c r="N2220" i="1"/>
  <c r="O2220" i="1"/>
  <c r="P2220" i="1"/>
  <c r="Q2220" i="1"/>
  <c r="R2220" i="1"/>
  <c r="S2220" i="1"/>
  <c r="T2220" i="1"/>
  <c r="U2220" i="1"/>
  <c r="V2220" i="1"/>
  <c r="W2220" i="1"/>
  <c r="X2220" i="1"/>
  <c r="Y2220" i="1"/>
  <c r="Z2220" i="1"/>
  <c r="AA2220" i="1"/>
  <c r="AB2220" i="1"/>
  <c r="AC2220" i="1"/>
  <c r="AD2220" i="1"/>
  <c r="AE2220" i="1"/>
  <c r="AF2220" i="1"/>
  <c r="AG2220" i="1"/>
  <c r="AH2220" i="1"/>
  <c r="AI2220" i="1"/>
  <c r="AJ2220" i="1"/>
  <c r="AK2220" i="1"/>
  <c r="AL2220" i="1"/>
  <c r="AM2220" i="1"/>
  <c r="A2221" i="1"/>
  <c r="B2221" i="1"/>
  <c r="C2221" i="1"/>
  <c r="D2221" i="1"/>
  <c r="E2221" i="1"/>
  <c r="F2221" i="1"/>
  <c r="G2221" i="1"/>
  <c r="H2221" i="1"/>
  <c r="I2221" i="1"/>
  <c r="J2221" i="1"/>
  <c r="K2221" i="1"/>
  <c r="L2221" i="1"/>
  <c r="M2221" i="1"/>
  <c r="N2221" i="1"/>
  <c r="O2221" i="1"/>
  <c r="P2221" i="1"/>
  <c r="Q2221" i="1"/>
  <c r="R2221" i="1"/>
  <c r="S2221" i="1"/>
  <c r="T2221" i="1"/>
  <c r="U2221" i="1"/>
  <c r="V2221" i="1"/>
  <c r="W2221" i="1"/>
  <c r="X2221" i="1"/>
  <c r="Y2221" i="1"/>
  <c r="Z2221" i="1"/>
  <c r="AA2221" i="1"/>
  <c r="AB2221" i="1"/>
  <c r="AC2221" i="1"/>
  <c r="AD2221" i="1"/>
  <c r="AE2221" i="1"/>
  <c r="AF2221" i="1"/>
  <c r="AG2221" i="1"/>
  <c r="AH2221" i="1"/>
  <c r="AI2221" i="1"/>
  <c r="AJ2221" i="1"/>
  <c r="AK2221" i="1"/>
  <c r="AL2221" i="1"/>
  <c r="AM2221" i="1"/>
  <c r="A2222" i="1"/>
  <c r="B2222" i="1"/>
  <c r="C2222" i="1"/>
  <c r="D2222" i="1"/>
  <c r="E2222" i="1"/>
  <c r="F2222" i="1"/>
  <c r="G2222" i="1"/>
  <c r="H2222" i="1"/>
  <c r="I2222" i="1"/>
  <c r="J2222" i="1"/>
  <c r="K2222" i="1"/>
  <c r="L2222" i="1"/>
  <c r="M2222" i="1"/>
  <c r="N2222" i="1"/>
  <c r="O2222" i="1"/>
  <c r="P2222" i="1"/>
  <c r="Q2222" i="1"/>
  <c r="R2222" i="1"/>
  <c r="S2222" i="1"/>
  <c r="T2222" i="1"/>
  <c r="U2222" i="1"/>
  <c r="V2222" i="1"/>
  <c r="W2222" i="1"/>
  <c r="X2222" i="1"/>
  <c r="Y2222" i="1"/>
  <c r="Z2222" i="1"/>
  <c r="AA2222" i="1"/>
  <c r="AB2222" i="1"/>
  <c r="AC2222" i="1"/>
  <c r="AD2222" i="1"/>
  <c r="AE2222" i="1"/>
  <c r="AF2222" i="1"/>
  <c r="AG2222" i="1"/>
  <c r="AH2222" i="1"/>
  <c r="AI2222" i="1"/>
  <c r="AJ2222" i="1"/>
  <c r="AK2222" i="1"/>
  <c r="AL2222" i="1"/>
  <c r="AM2222" i="1"/>
  <c r="A2223" i="1"/>
  <c r="B2223" i="1"/>
  <c r="C2223" i="1"/>
  <c r="D2223" i="1"/>
  <c r="E2223" i="1"/>
  <c r="F2223" i="1"/>
  <c r="G2223" i="1"/>
  <c r="H2223" i="1"/>
  <c r="I2223" i="1"/>
  <c r="J2223" i="1"/>
  <c r="K2223" i="1"/>
  <c r="L2223" i="1"/>
  <c r="M2223" i="1"/>
  <c r="N2223" i="1"/>
  <c r="O2223" i="1"/>
  <c r="P2223" i="1"/>
  <c r="Q2223" i="1"/>
  <c r="R2223" i="1"/>
  <c r="S2223" i="1"/>
  <c r="T2223" i="1"/>
  <c r="U2223" i="1"/>
  <c r="V2223" i="1"/>
  <c r="W2223" i="1"/>
  <c r="X2223" i="1"/>
  <c r="Y2223" i="1"/>
  <c r="Z2223" i="1"/>
  <c r="AA2223" i="1"/>
  <c r="AB2223" i="1"/>
  <c r="AC2223" i="1"/>
  <c r="AD2223" i="1"/>
  <c r="AE2223" i="1"/>
  <c r="AF2223" i="1"/>
  <c r="AG2223" i="1"/>
  <c r="AH2223" i="1"/>
  <c r="AI2223" i="1"/>
  <c r="AJ2223" i="1"/>
  <c r="AK2223" i="1"/>
  <c r="AL2223" i="1"/>
  <c r="AM2223" i="1"/>
  <c r="A2224" i="1"/>
  <c r="B2224" i="1"/>
  <c r="C2224" i="1"/>
  <c r="D2224" i="1"/>
  <c r="E2224" i="1"/>
  <c r="F2224" i="1"/>
  <c r="G2224" i="1"/>
  <c r="H2224" i="1"/>
  <c r="I2224" i="1"/>
  <c r="J2224" i="1"/>
  <c r="K2224" i="1"/>
  <c r="L2224" i="1"/>
  <c r="M2224" i="1"/>
  <c r="N2224" i="1"/>
  <c r="O2224" i="1"/>
  <c r="P2224" i="1"/>
  <c r="Q2224" i="1"/>
  <c r="R2224" i="1"/>
  <c r="S2224" i="1"/>
  <c r="T2224" i="1"/>
  <c r="U2224" i="1"/>
  <c r="V2224" i="1"/>
  <c r="W2224" i="1"/>
  <c r="X2224" i="1"/>
  <c r="Y2224" i="1"/>
  <c r="Z2224" i="1"/>
  <c r="AA2224" i="1"/>
  <c r="AB2224" i="1"/>
  <c r="AC2224" i="1"/>
  <c r="AD2224" i="1"/>
  <c r="AE2224" i="1"/>
  <c r="AF2224" i="1"/>
  <c r="AG2224" i="1"/>
  <c r="AH2224" i="1"/>
  <c r="AI2224" i="1"/>
  <c r="AJ2224" i="1"/>
  <c r="AK2224" i="1"/>
  <c r="AL2224" i="1"/>
  <c r="AM2224" i="1"/>
  <c r="A2225" i="1"/>
  <c r="B2225" i="1"/>
  <c r="C2225" i="1"/>
  <c r="D2225" i="1"/>
  <c r="E2225" i="1"/>
  <c r="F2225" i="1"/>
  <c r="G2225" i="1"/>
  <c r="H2225" i="1"/>
  <c r="I2225" i="1"/>
  <c r="J2225" i="1"/>
  <c r="K2225" i="1"/>
  <c r="L2225" i="1"/>
  <c r="M2225" i="1"/>
  <c r="N2225" i="1"/>
  <c r="O2225" i="1"/>
  <c r="P2225" i="1"/>
  <c r="Q2225" i="1"/>
  <c r="R2225" i="1"/>
  <c r="S2225" i="1"/>
  <c r="T2225" i="1"/>
  <c r="U2225" i="1"/>
  <c r="V2225" i="1"/>
  <c r="W2225" i="1"/>
  <c r="X2225" i="1"/>
  <c r="Y2225" i="1"/>
  <c r="Z2225" i="1"/>
  <c r="AA2225" i="1"/>
  <c r="AB2225" i="1"/>
  <c r="AC2225" i="1"/>
  <c r="AD2225" i="1"/>
  <c r="AE2225" i="1"/>
  <c r="AF2225" i="1"/>
  <c r="AG2225" i="1"/>
  <c r="AH2225" i="1"/>
  <c r="AI2225" i="1"/>
  <c r="AJ2225" i="1"/>
  <c r="AK2225" i="1"/>
  <c r="AL2225" i="1"/>
  <c r="AM2225" i="1"/>
  <c r="A2226" i="1"/>
  <c r="B2226" i="1"/>
  <c r="C2226" i="1"/>
  <c r="D2226" i="1"/>
  <c r="E2226" i="1"/>
  <c r="F2226" i="1"/>
  <c r="G2226" i="1"/>
  <c r="H2226" i="1"/>
  <c r="I2226" i="1"/>
  <c r="J2226" i="1"/>
  <c r="K2226" i="1"/>
  <c r="L2226" i="1"/>
  <c r="M2226" i="1"/>
  <c r="N2226" i="1"/>
  <c r="O2226" i="1"/>
  <c r="P2226" i="1"/>
  <c r="Q2226" i="1"/>
  <c r="R2226" i="1"/>
  <c r="S2226" i="1"/>
  <c r="T2226" i="1"/>
  <c r="U2226" i="1"/>
  <c r="V2226" i="1"/>
  <c r="W2226" i="1"/>
  <c r="X2226" i="1"/>
  <c r="Y2226" i="1"/>
  <c r="Z2226" i="1"/>
  <c r="AA2226" i="1"/>
  <c r="AB2226" i="1"/>
  <c r="AC2226" i="1"/>
  <c r="AD2226" i="1"/>
  <c r="AE2226" i="1"/>
  <c r="AF2226" i="1"/>
  <c r="AG2226" i="1"/>
  <c r="AH2226" i="1"/>
  <c r="AI2226" i="1"/>
  <c r="AJ2226" i="1"/>
  <c r="AK2226" i="1"/>
  <c r="AL2226" i="1"/>
  <c r="AM2226" i="1"/>
  <c r="A2227" i="1"/>
  <c r="B2227" i="1"/>
  <c r="C2227" i="1"/>
  <c r="D2227" i="1"/>
  <c r="E2227" i="1"/>
  <c r="F2227" i="1"/>
  <c r="G2227" i="1"/>
  <c r="H2227" i="1"/>
  <c r="I2227" i="1"/>
  <c r="J2227" i="1"/>
  <c r="K2227" i="1"/>
  <c r="L2227" i="1"/>
  <c r="M2227" i="1"/>
  <c r="N2227" i="1"/>
  <c r="O2227" i="1"/>
  <c r="P2227" i="1"/>
  <c r="Q2227" i="1"/>
  <c r="R2227" i="1"/>
  <c r="S2227" i="1"/>
  <c r="T2227" i="1"/>
  <c r="U2227" i="1"/>
  <c r="V2227" i="1"/>
  <c r="W2227" i="1"/>
  <c r="X2227" i="1"/>
  <c r="Y2227" i="1"/>
  <c r="Z2227" i="1"/>
  <c r="AA2227" i="1"/>
  <c r="AB2227" i="1"/>
  <c r="AC2227" i="1"/>
  <c r="AD2227" i="1"/>
  <c r="AE2227" i="1"/>
  <c r="AF2227" i="1"/>
  <c r="AG2227" i="1"/>
  <c r="AH2227" i="1"/>
  <c r="AI2227" i="1"/>
  <c r="AJ2227" i="1"/>
  <c r="AK2227" i="1"/>
  <c r="AL2227" i="1"/>
  <c r="AM2227" i="1"/>
  <c r="A2228" i="1"/>
  <c r="B2228" i="1"/>
  <c r="C2228" i="1"/>
  <c r="D2228" i="1"/>
  <c r="E2228" i="1"/>
  <c r="F2228" i="1"/>
  <c r="G2228" i="1"/>
  <c r="H2228" i="1"/>
  <c r="I2228" i="1"/>
  <c r="J2228" i="1"/>
  <c r="K2228" i="1"/>
  <c r="L2228" i="1"/>
  <c r="M2228" i="1"/>
  <c r="N2228" i="1"/>
  <c r="O2228" i="1"/>
  <c r="P2228" i="1"/>
  <c r="Q2228" i="1"/>
  <c r="R2228" i="1"/>
  <c r="S2228" i="1"/>
  <c r="T2228" i="1"/>
  <c r="U2228" i="1"/>
  <c r="V2228" i="1"/>
  <c r="W2228" i="1"/>
  <c r="X2228" i="1"/>
  <c r="Y2228" i="1"/>
  <c r="Z2228" i="1"/>
  <c r="AA2228" i="1"/>
  <c r="AB2228" i="1"/>
  <c r="AC2228" i="1"/>
  <c r="AD2228" i="1"/>
  <c r="AE2228" i="1"/>
  <c r="AF2228" i="1"/>
  <c r="AG2228" i="1"/>
  <c r="AH2228" i="1"/>
  <c r="AI2228" i="1"/>
  <c r="AJ2228" i="1"/>
  <c r="AK2228" i="1"/>
  <c r="AL2228" i="1"/>
  <c r="AM2228" i="1"/>
  <c r="A2229" i="1"/>
  <c r="B2229" i="1"/>
  <c r="C2229" i="1"/>
  <c r="D2229" i="1"/>
  <c r="E2229" i="1"/>
  <c r="F2229" i="1"/>
  <c r="G2229" i="1"/>
  <c r="H2229" i="1"/>
  <c r="I2229" i="1"/>
  <c r="J2229" i="1"/>
  <c r="K2229" i="1"/>
  <c r="L2229" i="1"/>
  <c r="M2229" i="1"/>
  <c r="N2229" i="1"/>
  <c r="O2229" i="1"/>
  <c r="P2229" i="1"/>
  <c r="Q2229" i="1"/>
  <c r="R2229" i="1"/>
  <c r="S2229" i="1"/>
  <c r="T2229" i="1"/>
  <c r="U2229" i="1"/>
  <c r="V2229" i="1"/>
  <c r="W2229" i="1"/>
  <c r="X2229" i="1"/>
  <c r="Y2229" i="1"/>
  <c r="Z2229" i="1"/>
  <c r="AA2229" i="1"/>
  <c r="AB2229" i="1"/>
  <c r="AC2229" i="1"/>
  <c r="AD2229" i="1"/>
  <c r="AE2229" i="1"/>
  <c r="AF2229" i="1"/>
  <c r="AG2229" i="1"/>
  <c r="AH2229" i="1"/>
  <c r="AI2229" i="1"/>
  <c r="AJ2229" i="1"/>
  <c r="AK2229" i="1"/>
  <c r="AL2229" i="1"/>
  <c r="AM2229" i="1"/>
  <c r="A2230" i="1"/>
  <c r="B2230" i="1"/>
  <c r="C2230" i="1"/>
  <c r="D2230" i="1"/>
  <c r="E2230" i="1"/>
  <c r="F2230" i="1"/>
  <c r="G2230" i="1"/>
  <c r="H2230" i="1"/>
  <c r="I2230" i="1"/>
  <c r="J2230" i="1"/>
  <c r="K2230" i="1"/>
  <c r="L2230" i="1"/>
  <c r="M2230" i="1"/>
  <c r="N2230" i="1"/>
  <c r="O2230" i="1"/>
  <c r="P2230" i="1"/>
  <c r="Q2230" i="1"/>
  <c r="R2230" i="1"/>
  <c r="S2230" i="1"/>
  <c r="T2230" i="1"/>
  <c r="U2230" i="1"/>
  <c r="V2230" i="1"/>
  <c r="W2230" i="1"/>
  <c r="X2230" i="1"/>
  <c r="Y2230" i="1"/>
  <c r="Z2230" i="1"/>
  <c r="AA2230" i="1"/>
  <c r="AB2230" i="1"/>
  <c r="AC2230" i="1"/>
  <c r="AD2230" i="1"/>
  <c r="AE2230" i="1"/>
  <c r="AF2230" i="1"/>
  <c r="AG2230" i="1"/>
  <c r="AH2230" i="1"/>
  <c r="AI2230" i="1"/>
  <c r="AJ2230" i="1"/>
  <c r="AK2230" i="1"/>
  <c r="AL2230" i="1"/>
  <c r="AM2230" i="1"/>
  <c r="A2231" i="1"/>
  <c r="B2231" i="1"/>
  <c r="C2231" i="1"/>
  <c r="D2231" i="1"/>
  <c r="E2231" i="1"/>
  <c r="F2231" i="1"/>
  <c r="G2231" i="1"/>
  <c r="H2231" i="1"/>
  <c r="I2231" i="1"/>
  <c r="J2231" i="1"/>
  <c r="K2231" i="1"/>
  <c r="L2231" i="1"/>
  <c r="M2231" i="1"/>
  <c r="N2231" i="1"/>
  <c r="O2231" i="1"/>
  <c r="P2231" i="1"/>
  <c r="Q2231" i="1"/>
  <c r="R2231" i="1"/>
  <c r="S2231" i="1"/>
  <c r="T2231" i="1"/>
  <c r="U2231" i="1"/>
  <c r="V2231" i="1"/>
  <c r="W2231" i="1"/>
  <c r="X2231" i="1"/>
  <c r="Y2231" i="1"/>
  <c r="Z2231" i="1"/>
  <c r="AA2231" i="1"/>
  <c r="AB2231" i="1"/>
  <c r="AC2231" i="1"/>
  <c r="AD2231" i="1"/>
  <c r="AE2231" i="1"/>
  <c r="AF2231" i="1"/>
  <c r="AG2231" i="1"/>
  <c r="AH2231" i="1"/>
  <c r="AI2231" i="1"/>
  <c r="AJ2231" i="1"/>
  <c r="AK2231" i="1"/>
  <c r="AL2231" i="1"/>
  <c r="AM2231" i="1"/>
  <c r="A2232" i="1"/>
  <c r="B2232" i="1"/>
  <c r="C2232" i="1"/>
  <c r="D2232" i="1"/>
  <c r="E2232" i="1"/>
  <c r="F2232" i="1"/>
  <c r="G2232" i="1"/>
  <c r="H2232" i="1"/>
  <c r="I2232" i="1"/>
  <c r="J2232" i="1"/>
  <c r="K2232" i="1"/>
  <c r="L2232" i="1"/>
  <c r="M2232" i="1"/>
  <c r="N2232" i="1"/>
  <c r="O2232" i="1"/>
  <c r="P2232" i="1"/>
  <c r="Q2232" i="1"/>
  <c r="R2232" i="1"/>
  <c r="S2232" i="1"/>
  <c r="T2232" i="1"/>
  <c r="U2232" i="1"/>
  <c r="V2232" i="1"/>
  <c r="W2232" i="1"/>
  <c r="X2232" i="1"/>
  <c r="Y2232" i="1"/>
  <c r="Z2232" i="1"/>
  <c r="AA2232" i="1"/>
  <c r="AB2232" i="1"/>
  <c r="AC2232" i="1"/>
  <c r="AD2232" i="1"/>
  <c r="AE2232" i="1"/>
  <c r="AF2232" i="1"/>
  <c r="AG2232" i="1"/>
  <c r="AH2232" i="1"/>
  <c r="AI2232" i="1"/>
  <c r="AJ2232" i="1"/>
  <c r="AK2232" i="1"/>
  <c r="AL2232" i="1"/>
  <c r="AM2232" i="1"/>
  <c r="A2233" i="1"/>
  <c r="B2233" i="1"/>
  <c r="C2233" i="1"/>
  <c r="D2233" i="1"/>
  <c r="E2233" i="1"/>
  <c r="F2233" i="1"/>
  <c r="G2233" i="1"/>
  <c r="H2233" i="1"/>
  <c r="I2233" i="1"/>
  <c r="J2233" i="1"/>
  <c r="K2233" i="1"/>
  <c r="L2233" i="1"/>
  <c r="M2233" i="1"/>
  <c r="N2233" i="1"/>
  <c r="O2233" i="1"/>
  <c r="P2233" i="1"/>
  <c r="Q2233" i="1"/>
  <c r="R2233" i="1"/>
  <c r="S2233" i="1"/>
  <c r="T2233" i="1"/>
  <c r="U2233" i="1"/>
  <c r="V2233" i="1"/>
  <c r="W2233" i="1"/>
  <c r="X2233" i="1"/>
  <c r="Y2233" i="1"/>
  <c r="Z2233" i="1"/>
  <c r="AA2233" i="1"/>
  <c r="AB2233" i="1"/>
  <c r="AC2233" i="1"/>
  <c r="AD2233" i="1"/>
  <c r="AE2233" i="1"/>
  <c r="AF2233" i="1"/>
  <c r="AG2233" i="1"/>
  <c r="AH2233" i="1"/>
  <c r="AI2233" i="1"/>
  <c r="AJ2233" i="1"/>
  <c r="AK2233" i="1"/>
  <c r="AL2233" i="1"/>
  <c r="AM2233" i="1"/>
  <c r="A2234" i="1"/>
  <c r="B2234" i="1"/>
  <c r="C2234" i="1"/>
  <c r="D2234" i="1"/>
  <c r="E2234" i="1"/>
  <c r="F2234" i="1"/>
  <c r="G2234" i="1"/>
  <c r="H2234" i="1"/>
  <c r="I2234" i="1"/>
  <c r="J2234" i="1"/>
  <c r="K2234" i="1"/>
  <c r="L2234" i="1"/>
  <c r="M2234" i="1"/>
  <c r="N2234" i="1"/>
  <c r="O2234" i="1"/>
  <c r="P2234" i="1"/>
  <c r="Q2234" i="1"/>
  <c r="R2234" i="1"/>
  <c r="S2234" i="1"/>
  <c r="T2234" i="1"/>
  <c r="U2234" i="1"/>
  <c r="V2234" i="1"/>
  <c r="W2234" i="1"/>
  <c r="X2234" i="1"/>
  <c r="Y2234" i="1"/>
  <c r="Z2234" i="1"/>
  <c r="AA2234" i="1"/>
  <c r="AB2234" i="1"/>
  <c r="AC2234" i="1"/>
  <c r="AD2234" i="1"/>
  <c r="AE2234" i="1"/>
  <c r="AF2234" i="1"/>
  <c r="AG2234" i="1"/>
  <c r="AH2234" i="1"/>
  <c r="AI2234" i="1"/>
  <c r="AJ2234" i="1"/>
  <c r="AK2234" i="1"/>
  <c r="AL2234" i="1"/>
  <c r="AM2234" i="1"/>
  <c r="A2235" i="1"/>
  <c r="B2235" i="1"/>
  <c r="C2235" i="1"/>
  <c r="D2235" i="1"/>
  <c r="E2235" i="1"/>
  <c r="F2235" i="1"/>
  <c r="G2235" i="1"/>
  <c r="H2235" i="1"/>
  <c r="I2235" i="1"/>
  <c r="J2235" i="1"/>
  <c r="K2235" i="1"/>
  <c r="L2235" i="1"/>
  <c r="M2235" i="1"/>
  <c r="N2235" i="1"/>
  <c r="O2235" i="1"/>
  <c r="P2235" i="1"/>
  <c r="Q2235" i="1"/>
  <c r="R2235" i="1"/>
  <c r="S2235" i="1"/>
  <c r="T2235" i="1"/>
  <c r="U2235" i="1"/>
  <c r="V2235" i="1"/>
  <c r="W2235" i="1"/>
  <c r="X2235" i="1"/>
  <c r="Y2235" i="1"/>
  <c r="Z2235" i="1"/>
  <c r="AA2235" i="1"/>
  <c r="AB2235" i="1"/>
  <c r="AC2235" i="1"/>
  <c r="AD2235" i="1"/>
  <c r="AE2235" i="1"/>
  <c r="AF2235" i="1"/>
  <c r="AG2235" i="1"/>
  <c r="AH2235" i="1"/>
  <c r="AI2235" i="1"/>
  <c r="AJ2235" i="1"/>
  <c r="AK2235" i="1"/>
  <c r="AL2235" i="1"/>
  <c r="AM2235" i="1"/>
  <c r="A2236" i="1"/>
  <c r="B2236" i="1"/>
  <c r="C2236" i="1"/>
  <c r="D2236" i="1"/>
  <c r="E2236" i="1"/>
  <c r="F2236" i="1"/>
  <c r="G2236" i="1"/>
  <c r="H2236" i="1"/>
  <c r="I2236" i="1"/>
  <c r="J2236" i="1"/>
  <c r="K2236" i="1"/>
  <c r="L2236" i="1"/>
  <c r="M2236" i="1"/>
  <c r="N2236" i="1"/>
  <c r="O2236" i="1"/>
  <c r="P2236" i="1"/>
  <c r="Q2236" i="1"/>
  <c r="R2236" i="1"/>
  <c r="S2236" i="1"/>
  <c r="T2236" i="1"/>
  <c r="U2236" i="1"/>
  <c r="V2236" i="1"/>
  <c r="W2236" i="1"/>
  <c r="X2236" i="1"/>
  <c r="Y2236" i="1"/>
  <c r="Z2236" i="1"/>
  <c r="AA2236" i="1"/>
  <c r="AB2236" i="1"/>
  <c r="AC2236" i="1"/>
  <c r="AD2236" i="1"/>
  <c r="AE2236" i="1"/>
  <c r="AF2236" i="1"/>
  <c r="AG2236" i="1"/>
  <c r="AH2236" i="1"/>
  <c r="AI2236" i="1"/>
  <c r="AJ2236" i="1"/>
  <c r="AK2236" i="1"/>
  <c r="AL2236" i="1"/>
  <c r="AM2236" i="1"/>
  <c r="A2237" i="1"/>
  <c r="B2237" i="1"/>
  <c r="C2237" i="1"/>
  <c r="D2237" i="1"/>
  <c r="E2237" i="1"/>
  <c r="F2237" i="1"/>
  <c r="G2237" i="1"/>
  <c r="H2237" i="1"/>
  <c r="I2237" i="1"/>
  <c r="J2237" i="1"/>
  <c r="K2237" i="1"/>
  <c r="L2237" i="1"/>
  <c r="M2237" i="1"/>
  <c r="N2237" i="1"/>
  <c r="O2237" i="1"/>
  <c r="P2237" i="1"/>
  <c r="Q2237" i="1"/>
  <c r="R2237" i="1"/>
  <c r="S2237" i="1"/>
  <c r="T2237" i="1"/>
  <c r="U2237" i="1"/>
  <c r="V2237" i="1"/>
  <c r="W2237" i="1"/>
  <c r="X2237" i="1"/>
  <c r="Y2237" i="1"/>
  <c r="Z2237" i="1"/>
  <c r="AA2237" i="1"/>
  <c r="AB2237" i="1"/>
  <c r="AC2237" i="1"/>
  <c r="AD2237" i="1"/>
  <c r="AE2237" i="1"/>
  <c r="AF2237" i="1"/>
  <c r="AG2237" i="1"/>
  <c r="AH2237" i="1"/>
  <c r="AI2237" i="1"/>
  <c r="AJ2237" i="1"/>
  <c r="AK2237" i="1"/>
  <c r="AL2237" i="1"/>
  <c r="AM2237" i="1"/>
  <c r="A2238" i="1"/>
  <c r="B2238" i="1"/>
  <c r="C2238" i="1"/>
  <c r="D2238" i="1"/>
  <c r="E2238" i="1"/>
  <c r="F2238" i="1"/>
  <c r="G2238" i="1"/>
  <c r="H2238" i="1"/>
  <c r="I2238" i="1"/>
  <c r="J2238" i="1"/>
  <c r="K2238" i="1"/>
  <c r="L2238" i="1"/>
  <c r="M2238" i="1"/>
  <c r="N2238" i="1"/>
  <c r="O2238" i="1"/>
  <c r="P2238" i="1"/>
  <c r="Q2238" i="1"/>
  <c r="R2238" i="1"/>
  <c r="S2238" i="1"/>
  <c r="T2238" i="1"/>
  <c r="U2238" i="1"/>
  <c r="V2238" i="1"/>
  <c r="W2238" i="1"/>
  <c r="X2238" i="1"/>
  <c r="Y2238" i="1"/>
  <c r="Z2238" i="1"/>
  <c r="AA2238" i="1"/>
  <c r="AB2238" i="1"/>
  <c r="AC2238" i="1"/>
  <c r="AD2238" i="1"/>
  <c r="AE2238" i="1"/>
  <c r="AF2238" i="1"/>
  <c r="AG2238" i="1"/>
  <c r="AH2238" i="1"/>
  <c r="AI2238" i="1"/>
  <c r="AJ2238" i="1"/>
  <c r="AK2238" i="1"/>
  <c r="AL2238" i="1"/>
  <c r="AM2238" i="1"/>
  <c r="A2239" i="1"/>
  <c r="B2239" i="1"/>
  <c r="C2239" i="1"/>
  <c r="D2239" i="1"/>
  <c r="E2239" i="1"/>
  <c r="F2239" i="1"/>
  <c r="G2239" i="1"/>
  <c r="H2239" i="1"/>
  <c r="I2239" i="1"/>
  <c r="J2239" i="1"/>
  <c r="K2239" i="1"/>
  <c r="L2239" i="1"/>
  <c r="M2239" i="1"/>
  <c r="N2239" i="1"/>
  <c r="O2239" i="1"/>
  <c r="P2239" i="1"/>
  <c r="Q2239" i="1"/>
  <c r="R2239" i="1"/>
  <c r="S2239" i="1"/>
  <c r="T2239" i="1"/>
  <c r="U2239" i="1"/>
  <c r="V2239" i="1"/>
  <c r="W2239" i="1"/>
  <c r="X2239" i="1"/>
  <c r="Y2239" i="1"/>
  <c r="Z2239" i="1"/>
  <c r="AA2239" i="1"/>
  <c r="AB2239" i="1"/>
  <c r="AC2239" i="1"/>
  <c r="AD2239" i="1"/>
  <c r="AE2239" i="1"/>
  <c r="AF2239" i="1"/>
  <c r="AG2239" i="1"/>
  <c r="AH2239" i="1"/>
  <c r="AI2239" i="1"/>
  <c r="AJ2239" i="1"/>
  <c r="AK2239" i="1"/>
  <c r="AL2239" i="1"/>
  <c r="AM2239" i="1"/>
  <c r="A2240" i="1"/>
  <c r="B2240" i="1"/>
  <c r="C2240" i="1"/>
  <c r="D2240" i="1"/>
  <c r="E2240" i="1"/>
  <c r="F2240" i="1"/>
  <c r="G2240" i="1"/>
  <c r="H2240" i="1"/>
  <c r="I2240" i="1"/>
  <c r="J2240" i="1"/>
  <c r="K2240" i="1"/>
  <c r="L2240" i="1"/>
  <c r="M2240" i="1"/>
  <c r="N2240" i="1"/>
  <c r="O2240" i="1"/>
  <c r="P2240" i="1"/>
  <c r="Q2240" i="1"/>
  <c r="R2240" i="1"/>
  <c r="S2240" i="1"/>
  <c r="T2240" i="1"/>
  <c r="U2240" i="1"/>
  <c r="V2240" i="1"/>
  <c r="W2240" i="1"/>
  <c r="X2240" i="1"/>
  <c r="Y2240" i="1"/>
  <c r="Z2240" i="1"/>
  <c r="AA2240" i="1"/>
  <c r="AB2240" i="1"/>
  <c r="AC2240" i="1"/>
  <c r="AD2240" i="1"/>
  <c r="AE2240" i="1"/>
  <c r="AF2240" i="1"/>
  <c r="AG2240" i="1"/>
  <c r="AH2240" i="1"/>
  <c r="AI2240" i="1"/>
  <c r="AJ2240" i="1"/>
  <c r="AK2240" i="1"/>
  <c r="AL2240" i="1"/>
  <c r="AM2240" i="1"/>
  <c r="A2241" i="1"/>
  <c r="B2241" i="1"/>
  <c r="C2241" i="1"/>
  <c r="D2241" i="1"/>
  <c r="E2241" i="1"/>
  <c r="F2241" i="1"/>
  <c r="G2241" i="1"/>
  <c r="H2241" i="1"/>
  <c r="I2241" i="1"/>
  <c r="J2241" i="1"/>
  <c r="K2241" i="1"/>
  <c r="L2241" i="1"/>
  <c r="M2241" i="1"/>
  <c r="N2241" i="1"/>
  <c r="O2241" i="1"/>
  <c r="P2241" i="1"/>
  <c r="Q2241" i="1"/>
  <c r="R2241" i="1"/>
  <c r="S2241" i="1"/>
  <c r="T2241" i="1"/>
  <c r="U2241" i="1"/>
  <c r="V2241" i="1"/>
  <c r="W2241" i="1"/>
  <c r="X2241" i="1"/>
  <c r="Y2241" i="1"/>
  <c r="Z2241" i="1"/>
  <c r="AA2241" i="1"/>
  <c r="AB2241" i="1"/>
  <c r="AC2241" i="1"/>
  <c r="AD2241" i="1"/>
  <c r="AE2241" i="1"/>
  <c r="AF2241" i="1"/>
  <c r="AG2241" i="1"/>
  <c r="AH2241" i="1"/>
  <c r="AI2241" i="1"/>
  <c r="AJ2241" i="1"/>
  <c r="AK2241" i="1"/>
  <c r="AL2241" i="1"/>
  <c r="AM2241" i="1"/>
  <c r="A2242" i="1"/>
  <c r="B2242" i="1"/>
  <c r="C2242" i="1"/>
  <c r="D2242" i="1"/>
  <c r="E2242" i="1"/>
  <c r="F2242" i="1"/>
  <c r="G2242" i="1"/>
  <c r="H2242" i="1"/>
  <c r="I2242" i="1"/>
  <c r="J2242" i="1"/>
  <c r="K2242" i="1"/>
  <c r="L2242" i="1"/>
  <c r="M2242" i="1"/>
  <c r="N2242" i="1"/>
  <c r="O2242" i="1"/>
  <c r="P2242" i="1"/>
  <c r="Q2242" i="1"/>
  <c r="R2242" i="1"/>
  <c r="S2242" i="1"/>
  <c r="T2242" i="1"/>
  <c r="U2242" i="1"/>
  <c r="V2242" i="1"/>
  <c r="W2242" i="1"/>
  <c r="X2242" i="1"/>
  <c r="Y2242" i="1"/>
  <c r="Z2242" i="1"/>
  <c r="AA2242" i="1"/>
  <c r="AB2242" i="1"/>
  <c r="AC2242" i="1"/>
  <c r="AD2242" i="1"/>
  <c r="AE2242" i="1"/>
  <c r="AF2242" i="1"/>
  <c r="AG2242" i="1"/>
  <c r="AH2242" i="1"/>
  <c r="AI2242" i="1"/>
  <c r="AJ2242" i="1"/>
  <c r="AK2242" i="1"/>
  <c r="AL2242" i="1"/>
  <c r="AM2242" i="1"/>
  <c r="A2243" i="1"/>
  <c r="B2243" i="1"/>
  <c r="C2243" i="1"/>
  <c r="D2243" i="1"/>
  <c r="E2243" i="1"/>
  <c r="F2243" i="1"/>
  <c r="G2243" i="1"/>
  <c r="H2243" i="1"/>
  <c r="I2243" i="1"/>
  <c r="J2243" i="1"/>
  <c r="K2243" i="1"/>
  <c r="L2243" i="1"/>
  <c r="M2243" i="1"/>
  <c r="N2243" i="1"/>
  <c r="O2243" i="1"/>
  <c r="P2243" i="1"/>
  <c r="Q2243" i="1"/>
  <c r="R2243" i="1"/>
  <c r="S2243" i="1"/>
  <c r="T2243" i="1"/>
  <c r="U2243" i="1"/>
  <c r="V2243" i="1"/>
  <c r="W2243" i="1"/>
  <c r="X2243" i="1"/>
  <c r="Y2243" i="1"/>
  <c r="Z2243" i="1"/>
  <c r="AA2243" i="1"/>
  <c r="AB2243" i="1"/>
  <c r="AC2243" i="1"/>
  <c r="AD2243" i="1"/>
  <c r="AE2243" i="1"/>
  <c r="AF2243" i="1"/>
  <c r="AG2243" i="1"/>
  <c r="AH2243" i="1"/>
  <c r="AI2243" i="1"/>
  <c r="AJ2243" i="1"/>
  <c r="AK2243" i="1"/>
  <c r="AL2243" i="1"/>
  <c r="AM2243" i="1"/>
  <c r="A2244" i="1"/>
  <c r="B2244" i="1"/>
  <c r="C2244" i="1"/>
  <c r="D2244" i="1"/>
  <c r="E2244" i="1"/>
  <c r="F2244" i="1"/>
  <c r="G2244" i="1"/>
  <c r="H2244" i="1"/>
  <c r="I2244" i="1"/>
  <c r="J2244" i="1"/>
  <c r="K2244" i="1"/>
  <c r="L2244" i="1"/>
  <c r="M2244" i="1"/>
  <c r="N2244" i="1"/>
  <c r="O2244" i="1"/>
  <c r="P2244" i="1"/>
  <c r="Q2244" i="1"/>
  <c r="R2244" i="1"/>
  <c r="S2244" i="1"/>
  <c r="T2244" i="1"/>
  <c r="U2244" i="1"/>
  <c r="V2244" i="1"/>
  <c r="W2244" i="1"/>
  <c r="X2244" i="1"/>
  <c r="Y2244" i="1"/>
  <c r="Z2244" i="1"/>
  <c r="AA2244" i="1"/>
  <c r="AB2244" i="1"/>
  <c r="AC2244" i="1"/>
  <c r="AD2244" i="1"/>
  <c r="AE2244" i="1"/>
  <c r="AF2244" i="1"/>
  <c r="AG2244" i="1"/>
  <c r="AH2244" i="1"/>
  <c r="AI2244" i="1"/>
  <c r="AJ2244" i="1"/>
  <c r="AK2244" i="1"/>
  <c r="AL2244" i="1"/>
  <c r="AM2244" i="1"/>
  <c r="A2245" i="1"/>
  <c r="B2245" i="1"/>
  <c r="C2245" i="1"/>
  <c r="D2245" i="1"/>
  <c r="E2245" i="1"/>
  <c r="F2245" i="1"/>
  <c r="G2245" i="1"/>
  <c r="H2245" i="1"/>
  <c r="I2245" i="1"/>
  <c r="J2245" i="1"/>
  <c r="K2245" i="1"/>
  <c r="L2245" i="1"/>
  <c r="M2245" i="1"/>
  <c r="N2245" i="1"/>
  <c r="O2245" i="1"/>
  <c r="P2245" i="1"/>
  <c r="Q2245" i="1"/>
  <c r="R2245" i="1"/>
  <c r="S2245" i="1"/>
  <c r="T2245" i="1"/>
  <c r="U2245" i="1"/>
  <c r="V2245" i="1"/>
  <c r="W2245" i="1"/>
  <c r="X2245" i="1"/>
  <c r="Y2245" i="1"/>
  <c r="Z2245" i="1"/>
  <c r="AA2245" i="1"/>
  <c r="AB2245" i="1"/>
  <c r="AC2245" i="1"/>
  <c r="AD2245" i="1"/>
  <c r="AE2245" i="1"/>
  <c r="AF2245" i="1"/>
  <c r="AG2245" i="1"/>
  <c r="AH2245" i="1"/>
  <c r="AI2245" i="1"/>
  <c r="AJ2245" i="1"/>
  <c r="AK2245" i="1"/>
  <c r="AL2245" i="1"/>
  <c r="AM2245" i="1"/>
  <c r="A2246" i="1"/>
  <c r="B2246" i="1"/>
  <c r="C2246" i="1"/>
  <c r="D2246" i="1"/>
  <c r="E2246" i="1"/>
  <c r="F2246" i="1"/>
  <c r="G2246" i="1"/>
  <c r="H2246" i="1"/>
  <c r="I2246" i="1"/>
  <c r="J2246" i="1"/>
  <c r="K2246" i="1"/>
  <c r="L2246" i="1"/>
  <c r="M2246" i="1"/>
  <c r="N2246" i="1"/>
  <c r="O2246" i="1"/>
  <c r="P2246" i="1"/>
  <c r="Q2246" i="1"/>
  <c r="R2246" i="1"/>
  <c r="S2246" i="1"/>
  <c r="T2246" i="1"/>
  <c r="U2246" i="1"/>
  <c r="V2246" i="1"/>
  <c r="W2246" i="1"/>
  <c r="X2246" i="1"/>
  <c r="Y2246" i="1"/>
  <c r="Z2246" i="1"/>
  <c r="AA2246" i="1"/>
  <c r="AB2246" i="1"/>
  <c r="AC2246" i="1"/>
  <c r="AD2246" i="1"/>
  <c r="AE2246" i="1"/>
  <c r="AF2246" i="1"/>
  <c r="AG2246" i="1"/>
  <c r="AH2246" i="1"/>
  <c r="AI2246" i="1"/>
  <c r="AJ2246" i="1"/>
  <c r="AK2246" i="1"/>
  <c r="AL2246" i="1"/>
  <c r="AM2246" i="1"/>
  <c r="A2247" i="1"/>
  <c r="B2247" i="1"/>
  <c r="C2247" i="1"/>
  <c r="D2247" i="1"/>
  <c r="E2247" i="1"/>
  <c r="F2247" i="1"/>
  <c r="G2247" i="1"/>
  <c r="H2247" i="1"/>
  <c r="I2247" i="1"/>
  <c r="J2247" i="1"/>
  <c r="K2247" i="1"/>
  <c r="L2247" i="1"/>
  <c r="M2247" i="1"/>
  <c r="N2247" i="1"/>
  <c r="O2247" i="1"/>
  <c r="P2247" i="1"/>
  <c r="Q2247" i="1"/>
  <c r="R2247" i="1"/>
  <c r="S2247" i="1"/>
  <c r="T2247" i="1"/>
  <c r="U2247" i="1"/>
  <c r="V2247" i="1"/>
  <c r="W2247" i="1"/>
  <c r="X2247" i="1"/>
  <c r="Y2247" i="1"/>
  <c r="Z2247" i="1"/>
  <c r="AA2247" i="1"/>
  <c r="AB2247" i="1"/>
  <c r="AC2247" i="1"/>
  <c r="AD2247" i="1"/>
  <c r="AE2247" i="1"/>
  <c r="AF2247" i="1"/>
  <c r="AG2247" i="1"/>
  <c r="AH2247" i="1"/>
  <c r="AI2247" i="1"/>
  <c r="AJ2247" i="1"/>
  <c r="AK2247" i="1"/>
  <c r="AL2247" i="1"/>
  <c r="AM2247" i="1"/>
  <c r="A2248" i="1"/>
  <c r="B2248" i="1"/>
  <c r="C2248" i="1"/>
  <c r="D2248" i="1"/>
  <c r="E2248" i="1"/>
  <c r="F2248" i="1"/>
  <c r="G2248" i="1"/>
  <c r="H2248" i="1"/>
  <c r="I2248" i="1"/>
  <c r="J2248" i="1"/>
  <c r="K2248" i="1"/>
  <c r="L2248" i="1"/>
  <c r="M2248" i="1"/>
  <c r="N2248" i="1"/>
  <c r="O2248" i="1"/>
  <c r="P2248" i="1"/>
  <c r="Q2248" i="1"/>
  <c r="R2248" i="1"/>
  <c r="S2248" i="1"/>
  <c r="T2248" i="1"/>
  <c r="U2248" i="1"/>
  <c r="V2248" i="1"/>
  <c r="W2248" i="1"/>
  <c r="X2248" i="1"/>
  <c r="Y2248" i="1"/>
  <c r="Z2248" i="1"/>
  <c r="AA2248" i="1"/>
  <c r="AB2248" i="1"/>
  <c r="AC2248" i="1"/>
  <c r="AD2248" i="1"/>
  <c r="AE2248" i="1"/>
  <c r="AF2248" i="1"/>
  <c r="AG2248" i="1"/>
  <c r="AH2248" i="1"/>
  <c r="AI2248" i="1"/>
  <c r="AJ2248" i="1"/>
  <c r="AK2248" i="1"/>
  <c r="AL2248" i="1"/>
  <c r="AM2248" i="1"/>
  <c r="A2249" i="1"/>
  <c r="B2249" i="1"/>
  <c r="C2249" i="1"/>
  <c r="D2249" i="1"/>
  <c r="E2249" i="1"/>
  <c r="F2249" i="1"/>
  <c r="G2249" i="1"/>
  <c r="H2249" i="1"/>
  <c r="I2249" i="1"/>
  <c r="J2249" i="1"/>
  <c r="K2249" i="1"/>
  <c r="L2249" i="1"/>
  <c r="M2249" i="1"/>
  <c r="N2249" i="1"/>
  <c r="O2249" i="1"/>
  <c r="P2249" i="1"/>
  <c r="Q2249" i="1"/>
  <c r="R2249" i="1"/>
  <c r="S2249" i="1"/>
  <c r="T2249" i="1"/>
  <c r="U2249" i="1"/>
  <c r="V2249" i="1"/>
  <c r="W2249" i="1"/>
  <c r="X2249" i="1"/>
  <c r="Y2249" i="1"/>
  <c r="Z2249" i="1"/>
  <c r="AA2249" i="1"/>
  <c r="AB2249" i="1"/>
  <c r="AC2249" i="1"/>
  <c r="AD2249" i="1"/>
  <c r="AE2249" i="1"/>
  <c r="AF2249" i="1"/>
  <c r="AG2249" i="1"/>
  <c r="AH2249" i="1"/>
  <c r="AI2249" i="1"/>
  <c r="AJ2249" i="1"/>
  <c r="AK2249" i="1"/>
  <c r="AL2249" i="1"/>
  <c r="AM2249" i="1"/>
  <c r="A2250" i="1"/>
  <c r="B2250" i="1"/>
  <c r="C2250" i="1"/>
  <c r="D2250" i="1"/>
  <c r="E2250" i="1"/>
  <c r="F2250" i="1"/>
  <c r="G2250" i="1"/>
  <c r="H2250" i="1"/>
  <c r="I2250" i="1"/>
  <c r="J2250" i="1"/>
  <c r="K2250" i="1"/>
  <c r="L2250" i="1"/>
  <c r="M2250" i="1"/>
  <c r="N2250" i="1"/>
  <c r="O2250" i="1"/>
  <c r="P2250" i="1"/>
  <c r="Q2250" i="1"/>
  <c r="R2250" i="1"/>
  <c r="S2250" i="1"/>
  <c r="T2250" i="1"/>
  <c r="U2250" i="1"/>
  <c r="V2250" i="1"/>
  <c r="W2250" i="1"/>
  <c r="X2250" i="1"/>
  <c r="Y2250" i="1"/>
  <c r="Z2250" i="1"/>
  <c r="AA2250" i="1"/>
  <c r="AB2250" i="1"/>
  <c r="AC2250" i="1"/>
  <c r="AD2250" i="1"/>
  <c r="AE2250" i="1"/>
  <c r="AF2250" i="1"/>
  <c r="AG2250" i="1"/>
  <c r="AH2250" i="1"/>
  <c r="AI2250" i="1"/>
  <c r="AJ2250" i="1"/>
  <c r="AK2250" i="1"/>
  <c r="AL2250" i="1"/>
  <c r="AM2250" i="1"/>
  <c r="A2251" i="1"/>
  <c r="B2251" i="1"/>
  <c r="C2251" i="1"/>
  <c r="D2251" i="1"/>
  <c r="E2251" i="1"/>
  <c r="F2251" i="1"/>
  <c r="G2251" i="1"/>
  <c r="H2251" i="1"/>
  <c r="I2251" i="1"/>
  <c r="J2251" i="1"/>
  <c r="K2251" i="1"/>
  <c r="L2251" i="1"/>
  <c r="M2251" i="1"/>
  <c r="N2251" i="1"/>
  <c r="O2251" i="1"/>
  <c r="P2251" i="1"/>
  <c r="Q2251" i="1"/>
  <c r="R2251" i="1"/>
  <c r="S2251" i="1"/>
  <c r="T2251" i="1"/>
  <c r="U2251" i="1"/>
  <c r="V2251" i="1"/>
  <c r="W2251" i="1"/>
  <c r="X2251" i="1"/>
  <c r="Y2251" i="1"/>
  <c r="Z2251" i="1"/>
  <c r="AA2251" i="1"/>
  <c r="AB2251" i="1"/>
  <c r="AC2251" i="1"/>
  <c r="AD2251" i="1"/>
  <c r="AE2251" i="1"/>
  <c r="AF2251" i="1"/>
  <c r="AG2251" i="1"/>
  <c r="AH2251" i="1"/>
  <c r="AI2251" i="1"/>
  <c r="AJ2251" i="1"/>
  <c r="AK2251" i="1"/>
  <c r="AL2251" i="1"/>
  <c r="AM2251" i="1"/>
  <c r="A2252" i="1"/>
  <c r="B2252" i="1"/>
  <c r="C2252" i="1"/>
  <c r="D2252" i="1"/>
  <c r="E2252" i="1"/>
  <c r="F2252" i="1"/>
  <c r="G2252" i="1"/>
  <c r="H2252" i="1"/>
  <c r="I2252" i="1"/>
  <c r="J2252" i="1"/>
  <c r="K2252" i="1"/>
  <c r="L2252" i="1"/>
  <c r="M2252" i="1"/>
  <c r="N2252" i="1"/>
  <c r="O2252" i="1"/>
  <c r="P2252" i="1"/>
  <c r="Q2252" i="1"/>
  <c r="R2252" i="1"/>
  <c r="S2252" i="1"/>
  <c r="T2252" i="1"/>
  <c r="U2252" i="1"/>
  <c r="V2252" i="1"/>
  <c r="W2252" i="1"/>
  <c r="X2252" i="1"/>
  <c r="Y2252" i="1"/>
  <c r="Z2252" i="1"/>
  <c r="AA2252" i="1"/>
  <c r="AB2252" i="1"/>
  <c r="AC2252" i="1"/>
  <c r="AD2252" i="1"/>
  <c r="AE2252" i="1"/>
  <c r="AF2252" i="1"/>
  <c r="AG2252" i="1"/>
  <c r="AH2252" i="1"/>
  <c r="AI2252" i="1"/>
  <c r="AJ2252" i="1"/>
  <c r="AK2252" i="1"/>
  <c r="AL2252" i="1"/>
  <c r="AM2252" i="1"/>
  <c r="A2253" i="1"/>
  <c r="B2253" i="1"/>
  <c r="C2253" i="1"/>
  <c r="D2253" i="1"/>
  <c r="E2253" i="1"/>
  <c r="F2253" i="1"/>
  <c r="G2253" i="1"/>
  <c r="H2253" i="1"/>
  <c r="I2253" i="1"/>
  <c r="J2253" i="1"/>
  <c r="K2253" i="1"/>
  <c r="L2253" i="1"/>
  <c r="M2253" i="1"/>
  <c r="N2253" i="1"/>
  <c r="O2253" i="1"/>
  <c r="P2253" i="1"/>
  <c r="Q2253" i="1"/>
  <c r="R2253" i="1"/>
  <c r="S2253" i="1"/>
  <c r="T2253" i="1"/>
  <c r="U2253" i="1"/>
  <c r="V2253" i="1"/>
  <c r="W2253" i="1"/>
  <c r="X2253" i="1"/>
  <c r="Y2253" i="1"/>
  <c r="Z2253" i="1"/>
  <c r="AA2253" i="1"/>
  <c r="AB2253" i="1"/>
  <c r="AC2253" i="1"/>
  <c r="AD2253" i="1"/>
  <c r="AE2253" i="1"/>
  <c r="AF2253" i="1"/>
  <c r="AG2253" i="1"/>
  <c r="AH2253" i="1"/>
  <c r="AI2253" i="1"/>
  <c r="AJ2253" i="1"/>
  <c r="AK2253" i="1"/>
  <c r="AL2253" i="1"/>
  <c r="AM2253" i="1"/>
  <c r="A2254" i="1"/>
  <c r="B2254" i="1"/>
  <c r="C2254" i="1"/>
  <c r="D2254" i="1"/>
  <c r="E2254" i="1"/>
  <c r="F2254" i="1"/>
  <c r="G2254" i="1"/>
  <c r="H2254" i="1"/>
  <c r="I2254" i="1"/>
  <c r="J2254" i="1"/>
  <c r="K2254" i="1"/>
  <c r="L2254" i="1"/>
  <c r="M2254" i="1"/>
  <c r="N2254" i="1"/>
  <c r="O2254" i="1"/>
  <c r="P2254" i="1"/>
  <c r="Q2254" i="1"/>
  <c r="R2254" i="1"/>
  <c r="S2254" i="1"/>
  <c r="T2254" i="1"/>
  <c r="U2254" i="1"/>
  <c r="V2254" i="1"/>
  <c r="W2254" i="1"/>
  <c r="X2254" i="1"/>
  <c r="Y2254" i="1"/>
  <c r="Z2254" i="1"/>
  <c r="AA2254" i="1"/>
  <c r="AB2254" i="1"/>
  <c r="AC2254" i="1"/>
  <c r="AD2254" i="1"/>
  <c r="AE2254" i="1"/>
  <c r="AF2254" i="1"/>
  <c r="AG2254" i="1"/>
  <c r="AH2254" i="1"/>
  <c r="AI2254" i="1"/>
  <c r="AJ2254" i="1"/>
  <c r="AK2254" i="1"/>
  <c r="AL2254" i="1"/>
  <c r="AM2254" i="1"/>
  <c r="A2255" i="1"/>
  <c r="B2255" i="1"/>
  <c r="C2255" i="1"/>
  <c r="D2255" i="1"/>
  <c r="E2255" i="1"/>
  <c r="F2255" i="1"/>
  <c r="G2255" i="1"/>
  <c r="H2255" i="1"/>
  <c r="I2255" i="1"/>
  <c r="J2255" i="1"/>
  <c r="K2255" i="1"/>
  <c r="L2255" i="1"/>
  <c r="M2255" i="1"/>
  <c r="N2255" i="1"/>
  <c r="O2255" i="1"/>
  <c r="P2255" i="1"/>
  <c r="Q2255" i="1"/>
  <c r="R2255" i="1"/>
  <c r="S2255" i="1"/>
  <c r="T2255" i="1"/>
  <c r="U2255" i="1"/>
  <c r="V2255" i="1"/>
  <c r="W2255" i="1"/>
  <c r="X2255" i="1"/>
  <c r="Y2255" i="1"/>
  <c r="Z2255" i="1"/>
  <c r="AA2255" i="1"/>
  <c r="AB2255" i="1"/>
  <c r="AC2255" i="1"/>
  <c r="AD2255" i="1"/>
  <c r="AE2255" i="1"/>
  <c r="AF2255" i="1"/>
  <c r="AG2255" i="1"/>
  <c r="AH2255" i="1"/>
  <c r="AI2255" i="1"/>
  <c r="AJ2255" i="1"/>
  <c r="AK2255" i="1"/>
  <c r="AL2255" i="1"/>
  <c r="AM2255" i="1"/>
  <c r="A2256" i="1"/>
  <c r="B2256" i="1"/>
  <c r="C2256" i="1"/>
  <c r="D2256" i="1"/>
  <c r="E2256" i="1"/>
  <c r="F2256" i="1"/>
  <c r="G2256" i="1"/>
  <c r="H2256" i="1"/>
  <c r="I2256" i="1"/>
  <c r="J2256" i="1"/>
  <c r="K2256" i="1"/>
  <c r="L2256" i="1"/>
  <c r="M2256" i="1"/>
  <c r="N2256" i="1"/>
  <c r="O2256" i="1"/>
  <c r="P2256" i="1"/>
  <c r="Q2256" i="1"/>
  <c r="R2256" i="1"/>
  <c r="S2256" i="1"/>
  <c r="T2256" i="1"/>
  <c r="U2256" i="1"/>
  <c r="V2256" i="1"/>
  <c r="W2256" i="1"/>
  <c r="X2256" i="1"/>
  <c r="Y2256" i="1"/>
  <c r="Z2256" i="1"/>
  <c r="AA2256" i="1"/>
  <c r="AB2256" i="1"/>
  <c r="AC2256" i="1"/>
  <c r="AD2256" i="1"/>
  <c r="AE2256" i="1"/>
  <c r="AF2256" i="1"/>
  <c r="AG2256" i="1"/>
  <c r="AH2256" i="1"/>
  <c r="AI2256" i="1"/>
  <c r="AJ2256" i="1"/>
  <c r="AK2256" i="1"/>
  <c r="AL2256" i="1"/>
  <c r="AM2256" i="1"/>
  <c r="A2257" i="1"/>
  <c r="B2257" i="1"/>
  <c r="C2257" i="1"/>
  <c r="D2257" i="1"/>
  <c r="E2257" i="1"/>
  <c r="F2257" i="1"/>
  <c r="G2257" i="1"/>
  <c r="H2257" i="1"/>
  <c r="I2257" i="1"/>
  <c r="J2257" i="1"/>
  <c r="K2257" i="1"/>
  <c r="L2257" i="1"/>
  <c r="M2257" i="1"/>
  <c r="N2257" i="1"/>
  <c r="O2257" i="1"/>
  <c r="P2257" i="1"/>
  <c r="Q2257" i="1"/>
  <c r="R2257" i="1"/>
  <c r="S2257" i="1"/>
  <c r="T2257" i="1"/>
  <c r="U2257" i="1"/>
  <c r="V2257" i="1"/>
  <c r="W2257" i="1"/>
  <c r="X2257" i="1"/>
  <c r="Y2257" i="1"/>
  <c r="Z2257" i="1"/>
  <c r="AA2257" i="1"/>
  <c r="AB2257" i="1"/>
  <c r="AC2257" i="1"/>
  <c r="AD2257" i="1"/>
  <c r="AE2257" i="1"/>
  <c r="AF2257" i="1"/>
  <c r="AG2257" i="1"/>
  <c r="AH2257" i="1"/>
  <c r="AI2257" i="1"/>
  <c r="AJ2257" i="1"/>
  <c r="AK2257" i="1"/>
  <c r="AL2257" i="1"/>
  <c r="AM2257" i="1"/>
  <c r="A2258" i="1"/>
  <c r="B2258" i="1"/>
  <c r="C2258" i="1"/>
  <c r="D2258" i="1"/>
  <c r="E2258" i="1"/>
  <c r="F2258" i="1"/>
  <c r="G2258" i="1"/>
  <c r="H2258" i="1"/>
  <c r="I2258" i="1"/>
  <c r="J2258" i="1"/>
  <c r="K2258" i="1"/>
  <c r="L2258" i="1"/>
  <c r="M2258" i="1"/>
  <c r="N2258" i="1"/>
  <c r="O2258" i="1"/>
  <c r="P2258" i="1"/>
  <c r="Q2258" i="1"/>
  <c r="R2258" i="1"/>
  <c r="S2258" i="1"/>
  <c r="T2258" i="1"/>
  <c r="U2258" i="1"/>
  <c r="V2258" i="1"/>
  <c r="W2258" i="1"/>
  <c r="X2258" i="1"/>
  <c r="Y2258" i="1"/>
  <c r="Z2258" i="1"/>
  <c r="AA2258" i="1"/>
  <c r="AB2258" i="1"/>
  <c r="AC2258" i="1"/>
  <c r="AD2258" i="1"/>
  <c r="AE2258" i="1"/>
  <c r="AF2258" i="1"/>
  <c r="AG2258" i="1"/>
  <c r="AH2258" i="1"/>
  <c r="AI2258" i="1"/>
  <c r="AJ2258" i="1"/>
  <c r="AK2258" i="1"/>
  <c r="AL2258" i="1"/>
  <c r="AM2258" i="1"/>
  <c r="A2259" i="1"/>
  <c r="B2259" i="1"/>
  <c r="C2259" i="1"/>
  <c r="D2259" i="1"/>
  <c r="E2259" i="1"/>
  <c r="F2259" i="1"/>
  <c r="G2259" i="1"/>
  <c r="H2259" i="1"/>
  <c r="I2259" i="1"/>
  <c r="J2259" i="1"/>
  <c r="K2259" i="1"/>
  <c r="L2259" i="1"/>
  <c r="M2259" i="1"/>
  <c r="N2259" i="1"/>
  <c r="O2259" i="1"/>
  <c r="P2259" i="1"/>
  <c r="Q2259" i="1"/>
  <c r="R2259" i="1"/>
  <c r="S2259" i="1"/>
  <c r="T2259" i="1"/>
  <c r="U2259" i="1"/>
  <c r="V2259" i="1"/>
  <c r="W2259" i="1"/>
  <c r="X2259" i="1"/>
  <c r="Y2259" i="1"/>
  <c r="Z2259" i="1"/>
  <c r="AA2259" i="1"/>
  <c r="AB2259" i="1"/>
  <c r="AC2259" i="1"/>
  <c r="AD2259" i="1"/>
  <c r="AE2259" i="1"/>
  <c r="AF2259" i="1"/>
  <c r="AG2259" i="1"/>
  <c r="AH2259" i="1"/>
  <c r="AI2259" i="1"/>
  <c r="AJ2259" i="1"/>
  <c r="AK2259" i="1"/>
  <c r="AL2259" i="1"/>
  <c r="AM2259" i="1"/>
  <c r="A2260" i="1"/>
  <c r="B2260" i="1"/>
  <c r="C2260" i="1"/>
  <c r="D2260" i="1"/>
  <c r="E2260" i="1"/>
  <c r="F2260" i="1"/>
  <c r="G2260" i="1"/>
  <c r="H2260" i="1"/>
  <c r="I2260" i="1"/>
  <c r="J2260" i="1"/>
  <c r="K2260" i="1"/>
  <c r="L2260" i="1"/>
  <c r="M2260" i="1"/>
  <c r="N2260" i="1"/>
  <c r="O2260" i="1"/>
  <c r="P2260" i="1"/>
  <c r="Q2260" i="1"/>
  <c r="R2260" i="1"/>
  <c r="S2260" i="1"/>
  <c r="T2260" i="1"/>
  <c r="U2260" i="1"/>
  <c r="V2260" i="1"/>
  <c r="W2260" i="1"/>
  <c r="X2260" i="1"/>
  <c r="Y2260" i="1"/>
  <c r="Z2260" i="1"/>
  <c r="AA2260" i="1"/>
  <c r="AB2260" i="1"/>
  <c r="AC2260" i="1"/>
  <c r="AD2260" i="1"/>
  <c r="AE2260" i="1"/>
  <c r="AF2260" i="1"/>
  <c r="AG2260" i="1"/>
  <c r="AH2260" i="1"/>
  <c r="AI2260" i="1"/>
  <c r="AJ2260" i="1"/>
  <c r="AK2260" i="1"/>
  <c r="AL2260" i="1"/>
  <c r="AM2260" i="1"/>
  <c r="A2261" i="1"/>
  <c r="B2261" i="1"/>
  <c r="C2261" i="1"/>
  <c r="D2261" i="1"/>
  <c r="E2261" i="1"/>
  <c r="F2261" i="1"/>
  <c r="G2261" i="1"/>
  <c r="H2261" i="1"/>
  <c r="I2261" i="1"/>
  <c r="J2261" i="1"/>
  <c r="K2261" i="1"/>
  <c r="L2261" i="1"/>
  <c r="M2261" i="1"/>
  <c r="N2261" i="1"/>
  <c r="O2261" i="1"/>
  <c r="P2261" i="1"/>
  <c r="Q2261" i="1"/>
  <c r="R2261" i="1"/>
  <c r="S2261" i="1"/>
  <c r="T2261" i="1"/>
  <c r="U2261" i="1"/>
  <c r="V2261" i="1"/>
  <c r="W2261" i="1"/>
  <c r="X2261" i="1"/>
  <c r="Y2261" i="1"/>
  <c r="Z2261" i="1"/>
  <c r="AA2261" i="1"/>
  <c r="AB2261" i="1"/>
  <c r="AC2261" i="1"/>
  <c r="AD2261" i="1"/>
  <c r="AE2261" i="1"/>
  <c r="AF2261" i="1"/>
  <c r="AG2261" i="1"/>
  <c r="AH2261" i="1"/>
  <c r="AI2261" i="1"/>
  <c r="AJ2261" i="1"/>
  <c r="AK2261" i="1"/>
  <c r="AL2261" i="1"/>
  <c r="AM2261" i="1"/>
  <c r="A2262" i="1"/>
  <c r="B2262" i="1"/>
  <c r="C2262" i="1"/>
  <c r="D2262" i="1"/>
  <c r="E2262" i="1"/>
  <c r="F2262" i="1"/>
  <c r="G2262" i="1"/>
  <c r="H2262" i="1"/>
  <c r="I2262" i="1"/>
  <c r="J2262" i="1"/>
  <c r="K2262" i="1"/>
  <c r="L2262" i="1"/>
  <c r="M2262" i="1"/>
  <c r="N2262" i="1"/>
  <c r="O2262" i="1"/>
  <c r="P2262" i="1"/>
  <c r="Q2262" i="1"/>
  <c r="R2262" i="1"/>
  <c r="S2262" i="1"/>
  <c r="T2262" i="1"/>
  <c r="U2262" i="1"/>
  <c r="V2262" i="1"/>
  <c r="W2262" i="1"/>
  <c r="X2262" i="1"/>
  <c r="Y2262" i="1"/>
  <c r="Z2262" i="1"/>
  <c r="AA2262" i="1"/>
  <c r="AB2262" i="1"/>
  <c r="AC2262" i="1"/>
  <c r="AD2262" i="1"/>
  <c r="AE2262" i="1"/>
  <c r="AF2262" i="1"/>
  <c r="AG2262" i="1"/>
  <c r="AH2262" i="1"/>
  <c r="AI2262" i="1"/>
  <c r="AJ2262" i="1"/>
  <c r="AK2262" i="1"/>
  <c r="AL2262" i="1"/>
  <c r="AM2262" i="1"/>
  <c r="A2263" i="1"/>
  <c r="B2263" i="1"/>
  <c r="C2263" i="1"/>
  <c r="D2263" i="1"/>
  <c r="E2263" i="1"/>
  <c r="F2263" i="1"/>
  <c r="G2263" i="1"/>
  <c r="H2263" i="1"/>
  <c r="I2263" i="1"/>
  <c r="J2263" i="1"/>
  <c r="K2263" i="1"/>
  <c r="L2263" i="1"/>
  <c r="M2263" i="1"/>
  <c r="N2263" i="1"/>
  <c r="O2263" i="1"/>
  <c r="P2263" i="1"/>
  <c r="Q2263" i="1"/>
  <c r="R2263" i="1"/>
  <c r="S2263" i="1"/>
  <c r="T2263" i="1"/>
  <c r="U2263" i="1"/>
  <c r="V2263" i="1"/>
  <c r="W2263" i="1"/>
  <c r="X2263" i="1"/>
  <c r="Y2263" i="1"/>
  <c r="Z2263" i="1"/>
  <c r="AA2263" i="1"/>
  <c r="AB2263" i="1"/>
  <c r="AC2263" i="1"/>
  <c r="AD2263" i="1"/>
  <c r="AE2263" i="1"/>
  <c r="AF2263" i="1"/>
  <c r="AG2263" i="1"/>
  <c r="AH2263" i="1"/>
  <c r="AI2263" i="1"/>
  <c r="AJ2263" i="1"/>
  <c r="AK2263" i="1"/>
  <c r="AL2263" i="1"/>
  <c r="AM2263" i="1"/>
  <c r="A2264" i="1"/>
  <c r="B2264" i="1"/>
  <c r="C2264" i="1"/>
  <c r="D2264" i="1"/>
  <c r="E2264" i="1"/>
  <c r="F2264" i="1"/>
  <c r="G2264" i="1"/>
  <c r="H2264" i="1"/>
  <c r="I2264" i="1"/>
  <c r="J2264" i="1"/>
  <c r="K2264" i="1"/>
  <c r="L2264" i="1"/>
  <c r="M2264" i="1"/>
  <c r="N2264" i="1"/>
  <c r="O2264" i="1"/>
  <c r="P2264" i="1"/>
  <c r="Q2264" i="1"/>
  <c r="R2264" i="1"/>
  <c r="S2264" i="1"/>
  <c r="T2264" i="1"/>
  <c r="U2264" i="1"/>
  <c r="V2264" i="1"/>
  <c r="W2264" i="1"/>
  <c r="X2264" i="1"/>
  <c r="Y2264" i="1"/>
  <c r="Z2264" i="1"/>
  <c r="AA2264" i="1"/>
  <c r="AB2264" i="1"/>
  <c r="AC2264" i="1"/>
  <c r="AD2264" i="1"/>
  <c r="AE2264" i="1"/>
  <c r="AF2264" i="1"/>
  <c r="AG2264" i="1"/>
  <c r="AH2264" i="1"/>
  <c r="AI2264" i="1"/>
  <c r="AJ2264" i="1"/>
  <c r="AK2264" i="1"/>
  <c r="AL2264" i="1"/>
  <c r="AM2264" i="1"/>
  <c r="A2265" i="1"/>
  <c r="B2265" i="1"/>
  <c r="C2265" i="1"/>
  <c r="D2265" i="1"/>
  <c r="E2265" i="1"/>
  <c r="F2265" i="1"/>
  <c r="G2265" i="1"/>
  <c r="H2265" i="1"/>
  <c r="I2265" i="1"/>
  <c r="J2265" i="1"/>
  <c r="K2265" i="1"/>
  <c r="L2265" i="1"/>
  <c r="M2265" i="1"/>
  <c r="N2265" i="1"/>
  <c r="O2265" i="1"/>
  <c r="P2265" i="1"/>
  <c r="Q2265" i="1"/>
  <c r="R2265" i="1"/>
  <c r="S2265" i="1"/>
  <c r="T2265" i="1"/>
  <c r="U2265" i="1"/>
  <c r="V2265" i="1"/>
  <c r="W2265" i="1"/>
  <c r="X2265" i="1"/>
  <c r="Y2265" i="1"/>
  <c r="Z2265" i="1"/>
  <c r="AA2265" i="1"/>
  <c r="AB2265" i="1"/>
  <c r="AC2265" i="1"/>
  <c r="AD2265" i="1"/>
  <c r="AE2265" i="1"/>
  <c r="AF2265" i="1"/>
  <c r="AG2265" i="1"/>
  <c r="AH2265" i="1"/>
  <c r="AI2265" i="1"/>
  <c r="AJ2265" i="1"/>
  <c r="AK2265" i="1"/>
  <c r="AL2265" i="1"/>
  <c r="AM2265" i="1"/>
  <c r="A2266" i="1"/>
  <c r="B2266" i="1"/>
  <c r="C2266" i="1"/>
  <c r="D2266" i="1"/>
  <c r="E2266" i="1"/>
  <c r="F2266" i="1"/>
  <c r="G2266" i="1"/>
  <c r="H2266" i="1"/>
  <c r="I2266" i="1"/>
  <c r="J2266" i="1"/>
  <c r="K2266" i="1"/>
  <c r="L2266" i="1"/>
  <c r="M2266" i="1"/>
  <c r="N2266" i="1"/>
  <c r="O2266" i="1"/>
  <c r="P2266" i="1"/>
  <c r="Q2266" i="1"/>
  <c r="R2266" i="1"/>
  <c r="S2266" i="1"/>
  <c r="T2266" i="1"/>
  <c r="U2266" i="1"/>
  <c r="V2266" i="1"/>
  <c r="W2266" i="1"/>
  <c r="X2266" i="1"/>
  <c r="Y2266" i="1"/>
  <c r="Z2266" i="1"/>
  <c r="AA2266" i="1"/>
  <c r="AB2266" i="1"/>
  <c r="AC2266" i="1"/>
  <c r="AD2266" i="1"/>
  <c r="AE2266" i="1"/>
  <c r="AF2266" i="1"/>
  <c r="AG2266" i="1"/>
  <c r="AH2266" i="1"/>
  <c r="AI2266" i="1"/>
  <c r="AJ2266" i="1"/>
  <c r="AK2266" i="1"/>
  <c r="AL2266" i="1"/>
  <c r="AM2266" i="1"/>
  <c r="A2267" i="1"/>
  <c r="B2267" i="1"/>
  <c r="C2267" i="1"/>
  <c r="D2267" i="1"/>
  <c r="E2267" i="1"/>
  <c r="F2267" i="1"/>
  <c r="G2267" i="1"/>
  <c r="H2267" i="1"/>
  <c r="I2267" i="1"/>
  <c r="J2267" i="1"/>
  <c r="K2267" i="1"/>
  <c r="L2267" i="1"/>
  <c r="M2267" i="1"/>
  <c r="N2267" i="1"/>
  <c r="O2267" i="1"/>
  <c r="P2267" i="1"/>
  <c r="Q2267" i="1"/>
  <c r="R2267" i="1"/>
  <c r="S2267" i="1"/>
  <c r="T2267" i="1"/>
  <c r="U2267" i="1"/>
  <c r="V2267" i="1"/>
  <c r="W2267" i="1"/>
  <c r="X2267" i="1"/>
  <c r="Y2267" i="1"/>
  <c r="Z2267" i="1"/>
  <c r="AA2267" i="1"/>
  <c r="AB2267" i="1"/>
  <c r="AC2267" i="1"/>
  <c r="AD2267" i="1"/>
  <c r="AE2267" i="1"/>
  <c r="AF2267" i="1"/>
  <c r="AG2267" i="1"/>
  <c r="AH2267" i="1"/>
  <c r="AI2267" i="1"/>
  <c r="AJ2267" i="1"/>
  <c r="AK2267" i="1"/>
  <c r="AL2267" i="1"/>
  <c r="AM2267" i="1"/>
  <c r="A2268" i="1"/>
  <c r="B2268" i="1"/>
  <c r="C2268" i="1"/>
  <c r="D2268" i="1"/>
  <c r="E2268" i="1"/>
  <c r="F2268" i="1"/>
  <c r="G2268" i="1"/>
  <c r="H2268" i="1"/>
  <c r="I2268" i="1"/>
  <c r="J2268" i="1"/>
  <c r="K2268" i="1"/>
  <c r="L2268" i="1"/>
  <c r="M2268" i="1"/>
  <c r="N2268" i="1"/>
  <c r="O2268" i="1"/>
  <c r="P2268" i="1"/>
  <c r="Q2268" i="1"/>
  <c r="R2268" i="1"/>
  <c r="S2268" i="1"/>
  <c r="T2268" i="1"/>
  <c r="U2268" i="1"/>
  <c r="V2268" i="1"/>
  <c r="W2268" i="1"/>
  <c r="X2268" i="1"/>
  <c r="Y2268" i="1"/>
  <c r="Z2268" i="1"/>
  <c r="AA2268" i="1"/>
  <c r="AB2268" i="1"/>
  <c r="AC2268" i="1"/>
  <c r="AD2268" i="1"/>
  <c r="AE2268" i="1"/>
  <c r="AF2268" i="1"/>
  <c r="AG2268" i="1"/>
  <c r="AH2268" i="1"/>
  <c r="AI2268" i="1"/>
  <c r="AJ2268" i="1"/>
  <c r="AK2268" i="1"/>
  <c r="AL2268" i="1"/>
  <c r="AM2268" i="1"/>
  <c r="A2269" i="1"/>
  <c r="B2269" i="1"/>
  <c r="C2269" i="1"/>
  <c r="D2269" i="1"/>
  <c r="E2269" i="1"/>
  <c r="F2269" i="1"/>
  <c r="G2269" i="1"/>
  <c r="H2269" i="1"/>
  <c r="I2269" i="1"/>
  <c r="J2269" i="1"/>
  <c r="K2269" i="1"/>
  <c r="L2269" i="1"/>
  <c r="M2269" i="1"/>
  <c r="N2269" i="1"/>
  <c r="O2269" i="1"/>
  <c r="P2269" i="1"/>
  <c r="Q2269" i="1"/>
  <c r="R2269" i="1"/>
  <c r="S2269" i="1"/>
  <c r="T2269" i="1"/>
  <c r="U2269" i="1"/>
  <c r="V2269" i="1"/>
  <c r="W2269" i="1"/>
  <c r="X2269" i="1"/>
  <c r="Y2269" i="1"/>
  <c r="Z2269" i="1"/>
  <c r="AA2269" i="1"/>
  <c r="AB2269" i="1"/>
  <c r="AC2269" i="1"/>
  <c r="AD2269" i="1"/>
  <c r="AE2269" i="1"/>
  <c r="AF2269" i="1"/>
  <c r="AG2269" i="1"/>
  <c r="AH2269" i="1"/>
  <c r="AI2269" i="1"/>
  <c r="AJ2269" i="1"/>
  <c r="AK2269" i="1"/>
  <c r="AL2269" i="1"/>
  <c r="AM2269" i="1"/>
  <c r="A2270" i="1"/>
  <c r="B2270" i="1"/>
  <c r="C2270" i="1"/>
  <c r="D2270" i="1"/>
  <c r="E2270" i="1"/>
  <c r="F2270" i="1"/>
  <c r="G2270" i="1"/>
  <c r="H2270" i="1"/>
  <c r="I2270" i="1"/>
  <c r="J2270" i="1"/>
  <c r="K2270" i="1"/>
  <c r="L2270" i="1"/>
  <c r="M2270" i="1"/>
  <c r="N2270" i="1"/>
  <c r="O2270" i="1"/>
  <c r="P2270" i="1"/>
  <c r="Q2270" i="1"/>
  <c r="R2270" i="1"/>
  <c r="S2270" i="1"/>
  <c r="T2270" i="1"/>
  <c r="U2270" i="1"/>
  <c r="V2270" i="1"/>
  <c r="W2270" i="1"/>
  <c r="X2270" i="1"/>
  <c r="Y2270" i="1"/>
  <c r="Z2270" i="1"/>
  <c r="AA2270" i="1"/>
  <c r="AB2270" i="1"/>
  <c r="AC2270" i="1"/>
  <c r="AD2270" i="1"/>
  <c r="AE2270" i="1"/>
  <c r="AF2270" i="1"/>
  <c r="AG2270" i="1"/>
  <c r="AH2270" i="1"/>
  <c r="AI2270" i="1"/>
  <c r="AJ2270" i="1"/>
  <c r="AK2270" i="1"/>
  <c r="AL2270" i="1"/>
  <c r="AM2270" i="1"/>
  <c r="A2271" i="1"/>
  <c r="B2271" i="1"/>
  <c r="C2271" i="1"/>
  <c r="D2271" i="1"/>
  <c r="E2271" i="1"/>
  <c r="F2271" i="1"/>
  <c r="G2271" i="1"/>
  <c r="H2271" i="1"/>
  <c r="I2271" i="1"/>
  <c r="J2271" i="1"/>
  <c r="K2271" i="1"/>
  <c r="L2271" i="1"/>
  <c r="M2271" i="1"/>
  <c r="N2271" i="1"/>
  <c r="O2271" i="1"/>
  <c r="P2271" i="1"/>
  <c r="Q2271" i="1"/>
  <c r="R2271" i="1"/>
  <c r="S2271" i="1"/>
  <c r="T2271" i="1"/>
  <c r="U2271" i="1"/>
  <c r="V2271" i="1"/>
  <c r="W2271" i="1"/>
  <c r="X2271" i="1"/>
  <c r="Y2271" i="1"/>
  <c r="Z2271" i="1"/>
  <c r="AA2271" i="1"/>
  <c r="AB2271" i="1"/>
  <c r="AC2271" i="1"/>
  <c r="AD2271" i="1"/>
  <c r="AE2271" i="1"/>
  <c r="AF2271" i="1"/>
  <c r="AG2271" i="1"/>
  <c r="AH2271" i="1"/>
  <c r="AI2271" i="1"/>
  <c r="AJ2271" i="1"/>
  <c r="AK2271" i="1"/>
  <c r="AL2271" i="1"/>
  <c r="AM2271" i="1"/>
  <c r="A2272" i="1"/>
  <c r="B2272" i="1"/>
  <c r="C2272" i="1"/>
  <c r="D2272" i="1"/>
  <c r="E2272" i="1"/>
  <c r="F2272" i="1"/>
  <c r="G2272" i="1"/>
  <c r="H2272" i="1"/>
  <c r="I2272" i="1"/>
  <c r="J2272" i="1"/>
  <c r="K2272" i="1"/>
  <c r="L2272" i="1"/>
  <c r="M2272" i="1"/>
  <c r="N2272" i="1"/>
  <c r="O2272" i="1"/>
  <c r="P2272" i="1"/>
  <c r="Q2272" i="1"/>
  <c r="R2272" i="1"/>
  <c r="S2272" i="1"/>
  <c r="T2272" i="1"/>
  <c r="U2272" i="1"/>
  <c r="V2272" i="1"/>
  <c r="W2272" i="1"/>
  <c r="X2272" i="1"/>
  <c r="Y2272" i="1"/>
  <c r="Z2272" i="1"/>
  <c r="AA2272" i="1"/>
  <c r="AB2272" i="1"/>
  <c r="AC2272" i="1"/>
  <c r="AD2272" i="1"/>
  <c r="AE2272" i="1"/>
  <c r="AF2272" i="1"/>
  <c r="AG2272" i="1"/>
  <c r="AH2272" i="1"/>
  <c r="AI2272" i="1"/>
  <c r="AJ2272" i="1"/>
  <c r="AK2272" i="1"/>
  <c r="AL2272" i="1"/>
  <c r="AM2272" i="1"/>
  <c r="A2273" i="1"/>
  <c r="B2273" i="1"/>
  <c r="C2273" i="1"/>
  <c r="D2273" i="1"/>
  <c r="E2273" i="1"/>
  <c r="F2273" i="1"/>
  <c r="G2273" i="1"/>
  <c r="H2273" i="1"/>
  <c r="I2273" i="1"/>
  <c r="J2273" i="1"/>
  <c r="K2273" i="1"/>
  <c r="L2273" i="1"/>
  <c r="M2273" i="1"/>
  <c r="N2273" i="1"/>
  <c r="O2273" i="1"/>
  <c r="P2273" i="1"/>
  <c r="Q2273" i="1"/>
  <c r="R2273" i="1"/>
  <c r="S2273" i="1"/>
  <c r="T2273" i="1"/>
  <c r="U2273" i="1"/>
  <c r="V2273" i="1"/>
  <c r="W2273" i="1"/>
  <c r="X2273" i="1"/>
  <c r="Y2273" i="1"/>
  <c r="Z2273" i="1"/>
  <c r="AA2273" i="1"/>
  <c r="AB2273" i="1"/>
  <c r="AC2273" i="1"/>
  <c r="AD2273" i="1"/>
  <c r="AE2273" i="1"/>
  <c r="AF2273" i="1"/>
  <c r="AG2273" i="1"/>
  <c r="AH2273" i="1"/>
  <c r="AI2273" i="1"/>
  <c r="AJ2273" i="1"/>
  <c r="AK2273" i="1"/>
  <c r="AL2273" i="1"/>
  <c r="AM2273" i="1"/>
  <c r="A2274" i="1"/>
  <c r="B2274" i="1"/>
  <c r="C2274" i="1"/>
  <c r="D2274" i="1"/>
  <c r="E2274" i="1"/>
  <c r="F2274" i="1"/>
  <c r="G2274" i="1"/>
  <c r="H2274" i="1"/>
  <c r="I2274" i="1"/>
  <c r="J2274" i="1"/>
  <c r="K2274" i="1"/>
  <c r="L2274" i="1"/>
  <c r="M2274" i="1"/>
  <c r="N2274" i="1"/>
  <c r="O2274" i="1"/>
  <c r="P2274" i="1"/>
  <c r="Q2274" i="1"/>
  <c r="R2274" i="1"/>
  <c r="S2274" i="1"/>
  <c r="T2274" i="1"/>
  <c r="U2274" i="1"/>
  <c r="V2274" i="1"/>
  <c r="W2274" i="1"/>
  <c r="X2274" i="1"/>
  <c r="Y2274" i="1"/>
  <c r="Z2274" i="1"/>
  <c r="AA2274" i="1"/>
  <c r="AB2274" i="1"/>
  <c r="AC2274" i="1"/>
  <c r="AD2274" i="1"/>
  <c r="AE2274" i="1"/>
  <c r="AF2274" i="1"/>
  <c r="AG2274" i="1"/>
  <c r="AH2274" i="1"/>
  <c r="AI2274" i="1"/>
  <c r="AJ2274" i="1"/>
  <c r="AK2274" i="1"/>
  <c r="AL2274" i="1"/>
  <c r="AM2274" i="1"/>
  <c r="A2275" i="1"/>
  <c r="B2275" i="1"/>
  <c r="C2275" i="1"/>
  <c r="D2275" i="1"/>
  <c r="E2275" i="1"/>
  <c r="F2275" i="1"/>
  <c r="G2275" i="1"/>
  <c r="H2275" i="1"/>
  <c r="I2275" i="1"/>
  <c r="J2275" i="1"/>
  <c r="K2275" i="1"/>
  <c r="L2275" i="1"/>
  <c r="M2275" i="1"/>
  <c r="N2275" i="1"/>
  <c r="O2275" i="1"/>
  <c r="P2275" i="1"/>
  <c r="Q2275" i="1"/>
  <c r="R2275" i="1"/>
  <c r="S2275" i="1"/>
  <c r="T2275" i="1"/>
  <c r="U2275" i="1"/>
  <c r="V2275" i="1"/>
  <c r="W2275" i="1"/>
  <c r="X2275" i="1"/>
  <c r="Y2275" i="1"/>
  <c r="Z2275" i="1"/>
  <c r="AA2275" i="1"/>
  <c r="AB2275" i="1"/>
  <c r="AC2275" i="1"/>
  <c r="AD2275" i="1"/>
  <c r="AE2275" i="1"/>
  <c r="AF2275" i="1"/>
  <c r="AG2275" i="1"/>
  <c r="AH2275" i="1"/>
  <c r="AI2275" i="1"/>
  <c r="AJ2275" i="1"/>
  <c r="AK2275" i="1"/>
  <c r="AL2275" i="1"/>
  <c r="AM2275" i="1"/>
  <c r="A2276" i="1"/>
  <c r="B2276" i="1"/>
  <c r="C2276" i="1"/>
  <c r="D2276" i="1"/>
  <c r="E2276" i="1"/>
  <c r="F2276" i="1"/>
  <c r="G2276" i="1"/>
  <c r="H2276" i="1"/>
  <c r="I2276" i="1"/>
  <c r="J2276" i="1"/>
  <c r="K2276" i="1"/>
  <c r="L2276" i="1"/>
  <c r="M2276" i="1"/>
  <c r="N2276" i="1"/>
  <c r="O2276" i="1"/>
  <c r="P2276" i="1"/>
  <c r="Q2276" i="1"/>
  <c r="R2276" i="1"/>
  <c r="S2276" i="1"/>
  <c r="T2276" i="1"/>
  <c r="U2276" i="1"/>
  <c r="V2276" i="1"/>
  <c r="W2276" i="1"/>
  <c r="X2276" i="1"/>
  <c r="Y2276" i="1"/>
  <c r="Z2276" i="1"/>
  <c r="AA2276" i="1"/>
  <c r="AB2276" i="1"/>
  <c r="AC2276" i="1"/>
  <c r="AD2276" i="1"/>
  <c r="AE2276" i="1"/>
  <c r="AF2276" i="1"/>
  <c r="AG2276" i="1"/>
  <c r="AH2276" i="1"/>
  <c r="AI2276" i="1"/>
  <c r="AJ2276" i="1"/>
  <c r="AK2276" i="1"/>
  <c r="AL2276" i="1"/>
  <c r="AM2276" i="1"/>
  <c r="A2277" i="1"/>
  <c r="B2277" i="1"/>
  <c r="C2277" i="1"/>
  <c r="D2277" i="1"/>
  <c r="E2277" i="1"/>
  <c r="F2277" i="1"/>
  <c r="G2277" i="1"/>
  <c r="H2277" i="1"/>
  <c r="I2277" i="1"/>
  <c r="J2277" i="1"/>
  <c r="K2277" i="1"/>
  <c r="L2277" i="1"/>
  <c r="M2277" i="1"/>
  <c r="N2277" i="1"/>
  <c r="O2277" i="1"/>
  <c r="P2277" i="1"/>
  <c r="Q2277" i="1"/>
  <c r="R2277" i="1"/>
  <c r="S2277" i="1"/>
  <c r="T2277" i="1"/>
  <c r="U2277" i="1"/>
  <c r="V2277" i="1"/>
  <c r="W2277" i="1"/>
  <c r="X2277" i="1"/>
  <c r="Y2277" i="1"/>
  <c r="Z2277" i="1"/>
  <c r="AA2277" i="1"/>
  <c r="AB2277" i="1"/>
  <c r="AC2277" i="1"/>
  <c r="AD2277" i="1"/>
  <c r="AE2277" i="1"/>
  <c r="AF2277" i="1"/>
  <c r="AG2277" i="1"/>
  <c r="AH2277" i="1"/>
  <c r="AI2277" i="1"/>
  <c r="AJ2277" i="1"/>
  <c r="AK2277" i="1"/>
  <c r="AL2277" i="1"/>
  <c r="AM2277" i="1"/>
  <c r="A2278" i="1"/>
  <c r="B2278" i="1"/>
  <c r="C2278" i="1"/>
  <c r="D2278" i="1"/>
  <c r="E2278" i="1"/>
  <c r="F2278" i="1"/>
  <c r="G2278" i="1"/>
  <c r="H2278" i="1"/>
  <c r="I2278" i="1"/>
  <c r="J2278" i="1"/>
  <c r="K2278" i="1"/>
  <c r="L2278" i="1"/>
  <c r="M2278" i="1"/>
  <c r="N2278" i="1"/>
  <c r="O2278" i="1"/>
  <c r="P2278" i="1"/>
  <c r="Q2278" i="1"/>
  <c r="R2278" i="1"/>
  <c r="S2278" i="1"/>
  <c r="T2278" i="1"/>
  <c r="U2278" i="1"/>
  <c r="V2278" i="1"/>
  <c r="W2278" i="1"/>
  <c r="X2278" i="1"/>
  <c r="Y2278" i="1"/>
  <c r="Z2278" i="1"/>
  <c r="AA2278" i="1"/>
  <c r="AB2278" i="1"/>
  <c r="AC2278" i="1"/>
  <c r="AD2278" i="1"/>
  <c r="AE2278" i="1"/>
  <c r="AF2278" i="1"/>
  <c r="AG2278" i="1"/>
  <c r="AH2278" i="1"/>
  <c r="AI2278" i="1"/>
  <c r="AJ2278" i="1"/>
  <c r="AK2278" i="1"/>
  <c r="AL2278" i="1"/>
  <c r="AM2278" i="1"/>
  <c r="A2279" i="1"/>
  <c r="B2279" i="1"/>
  <c r="C2279" i="1"/>
  <c r="D2279" i="1"/>
  <c r="E2279" i="1"/>
  <c r="F2279" i="1"/>
  <c r="G2279" i="1"/>
  <c r="H2279" i="1"/>
  <c r="I2279" i="1"/>
  <c r="J2279" i="1"/>
  <c r="K2279" i="1"/>
  <c r="L2279" i="1"/>
  <c r="M2279" i="1"/>
  <c r="N2279" i="1"/>
  <c r="O2279" i="1"/>
  <c r="P2279" i="1"/>
  <c r="Q2279" i="1"/>
  <c r="R2279" i="1"/>
  <c r="S2279" i="1"/>
  <c r="T2279" i="1"/>
  <c r="U2279" i="1"/>
  <c r="V2279" i="1"/>
  <c r="W2279" i="1"/>
  <c r="X2279" i="1"/>
  <c r="Y2279" i="1"/>
  <c r="Z2279" i="1"/>
  <c r="AA2279" i="1"/>
  <c r="AB2279" i="1"/>
  <c r="AC2279" i="1"/>
  <c r="AD2279" i="1"/>
  <c r="AE2279" i="1"/>
  <c r="AF2279" i="1"/>
  <c r="AG2279" i="1"/>
  <c r="AH2279" i="1"/>
  <c r="AI2279" i="1"/>
  <c r="AJ2279" i="1"/>
  <c r="AK2279" i="1"/>
  <c r="AL2279" i="1"/>
  <c r="AM2279" i="1"/>
  <c r="A2280" i="1"/>
  <c r="B2280" i="1"/>
  <c r="C2280" i="1"/>
  <c r="D2280" i="1"/>
  <c r="E2280" i="1"/>
  <c r="F2280" i="1"/>
  <c r="G2280" i="1"/>
  <c r="H2280" i="1"/>
  <c r="I2280" i="1"/>
  <c r="J2280" i="1"/>
  <c r="K2280" i="1"/>
  <c r="L2280" i="1"/>
  <c r="M2280" i="1"/>
  <c r="N2280" i="1"/>
  <c r="O2280" i="1"/>
  <c r="P2280" i="1"/>
  <c r="Q2280" i="1"/>
  <c r="R2280" i="1"/>
  <c r="S2280" i="1"/>
  <c r="T2280" i="1"/>
  <c r="U2280" i="1"/>
  <c r="V2280" i="1"/>
  <c r="W2280" i="1"/>
  <c r="X2280" i="1"/>
  <c r="Y2280" i="1"/>
  <c r="Z2280" i="1"/>
  <c r="AA2280" i="1"/>
  <c r="AB2280" i="1"/>
  <c r="AC2280" i="1"/>
  <c r="AD2280" i="1"/>
  <c r="AE2280" i="1"/>
  <c r="AF2280" i="1"/>
  <c r="AG2280" i="1"/>
  <c r="AH2280" i="1"/>
  <c r="AI2280" i="1"/>
  <c r="AJ2280" i="1"/>
  <c r="AK2280" i="1"/>
  <c r="AL2280" i="1"/>
  <c r="AM2280" i="1"/>
  <c r="A2281" i="1"/>
  <c r="B2281" i="1"/>
  <c r="C2281" i="1"/>
  <c r="D2281" i="1"/>
  <c r="E2281" i="1"/>
  <c r="F2281" i="1"/>
  <c r="G2281" i="1"/>
  <c r="H2281" i="1"/>
  <c r="I2281" i="1"/>
  <c r="J2281" i="1"/>
  <c r="K2281" i="1"/>
  <c r="L2281" i="1"/>
  <c r="M2281" i="1"/>
  <c r="N2281" i="1"/>
  <c r="O2281" i="1"/>
  <c r="P2281" i="1"/>
  <c r="Q2281" i="1"/>
  <c r="R2281" i="1"/>
  <c r="S2281" i="1"/>
  <c r="T2281" i="1"/>
  <c r="U2281" i="1"/>
  <c r="V2281" i="1"/>
  <c r="W2281" i="1"/>
  <c r="X2281" i="1"/>
  <c r="Y2281" i="1"/>
  <c r="Z2281" i="1"/>
  <c r="AA2281" i="1"/>
  <c r="AB2281" i="1"/>
  <c r="AC2281" i="1"/>
  <c r="AD2281" i="1"/>
  <c r="AE2281" i="1"/>
  <c r="AF2281" i="1"/>
  <c r="AG2281" i="1"/>
  <c r="AH2281" i="1"/>
  <c r="AI2281" i="1"/>
  <c r="AJ2281" i="1"/>
  <c r="AK2281" i="1"/>
  <c r="AL2281" i="1"/>
  <c r="AM2281" i="1"/>
  <c r="A2282" i="1"/>
  <c r="B2282" i="1"/>
  <c r="C2282" i="1"/>
  <c r="D2282" i="1"/>
  <c r="E2282" i="1"/>
  <c r="F2282" i="1"/>
  <c r="G2282" i="1"/>
  <c r="H2282" i="1"/>
  <c r="I2282" i="1"/>
  <c r="J2282" i="1"/>
  <c r="K2282" i="1"/>
  <c r="L2282" i="1"/>
  <c r="M2282" i="1"/>
  <c r="N2282" i="1"/>
  <c r="O2282" i="1"/>
  <c r="P2282" i="1"/>
  <c r="Q2282" i="1"/>
  <c r="R2282" i="1"/>
  <c r="S2282" i="1"/>
  <c r="T2282" i="1"/>
  <c r="U2282" i="1"/>
  <c r="V2282" i="1"/>
  <c r="W2282" i="1"/>
  <c r="X2282" i="1"/>
  <c r="Y2282" i="1"/>
  <c r="Z2282" i="1"/>
  <c r="AA2282" i="1"/>
  <c r="AB2282" i="1"/>
  <c r="AC2282" i="1"/>
  <c r="AD2282" i="1"/>
  <c r="AE2282" i="1"/>
  <c r="AF2282" i="1"/>
  <c r="AG2282" i="1"/>
  <c r="AH2282" i="1"/>
  <c r="AI2282" i="1"/>
  <c r="AJ2282" i="1"/>
  <c r="AK2282" i="1"/>
  <c r="AL2282" i="1"/>
  <c r="AM2282" i="1"/>
  <c r="A2283" i="1"/>
  <c r="B2283" i="1"/>
  <c r="C2283" i="1"/>
  <c r="D2283" i="1"/>
  <c r="E2283" i="1"/>
  <c r="F2283" i="1"/>
  <c r="G2283" i="1"/>
  <c r="H2283" i="1"/>
  <c r="I2283" i="1"/>
  <c r="J2283" i="1"/>
  <c r="K2283" i="1"/>
  <c r="L2283" i="1"/>
  <c r="M2283" i="1"/>
  <c r="N2283" i="1"/>
  <c r="O2283" i="1"/>
  <c r="P2283" i="1"/>
  <c r="Q2283" i="1"/>
  <c r="R2283" i="1"/>
  <c r="S2283" i="1"/>
  <c r="T2283" i="1"/>
  <c r="U2283" i="1"/>
  <c r="V2283" i="1"/>
  <c r="W2283" i="1"/>
  <c r="X2283" i="1"/>
  <c r="Y2283" i="1"/>
  <c r="Z2283" i="1"/>
  <c r="AA2283" i="1"/>
  <c r="AB2283" i="1"/>
  <c r="AC2283" i="1"/>
  <c r="AD2283" i="1"/>
  <c r="AE2283" i="1"/>
  <c r="AF2283" i="1"/>
  <c r="AG2283" i="1"/>
  <c r="AH2283" i="1"/>
  <c r="AI2283" i="1"/>
  <c r="AJ2283" i="1"/>
  <c r="AK2283" i="1"/>
  <c r="AL2283" i="1"/>
  <c r="AM2283" i="1"/>
  <c r="A2284" i="1"/>
  <c r="B2284" i="1"/>
  <c r="C2284" i="1"/>
  <c r="D2284" i="1"/>
  <c r="E2284" i="1"/>
  <c r="F2284" i="1"/>
  <c r="G2284" i="1"/>
  <c r="H2284" i="1"/>
  <c r="I2284" i="1"/>
  <c r="J2284" i="1"/>
  <c r="K2284" i="1"/>
  <c r="L2284" i="1"/>
  <c r="M2284" i="1"/>
  <c r="N2284" i="1"/>
  <c r="O2284" i="1"/>
  <c r="P2284" i="1"/>
  <c r="Q2284" i="1"/>
  <c r="R2284" i="1"/>
  <c r="S2284" i="1"/>
  <c r="T2284" i="1"/>
  <c r="U2284" i="1"/>
  <c r="V2284" i="1"/>
  <c r="W2284" i="1"/>
  <c r="X2284" i="1"/>
  <c r="Y2284" i="1"/>
  <c r="Z2284" i="1"/>
  <c r="AA2284" i="1"/>
  <c r="AB2284" i="1"/>
  <c r="AC2284" i="1"/>
  <c r="AD2284" i="1"/>
  <c r="AE2284" i="1"/>
  <c r="AF2284" i="1"/>
  <c r="AG2284" i="1"/>
  <c r="AH2284" i="1"/>
  <c r="AI2284" i="1"/>
  <c r="AJ2284" i="1"/>
  <c r="AK2284" i="1"/>
  <c r="AL2284" i="1"/>
  <c r="AM2284" i="1"/>
  <c r="A2285" i="1"/>
  <c r="B2285" i="1"/>
  <c r="C2285" i="1"/>
  <c r="D2285" i="1"/>
  <c r="E2285" i="1"/>
  <c r="F2285" i="1"/>
  <c r="G2285" i="1"/>
  <c r="H2285" i="1"/>
  <c r="I2285" i="1"/>
  <c r="J2285" i="1"/>
  <c r="K2285" i="1"/>
  <c r="L2285" i="1"/>
  <c r="M2285" i="1"/>
  <c r="N2285" i="1"/>
  <c r="O2285" i="1"/>
  <c r="P2285" i="1"/>
  <c r="Q2285" i="1"/>
  <c r="R2285" i="1"/>
  <c r="S2285" i="1"/>
  <c r="T2285" i="1"/>
  <c r="U2285" i="1"/>
  <c r="V2285" i="1"/>
  <c r="W2285" i="1"/>
  <c r="X2285" i="1"/>
  <c r="Y2285" i="1"/>
  <c r="Z2285" i="1"/>
  <c r="AA2285" i="1"/>
  <c r="AB2285" i="1"/>
  <c r="AC2285" i="1"/>
  <c r="AD2285" i="1"/>
  <c r="AE2285" i="1"/>
  <c r="AF2285" i="1"/>
  <c r="AG2285" i="1"/>
  <c r="AH2285" i="1"/>
  <c r="AI2285" i="1"/>
  <c r="AJ2285" i="1"/>
  <c r="AK2285" i="1"/>
  <c r="AL2285" i="1"/>
  <c r="AM2285" i="1"/>
  <c r="A2286" i="1"/>
  <c r="B2286" i="1"/>
  <c r="C2286" i="1"/>
  <c r="D2286" i="1"/>
  <c r="E2286" i="1"/>
  <c r="F2286" i="1"/>
  <c r="G2286" i="1"/>
  <c r="H2286" i="1"/>
  <c r="I2286" i="1"/>
  <c r="J2286" i="1"/>
  <c r="K2286" i="1"/>
  <c r="L2286" i="1"/>
  <c r="M2286" i="1"/>
  <c r="N2286" i="1"/>
  <c r="O2286" i="1"/>
  <c r="P2286" i="1"/>
  <c r="Q2286" i="1"/>
  <c r="R2286" i="1"/>
  <c r="S2286" i="1"/>
  <c r="T2286" i="1"/>
  <c r="U2286" i="1"/>
  <c r="V2286" i="1"/>
  <c r="W2286" i="1"/>
  <c r="X2286" i="1"/>
  <c r="Y2286" i="1"/>
  <c r="Z2286" i="1"/>
  <c r="AA2286" i="1"/>
  <c r="AB2286" i="1"/>
  <c r="AC2286" i="1"/>
  <c r="AD2286" i="1"/>
  <c r="AE2286" i="1"/>
  <c r="AF2286" i="1"/>
  <c r="AG2286" i="1"/>
  <c r="AH2286" i="1"/>
  <c r="AI2286" i="1"/>
  <c r="AJ2286" i="1"/>
  <c r="AK2286" i="1"/>
  <c r="AL2286" i="1"/>
  <c r="AM2286" i="1"/>
  <c r="A2287" i="1"/>
  <c r="B2287" i="1"/>
  <c r="C2287" i="1"/>
  <c r="D2287" i="1"/>
  <c r="E2287" i="1"/>
  <c r="F2287" i="1"/>
  <c r="G2287" i="1"/>
  <c r="H2287" i="1"/>
  <c r="I2287" i="1"/>
  <c r="J2287" i="1"/>
  <c r="K2287" i="1"/>
  <c r="L2287" i="1"/>
  <c r="M2287" i="1"/>
  <c r="N2287" i="1"/>
  <c r="O2287" i="1"/>
  <c r="P2287" i="1"/>
  <c r="Q2287" i="1"/>
  <c r="R2287" i="1"/>
  <c r="S2287" i="1"/>
  <c r="T2287" i="1"/>
  <c r="U2287" i="1"/>
  <c r="V2287" i="1"/>
  <c r="W2287" i="1"/>
  <c r="X2287" i="1"/>
  <c r="Y2287" i="1"/>
  <c r="Z2287" i="1"/>
  <c r="AA2287" i="1"/>
  <c r="AB2287" i="1"/>
  <c r="AC2287" i="1"/>
  <c r="AD2287" i="1"/>
  <c r="AE2287" i="1"/>
  <c r="AF2287" i="1"/>
  <c r="AG2287" i="1"/>
  <c r="AH2287" i="1"/>
  <c r="AI2287" i="1"/>
  <c r="AJ2287" i="1"/>
  <c r="AK2287" i="1"/>
  <c r="AL2287" i="1"/>
  <c r="AM2287" i="1"/>
  <c r="A2288" i="1"/>
  <c r="B2288" i="1"/>
  <c r="C2288" i="1"/>
  <c r="D2288" i="1"/>
  <c r="E2288" i="1"/>
  <c r="F2288" i="1"/>
  <c r="G2288" i="1"/>
  <c r="H2288" i="1"/>
  <c r="I2288" i="1"/>
  <c r="J2288" i="1"/>
  <c r="K2288" i="1"/>
  <c r="L2288" i="1"/>
  <c r="M2288" i="1"/>
  <c r="N2288" i="1"/>
  <c r="O2288" i="1"/>
  <c r="P2288" i="1"/>
  <c r="Q2288" i="1"/>
  <c r="R2288" i="1"/>
  <c r="S2288" i="1"/>
  <c r="T2288" i="1"/>
  <c r="U2288" i="1"/>
  <c r="V2288" i="1"/>
  <c r="W2288" i="1"/>
  <c r="X2288" i="1"/>
  <c r="Y2288" i="1"/>
  <c r="Z2288" i="1"/>
  <c r="AA2288" i="1"/>
  <c r="AB2288" i="1"/>
  <c r="AC2288" i="1"/>
  <c r="AD2288" i="1"/>
  <c r="AE2288" i="1"/>
  <c r="AF2288" i="1"/>
  <c r="AG2288" i="1"/>
  <c r="AH2288" i="1"/>
  <c r="AI2288" i="1"/>
  <c r="AJ2288" i="1"/>
  <c r="AK2288" i="1"/>
  <c r="AL2288" i="1"/>
  <c r="AM2288" i="1"/>
  <c r="A2289" i="1"/>
  <c r="B2289" i="1"/>
  <c r="C2289" i="1"/>
  <c r="D2289" i="1"/>
  <c r="E2289" i="1"/>
  <c r="F2289" i="1"/>
  <c r="G2289" i="1"/>
  <c r="H2289" i="1"/>
  <c r="I2289" i="1"/>
  <c r="J2289" i="1"/>
  <c r="K2289" i="1"/>
  <c r="L2289" i="1"/>
  <c r="M2289" i="1"/>
  <c r="N2289" i="1"/>
  <c r="O2289" i="1"/>
  <c r="P2289" i="1"/>
  <c r="Q2289" i="1"/>
  <c r="R2289" i="1"/>
  <c r="S2289" i="1"/>
  <c r="T2289" i="1"/>
  <c r="U2289" i="1"/>
  <c r="V2289" i="1"/>
  <c r="W2289" i="1"/>
  <c r="X2289" i="1"/>
  <c r="Y2289" i="1"/>
  <c r="Z2289" i="1"/>
  <c r="AA2289" i="1"/>
  <c r="AB2289" i="1"/>
  <c r="AC2289" i="1"/>
  <c r="AD2289" i="1"/>
  <c r="AE2289" i="1"/>
  <c r="AF2289" i="1"/>
  <c r="AG2289" i="1"/>
  <c r="AH2289" i="1"/>
  <c r="AI2289" i="1"/>
  <c r="AJ2289" i="1"/>
  <c r="AK2289" i="1"/>
  <c r="AL2289" i="1"/>
  <c r="AM2289" i="1"/>
  <c r="A2290" i="1"/>
  <c r="B2290" i="1"/>
  <c r="C2290" i="1"/>
  <c r="D2290" i="1"/>
  <c r="E2290" i="1"/>
  <c r="F2290" i="1"/>
  <c r="G2290" i="1"/>
  <c r="H2290" i="1"/>
  <c r="I2290" i="1"/>
  <c r="J2290" i="1"/>
  <c r="K2290" i="1"/>
  <c r="L2290" i="1"/>
  <c r="M2290" i="1"/>
  <c r="N2290" i="1"/>
  <c r="O2290" i="1"/>
  <c r="P2290" i="1"/>
  <c r="Q2290" i="1"/>
  <c r="R2290" i="1"/>
  <c r="S2290" i="1"/>
  <c r="T2290" i="1"/>
  <c r="U2290" i="1"/>
  <c r="V2290" i="1"/>
  <c r="W2290" i="1"/>
  <c r="X2290" i="1"/>
  <c r="Y2290" i="1"/>
  <c r="Z2290" i="1"/>
  <c r="AA2290" i="1"/>
  <c r="AB2290" i="1"/>
  <c r="AC2290" i="1"/>
  <c r="AD2290" i="1"/>
  <c r="AE2290" i="1"/>
  <c r="AF2290" i="1"/>
  <c r="AG2290" i="1"/>
  <c r="AH2290" i="1"/>
  <c r="AI2290" i="1"/>
  <c r="AJ2290" i="1"/>
  <c r="AK2290" i="1"/>
  <c r="AL2290" i="1"/>
  <c r="AM2290" i="1"/>
  <c r="A2291" i="1"/>
  <c r="B2291" i="1"/>
  <c r="C2291" i="1"/>
  <c r="D2291" i="1"/>
  <c r="E2291" i="1"/>
  <c r="F2291" i="1"/>
  <c r="G2291" i="1"/>
  <c r="H2291" i="1"/>
  <c r="I2291" i="1"/>
  <c r="J2291" i="1"/>
  <c r="K2291" i="1"/>
  <c r="L2291" i="1"/>
  <c r="M2291" i="1"/>
  <c r="N2291" i="1"/>
  <c r="O2291" i="1"/>
  <c r="P2291" i="1"/>
  <c r="Q2291" i="1"/>
  <c r="R2291" i="1"/>
  <c r="S2291" i="1"/>
  <c r="T2291" i="1"/>
  <c r="U2291" i="1"/>
  <c r="V2291" i="1"/>
  <c r="W2291" i="1"/>
  <c r="X2291" i="1"/>
  <c r="Y2291" i="1"/>
  <c r="Z2291" i="1"/>
  <c r="AA2291" i="1"/>
  <c r="AB2291" i="1"/>
  <c r="AC2291" i="1"/>
  <c r="AD2291" i="1"/>
  <c r="AE2291" i="1"/>
  <c r="AF2291" i="1"/>
  <c r="AG2291" i="1"/>
  <c r="AH2291" i="1"/>
  <c r="AI2291" i="1"/>
  <c r="AJ2291" i="1"/>
  <c r="AK2291" i="1"/>
  <c r="AL2291" i="1"/>
  <c r="AM2291" i="1"/>
  <c r="A2292" i="1"/>
  <c r="B2292" i="1"/>
  <c r="C2292" i="1"/>
  <c r="D2292" i="1"/>
  <c r="E2292" i="1"/>
  <c r="F2292" i="1"/>
  <c r="G2292" i="1"/>
  <c r="H2292" i="1"/>
  <c r="I2292" i="1"/>
  <c r="J2292" i="1"/>
  <c r="K2292" i="1"/>
  <c r="L2292" i="1"/>
  <c r="M2292" i="1"/>
  <c r="N2292" i="1"/>
  <c r="O2292" i="1"/>
  <c r="P2292" i="1"/>
  <c r="Q2292" i="1"/>
  <c r="R2292" i="1"/>
  <c r="S2292" i="1"/>
  <c r="T2292" i="1"/>
  <c r="U2292" i="1"/>
  <c r="V2292" i="1"/>
  <c r="W2292" i="1"/>
  <c r="X2292" i="1"/>
  <c r="Y2292" i="1"/>
  <c r="Z2292" i="1"/>
  <c r="AA2292" i="1"/>
  <c r="AB2292" i="1"/>
  <c r="AC2292" i="1"/>
  <c r="AD2292" i="1"/>
  <c r="AE2292" i="1"/>
  <c r="AF2292" i="1"/>
  <c r="AG2292" i="1"/>
  <c r="AH2292" i="1"/>
  <c r="AI2292" i="1"/>
  <c r="AJ2292" i="1"/>
  <c r="AK2292" i="1"/>
  <c r="AL2292" i="1"/>
  <c r="AM2292" i="1"/>
  <c r="A2293" i="1"/>
  <c r="B2293" i="1"/>
  <c r="C2293" i="1"/>
  <c r="D2293" i="1"/>
  <c r="E2293" i="1"/>
  <c r="F2293" i="1"/>
  <c r="G2293" i="1"/>
  <c r="H2293" i="1"/>
  <c r="I2293" i="1"/>
  <c r="J2293" i="1"/>
  <c r="K2293" i="1"/>
  <c r="L2293" i="1"/>
  <c r="M2293" i="1"/>
  <c r="N2293" i="1"/>
  <c r="O2293" i="1"/>
  <c r="P2293" i="1"/>
  <c r="Q2293" i="1"/>
  <c r="R2293" i="1"/>
  <c r="S2293" i="1"/>
  <c r="T2293" i="1"/>
  <c r="U2293" i="1"/>
  <c r="V2293" i="1"/>
  <c r="W2293" i="1"/>
  <c r="X2293" i="1"/>
  <c r="Y2293" i="1"/>
  <c r="Z2293" i="1"/>
  <c r="AA2293" i="1"/>
  <c r="AB2293" i="1"/>
  <c r="AC2293" i="1"/>
  <c r="AD2293" i="1"/>
  <c r="AE2293" i="1"/>
  <c r="AF2293" i="1"/>
  <c r="AG2293" i="1"/>
  <c r="AH2293" i="1"/>
  <c r="AI2293" i="1"/>
  <c r="AJ2293" i="1"/>
  <c r="AK2293" i="1"/>
  <c r="AL2293" i="1"/>
  <c r="AM2293" i="1"/>
  <c r="A2294" i="1"/>
  <c r="B2294" i="1"/>
  <c r="C2294" i="1"/>
  <c r="D2294" i="1"/>
  <c r="E2294" i="1"/>
  <c r="F2294" i="1"/>
  <c r="G2294" i="1"/>
  <c r="H2294" i="1"/>
  <c r="I2294" i="1"/>
  <c r="J2294" i="1"/>
  <c r="K2294" i="1"/>
  <c r="L2294" i="1"/>
  <c r="M2294" i="1"/>
  <c r="N2294" i="1"/>
  <c r="O2294" i="1"/>
  <c r="P2294" i="1"/>
  <c r="Q2294" i="1"/>
  <c r="R2294" i="1"/>
  <c r="S2294" i="1"/>
  <c r="T2294" i="1"/>
  <c r="U2294" i="1"/>
  <c r="V2294" i="1"/>
  <c r="W2294" i="1"/>
  <c r="X2294" i="1"/>
  <c r="Y2294" i="1"/>
  <c r="Z2294" i="1"/>
  <c r="AA2294" i="1"/>
  <c r="AB2294" i="1"/>
  <c r="AC2294" i="1"/>
  <c r="AD2294" i="1"/>
  <c r="AE2294" i="1"/>
  <c r="AF2294" i="1"/>
  <c r="AG2294" i="1"/>
  <c r="AH2294" i="1"/>
  <c r="AI2294" i="1"/>
  <c r="AJ2294" i="1"/>
  <c r="AK2294" i="1"/>
  <c r="AL2294" i="1"/>
  <c r="AM2294" i="1"/>
  <c r="A2295" i="1"/>
  <c r="B2295" i="1"/>
  <c r="C2295" i="1"/>
  <c r="D2295" i="1"/>
  <c r="E2295" i="1"/>
  <c r="F2295" i="1"/>
  <c r="G2295" i="1"/>
  <c r="H2295" i="1"/>
  <c r="I2295" i="1"/>
  <c r="J2295" i="1"/>
  <c r="K2295" i="1"/>
  <c r="L2295" i="1"/>
  <c r="M2295" i="1"/>
  <c r="N2295" i="1"/>
  <c r="O2295" i="1"/>
  <c r="P2295" i="1"/>
  <c r="Q2295" i="1"/>
  <c r="R2295" i="1"/>
  <c r="S2295" i="1"/>
  <c r="T2295" i="1"/>
  <c r="U2295" i="1"/>
  <c r="V2295" i="1"/>
  <c r="W2295" i="1"/>
  <c r="X2295" i="1"/>
  <c r="Y2295" i="1"/>
  <c r="Z2295" i="1"/>
  <c r="AA2295" i="1"/>
  <c r="AB2295" i="1"/>
  <c r="AC2295" i="1"/>
  <c r="AD2295" i="1"/>
  <c r="AE2295" i="1"/>
  <c r="AF2295" i="1"/>
  <c r="AG2295" i="1"/>
  <c r="AH2295" i="1"/>
  <c r="AI2295" i="1"/>
  <c r="AJ2295" i="1"/>
  <c r="AK2295" i="1"/>
  <c r="AL2295" i="1"/>
  <c r="AM2295" i="1"/>
  <c r="A2296" i="1"/>
  <c r="B2296" i="1"/>
  <c r="C2296" i="1"/>
  <c r="D2296" i="1"/>
  <c r="E2296" i="1"/>
  <c r="F2296" i="1"/>
  <c r="G2296" i="1"/>
  <c r="H2296" i="1"/>
  <c r="I2296" i="1"/>
  <c r="J2296" i="1"/>
  <c r="K2296" i="1"/>
  <c r="L2296" i="1"/>
  <c r="M2296" i="1"/>
  <c r="N2296" i="1"/>
  <c r="O2296" i="1"/>
  <c r="P2296" i="1"/>
  <c r="Q2296" i="1"/>
  <c r="R2296" i="1"/>
  <c r="S2296" i="1"/>
  <c r="T2296" i="1"/>
  <c r="U2296" i="1"/>
  <c r="V2296" i="1"/>
  <c r="W2296" i="1"/>
  <c r="X2296" i="1"/>
  <c r="Y2296" i="1"/>
  <c r="Z2296" i="1"/>
  <c r="AA2296" i="1"/>
  <c r="AB2296" i="1"/>
  <c r="AC2296" i="1"/>
  <c r="AD2296" i="1"/>
  <c r="AE2296" i="1"/>
  <c r="AF2296" i="1"/>
  <c r="AG2296" i="1"/>
  <c r="AH2296" i="1"/>
  <c r="AI2296" i="1"/>
  <c r="AJ2296" i="1"/>
  <c r="AK2296" i="1"/>
  <c r="AL2296" i="1"/>
  <c r="AM2296" i="1"/>
  <c r="A2297" i="1"/>
  <c r="B2297" i="1"/>
  <c r="C2297" i="1"/>
  <c r="D2297" i="1"/>
  <c r="E2297" i="1"/>
  <c r="F2297" i="1"/>
  <c r="G2297" i="1"/>
  <c r="H2297" i="1"/>
  <c r="I2297" i="1"/>
  <c r="J2297" i="1"/>
  <c r="K2297" i="1"/>
  <c r="L2297" i="1"/>
  <c r="M2297" i="1"/>
  <c r="N2297" i="1"/>
  <c r="O2297" i="1"/>
  <c r="P2297" i="1"/>
  <c r="Q2297" i="1"/>
  <c r="R2297" i="1"/>
  <c r="S2297" i="1"/>
  <c r="T2297" i="1"/>
  <c r="U2297" i="1"/>
  <c r="V2297" i="1"/>
  <c r="W2297" i="1"/>
  <c r="X2297" i="1"/>
  <c r="Y2297" i="1"/>
  <c r="Z2297" i="1"/>
  <c r="AA2297" i="1"/>
  <c r="AB2297" i="1"/>
  <c r="AC2297" i="1"/>
  <c r="AD2297" i="1"/>
  <c r="AE2297" i="1"/>
  <c r="AF2297" i="1"/>
  <c r="AG2297" i="1"/>
  <c r="AH2297" i="1"/>
  <c r="AI2297" i="1"/>
  <c r="AJ2297" i="1"/>
  <c r="AK2297" i="1"/>
  <c r="AL2297" i="1"/>
  <c r="AM2297" i="1"/>
  <c r="A2298" i="1"/>
  <c r="B2298" i="1"/>
  <c r="C2298" i="1"/>
  <c r="D2298" i="1"/>
  <c r="E2298" i="1"/>
  <c r="F2298" i="1"/>
  <c r="G2298" i="1"/>
  <c r="H2298" i="1"/>
  <c r="I2298" i="1"/>
  <c r="J2298" i="1"/>
  <c r="K2298" i="1"/>
  <c r="L2298" i="1"/>
  <c r="M2298" i="1"/>
  <c r="N2298" i="1"/>
  <c r="O2298" i="1"/>
  <c r="P2298" i="1"/>
  <c r="Q2298" i="1"/>
  <c r="R2298" i="1"/>
  <c r="S2298" i="1"/>
  <c r="T2298" i="1"/>
  <c r="U2298" i="1"/>
  <c r="V2298" i="1"/>
  <c r="W2298" i="1"/>
  <c r="X2298" i="1"/>
  <c r="Y2298" i="1"/>
  <c r="Z2298" i="1"/>
  <c r="AA2298" i="1"/>
  <c r="AB2298" i="1"/>
  <c r="AC2298" i="1"/>
  <c r="AD2298" i="1"/>
  <c r="AE2298" i="1"/>
  <c r="AF2298" i="1"/>
  <c r="AG2298" i="1"/>
  <c r="AH2298" i="1"/>
  <c r="AI2298" i="1"/>
  <c r="AJ2298" i="1"/>
  <c r="AK2298" i="1"/>
  <c r="AL2298" i="1"/>
  <c r="AM2298" i="1"/>
  <c r="A2299" i="1"/>
  <c r="B2299" i="1"/>
  <c r="C2299" i="1"/>
  <c r="D2299" i="1"/>
  <c r="E2299" i="1"/>
  <c r="F2299" i="1"/>
  <c r="G2299" i="1"/>
  <c r="H2299" i="1"/>
  <c r="I2299" i="1"/>
  <c r="J2299" i="1"/>
  <c r="K2299" i="1"/>
  <c r="L2299" i="1"/>
  <c r="M2299" i="1"/>
  <c r="N2299" i="1"/>
  <c r="O2299" i="1"/>
  <c r="P2299" i="1"/>
  <c r="Q2299" i="1"/>
  <c r="R2299" i="1"/>
  <c r="S2299" i="1"/>
  <c r="T2299" i="1"/>
  <c r="U2299" i="1"/>
  <c r="V2299" i="1"/>
  <c r="W2299" i="1"/>
  <c r="X2299" i="1"/>
  <c r="Y2299" i="1"/>
  <c r="Z2299" i="1"/>
  <c r="AA2299" i="1"/>
  <c r="AB2299" i="1"/>
  <c r="AC2299" i="1"/>
  <c r="AD2299" i="1"/>
  <c r="AE2299" i="1"/>
  <c r="AF2299" i="1"/>
  <c r="AG2299" i="1"/>
  <c r="AH2299" i="1"/>
  <c r="AI2299" i="1"/>
  <c r="AJ2299" i="1"/>
  <c r="AK2299" i="1"/>
  <c r="AL2299" i="1"/>
  <c r="AM2299" i="1"/>
  <c r="A2300" i="1"/>
  <c r="B2300" i="1"/>
  <c r="C2300" i="1"/>
  <c r="D2300" i="1"/>
  <c r="E2300" i="1"/>
  <c r="F2300" i="1"/>
  <c r="G2300" i="1"/>
  <c r="H2300" i="1"/>
  <c r="I2300" i="1"/>
  <c r="J2300" i="1"/>
  <c r="K2300" i="1"/>
  <c r="L2300" i="1"/>
  <c r="M2300" i="1"/>
  <c r="N2300" i="1"/>
  <c r="O2300" i="1"/>
  <c r="P2300" i="1"/>
  <c r="Q2300" i="1"/>
  <c r="R2300" i="1"/>
  <c r="S2300" i="1"/>
  <c r="T2300" i="1"/>
  <c r="U2300" i="1"/>
  <c r="V2300" i="1"/>
  <c r="W2300" i="1"/>
  <c r="X2300" i="1"/>
  <c r="Y2300" i="1"/>
  <c r="Z2300" i="1"/>
  <c r="AA2300" i="1"/>
  <c r="AB2300" i="1"/>
  <c r="AC2300" i="1"/>
  <c r="AD2300" i="1"/>
  <c r="AE2300" i="1"/>
  <c r="AF2300" i="1"/>
  <c r="AG2300" i="1"/>
  <c r="AH2300" i="1"/>
  <c r="AI2300" i="1"/>
  <c r="AJ2300" i="1"/>
  <c r="AK2300" i="1"/>
  <c r="AL2300" i="1"/>
  <c r="AM2300" i="1"/>
  <c r="A2301" i="1"/>
  <c r="B2301" i="1"/>
  <c r="C2301" i="1"/>
  <c r="D2301" i="1"/>
  <c r="E2301" i="1"/>
  <c r="F2301" i="1"/>
  <c r="G2301" i="1"/>
  <c r="H2301" i="1"/>
  <c r="I2301" i="1"/>
  <c r="J2301" i="1"/>
  <c r="K2301" i="1"/>
  <c r="L2301" i="1"/>
  <c r="M2301" i="1"/>
  <c r="N2301" i="1"/>
  <c r="O2301" i="1"/>
  <c r="P2301" i="1"/>
  <c r="Q2301" i="1"/>
  <c r="R2301" i="1"/>
  <c r="S2301" i="1"/>
  <c r="T2301" i="1"/>
  <c r="U2301" i="1"/>
  <c r="V2301" i="1"/>
  <c r="W2301" i="1"/>
  <c r="X2301" i="1"/>
  <c r="Y2301" i="1"/>
  <c r="Z2301" i="1"/>
  <c r="AA2301" i="1"/>
  <c r="AB2301" i="1"/>
  <c r="AC2301" i="1"/>
  <c r="AD2301" i="1"/>
  <c r="AE2301" i="1"/>
  <c r="AF2301" i="1"/>
  <c r="AG2301" i="1"/>
  <c r="AH2301" i="1"/>
  <c r="AI2301" i="1"/>
  <c r="AJ2301" i="1"/>
  <c r="AK2301" i="1"/>
  <c r="AL2301" i="1"/>
  <c r="AM2301" i="1"/>
  <c r="A2302" i="1"/>
  <c r="B2302" i="1"/>
  <c r="C2302" i="1"/>
  <c r="D2302" i="1"/>
  <c r="E2302" i="1"/>
  <c r="F2302" i="1"/>
  <c r="G2302" i="1"/>
  <c r="H2302" i="1"/>
  <c r="I2302" i="1"/>
  <c r="J2302" i="1"/>
  <c r="K2302" i="1"/>
  <c r="L2302" i="1"/>
  <c r="M2302" i="1"/>
  <c r="N2302" i="1"/>
  <c r="O2302" i="1"/>
  <c r="P2302" i="1"/>
  <c r="Q2302" i="1"/>
  <c r="R2302" i="1"/>
  <c r="S2302" i="1"/>
  <c r="T2302" i="1"/>
  <c r="U2302" i="1"/>
  <c r="V2302" i="1"/>
  <c r="W2302" i="1"/>
  <c r="X2302" i="1"/>
  <c r="Y2302" i="1"/>
  <c r="Z2302" i="1"/>
  <c r="AA2302" i="1"/>
  <c r="AB2302" i="1"/>
  <c r="AC2302" i="1"/>
  <c r="AD2302" i="1"/>
  <c r="AE2302" i="1"/>
  <c r="AF2302" i="1"/>
  <c r="AG2302" i="1"/>
  <c r="AH2302" i="1"/>
  <c r="AI2302" i="1"/>
  <c r="AJ2302" i="1"/>
  <c r="AK2302" i="1"/>
  <c r="AL2302" i="1"/>
  <c r="AM2302" i="1"/>
  <c r="A2303" i="1"/>
  <c r="B2303" i="1"/>
  <c r="C2303" i="1"/>
  <c r="D2303" i="1"/>
  <c r="E2303" i="1"/>
  <c r="F2303" i="1"/>
  <c r="G2303" i="1"/>
  <c r="H2303" i="1"/>
  <c r="I2303" i="1"/>
  <c r="J2303" i="1"/>
  <c r="K2303" i="1"/>
  <c r="L2303" i="1"/>
  <c r="M2303" i="1"/>
  <c r="N2303" i="1"/>
  <c r="O2303" i="1"/>
  <c r="P2303" i="1"/>
  <c r="Q2303" i="1"/>
  <c r="R2303" i="1"/>
  <c r="S2303" i="1"/>
  <c r="T2303" i="1"/>
  <c r="U2303" i="1"/>
  <c r="V2303" i="1"/>
  <c r="W2303" i="1"/>
  <c r="X2303" i="1"/>
  <c r="Y2303" i="1"/>
  <c r="Z2303" i="1"/>
  <c r="AA2303" i="1"/>
  <c r="AB2303" i="1"/>
  <c r="AC2303" i="1"/>
  <c r="AD2303" i="1"/>
  <c r="AE2303" i="1"/>
  <c r="AF2303" i="1"/>
  <c r="AG2303" i="1"/>
  <c r="AH2303" i="1"/>
  <c r="AI2303" i="1"/>
  <c r="AJ2303" i="1"/>
  <c r="AK2303" i="1"/>
  <c r="AL2303" i="1"/>
  <c r="AM2303" i="1"/>
  <c r="A2304" i="1"/>
  <c r="B2304" i="1"/>
  <c r="C2304" i="1"/>
  <c r="D2304" i="1"/>
  <c r="E2304" i="1"/>
  <c r="F2304" i="1"/>
  <c r="G2304" i="1"/>
  <c r="H2304" i="1"/>
  <c r="I2304" i="1"/>
  <c r="J2304" i="1"/>
  <c r="K2304" i="1"/>
  <c r="L2304" i="1"/>
  <c r="M2304" i="1"/>
  <c r="N2304" i="1"/>
  <c r="O2304" i="1"/>
  <c r="P2304" i="1"/>
  <c r="Q2304" i="1"/>
  <c r="R2304" i="1"/>
  <c r="S2304" i="1"/>
  <c r="T2304" i="1"/>
  <c r="U2304" i="1"/>
  <c r="V2304" i="1"/>
  <c r="W2304" i="1"/>
  <c r="X2304" i="1"/>
  <c r="Y2304" i="1"/>
  <c r="Z2304" i="1"/>
  <c r="AA2304" i="1"/>
  <c r="AB2304" i="1"/>
  <c r="AC2304" i="1"/>
  <c r="AD2304" i="1"/>
  <c r="AE2304" i="1"/>
  <c r="AF2304" i="1"/>
  <c r="AG2304" i="1"/>
  <c r="AH2304" i="1"/>
  <c r="AI2304" i="1"/>
  <c r="AJ2304" i="1"/>
  <c r="AK2304" i="1"/>
  <c r="AL2304" i="1"/>
  <c r="AM2304" i="1"/>
  <c r="A2305" i="1"/>
  <c r="B2305" i="1"/>
  <c r="C2305" i="1"/>
  <c r="D2305" i="1"/>
  <c r="E2305" i="1"/>
  <c r="F2305" i="1"/>
  <c r="G2305" i="1"/>
  <c r="H2305" i="1"/>
  <c r="I2305" i="1"/>
  <c r="J2305" i="1"/>
  <c r="K2305" i="1"/>
  <c r="L2305" i="1"/>
  <c r="M2305" i="1"/>
  <c r="N2305" i="1"/>
  <c r="O2305" i="1"/>
  <c r="P2305" i="1"/>
  <c r="Q2305" i="1"/>
  <c r="R2305" i="1"/>
  <c r="S2305" i="1"/>
  <c r="T2305" i="1"/>
  <c r="U2305" i="1"/>
  <c r="V2305" i="1"/>
  <c r="W2305" i="1"/>
  <c r="X2305" i="1"/>
  <c r="Y2305" i="1"/>
  <c r="Z2305" i="1"/>
  <c r="AA2305" i="1"/>
  <c r="AB2305" i="1"/>
  <c r="AC2305" i="1"/>
  <c r="AD2305" i="1"/>
  <c r="AE2305" i="1"/>
  <c r="AF2305" i="1"/>
  <c r="AG2305" i="1"/>
  <c r="AH2305" i="1"/>
  <c r="AI2305" i="1"/>
  <c r="AJ2305" i="1"/>
  <c r="AK2305" i="1"/>
  <c r="AL2305" i="1"/>
  <c r="AM2305" i="1"/>
  <c r="A2306" i="1"/>
  <c r="B2306" i="1"/>
  <c r="C2306" i="1"/>
  <c r="D2306" i="1"/>
  <c r="E2306" i="1"/>
  <c r="F2306" i="1"/>
  <c r="G2306" i="1"/>
  <c r="H2306" i="1"/>
  <c r="I2306" i="1"/>
  <c r="J2306" i="1"/>
  <c r="K2306" i="1"/>
  <c r="L2306" i="1"/>
  <c r="M2306" i="1"/>
  <c r="N2306" i="1"/>
  <c r="O2306" i="1"/>
  <c r="P2306" i="1"/>
  <c r="Q2306" i="1"/>
  <c r="R2306" i="1"/>
  <c r="S2306" i="1"/>
  <c r="T2306" i="1"/>
  <c r="U2306" i="1"/>
  <c r="V2306" i="1"/>
  <c r="W2306" i="1"/>
  <c r="X2306" i="1"/>
  <c r="Y2306" i="1"/>
  <c r="Z2306" i="1"/>
  <c r="AA2306" i="1"/>
  <c r="AB2306" i="1"/>
  <c r="AC2306" i="1"/>
  <c r="AD2306" i="1"/>
  <c r="AE2306" i="1"/>
  <c r="AF2306" i="1"/>
  <c r="AG2306" i="1"/>
  <c r="AH2306" i="1"/>
  <c r="AI2306" i="1"/>
  <c r="AJ2306" i="1"/>
  <c r="AK2306" i="1"/>
  <c r="AL2306" i="1"/>
  <c r="AM2306" i="1"/>
  <c r="A2307" i="1"/>
  <c r="B2307" i="1"/>
  <c r="C2307" i="1"/>
  <c r="D2307" i="1"/>
  <c r="E2307" i="1"/>
  <c r="F2307" i="1"/>
  <c r="G2307" i="1"/>
  <c r="H2307" i="1"/>
  <c r="I2307" i="1"/>
  <c r="J2307" i="1"/>
  <c r="K2307" i="1"/>
  <c r="L2307" i="1"/>
  <c r="M2307" i="1"/>
  <c r="N2307" i="1"/>
  <c r="O2307" i="1"/>
  <c r="P2307" i="1"/>
  <c r="Q2307" i="1"/>
  <c r="R2307" i="1"/>
  <c r="S2307" i="1"/>
  <c r="T2307" i="1"/>
  <c r="U2307" i="1"/>
  <c r="V2307" i="1"/>
  <c r="W2307" i="1"/>
  <c r="X2307" i="1"/>
  <c r="Y2307" i="1"/>
  <c r="Z2307" i="1"/>
  <c r="AA2307" i="1"/>
  <c r="AB2307" i="1"/>
  <c r="AC2307" i="1"/>
  <c r="AD2307" i="1"/>
  <c r="AE2307" i="1"/>
  <c r="AF2307" i="1"/>
  <c r="AG2307" i="1"/>
  <c r="AH2307" i="1"/>
  <c r="AI2307" i="1"/>
  <c r="AJ2307" i="1"/>
  <c r="AK2307" i="1"/>
  <c r="AL2307" i="1"/>
  <c r="AM2307" i="1"/>
  <c r="A2308" i="1"/>
  <c r="B2308" i="1"/>
  <c r="C2308" i="1"/>
  <c r="D2308" i="1"/>
  <c r="E2308" i="1"/>
  <c r="F2308" i="1"/>
  <c r="G2308" i="1"/>
  <c r="H2308" i="1"/>
  <c r="I2308" i="1"/>
  <c r="J2308" i="1"/>
  <c r="K2308" i="1"/>
  <c r="L2308" i="1"/>
  <c r="M2308" i="1"/>
  <c r="N2308" i="1"/>
  <c r="O2308" i="1"/>
  <c r="P2308" i="1"/>
  <c r="Q2308" i="1"/>
  <c r="R2308" i="1"/>
  <c r="S2308" i="1"/>
  <c r="T2308" i="1"/>
  <c r="U2308" i="1"/>
  <c r="V2308" i="1"/>
  <c r="W2308" i="1"/>
  <c r="X2308" i="1"/>
  <c r="Y2308" i="1"/>
  <c r="Z2308" i="1"/>
  <c r="AA2308" i="1"/>
  <c r="AB2308" i="1"/>
  <c r="AC2308" i="1"/>
  <c r="AD2308" i="1"/>
  <c r="AE2308" i="1"/>
  <c r="AF2308" i="1"/>
  <c r="AG2308" i="1"/>
  <c r="AH2308" i="1"/>
  <c r="AI2308" i="1"/>
  <c r="AJ2308" i="1"/>
  <c r="AK2308" i="1"/>
  <c r="AL2308" i="1"/>
  <c r="AM2308" i="1"/>
  <c r="A2309" i="1"/>
  <c r="B2309" i="1"/>
  <c r="C2309" i="1"/>
  <c r="D2309" i="1"/>
  <c r="E2309" i="1"/>
  <c r="F2309" i="1"/>
  <c r="G2309" i="1"/>
  <c r="H2309" i="1"/>
  <c r="I2309" i="1"/>
  <c r="J2309" i="1"/>
  <c r="K2309" i="1"/>
  <c r="L2309" i="1"/>
  <c r="M2309" i="1"/>
  <c r="N2309" i="1"/>
  <c r="O2309" i="1"/>
  <c r="P2309" i="1"/>
  <c r="Q2309" i="1"/>
  <c r="R2309" i="1"/>
  <c r="S2309" i="1"/>
  <c r="T2309" i="1"/>
  <c r="U2309" i="1"/>
  <c r="V2309" i="1"/>
  <c r="W2309" i="1"/>
  <c r="X2309" i="1"/>
  <c r="Y2309" i="1"/>
  <c r="Z2309" i="1"/>
  <c r="AA2309" i="1"/>
  <c r="AB2309" i="1"/>
  <c r="AC2309" i="1"/>
  <c r="AD2309" i="1"/>
  <c r="AE2309" i="1"/>
  <c r="AF2309" i="1"/>
  <c r="AG2309" i="1"/>
  <c r="AH2309" i="1"/>
  <c r="AI2309" i="1"/>
  <c r="AJ2309" i="1"/>
  <c r="AK2309" i="1"/>
  <c r="AL2309" i="1"/>
  <c r="AM2309" i="1"/>
  <c r="A2310" i="1"/>
  <c r="B2310" i="1"/>
  <c r="C2310" i="1"/>
  <c r="D2310" i="1"/>
  <c r="E2310" i="1"/>
  <c r="F2310" i="1"/>
  <c r="G2310" i="1"/>
  <c r="H2310" i="1"/>
  <c r="I2310" i="1"/>
  <c r="J2310" i="1"/>
  <c r="K2310" i="1"/>
  <c r="L2310" i="1"/>
  <c r="M2310" i="1"/>
  <c r="N2310" i="1"/>
  <c r="O2310" i="1"/>
  <c r="P2310" i="1"/>
  <c r="Q2310" i="1"/>
  <c r="R2310" i="1"/>
  <c r="S2310" i="1"/>
  <c r="T2310" i="1"/>
  <c r="U2310" i="1"/>
  <c r="V2310" i="1"/>
  <c r="W2310" i="1"/>
  <c r="X2310" i="1"/>
  <c r="Y2310" i="1"/>
  <c r="Z2310" i="1"/>
  <c r="AA2310" i="1"/>
  <c r="AB2310" i="1"/>
  <c r="AC2310" i="1"/>
  <c r="AD2310" i="1"/>
  <c r="AE2310" i="1"/>
  <c r="AF2310" i="1"/>
  <c r="AG2310" i="1"/>
  <c r="AH2310" i="1"/>
  <c r="AI2310" i="1"/>
  <c r="AJ2310" i="1"/>
  <c r="AK2310" i="1"/>
  <c r="AL2310" i="1"/>
  <c r="AM2310" i="1"/>
  <c r="A2311" i="1"/>
  <c r="B2311" i="1"/>
  <c r="C2311" i="1"/>
  <c r="D2311" i="1"/>
  <c r="E2311" i="1"/>
  <c r="F2311" i="1"/>
  <c r="G2311" i="1"/>
  <c r="H2311" i="1"/>
  <c r="I2311" i="1"/>
  <c r="J2311" i="1"/>
  <c r="K2311" i="1"/>
  <c r="L2311" i="1"/>
  <c r="M2311" i="1"/>
  <c r="N2311" i="1"/>
  <c r="O2311" i="1"/>
  <c r="P2311" i="1"/>
  <c r="Q2311" i="1"/>
  <c r="R2311" i="1"/>
  <c r="S2311" i="1"/>
  <c r="T2311" i="1"/>
  <c r="U2311" i="1"/>
  <c r="V2311" i="1"/>
  <c r="W2311" i="1"/>
  <c r="X2311" i="1"/>
  <c r="Y2311" i="1"/>
  <c r="Z2311" i="1"/>
  <c r="AA2311" i="1"/>
  <c r="AB2311" i="1"/>
  <c r="AC2311" i="1"/>
  <c r="AD2311" i="1"/>
  <c r="AE2311" i="1"/>
  <c r="AF2311" i="1"/>
  <c r="AG2311" i="1"/>
  <c r="AH2311" i="1"/>
  <c r="AI2311" i="1"/>
  <c r="AJ2311" i="1"/>
  <c r="AK2311" i="1"/>
  <c r="AL2311" i="1"/>
  <c r="AM2311" i="1"/>
  <c r="A2312" i="1"/>
  <c r="B2312" i="1"/>
  <c r="C2312" i="1"/>
  <c r="D2312" i="1"/>
  <c r="E2312" i="1"/>
  <c r="F2312" i="1"/>
  <c r="G2312" i="1"/>
  <c r="H2312" i="1"/>
  <c r="I2312" i="1"/>
  <c r="J2312" i="1"/>
  <c r="K2312" i="1"/>
  <c r="L2312" i="1"/>
  <c r="M2312" i="1"/>
  <c r="N2312" i="1"/>
  <c r="O2312" i="1"/>
  <c r="P2312" i="1"/>
  <c r="Q2312" i="1"/>
  <c r="R2312" i="1"/>
  <c r="S2312" i="1"/>
  <c r="T2312" i="1"/>
  <c r="U2312" i="1"/>
  <c r="V2312" i="1"/>
  <c r="W2312" i="1"/>
  <c r="X2312" i="1"/>
  <c r="Y2312" i="1"/>
  <c r="Z2312" i="1"/>
  <c r="AA2312" i="1"/>
  <c r="AB2312" i="1"/>
  <c r="AC2312" i="1"/>
  <c r="AD2312" i="1"/>
  <c r="AE2312" i="1"/>
  <c r="AF2312" i="1"/>
  <c r="AG2312" i="1"/>
  <c r="AH2312" i="1"/>
  <c r="AI2312" i="1"/>
  <c r="AJ2312" i="1"/>
  <c r="AK2312" i="1"/>
  <c r="AL2312" i="1"/>
  <c r="AM2312" i="1"/>
  <c r="A2313" i="1"/>
  <c r="B2313" i="1"/>
  <c r="C2313" i="1"/>
  <c r="D2313" i="1"/>
  <c r="E2313" i="1"/>
  <c r="F2313" i="1"/>
  <c r="G2313" i="1"/>
  <c r="H2313" i="1"/>
  <c r="I2313" i="1"/>
  <c r="J2313" i="1"/>
  <c r="K2313" i="1"/>
  <c r="L2313" i="1"/>
  <c r="M2313" i="1"/>
  <c r="N2313" i="1"/>
  <c r="O2313" i="1"/>
  <c r="P2313" i="1"/>
  <c r="Q2313" i="1"/>
  <c r="R2313" i="1"/>
  <c r="S2313" i="1"/>
  <c r="T2313" i="1"/>
  <c r="U2313" i="1"/>
  <c r="V2313" i="1"/>
  <c r="W2313" i="1"/>
  <c r="X2313" i="1"/>
  <c r="Y2313" i="1"/>
  <c r="Z2313" i="1"/>
  <c r="AA2313" i="1"/>
  <c r="AB2313" i="1"/>
  <c r="AC2313" i="1"/>
  <c r="AD2313" i="1"/>
  <c r="AE2313" i="1"/>
  <c r="AF2313" i="1"/>
  <c r="AG2313" i="1"/>
  <c r="AH2313" i="1"/>
  <c r="AI2313" i="1"/>
  <c r="AJ2313" i="1"/>
  <c r="AK2313" i="1"/>
  <c r="AL2313" i="1"/>
  <c r="AM2313" i="1"/>
  <c r="A2314" i="1"/>
  <c r="B2314" i="1"/>
  <c r="C2314" i="1"/>
  <c r="D2314" i="1"/>
  <c r="E2314" i="1"/>
  <c r="F2314" i="1"/>
  <c r="G2314" i="1"/>
  <c r="H2314" i="1"/>
  <c r="I2314" i="1"/>
  <c r="J2314" i="1"/>
  <c r="K2314" i="1"/>
  <c r="L2314" i="1"/>
  <c r="M2314" i="1"/>
  <c r="N2314" i="1"/>
  <c r="O2314" i="1"/>
  <c r="P2314" i="1"/>
  <c r="Q2314" i="1"/>
  <c r="R2314" i="1"/>
  <c r="S2314" i="1"/>
  <c r="T2314" i="1"/>
  <c r="U2314" i="1"/>
  <c r="V2314" i="1"/>
  <c r="W2314" i="1"/>
  <c r="X2314" i="1"/>
  <c r="Y2314" i="1"/>
  <c r="Z2314" i="1"/>
  <c r="AA2314" i="1"/>
  <c r="AB2314" i="1"/>
  <c r="AC2314" i="1"/>
  <c r="AD2314" i="1"/>
  <c r="AE2314" i="1"/>
  <c r="AF2314" i="1"/>
  <c r="AG2314" i="1"/>
  <c r="AH2314" i="1"/>
  <c r="AI2314" i="1"/>
  <c r="AJ2314" i="1"/>
  <c r="AK2314" i="1"/>
  <c r="AL2314" i="1"/>
  <c r="AM2314" i="1"/>
  <c r="A2315" i="1"/>
  <c r="B2315" i="1"/>
  <c r="C2315" i="1"/>
  <c r="D2315" i="1"/>
  <c r="E2315" i="1"/>
  <c r="F2315" i="1"/>
  <c r="G2315" i="1"/>
  <c r="H2315" i="1"/>
  <c r="I2315" i="1"/>
  <c r="J2315" i="1"/>
  <c r="K2315" i="1"/>
  <c r="L2315" i="1"/>
  <c r="M2315" i="1"/>
  <c r="N2315" i="1"/>
  <c r="O2315" i="1"/>
  <c r="P2315" i="1"/>
  <c r="Q2315" i="1"/>
  <c r="R2315" i="1"/>
  <c r="S2315" i="1"/>
  <c r="T2315" i="1"/>
  <c r="U2315" i="1"/>
  <c r="V2315" i="1"/>
  <c r="W2315" i="1"/>
  <c r="X2315" i="1"/>
  <c r="Y2315" i="1"/>
  <c r="Z2315" i="1"/>
  <c r="AA2315" i="1"/>
  <c r="AB2315" i="1"/>
  <c r="AC2315" i="1"/>
  <c r="AD2315" i="1"/>
  <c r="AE2315" i="1"/>
  <c r="AF2315" i="1"/>
  <c r="AG2315" i="1"/>
  <c r="AH2315" i="1"/>
  <c r="AI2315" i="1"/>
  <c r="AJ2315" i="1"/>
  <c r="AK2315" i="1"/>
  <c r="AL2315" i="1"/>
  <c r="AM2315" i="1"/>
  <c r="A2316" i="1"/>
  <c r="B2316" i="1"/>
  <c r="C2316" i="1"/>
  <c r="D2316" i="1"/>
  <c r="E2316" i="1"/>
  <c r="F2316" i="1"/>
  <c r="G2316" i="1"/>
  <c r="H2316" i="1"/>
  <c r="I2316" i="1"/>
  <c r="J2316" i="1"/>
  <c r="K2316" i="1"/>
  <c r="L2316" i="1"/>
  <c r="M2316" i="1"/>
  <c r="N2316" i="1"/>
  <c r="O2316" i="1"/>
  <c r="P2316" i="1"/>
  <c r="Q2316" i="1"/>
  <c r="R2316" i="1"/>
  <c r="S2316" i="1"/>
  <c r="T2316" i="1"/>
  <c r="U2316" i="1"/>
  <c r="V2316" i="1"/>
  <c r="W2316" i="1"/>
  <c r="X2316" i="1"/>
  <c r="Y2316" i="1"/>
  <c r="Z2316" i="1"/>
  <c r="AA2316" i="1"/>
  <c r="AB2316" i="1"/>
  <c r="AC2316" i="1"/>
  <c r="AD2316" i="1"/>
  <c r="AE2316" i="1"/>
  <c r="AF2316" i="1"/>
  <c r="AG2316" i="1"/>
  <c r="AH2316" i="1"/>
  <c r="AI2316" i="1"/>
  <c r="AJ2316" i="1"/>
  <c r="AK2316" i="1"/>
  <c r="AL2316" i="1"/>
  <c r="AM2316" i="1"/>
  <c r="A2317" i="1"/>
  <c r="B2317" i="1"/>
  <c r="C2317" i="1"/>
  <c r="D2317" i="1"/>
  <c r="E2317" i="1"/>
  <c r="F2317" i="1"/>
  <c r="G2317" i="1"/>
  <c r="H2317" i="1"/>
  <c r="I2317" i="1"/>
  <c r="J2317" i="1"/>
  <c r="K2317" i="1"/>
  <c r="L2317" i="1"/>
  <c r="M2317" i="1"/>
  <c r="N2317" i="1"/>
  <c r="O2317" i="1"/>
  <c r="P2317" i="1"/>
  <c r="Q2317" i="1"/>
  <c r="R2317" i="1"/>
  <c r="S2317" i="1"/>
  <c r="T2317" i="1"/>
  <c r="U2317" i="1"/>
  <c r="V2317" i="1"/>
  <c r="W2317" i="1"/>
  <c r="X2317" i="1"/>
  <c r="Y2317" i="1"/>
  <c r="Z2317" i="1"/>
  <c r="AA2317" i="1"/>
  <c r="AB2317" i="1"/>
  <c r="AC2317" i="1"/>
  <c r="AD2317" i="1"/>
  <c r="AE2317" i="1"/>
  <c r="AF2317" i="1"/>
  <c r="AG2317" i="1"/>
  <c r="AH2317" i="1"/>
  <c r="AI2317" i="1"/>
  <c r="AJ2317" i="1"/>
  <c r="AK2317" i="1"/>
  <c r="AL2317" i="1"/>
  <c r="AM2317" i="1"/>
  <c r="A2318" i="1"/>
  <c r="B2318" i="1"/>
  <c r="C2318" i="1"/>
  <c r="D2318" i="1"/>
  <c r="E2318" i="1"/>
  <c r="F2318" i="1"/>
  <c r="G2318" i="1"/>
  <c r="H2318" i="1"/>
  <c r="I2318" i="1"/>
  <c r="J2318" i="1"/>
  <c r="K2318" i="1"/>
  <c r="L2318" i="1"/>
  <c r="M2318" i="1"/>
  <c r="N2318" i="1"/>
  <c r="O2318" i="1"/>
  <c r="P2318" i="1"/>
  <c r="Q2318" i="1"/>
  <c r="R2318" i="1"/>
  <c r="S2318" i="1"/>
  <c r="T2318" i="1"/>
  <c r="U2318" i="1"/>
  <c r="V2318" i="1"/>
  <c r="W2318" i="1"/>
  <c r="X2318" i="1"/>
  <c r="Y2318" i="1"/>
  <c r="Z2318" i="1"/>
  <c r="AA2318" i="1"/>
  <c r="AB2318" i="1"/>
  <c r="AC2318" i="1"/>
  <c r="AD2318" i="1"/>
  <c r="AE2318" i="1"/>
  <c r="AF2318" i="1"/>
  <c r="AG2318" i="1"/>
  <c r="AH2318" i="1"/>
  <c r="AI2318" i="1"/>
  <c r="AJ2318" i="1"/>
  <c r="AK2318" i="1"/>
  <c r="AL2318" i="1"/>
  <c r="AM2318" i="1"/>
  <c r="A2319" i="1"/>
  <c r="B2319" i="1"/>
  <c r="C2319" i="1"/>
  <c r="D2319" i="1"/>
  <c r="E2319" i="1"/>
  <c r="F2319" i="1"/>
  <c r="G2319" i="1"/>
  <c r="H2319" i="1"/>
  <c r="I2319" i="1"/>
  <c r="J2319" i="1"/>
  <c r="K2319" i="1"/>
  <c r="L2319" i="1"/>
  <c r="M2319" i="1"/>
  <c r="N2319" i="1"/>
  <c r="O2319" i="1"/>
  <c r="P2319" i="1"/>
  <c r="Q2319" i="1"/>
  <c r="R2319" i="1"/>
  <c r="S2319" i="1"/>
  <c r="T2319" i="1"/>
  <c r="U2319" i="1"/>
  <c r="V2319" i="1"/>
  <c r="W2319" i="1"/>
  <c r="X2319" i="1"/>
  <c r="Y2319" i="1"/>
  <c r="Z2319" i="1"/>
  <c r="AA2319" i="1"/>
  <c r="AB2319" i="1"/>
  <c r="AC2319" i="1"/>
  <c r="AD2319" i="1"/>
  <c r="AE2319" i="1"/>
  <c r="AF2319" i="1"/>
  <c r="AG2319" i="1"/>
  <c r="AH2319" i="1"/>
  <c r="AI2319" i="1"/>
  <c r="AJ2319" i="1"/>
  <c r="AK2319" i="1"/>
  <c r="AL2319" i="1"/>
  <c r="AM2319" i="1"/>
  <c r="A2320" i="1"/>
  <c r="B2320" i="1"/>
  <c r="C2320" i="1"/>
  <c r="D2320" i="1"/>
  <c r="E2320" i="1"/>
  <c r="F2320" i="1"/>
  <c r="G2320" i="1"/>
  <c r="H2320" i="1"/>
  <c r="I2320" i="1"/>
  <c r="J2320" i="1"/>
  <c r="K2320" i="1"/>
  <c r="L2320" i="1"/>
  <c r="M2320" i="1"/>
  <c r="N2320" i="1"/>
  <c r="O2320" i="1"/>
  <c r="P2320" i="1"/>
  <c r="Q2320" i="1"/>
  <c r="R2320" i="1"/>
  <c r="S2320" i="1"/>
  <c r="T2320" i="1"/>
  <c r="U2320" i="1"/>
  <c r="V2320" i="1"/>
  <c r="W2320" i="1"/>
  <c r="X2320" i="1"/>
  <c r="Y2320" i="1"/>
  <c r="Z2320" i="1"/>
  <c r="AA2320" i="1"/>
  <c r="AB2320" i="1"/>
  <c r="AC2320" i="1"/>
  <c r="AD2320" i="1"/>
  <c r="AE2320" i="1"/>
  <c r="AF2320" i="1"/>
  <c r="AG2320" i="1"/>
  <c r="AH2320" i="1"/>
  <c r="AI2320" i="1"/>
  <c r="AJ2320" i="1"/>
  <c r="AK2320" i="1"/>
  <c r="AL2320" i="1"/>
  <c r="AM2320" i="1"/>
  <c r="A2321" i="1"/>
  <c r="B2321" i="1"/>
  <c r="C2321" i="1"/>
  <c r="D2321" i="1"/>
  <c r="E2321" i="1"/>
  <c r="F2321" i="1"/>
  <c r="G2321" i="1"/>
  <c r="H2321" i="1"/>
  <c r="I2321" i="1"/>
  <c r="J2321" i="1"/>
  <c r="K2321" i="1"/>
  <c r="L2321" i="1"/>
  <c r="M2321" i="1"/>
  <c r="N2321" i="1"/>
  <c r="O2321" i="1"/>
  <c r="P2321" i="1"/>
  <c r="Q2321" i="1"/>
  <c r="R2321" i="1"/>
  <c r="S2321" i="1"/>
  <c r="T2321" i="1"/>
  <c r="U2321" i="1"/>
  <c r="V2321" i="1"/>
  <c r="W2321" i="1"/>
  <c r="X2321" i="1"/>
  <c r="Y2321" i="1"/>
  <c r="Z2321" i="1"/>
  <c r="AA2321" i="1"/>
  <c r="AB2321" i="1"/>
  <c r="AC2321" i="1"/>
  <c r="AD2321" i="1"/>
  <c r="AE2321" i="1"/>
  <c r="AF2321" i="1"/>
  <c r="AG2321" i="1"/>
  <c r="AH2321" i="1"/>
  <c r="AI2321" i="1"/>
  <c r="AJ2321" i="1"/>
  <c r="AK2321" i="1"/>
  <c r="AL2321" i="1"/>
  <c r="AM2321" i="1"/>
  <c r="A2322" i="1"/>
  <c r="B2322" i="1"/>
  <c r="C2322" i="1"/>
  <c r="D2322" i="1"/>
  <c r="E2322" i="1"/>
  <c r="F2322" i="1"/>
  <c r="G2322" i="1"/>
  <c r="H2322" i="1"/>
  <c r="I2322" i="1"/>
  <c r="J2322" i="1"/>
  <c r="K2322" i="1"/>
  <c r="L2322" i="1"/>
  <c r="M2322" i="1"/>
  <c r="N2322" i="1"/>
  <c r="O2322" i="1"/>
  <c r="P2322" i="1"/>
  <c r="Q2322" i="1"/>
  <c r="R2322" i="1"/>
  <c r="S2322" i="1"/>
  <c r="T2322" i="1"/>
  <c r="U2322" i="1"/>
  <c r="V2322" i="1"/>
  <c r="W2322" i="1"/>
  <c r="X2322" i="1"/>
  <c r="Y2322" i="1"/>
  <c r="Z2322" i="1"/>
  <c r="AA2322" i="1"/>
  <c r="AB2322" i="1"/>
  <c r="AC2322" i="1"/>
  <c r="AD2322" i="1"/>
  <c r="AE2322" i="1"/>
  <c r="AF2322" i="1"/>
  <c r="AG2322" i="1"/>
  <c r="AH2322" i="1"/>
  <c r="AI2322" i="1"/>
  <c r="AJ2322" i="1"/>
  <c r="AK2322" i="1"/>
  <c r="AL2322" i="1"/>
  <c r="AM2322" i="1"/>
  <c r="A2323" i="1"/>
  <c r="B2323" i="1"/>
  <c r="C2323" i="1"/>
  <c r="D2323" i="1"/>
  <c r="E2323" i="1"/>
  <c r="F2323" i="1"/>
  <c r="G2323" i="1"/>
  <c r="H2323" i="1"/>
  <c r="I2323" i="1"/>
  <c r="J2323" i="1"/>
  <c r="K2323" i="1"/>
  <c r="L2323" i="1"/>
  <c r="M2323" i="1"/>
  <c r="N2323" i="1"/>
  <c r="O2323" i="1"/>
  <c r="P2323" i="1"/>
  <c r="Q2323" i="1"/>
  <c r="R2323" i="1"/>
  <c r="S2323" i="1"/>
  <c r="T2323" i="1"/>
  <c r="U2323" i="1"/>
  <c r="V2323" i="1"/>
  <c r="W2323" i="1"/>
  <c r="X2323" i="1"/>
  <c r="Y2323" i="1"/>
  <c r="Z2323" i="1"/>
  <c r="AA2323" i="1"/>
  <c r="AB2323" i="1"/>
  <c r="AC2323" i="1"/>
  <c r="AD2323" i="1"/>
  <c r="AE2323" i="1"/>
  <c r="AF2323" i="1"/>
  <c r="AG2323" i="1"/>
  <c r="AH2323" i="1"/>
  <c r="AI2323" i="1"/>
  <c r="AJ2323" i="1"/>
  <c r="AK2323" i="1"/>
  <c r="AL2323" i="1"/>
  <c r="AM2323" i="1"/>
  <c r="A2324" i="1"/>
  <c r="B2324" i="1"/>
  <c r="C2324" i="1"/>
  <c r="D2324" i="1"/>
  <c r="E2324" i="1"/>
  <c r="F2324" i="1"/>
  <c r="G2324" i="1"/>
  <c r="H2324" i="1"/>
  <c r="I2324" i="1"/>
  <c r="J2324" i="1"/>
  <c r="K2324" i="1"/>
  <c r="L2324" i="1"/>
  <c r="M2324" i="1"/>
  <c r="N2324" i="1"/>
  <c r="O2324" i="1"/>
  <c r="P2324" i="1"/>
  <c r="Q2324" i="1"/>
  <c r="R2324" i="1"/>
  <c r="S2324" i="1"/>
  <c r="T2324" i="1"/>
  <c r="U2324" i="1"/>
  <c r="V2324" i="1"/>
  <c r="W2324" i="1"/>
  <c r="X2324" i="1"/>
  <c r="Y2324" i="1"/>
  <c r="Z2324" i="1"/>
  <c r="AA2324" i="1"/>
  <c r="AB2324" i="1"/>
  <c r="AC2324" i="1"/>
  <c r="AD2324" i="1"/>
  <c r="AE2324" i="1"/>
  <c r="AF2324" i="1"/>
  <c r="AG2324" i="1"/>
  <c r="AH2324" i="1"/>
  <c r="AI2324" i="1"/>
  <c r="AJ2324" i="1"/>
  <c r="AK2324" i="1"/>
  <c r="AL2324" i="1"/>
  <c r="AM2324" i="1"/>
  <c r="A2325" i="1"/>
  <c r="B2325" i="1"/>
  <c r="C2325" i="1"/>
  <c r="D2325" i="1"/>
  <c r="E2325" i="1"/>
  <c r="F2325" i="1"/>
  <c r="G2325" i="1"/>
  <c r="H2325" i="1"/>
  <c r="I2325" i="1"/>
  <c r="J2325" i="1"/>
  <c r="K2325" i="1"/>
  <c r="L2325" i="1"/>
  <c r="M2325" i="1"/>
  <c r="N2325" i="1"/>
  <c r="O2325" i="1"/>
  <c r="P2325" i="1"/>
  <c r="Q2325" i="1"/>
  <c r="R2325" i="1"/>
  <c r="S2325" i="1"/>
  <c r="T2325" i="1"/>
  <c r="U2325" i="1"/>
  <c r="V2325" i="1"/>
  <c r="W2325" i="1"/>
  <c r="X2325" i="1"/>
  <c r="Y2325" i="1"/>
  <c r="Z2325" i="1"/>
  <c r="AA2325" i="1"/>
  <c r="AB2325" i="1"/>
  <c r="AC2325" i="1"/>
  <c r="AD2325" i="1"/>
  <c r="AE2325" i="1"/>
  <c r="AF2325" i="1"/>
  <c r="AG2325" i="1"/>
  <c r="AH2325" i="1"/>
  <c r="AI2325" i="1"/>
  <c r="AJ2325" i="1"/>
  <c r="AK2325" i="1"/>
  <c r="AL2325" i="1"/>
  <c r="AM2325" i="1"/>
  <c r="A2326" i="1"/>
  <c r="B2326" i="1"/>
  <c r="C2326" i="1"/>
  <c r="D2326" i="1"/>
  <c r="E2326" i="1"/>
  <c r="F2326" i="1"/>
  <c r="G2326" i="1"/>
  <c r="H2326" i="1"/>
  <c r="I2326" i="1"/>
  <c r="J2326" i="1"/>
  <c r="K2326" i="1"/>
  <c r="L2326" i="1"/>
  <c r="M2326" i="1"/>
  <c r="N2326" i="1"/>
  <c r="O2326" i="1"/>
  <c r="P2326" i="1"/>
  <c r="Q2326" i="1"/>
  <c r="R2326" i="1"/>
  <c r="S2326" i="1"/>
  <c r="T2326" i="1"/>
  <c r="U2326" i="1"/>
  <c r="V2326" i="1"/>
  <c r="W2326" i="1"/>
  <c r="X2326" i="1"/>
  <c r="Y2326" i="1"/>
  <c r="Z2326" i="1"/>
  <c r="AA2326" i="1"/>
  <c r="AB2326" i="1"/>
  <c r="AC2326" i="1"/>
  <c r="AD2326" i="1"/>
  <c r="AE2326" i="1"/>
  <c r="AF2326" i="1"/>
  <c r="AG2326" i="1"/>
  <c r="AH2326" i="1"/>
  <c r="AI2326" i="1"/>
  <c r="AJ2326" i="1"/>
  <c r="AK2326" i="1"/>
  <c r="AL2326" i="1"/>
  <c r="AM2326" i="1"/>
  <c r="A2327" i="1"/>
  <c r="B2327" i="1"/>
  <c r="C2327" i="1"/>
  <c r="D2327" i="1"/>
  <c r="E2327" i="1"/>
  <c r="F2327" i="1"/>
  <c r="G2327" i="1"/>
  <c r="H2327" i="1"/>
  <c r="I2327" i="1"/>
  <c r="J2327" i="1"/>
  <c r="K2327" i="1"/>
  <c r="L2327" i="1"/>
  <c r="M2327" i="1"/>
  <c r="N2327" i="1"/>
  <c r="O2327" i="1"/>
  <c r="P2327" i="1"/>
  <c r="Q2327" i="1"/>
  <c r="R2327" i="1"/>
  <c r="S2327" i="1"/>
  <c r="T2327" i="1"/>
  <c r="U2327" i="1"/>
  <c r="V2327" i="1"/>
  <c r="W2327" i="1"/>
  <c r="X2327" i="1"/>
  <c r="Y2327" i="1"/>
  <c r="Z2327" i="1"/>
  <c r="AA2327" i="1"/>
  <c r="AB2327" i="1"/>
  <c r="AC2327" i="1"/>
  <c r="AD2327" i="1"/>
  <c r="AE2327" i="1"/>
  <c r="AF2327" i="1"/>
  <c r="AG2327" i="1"/>
  <c r="AH2327" i="1"/>
  <c r="AI2327" i="1"/>
  <c r="AJ2327" i="1"/>
  <c r="AK2327" i="1"/>
  <c r="AL2327" i="1"/>
  <c r="AM2327" i="1"/>
  <c r="A2328" i="1"/>
  <c r="B2328" i="1"/>
  <c r="C2328" i="1"/>
  <c r="D2328" i="1"/>
  <c r="E2328" i="1"/>
  <c r="F2328" i="1"/>
  <c r="G2328" i="1"/>
  <c r="H2328" i="1"/>
  <c r="I2328" i="1"/>
  <c r="J2328" i="1"/>
  <c r="K2328" i="1"/>
  <c r="L2328" i="1"/>
  <c r="M2328" i="1"/>
  <c r="N2328" i="1"/>
  <c r="O2328" i="1"/>
  <c r="P2328" i="1"/>
  <c r="Q2328" i="1"/>
  <c r="R2328" i="1"/>
  <c r="S2328" i="1"/>
  <c r="T2328" i="1"/>
  <c r="U2328" i="1"/>
  <c r="V2328" i="1"/>
  <c r="W2328" i="1"/>
  <c r="X2328" i="1"/>
  <c r="Y2328" i="1"/>
  <c r="Z2328" i="1"/>
  <c r="AA2328" i="1"/>
  <c r="AB2328" i="1"/>
  <c r="AC2328" i="1"/>
  <c r="AD2328" i="1"/>
  <c r="AE2328" i="1"/>
  <c r="AF2328" i="1"/>
  <c r="AG2328" i="1"/>
  <c r="AH2328" i="1"/>
  <c r="AI2328" i="1"/>
  <c r="AJ2328" i="1"/>
  <c r="AK2328" i="1"/>
  <c r="AL2328" i="1"/>
  <c r="AM2328" i="1"/>
  <c r="A2329" i="1"/>
  <c r="B2329" i="1"/>
  <c r="C2329" i="1"/>
  <c r="D2329" i="1"/>
  <c r="E2329" i="1"/>
  <c r="F2329" i="1"/>
  <c r="G2329" i="1"/>
  <c r="H2329" i="1"/>
  <c r="I2329" i="1"/>
  <c r="J2329" i="1"/>
  <c r="K2329" i="1"/>
  <c r="L2329" i="1"/>
  <c r="M2329" i="1"/>
  <c r="N2329" i="1"/>
  <c r="O2329" i="1"/>
  <c r="P2329" i="1"/>
  <c r="Q2329" i="1"/>
  <c r="R2329" i="1"/>
  <c r="S2329" i="1"/>
  <c r="T2329" i="1"/>
  <c r="U2329" i="1"/>
  <c r="V2329" i="1"/>
  <c r="W2329" i="1"/>
  <c r="X2329" i="1"/>
  <c r="Y2329" i="1"/>
  <c r="Z2329" i="1"/>
  <c r="AA2329" i="1"/>
  <c r="AB2329" i="1"/>
  <c r="AC2329" i="1"/>
  <c r="AD2329" i="1"/>
  <c r="AE2329" i="1"/>
  <c r="AF2329" i="1"/>
  <c r="AG2329" i="1"/>
  <c r="AH2329" i="1"/>
  <c r="AI2329" i="1"/>
  <c r="AJ2329" i="1"/>
  <c r="AK2329" i="1"/>
  <c r="AL2329" i="1"/>
  <c r="AM2329" i="1"/>
  <c r="A2330" i="1"/>
  <c r="B2330" i="1"/>
  <c r="C2330" i="1"/>
  <c r="D2330" i="1"/>
  <c r="E2330" i="1"/>
  <c r="F2330" i="1"/>
  <c r="G2330" i="1"/>
  <c r="H2330" i="1"/>
  <c r="I2330" i="1"/>
  <c r="J2330" i="1"/>
  <c r="K2330" i="1"/>
  <c r="L2330" i="1"/>
  <c r="M2330" i="1"/>
  <c r="N2330" i="1"/>
  <c r="O2330" i="1"/>
  <c r="P2330" i="1"/>
  <c r="Q2330" i="1"/>
  <c r="R2330" i="1"/>
  <c r="S2330" i="1"/>
  <c r="T2330" i="1"/>
  <c r="U2330" i="1"/>
  <c r="V2330" i="1"/>
  <c r="W2330" i="1"/>
  <c r="X2330" i="1"/>
  <c r="Y2330" i="1"/>
  <c r="Z2330" i="1"/>
  <c r="AA2330" i="1"/>
  <c r="AB2330" i="1"/>
  <c r="AC2330" i="1"/>
  <c r="AD2330" i="1"/>
  <c r="AE2330" i="1"/>
  <c r="AF2330" i="1"/>
  <c r="AG2330" i="1"/>
  <c r="AH2330" i="1"/>
  <c r="AI2330" i="1"/>
  <c r="AJ2330" i="1"/>
  <c r="AK2330" i="1"/>
  <c r="AL2330" i="1"/>
  <c r="AM2330" i="1"/>
  <c r="A2331" i="1"/>
  <c r="B2331" i="1"/>
  <c r="C2331" i="1"/>
  <c r="D2331" i="1"/>
  <c r="E2331" i="1"/>
  <c r="F2331" i="1"/>
  <c r="G2331" i="1"/>
  <c r="H2331" i="1"/>
  <c r="I2331" i="1"/>
  <c r="J2331" i="1"/>
  <c r="K2331" i="1"/>
  <c r="L2331" i="1"/>
  <c r="M2331" i="1"/>
  <c r="N2331" i="1"/>
  <c r="O2331" i="1"/>
  <c r="P2331" i="1"/>
  <c r="Q2331" i="1"/>
  <c r="R2331" i="1"/>
  <c r="S2331" i="1"/>
  <c r="T2331" i="1"/>
  <c r="U2331" i="1"/>
  <c r="V2331" i="1"/>
  <c r="W2331" i="1"/>
  <c r="X2331" i="1"/>
  <c r="Y2331" i="1"/>
  <c r="Z2331" i="1"/>
  <c r="AA2331" i="1"/>
  <c r="AB2331" i="1"/>
  <c r="AC2331" i="1"/>
  <c r="AD2331" i="1"/>
  <c r="AE2331" i="1"/>
  <c r="AF2331" i="1"/>
  <c r="AG2331" i="1"/>
  <c r="AH2331" i="1"/>
  <c r="AI2331" i="1"/>
  <c r="AJ2331" i="1"/>
  <c r="AK2331" i="1"/>
  <c r="AL2331" i="1"/>
  <c r="AM2331" i="1"/>
  <c r="A2332" i="1"/>
  <c r="B2332" i="1"/>
  <c r="C2332" i="1"/>
  <c r="D2332" i="1"/>
  <c r="E2332" i="1"/>
  <c r="F2332" i="1"/>
  <c r="G2332" i="1"/>
  <c r="H2332" i="1"/>
  <c r="I2332" i="1"/>
  <c r="J2332" i="1"/>
  <c r="K2332" i="1"/>
  <c r="L2332" i="1"/>
  <c r="M2332" i="1"/>
  <c r="N2332" i="1"/>
  <c r="O2332" i="1"/>
  <c r="P2332" i="1"/>
  <c r="Q2332" i="1"/>
  <c r="R2332" i="1"/>
  <c r="S2332" i="1"/>
  <c r="T2332" i="1"/>
  <c r="U2332" i="1"/>
  <c r="V2332" i="1"/>
  <c r="W2332" i="1"/>
  <c r="X2332" i="1"/>
  <c r="Y2332" i="1"/>
  <c r="Z2332" i="1"/>
  <c r="AA2332" i="1"/>
  <c r="AB2332" i="1"/>
  <c r="AC2332" i="1"/>
  <c r="AD2332" i="1"/>
  <c r="AE2332" i="1"/>
  <c r="AF2332" i="1"/>
  <c r="AG2332" i="1"/>
  <c r="AH2332" i="1"/>
  <c r="AI2332" i="1"/>
  <c r="AJ2332" i="1"/>
  <c r="AK2332" i="1"/>
  <c r="AL2332" i="1"/>
  <c r="AM2332" i="1"/>
  <c r="A2333" i="1"/>
  <c r="B2333" i="1"/>
  <c r="C2333" i="1"/>
  <c r="D2333" i="1"/>
  <c r="E2333" i="1"/>
  <c r="F2333" i="1"/>
  <c r="G2333" i="1"/>
  <c r="H2333" i="1"/>
  <c r="I2333" i="1"/>
  <c r="J2333" i="1"/>
  <c r="K2333" i="1"/>
  <c r="L2333" i="1"/>
  <c r="M2333" i="1"/>
  <c r="N2333" i="1"/>
  <c r="O2333" i="1"/>
  <c r="P2333" i="1"/>
  <c r="Q2333" i="1"/>
  <c r="R2333" i="1"/>
  <c r="S2333" i="1"/>
  <c r="T2333" i="1"/>
  <c r="U2333" i="1"/>
  <c r="V2333" i="1"/>
  <c r="W2333" i="1"/>
  <c r="X2333" i="1"/>
  <c r="Y2333" i="1"/>
  <c r="Z2333" i="1"/>
  <c r="AA2333" i="1"/>
  <c r="AB2333" i="1"/>
  <c r="AC2333" i="1"/>
  <c r="AD2333" i="1"/>
  <c r="AE2333" i="1"/>
  <c r="AF2333" i="1"/>
  <c r="AG2333" i="1"/>
  <c r="AH2333" i="1"/>
  <c r="AI2333" i="1"/>
  <c r="AJ2333" i="1"/>
  <c r="AK2333" i="1"/>
  <c r="AL2333" i="1"/>
  <c r="AM2333" i="1"/>
  <c r="A2334" i="1"/>
  <c r="B2334" i="1"/>
  <c r="C2334" i="1"/>
  <c r="D2334" i="1"/>
  <c r="E2334" i="1"/>
  <c r="F2334" i="1"/>
  <c r="G2334" i="1"/>
  <c r="H2334" i="1"/>
  <c r="I2334" i="1"/>
  <c r="J2334" i="1"/>
  <c r="K2334" i="1"/>
  <c r="L2334" i="1"/>
  <c r="M2334" i="1"/>
  <c r="N2334" i="1"/>
  <c r="O2334" i="1"/>
  <c r="P2334" i="1"/>
  <c r="Q2334" i="1"/>
  <c r="R2334" i="1"/>
  <c r="S2334" i="1"/>
  <c r="T2334" i="1"/>
  <c r="U2334" i="1"/>
  <c r="V2334" i="1"/>
  <c r="W2334" i="1"/>
  <c r="X2334" i="1"/>
  <c r="Y2334" i="1"/>
  <c r="Z2334" i="1"/>
  <c r="AA2334" i="1"/>
  <c r="AB2334" i="1"/>
  <c r="AC2334" i="1"/>
  <c r="AD2334" i="1"/>
  <c r="AE2334" i="1"/>
  <c r="AF2334" i="1"/>
  <c r="AG2334" i="1"/>
  <c r="AH2334" i="1"/>
  <c r="AI2334" i="1"/>
  <c r="AJ2334" i="1"/>
  <c r="AK2334" i="1"/>
  <c r="AL2334" i="1"/>
  <c r="AM2334" i="1"/>
  <c r="A2335" i="1"/>
  <c r="B2335" i="1"/>
  <c r="C2335" i="1"/>
  <c r="D2335" i="1"/>
  <c r="E2335" i="1"/>
  <c r="F2335" i="1"/>
  <c r="G2335" i="1"/>
  <c r="H2335" i="1"/>
  <c r="I2335" i="1"/>
  <c r="J2335" i="1"/>
  <c r="K2335" i="1"/>
  <c r="L2335" i="1"/>
  <c r="M2335" i="1"/>
  <c r="N2335" i="1"/>
  <c r="O2335" i="1"/>
  <c r="P2335" i="1"/>
  <c r="Q2335" i="1"/>
  <c r="R2335" i="1"/>
  <c r="S2335" i="1"/>
  <c r="T2335" i="1"/>
  <c r="U2335" i="1"/>
  <c r="V2335" i="1"/>
  <c r="W2335" i="1"/>
  <c r="X2335" i="1"/>
  <c r="Y2335" i="1"/>
  <c r="Z2335" i="1"/>
  <c r="AA2335" i="1"/>
  <c r="AB2335" i="1"/>
  <c r="AC2335" i="1"/>
  <c r="AD2335" i="1"/>
  <c r="AE2335" i="1"/>
  <c r="AF2335" i="1"/>
  <c r="AG2335" i="1"/>
  <c r="AH2335" i="1"/>
  <c r="AI2335" i="1"/>
  <c r="AJ2335" i="1"/>
  <c r="AK2335" i="1"/>
  <c r="AL2335" i="1"/>
  <c r="AM2335" i="1"/>
  <c r="A2336" i="1"/>
  <c r="B2336" i="1"/>
  <c r="C2336" i="1"/>
  <c r="D2336" i="1"/>
  <c r="E2336" i="1"/>
  <c r="F2336" i="1"/>
  <c r="G2336" i="1"/>
  <c r="H2336" i="1"/>
  <c r="I2336" i="1"/>
  <c r="J2336" i="1"/>
  <c r="K2336" i="1"/>
  <c r="L2336" i="1"/>
  <c r="M2336" i="1"/>
  <c r="N2336" i="1"/>
  <c r="O2336" i="1"/>
  <c r="P2336" i="1"/>
  <c r="Q2336" i="1"/>
  <c r="R2336" i="1"/>
  <c r="S2336" i="1"/>
  <c r="T2336" i="1"/>
  <c r="U2336" i="1"/>
  <c r="V2336" i="1"/>
  <c r="W2336" i="1"/>
  <c r="X2336" i="1"/>
  <c r="Y2336" i="1"/>
  <c r="Z2336" i="1"/>
  <c r="AA2336" i="1"/>
  <c r="AB2336" i="1"/>
  <c r="AC2336" i="1"/>
  <c r="AD2336" i="1"/>
  <c r="AE2336" i="1"/>
  <c r="AF2336" i="1"/>
  <c r="AG2336" i="1"/>
  <c r="AH2336" i="1"/>
  <c r="AI2336" i="1"/>
  <c r="AJ2336" i="1"/>
  <c r="AK2336" i="1"/>
  <c r="AL2336" i="1"/>
  <c r="AM2336" i="1"/>
  <c r="A2337" i="1"/>
  <c r="B2337" i="1"/>
  <c r="C2337" i="1"/>
  <c r="D2337" i="1"/>
  <c r="E2337" i="1"/>
  <c r="F2337" i="1"/>
  <c r="G2337" i="1"/>
  <c r="H2337" i="1"/>
  <c r="I2337" i="1"/>
  <c r="J2337" i="1"/>
  <c r="K2337" i="1"/>
  <c r="L2337" i="1"/>
  <c r="M2337" i="1"/>
  <c r="N2337" i="1"/>
  <c r="O2337" i="1"/>
  <c r="P2337" i="1"/>
  <c r="Q2337" i="1"/>
  <c r="R2337" i="1"/>
  <c r="S2337" i="1"/>
  <c r="T2337" i="1"/>
  <c r="U2337" i="1"/>
  <c r="V2337" i="1"/>
  <c r="W2337" i="1"/>
  <c r="X2337" i="1"/>
  <c r="Y2337" i="1"/>
  <c r="Z2337" i="1"/>
  <c r="AA2337" i="1"/>
  <c r="AB2337" i="1"/>
  <c r="AC2337" i="1"/>
  <c r="AD2337" i="1"/>
  <c r="AE2337" i="1"/>
  <c r="AF2337" i="1"/>
  <c r="AG2337" i="1"/>
  <c r="AH2337" i="1"/>
  <c r="AI2337" i="1"/>
  <c r="AJ2337" i="1"/>
  <c r="AK2337" i="1"/>
  <c r="AL2337" i="1"/>
  <c r="AM2337" i="1"/>
  <c r="A2338" i="1"/>
  <c r="B2338" i="1"/>
  <c r="C2338" i="1"/>
  <c r="D2338" i="1"/>
  <c r="E2338" i="1"/>
  <c r="F2338" i="1"/>
  <c r="G2338" i="1"/>
  <c r="H2338" i="1"/>
  <c r="I2338" i="1"/>
  <c r="J2338" i="1"/>
  <c r="K2338" i="1"/>
  <c r="L2338" i="1"/>
  <c r="M2338" i="1"/>
  <c r="N2338" i="1"/>
  <c r="O2338" i="1"/>
  <c r="P2338" i="1"/>
  <c r="Q2338" i="1"/>
  <c r="R2338" i="1"/>
  <c r="S2338" i="1"/>
  <c r="T2338" i="1"/>
  <c r="U2338" i="1"/>
  <c r="V2338" i="1"/>
  <c r="W2338" i="1"/>
  <c r="X2338" i="1"/>
  <c r="Y2338" i="1"/>
  <c r="Z2338" i="1"/>
  <c r="AA2338" i="1"/>
  <c r="AB2338" i="1"/>
  <c r="AC2338" i="1"/>
  <c r="AD2338" i="1"/>
  <c r="AE2338" i="1"/>
  <c r="AF2338" i="1"/>
  <c r="AG2338" i="1"/>
  <c r="AH2338" i="1"/>
  <c r="AI2338" i="1"/>
  <c r="AJ2338" i="1"/>
  <c r="AK2338" i="1"/>
  <c r="AL2338" i="1"/>
  <c r="AM2338" i="1"/>
  <c r="A2339" i="1"/>
  <c r="B2339" i="1"/>
  <c r="C2339" i="1"/>
  <c r="D2339" i="1"/>
  <c r="E2339" i="1"/>
  <c r="F2339" i="1"/>
  <c r="G2339" i="1"/>
  <c r="H2339" i="1"/>
  <c r="I2339" i="1"/>
  <c r="J2339" i="1"/>
  <c r="K2339" i="1"/>
  <c r="L2339" i="1"/>
  <c r="M2339" i="1"/>
  <c r="N2339" i="1"/>
  <c r="O2339" i="1"/>
  <c r="P2339" i="1"/>
  <c r="Q2339" i="1"/>
  <c r="R2339" i="1"/>
  <c r="S2339" i="1"/>
  <c r="T2339" i="1"/>
  <c r="U2339" i="1"/>
  <c r="V2339" i="1"/>
  <c r="W2339" i="1"/>
  <c r="X2339" i="1"/>
  <c r="Y2339" i="1"/>
  <c r="Z2339" i="1"/>
  <c r="AA2339" i="1"/>
  <c r="AB2339" i="1"/>
  <c r="AC2339" i="1"/>
  <c r="AD2339" i="1"/>
  <c r="AE2339" i="1"/>
  <c r="AF2339" i="1"/>
  <c r="AG2339" i="1"/>
  <c r="AH2339" i="1"/>
  <c r="AI2339" i="1"/>
  <c r="AJ2339" i="1"/>
  <c r="AK2339" i="1"/>
  <c r="AL2339" i="1"/>
  <c r="AM2339" i="1"/>
  <c r="A2340" i="1"/>
  <c r="B2340" i="1"/>
  <c r="C2340" i="1"/>
  <c r="D2340" i="1"/>
  <c r="E2340" i="1"/>
  <c r="F2340" i="1"/>
  <c r="G2340" i="1"/>
  <c r="H2340" i="1"/>
  <c r="I2340" i="1"/>
  <c r="J2340" i="1"/>
  <c r="K2340" i="1"/>
  <c r="L2340" i="1"/>
  <c r="M2340" i="1"/>
  <c r="N2340" i="1"/>
  <c r="O2340" i="1"/>
  <c r="P2340" i="1"/>
  <c r="Q2340" i="1"/>
  <c r="R2340" i="1"/>
  <c r="S2340" i="1"/>
  <c r="T2340" i="1"/>
  <c r="U2340" i="1"/>
  <c r="V2340" i="1"/>
  <c r="W2340" i="1"/>
  <c r="X2340" i="1"/>
  <c r="Y2340" i="1"/>
  <c r="Z2340" i="1"/>
  <c r="AA2340" i="1"/>
  <c r="AB2340" i="1"/>
  <c r="AC2340" i="1"/>
  <c r="AD2340" i="1"/>
  <c r="AE2340" i="1"/>
  <c r="AF2340" i="1"/>
  <c r="AG2340" i="1"/>
  <c r="AH2340" i="1"/>
  <c r="AI2340" i="1"/>
  <c r="AJ2340" i="1"/>
  <c r="AK2340" i="1"/>
  <c r="AL2340" i="1"/>
  <c r="AM2340" i="1"/>
  <c r="A2341" i="1"/>
  <c r="B2341" i="1"/>
  <c r="C2341" i="1"/>
  <c r="D2341" i="1"/>
  <c r="E2341" i="1"/>
  <c r="F2341" i="1"/>
  <c r="G2341" i="1"/>
  <c r="H2341" i="1"/>
  <c r="I2341" i="1"/>
  <c r="J2341" i="1"/>
  <c r="K2341" i="1"/>
  <c r="L2341" i="1"/>
  <c r="M2341" i="1"/>
  <c r="N2341" i="1"/>
  <c r="O2341" i="1"/>
  <c r="P2341" i="1"/>
  <c r="Q2341" i="1"/>
  <c r="R2341" i="1"/>
  <c r="S2341" i="1"/>
  <c r="T2341" i="1"/>
  <c r="U2341" i="1"/>
  <c r="V2341" i="1"/>
  <c r="W2341" i="1"/>
  <c r="X2341" i="1"/>
  <c r="Y2341" i="1"/>
  <c r="Z2341" i="1"/>
  <c r="AA2341" i="1"/>
  <c r="AB2341" i="1"/>
  <c r="AC2341" i="1"/>
  <c r="AD2341" i="1"/>
  <c r="AE2341" i="1"/>
  <c r="AF2341" i="1"/>
  <c r="AG2341" i="1"/>
  <c r="AH2341" i="1"/>
  <c r="AI2341" i="1"/>
  <c r="AJ2341" i="1"/>
  <c r="AK2341" i="1"/>
  <c r="AL2341" i="1"/>
  <c r="AM2341" i="1"/>
  <c r="A2342" i="1"/>
  <c r="B2342" i="1"/>
  <c r="C2342" i="1"/>
  <c r="D2342" i="1"/>
  <c r="E2342" i="1"/>
  <c r="F2342" i="1"/>
  <c r="G2342" i="1"/>
  <c r="H2342" i="1"/>
  <c r="I2342" i="1"/>
  <c r="J2342" i="1"/>
  <c r="K2342" i="1"/>
  <c r="L2342" i="1"/>
  <c r="M2342" i="1"/>
  <c r="N2342" i="1"/>
  <c r="O2342" i="1"/>
  <c r="P2342" i="1"/>
  <c r="Q2342" i="1"/>
  <c r="R2342" i="1"/>
  <c r="S2342" i="1"/>
  <c r="T2342" i="1"/>
  <c r="U2342" i="1"/>
  <c r="V2342" i="1"/>
  <c r="W2342" i="1"/>
  <c r="X2342" i="1"/>
  <c r="Y2342" i="1"/>
  <c r="Z2342" i="1"/>
  <c r="AA2342" i="1"/>
  <c r="AB2342" i="1"/>
  <c r="AC2342" i="1"/>
  <c r="AD2342" i="1"/>
  <c r="AE2342" i="1"/>
  <c r="AF2342" i="1"/>
  <c r="AG2342" i="1"/>
  <c r="AH2342" i="1"/>
  <c r="AI2342" i="1"/>
  <c r="AJ2342" i="1"/>
  <c r="AK2342" i="1"/>
  <c r="AL2342" i="1"/>
  <c r="AM2342" i="1"/>
  <c r="A2343" i="1"/>
  <c r="B2343" i="1"/>
  <c r="C2343" i="1"/>
  <c r="D2343" i="1"/>
  <c r="E2343" i="1"/>
  <c r="F2343" i="1"/>
  <c r="G2343" i="1"/>
  <c r="H2343" i="1"/>
  <c r="I2343" i="1"/>
  <c r="J2343" i="1"/>
  <c r="K2343" i="1"/>
  <c r="L2343" i="1"/>
  <c r="M2343" i="1"/>
  <c r="N2343" i="1"/>
  <c r="O2343" i="1"/>
  <c r="P2343" i="1"/>
  <c r="Q2343" i="1"/>
  <c r="R2343" i="1"/>
  <c r="S2343" i="1"/>
  <c r="T2343" i="1"/>
  <c r="U2343" i="1"/>
  <c r="V2343" i="1"/>
  <c r="W2343" i="1"/>
  <c r="X2343" i="1"/>
  <c r="Y2343" i="1"/>
  <c r="Z2343" i="1"/>
  <c r="AA2343" i="1"/>
  <c r="AB2343" i="1"/>
  <c r="AC2343" i="1"/>
  <c r="AD2343" i="1"/>
  <c r="AE2343" i="1"/>
  <c r="AF2343" i="1"/>
  <c r="AG2343" i="1"/>
  <c r="AH2343" i="1"/>
  <c r="AI2343" i="1"/>
  <c r="AJ2343" i="1"/>
  <c r="AK2343" i="1"/>
  <c r="AL2343" i="1"/>
  <c r="AM2343" i="1"/>
  <c r="A2344" i="1"/>
  <c r="B2344" i="1"/>
  <c r="C2344" i="1"/>
  <c r="D2344" i="1"/>
  <c r="E2344" i="1"/>
  <c r="F2344" i="1"/>
  <c r="G2344" i="1"/>
  <c r="H2344" i="1"/>
  <c r="I2344" i="1"/>
  <c r="J2344" i="1"/>
  <c r="K2344" i="1"/>
  <c r="L2344" i="1"/>
  <c r="M2344" i="1"/>
  <c r="N2344" i="1"/>
  <c r="O2344" i="1"/>
  <c r="P2344" i="1"/>
  <c r="Q2344" i="1"/>
  <c r="R2344" i="1"/>
  <c r="S2344" i="1"/>
  <c r="T2344" i="1"/>
  <c r="U2344" i="1"/>
  <c r="V2344" i="1"/>
  <c r="W2344" i="1"/>
  <c r="X2344" i="1"/>
  <c r="Y2344" i="1"/>
  <c r="Z2344" i="1"/>
  <c r="AA2344" i="1"/>
  <c r="AB2344" i="1"/>
  <c r="AC2344" i="1"/>
  <c r="AD2344" i="1"/>
  <c r="AE2344" i="1"/>
  <c r="AF2344" i="1"/>
  <c r="AG2344" i="1"/>
  <c r="AH2344" i="1"/>
  <c r="AI2344" i="1"/>
  <c r="AJ2344" i="1"/>
  <c r="AK2344" i="1"/>
  <c r="AL2344" i="1"/>
  <c r="AM2344" i="1"/>
  <c r="A2345" i="1"/>
  <c r="B2345" i="1"/>
  <c r="C2345" i="1"/>
  <c r="D2345" i="1"/>
  <c r="E2345" i="1"/>
  <c r="F2345" i="1"/>
  <c r="G2345" i="1"/>
  <c r="H2345" i="1"/>
  <c r="I2345" i="1"/>
  <c r="J2345" i="1"/>
  <c r="K2345" i="1"/>
  <c r="L2345" i="1"/>
  <c r="M2345" i="1"/>
  <c r="N2345" i="1"/>
  <c r="O2345" i="1"/>
  <c r="P2345" i="1"/>
  <c r="Q2345" i="1"/>
  <c r="R2345" i="1"/>
  <c r="S2345" i="1"/>
  <c r="T2345" i="1"/>
  <c r="U2345" i="1"/>
  <c r="V2345" i="1"/>
  <c r="W2345" i="1"/>
  <c r="X2345" i="1"/>
  <c r="Y2345" i="1"/>
  <c r="Z2345" i="1"/>
  <c r="AA2345" i="1"/>
  <c r="AB2345" i="1"/>
  <c r="AC2345" i="1"/>
  <c r="AD2345" i="1"/>
  <c r="AE2345" i="1"/>
  <c r="AF2345" i="1"/>
  <c r="AG2345" i="1"/>
  <c r="AH2345" i="1"/>
  <c r="AI2345" i="1"/>
  <c r="AJ2345" i="1"/>
  <c r="AK2345" i="1"/>
  <c r="AL2345" i="1"/>
  <c r="AM2345" i="1"/>
  <c r="A2346" i="1"/>
  <c r="B2346" i="1"/>
  <c r="C2346" i="1"/>
  <c r="D2346" i="1"/>
  <c r="E2346" i="1"/>
  <c r="F2346" i="1"/>
  <c r="G2346" i="1"/>
  <c r="H2346" i="1"/>
  <c r="I2346" i="1"/>
  <c r="J2346" i="1"/>
  <c r="K2346" i="1"/>
  <c r="L2346" i="1"/>
  <c r="M2346" i="1"/>
  <c r="N2346" i="1"/>
  <c r="O2346" i="1"/>
  <c r="P2346" i="1"/>
  <c r="Q2346" i="1"/>
  <c r="R2346" i="1"/>
  <c r="S2346" i="1"/>
  <c r="T2346" i="1"/>
  <c r="U2346" i="1"/>
  <c r="V2346" i="1"/>
  <c r="W2346" i="1"/>
  <c r="X2346" i="1"/>
  <c r="Y2346" i="1"/>
  <c r="Z2346" i="1"/>
  <c r="AA2346" i="1"/>
  <c r="AB2346" i="1"/>
  <c r="AC2346" i="1"/>
  <c r="AD2346" i="1"/>
  <c r="AE2346" i="1"/>
  <c r="AF2346" i="1"/>
  <c r="AG2346" i="1"/>
  <c r="AH2346" i="1"/>
  <c r="AI2346" i="1"/>
  <c r="AJ2346" i="1"/>
  <c r="AK2346" i="1"/>
  <c r="AL2346" i="1"/>
  <c r="AM2346" i="1"/>
  <c r="A2347" i="1"/>
  <c r="B2347" i="1"/>
  <c r="C2347" i="1"/>
  <c r="D2347" i="1"/>
  <c r="E2347" i="1"/>
  <c r="F2347" i="1"/>
  <c r="G2347" i="1"/>
  <c r="H2347" i="1"/>
  <c r="I2347" i="1"/>
  <c r="J2347" i="1"/>
  <c r="K2347" i="1"/>
  <c r="L2347" i="1"/>
  <c r="M2347" i="1"/>
  <c r="N2347" i="1"/>
  <c r="O2347" i="1"/>
  <c r="P2347" i="1"/>
  <c r="Q2347" i="1"/>
  <c r="R2347" i="1"/>
  <c r="S2347" i="1"/>
  <c r="T2347" i="1"/>
  <c r="U2347" i="1"/>
  <c r="V2347" i="1"/>
  <c r="W2347" i="1"/>
  <c r="X2347" i="1"/>
  <c r="Y2347" i="1"/>
  <c r="Z2347" i="1"/>
  <c r="AA2347" i="1"/>
  <c r="AB2347" i="1"/>
  <c r="AC2347" i="1"/>
  <c r="AD2347" i="1"/>
  <c r="AE2347" i="1"/>
  <c r="AF2347" i="1"/>
  <c r="AG2347" i="1"/>
  <c r="AH2347" i="1"/>
  <c r="AI2347" i="1"/>
  <c r="AJ2347" i="1"/>
  <c r="AK2347" i="1"/>
  <c r="AL2347" i="1"/>
  <c r="AM2347" i="1"/>
  <c r="A2348" i="1"/>
  <c r="B2348" i="1"/>
  <c r="C2348" i="1"/>
  <c r="D2348" i="1"/>
  <c r="E2348" i="1"/>
  <c r="F2348" i="1"/>
  <c r="G2348" i="1"/>
  <c r="H2348" i="1"/>
  <c r="I2348" i="1"/>
  <c r="J2348" i="1"/>
  <c r="K2348" i="1"/>
  <c r="L2348" i="1"/>
  <c r="M2348" i="1"/>
  <c r="N2348" i="1"/>
  <c r="O2348" i="1"/>
  <c r="P2348" i="1"/>
  <c r="Q2348" i="1"/>
  <c r="R2348" i="1"/>
  <c r="S2348" i="1"/>
  <c r="T2348" i="1"/>
  <c r="U2348" i="1"/>
  <c r="V2348" i="1"/>
  <c r="W2348" i="1"/>
  <c r="X2348" i="1"/>
  <c r="Y2348" i="1"/>
  <c r="Z2348" i="1"/>
  <c r="AA2348" i="1"/>
  <c r="AB2348" i="1"/>
  <c r="AC2348" i="1"/>
  <c r="AD2348" i="1"/>
  <c r="AE2348" i="1"/>
  <c r="AF2348" i="1"/>
  <c r="AG2348" i="1"/>
  <c r="AH2348" i="1"/>
  <c r="AI2348" i="1"/>
  <c r="AJ2348" i="1"/>
  <c r="AK2348" i="1"/>
  <c r="AL2348" i="1"/>
  <c r="AM2348" i="1"/>
  <c r="A2349" i="1"/>
  <c r="B2349" i="1"/>
  <c r="C2349" i="1"/>
  <c r="D2349" i="1"/>
  <c r="E2349" i="1"/>
  <c r="F2349" i="1"/>
  <c r="G2349" i="1"/>
  <c r="H2349" i="1"/>
  <c r="I2349" i="1"/>
  <c r="J2349" i="1"/>
  <c r="K2349" i="1"/>
  <c r="L2349" i="1"/>
  <c r="M2349" i="1"/>
  <c r="N2349" i="1"/>
  <c r="O2349" i="1"/>
  <c r="P2349" i="1"/>
  <c r="Q2349" i="1"/>
  <c r="R2349" i="1"/>
  <c r="S2349" i="1"/>
  <c r="T2349" i="1"/>
  <c r="U2349" i="1"/>
  <c r="V2349" i="1"/>
  <c r="W2349" i="1"/>
  <c r="X2349" i="1"/>
  <c r="Y2349" i="1"/>
  <c r="Z2349" i="1"/>
  <c r="AA2349" i="1"/>
  <c r="AB2349" i="1"/>
  <c r="AC2349" i="1"/>
  <c r="AD2349" i="1"/>
  <c r="AE2349" i="1"/>
  <c r="AF2349" i="1"/>
  <c r="AG2349" i="1"/>
  <c r="AH2349" i="1"/>
  <c r="AI2349" i="1"/>
  <c r="AJ2349" i="1"/>
  <c r="AK2349" i="1"/>
  <c r="AL2349" i="1"/>
  <c r="AM2349" i="1"/>
  <c r="A2350" i="1"/>
  <c r="B2350" i="1"/>
  <c r="C2350" i="1"/>
  <c r="D2350" i="1"/>
  <c r="E2350" i="1"/>
  <c r="F2350" i="1"/>
  <c r="G2350" i="1"/>
  <c r="H2350" i="1"/>
  <c r="I2350" i="1"/>
  <c r="J2350" i="1"/>
  <c r="K2350" i="1"/>
  <c r="L2350" i="1"/>
  <c r="M2350" i="1"/>
  <c r="N2350" i="1"/>
  <c r="O2350" i="1"/>
  <c r="P2350" i="1"/>
  <c r="Q2350" i="1"/>
  <c r="R2350" i="1"/>
  <c r="S2350" i="1"/>
  <c r="T2350" i="1"/>
  <c r="U2350" i="1"/>
  <c r="V2350" i="1"/>
  <c r="W2350" i="1"/>
  <c r="X2350" i="1"/>
  <c r="Y2350" i="1"/>
  <c r="Z2350" i="1"/>
  <c r="AA2350" i="1"/>
  <c r="AB2350" i="1"/>
  <c r="AC2350" i="1"/>
  <c r="AD2350" i="1"/>
  <c r="AE2350" i="1"/>
  <c r="AF2350" i="1"/>
  <c r="AG2350" i="1"/>
  <c r="AH2350" i="1"/>
  <c r="AI2350" i="1"/>
  <c r="AJ2350" i="1"/>
  <c r="AK2350" i="1"/>
  <c r="AL2350" i="1"/>
  <c r="AM2350" i="1"/>
  <c r="A2351" i="1"/>
  <c r="B2351" i="1"/>
  <c r="C2351" i="1"/>
  <c r="D2351" i="1"/>
  <c r="E2351" i="1"/>
  <c r="F2351" i="1"/>
  <c r="G2351" i="1"/>
  <c r="H2351" i="1"/>
  <c r="I2351" i="1"/>
  <c r="J2351" i="1"/>
  <c r="K2351" i="1"/>
  <c r="L2351" i="1"/>
  <c r="M2351" i="1"/>
  <c r="N2351" i="1"/>
  <c r="O2351" i="1"/>
  <c r="P2351" i="1"/>
  <c r="Q2351" i="1"/>
  <c r="R2351" i="1"/>
  <c r="S2351" i="1"/>
  <c r="T2351" i="1"/>
  <c r="U2351" i="1"/>
  <c r="V2351" i="1"/>
  <c r="W2351" i="1"/>
  <c r="X2351" i="1"/>
  <c r="Y2351" i="1"/>
  <c r="Z2351" i="1"/>
  <c r="AA2351" i="1"/>
  <c r="AB2351" i="1"/>
  <c r="AC2351" i="1"/>
  <c r="AD2351" i="1"/>
  <c r="AE2351" i="1"/>
  <c r="AF2351" i="1"/>
  <c r="AG2351" i="1"/>
  <c r="AH2351" i="1"/>
  <c r="AI2351" i="1"/>
  <c r="AJ2351" i="1"/>
  <c r="AK2351" i="1"/>
  <c r="AL2351" i="1"/>
  <c r="AM2351" i="1"/>
  <c r="A2352" i="1"/>
  <c r="B2352" i="1"/>
  <c r="C2352" i="1"/>
  <c r="D2352" i="1"/>
  <c r="E2352" i="1"/>
  <c r="F2352" i="1"/>
  <c r="G2352" i="1"/>
  <c r="H2352" i="1"/>
  <c r="I2352" i="1"/>
  <c r="J2352" i="1"/>
  <c r="K2352" i="1"/>
  <c r="L2352" i="1"/>
  <c r="M2352" i="1"/>
  <c r="N2352" i="1"/>
  <c r="O2352" i="1"/>
  <c r="P2352" i="1"/>
  <c r="Q2352" i="1"/>
  <c r="R2352" i="1"/>
  <c r="S2352" i="1"/>
  <c r="T2352" i="1"/>
  <c r="U2352" i="1"/>
  <c r="V2352" i="1"/>
  <c r="W2352" i="1"/>
  <c r="X2352" i="1"/>
  <c r="Y2352" i="1"/>
  <c r="Z2352" i="1"/>
  <c r="AA2352" i="1"/>
  <c r="AB2352" i="1"/>
  <c r="AC2352" i="1"/>
  <c r="AD2352" i="1"/>
  <c r="AE2352" i="1"/>
  <c r="AF2352" i="1"/>
  <c r="AG2352" i="1"/>
  <c r="AH2352" i="1"/>
  <c r="AI2352" i="1"/>
  <c r="AJ2352" i="1"/>
  <c r="AK2352" i="1"/>
  <c r="AL2352" i="1"/>
  <c r="AM2352" i="1"/>
  <c r="A2353" i="1"/>
  <c r="B2353" i="1"/>
  <c r="C2353" i="1"/>
  <c r="D2353" i="1"/>
  <c r="E2353" i="1"/>
  <c r="F2353" i="1"/>
  <c r="G2353" i="1"/>
  <c r="H2353" i="1"/>
  <c r="I2353" i="1"/>
  <c r="J2353" i="1"/>
  <c r="K2353" i="1"/>
  <c r="L2353" i="1"/>
  <c r="M2353" i="1"/>
  <c r="N2353" i="1"/>
  <c r="O2353" i="1"/>
  <c r="P2353" i="1"/>
  <c r="Q2353" i="1"/>
  <c r="R2353" i="1"/>
  <c r="S2353" i="1"/>
  <c r="T2353" i="1"/>
  <c r="U2353" i="1"/>
  <c r="V2353" i="1"/>
  <c r="W2353" i="1"/>
  <c r="X2353" i="1"/>
  <c r="Y2353" i="1"/>
  <c r="Z2353" i="1"/>
  <c r="AA2353" i="1"/>
  <c r="AB2353" i="1"/>
  <c r="AC2353" i="1"/>
  <c r="AD2353" i="1"/>
  <c r="AE2353" i="1"/>
  <c r="AF2353" i="1"/>
  <c r="AG2353" i="1"/>
  <c r="AH2353" i="1"/>
  <c r="AI2353" i="1"/>
  <c r="AJ2353" i="1"/>
  <c r="AK2353" i="1"/>
  <c r="AL2353" i="1"/>
  <c r="AM2353" i="1"/>
  <c r="A2354" i="1"/>
  <c r="B2354" i="1"/>
  <c r="C2354" i="1"/>
  <c r="D2354" i="1"/>
  <c r="E2354" i="1"/>
  <c r="F2354" i="1"/>
  <c r="G2354" i="1"/>
  <c r="H2354" i="1"/>
  <c r="I2354" i="1"/>
  <c r="J2354" i="1"/>
  <c r="K2354" i="1"/>
  <c r="L2354" i="1"/>
  <c r="M2354" i="1"/>
  <c r="N2354" i="1"/>
  <c r="O2354" i="1"/>
  <c r="P2354" i="1"/>
  <c r="Q2354" i="1"/>
  <c r="R2354" i="1"/>
  <c r="S2354" i="1"/>
  <c r="T2354" i="1"/>
  <c r="U2354" i="1"/>
  <c r="V2354" i="1"/>
  <c r="W2354" i="1"/>
  <c r="X2354" i="1"/>
  <c r="Y2354" i="1"/>
  <c r="Z2354" i="1"/>
  <c r="AA2354" i="1"/>
  <c r="AB2354" i="1"/>
  <c r="AC2354" i="1"/>
  <c r="AD2354" i="1"/>
  <c r="AE2354" i="1"/>
  <c r="AF2354" i="1"/>
  <c r="AG2354" i="1"/>
  <c r="AH2354" i="1"/>
  <c r="AI2354" i="1"/>
  <c r="AJ2354" i="1"/>
  <c r="AK2354" i="1"/>
  <c r="AL2354" i="1"/>
  <c r="AM2354" i="1"/>
  <c r="A2355" i="1"/>
  <c r="B2355" i="1"/>
  <c r="C2355" i="1"/>
  <c r="D2355" i="1"/>
  <c r="E2355" i="1"/>
  <c r="F2355" i="1"/>
  <c r="G2355" i="1"/>
  <c r="H2355" i="1"/>
  <c r="I2355" i="1"/>
  <c r="J2355" i="1"/>
  <c r="K2355" i="1"/>
  <c r="L2355" i="1"/>
  <c r="M2355" i="1"/>
  <c r="N2355" i="1"/>
  <c r="O2355" i="1"/>
  <c r="P2355" i="1"/>
  <c r="Q2355" i="1"/>
  <c r="R2355" i="1"/>
  <c r="S2355" i="1"/>
  <c r="T2355" i="1"/>
  <c r="U2355" i="1"/>
  <c r="V2355" i="1"/>
  <c r="W2355" i="1"/>
  <c r="X2355" i="1"/>
  <c r="Y2355" i="1"/>
  <c r="Z2355" i="1"/>
  <c r="AA2355" i="1"/>
  <c r="AB2355" i="1"/>
  <c r="AC2355" i="1"/>
  <c r="AD2355" i="1"/>
  <c r="AE2355" i="1"/>
  <c r="AF2355" i="1"/>
  <c r="AG2355" i="1"/>
  <c r="AH2355" i="1"/>
  <c r="AI2355" i="1"/>
  <c r="AJ2355" i="1"/>
  <c r="AK2355" i="1"/>
  <c r="AL2355" i="1"/>
  <c r="AM2355" i="1"/>
  <c r="A2356" i="1"/>
  <c r="B2356" i="1"/>
  <c r="C2356" i="1"/>
  <c r="D2356" i="1"/>
  <c r="E2356" i="1"/>
  <c r="F2356" i="1"/>
  <c r="G2356" i="1"/>
  <c r="H2356" i="1"/>
  <c r="I2356" i="1"/>
  <c r="J2356" i="1"/>
  <c r="K2356" i="1"/>
  <c r="L2356" i="1"/>
  <c r="M2356" i="1"/>
  <c r="N2356" i="1"/>
  <c r="O2356" i="1"/>
  <c r="P2356" i="1"/>
  <c r="Q2356" i="1"/>
  <c r="R2356" i="1"/>
  <c r="S2356" i="1"/>
  <c r="T2356" i="1"/>
  <c r="U2356" i="1"/>
  <c r="V2356" i="1"/>
  <c r="W2356" i="1"/>
  <c r="X2356" i="1"/>
  <c r="Y2356" i="1"/>
  <c r="Z2356" i="1"/>
  <c r="AA2356" i="1"/>
  <c r="AB2356" i="1"/>
  <c r="AC2356" i="1"/>
  <c r="AD2356" i="1"/>
  <c r="AE2356" i="1"/>
  <c r="AF2356" i="1"/>
  <c r="AG2356" i="1"/>
  <c r="AH2356" i="1"/>
  <c r="AI2356" i="1"/>
  <c r="AJ2356" i="1"/>
  <c r="AK2356" i="1"/>
  <c r="AL2356" i="1"/>
  <c r="AM2356" i="1"/>
  <c r="A2357" i="1"/>
  <c r="B2357" i="1"/>
  <c r="C2357" i="1"/>
  <c r="D2357" i="1"/>
  <c r="E2357" i="1"/>
  <c r="F2357" i="1"/>
  <c r="G2357" i="1"/>
  <c r="H2357" i="1"/>
  <c r="I2357" i="1"/>
  <c r="J2357" i="1"/>
  <c r="K2357" i="1"/>
  <c r="L2357" i="1"/>
  <c r="M2357" i="1"/>
  <c r="N2357" i="1"/>
  <c r="O2357" i="1"/>
  <c r="P2357" i="1"/>
  <c r="Q2357" i="1"/>
  <c r="R2357" i="1"/>
  <c r="S2357" i="1"/>
  <c r="T2357" i="1"/>
  <c r="U2357" i="1"/>
  <c r="V2357" i="1"/>
  <c r="W2357" i="1"/>
  <c r="X2357" i="1"/>
  <c r="Y2357" i="1"/>
  <c r="Z2357" i="1"/>
  <c r="AA2357" i="1"/>
  <c r="AB2357" i="1"/>
  <c r="AC2357" i="1"/>
  <c r="AD2357" i="1"/>
  <c r="AE2357" i="1"/>
  <c r="AF2357" i="1"/>
  <c r="AG2357" i="1"/>
  <c r="AH2357" i="1"/>
  <c r="AI2357" i="1"/>
  <c r="AJ2357" i="1"/>
  <c r="AK2357" i="1"/>
  <c r="AL2357" i="1"/>
  <c r="AM2357" i="1"/>
  <c r="A2358" i="1"/>
  <c r="B2358" i="1"/>
  <c r="C2358" i="1"/>
  <c r="D2358" i="1"/>
  <c r="E2358" i="1"/>
  <c r="F2358" i="1"/>
  <c r="G2358" i="1"/>
  <c r="H2358" i="1"/>
  <c r="I2358" i="1"/>
  <c r="J2358" i="1"/>
  <c r="K2358" i="1"/>
  <c r="L2358" i="1"/>
  <c r="M2358" i="1"/>
  <c r="N2358" i="1"/>
  <c r="O2358" i="1"/>
  <c r="P2358" i="1"/>
  <c r="Q2358" i="1"/>
  <c r="R2358" i="1"/>
  <c r="S2358" i="1"/>
  <c r="T2358" i="1"/>
  <c r="U2358" i="1"/>
  <c r="V2358" i="1"/>
  <c r="W2358" i="1"/>
  <c r="X2358" i="1"/>
  <c r="Y2358" i="1"/>
  <c r="Z2358" i="1"/>
  <c r="AA2358" i="1"/>
  <c r="AB2358" i="1"/>
  <c r="AC2358" i="1"/>
  <c r="AD2358" i="1"/>
  <c r="AE2358" i="1"/>
  <c r="AF2358" i="1"/>
  <c r="AG2358" i="1"/>
  <c r="AH2358" i="1"/>
  <c r="AI2358" i="1"/>
  <c r="AJ2358" i="1"/>
  <c r="AK2358" i="1"/>
  <c r="AL2358" i="1"/>
  <c r="AM2358" i="1"/>
  <c r="A2359" i="1"/>
  <c r="B2359" i="1"/>
  <c r="C2359" i="1"/>
  <c r="D2359" i="1"/>
  <c r="E2359" i="1"/>
  <c r="F2359" i="1"/>
  <c r="G2359" i="1"/>
  <c r="H2359" i="1"/>
  <c r="I2359" i="1"/>
  <c r="J2359" i="1"/>
  <c r="K2359" i="1"/>
  <c r="L2359" i="1"/>
  <c r="M2359" i="1"/>
  <c r="N2359" i="1"/>
  <c r="O2359" i="1"/>
  <c r="P2359" i="1"/>
  <c r="Q2359" i="1"/>
  <c r="R2359" i="1"/>
  <c r="S2359" i="1"/>
  <c r="T2359" i="1"/>
  <c r="U2359" i="1"/>
  <c r="V2359" i="1"/>
  <c r="W2359" i="1"/>
  <c r="X2359" i="1"/>
  <c r="Y2359" i="1"/>
  <c r="Z2359" i="1"/>
  <c r="AA2359" i="1"/>
  <c r="AB2359" i="1"/>
  <c r="AC2359" i="1"/>
  <c r="AD2359" i="1"/>
  <c r="AE2359" i="1"/>
  <c r="AF2359" i="1"/>
  <c r="AG2359" i="1"/>
  <c r="AH2359" i="1"/>
  <c r="AI2359" i="1"/>
  <c r="AJ2359" i="1"/>
  <c r="AK2359" i="1"/>
  <c r="AL2359" i="1"/>
  <c r="AM2359" i="1"/>
  <c r="A2360" i="1"/>
  <c r="B2360" i="1"/>
  <c r="C2360" i="1"/>
  <c r="D2360" i="1"/>
  <c r="E2360" i="1"/>
  <c r="F2360" i="1"/>
  <c r="G2360" i="1"/>
  <c r="H2360" i="1"/>
  <c r="I2360" i="1"/>
  <c r="J2360" i="1"/>
  <c r="K2360" i="1"/>
  <c r="L2360" i="1"/>
  <c r="M2360" i="1"/>
  <c r="N2360" i="1"/>
  <c r="O2360" i="1"/>
  <c r="P2360" i="1"/>
  <c r="Q2360" i="1"/>
  <c r="R2360" i="1"/>
  <c r="S2360" i="1"/>
  <c r="T2360" i="1"/>
  <c r="U2360" i="1"/>
  <c r="V2360" i="1"/>
  <c r="W2360" i="1"/>
  <c r="X2360" i="1"/>
  <c r="Y2360" i="1"/>
  <c r="Z2360" i="1"/>
  <c r="AA2360" i="1"/>
  <c r="AB2360" i="1"/>
  <c r="AC2360" i="1"/>
  <c r="AD2360" i="1"/>
  <c r="AE2360" i="1"/>
  <c r="AF2360" i="1"/>
  <c r="AG2360" i="1"/>
  <c r="AH2360" i="1"/>
  <c r="AI2360" i="1"/>
  <c r="AJ2360" i="1"/>
  <c r="AK2360" i="1"/>
  <c r="AL2360" i="1"/>
  <c r="AM2360" i="1"/>
  <c r="A2361" i="1"/>
  <c r="B2361" i="1"/>
  <c r="C2361" i="1"/>
  <c r="D2361" i="1"/>
  <c r="E2361" i="1"/>
  <c r="F2361" i="1"/>
  <c r="G2361" i="1"/>
  <c r="H2361" i="1"/>
  <c r="I2361" i="1"/>
  <c r="J2361" i="1"/>
  <c r="K2361" i="1"/>
  <c r="L2361" i="1"/>
  <c r="M2361" i="1"/>
  <c r="N2361" i="1"/>
  <c r="O2361" i="1"/>
  <c r="P2361" i="1"/>
  <c r="Q2361" i="1"/>
  <c r="R2361" i="1"/>
  <c r="S2361" i="1"/>
  <c r="T2361" i="1"/>
  <c r="U2361" i="1"/>
  <c r="V2361" i="1"/>
  <c r="W2361" i="1"/>
  <c r="X2361" i="1"/>
  <c r="Y2361" i="1"/>
  <c r="Z2361" i="1"/>
  <c r="AA2361" i="1"/>
  <c r="AB2361" i="1"/>
  <c r="AC2361" i="1"/>
  <c r="AD2361" i="1"/>
  <c r="AE2361" i="1"/>
  <c r="AF2361" i="1"/>
  <c r="AG2361" i="1"/>
  <c r="AH2361" i="1"/>
  <c r="AI2361" i="1"/>
  <c r="AJ2361" i="1"/>
  <c r="AK2361" i="1"/>
  <c r="AL2361" i="1"/>
  <c r="AM2361" i="1"/>
  <c r="A2362" i="1"/>
  <c r="B2362" i="1"/>
  <c r="C2362" i="1"/>
  <c r="D2362" i="1"/>
  <c r="E2362" i="1"/>
  <c r="F2362" i="1"/>
  <c r="G2362" i="1"/>
  <c r="H2362" i="1"/>
  <c r="I2362" i="1"/>
  <c r="J2362" i="1"/>
  <c r="K2362" i="1"/>
  <c r="L2362" i="1"/>
  <c r="M2362" i="1"/>
  <c r="N2362" i="1"/>
  <c r="O2362" i="1"/>
  <c r="P2362" i="1"/>
  <c r="Q2362" i="1"/>
  <c r="R2362" i="1"/>
  <c r="S2362" i="1"/>
  <c r="T2362" i="1"/>
  <c r="U2362" i="1"/>
  <c r="V2362" i="1"/>
  <c r="W2362" i="1"/>
  <c r="X2362" i="1"/>
  <c r="Y2362" i="1"/>
  <c r="Z2362" i="1"/>
  <c r="AA2362" i="1"/>
  <c r="AB2362" i="1"/>
  <c r="AC2362" i="1"/>
  <c r="AD2362" i="1"/>
  <c r="AE2362" i="1"/>
  <c r="AF2362" i="1"/>
  <c r="AG2362" i="1"/>
  <c r="AH2362" i="1"/>
  <c r="AI2362" i="1"/>
  <c r="AJ2362" i="1"/>
  <c r="AK2362" i="1"/>
  <c r="AL2362" i="1"/>
  <c r="AM2362" i="1"/>
  <c r="A2363" i="1"/>
  <c r="B2363" i="1"/>
  <c r="C2363" i="1"/>
  <c r="D2363" i="1"/>
  <c r="E2363" i="1"/>
  <c r="F2363" i="1"/>
  <c r="G2363" i="1"/>
  <c r="H2363" i="1"/>
  <c r="I2363" i="1"/>
  <c r="J2363" i="1"/>
  <c r="K2363" i="1"/>
  <c r="L2363" i="1"/>
  <c r="M2363" i="1"/>
  <c r="N2363" i="1"/>
  <c r="O2363" i="1"/>
  <c r="P2363" i="1"/>
  <c r="Q2363" i="1"/>
  <c r="R2363" i="1"/>
  <c r="S2363" i="1"/>
  <c r="T2363" i="1"/>
  <c r="U2363" i="1"/>
  <c r="V2363" i="1"/>
  <c r="W2363" i="1"/>
  <c r="X2363" i="1"/>
  <c r="Y2363" i="1"/>
  <c r="Z2363" i="1"/>
  <c r="AA2363" i="1"/>
  <c r="AB2363" i="1"/>
  <c r="AC2363" i="1"/>
  <c r="AD2363" i="1"/>
  <c r="AE2363" i="1"/>
  <c r="AF2363" i="1"/>
  <c r="AG2363" i="1"/>
  <c r="AH2363" i="1"/>
  <c r="AI2363" i="1"/>
  <c r="AJ2363" i="1"/>
  <c r="AK2363" i="1"/>
  <c r="AL2363" i="1"/>
  <c r="AM2363" i="1"/>
  <c r="A2364" i="1"/>
  <c r="B2364" i="1"/>
  <c r="C2364" i="1"/>
  <c r="D2364" i="1"/>
  <c r="E2364" i="1"/>
  <c r="F2364" i="1"/>
  <c r="G2364" i="1"/>
  <c r="H2364" i="1"/>
  <c r="I2364" i="1"/>
  <c r="J2364" i="1"/>
  <c r="K2364" i="1"/>
  <c r="L2364" i="1"/>
  <c r="M2364" i="1"/>
  <c r="N2364" i="1"/>
  <c r="O2364" i="1"/>
  <c r="P2364" i="1"/>
  <c r="Q2364" i="1"/>
  <c r="R2364" i="1"/>
  <c r="S2364" i="1"/>
  <c r="T2364" i="1"/>
  <c r="U2364" i="1"/>
  <c r="V2364" i="1"/>
  <c r="W2364" i="1"/>
  <c r="X2364" i="1"/>
  <c r="Y2364" i="1"/>
  <c r="Z2364" i="1"/>
  <c r="AA2364" i="1"/>
  <c r="AB2364" i="1"/>
  <c r="AC2364" i="1"/>
  <c r="AD2364" i="1"/>
  <c r="AE2364" i="1"/>
  <c r="AF2364" i="1"/>
  <c r="AG2364" i="1"/>
  <c r="AH2364" i="1"/>
  <c r="AI2364" i="1"/>
  <c r="AJ2364" i="1"/>
  <c r="AK2364" i="1"/>
  <c r="AL2364" i="1"/>
  <c r="AM2364" i="1"/>
  <c r="A2365" i="1"/>
  <c r="B2365" i="1"/>
  <c r="C2365" i="1"/>
  <c r="D2365" i="1"/>
  <c r="E2365" i="1"/>
  <c r="F2365" i="1"/>
  <c r="G2365" i="1"/>
  <c r="H2365" i="1"/>
  <c r="I2365" i="1"/>
  <c r="J2365" i="1"/>
  <c r="K2365" i="1"/>
  <c r="L2365" i="1"/>
  <c r="M2365" i="1"/>
  <c r="N2365" i="1"/>
  <c r="O2365" i="1"/>
  <c r="P2365" i="1"/>
  <c r="Q2365" i="1"/>
  <c r="R2365" i="1"/>
  <c r="S2365" i="1"/>
  <c r="T2365" i="1"/>
  <c r="U2365" i="1"/>
  <c r="V2365" i="1"/>
  <c r="W2365" i="1"/>
  <c r="X2365" i="1"/>
  <c r="Y2365" i="1"/>
  <c r="Z2365" i="1"/>
  <c r="AA2365" i="1"/>
  <c r="AB2365" i="1"/>
  <c r="AC2365" i="1"/>
  <c r="AD2365" i="1"/>
  <c r="AE2365" i="1"/>
  <c r="AF2365" i="1"/>
  <c r="AG2365" i="1"/>
  <c r="AH2365" i="1"/>
  <c r="AI2365" i="1"/>
  <c r="AJ2365" i="1"/>
  <c r="AK2365" i="1"/>
  <c r="AL2365" i="1"/>
  <c r="AM2365" i="1"/>
  <c r="A2366" i="1"/>
  <c r="B2366" i="1"/>
  <c r="C2366" i="1"/>
  <c r="D2366" i="1"/>
  <c r="E2366" i="1"/>
  <c r="F2366" i="1"/>
  <c r="G2366" i="1"/>
  <c r="H2366" i="1"/>
  <c r="I2366" i="1"/>
  <c r="J2366" i="1"/>
  <c r="K2366" i="1"/>
  <c r="L2366" i="1"/>
  <c r="M2366" i="1"/>
  <c r="N2366" i="1"/>
  <c r="O2366" i="1"/>
  <c r="P2366" i="1"/>
  <c r="Q2366" i="1"/>
  <c r="R2366" i="1"/>
  <c r="S2366" i="1"/>
  <c r="T2366" i="1"/>
  <c r="U2366" i="1"/>
  <c r="V2366" i="1"/>
  <c r="W2366" i="1"/>
  <c r="X2366" i="1"/>
  <c r="Y2366" i="1"/>
  <c r="Z2366" i="1"/>
  <c r="AA2366" i="1"/>
  <c r="AB2366" i="1"/>
  <c r="AC2366" i="1"/>
  <c r="AD2366" i="1"/>
  <c r="AE2366" i="1"/>
  <c r="AF2366" i="1"/>
  <c r="AG2366" i="1"/>
  <c r="AH2366" i="1"/>
  <c r="AI2366" i="1"/>
  <c r="AJ2366" i="1"/>
  <c r="AK2366" i="1"/>
  <c r="AL2366" i="1"/>
  <c r="AM2366" i="1"/>
  <c r="A2367" i="1"/>
  <c r="B2367" i="1"/>
  <c r="C2367" i="1"/>
  <c r="D2367" i="1"/>
  <c r="E2367" i="1"/>
  <c r="F2367" i="1"/>
  <c r="G2367" i="1"/>
  <c r="H2367" i="1"/>
  <c r="I2367" i="1"/>
  <c r="J2367" i="1"/>
  <c r="K2367" i="1"/>
  <c r="L2367" i="1"/>
  <c r="M2367" i="1"/>
  <c r="N2367" i="1"/>
  <c r="O2367" i="1"/>
  <c r="P2367" i="1"/>
  <c r="Q2367" i="1"/>
  <c r="R2367" i="1"/>
  <c r="S2367" i="1"/>
  <c r="T2367" i="1"/>
  <c r="U2367" i="1"/>
  <c r="V2367" i="1"/>
  <c r="W2367" i="1"/>
  <c r="X2367" i="1"/>
  <c r="Y2367" i="1"/>
  <c r="Z2367" i="1"/>
  <c r="AA2367" i="1"/>
  <c r="AB2367" i="1"/>
  <c r="AC2367" i="1"/>
  <c r="AD2367" i="1"/>
  <c r="AE2367" i="1"/>
  <c r="AF2367" i="1"/>
  <c r="AG2367" i="1"/>
  <c r="AH2367" i="1"/>
  <c r="AI2367" i="1"/>
  <c r="AJ2367" i="1"/>
  <c r="AK2367" i="1"/>
  <c r="AL2367" i="1"/>
  <c r="AM2367" i="1"/>
  <c r="A2368" i="1"/>
  <c r="B2368" i="1"/>
  <c r="C2368" i="1"/>
  <c r="D2368" i="1"/>
  <c r="E2368" i="1"/>
  <c r="F2368" i="1"/>
  <c r="G2368" i="1"/>
  <c r="H2368" i="1"/>
  <c r="I2368" i="1"/>
  <c r="J2368" i="1"/>
  <c r="K2368" i="1"/>
  <c r="L2368" i="1"/>
  <c r="M2368" i="1"/>
  <c r="N2368" i="1"/>
  <c r="O2368" i="1"/>
  <c r="P2368" i="1"/>
  <c r="Q2368" i="1"/>
  <c r="R2368" i="1"/>
  <c r="S2368" i="1"/>
  <c r="T2368" i="1"/>
  <c r="U2368" i="1"/>
  <c r="V2368" i="1"/>
  <c r="W2368" i="1"/>
  <c r="X2368" i="1"/>
  <c r="Y2368" i="1"/>
  <c r="Z2368" i="1"/>
  <c r="AA2368" i="1"/>
  <c r="AB2368" i="1"/>
  <c r="AC2368" i="1"/>
  <c r="AD2368" i="1"/>
  <c r="AE2368" i="1"/>
  <c r="AF2368" i="1"/>
  <c r="AG2368" i="1"/>
  <c r="AH2368" i="1"/>
  <c r="AI2368" i="1"/>
  <c r="AJ2368" i="1"/>
  <c r="AK2368" i="1"/>
  <c r="AL2368" i="1"/>
  <c r="AM2368" i="1"/>
  <c r="A2369" i="1"/>
  <c r="B2369" i="1"/>
  <c r="C2369" i="1"/>
  <c r="D2369" i="1"/>
  <c r="E2369" i="1"/>
  <c r="F2369" i="1"/>
  <c r="G2369" i="1"/>
  <c r="H2369" i="1"/>
  <c r="I2369" i="1"/>
  <c r="J2369" i="1"/>
  <c r="K2369" i="1"/>
  <c r="L2369" i="1"/>
  <c r="M2369" i="1"/>
  <c r="N2369" i="1"/>
  <c r="O2369" i="1"/>
  <c r="P2369" i="1"/>
  <c r="Q2369" i="1"/>
  <c r="R2369" i="1"/>
  <c r="S2369" i="1"/>
  <c r="T2369" i="1"/>
  <c r="U2369" i="1"/>
  <c r="V2369" i="1"/>
  <c r="W2369" i="1"/>
  <c r="X2369" i="1"/>
  <c r="Y2369" i="1"/>
  <c r="Z2369" i="1"/>
  <c r="AA2369" i="1"/>
  <c r="AB2369" i="1"/>
  <c r="AC2369" i="1"/>
  <c r="AD2369" i="1"/>
  <c r="AE2369" i="1"/>
  <c r="AF2369" i="1"/>
  <c r="AG2369" i="1"/>
  <c r="AH2369" i="1"/>
  <c r="AI2369" i="1"/>
  <c r="AJ2369" i="1"/>
  <c r="AK2369" i="1"/>
  <c r="AL2369" i="1"/>
  <c r="AM2369" i="1"/>
  <c r="A2370" i="1"/>
  <c r="B2370" i="1"/>
  <c r="C2370" i="1"/>
  <c r="D2370" i="1"/>
  <c r="E2370" i="1"/>
  <c r="F2370" i="1"/>
  <c r="G2370" i="1"/>
  <c r="H2370" i="1"/>
  <c r="I2370" i="1"/>
  <c r="J2370" i="1"/>
  <c r="K2370" i="1"/>
  <c r="L2370" i="1"/>
  <c r="M2370" i="1"/>
  <c r="N2370" i="1"/>
  <c r="O2370" i="1"/>
  <c r="P2370" i="1"/>
  <c r="Q2370" i="1"/>
  <c r="R2370" i="1"/>
  <c r="S2370" i="1"/>
  <c r="T2370" i="1"/>
  <c r="U2370" i="1"/>
  <c r="V2370" i="1"/>
  <c r="W2370" i="1"/>
  <c r="X2370" i="1"/>
  <c r="Y2370" i="1"/>
  <c r="Z2370" i="1"/>
  <c r="AA2370" i="1"/>
  <c r="AB2370" i="1"/>
  <c r="AC2370" i="1"/>
  <c r="AD2370" i="1"/>
  <c r="AE2370" i="1"/>
  <c r="AF2370" i="1"/>
  <c r="AG2370" i="1"/>
  <c r="AH2370" i="1"/>
  <c r="AI2370" i="1"/>
  <c r="AJ2370" i="1"/>
  <c r="AK2370" i="1"/>
  <c r="AL2370" i="1"/>
  <c r="AM2370" i="1"/>
  <c r="A2371" i="1"/>
  <c r="B2371" i="1"/>
  <c r="C2371" i="1"/>
  <c r="D2371" i="1"/>
  <c r="E2371" i="1"/>
  <c r="F2371" i="1"/>
  <c r="G2371" i="1"/>
  <c r="H2371" i="1"/>
  <c r="I2371" i="1"/>
  <c r="J2371" i="1"/>
  <c r="K2371" i="1"/>
  <c r="L2371" i="1"/>
  <c r="M2371" i="1"/>
  <c r="N2371" i="1"/>
  <c r="O2371" i="1"/>
  <c r="P2371" i="1"/>
  <c r="Q2371" i="1"/>
  <c r="R2371" i="1"/>
  <c r="S2371" i="1"/>
  <c r="T2371" i="1"/>
  <c r="U2371" i="1"/>
  <c r="V2371" i="1"/>
  <c r="W2371" i="1"/>
  <c r="X2371" i="1"/>
  <c r="Y2371" i="1"/>
  <c r="Z2371" i="1"/>
  <c r="AA2371" i="1"/>
  <c r="AB2371" i="1"/>
  <c r="AC2371" i="1"/>
  <c r="AD2371" i="1"/>
  <c r="AE2371" i="1"/>
  <c r="AF2371" i="1"/>
  <c r="AG2371" i="1"/>
  <c r="AH2371" i="1"/>
  <c r="AI2371" i="1"/>
  <c r="AJ2371" i="1"/>
  <c r="AK2371" i="1"/>
  <c r="AL2371" i="1"/>
  <c r="AM2371" i="1"/>
  <c r="A2372" i="1"/>
  <c r="B2372" i="1"/>
  <c r="C2372" i="1"/>
  <c r="D2372" i="1"/>
  <c r="E2372" i="1"/>
  <c r="F2372" i="1"/>
  <c r="G2372" i="1"/>
  <c r="H2372" i="1"/>
  <c r="I2372" i="1"/>
  <c r="J2372" i="1"/>
  <c r="K2372" i="1"/>
  <c r="L2372" i="1"/>
  <c r="M2372" i="1"/>
  <c r="N2372" i="1"/>
  <c r="O2372" i="1"/>
  <c r="P2372" i="1"/>
  <c r="Q2372" i="1"/>
  <c r="R2372" i="1"/>
  <c r="S2372" i="1"/>
  <c r="T2372" i="1"/>
  <c r="U2372" i="1"/>
  <c r="V2372" i="1"/>
  <c r="W2372" i="1"/>
  <c r="X2372" i="1"/>
  <c r="Y2372" i="1"/>
  <c r="Z2372" i="1"/>
  <c r="AA2372" i="1"/>
  <c r="AB2372" i="1"/>
  <c r="AC2372" i="1"/>
  <c r="AD2372" i="1"/>
  <c r="AE2372" i="1"/>
  <c r="AF2372" i="1"/>
  <c r="AG2372" i="1"/>
  <c r="AH2372" i="1"/>
  <c r="AI2372" i="1"/>
  <c r="AJ2372" i="1"/>
  <c r="AK2372" i="1"/>
  <c r="AL2372" i="1"/>
  <c r="AM2372" i="1"/>
  <c r="A2373" i="1"/>
  <c r="B2373" i="1"/>
  <c r="C2373" i="1"/>
  <c r="D2373" i="1"/>
  <c r="E2373" i="1"/>
  <c r="F2373" i="1"/>
  <c r="G2373" i="1"/>
  <c r="H2373" i="1"/>
  <c r="I2373" i="1"/>
  <c r="J2373" i="1"/>
  <c r="K2373" i="1"/>
  <c r="L2373" i="1"/>
  <c r="M2373" i="1"/>
  <c r="N2373" i="1"/>
  <c r="O2373" i="1"/>
  <c r="P2373" i="1"/>
  <c r="Q2373" i="1"/>
  <c r="R2373" i="1"/>
  <c r="S2373" i="1"/>
  <c r="T2373" i="1"/>
  <c r="U2373" i="1"/>
  <c r="V2373" i="1"/>
  <c r="W2373" i="1"/>
  <c r="X2373" i="1"/>
  <c r="Y2373" i="1"/>
  <c r="Z2373" i="1"/>
  <c r="AA2373" i="1"/>
  <c r="AB2373" i="1"/>
  <c r="AC2373" i="1"/>
  <c r="AD2373" i="1"/>
  <c r="AE2373" i="1"/>
  <c r="AF2373" i="1"/>
  <c r="AG2373" i="1"/>
  <c r="AH2373" i="1"/>
  <c r="AI2373" i="1"/>
  <c r="AJ2373" i="1"/>
  <c r="AK2373" i="1"/>
  <c r="AL2373" i="1"/>
  <c r="AM2373" i="1"/>
  <c r="A2374" i="1"/>
  <c r="B2374" i="1"/>
  <c r="C2374" i="1"/>
  <c r="D2374" i="1"/>
  <c r="E2374" i="1"/>
  <c r="F2374" i="1"/>
  <c r="G2374" i="1"/>
  <c r="H2374" i="1"/>
  <c r="I2374" i="1"/>
  <c r="J2374" i="1"/>
  <c r="K2374" i="1"/>
  <c r="L2374" i="1"/>
  <c r="M2374" i="1"/>
  <c r="N2374" i="1"/>
  <c r="O2374" i="1"/>
  <c r="P2374" i="1"/>
  <c r="Q2374" i="1"/>
  <c r="R2374" i="1"/>
  <c r="S2374" i="1"/>
  <c r="T2374" i="1"/>
  <c r="U2374" i="1"/>
  <c r="V2374" i="1"/>
  <c r="W2374" i="1"/>
  <c r="X2374" i="1"/>
  <c r="Y2374" i="1"/>
  <c r="Z2374" i="1"/>
  <c r="AA2374" i="1"/>
  <c r="AB2374" i="1"/>
  <c r="AC2374" i="1"/>
  <c r="AD2374" i="1"/>
  <c r="AE2374" i="1"/>
  <c r="AF2374" i="1"/>
  <c r="AG2374" i="1"/>
  <c r="AH2374" i="1"/>
  <c r="AI2374" i="1"/>
  <c r="AJ2374" i="1"/>
  <c r="AK2374" i="1"/>
  <c r="AL2374" i="1"/>
  <c r="AM2374" i="1"/>
  <c r="A2375" i="1"/>
  <c r="B2375" i="1"/>
  <c r="C2375" i="1"/>
  <c r="D2375" i="1"/>
  <c r="E2375" i="1"/>
  <c r="F2375" i="1"/>
  <c r="G2375" i="1"/>
  <c r="H2375" i="1"/>
  <c r="I2375" i="1"/>
  <c r="J2375" i="1"/>
  <c r="K2375" i="1"/>
  <c r="L2375" i="1"/>
  <c r="M2375" i="1"/>
  <c r="N2375" i="1"/>
  <c r="O2375" i="1"/>
  <c r="P2375" i="1"/>
  <c r="Q2375" i="1"/>
  <c r="R2375" i="1"/>
  <c r="S2375" i="1"/>
  <c r="T2375" i="1"/>
  <c r="U2375" i="1"/>
  <c r="V2375" i="1"/>
  <c r="W2375" i="1"/>
  <c r="X2375" i="1"/>
  <c r="Y2375" i="1"/>
  <c r="Z2375" i="1"/>
  <c r="AA2375" i="1"/>
  <c r="AB2375" i="1"/>
  <c r="AC2375" i="1"/>
  <c r="AD2375" i="1"/>
  <c r="AE2375" i="1"/>
  <c r="AF2375" i="1"/>
  <c r="AG2375" i="1"/>
  <c r="AH2375" i="1"/>
  <c r="AI2375" i="1"/>
  <c r="AJ2375" i="1"/>
  <c r="AK2375" i="1"/>
  <c r="AL2375" i="1"/>
  <c r="AM2375" i="1"/>
  <c r="A2376" i="1"/>
  <c r="B2376" i="1"/>
  <c r="C2376" i="1"/>
  <c r="D2376" i="1"/>
  <c r="E2376" i="1"/>
  <c r="F2376" i="1"/>
  <c r="G2376" i="1"/>
  <c r="H2376" i="1"/>
  <c r="I2376" i="1"/>
  <c r="J2376" i="1"/>
  <c r="K2376" i="1"/>
  <c r="L2376" i="1"/>
  <c r="M2376" i="1"/>
  <c r="N2376" i="1"/>
  <c r="O2376" i="1"/>
  <c r="P2376" i="1"/>
  <c r="Q2376" i="1"/>
  <c r="R2376" i="1"/>
  <c r="S2376" i="1"/>
  <c r="T2376" i="1"/>
  <c r="U2376" i="1"/>
  <c r="V2376" i="1"/>
  <c r="W2376" i="1"/>
  <c r="X2376" i="1"/>
  <c r="Y2376" i="1"/>
  <c r="Z2376" i="1"/>
  <c r="AA2376" i="1"/>
  <c r="AB2376" i="1"/>
  <c r="AC2376" i="1"/>
  <c r="AD2376" i="1"/>
  <c r="AE2376" i="1"/>
  <c r="AF2376" i="1"/>
  <c r="AG2376" i="1"/>
  <c r="AH2376" i="1"/>
  <c r="AI2376" i="1"/>
  <c r="AJ2376" i="1"/>
  <c r="AK2376" i="1"/>
  <c r="AL2376" i="1"/>
  <c r="AM2376" i="1"/>
  <c r="A2377" i="1"/>
  <c r="B2377" i="1"/>
  <c r="C2377" i="1"/>
  <c r="D2377" i="1"/>
  <c r="E2377" i="1"/>
  <c r="F2377" i="1"/>
  <c r="G2377" i="1"/>
  <c r="H2377" i="1"/>
  <c r="I2377" i="1"/>
  <c r="J2377" i="1"/>
  <c r="K2377" i="1"/>
  <c r="L2377" i="1"/>
  <c r="M2377" i="1"/>
  <c r="N2377" i="1"/>
  <c r="O2377" i="1"/>
  <c r="P2377" i="1"/>
  <c r="Q2377" i="1"/>
  <c r="R2377" i="1"/>
  <c r="S2377" i="1"/>
  <c r="T2377" i="1"/>
  <c r="U2377" i="1"/>
  <c r="V2377" i="1"/>
  <c r="W2377" i="1"/>
  <c r="X2377" i="1"/>
  <c r="Y2377" i="1"/>
  <c r="Z2377" i="1"/>
  <c r="AA2377" i="1"/>
  <c r="AB2377" i="1"/>
  <c r="AC2377" i="1"/>
  <c r="AD2377" i="1"/>
  <c r="AE2377" i="1"/>
  <c r="AF2377" i="1"/>
  <c r="AG2377" i="1"/>
  <c r="AH2377" i="1"/>
  <c r="AI2377" i="1"/>
  <c r="AJ2377" i="1"/>
  <c r="AK2377" i="1"/>
  <c r="AL2377" i="1"/>
  <c r="AM2377" i="1"/>
  <c r="A2378" i="1"/>
  <c r="B2378" i="1"/>
  <c r="C2378" i="1"/>
  <c r="D2378" i="1"/>
  <c r="E2378" i="1"/>
  <c r="F2378" i="1"/>
  <c r="G2378" i="1"/>
  <c r="H2378" i="1"/>
  <c r="I2378" i="1"/>
  <c r="J2378" i="1"/>
  <c r="K2378" i="1"/>
  <c r="L2378" i="1"/>
  <c r="M2378" i="1"/>
  <c r="N2378" i="1"/>
  <c r="O2378" i="1"/>
  <c r="P2378" i="1"/>
  <c r="Q2378" i="1"/>
  <c r="R2378" i="1"/>
  <c r="S2378" i="1"/>
  <c r="T2378" i="1"/>
  <c r="U2378" i="1"/>
  <c r="V2378" i="1"/>
  <c r="W2378" i="1"/>
  <c r="X2378" i="1"/>
  <c r="Y2378" i="1"/>
  <c r="Z2378" i="1"/>
  <c r="AA2378" i="1"/>
  <c r="AB2378" i="1"/>
  <c r="AC2378" i="1"/>
  <c r="AD2378" i="1"/>
  <c r="AE2378" i="1"/>
  <c r="AF2378" i="1"/>
  <c r="AG2378" i="1"/>
  <c r="AH2378" i="1"/>
  <c r="AI2378" i="1"/>
  <c r="AJ2378" i="1"/>
  <c r="AK2378" i="1"/>
  <c r="AL2378" i="1"/>
  <c r="AM2378" i="1"/>
  <c r="A2379" i="1"/>
  <c r="B2379" i="1"/>
  <c r="C2379" i="1"/>
  <c r="D2379" i="1"/>
  <c r="E2379" i="1"/>
  <c r="F2379" i="1"/>
  <c r="G2379" i="1"/>
  <c r="H2379" i="1"/>
  <c r="I2379" i="1"/>
  <c r="J2379" i="1"/>
  <c r="K2379" i="1"/>
  <c r="L2379" i="1"/>
  <c r="M2379" i="1"/>
  <c r="N2379" i="1"/>
  <c r="O2379" i="1"/>
  <c r="P2379" i="1"/>
  <c r="Q2379" i="1"/>
  <c r="R2379" i="1"/>
  <c r="S2379" i="1"/>
  <c r="T2379" i="1"/>
  <c r="U2379" i="1"/>
  <c r="V2379" i="1"/>
  <c r="W2379" i="1"/>
  <c r="X2379" i="1"/>
  <c r="Y2379" i="1"/>
  <c r="Z2379" i="1"/>
  <c r="AA2379" i="1"/>
  <c r="AB2379" i="1"/>
  <c r="AC2379" i="1"/>
  <c r="AD2379" i="1"/>
  <c r="AE2379" i="1"/>
  <c r="AF2379" i="1"/>
  <c r="AG2379" i="1"/>
  <c r="AH2379" i="1"/>
  <c r="AI2379" i="1"/>
  <c r="AJ2379" i="1"/>
  <c r="AK2379" i="1"/>
  <c r="AL2379" i="1"/>
  <c r="AM2379" i="1"/>
  <c r="A2380" i="1"/>
  <c r="B2380" i="1"/>
  <c r="C2380" i="1"/>
  <c r="D2380" i="1"/>
  <c r="E2380" i="1"/>
  <c r="F2380" i="1"/>
  <c r="G2380" i="1"/>
  <c r="H2380" i="1"/>
  <c r="I2380" i="1"/>
  <c r="J2380" i="1"/>
  <c r="K2380" i="1"/>
  <c r="L2380" i="1"/>
  <c r="M2380" i="1"/>
  <c r="N2380" i="1"/>
  <c r="O2380" i="1"/>
  <c r="P2380" i="1"/>
  <c r="Q2380" i="1"/>
  <c r="R2380" i="1"/>
  <c r="S2380" i="1"/>
  <c r="T2380" i="1"/>
  <c r="U2380" i="1"/>
  <c r="V2380" i="1"/>
  <c r="W2380" i="1"/>
  <c r="X2380" i="1"/>
  <c r="Y2380" i="1"/>
  <c r="Z2380" i="1"/>
  <c r="AA2380" i="1"/>
  <c r="AB2380" i="1"/>
  <c r="AC2380" i="1"/>
  <c r="AD2380" i="1"/>
  <c r="AE2380" i="1"/>
  <c r="AF2380" i="1"/>
  <c r="AG2380" i="1"/>
  <c r="AH2380" i="1"/>
  <c r="AI2380" i="1"/>
  <c r="AJ2380" i="1"/>
  <c r="AK2380" i="1"/>
  <c r="AL2380" i="1"/>
  <c r="AM2380" i="1"/>
  <c r="A2381" i="1"/>
  <c r="B2381" i="1"/>
  <c r="C2381" i="1"/>
  <c r="D2381" i="1"/>
  <c r="E2381" i="1"/>
  <c r="F2381" i="1"/>
  <c r="G2381" i="1"/>
  <c r="H2381" i="1"/>
  <c r="I2381" i="1"/>
  <c r="J2381" i="1"/>
  <c r="K2381" i="1"/>
  <c r="L2381" i="1"/>
  <c r="M2381" i="1"/>
  <c r="N2381" i="1"/>
  <c r="O2381" i="1"/>
  <c r="P2381" i="1"/>
  <c r="Q2381" i="1"/>
  <c r="R2381" i="1"/>
  <c r="S2381" i="1"/>
  <c r="T2381" i="1"/>
  <c r="U2381" i="1"/>
  <c r="V2381" i="1"/>
  <c r="W2381" i="1"/>
  <c r="X2381" i="1"/>
  <c r="Y2381" i="1"/>
  <c r="Z2381" i="1"/>
  <c r="AA2381" i="1"/>
  <c r="AB2381" i="1"/>
  <c r="AC2381" i="1"/>
  <c r="AD2381" i="1"/>
  <c r="AE2381" i="1"/>
  <c r="AF2381" i="1"/>
  <c r="AG2381" i="1"/>
  <c r="AH2381" i="1"/>
  <c r="AI2381" i="1"/>
  <c r="AJ2381" i="1"/>
  <c r="AK2381" i="1"/>
  <c r="AL2381" i="1"/>
  <c r="AM2381" i="1"/>
  <c r="A2382" i="1"/>
  <c r="B2382" i="1"/>
  <c r="C2382" i="1"/>
  <c r="D2382" i="1"/>
  <c r="E2382" i="1"/>
  <c r="F2382" i="1"/>
  <c r="G2382" i="1"/>
  <c r="H2382" i="1"/>
  <c r="I2382" i="1"/>
  <c r="J2382" i="1"/>
  <c r="K2382" i="1"/>
  <c r="L2382" i="1"/>
  <c r="M2382" i="1"/>
  <c r="N2382" i="1"/>
  <c r="O2382" i="1"/>
  <c r="P2382" i="1"/>
  <c r="Q2382" i="1"/>
  <c r="R2382" i="1"/>
  <c r="S2382" i="1"/>
  <c r="T2382" i="1"/>
  <c r="U2382" i="1"/>
  <c r="V2382" i="1"/>
  <c r="W2382" i="1"/>
  <c r="X2382" i="1"/>
  <c r="Y2382" i="1"/>
  <c r="Z2382" i="1"/>
  <c r="AA2382" i="1"/>
  <c r="AB2382" i="1"/>
  <c r="AC2382" i="1"/>
  <c r="AD2382" i="1"/>
  <c r="AE2382" i="1"/>
  <c r="AF2382" i="1"/>
  <c r="AG2382" i="1"/>
  <c r="AH2382" i="1"/>
  <c r="AI2382" i="1"/>
  <c r="AJ2382" i="1"/>
  <c r="AK2382" i="1"/>
  <c r="AL2382" i="1"/>
  <c r="AM2382" i="1"/>
  <c r="A2383" i="1"/>
  <c r="B2383" i="1"/>
  <c r="C2383" i="1"/>
  <c r="D2383" i="1"/>
  <c r="E2383" i="1"/>
  <c r="F2383" i="1"/>
  <c r="G2383" i="1"/>
  <c r="H2383" i="1"/>
  <c r="I2383" i="1"/>
  <c r="J2383" i="1"/>
  <c r="K2383" i="1"/>
  <c r="L2383" i="1"/>
  <c r="M2383" i="1"/>
  <c r="N2383" i="1"/>
  <c r="O2383" i="1"/>
  <c r="P2383" i="1"/>
  <c r="Q2383" i="1"/>
  <c r="R2383" i="1"/>
  <c r="S2383" i="1"/>
  <c r="T2383" i="1"/>
  <c r="U2383" i="1"/>
  <c r="V2383" i="1"/>
  <c r="W2383" i="1"/>
  <c r="X2383" i="1"/>
  <c r="Y2383" i="1"/>
  <c r="Z2383" i="1"/>
  <c r="AA2383" i="1"/>
  <c r="AB2383" i="1"/>
  <c r="AC2383" i="1"/>
  <c r="AD2383" i="1"/>
  <c r="AE2383" i="1"/>
  <c r="AF2383" i="1"/>
  <c r="AG2383" i="1"/>
  <c r="AH2383" i="1"/>
  <c r="AI2383" i="1"/>
  <c r="AJ2383" i="1"/>
  <c r="AK2383" i="1"/>
  <c r="AL2383" i="1"/>
  <c r="AM2383" i="1"/>
  <c r="A2384" i="1"/>
  <c r="B2384" i="1"/>
  <c r="C2384" i="1"/>
  <c r="D2384" i="1"/>
  <c r="E2384" i="1"/>
  <c r="F2384" i="1"/>
  <c r="G2384" i="1"/>
  <c r="H2384" i="1"/>
  <c r="I2384" i="1"/>
  <c r="J2384" i="1"/>
  <c r="K2384" i="1"/>
  <c r="L2384" i="1"/>
  <c r="M2384" i="1"/>
  <c r="N2384" i="1"/>
  <c r="O2384" i="1"/>
  <c r="P2384" i="1"/>
  <c r="Q2384" i="1"/>
  <c r="R2384" i="1"/>
  <c r="S2384" i="1"/>
  <c r="T2384" i="1"/>
  <c r="U2384" i="1"/>
  <c r="V2384" i="1"/>
  <c r="W2384" i="1"/>
  <c r="X2384" i="1"/>
  <c r="Y2384" i="1"/>
  <c r="Z2384" i="1"/>
  <c r="AA2384" i="1"/>
  <c r="AB2384" i="1"/>
  <c r="AC2384" i="1"/>
  <c r="AD2384" i="1"/>
  <c r="AE2384" i="1"/>
  <c r="AF2384" i="1"/>
  <c r="AG2384" i="1"/>
  <c r="AH2384" i="1"/>
  <c r="AI2384" i="1"/>
  <c r="AJ2384" i="1"/>
  <c r="AK2384" i="1"/>
  <c r="AL2384" i="1"/>
  <c r="AM2384" i="1"/>
  <c r="A2385" i="1"/>
  <c r="B2385" i="1"/>
  <c r="C2385" i="1"/>
  <c r="D2385" i="1"/>
  <c r="E2385" i="1"/>
  <c r="F2385" i="1"/>
  <c r="G2385" i="1"/>
  <c r="H2385" i="1"/>
  <c r="I2385" i="1"/>
  <c r="J2385" i="1"/>
  <c r="K2385" i="1"/>
  <c r="L2385" i="1"/>
  <c r="M2385" i="1"/>
  <c r="N2385" i="1"/>
  <c r="O2385" i="1"/>
  <c r="P2385" i="1"/>
  <c r="Q2385" i="1"/>
  <c r="R2385" i="1"/>
  <c r="S2385" i="1"/>
  <c r="T2385" i="1"/>
  <c r="U2385" i="1"/>
  <c r="V2385" i="1"/>
  <c r="W2385" i="1"/>
  <c r="X2385" i="1"/>
  <c r="Y2385" i="1"/>
  <c r="Z2385" i="1"/>
  <c r="AA2385" i="1"/>
  <c r="AB2385" i="1"/>
  <c r="AC2385" i="1"/>
  <c r="AD2385" i="1"/>
  <c r="AE2385" i="1"/>
  <c r="AF2385" i="1"/>
  <c r="AG2385" i="1"/>
  <c r="AH2385" i="1"/>
  <c r="AI2385" i="1"/>
  <c r="AJ2385" i="1"/>
  <c r="AK2385" i="1"/>
  <c r="AL2385" i="1"/>
  <c r="AM2385" i="1"/>
  <c r="A2386" i="1"/>
  <c r="B2386" i="1"/>
  <c r="C2386" i="1"/>
  <c r="D2386" i="1"/>
  <c r="E2386" i="1"/>
  <c r="F2386" i="1"/>
  <c r="G2386" i="1"/>
  <c r="H2386" i="1"/>
  <c r="I2386" i="1"/>
  <c r="J2386" i="1"/>
  <c r="K2386" i="1"/>
  <c r="L2386" i="1"/>
  <c r="M2386" i="1"/>
  <c r="N2386" i="1"/>
  <c r="O2386" i="1"/>
  <c r="P2386" i="1"/>
  <c r="Q2386" i="1"/>
  <c r="R2386" i="1"/>
  <c r="S2386" i="1"/>
  <c r="T2386" i="1"/>
  <c r="U2386" i="1"/>
  <c r="V2386" i="1"/>
  <c r="W2386" i="1"/>
  <c r="X2386" i="1"/>
  <c r="Y2386" i="1"/>
  <c r="Z2386" i="1"/>
  <c r="AA2386" i="1"/>
  <c r="AB2386" i="1"/>
  <c r="AC2386" i="1"/>
  <c r="AD2386" i="1"/>
  <c r="AE2386" i="1"/>
  <c r="AF2386" i="1"/>
  <c r="AG2386" i="1"/>
  <c r="AH2386" i="1"/>
  <c r="AI2386" i="1"/>
  <c r="AJ2386" i="1"/>
  <c r="AK2386" i="1"/>
  <c r="AL2386" i="1"/>
  <c r="AM2386" i="1"/>
  <c r="A2387" i="1"/>
  <c r="B2387" i="1"/>
  <c r="C2387" i="1"/>
  <c r="D2387" i="1"/>
  <c r="E2387" i="1"/>
  <c r="F2387" i="1"/>
  <c r="G2387" i="1"/>
  <c r="H2387" i="1"/>
  <c r="I2387" i="1"/>
  <c r="J2387" i="1"/>
  <c r="K2387" i="1"/>
  <c r="L2387" i="1"/>
  <c r="M2387" i="1"/>
  <c r="N2387" i="1"/>
  <c r="O2387" i="1"/>
  <c r="P2387" i="1"/>
  <c r="Q2387" i="1"/>
  <c r="R2387" i="1"/>
  <c r="S2387" i="1"/>
  <c r="T2387" i="1"/>
  <c r="U2387" i="1"/>
  <c r="V2387" i="1"/>
  <c r="W2387" i="1"/>
  <c r="X2387" i="1"/>
  <c r="Y2387" i="1"/>
  <c r="Z2387" i="1"/>
  <c r="AA2387" i="1"/>
  <c r="AB2387" i="1"/>
  <c r="AC2387" i="1"/>
  <c r="AD2387" i="1"/>
  <c r="AE2387" i="1"/>
  <c r="AF2387" i="1"/>
  <c r="AG2387" i="1"/>
  <c r="AH2387" i="1"/>
  <c r="AI2387" i="1"/>
  <c r="AJ2387" i="1"/>
  <c r="AK2387" i="1"/>
  <c r="AL2387" i="1"/>
  <c r="AM2387" i="1"/>
  <c r="A2388" i="1"/>
  <c r="B2388" i="1"/>
  <c r="C2388" i="1"/>
  <c r="D2388" i="1"/>
  <c r="E2388" i="1"/>
  <c r="F2388" i="1"/>
  <c r="G2388" i="1"/>
  <c r="H2388" i="1"/>
  <c r="I2388" i="1"/>
  <c r="J2388" i="1"/>
  <c r="K2388" i="1"/>
  <c r="L2388" i="1"/>
  <c r="M2388" i="1"/>
  <c r="N2388" i="1"/>
  <c r="O2388" i="1"/>
  <c r="P2388" i="1"/>
  <c r="Q2388" i="1"/>
  <c r="R2388" i="1"/>
  <c r="S2388" i="1"/>
  <c r="T2388" i="1"/>
  <c r="U2388" i="1"/>
  <c r="V2388" i="1"/>
  <c r="W2388" i="1"/>
  <c r="X2388" i="1"/>
  <c r="Y2388" i="1"/>
  <c r="Z2388" i="1"/>
  <c r="AA2388" i="1"/>
  <c r="AB2388" i="1"/>
  <c r="AC2388" i="1"/>
  <c r="AD2388" i="1"/>
  <c r="AE2388" i="1"/>
  <c r="AF2388" i="1"/>
  <c r="AG2388" i="1"/>
  <c r="AH2388" i="1"/>
  <c r="AI2388" i="1"/>
  <c r="AJ2388" i="1"/>
  <c r="AK2388" i="1"/>
  <c r="AL2388" i="1"/>
  <c r="AM2388" i="1"/>
  <c r="A2389" i="1"/>
  <c r="B2389" i="1"/>
  <c r="C2389" i="1"/>
  <c r="D2389" i="1"/>
  <c r="E2389" i="1"/>
  <c r="F2389" i="1"/>
  <c r="G2389" i="1"/>
  <c r="H2389" i="1"/>
  <c r="I2389" i="1"/>
  <c r="J2389" i="1"/>
  <c r="K2389" i="1"/>
  <c r="L2389" i="1"/>
  <c r="M2389" i="1"/>
  <c r="N2389" i="1"/>
  <c r="O2389" i="1"/>
  <c r="P2389" i="1"/>
  <c r="Q2389" i="1"/>
  <c r="R2389" i="1"/>
  <c r="S2389" i="1"/>
  <c r="T2389" i="1"/>
  <c r="U2389" i="1"/>
  <c r="V2389" i="1"/>
  <c r="W2389" i="1"/>
  <c r="X2389" i="1"/>
  <c r="Y2389" i="1"/>
  <c r="Z2389" i="1"/>
  <c r="AA2389" i="1"/>
  <c r="AB2389" i="1"/>
  <c r="AC2389" i="1"/>
  <c r="AD2389" i="1"/>
  <c r="AE2389" i="1"/>
  <c r="AF2389" i="1"/>
  <c r="AG2389" i="1"/>
  <c r="AH2389" i="1"/>
  <c r="AI2389" i="1"/>
  <c r="AJ2389" i="1"/>
  <c r="AK2389" i="1"/>
  <c r="AL2389" i="1"/>
  <c r="AM2389" i="1"/>
  <c r="A2390" i="1"/>
  <c r="B2390" i="1"/>
  <c r="C2390" i="1"/>
  <c r="D2390" i="1"/>
  <c r="E2390" i="1"/>
  <c r="F2390" i="1"/>
  <c r="G2390" i="1"/>
  <c r="H2390" i="1"/>
  <c r="I2390" i="1"/>
  <c r="J2390" i="1"/>
  <c r="K2390" i="1"/>
  <c r="L2390" i="1"/>
  <c r="M2390" i="1"/>
  <c r="N2390" i="1"/>
  <c r="O2390" i="1"/>
  <c r="P2390" i="1"/>
  <c r="Q2390" i="1"/>
  <c r="R2390" i="1"/>
  <c r="S2390" i="1"/>
  <c r="T2390" i="1"/>
  <c r="U2390" i="1"/>
  <c r="V2390" i="1"/>
  <c r="W2390" i="1"/>
  <c r="X2390" i="1"/>
  <c r="Y2390" i="1"/>
  <c r="Z2390" i="1"/>
  <c r="AA2390" i="1"/>
  <c r="AB2390" i="1"/>
  <c r="AC2390" i="1"/>
  <c r="AD2390" i="1"/>
  <c r="AE2390" i="1"/>
  <c r="AF2390" i="1"/>
  <c r="AG2390" i="1"/>
  <c r="AH2390" i="1"/>
  <c r="AI2390" i="1"/>
  <c r="AJ2390" i="1"/>
  <c r="AK2390" i="1"/>
  <c r="AL2390" i="1"/>
  <c r="AM2390" i="1"/>
  <c r="A2391" i="1"/>
  <c r="B2391" i="1"/>
  <c r="C2391" i="1"/>
  <c r="D2391" i="1"/>
  <c r="E2391" i="1"/>
  <c r="F2391" i="1"/>
  <c r="G2391" i="1"/>
  <c r="H2391" i="1"/>
  <c r="I2391" i="1"/>
  <c r="J2391" i="1"/>
  <c r="K2391" i="1"/>
  <c r="L2391" i="1"/>
  <c r="M2391" i="1"/>
  <c r="N2391" i="1"/>
  <c r="O2391" i="1"/>
  <c r="P2391" i="1"/>
  <c r="Q2391" i="1"/>
  <c r="R2391" i="1"/>
  <c r="S2391" i="1"/>
  <c r="T2391" i="1"/>
  <c r="U2391" i="1"/>
  <c r="V2391" i="1"/>
  <c r="W2391" i="1"/>
  <c r="X2391" i="1"/>
  <c r="Y2391" i="1"/>
  <c r="Z2391" i="1"/>
  <c r="AA2391" i="1"/>
  <c r="AB2391" i="1"/>
  <c r="AC2391" i="1"/>
  <c r="AD2391" i="1"/>
  <c r="AE2391" i="1"/>
  <c r="AF2391" i="1"/>
  <c r="AG2391" i="1"/>
  <c r="AH2391" i="1"/>
  <c r="AI2391" i="1"/>
  <c r="AJ2391" i="1"/>
  <c r="AK2391" i="1"/>
  <c r="AL2391" i="1"/>
  <c r="AM2391" i="1"/>
  <c r="A2392" i="1"/>
  <c r="B2392" i="1"/>
  <c r="C2392" i="1"/>
  <c r="D2392" i="1"/>
  <c r="E2392" i="1"/>
  <c r="F2392" i="1"/>
  <c r="G2392" i="1"/>
  <c r="H2392" i="1"/>
  <c r="I2392" i="1"/>
  <c r="J2392" i="1"/>
  <c r="K2392" i="1"/>
  <c r="L2392" i="1"/>
  <c r="M2392" i="1"/>
  <c r="N2392" i="1"/>
  <c r="O2392" i="1"/>
  <c r="P2392" i="1"/>
  <c r="Q2392" i="1"/>
  <c r="R2392" i="1"/>
  <c r="S2392" i="1"/>
  <c r="T2392" i="1"/>
  <c r="U2392" i="1"/>
  <c r="V2392" i="1"/>
  <c r="W2392" i="1"/>
  <c r="X2392" i="1"/>
  <c r="Y2392" i="1"/>
  <c r="Z2392" i="1"/>
  <c r="AA2392" i="1"/>
  <c r="AB2392" i="1"/>
  <c r="AC2392" i="1"/>
  <c r="AD2392" i="1"/>
  <c r="AE2392" i="1"/>
  <c r="AF2392" i="1"/>
  <c r="AG2392" i="1"/>
  <c r="AH2392" i="1"/>
  <c r="AI2392" i="1"/>
  <c r="AJ2392" i="1"/>
  <c r="AK2392" i="1"/>
  <c r="AL2392" i="1"/>
  <c r="AM2392" i="1"/>
  <c r="A2393" i="1"/>
  <c r="B2393" i="1"/>
  <c r="C2393" i="1"/>
  <c r="D2393" i="1"/>
  <c r="E2393" i="1"/>
  <c r="F2393" i="1"/>
  <c r="G2393" i="1"/>
  <c r="H2393" i="1"/>
  <c r="I2393" i="1"/>
  <c r="J2393" i="1"/>
  <c r="K2393" i="1"/>
  <c r="L2393" i="1"/>
  <c r="M2393" i="1"/>
  <c r="N2393" i="1"/>
  <c r="O2393" i="1"/>
  <c r="P2393" i="1"/>
  <c r="Q2393" i="1"/>
  <c r="R2393" i="1"/>
  <c r="S2393" i="1"/>
  <c r="T2393" i="1"/>
  <c r="U2393" i="1"/>
  <c r="V2393" i="1"/>
  <c r="W2393" i="1"/>
  <c r="X2393" i="1"/>
  <c r="Y2393" i="1"/>
  <c r="Z2393" i="1"/>
  <c r="AA2393" i="1"/>
  <c r="AB2393" i="1"/>
  <c r="AC2393" i="1"/>
  <c r="AD2393" i="1"/>
  <c r="AE2393" i="1"/>
  <c r="AF2393" i="1"/>
  <c r="AG2393" i="1"/>
  <c r="AH2393" i="1"/>
  <c r="AI2393" i="1"/>
  <c r="AJ2393" i="1"/>
  <c r="AK2393" i="1"/>
  <c r="AL2393" i="1"/>
  <c r="AM2393" i="1"/>
  <c r="A2394" i="1"/>
  <c r="B2394" i="1"/>
  <c r="C2394" i="1"/>
  <c r="D2394" i="1"/>
  <c r="E2394" i="1"/>
  <c r="F2394" i="1"/>
  <c r="G2394" i="1"/>
  <c r="H2394" i="1"/>
  <c r="I2394" i="1"/>
  <c r="J2394" i="1"/>
  <c r="K2394" i="1"/>
  <c r="L2394" i="1"/>
  <c r="M2394" i="1"/>
  <c r="N2394" i="1"/>
  <c r="O2394" i="1"/>
  <c r="P2394" i="1"/>
  <c r="Q2394" i="1"/>
  <c r="R2394" i="1"/>
  <c r="S2394" i="1"/>
  <c r="T2394" i="1"/>
  <c r="U2394" i="1"/>
  <c r="V2394" i="1"/>
  <c r="W2394" i="1"/>
  <c r="X2394" i="1"/>
  <c r="Y2394" i="1"/>
  <c r="Z2394" i="1"/>
  <c r="AA2394" i="1"/>
  <c r="AB2394" i="1"/>
  <c r="AC2394" i="1"/>
  <c r="AD2394" i="1"/>
  <c r="AE2394" i="1"/>
  <c r="AF2394" i="1"/>
  <c r="AG2394" i="1"/>
  <c r="AH2394" i="1"/>
  <c r="AI2394" i="1"/>
  <c r="AJ2394" i="1"/>
  <c r="AK2394" i="1"/>
  <c r="AL2394" i="1"/>
  <c r="AM2394" i="1"/>
  <c r="A2395" i="1"/>
  <c r="B2395" i="1"/>
  <c r="C2395" i="1"/>
  <c r="D2395" i="1"/>
  <c r="E2395" i="1"/>
  <c r="F2395" i="1"/>
  <c r="G2395" i="1"/>
  <c r="H2395" i="1"/>
  <c r="I2395" i="1"/>
  <c r="J2395" i="1"/>
  <c r="K2395" i="1"/>
  <c r="L2395" i="1"/>
  <c r="M2395" i="1"/>
  <c r="N2395" i="1"/>
  <c r="O2395" i="1"/>
  <c r="P2395" i="1"/>
  <c r="Q2395" i="1"/>
  <c r="R2395" i="1"/>
  <c r="S2395" i="1"/>
  <c r="T2395" i="1"/>
  <c r="U2395" i="1"/>
  <c r="V2395" i="1"/>
  <c r="W2395" i="1"/>
  <c r="X2395" i="1"/>
  <c r="Y2395" i="1"/>
  <c r="Z2395" i="1"/>
  <c r="AA2395" i="1"/>
  <c r="AB2395" i="1"/>
  <c r="AC2395" i="1"/>
  <c r="AD2395" i="1"/>
  <c r="AE2395" i="1"/>
  <c r="AF2395" i="1"/>
  <c r="AG2395" i="1"/>
  <c r="AH2395" i="1"/>
  <c r="AI2395" i="1"/>
  <c r="AJ2395" i="1"/>
  <c r="AK2395" i="1"/>
  <c r="AL2395" i="1"/>
  <c r="AM2395" i="1"/>
  <c r="A2396" i="1"/>
  <c r="B2396" i="1"/>
  <c r="C2396" i="1"/>
  <c r="D2396" i="1"/>
  <c r="E2396" i="1"/>
  <c r="F2396" i="1"/>
  <c r="G2396" i="1"/>
  <c r="H2396" i="1"/>
  <c r="I2396" i="1"/>
  <c r="J2396" i="1"/>
  <c r="K2396" i="1"/>
  <c r="L2396" i="1"/>
  <c r="M2396" i="1"/>
  <c r="N2396" i="1"/>
  <c r="O2396" i="1"/>
  <c r="P2396" i="1"/>
  <c r="Q2396" i="1"/>
  <c r="R2396" i="1"/>
  <c r="S2396" i="1"/>
  <c r="T2396" i="1"/>
  <c r="U2396" i="1"/>
  <c r="V2396" i="1"/>
  <c r="W2396" i="1"/>
  <c r="X2396" i="1"/>
  <c r="Y2396" i="1"/>
  <c r="Z2396" i="1"/>
  <c r="AA2396" i="1"/>
  <c r="AB2396" i="1"/>
  <c r="AC2396" i="1"/>
  <c r="AD2396" i="1"/>
  <c r="AE2396" i="1"/>
  <c r="AF2396" i="1"/>
  <c r="AG2396" i="1"/>
  <c r="AH2396" i="1"/>
  <c r="AI2396" i="1"/>
  <c r="AJ2396" i="1"/>
  <c r="AK2396" i="1"/>
  <c r="AL2396" i="1"/>
  <c r="AM2396" i="1"/>
  <c r="A2397" i="1"/>
  <c r="B2397" i="1"/>
  <c r="C2397" i="1"/>
  <c r="D2397" i="1"/>
  <c r="E2397" i="1"/>
  <c r="F2397" i="1"/>
  <c r="G2397" i="1"/>
  <c r="H2397" i="1"/>
  <c r="I2397" i="1"/>
  <c r="J2397" i="1"/>
  <c r="K2397" i="1"/>
  <c r="L2397" i="1"/>
  <c r="M2397" i="1"/>
  <c r="N2397" i="1"/>
  <c r="O2397" i="1"/>
  <c r="P2397" i="1"/>
  <c r="Q2397" i="1"/>
  <c r="R2397" i="1"/>
  <c r="S2397" i="1"/>
  <c r="T2397" i="1"/>
  <c r="U2397" i="1"/>
  <c r="V2397" i="1"/>
  <c r="W2397" i="1"/>
  <c r="X2397" i="1"/>
  <c r="Y2397" i="1"/>
  <c r="Z2397" i="1"/>
  <c r="AA2397" i="1"/>
  <c r="AB2397" i="1"/>
  <c r="AC2397" i="1"/>
  <c r="AD2397" i="1"/>
  <c r="AE2397" i="1"/>
  <c r="AF2397" i="1"/>
  <c r="AG2397" i="1"/>
  <c r="AH2397" i="1"/>
  <c r="AI2397" i="1"/>
  <c r="AJ2397" i="1"/>
  <c r="AK2397" i="1"/>
  <c r="AL2397" i="1"/>
  <c r="AM2397" i="1"/>
  <c r="A2398" i="1"/>
  <c r="B2398" i="1"/>
  <c r="C2398" i="1"/>
  <c r="D2398" i="1"/>
  <c r="E2398" i="1"/>
  <c r="F2398" i="1"/>
  <c r="G2398" i="1"/>
  <c r="H2398" i="1"/>
  <c r="I2398" i="1"/>
  <c r="J2398" i="1"/>
  <c r="K2398" i="1"/>
  <c r="L2398" i="1"/>
  <c r="M2398" i="1"/>
  <c r="N2398" i="1"/>
  <c r="O2398" i="1"/>
  <c r="P2398" i="1"/>
  <c r="Q2398" i="1"/>
  <c r="R2398" i="1"/>
  <c r="S2398" i="1"/>
  <c r="T2398" i="1"/>
  <c r="U2398" i="1"/>
  <c r="V2398" i="1"/>
  <c r="W2398" i="1"/>
  <c r="X2398" i="1"/>
  <c r="Y2398" i="1"/>
  <c r="Z2398" i="1"/>
  <c r="AA2398" i="1"/>
  <c r="AB2398" i="1"/>
  <c r="AC2398" i="1"/>
  <c r="AD2398" i="1"/>
  <c r="AE2398" i="1"/>
  <c r="AF2398" i="1"/>
  <c r="AG2398" i="1"/>
  <c r="AH2398" i="1"/>
  <c r="AI2398" i="1"/>
  <c r="AJ2398" i="1"/>
  <c r="AK2398" i="1"/>
  <c r="AL2398" i="1"/>
  <c r="AM2398" i="1"/>
  <c r="A2399" i="1"/>
  <c r="B2399" i="1"/>
  <c r="C2399" i="1"/>
  <c r="D2399" i="1"/>
  <c r="E2399" i="1"/>
  <c r="F2399" i="1"/>
  <c r="G2399" i="1"/>
  <c r="H2399" i="1"/>
  <c r="I2399" i="1"/>
  <c r="J2399" i="1"/>
  <c r="K2399" i="1"/>
  <c r="L2399" i="1"/>
  <c r="M2399" i="1"/>
  <c r="N2399" i="1"/>
  <c r="O2399" i="1"/>
  <c r="P2399" i="1"/>
  <c r="Q2399" i="1"/>
  <c r="R2399" i="1"/>
  <c r="S2399" i="1"/>
  <c r="T2399" i="1"/>
  <c r="U2399" i="1"/>
  <c r="V2399" i="1"/>
  <c r="W2399" i="1"/>
  <c r="X2399" i="1"/>
  <c r="Y2399" i="1"/>
  <c r="Z2399" i="1"/>
  <c r="AA2399" i="1"/>
  <c r="AB2399" i="1"/>
  <c r="AC2399" i="1"/>
  <c r="AD2399" i="1"/>
  <c r="AE2399" i="1"/>
  <c r="AF2399" i="1"/>
  <c r="AG2399" i="1"/>
  <c r="AH2399" i="1"/>
  <c r="AI2399" i="1"/>
  <c r="AJ2399" i="1"/>
  <c r="AK2399" i="1"/>
  <c r="AL2399" i="1"/>
  <c r="AM2399" i="1"/>
  <c r="A2400" i="1"/>
  <c r="B2400" i="1"/>
  <c r="C2400" i="1"/>
  <c r="D2400" i="1"/>
  <c r="E2400" i="1"/>
  <c r="F2400" i="1"/>
  <c r="G2400" i="1"/>
  <c r="H2400" i="1"/>
  <c r="I2400" i="1"/>
  <c r="J2400" i="1"/>
  <c r="K2400" i="1"/>
  <c r="L2400" i="1"/>
  <c r="M2400" i="1"/>
  <c r="N2400" i="1"/>
  <c r="O2400" i="1"/>
  <c r="P2400" i="1"/>
  <c r="Q2400" i="1"/>
  <c r="R2400" i="1"/>
  <c r="S2400" i="1"/>
  <c r="T2400" i="1"/>
  <c r="U2400" i="1"/>
  <c r="V2400" i="1"/>
  <c r="W2400" i="1"/>
  <c r="X2400" i="1"/>
  <c r="Y2400" i="1"/>
  <c r="Z2400" i="1"/>
  <c r="AA2400" i="1"/>
  <c r="AB2400" i="1"/>
  <c r="AC2400" i="1"/>
  <c r="AD2400" i="1"/>
  <c r="AE2400" i="1"/>
  <c r="AF2400" i="1"/>
  <c r="AG2400" i="1"/>
  <c r="AH2400" i="1"/>
  <c r="AI2400" i="1"/>
  <c r="AJ2400" i="1"/>
  <c r="AK2400" i="1"/>
  <c r="AL2400" i="1"/>
  <c r="AM2400" i="1"/>
  <c r="A2401" i="1"/>
  <c r="B2401" i="1"/>
  <c r="C2401" i="1"/>
  <c r="D2401" i="1"/>
  <c r="E2401" i="1"/>
  <c r="F2401" i="1"/>
  <c r="G2401" i="1"/>
  <c r="H2401" i="1"/>
  <c r="I2401" i="1"/>
  <c r="J2401" i="1"/>
  <c r="K2401" i="1"/>
  <c r="L2401" i="1"/>
  <c r="M2401" i="1"/>
  <c r="N2401" i="1"/>
  <c r="O2401" i="1"/>
  <c r="P2401" i="1"/>
  <c r="Q2401" i="1"/>
  <c r="R2401" i="1"/>
  <c r="S2401" i="1"/>
  <c r="T2401" i="1"/>
  <c r="U2401" i="1"/>
  <c r="V2401" i="1"/>
  <c r="W2401" i="1"/>
  <c r="X2401" i="1"/>
  <c r="Y2401" i="1"/>
  <c r="Z2401" i="1"/>
  <c r="AA2401" i="1"/>
  <c r="AB2401" i="1"/>
  <c r="AC2401" i="1"/>
  <c r="AD2401" i="1"/>
  <c r="AE2401" i="1"/>
  <c r="AF2401" i="1"/>
  <c r="AG2401" i="1"/>
  <c r="AH2401" i="1"/>
  <c r="AI2401" i="1"/>
  <c r="AJ2401" i="1"/>
  <c r="AK2401" i="1"/>
  <c r="AL2401" i="1"/>
  <c r="AM2401" i="1"/>
  <c r="A2402" i="1"/>
  <c r="B2402" i="1"/>
  <c r="C2402" i="1"/>
  <c r="D2402" i="1"/>
  <c r="E2402" i="1"/>
  <c r="F2402" i="1"/>
  <c r="G2402" i="1"/>
  <c r="H2402" i="1"/>
  <c r="I2402" i="1"/>
  <c r="J2402" i="1"/>
  <c r="K2402" i="1"/>
  <c r="L2402" i="1"/>
  <c r="M2402" i="1"/>
  <c r="N2402" i="1"/>
  <c r="O2402" i="1"/>
  <c r="P2402" i="1"/>
  <c r="Q2402" i="1"/>
  <c r="R2402" i="1"/>
  <c r="S2402" i="1"/>
  <c r="T2402" i="1"/>
  <c r="U2402" i="1"/>
  <c r="V2402" i="1"/>
  <c r="W2402" i="1"/>
  <c r="X2402" i="1"/>
  <c r="Y2402" i="1"/>
  <c r="Z2402" i="1"/>
  <c r="AA2402" i="1"/>
  <c r="AB2402" i="1"/>
  <c r="AC2402" i="1"/>
  <c r="AD2402" i="1"/>
  <c r="AE2402" i="1"/>
  <c r="AF2402" i="1"/>
  <c r="AG2402" i="1"/>
  <c r="AH2402" i="1"/>
  <c r="AI2402" i="1"/>
  <c r="AJ2402" i="1"/>
  <c r="AK2402" i="1"/>
  <c r="AL2402" i="1"/>
  <c r="AM2402" i="1"/>
  <c r="A2403" i="1"/>
  <c r="B2403" i="1"/>
  <c r="C2403" i="1"/>
  <c r="D2403" i="1"/>
  <c r="E2403" i="1"/>
  <c r="F2403" i="1"/>
  <c r="G2403" i="1"/>
  <c r="H2403" i="1"/>
  <c r="I2403" i="1"/>
  <c r="J2403" i="1"/>
  <c r="K2403" i="1"/>
  <c r="L2403" i="1"/>
  <c r="M2403" i="1"/>
  <c r="N2403" i="1"/>
  <c r="O2403" i="1"/>
  <c r="P2403" i="1"/>
  <c r="Q2403" i="1"/>
  <c r="R2403" i="1"/>
  <c r="S2403" i="1"/>
  <c r="T2403" i="1"/>
  <c r="U2403" i="1"/>
  <c r="V2403" i="1"/>
  <c r="W2403" i="1"/>
  <c r="X2403" i="1"/>
  <c r="Y2403" i="1"/>
  <c r="Z2403" i="1"/>
  <c r="AA2403" i="1"/>
  <c r="AB2403" i="1"/>
  <c r="AC2403" i="1"/>
  <c r="AD2403" i="1"/>
  <c r="AE2403" i="1"/>
  <c r="AF2403" i="1"/>
  <c r="AG2403" i="1"/>
  <c r="AH2403" i="1"/>
  <c r="AI2403" i="1"/>
  <c r="AJ2403" i="1"/>
  <c r="AK2403" i="1"/>
  <c r="AL2403" i="1"/>
  <c r="AM2403" i="1"/>
  <c r="A2404" i="1"/>
  <c r="B2404" i="1"/>
  <c r="C2404" i="1"/>
  <c r="D2404" i="1"/>
  <c r="E2404" i="1"/>
  <c r="F2404" i="1"/>
  <c r="G2404" i="1"/>
  <c r="H2404" i="1"/>
  <c r="I2404" i="1"/>
  <c r="J2404" i="1"/>
  <c r="K2404" i="1"/>
  <c r="L2404" i="1"/>
  <c r="M2404" i="1"/>
  <c r="N2404" i="1"/>
  <c r="O2404" i="1"/>
  <c r="P2404" i="1"/>
  <c r="Q2404" i="1"/>
  <c r="R2404" i="1"/>
  <c r="S2404" i="1"/>
  <c r="T2404" i="1"/>
  <c r="U2404" i="1"/>
  <c r="V2404" i="1"/>
  <c r="W2404" i="1"/>
  <c r="X2404" i="1"/>
  <c r="Y2404" i="1"/>
  <c r="Z2404" i="1"/>
  <c r="AA2404" i="1"/>
  <c r="AB2404" i="1"/>
  <c r="AC2404" i="1"/>
  <c r="AD2404" i="1"/>
  <c r="AE2404" i="1"/>
  <c r="AF2404" i="1"/>
  <c r="AG2404" i="1"/>
  <c r="AH2404" i="1"/>
  <c r="AI2404" i="1"/>
  <c r="AJ2404" i="1"/>
  <c r="AK2404" i="1"/>
  <c r="AL2404" i="1"/>
  <c r="AM2404" i="1"/>
  <c r="A2405" i="1"/>
  <c r="B2405" i="1"/>
  <c r="C2405" i="1"/>
  <c r="D2405" i="1"/>
  <c r="E2405" i="1"/>
  <c r="F2405" i="1"/>
  <c r="G2405" i="1"/>
  <c r="H2405" i="1"/>
  <c r="I2405" i="1"/>
  <c r="J2405" i="1"/>
  <c r="K2405" i="1"/>
  <c r="L2405" i="1"/>
  <c r="M2405" i="1"/>
  <c r="N2405" i="1"/>
  <c r="O2405" i="1"/>
  <c r="P2405" i="1"/>
  <c r="Q2405" i="1"/>
  <c r="R2405" i="1"/>
  <c r="S2405" i="1"/>
  <c r="T2405" i="1"/>
  <c r="U2405" i="1"/>
  <c r="V2405" i="1"/>
  <c r="W2405" i="1"/>
  <c r="X2405" i="1"/>
  <c r="Y2405" i="1"/>
  <c r="Z2405" i="1"/>
  <c r="AA2405" i="1"/>
  <c r="AB2405" i="1"/>
  <c r="AC2405" i="1"/>
  <c r="AD2405" i="1"/>
  <c r="AE2405" i="1"/>
  <c r="AF2405" i="1"/>
  <c r="AG2405" i="1"/>
  <c r="AH2405" i="1"/>
  <c r="AI2405" i="1"/>
  <c r="AJ2405" i="1"/>
  <c r="AK2405" i="1"/>
  <c r="AL2405" i="1"/>
  <c r="AM2405" i="1"/>
  <c r="A2406" i="1"/>
  <c r="B2406" i="1"/>
  <c r="C2406" i="1"/>
  <c r="D2406" i="1"/>
  <c r="E2406" i="1"/>
  <c r="F2406" i="1"/>
  <c r="G2406" i="1"/>
  <c r="H2406" i="1"/>
  <c r="I2406" i="1"/>
  <c r="J2406" i="1"/>
  <c r="K2406" i="1"/>
  <c r="L2406" i="1"/>
  <c r="M2406" i="1"/>
  <c r="N2406" i="1"/>
  <c r="O2406" i="1"/>
  <c r="P2406" i="1"/>
  <c r="Q2406" i="1"/>
  <c r="R2406" i="1"/>
  <c r="S2406" i="1"/>
  <c r="T2406" i="1"/>
  <c r="U2406" i="1"/>
  <c r="V2406" i="1"/>
  <c r="W2406" i="1"/>
  <c r="X2406" i="1"/>
  <c r="Y2406" i="1"/>
  <c r="Z2406" i="1"/>
  <c r="AA2406" i="1"/>
  <c r="AB2406" i="1"/>
  <c r="AC2406" i="1"/>
  <c r="AD2406" i="1"/>
  <c r="AE2406" i="1"/>
  <c r="AF2406" i="1"/>
  <c r="AG2406" i="1"/>
  <c r="AH2406" i="1"/>
  <c r="AI2406" i="1"/>
  <c r="AJ2406" i="1"/>
  <c r="AK2406" i="1"/>
  <c r="AL2406" i="1"/>
  <c r="AM2406" i="1"/>
  <c r="A2407" i="1"/>
  <c r="B2407" i="1"/>
  <c r="C2407" i="1"/>
  <c r="D2407" i="1"/>
  <c r="E2407" i="1"/>
  <c r="F2407" i="1"/>
  <c r="G2407" i="1"/>
  <c r="H2407" i="1"/>
  <c r="I2407" i="1"/>
  <c r="J2407" i="1"/>
  <c r="K2407" i="1"/>
  <c r="L2407" i="1"/>
  <c r="M2407" i="1"/>
  <c r="N2407" i="1"/>
  <c r="O2407" i="1"/>
  <c r="P2407" i="1"/>
  <c r="Q2407" i="1"/>
  <c r="R2407" i="1"/>
  <c r="S2407" i="1"/>
  <c r="T2407" i="1"/>
  <c r="U2407" i="1"/>
  <c r="V2407" i="1"/>
  <c r="W2407" i="1"/>
  <c r="X2407" i="1"/>
  <c r="Y2407" i="1"/>
  <c r="Z2407" i="1"/>
  <c r="AA2407" i="1"/>
  <c r="AB2407" i="1"/>
  <c r="AC2407" i="1"/>
  <c r="AD2407" i="1"/>
  <c r="AE2407" i="1"/>
  <c r="AF2407" i="1"/>
  <c r="AG2407" i="1"/>
  <c r="AH2407" i="1"/>
  <c r="AI2407" i="1"/>
  <c r="AJ2407" i="1"/>
  <c r="AK2407" i="1"/>
  <c r="AL2407" i="1"/>
  <c r="AM2407" i="1"/>
  <c r="A2408" i="1"/>
  <c r="B2408" i="1"/>
  <c r="C2408" i="1"/>
  <c r="D2408" i="1"/>
  <c r="E2408" i="1"/>
  <c r="F2408" i="1"/>
  <c r="G2408" i="1"/>
  <c r="H2408" i="1"/>
  <c r="I2408" i="1"/>
  <c r="J2408" i="1"/>
  <c r="K2408" i="1"/>
  <c r="L2408" i="1"/>
  <c r="M2408" i="1"/>
  <c r="N2408" i="1"/>
  <c r="O2408" i="1"/>
  <c r="P2408" i="1"/>
  <c r="Q2408" i="1"/>
  <c r="R2408" i="1"/>
  <c r="S2408" i="1"/>
  <c r="T2408" i="1"/>
  <c r="U2408" i="1"/>
  <c r="V2408" i="1"/>
  <c r="W2408" i="1"/>
  <c r="X2408" i="1"/>
  <c r="Y2408" i="1"/>
  <c r="Z2408" i="1"/>
  <c r="AA2408" i="1"/>
  <c r="AB2408" i="1"/>
  <c r="AC2408" i="1"/>
  <c r="AD2408" i="1"/>
  <c r="AE2408" i="1"/>
  <c r="AF2408" i="1"/>
  <c r="AG2408" i="1"/>
  <c r="AH2408" i="1"/>
  <c r="AI2408" i="1"/>
  <c r="AJ2408" i="1"/>
  <c r="AK2408" i="1"/>
  <c r="AL2408" i="1"/>
  <c r="AM2408" i="1"/>
  <c r="A2409" i="1"/>
  <c r="B2409" i="1"/>
  <c r="C2409" i="1"/>
  <c r="D2409" i="1"/>
  <c r="E2409" i="1"/>
  <c r="F2409" i="1"/>
  <c r="G2409" i="1"/>
  <c r="H2409" i="1"/>
  <c r="I2409" i="1"/>
  <c r="J2409" i="1"/>
  <c r="K2409" i="1"/>
  <c r="L2409" i="1"/>
  <c r="M2409" i="1"/>
  <c r="N2409" i="1"/>
  <c r="O2409" i="1"/>
  <c r="P2409" i="1"/>
  <c r="Q2409" i="1"/>
  <c r="R2409" i="1"/>
  <c r="S2409" i="1"/>
  <c r="T2409" i="1"/>
  <c r="U2409" i="1"/>
  <c r="V2409" i="1"/>
  <c r="W2409" i="1"/>
  <c r="X2409" i="1"/>
  <c r="Y2409" i="1"/>
  <c r="Z2409" i="1"/>
  <c r="AA2409" i="1"/>
  <c r="AB2409" i="1"/>
  <c r="AC2409" i="1"/>
  <c r="AD2409" i="1"/>
  <c r="AE2409" i="1"/>
  <c r="AF2409" i="1"/>
  <c r="AG2409" i="1"/>
  <c r="AH2409" i="1"/>
  <c r="AI2409" i="1"/>
  <c r="AJ2409" i="1"/>
  <c r="AK2409" i="1"/>
  <c r="AL2409" i="1"/>
  <c r="AM2409" i="1"/>
  <c r="A2410" i="1"/>
  <c r="B2410" i="1"/>
  <c r="C2410" i="1"/>
  <c r="D2410" i="1"/>
  <c r="E2410" i="1"/>
  <c r="F2410" i="1"/>
  <c r="G2410" i="1"/>
  <c r="H2410" i="1"/>
  <c r="I2410" i="1"/>
  <c r="J2410" i="1"/>
  <c r="K2410" i="1"/>
  <c r="L2410" i="1"/>
  <c r="M2410" i="1"/>
  <c r="N2410" i="1"/>
  <c r="O2410" i="1"/>
  <c r="P2410" i="1"/>
  <c r="Q2410" i="1"/>
  <c r="R2410" i="1"/>
  <c r="S2410" i="1"/>
  <c r="T2410" i="1"/>
  <c r="U2410" i="1"/>
  <c r="V2410" i="1"/>
  <c r="W2410" i="1"/>
  <c r="X2410" i="1"/>
  <c r="Y2410" i="1"/>
  <c r="Z2410" i="1"/>
  <c r="AA2410" i="1"/>
  <c r="AB2410" i="1"/>
  <c r="AC2410" i="1"/>
  <c r="AD2410" i="1"/>
  <c r="AE2410" i="1"/>
  <c r="AF2410" i="1"/>
  <c r="AG2410" i="1"/>
  <c r="AH2410" i="1"/>
  <c r="AI2410" i="1"/>
  <c r="AJ2410" i="1"/>
  <c r="AK2410" i="1"/>
  <c r="AL2410" i="1"/>
  <c r="AM2410" i="1"/>
  <c r="A2411" i="1"/>
  <c r="B2411" i="1"/>
  <c r="C2411" i="1"/>
  <c r="D2411" i="1"/>
  <c r="E2411" i="1"/>
  <c r="F2411" i="1"/>
  <c r="G2411" i="1"/>
  <c r="H2411" i="1"/>
  <c r="I2411" i="1"/>
  <c r="J2411" i="1"/>
  <c r="K2411" i="1"/>
  <c r="L2411" i="1"/>
  <c r="M2411" i="1"/>
  <c r="N2411" i="1"/>
  <c r="O2411" i="1"/>
  <c r="P2411" i="1"/>
  <c r="Q2411" i="1"/>
  <c r="R2411" i="1"/>
  <c r="S2411" i="1"/>
  <c r="T2411" i="1"/>
  <c r="U2411" i="1"/>
  <c r="V2411" i="1"/>
  <c r="W2411" i="1"/>
  <c r="X2411" i="1"/>
  <c r="Y2411" i="1"/>
  <c r="Z2411" i="1"/>
  <c r="AA2411" i="1"/>
  <c r="AB2411" i="1"/>
  <c r="AC2411" i="1"/>
  <c r="AD2411" i="1"/>
  <c r="AE2411" i="1"/>
  <c r="AF2411" i="1"/>
  <c r="AG2411" i="1"/>
  <c r="AH2411" i="1"/>
  <c r="AI2411" i="1"/>
  <c r="AJ2411" i="1"/>
  <c r="AK2411" i="1"/>
  <c r="AL2411" i="1"/>
  <c r="AM2411" i="1"/>
  <c r="A2412" i="1"/>
  <c r="B2412" i="1"/>
  <c r="C2412" i="1"/>
  <c r="D2412" i="1"/>
  <c r="E2412" i="1"/>
  <c r="F2412" i="1"/>
  <c r="G2412" i="1"/>
  <c r="H2412" i="1"/>
  <c r="I2412" i="1"/>
  <c r="J2412" i="1"/>
  <c r="K2412" i="1"/>
  <c r="L2412" i="1"/>
  <c r="M2412" i="1"/>
  <c r="N2412" i="1"/>
  <c r="O2412" i="1"/>
  <c r="P2412" i="1"/>
  <c r="Q2412" i="1"/>
  <c r="R2412" i="1"/>
  <c r="S2412" i="1"/>
  <c r="T2412" i="1"/>
  <c r="U2412" i="1"/>
  <c r="V2412" i="1"/>
  <c r="W2412" i="1"/>
  <c r="X2412" i="1"/>
  <c r="Y2412" i="1"/>
  <c r="Z2412" i="1"/>
  <c r="AA2412" i="1"/>
  <c r="AB2412" i="1"/>
  <c r="AC2412" i="1"/>
  <c r="AD2412" i="1"/>
  <c r="AE2412" i="1"/>
  <c r="AF2412" i="1"/>
  <c r="AG2412" i="1"/>
  <c r="AH2412" i="1"/>
  <c r="AI2412" i="1"/>
  <c r="AJ2412" i="1"/>
  <c r="AK2412" i="1"/>
  <c r="AL2412" i="1"/>
  <c r="AM2412" i="1"/>
  <c r="A2413" i="1"/>
  <c r="B2413" i="1"/>
  <c r="C2413" i="1"/>
  <c r="D2413" i="1"/>
  <c r="E2413" i="1"/>
  <c r="F2413" i="1"/>
  <c r="G2413" i="1"/>
  <c r="H2413" i="1"/>
  <c r="I2413" i="1"/>
  <c r="J2413" i="1"/>
  <c r="K2413" i="1"/>
  <c r="L2413" i="1"/>
  <c r="M2413" i="1"/>
  <c r="N2413" i="1"/>
  <c r="O2413" i="1"/>
  <c r="P2413" i="1"/>
  <c r="Q2413" i="1"/>
  <c r="R2413" i="1"/>
  <c r="S2413" i="1"/>
  <c r="T2413" i="1"/>
  <c r="U2413" i="1"/>
  <c r="V2413" i="1"/>
  <c r="W2413" i="1"/>
  <c r="X2413" i="1"/>
  <c r="Y2413" i="1"/>
  <c r="Z2413" i="1"/>
  <c r="AA2413" i="1"/>
  <c r="AB2413" i="1"/>
  <c r="AC2413" i="1"/>
  <c r="AD2413" i="1"/>
  <c r="AE2413" i="1"/>
  <c r="AF2413" i="1"/>
  <c r="AG2413" i="1"/>
  <c r="AH2413" i="1"/>
  <c r="AI2413" i="1"/>
  <c r="AJ2413" i="1"/>
  <c r="AK2413" i="1"/>
  <c r="AL2413" i="1"/>
  <c r="AM2413" i="1"/>
  <c r="A2414" i="1"/>
  <c r="B2414" i="1"/>
  <c r="C2414" i="1"/>
  <c r="D2414" i="1"/>
  <c r="E2414" i="1"/>
  <c r="F2414" i="1"/>
  <c r="G2414" i="1"/>
  <c r="H2414" i="1"/>
  <c r="I2414" i="1"/>
  <c r="J2414" i="1"/>
  <c r="K2414" i="1"/>
  <c r="L2414" i="1"/>
  <c r="M2414" i="1"/>
  <c r="N2414" i="1"/>
  <c r="O2414" i="1"/>
  <c r="P2414" i="1"/>
  <c r="Q2414" i="1"/>
  <c r="R2414" i="1"/>
  <c r="S2414" i="1"/>
  <c r="T2414" i="1"/>
  <c r="U2414" i="1"/>
  <c r="V2414" i="1"/>
  <c r="W2414" i="1"/>
  <c r="X2414" i="1"/>
  <c r="Y2414" i="1"/>
  <c r="Z2414" i="1"/>
  <c r="AA2414" i="1"/>
  <c r="AB2414" i="1"/>
  <c r="AC2414" i="1"/>
  <c r="AD2414" i="1"/>
  <c r="AE2414" i="1"/>
  <c r="AF2414" i="1"/>
  <c r="AG2414" i="1"/>
  <c r="AH2414" i="1"/>
  <c r="AI2414" i="1"/>
  <c r="AJ2414" i="1"/>
  <c r="AK2414" i="1"/>
  <c r="AL2414" i="1"/>
  <c r="AM2414" i="1"/>
  <c r="A2415" i="1"/>
  <c r="B2415" i="1"/>
  <c r="C2415" i="1"/>
  <c r="D2415" i="1"/>
  <c r="E2415" i="1"/>
  <c r="F2415" i="1"/>
  <c r="G2415" i="1"/>
  <c r="H2415" i="1"/>
  <c r="I2415" i="1"/>
  <c r="J2415" i="1"/>
  <c r="K2415" i="1"/>
  <c r="L2415" i="1"/>
  <c r="M2415" i="1"/>
  <c r="N2415" i="1"/>
  <c r="O2415" i="1"/>
  <c r="P2415" i="1"/>
  <c r="Q2415" i="1"/>
  <c r="R2415" i="1"/>
  <c r="S2415" i="1"/>
  <c r="T2415" i="1"/>
  <c r="U2415" i="1"/>
  <c r="V2415" i="1"/>
  <c r="W2415" i="1"/>
  <c r="X2415" i="1"/>
  <c r="Y2415" i="1"/>
  <c r="Z2415" i="1"/>
  <c r="AA2415" i="1"/>
  <c r="AB2415" i="1"/>
  <c r="AC2415" i="1"/>
  <c r="AD2415" i="1"/>
  <c r="AE2415" i="1"/>
  <c r="AF2415" i="1"/>
  <c r="AG2415" i="1"/>
  <c r="AH2415" i="1"/>
  <c r="AI2415" i="1"/>
  <c r="AJ2415" i="1"/>
  <c r="AK2415" i="1"/>
  <c r="AL2415" i="1"/>
  <c r="AM2415" i="1"/>
  <c r="A2416" i="1"/>
  <c r="B2416" i="1"/>
  <c r="C2416" i="1"/>
  <c r="D2416" i="1"/>
  <c r="E2416" i="1"/>
  <c r="F2416" i="1"/>
  <c r="G2416" i="1"/>
  <c r="H2416" i="1"/>
  <c r="I2416" i="1"/>
  <c r="J2416" i="1"/>
  <c r="K2416" i="1"/>
  <c r="L2416" i="1"/>
  <c r="M2416" i="1"/>
  <c r="N2416" i="1"/>
  <c r="O2416" i="1"/>
  <c r="P2416" i="1"/>
  <c r="Q2416" i="1"/>
  <c r="R2416" i="1"/>
  <c r="S2416" i="1"/>
  <c r="T2416" i="1"/>
  <c r="U2416" i="1"/>
  <c r="V2416" i="1"/>
  <c r="W2416" i="1"/>
  <c r="X2416" i="1"/>
  <c r="Y2416" i="1"/>
  <c r="Z2416" i="1"/>
  <c r="AA2416" i="1"/>
  <c r="AB2416" i="1"/>
  <c r="AC2416" i="1"/>
  <c r="AD2416" i="1"/>
  <c r="AE2416" i="1"/>
  <c r="AF2416" i="1"/>
  <c r="AG2416" i="1"/>
  <c r="AH2416" i="1"/>
  <c r="AI2416" i="1"/>
  <c r="AJ2416" i="1"/>
  <c r="AK2416" i="1"/>
  <c r="AL2416" i="1"/>
  <c r="AM2416" i="1"/>
  <c r="A2417" i="1"/>
  <c r="B2417" i="1"/>
  <c r="C2417" i="1"/>
  <c r="D2417" i="1"/>
  <c r="E2417" i="1"/>
  <c r="F2417" i="1"/>
  <c r="G2417" i="1"/>
  <c r="H2417" i="1"/>
  <c r="I2417" i="1"/>
  <c r="J2417" i="1"/>
  <c r="K2417" i="1"/>
  <c r="L2417" i="1"/>
  <c r="M2417" i="1"/>
  <c r="N2417" i="1"/>
  <c r="O2417" i="1"/>
  <c r="P2417" i="1"/>
  <c r="Q2417" i="1"/>
  <c r="R2417" i="1"/>
  <c r="S2417" i="1"/>
  <c r="T2417" i="1"/>
  <c r="U2417" i="1"/>
  <c r="V2417" i="1"/>
  <c r="W2417" i="1"/>
  <c r="X2417" i="1"/>
  <c r="Y2417" i="1"/>
  <c r="Z2417" i="1"/>
  <c r="AA2417" i="1"/>
  <c r="AB2417" i="1"/>
  <c r="AC2417" i="1"/>
  <c r="AD2417" i="1"/>
  <c r="AE2417" i="1"/>
  <c r="AF2417" i="1"/>
  <c r="AG2417" i="1"/>
  <c r="AH2417" i="1"/>
  <c r="AI2417" i="1"/>
  <c r="AJ2417" i="1"/>
  <c r="AK2417" i="1"/>
  <c r="AL2417" i="1"/>
  <c r="AM2417" i="1"/>
  <c r="A2418" i="1"/>
  <c r="B2418" i="1"/>
  <c r="C2418" i="1"/>
  <c r="D2418" i="1"/>
  <c r="E2418" i="1"/>
  <c r="F2418" i="1"/>
  <c r="G2418" i="1"/>
  <c r="H2418" i="1"/>
  <c r="I2418" i="1"/>
  <c r="J2418" i="1"/>
  <c r="K2418" i="1"/>
  <c r="L2418" i="1"/>
  <c r="M2418" i="1"/>
  <c r="N2418" i="1"/>
  <c r="O2418" i="1"/>
  <c r="P2418" i="1"/>
  <c r="Q2418" i="1"/>
  <c r="R2418" i="1"/>
  <c r="S2418" i="1"/>
  <c r="T2418" i="1"/>
  <c r="U2418" i="1"/>
  <c r="V2418" i="1"/>
  <c r="W2418" i="1"/>
  <c r="X2418" i="1"/>
  <c r="Y2418" i="1"/>
  <c r="Z2418" i="1"/>
  <c r="AA2418" i="1"/>
  <c r="AB2418" i="1"/>
  <c r="AC2418" i="1"/>
  <c r="AD2418" i="1"/>
  <c r="AE2418" i="1"/>
  <c r="AF2418" i="1"/>
  <c r="AG2418" i="1"/>
  <c r="AH2418" i="1"/>
  <c r="AI2418" i="1"/>
  <c r="AJ2418" i="1"/>
  <c r="AK2418" i="1"/>
  <c r="AL2418" i="1"/>
  <c r="AM2418" i="1"/>
  <c r="A2419" i="1"/>
  <c r="B2419" i="1"/>
  <c r="C2419" i="1"/>
  <c r="D2419" i="1"/>
  <c r="E2419" i="1"/>
  <c r="F2419" i="1"/>
  <c r="G2419" i="1"/>
  <c r="H2419" i="1"/>
  <c r="I2419" i="1"/>
  <c r="J2419" i="1"/>
  <c r="K2419" i="1"/>
  <c r="L2419" i="1"/>
  <c r="M2419" i="1"/>
  <c r="N2419" i="1"/>
  <c r="O2419" i="1"/>
  <c r="P2419" i="1"/>
  <c r="Q2419" i="1"/>
  <c r="R2419" i="1"/>
  <c r="S2419" i="1"/>
  <c r="T2419" i="1"/>
  <c r="U2419" i="1"/>
  <c r="V2419" i="1"/>
  <c r="W2419" i="1"/>
  <c r="X2419" i="1"/>
  <c r="Y2419" i="1"/>
  <c r="Z2419" i="1"/>
  <c r="AA2419" i="1"/>
  <c r="AB2419" i="1"/>
  <c r="AC2419" i="1"/>
  <c r="AD2419" i="1"/>
  <c r="AE2419" i="1"/>
  <c r="AF2419" i="1"/>
  <c r="AG2419" i="1"/>
  <c r="AH2419" i="1"/>
  <c r="AI2419" i="1"/>
  <c r="AJ2419" i="1"/>
  <c r="AK2419" i="1"/>
  <c r="AL2419" i="1"/>
  <c r="AM2419" i="1"/>
  <c r="A2420" i="1"/>
  <c r="B2420" i="1"/>
  <c r="C2420" i="1"/>
  <c r="D2420" i="1"/>
  <c r="E2420" i="1"/>
  <c r="F2420" i="1"/>
  <c r="G2420" i="1"/>
  <c r="H2420" i="1"/>
  <c r="I2420" i="1"/>
  <c r="J2420" i="1"/>
  <c r="K2420" i="1"/>
  <c r="L2420" i="1"/>
  <c r="M2420" i="1"/>
  <c r="N2420" i="1"/>
  <c r="O2420" i="1"/>
  <c r="P2420" i="1"/>
  <c r="Q2420" i="1"/>
  <c r="R2420" i="1"/>
  <c r="S2420" i="1"/>
  <c r="T2420" i="1"/>
  <c r="U2420" i="1"/>
  <c r="V2420" i="1"/>
  <c r="W2420" i="1"/>
  <c r="X2420" i="1"/>
  <c r="Y2420" i="1"/>
  <c r="Z2420" i="1"/>
  <c r="AA2420" i="1"/>
  <c r="AB2420" i="1"/>
  <c r="AC2420" i="1"/>
  <c r="AD2420" i="1"/>
  <c r="AE2420" i="1"/>
  <c r="AF2420" i="1"/>
  <c r="AG2420" i="1"/>
  <c r="AH2420" i="1"/>
  <c r="AI2420" i="1"/>
  <c r="AJ2420" i="1"/>
  <c r="AK2420" i="1"/>
  <c r="AL2420" i="1"/>
  <c r="AM2420" i="1"/>
  <c r="A2421" i="1"/>
  <c r="B2421" i="1"/>
  <c r="C2421" i="1"/>
  <c r="D2421" i="1"/>
  <c r="E2421" i="1"/>
  <c r="F2421" i="1"/>
  <c r="G2421" i="1"/>
  <c r="H2421" i="1"/>
  <c r="I2421" i="1"/>
  <c r="J2421" i="1"/>
  <c r="K2421" i="1"/>
  <c r="L2421" i="1"/>
  <c r="M2421" i="1"/>
  <c r="N2421" i="1"/>
  <c r="O2421" i="1"/>
  <c r="P2421" i="1"/>
  <c r="Q2421" i="1"/>
  <c r="R2421" i="1"/>
  <c r="S2421" i="1"/>
  <c r="T2421" i="1"/>
  <c r="U2421" i="1"/>
  <c r="V2421" i="1"/>
  <c r="W2421" i="1"/>
  <c r="X2421" i="1"/>
  <c r="Y2421" i="1"/>
  <c r="Z2421" i="1"/>
  <c r="AA2421" i="1"/>
  <c r="AB2421" i="1"/>
  <c r="AC2421" i="1"/>
  <c r="AD2421" i="1"/>
  <c r="AE2421" i="1"/>
  <c r="AF2421" i="1"/>
  <c r="AG2421" i="1"/>
  <c r="AH2421" i="1"/>
  <c r="AI2421" i="1"/>
  <c r="AJ2421" i="1"/>
  <c r="AK2421" i="1"/>
  <c r="AL2421" i="1"/>
  <c r="AM2421" i="1"/>
  <c r="A2422" i="1"/>
  <c r="B2422" i="1"/>
  <c r="C2422" i="1"/>
  <c r="D2422" i="1"/>
  <c r="E2422" i="1"/>
  <c r="F2422" i="1"/>
  <c r="G2422" i="1"/>
  <c r="H2422" i="1"/>
  <c r="I2422" i="1"/>
  <c r="J2422" i="1"/>
  <c r="K2422" i="1"/>
  <c r="L2422" i="1"/>
  <c r="M2422" i="1"/>
  <c r="N2422" i="1"/>
  <c r="O2422" i="1"/>
  <c r="P2422" i="1"/>
  <c r="Q2422" i="1"/>
  <c r="R2422" i="1"/>
  <c r="S2422" i="1"/>
  <c r="T2422" i="1"/>
  <c r="U2422" i="1"/>
  <c r="V2422" i="1"/>
  <c r="W2422" i="1"/>
  <c r="X2422" i="1"/>
  <c r="Y2422" i="1"/>
  <c r="Z2422" i="1"/>
  <c r="AA2422" i="1"/>
  <c r="AB2422" i="1"/>
  <c r="AC2422" i="1"/>
  <c r="AD2422" i="1"/>
  <c r="AE2422" i="1"/>
  <c r="AF2422" i="1"/>
  <c r="AG2422" i="1"/>
  <c r="AH2422" i="1"/>
  <c r="AI2422" i="1"/>
  <c r="AJ2422" i="1"/>
  <c r="AK2422" i="1"/>
  <c r="AL2422" i="1"/>
  <c r="AM2422" i="1"/>
  <c r="A2423" i="1"/>
  <c r="B2423" i="1"/>
  <c r="C2423" i="1"/>
  <c r="D2423" i="1"/>
  <c r="E2423" i="1"/>
  <c r="F2423" i="1"/>
  <c r="G2423" i="1"/>
  <c r="H2423" i="1"/>
  <c r="I2423" i="1"/>
  <c r="J2423" i="1"/>
  <c r="K2423" i="1"/>
  <c r="L2423" i="1"/>
  <c r="M2423" i="1"/>
  <c r="N2423" i="1"/>
  <c r="O2423" i="1"/>
  <c r="P2423" i="1"/>
  <c r="Q2423" i="1"/>
  <c r="R2423" i="1"/>
  <c r="S2423" i="1"/>
  <c r="T2423" i="1"/>
  <c r="U2423" i="1"/>
  <c r="V2423" i="1"/>
  <c r="W2423" i="1"/>
  <c r="X2423" i="1"/>
  <c r="Y2423" i="1"/>
  <c r="Z2423" i="1"/>
  <c r="AA2423" i="1"/>
  <c r="AB2423" i="1"/>
  <c r="AC2423" i="1"/>
  <c r="AD2423" i="1"/>
  <c r="AE2423" i="1"/>
  <c r="AF2423" i="1"/>
  <c r="AG2423" i="1"/>
  <c r="AH2423" i="1"/>
  <c r="AI2423" i="1"/>
  <c r="AJ2423" i="1"/>
  <c r="AK2423" i="1"/>
  <c r="AL2423" i="1"/>
  <c r="AM2423" i="1"/>
  <c r="A2424" i="1"/>
  <c r="B2424" i="1"/>
  <c r="C2424" i="1"/>
  <c r="D2424" i="1"/>
  <c r="E2424" i="1"/>
  <c r="F2424" i="1"/>
  <c r="G2424" i="1"/>
  <c r="H2424" i="1"/>
  <c r="I2424" i="1"/>
  <c r="J2424" i="1"/>
  <c r="K2424" i="1"/>
  <c r="L2424" i="1"/>
  <c r="M2424" i="1"/>
  <c r="N2424" i="1"/>
  <c r="O2424" i="1"/>
  <c r="P2424" i="1"/>
  <c r="Q2424" i="1"/>
  <c r="R2424" i="1"/>
  <c r="S2424" i="1"/>
  <c r="T2424" i="1"/>
  <c r="U2424" i="1"/>
  <c r="V2424" i="1"/>
  <c r="W2424" i="1"/>
  <c r="X2424" i="1"/>
  <c r="Y2424" i="1"/>
  <c r="Z2424" i="1"/>
  <c r="AA2424" i="1"/>
  <c r="AB2424" i="1"/>
  <c r="AC2424" i="1"/>
  <c r="AD2424" i="1"/>
  <c r="AE2424" i="1"/>
  <c r="AF2424" i="1"/>
  <c r="AG2424" i="1"/>
  <c r="AH2424" i="1"/>
  <c r="AI2424" i="1"/>
  <c r="AJ2424" i="1"/>
  <c r="AK2424" i="1"/>
  <c r="AL2424" i="1"/>
  <c r="AM2424" i="1"/>
  <c r="A2425" i="1"/>
  <c r="B2425" i="1"/>
  <c r="C2425" i="1"/>
  <c r="D2425" i="1"/>
  <c r="E2425" i="1"/>
  <c r="F2425" i="1"/>
  <c r="G2425" i="1"/>
  <c r="H2425" i="1"/>
  <c r="I2425" i="1"/>
  <c r="J2425" i="1"/>
  <c r="K2425" i="1"/>
  <c r="L2425" i="1"/>
  <c r="M2425" i="1"/>
  <c r="N2425" i="1"/>
  <c r="O2425" i="1"/>
  <c r="P2425" i="1"/>
  <c r="Q2425" i="1"/>
  <c r="R2425" i="1"/>
  <c r="S2425" i="1"/>
  <c r="T2425" i="1"/>
  <c r="U2425" i="1"/>
  <c r="V2425" i="1"/>
  <c r="W2425" i="1"/>
  <c r="X2425" i="1"/>
  <c r="Y2425" i="1"/>
  <c r="Z2425" i="1"/>
  <c r="AA2425" i="1"/>
  <c r="AB2425" i="1"/>
  <c r="AC2425" i="1"/>
  <c r="AD2425" i="1"/>
  <c r="AE2425" i="1"/>
  <c r="AF2425" i="1"/>
  <c r="AG2425" i="1"/>
  <c r="AH2425" i="1"/>
  <c r="AI2425" i="1"/>
  <c r="AJ2425" i="1"/>
  <c r="AK2425" i="1"/>
  <c r="AL2425" i="1"/>
  <c r="AM2425" i="1"/>
  <c r="A2426" i="1"/>
  <c r="B2426" i="1"/>
  <c r="C2426" i="1"/>
  <c r="D2426" i="1"/>
  <c r="E2426" i="1"/>
  <c r="F2426" i="1"/>
  <c r="G2426" i="1"/>
  <c r="H2426" i="1"/>
  <c r="I2426" i="1"/>
  <c r="J2426" i="1"/>
  <c r="K2426" i="1"/>
  <c r="L2426" i="1"/>
  <c r="M2426" i="1"/>
  <c r="N2426" i="1"/>
  <c r="O2426" i="1"/>
  <c r="P2426" i="1"/>
  <c r="Q2426" i="1"/>
  <c r="R2426" i="1"/>
  <c r="S2426" i="1"/>
  <c r="T2426" i="1"/>
  <c r="U2426" i="1"/>
  <c r="V2426" i="1"/>
  <c r="W2426" i="1"/>
  <c r="X2426" i="1"/>
  <c r="Y2426" i="1"/>
  <c r="Z2426" i="1"/>
  <c r="AA2426" i="1"/>
  <c r="AB2426" i="1"/>
  <c r="AC2426" i="1"/>
  <c r="AD2426" i="1"/>
  <c r="AE2426" i="1"/>
  <c r="AF2426" i="1"/>
  <c r="AG2426" i="1"/>
  <c r="AH2426" i="1"/>
  <c r="AI2426" i="1"/>
  <c r="AJ2426" i="1"/>
  <c r="AK2426" i="1"/>
  <c r="AL2426" i="1"/>
  <c r="AM2426" i="1"/>
  <c r="A2427" i="1"/>
  <c r="B2427" i="1"/>
  <c r="C2427" i="1"/>
  <c r="D2427" i="1"/>
  <c r="E2427" i="1"/>
  <c r="F2427" i="1"/>
  <c r="G2427" i="1"/>
  <c r="H2427" i="1"/>
  <c r="I2427" i="1"/>
  <c r="J2427" i="1"/>
  <c r="K2427" i="1"/>
  <c r="L2427" i="1"/>
  <c r="M2427" i="1"/>
  <c r="N2427" i="1"/>
  <c r="O2427" i="1"/>
  <c r="P2427" i="1"/>
  <c r="Q2427" i="1"/>
  <c r="R2427" i="1"/>
  <c r="S2427" i="1"/>
  <c r="T2427" i="1"/>
  <c r="U2427" i="1"/>
  <c r="V2427" i="1"/>
  <c r="W2427" i="1"/>
  <c r="X2427" i="1"/>
  <c r="Y2427" i="1"/>
  <c r="Z2427" i="1"/>
  <c r="AA2427" i="1"/>
  <c r="AB2427" i="1"/>
  <c r="AC2427" i="1"/>
  <c r="AD2427" i="1"/>
  <c r="AE2427" i="1"/>
  <c r="AF2427" i="1"/>
  <c r="AG2427" i="1"/>
  <c r="AH2427" i="1"/>
  <c r="AI2427" i="1"/>
  <c r="AJ2427" i="1"/>
  <c r="AK2427" i="1"/>
  <c r="AL2427" i="1"/>
  <c r="AM2427" i="1"/>
  <c r="A2428" i="1"/>
  <c r="B2428" i="1"/>
  <c r="C2428" i="1"/>
  <c r="D2428" i="1"/>
  <c r="E2428" i="1"/>
  <c r="F2428" i="1"/>
  <c r="G2428" i="1"/>
  <c r="H2428" i="1"/>
  <c r="I2428" i="1"/>
  <c r="J2428" i="1"/>
  <c r="K2428" i="1"/>
  <c r="L2428" i="1"/>
  <c r="M2428" i="1"/>
  <c r="N2428" i="1"/>
  <c r="O2428" i="1"/>
  <c r="P2428" i="1"/>
  <c r="Q2428" i="1"/>
  <c r="R2428" i="1"/>
  <c r="S2428" i="1"/>
  <c r="T2428" i="1"/>
  <c r="U2428" i="1"/>
  <c r="V2428" i="1"/>
  <c r="W2428" i="1"/>
  <c r="X2428" i="1"/>
  <c r="Y2428" i="1"/>
  <c r="Z2428" i="1"/>
  <c r="AA2428" i="1"/>
  <c r="AB2428" i="1"/>
  <c r="AC2428" i="1"/>
  <c r="AD2428" i="1"/>
  <c r="AE2428" i="1"/>
  <c r="AF2428" i="1"/>
  <c r="AG2428" i="1"/>
  <c r="AH2428" i="1"/>
  <c r="AI2428" i="1"/>
  <c r="AJ2428" i="1"/>
  <c r="AK2428" i="1"/>
  <c r="AL2428" i="1"/>
  <c r="AM2428" i="1"/>
  <c r="A2429" i="1"/>
  <c r="B2429" i="1"/>
  <c r="C2429" i="1"/>
  <c r="D2429" i="1"/>
  <c r="E2429" i="1"/>
  <c r="F2429" i="1"/>
  <c r="G2429" i="1"/>
  <c r="H2429" i="1"/>
  <c r="I2429" i="1"/>
  <c r="J2429" i="1"/>
  <c r="K2429" i="1"/>
  <c r="L2429" i="1"/>
  <c r="M2429" i="1"/>
  <c r="N2429" i="1"/>
  <c r="O2429" i="1"/>
  <c r="P2429" i="1"/>
  <c r="Q2429" i="1"/>
  <c r="R2429" i="1"/>
  <c r="S2429" i="1"/>
  <c r="T2429" i="1"/>
  <c r="U2429" i="1"/>
  <c r="V2429" i="1"/>
  <c r="W2429" i="1"/>
  <c r="X2429" i="1"/>
  <c r="Y2429" i="1"/>
  <c r="Z2429" i="1"/>
  <c r="AA2429" i="1"/>
  <c r="AB2429" i="1"/>
  <c r="AC2429" i="1"/>
  <c r="AD2429" i="1"/>
  <c r="AE2429" i="1"/>
  <c r="AF2429" i="1"/>
  <c r="AG2429" i="1"/>
  <c r="AH2429" i="1"/>
  <c r="AI2429" i="1"/>
  <c r="AJ2429" i="1"/>
  <c r="AK2429" i="1"/>
  <c r="AL2429" i="1"/>
  <c r="AM2429" i="1"/>
  <c r="A2430" i="1"/>
  <c r="B2430" i="1"/>
  <c r="C2430" i="1"/>
  <c r="D2430" i="1"/>
  <c r="E2430" i="1"/>
  <c r="F2430" i="1"/>
  <c r="G2430" i="1"/>
  <c r="H2430" i="1"/>
  <c r="I2430" i="1"/>
  <c r="J2430" i="1"/>
  <c r="K2430" i="1"/>
  <c r="L2430" i="1"/>
  <c r="M2430" i="1"/>
  <c r="N2430" i="1"/>
  <c r="O2430" i="1"/>
  <c r="P2430" i="1"/>
  <c r="Q2430" i="1"/>
  <c r="R2430" i="1"/>
  <c r="S2430" i="1"/>
  <c r="T2430" i="1"/>
  <c r="U2430" i="1"/>
  <c r="V2430" i="1"/>
  <c r="W2430" i="1"/>
  <c r="X2430" i="1"/>
  <c r="Y2430" i="1"/>
  <c r="Z2430" i="1"/>
  <c r="AA2430" i="1"/>
  <c r="AB2430" i="1"/>
  <c r="AC2430" i="1"/>
  <c r="AD2430" i="1"/>
  <c r="AE2430" i="1"/>
  <c r="AF2430" i="1"/>
  <c r="AG2430" i="1"/>
  <c r="AH2430" i="1"/>
  <c r="AI2430" i="1"/>
  <c r="AJ2430" i="1"/>
  <c r="AK2430" i="1"/>
  <c r="AL2430" i="1"/>
  <c r="AM2430" i="1"/>
  <c r="A2431" i="1"/>
  <c r="B2431" i="1"/>
  <c r="C2431" i="1"/>
  <c r="D2431" i="1"/>
  <c r="E2431" i="1"/>
  <c r="F2431" i="1"/>
  <c r="G2431" i="1"/>
  <c r="H2431" i="1"/>
  <c r="I2431" i="1"/>
  <c r="J2431" i="1"/>
  <c r="K2431" i="1"/>
  <c r="L2431" i="1"/>
  <c r="M2431" i="1"/>
  <c r="N2431" i="1"/>
  <c r="O2431" i="1"/>
  <c r="P2431" i="1"/>
  <c r="Q2431" i="1"/>
  <c r="R2431" i="1"/>
  <c r="S2431" i="1"/>
  <c r="T2431" i="1"/>
  <c r="U2431" i="1"/>
  <c r="V2431" i="1"/>
  <c r="W2431" i="1"/>
  <c r="X2431" i="1"/>
  <c r="Y2431" i="1"/>
  <c r="Z2431" i="1"/>
  <c r="AA2431" i="1"/>
  <c r="AB2431" i="1"/>
  <c r="AC2431" i="1"/>
  <c r="AD2431" i="1"/>
  <c r="AE2431" i="1"/>
  <c r="AF2431" i="1"/>
  <c r="AG2431" i="1"/>
  <c r="AH2431" i="1"/>
  <c r="AI2431" i="1"/>
  <c r="AJ2431" i="1"/>
  <c r="AK2431" i="1"/>
  <c r="AL2431" i="1"/>
  <c r="AM2431" i="1"/>
  <c r="A2432" i="1"/>
  <c r="B2432" i="1"/>
  <c r="C2432" i="1"/>
  <c r="D2432" i="1"/>
  <c r="E2432" i="1"/>
  <c r="F2432" i="1"/>
  <c r="G2432" i="1"/>
  <c r="H2432" i="1"/>
  <c r="I2432" i="1"/>
  <c r="J2432" i="1"/>
  <c r="K2432" i="1"/>
  <c r="L2432" i="1"/>
  <c r="M2432" i="1"/>
  <c r="N2432" i="1"/>
  <c r="O2432" i="1"/>
  <c r="P2432" i="1"/>
  <c r="Q2432" i="1"/>
  <c r="R2432" i="1"/>
  <c r="S2432" i="1"/>
  <c r="T2432" i="1"/>
  <c r="U2432" i="1"/>
  <c r="V2432" i="1"/>
  <c r="W2432" i="1"/>
  <c r="X2432" i="1"/>
  <c r="Y2432" i="1"/>
  <c r="Z2432" i="1"/>
  <c r="AA2432" i="1"/>
  <c r="AB2432" i="1"/>
  <c r="AC2432" i="1"/>
  <c r="AD2432" i="1"/>
  <c r="AE2432" i="1"/>
  <c r="AF2432" i="1"/>
  <c r="AG2432" i="1"/>
  <c r="AH2432" i="1"/>
  <c r="AI2432" i="1"/>
  <c r="AJ2432" i="1"/>
  <c r="AK2432" i="1"/>
  <c r="AL2432" i="1"/>
  <c r="AM2432" i="1"/>
  <c r="A2433" i="1"/>
  <c r="B2433" i="1"/>
  <c r="C2433" i="1"/>
  <c r="D2433" i="1"/>
  <c r="E2433" i="1"/>
  <c r="F2433" i="1"/>
  <c r="G2433" i="1"/>
  <c r="H2433" i="1"/>
  <c r="I2433" i="1"/>
  <c r="J2433" i="1"/>
  <c r="K2433" i="1"/>
  <c r="L2433" i="1"/>
  <c r="M2433" i="1"/>
  <c r="N2433" i="1"/>
  <c r="O2433" i="1"/>
  <c r="P2433" i="1"/>
  <c r="Q2433" i="1"/>
  <c r="R2433" i="1"/>
  <c r="S2433" i="1"/>
  <c r="T2433" i="1"/>
  <c r="U2433" i="1"/>
  <c r="V2433" i="1"/>
  <c r="W2433" i="1"/>
  <c r="X2433" i="1"/>
  <c r="Y2433" i="1"/>
  <c r="Z2433" i="1"/>
  <c r="AA2433" i="1"/>
  <c r="AB2433" i="1"/>
  <c r="AC2433" i="1"/>
  <c r="AD2433" i="1"/>
  <c r="AE2433" i="1"/>
  <c r="AF2433" i="1"/>
  <c r="AG2433" i="1"/>
  <c r="AH2433" i="1"/>
  <c r="AI2433" i="1"/>
  <c r="AJ2433" i="1"/>
  <c r="AK2433" i="1"/>
  <c r="AL2433" i="1"/>
  <c r="AM2433" i="1"/>
  <c r="A2434" i="1"/>
  <c r="B2434" i="1"/>
  <c r="C2434" i="1"/>
  <c r="D2434" i="1"/>
  <c r="E2434" i="1"/>
  <c r="F2434" i="1"/>
  <c r="G2434" i="1"/>
  <c r="H2434" i="1"/>
  <c r="I2434" i="1"/>
  <c r="J2434" i="1"/>
  <c r="K2434" i="1"/>
  <c r="L2434" i="1"/>
  <c r="M2434" i="1"/>
  <c r="N2434" i="1"/>
  <c r="O2434" i="1"/>
  <c r="P2434" i="1"/>
  <c r="Q2434" i="1"/>
  <c r="R2434" i="1"/>
  <c r="S2434" i="1"/>
  <c r="T2434" i="1"/>
  <c r="U2434" i="1"/>
  <c r="V2434" i="1"/>
  <c r="W2434" i="1"/>
  <c r="X2434" i="1"/>
  <c r="Y2434" i="1"/>
  <c r="Z2434" i="1"/>
  <c r="AA2434" i="1"/>
  <c r="AB2434" i="1"/>
  <c r="AC2434" i="1"/>
  <c r="AD2434" i="1"/>
  <c r="AE2434" i="1"/>
  <c r="AF2434" i="1"/>
  <c r="AG2434" i="1"/>
  <c r="AH2434" i="1"/>
  <c r="AI2434" i="1"/>
  <c r="AJ2434" i="1"/>
  <c r="AK2434" i="1"/>
  <c r="AL2434" i="1"/>
  <c r="AM2434" i="1"/>
  <c r="A2435" i="1"/>
  <c r="B2435" i="1"/>
  <c r="C2435" i="1"/>
  <c r="D2435" i="1"/>
  <c r="E2435" i="1"/>
  <c r="F2435" i="1"/>
  <c r="G2435" i="1"/>
  <c r="H2435" i="1"/>
  <c r="I2435" i="1"/>
  <c r="J2435" i="1"/>
  <c r="K2435" i="1"/>
  <c r="L2435" i="1"/>
  <c r="M2435" i="1"/>
  <c r="N2435" i="1"/>
  <c r="O2435" i="1"/>
  <c r="P2435" i="1"/>
  <c r="Q2435" i="1"/>
  <c r="R2435" i="1"/>
  <c r="S2435" i="1"/>
  <c r="T2435" i="1"/>
  <c r="U2435" i="1"/>
  <c r="V2435" i="1"/>
  <c r="W2435" i="1"/>
  <c r="X2435" i="1"/>
  <c r="Y2435" i="1"/>
  <c r="Z2435" i="1"/>
  <c r="AA2435" i="1"/>
  <c r="AB2435" i="1"/>
  <c r="AC2435" i="1"/>
  <c r="AD2435" i="1"/>
  <c r="AE2435" i="1"/>
  <c r="AF2435" i="1"/>
  <c r="AG2435" i="1"/>
  <c r="AH2435" i="1"/>
  <c r="AI2435" i="1"/>
  <c r="AJ2435" i="1"/>
  <c r="AK2435" i="1"/>
  <c r="AL2435" i="1"/>
  <c r="AM2435" i="1"/>
  <c r="A2436" i="1"/>
  <c r="B2436" i="1"/>
  <c r="C2436" i="1"/>
  <c r="D2436" i="1"/>
  <c r="E2436" i="1"/>
  <c r="F2436" i="1"/>
  <c r="G2436" i="1"/>
  <c r="H2436" i="1"/>
  <c r="I2436" i="1"/>
  <c r="J2436" i="1"/>
  <c r="K2436" i="1"/>
  <c r="L2436" i="1"/>
  <c r="M2436" i="1"/>
  <c r="N2436" i="1"/>
  <c r="O2436" i="1"/>
  <c r="P2436" i="1"/>
  <c r="Q2436" i="1"/>
  <c r="R2436" i="1"/>
  <c r="S2436" i="1"/>
  <c r="T2436" i="1"/>
  <c r="U2436" i="1"/>
  <c r="V2436" i="1"/>
  <c r="W2436" i="1"/>
  <c r="X2436" i="1"/>
  <c r="Y2436" i="1"/>
  <c r="Z2436" i="1"/>
  <c r="AA2436" i="1"/>
  <c r="AB2436" i="1"/>
  <c r="AC2436" i="1"/>
  <c r="AD2436" i="1"/>
  <c r="AE2436" i="1"/>
  <c r="AF2436" i="1"/>
  <c r="AG2436" i="1"/>
  <c r="AH2436" i="1"/>
  <c r="AI2436" i="1"/>
  <c r="AJ2436" i="1"/>
  <c r="AK2436" i="1"/>
  <c r="AL2436" i="1"/>
  <c r="AM2436" i="1"/>
  <c r="A2437" i="1"/>
  <c r="B2437" i="1"/>
  <c r="C2437" i="1"/>
  <c r="D2437" i="1"/>
  <c r="E2437" i="1"/>
  <c r="F2437" i="1"/>
  <c r="G2437" i="1"/>
  <c r="H2437" i="1"/>
  <c r="I2437" i="1"/>
  <c r="J2437" i="1"/>
  <c r="K2437" i="1"/>
  <c r="L2437" i="1"/>
  <c r="M2437" i="1"/>
  <c r="N2437" i="1"/>
  <c r="O2437" i="1"/>
  <c r="P2437" i="1"/>
  <c r="Q2437" i="1"/>
  <c r="R2437" i="1"/>
  <c r="S2437" i="1"/>
  <c r="T2437" i="1"/>
  <c r="U2437" i="1"/>
  <c r="V2437" i="1"/>
  <c r="W2437" i="1"/>
  <c r="X2437" i="1"/>
  <c r="Y2437" i="1"/>
  <c r="Z2437" i="1"/>
  <c r="AA2437" i="1"/>
  <c r="AB2437" i="1"/>
  <c r="AC2437" i="1"/>
  <c r="AD2437" i="1"/>
  <c r="AE2437" i="1"/>
  <c r="AF2437" i="1"/>
  <c r="AG2437" i="1"/>
  <c r="AH2437" i="1"/>
  <c r="AI2437" i="1"/>
  <c r="AJ2437" i="1"/>
  <c r="AK2437" i="1"/>
  <c r="AL2437" i="1"/>
  <c r="AM2437" i="1"/>
  <c r="A2438" i="1"/>
  <c r="B2438" i="1"/>
  <c r="C2438" i="1"/>
  <c r="D2438" i="1"/>
  <c r="E2438" i="1"/>
  <c r="F2438" i="1"/>
  <c r="G2438" i="1"/>
  <c r="H2438" i="1"/>
  <c r="I2438" i="1"/>
  <c r="J2438" i="1"/>
  <c r="K2438" i="1"/>
  <c r="L2438" i="1"/>
  <c r="M2438" i="1"/>
  <c r="N2438" i="1"/>
  <c r="O2438" i="1"/>
  <c r="P2438" i="1"/>
  <c r="Q2438" i="1"/>
  <c r="R2438" i="1"/>
  <c r="S2438" i="1"/>
  <c r="T2438" i="1"/>
  <c r="U2438" i="1"/>
  <c r="V2438" i="1"/>
  <c r="W2438" i="1"/>
  <c r="X2438" i="1"/>
  <c r="Y2438" i="1"/>
  <c r="Z2438" i="1"/>
  <c r="AA2438" i="1"/>
  <c r="AB2438" i="1"/>
  <c r="AC2438" i="1"/>
  <c r="AD2438" i="1"/>
  <c r="AE2438" i="1"/>
  <c r="AF2438" i="1"/>
  <c r="AG2438" i="1"/>
  <c r="AH2438" i="1"/>
  <c r="AI2438" i="1"/>
  <c r="AJ2438" i="1"/>
  <c r="AK2438" i="1"/>
  <c r="AL2438" i="1"/>
  <c r="AM2438" i="1"/>
  <c r="A2439" i="1"/>
  <c r="B2439" i="1"/>
  <c r="C2439" i="1"/>
  <c r="D2439" i="1"/>
  <c r="E2439" i="1"/>
  <c r="F2439" i="1"/>
  <c r="G2439" i="1"/>
  <c r="H2439" i="1"/>
  <c r="I2439" i="1"/>
  <c r="J2439" i="1"/>
  <c r="K2439" i="1"/>
  <c r="L2439" i="1"/>
  <c r="M2439" i="1"/>
  <c r="N2439" i="1"/>
  <c r="O2439" i="1"/>
  <c r="P2439" i="1"/>
  <c r="Q2439" i="1"/>
  <c r="R2439" i="1"/>
  <c r="S2439" i="1"/>
  <c r="T2439" i="1"/>
  <c r="U2439" i="1"/>
  <c r="V2439" i="1"/>
  <c r="W2439" i="1"/>
  <c r="X2439" i="1"/>
  <c r="Y2439" i="1"/>
  <c r="Z2439" i="1"/>
  <c r="AA2439" i="1"/>
  <c r="AB2439" i="1"/>
  <c r="AC2439" i="1"/>
  <c r="AD2439" i="1"/>
  <c r="AE2439" i="1"/>
  <c r="AF2439" i="1"/>
  <c r="AG2439" i="1"/>
  <c r="AH2439" i="1"/>
  <c r="AI2439" i="1"/>
  <c r="AJ2439" i="1"/>
  <c r="AK2439" i="1"/>
  <c r="AL2439" i="1"/>
  <c r="AM2439" i="1"/>
  <c r="A2440" i="1"/>
  <c r="B2440" i="1"/>
  <c r="C2440" i="1"/>
  <c r="D2440" i="1"/>
  <c r="E2440" i="1"/>
  <c r="F2440" i="1"/>
  <c r="G2440" i="1"/>
  <c r="H2440" i="1"/>
  <c r="I2440" i="1"/>
  <c r="J2440" i="1"/>
  <c r="K2440" i="1"/>
  <c r="L2440" i="1"/>
  <c r="M2440" i="1"/>
  <c r="N2440" i="1"/>
  <c r="O2440" i="1"/>
  <c r="P2440" i="1"/>
  <c r="Q2440" i="1"/>
  <c r="R2440" i="1"/>
  <c r="S2440" i="1"/>
  <c r="T2440" i="1"/>
  <c r="U2440" i="1"/>
  <c r="V2440" i="1"/>
  <c r="W2440" i="1"/>
  <c r="X2440" i="1"/>
  <c r="Y2440" i="1"/>
  <c r="Z2440" i="1"/>
  <c r="AA2440" i="1"/>
  <c r="AB2440" i="1"/>
  <c r="AC2440" i="1"/>
  <c r="AD2440" i="1"/>
  <c r="AE2440" i="1"/>
  <c r="AF2440" i="1"/>
  <c r="AG2440" i="1"/>
  <c r="AH2440" i="1"/>
  <c r="AI2440" i="1"/>
  <c r="AJ2440" i="1"/>
  <c r="AK2440" i="1"/>
  <c r="AL2440" i="1"/>
  <c r="AM2440" i="1"/>
  <c r="A2441" i="1"/>
  <c r="B2441" i="1"/>
  <c r="C2441" i="1"/>
  <c r="D2441" i="1"/>
  <c r="E2441" i="1"/>
  <c r="F2441" i="1"/>
  <c r="G2441" i="1"/>
  <c r="H2441" i="1"/>
  <c r="I2441" i="1"/>
  <c r="J2441" i="1"/>
  <c r="K2441" i="1"/>
  <c r="L2441" i="1"/>
  <c r="M2441" i="1"/>
  <c r="N2441" i="1"/>
  <c r="O2441" i="1"/>
  <c r="P2441" i="1"/>
  <c r="Q2441" i="1"/>
  <c r="R2441" i="1"/>
  <c r="S2441" i="1"/>
  <c r="T2441" i="1"/>
  <c r="U2441" i="1"/>
  <c r="V2441" i="1"/>
  <c r="W2441" i="1"/>
  <c r="X2441" i="1"/>
  <c r="Y2441" i="1"/>
  <c r="Z2441" i="1"/>
  <c r="AA2441" i="1"/>
  <c r="AB2441" i="1"/>
  <c r="AC2441" i="1"/>
  <c r="AD2441" i="1"/>
  <c r="AE2441" i="1"/>
  <c r="AF2441" i="1"/>
  <c r="AG2441" i="1"/>
  <c r="AH2441" i="1"/>
  <c r="AI2441" i="1"/>
  <c r="AJ2441" i="1"/>
  <c r="AK2441" i="1"/>
  <c r="AL2441" i="1"/>
  <c r="AM2441" i="1"/>
  <c r="A2442" i="1"/>
  <c r="B2442" i="1"/>
  <c r="C2442" i="1"/>
  <c r="D2442" i="1"/>
  <c r="E2442" i="1"/>
  <c r="F2442" i="1"/>
  <c r="G2442" i="1"/>
  <c r="H2442" i="1"/>
  <c r="I2442" i="1"/>
  <c r="J2442" i="1"/>
  <c r="K2442" i="1"/>
  <c r="L2442" i="1"/>
  <c r="M2442" i="1"/>
  <c r="N2442" i="1"/>
  <c r="O2442" i="1"/>
  <c r="P2442" i="1"/>
  <c r="Q2442" i="1"/>
  <c r="R2442" i="1"/>
  <c r="S2442" i="1"/>
  <c r="T2442" i="1"/>
  <c r="U2442" i="1"/>
  <c r="V2442" i="1"/>
  <c r="W2442" i="1"/>
  <c r="X2442" i="1"/>
  <c r="Y2442" i="1"/>
  <c r="Z2442" i="1"/>
  <c r="AA2442" i="1"/>
  <c r="AB2442" i="1"/>
  <c r="AC2442" i="1"/>
  <c r="AD2442" i="1"/>
  <c r="AE2442" i="1"/>
  <c r="AF2442" i="1"/>
  <c r="AG2442" i="1"/>
  <c r="AH2442" i="1"/>
  <c r="AI2442" i="1"/>
  <c r="AJ2442" i="1"/>
  <c r="AK2442" i="1"/>
  <c r="AL2442" i="1"/>
  <c r="AM2442" i="1"/>
  <c r="A2443" i="1"/>
  <c r="B2443" i="1"/>
  <c r="C2443" i="1"/>
  <c r="D2443" i="1"/>
  <c r="E2443" i="1"/>
  <c r="F2443" i="1"/>
  <c r="G2443" i="1"/>
  <c r="H2443" i="1"/>
  <c r="I2443" i="1"/>
  <c r="J2443" i="1"/>
  <c r="K2443" i="1"/>
  <c r="L2443" i="1"/>
  <c r="M2443" i="1"/>
  <c r="N2443" i="1"/>
  <c r="O2443" i="1"/>
  <c r="P2443" i="1"/>
  <c r="Q2443" i="1"/>
  <c r="R2443" i="1"/>
  <c r="S2443" i="1"/>
  <c r="T2443" i="1"/>
  <c r="U2443" i="1"/>
  <c r="V2443" i="1"/>
  <c r="W2443" i="1"/>
  <c r="X2443" i="1"/>
  <c r="Y2443" i="1"/>
  <c r="Z2443" i="1"/>
  <c r="AA2443" i="1"/>
  <c r="AB2443" i="1"/>
  <c r="AC2443" i="1"/>
  <c r="AD2443" i="1"/>
  <c r="AE2443" i="1"/>
  <c r="AF2443" i="1"/>
  <c r="AG2443" i="1"/>
  <c r="AH2443" i="1"/>
  <c r="AI2443" i="1"/>
  <c r="AJ2443" i="1"/>
  <c r="AK2443" i="1"/>
  <c r="AL2443" i="1"/>
  <c r="AM2443" i="1"/>
  <c r="A2444" i="1"/>
  <c r="B2444" i="1"/>
  <c r="C2444" i="1"/>
  <c r="D2444" i="1"/>
  <c r="E2444" i="1"/>
  <c r="F2444" i="1"/>
  <c r="G2444" i="1"/>
  <c r="H2444" i="1"/>
  <c r="I2444" i="1"/>
  <c r="J2444" i="1"/>
  <c r="K2444" i="1"/>
  <c r="L2444" i="1"/>
  <c r="M2444" i="1"/>
  <c r="N2444" i="1"/>
  <c r="O2444" i="1"/>
  <c r="P2444" i="1"/>
  <c r="Q2444" i="1"/>
  <c r="R2444" i="1"/>
  <c r="S2444" i="1"/>
  <c r="T2444" i="1"/>
  <c r="U2444" i="1"/>
  <c r="V2444" i="1"/>
  <c r="W2444" i="1"/>
  <c r="X2444" i="1"/>
  <c r="Y2444" i="1"/>
  <c r="Z2444" i="1"/>
  <c r="AA2444" i="1"/>
  <c r="AB2444" i="1"/>
  <c r="AC2444" i="1"/>
  <c r="AD2444" i="1"/>
  <c r="AE2444" i="1"/>
  <c r="AF2444" i="1"/>
  <c r="AG2444" i="1"/>
  <c r="AH2444" i="1"/>
  <c r="AI2444" i="1"/>
  <c r="AJ2444" i="1"/>
  <c r="AK2444" i="1"/>
  <c r="AL2444" i="1"/>
  <c r="AM2444" i="1"/>
  <c r="A2445" i="1"/>
  <c r="B2445" i="1"/>
  <c r="C2445" i="1"/>
  <c r="D2445" i="1"/>
  <c r="E2445" i="1"/>
  <c r="F2445" i="1"/>
  <c r="G2445" i="1"/>
  <c r="H2445" i="1"/>
  <c r="I2445" i="1"/>
  <c r="J2445" i="1"/>
  <c r="K2445" i="1"/>
  <c r="L2445" i="1"/>
  <c r="M2445" i="1"/>
  <c r="N2445" i="1"/>
  <c r="O2445" i="1"/>
  <c r="P2445" i="1"/>
  <c r="Q2445" i="1"/>
  <c r="R2445" i="1"/>
  <c r="S2445" i="1"/>
  <c r="T2445" i="1"/>
  <c r="U2445" i="1"/>
  <c r="V2445" i="1"/>
  <c r="W2445" i="1"/>
  <c r="X2445" i="1"/>
  <c r="Y2445" i="1"/>
  <c r="Z2445" i="1"/>
  <c r="AA2445" i="1"/>
  <c r="AB2445" i="1"/>
  <c r="AC2445" i="1"/>
  <c r="AD2445" i="1"/>
  <c r="AE2445" i="1"/>
  <c r="AF2445" i="1"/>
  <c r="AG2445" i="1"/>
  <c r="AH2445" i="1"/>
  <c r="AI2445" i="1"/>
  <c r="AJ2445" i="1"/>
  <c r="AK2445" i="1"/>
  <c r="AL2445" i="1"/>
  <c r="AM2445" i="1"/>
  <c r="A2446" i="1"/>
  <c r="B2446" i="1"/>
  <c r="C2446" i="1"/>
  <c r="D2446" i="1"/>
  <c r="E2446" i="1"/>
  <c r="F2446" i="1"/>
  <c r="G2446" i="1"/>
  <c r="H2446" i="1"/>
  <c r="I2446" i="1"/>
  <c r="J2446" i="1"/>
  <c r="K2446" i="1"/>
  <c r="L2446" i="1"/>
  <c r="M2446" i="1"/>
  <c r="N2446" i="1"/>
  <c r="O2446" i="1"/>
  <c r="P2446" i="1"/>
  <c r="Q2446" i="1"/>
  <c r="R2446" i="1"/>
  <c r="S2446" i="1"/>
  <c r="T2446" i="1"/>
  <c r="U2446" i="1"/>
  <c r="V2446" i="1"/>
  <c r="W2446" i="1"/>
  <c r="X2446" i="1"/>
  <c r="Y2446" i="1"/>
  <c r="Z2446" i="1"/>
  <c r="AA2446" i="1"/>
  <c r="AB2446" i="1"/>
  <c r="AC2446" i="1"/>
  <c r="AD2446" i="1"/>
  <c r="AE2446" i="1"/>
  <c r="AF2446" i="1"/>
  <c r="AG2446" i="1"/>
  <c r="AH2446" i="1"/>
  <c r="AI2446" i="1"/>
  <c r="AJ2446" i="1"/>
  <c r="AK2446" i="1"/>
  <c r="AL2446" i="1"/>
  <c r="AM2446" i="1"/>
  <c r="A2447" i="1"/>
  <c r="B2447" i="1"/>
  <c r="C2447" i="1"/>
  <c r="D2447" i="1"/>
  <c r="E2447" i="1"/>
  <c r="F2447" i="1"/>
  <c r="G2447" i="1"/>
  <c r="H2447" i="1"/>
  <c r="I2447" i="1"/>
  <c r="J2447" i="1"/>
  <c r="K2447" i="1"/>
  <c r="L2447" i="1"/>
  <c r="M2447" i="1"/>
  <c r="N2447" i="1"/>
  <c r="O2447" i="1"/>
  <c r="P2447" i="1"/>
  <c r="Q2447" i="1"/>
  <c r="R2447" i="1"/>
  <c r="S2447" i="1"/>
  <c r="T2447" i="1"/>
  <c r="U2447" i="1"/>
  <c r="V2447" i="1"/>
  <c r="W2447" i="1"/>
  <c r="X2447" i="1"/>
  <c r="Y2447" i="1"/>
  <c r="Z2447" i="1"/>
  <c r="AA2447" i="1"/>
  <c r="AB2447" i="1"/>
  <c r="AC2447" i="1"/>
  <c r="AD2447" i="1"/>
  <c r="AE2447" i="1"/>
  <c r="AF2447" i="1"/>
  <c r="AG2447" i="1"/>
  <c r="AH2447" i="1"/>
  <c r="AI2447" i="1"/>
  <c r="AJ2447" i="1"/>
  <c r="AK2447" i="1"/>
  <c r="AL2447" i="1"/>
  <c r="AM2447" i="1"/>
  <c r="A2448" i="1"/>
  <c r="B2448" i="1"/>
  <c r="C2448" i="1"/>
  <c r="D2448" i="1"/>
  <c r="E2448" i="1"/>
  <c r="F2448" i="1"/>
  <c r="G2448" i="1"/>
  <c r="H2448" i="1"/>
  <c r="I2448" i="1"/>
  <c r="J2448" i="1"/>
  <c r="K2448" i="1"/>
  <c r="L2448" i="1"/>
  <c r="M2448" i="1"/>
  <c r="N2448" i="1"/>
  <c r="O2448" i="1"/>
  <c r="P2448" i="1"/>
  <c r="Q2448" i="1"/>
  <c r="R2448" i="1"/>
  <c r="S2448" i="1"/>
  <c r="T2448" i="1"/>
  <c r="U2448" i="1"/>
  <c r="V2448" i="1"/>
  <c r="W2448" i="1"/>
  <c r="X2448" i="1"/>
  <c r="Y2448" i="1"/>
  <c r="Z2448" i="1"/>
  <c r="AA2448" i="1"/>
  <c r="AB2448" i="1"/>
  <c r="AC2448" i="1"/>
  <c r="AD2448" i="1"/>
  <c r="AE2448" i="1"/>
  <c r="AF2448" i="1"/>
  <c r="AG2448" i="1"/>
  <c r="AH2448" i="1"/>
  <c r="AI2448" i="1"/>
  <c r="AJ2448" i="1"/>
  <c r="AK2448" i="1"/>
  <c r="AL2448" i="1"/>
  <c r="AM2448" i="1"/>
  <c r="A2449" i="1"/>
  <c r="B2449" i="1"/>
  <c r="C2449" i="1"/>
  <c r="D2449" i="1"/>
  <c r="E2449" i="1"/>
  <c r="F2449" i="1"/>
  <c r="G2449" i="1"/>
  <c r="H2449" i="1"/>
  <c r="I2449" i="1"/>
  <c r="J2449" i="1"/>
  <c r="K2449" i="1"/>
  <c r="L2449" i="1"/>
  <c r="M2449" i="1"/>
  <c r="N2449" i="1"/>
  <c r="O2449" i="1"/>
  <c r="P2449" i="1"/>
  <c r="Q2449" i="1"/>
  <c r="R2449" i="1"/>
  <c r="S2449" i="1"/>
  <c r="T2449" i="1"/>
  <c r="U2449" i="1"/>
  <c r="V2449" i="1"/>
  <c r="W2449" i="1"/>
  <c r="X2449" i="1"/>
  <c r="Y2449" i="1"/>
  <c r="Z2449" i="1"/>
  <c r="AA2449" i="1"/>
  <c r="AB2449" i="1"/>
  <c r="AC2449" i="1"/>
  <c r="AD2449" i="1"/>
  <c r="AE2449" i="1"/>
  <c r="AF2449" i="1"/>
  <c r="AG2449" i="1"/>
  <c r="AH2449" i="1"/>
  <c r="AI2449" i="1"/>
  <c r="AJ2449" i="1"/>
  <c r="AK2449" i="1"/>
  <c r="AL2449" i="1"/>
  <c r="AM2449" i="1"/>
  <c r="A2450" i="1"/>
  <c r="B2450" i="1"/>
  <c r="C2450" i="1"/>
  <c r="D2450" i="1"/>
  <c r="E2450" i="1"/>
  <c r="F2450" i="1"/>
  <c r="G2450" i="1"/>
  <c r="H2450" i="1"/>
  <c r="I2450" i="1"/>
  <c r="J2450" i="1"/>
  <c r="K2450" i="1"/>
  <c r="L2450" i="1"/>
  <c r="M2450" i="1"/>
  <c r="N2450" i="1"/>
  <c r="O2450" i="1"/>
  <c r="P2450" i="1"/>
  <c r="Q2450" i="1"/>
  <c r="R2450" i="1"/>
  <c r="S2450" i="1"/>
  <c r="T2450" i="1"/>
  <c r="U2450" i="1"/>
  <c r="V2450" i="1"/>
  <c r="W2450" i="1"/>
  <c r="X2450" i="1"/>
  <c r="Y2450" i="1"/>
  <c r="Z2450" i="1"/>
  <c r="AA2450" i="1"/>
  <c r="AB2450" i="1"/>
  <c r="AC2450" i="1"/>
  <c r="AD2450" i="1"/>
  <c r="AE2450" i="1"/>
  <c r="AF2450" i="1"/>
  <c r="AG2450" i="1"/>
  <c r="AH2450" i="1"/>
  <c r="AI2450" i="1"/>
  <c r="AJ2450" i="1"/>
  <c r="AK2450" i="1"/>
  <c r="AL2450" i="1"/>
  <c r="AM2450" i="1"/>
  <c r="A2451" i="1"/>
  <c r="B2451" i="1"/>
  <c r="C2451" i="1"/>
  <c r="D2451" i="1"/>
  <c r="E2451" i="1"/>
  <c r="F2451" i="1"/>
  <c r="G2451" i="1"/>
  <c r="H2451" i="1"/>
  <c r="I2451" i="1"/>
  <c r="J2451" i="1"/>
  <c r="K2451" i="1"/>
  <c r="L2451" i="1"/>
  <c r="M2451" i="1"/>
  <c r="N2451" i="1"/>
  <c r="O2451" i="1"/>
  <c r="P2451" i="1"/>
  <c r="Q2451" i="1"/>
  <c r="R2451" i="1"/>
  <c r="S2451" i="1"/>
  <c r="T2451" i="1"/>
  <c r="U2451" i="1"/>
  <c r="V2451" i="1"/>
  <c r="W2451" i="1"/>
  <c r="X2451" i="1"/>
  <c r="Y2451" i="1"/>
  <c r="Z2451" i="1"/>
  <c r="AA2451" i="1"/>
  <c r="AB2451" i="1"/>
  <c r="AC2451" i="1"/>
  <c r="AD2451" i="1"/>
  <c r="AE2451" i="1"/>
  <c r="AF2451" i="1"/>
  <c r="AG2451" i="1"/>
  <c r="AH2451" i="1"/>
  <c r="AI2451" i="1"/>
  <c r="AJ2451" i="1"/>
  <c r="AK2451" i="1"/>
  <c r="AL2451" i="1"/>
  <c r="AM2451" i="1"/>
  <c r="A2452" i="1"/>
  <c r="B2452" i="1"/>
  <c r="C2452" i="1"/>
  <c r="D2452" i="1"/>
  <c r="E2452" i="1"/>
  <c r="F2452" i="1"/>
  <c r="G2452" i="1"/>
  <c r="H2452" i="1"/>
  <c r="I2452" i="1"/>
  <c r="J2452" i="1"/>
  <c r="K2452" i="1"/>
  <c r="L2452" i="1"/>
  <c r="M2452" i="1"/>
  <c r="N2452" i="1"/>
  <c r="O2452" i="1"/>
  <c r="P2452" i="1"/>
  <c r="Q2452" i="1"/>
  <c r="R2452" i="1"/>
  <c r="S2452" i="1"/>
  <c r="T2452" i="1"/>
  <c r="U2452" i="1"/>
  <c r="V2452" i="1"/>
  <c r="W2452" i="1"/>
  <c r="X2452" i="1"/>
  <c r="Y2452" i="1"/>
  <c r="Z2452" i="1"/>
  <c r="AA2452" i="1"/>
  <c r="AB2452" i="1"/>
  <c r="AC2452" i="1"/>
  <c r="AD2452" i="1"/>
  <c r="AE2452" i="1"/>
  <c r="AF2452" i="1"/>
  <c r="AG2452" i="1"/>
  <c r="AH2452" i="1"/>
  <c r="AI2452" i="1"/>
  <c r="AJ2452" i="1"/>
  <c r="AK2452" i="1"/>
  <c r="AL2452" i="1"/>
  <c r="AM2452" i="1"/>
  <c r="A2453" i="1"/>
  <c r="B2453" i="1"/>
  <c r="C2453" i="1"/>
  <c r="D2453" i="1"/>
  <c r="E2453" i="1"/>
  <c r="F2453" i="1"/>
  <c r="G2453" i="1"/>
  <c r="H2453" i="1"/>
  <c r="I2453" i="1"/>
  <c r="J2453" i="1"/>
  <c r="K2453" i="1"/>
  <c r="L2453" i="1"/>
  <c r="M2453" i="1"/>
  <c r="N2453" i="1"/>
  <c r="O2453" i="1"/>
  <c r="P2453" i="1"/>
  <c r="Q2453" i="1"/>
  <c r="R2453" i="1"/>
  <c r="S2453" i="1"/>
  <c r="T2453" i="1"/>
  <c r="U2453" i="1"/>
  <c r="V2453" i="1"/>
  <c r="W2453" i="1"/>
  <c r="X2453" i="1"/>
  <c r="Y2453" i="1"/>
  <c r="Z2453" i="1"/>
  <c r="AA2453" i="1"/>
  <c r="AB2453" i="1"/>
  <c r="AC2453" i="1"/>
  <c r="AD2453" i="1"/>
  <c r="AE2453" i="1"/>
  <c r="AF2453" i="1"/>
  <c r="AG2453" i="1"/>
  <c r="AH2453" i="1"/>
  <c r="AI2453" i="1"/>
  <c r="AJ2453" i="1"/>
  <c r="AK2453" i="1"/>
  <c r="AL2453" i="1"/>
  <c r="AM2453" i="1"/>
  <c r="A2454" i="1"/>
  <c r="B2454" i="1"/>
  <c r="C2454" i="1"/>
  <c r="D2454" i="1"/>
  <c r="E2454" i="1"/>
  <c r="F2454" i="1"/>
  <c r="G2454" i="1"/>
  <c r="H2454" i="1"/>
  <c r="I2454" i="1"/>
  <c r="J2454" i="1"/>
  <c r="K2454" i="1"/>
  <c r="L2454" i="1"/>
  <c r="M2454" i="1"/>
  <c r="N2454" i="1"/>
  <c r="O2454" i="1"/>
  <c r="P2454" i="1"/>
  <c r="Q2454" i="1"/>
  <c r="R2454" i="1"/>
  <c r="S2454" i="1"/>
  <c r="T2454" i="1"/>
  <c r="U2454" i="1"/>
  <c r="V2454" i="1"/>
  <c r="W2454" i="1"/>
  <c r="X2454" i="1"/>
  <c r="Y2454" i="1"/>
  <c r="Z2454" i="1"/>
  <c r="AA2454" i="1"/>
  <c r="AB2454" i="1"/>
  <c r="AC2454" i="1"/>
  <c r="AD2454" i="1"/>
  <c r="AE2454" i="1"/>
  <c r="AF2454" i="1"/>
  <c r="AG2454" i="1"/>
  <c r="AH2454" i="1"/>
  <c r="AI2454" i="1"/>
  <c r="AJ2454" i="1"/>
  <c r="AK2454" i="1"/>
  <c r="AL2454" i="1"/>
  <c r="AM2454" i="1"/>
  <c r="A2455" i="1"/>
  <c r="B2455" i="1"/>
  <c r="C2455" i="1"/>
  <c r="D2455" i="1"/>
  <c r="E2455" i="1"/>
  <c r="F2455" i="1"/>
  <c r="G2455" i="1"/>
  <c r="H2455" i="1"/>
  <c r="I2455" i="1"/>
  <c r="J2455" i="1"/>
  <c r="K2455" i="1"/>
  <c r="L2455" i="1"/>
  <c r="M2455" i="1"/>
  <c r="N2455" i="1"/>
  <c r="O2455" i="1"/>
  <c r="P2455" i="1"/>
  <c r="Q2455" i="1"/>
  <c r="R2455" i="1"/>
  <c r="S2455" i="1"/>
  <c r="T2455" i="1"/>
  <c r="U2455" i="1"/>
  <c r="V2455" i="1"/>
  <c r="W2455" i="1"/>
  <c r="X2455" i="1"/>
  <c r="Y2455" i="1"/>
  <c r="Z2455" i="1"/>
  <c r="AA2455" i="1"/>
  <c r="AB2455" i="1"/>
  <c r="AC2455" i="1"/>
  <c r="AD2455" i="1"/>
  <c r="AE2455" i="1"/>
  <c r="AF2455" i="1"/>
  <c r="AG2455" i="1"/>
  <c r="AH2455" i="1"/>
  <c r="AI2455" i="1"/>
  <c r="AJ2455" i="1"/>
  <c r="AK2455" i="1"/>
  <c r="AL2455" i="1"/>
  <c r="AM2455" i="1"/>
  <c r="A2456" i="1"/>
  <c r="B2456" i="1"/>
  <c r="C2456" i="1"/>
  <c r="D2456" i="1"/>
  <c r="E2456" i="1"/>
  <c r="F2456" i="1"/>
  <c r="G2456" i="1"/>
  <c r="H2456" i="1"/>
  <c r="I2456" i="1"/>
  <c r="J2456" i="1"/>
  <c r="K2456" i="1"/>
  <c r="L2456" i="1"/>
  <c r="M2456" i="1"/>
  <c r="N2456" i="1"/>
  <c r="O2456" i="1"/>
  <c r="P2456" i="1"/>
  <c r="Q2456" i="1"/>
  <c r="R2456" i="1"/>
  <c r="S2456" i="1"/>
  <c r="T2456" i="1"/>
  <c r="U2456" i="1"/>
  <c r="V2456" i="1"/>
  <c r="W2456" i="1"/>
  <c r="X2456" i="1"/>
  <c r="Y2456" i="1"/>
  <c r="Z2456" i="1"/>
  <c r="AA2456" i="1"/>
  <c r="AB2456" i="1"/>
  <c r="AC2456" i="1"/>
  <c r="AD2456" i="1"/>
  <c r="AE2456" i="1"/>
  <c r="AF2456" i="1"/>
  <c r="AG2456" i="1"/>
  <c r="AH2456" i="1"/>
  <c r="AI2456" i="1"/>
  <c r="AJ2456" i="1"/>
  <c r="AK2456" i="1"/>
  <c r="AL2456" i="1"/>
  <c r="AM2456" i="1"/>
  <c r="A2457" i="1"/>
  <c r="B2457" i="1"/>
  <c r="C2457" i="1"/>
  <c r="D2457" i="1"/>
  <c r="E2457" i="1"/>
  <c r="F2457" i="1"/>
  <c r="G2457" i="1"/>
  <c r="H2457" i="1"/>
  <c r="I2457" i="1"/>
  <c r="J2457" i="1"/>
  <c r="K2457" i="1"/>
  <c r="L2457" i="1"/>
  <c r="M2457" i="1"/>
  <c r="N2457" i="1"/>
  <c r="O2457" i="1"/>
  <c r="P2457" i="1"/>
  <c r="Q2457" i="1"/>
  <c r="R2457" i="1"/>
  <c r="S2457" i="1"/>
  <c r="T2457" i="1"/>
  <c r="U2457" i="1"/>
  <c r="V2457" i="1"/>
  <c r="W2457" i="1"/>
  <c r="X2457" i="1"/>
  <c r="Y2457" i="1"/>
  <c r="Z2457" i="1"/>
  <c r="AA2457" i="1"/>
  <c r="AB2457" i="1"/>
  <c r="AC2457" i="1"/>
  <c r="AD2457" i="1"/>
  <c r="AE2457" i="1"/>
  <c r="AF2457" i="1"/>
  <c r="AG2457" i="1"/>
  <c r="AH2457" i="1"/>
  <c r="AI2457" i="1"/>
  <c r="AJ2457" i="1"/>
  <c r="AK2457" i="1"/>
  <c r="AL2457" i="1"/>
  <c r="AM2457" i="1"/>
  <c r="A2458" i="1"/>
  <c r="B2458" i="1"/>
  <c r="C2458" i="1"/>
  <c r="D2458" i="1"/>
  <c r="E2458" i="1"/>
  <c r="F2458" i="1"/>
  <c r="G2458" i="1"/>
  <c r="H2458" i="1"/>
  <c r="I2458" i="1"/>
  <c r="J2458" i="1"/>
  <c r="K2458" i="1"/>
  <c r="L2458" i="1"/>
  <c r="M2458" i="1"/>
  <c r="N2458" i="1"/>
  <c r="O2458" i="1"/>
  <c r="P2458" i="1"/>
  <c r="Q2458" i="1"/>
  <c r="R2458" i="1"/>
  <c r="S2458" i="1"/>
  <c r="T2458" i="1"/>
  <c r="U2458" i="1"/>
  <c r="V2458" i="1"/>
  <c r="W2458" i="1"/>
  <c r="X2458" i="1"/>
  <c r="Y2458" i="1"/>
  <c r="Z2458" i="1"/>
  <c r="AA2458" i="1"/>
  <c r="AB2458" i="1"/>
  <c r="AC2458" i="1"/>
  <c r="AD2458" i="1"/>
  <c r="AE2458" i="1"/>
  <c r="AF2458" i="1"/>
  <c r="AG2458" i="1"/>
  <c r="AH2458" i="1"/>
  <c r="AI2458" i="1"/>
  <c r="AJ2458" i="1"/>
  <c r="AK2458" i="1"/>
  <c r="AL2458" i="1"/>
  <c r="AM2458" i="1"/>
  <c r="A2459" i="1"/>
  <c r="B2459" i="1"/>
  <c r="C2459" i="1"/>
  <c r="D2459" i="1"/>
  <c r="E2459" i="1"/>
  <c r="F2459" i="1"/>
  <c r="G2459" i="1"/>
  <c r="H2459" i="1"/>
  <c r="I2459" i="1"/>
  <c r="J2459" i="1"/>
  <c r="K2459" i="1"/>
  <c r="L2459" i="1"/>
  <c r="M2459" i="1"/>
  <c r="N2459" i="1"/>
  <c r="O2459" i="1"/>
  <c r="P2459" i="1"/>
  <c r="Q2459" i="1"/>
  <c r="R2459" i="1"/>
  <c r="S2459" i="1"/>
  <c r="T2459" i="1"/>
  <c r="U2459" i="1"/>
  <c r="V2459" i="1"/>
  <c r="W2459" i="1"/>
  <c r="X2459" i="1"/>
  <c r="Y2459" i="1"/>
  <c r="Z2459" i="1"/>
  <c r="AA2459" i="1"/>
  <c r="AB2459" i="1"/>
  <c r="AC2459" i="1"/>
  <c r="AD2459" i="1"/>
  <c r="AE2459" i="1"/>
  <c r="AF2459" i="1"/>
  <c r="AG2459" i="1"/>
  <c r="AH2459" i="1"/>
  <c r="AI2459" i="1"/>
  <c r="AJ2459" i="1"/>
  <c r="AK2459" i="1"/>
  <c r="AL2459" i="1"/>
  <c r="AM2459" i="1"/>
  <c r="A2460" i="1"/>
  <c r="B2460" i="1"/>
  <c r="C2460" i="1"/>
  <c r="D2460" i="1"/>
  <c r="E2460" i="1"/>
  <c r="F2460" i="1"/>
  <c r="G2460" i="1"/>
  <c r="H2460" i="1"/>
  <c r="I2460" i="1"/>
  <c r="J2460" i="1"/>
  <c r="K2460" i="1"/>
  <c r="L2460" i="1"/>
  <c r="M2460" i="1"/>
  <c r="N2460" i="1"/>
  <c r="O2460" i="1"/>
  <c r="P2460" i="1"/>
  <c r="Q2460" i="1"/>
  <c r="R2460" i="1"/>
  <c r="S2460" i="1"/>
  <c r="T2460" i="1"/>
  <c r="U2460" i="1"/>
  <c r="V2460" i="1"/>
  <c r="W2460" i="1"/>
  <c r="X2460" i="1"/>
  <c r="Y2460" i="1"/>
  <c r="Z2460" i="1"/>
  <c r="AA2460" i="1"/>
  <c r="AB2460" i="1"/>
  <c r="AC2460" i="1"/>
  <c r="AD2460" i="1"/>
  <c r="AE2460" i="1"/>
  <c r="AF2460" i="1"/>
  <c r="AG2460" i="1"/>
  <c r="AH2460" i="1"/>
  <c r="AI2460" i="1"/>
  <c r="AJ2460" i="1"/>
  <c r="AK2460" i="1"/>
  <c r="AL2460" i="1"/>
  <c r="AM2460" i="1"/>
  <c r="A2461" i="1"/>
  <c r="B2461" i="1"/>
  <c r="C2461" i="1"/>
  <c r="D2461" i="1"/>
  <c r="E2461" i="1"/>
  <c r="F2461" i="1"/>
  <c r="G2461" i="1"/>
  <c r="H2461" i="1"/>
  <c r="I2461" i="1"/>
  <c r="J2461" i="1"/>
  <c r="K2461" i="1"/>
  <c r="L2461" i="1"/>
  <c r="M2461" i="1"/>
  <c r="N2461" i="1"/>
  <c r="O2461" i="1"/>
  <c r="P2461" i="1"/>
  <c r="Q2461" i="1"/>
  <c r="R2461" i="1"/>
  <c r="S2461" i="1"/>
  <c r="T2461" i="1"/>
  <c r="U2461" i="1"/>
  <c r="V2461" i="1"/>
  <c r="W2461" i="1"/>
  <c r="X2461" i="1"/>
  <c r="Y2461" i="1"/>
  <c r="Z2461" i="1"/>
  <c r="AA2461" i="1"/>
  <c r="AB2461" i="1"/>
  <c r="AC2461" i="1"/>
  <c r="AD2461" i="1"/>
  <c r="AE2461" i="1"/>
  <c r="AF2461" i="1"/>
  <c r="AG2461" i="1"/>
  <c r="AH2461" i="1"/>
  <c r="AI2461" i="1"/>
  <c r="AJ2461" i="1"/>
  <c r="AK2461" i="1"/>
  <c r="AL2461" i="1"/>
  <c r="AM2461" i="1"/>
  <c r="A2462" i="1"/>
  <c r="B2462" i="1"/>
  <c r="C2462" i="1"/>
  <c r="D2462" i="1"/>
  <c r="E2462" i="1"/>
  <c r="F2462" i="1"/>
  <c r="G2462" i="1"/>
  <c r="H2462" i="1"/>
  <c r="I2462" i="1"/>
  <c r="J2462" i="1"/>
  <c r="K2462" i="1"/>
  <c r="L2462" i="1"/>
  <c r="M2462" i="1"/>
  <c r="N2462" i="1"/>
  <c r="O2462" i="1"/>
  <c r="P2462" i="1"/>
  <c r="Q2462" i="1"/>
  <c r="R2462" i="1"/>
  <c r="S2462" i="1"/>
  <c r="T2462" i="1"/>
  <c r="U2462" i="1"/>
  <c r="V2462" i="1"/>
  <c r="W2462" i="1"/>
  <c r="X2462" i="1"/>
  <c r="Y2462" i="1"/>
  <c r="Z2462" i="1"/>
  <c r="AA2462" i="1"/>
  <c r="AB2462" i="1"/>
  <c r="AC2462" i="1"/>
  <c r="AD2462" i="1"/>
  <c r="AE2462" i="1"/>
  <c r="AF2462" i="1"/>
  <c r="AG2462" i="1"/>
  <c r="AH2462" i="1"/>
  <c r="AI2462" i="1"/>
  <c r="AJ2462" i="1"/>
  <c r="AK2462" i="1"/>
  <c r="AL2462" i="1"/>
  <c r="AM2462" i="1"/>
  <c r="A2463" i="1"/>
  <c r="B2463" i="1"/>
  <c r="C2463" i="1"/>
  <c r="D2463" i="1"/>
  <c r="E2463" i="1"/>
  <c r="F2463" i="1"/>
  <c r="G2463" i="1"/>
  <c r="H2463" i="1"/>
  <c r="I2463" i="1"/>
  <c r="J2463" i="1"/>
  <c r="K2463" i="1"/>
  <c r="L2463" i="1"/>
  <c r="M2463" i="1"/>
  <c r="N2463" i="1"/>
  <c r="O2463" i="1"/>
  <c r="P2463" i="1"/>
  <c r="Q2463" i="1"/>
  <c r="R2463" i="1"/>
  <c r="S2463" i="1"/>
  <c r="T2463" i="1"/>
  <c r="U2463" i="1"/>
  <c r="V2463" i="1"/>
  <c r="W2463" i="1"/>
  <c r="X2463" i="1"/>
  <c r="Y2463" i="1"/>
  <c r="Z2463" i="1"/>
  <c r="AA2463" i="1"/>
  <c r="AB2463" i="1"/>
  <c r="AC2463" i="1"/>
  <c r="AD2463" i="1"/>
  <c r="AE2463" i="1"/>
  <c r="AF2463" i="1"/>
  <c r="AG2463" i="1"/>
  <c r="AH2463" i="1"/>
  <c r="AI2463" i="1"/>
  <c r="AJ2463" i="1"/>
  <c r="AK2463" i="1"/>
  <c r="AL2463" i="1"/>
  <c r="AM2463" i="1"/>
  <c r="A2464" i="1"/>
  <c r="B2464" i="1"/>
  <c r="C2464" i="1"/>
  <c r="D2464" i="1"/>
  <c r="E2464" i="1"/>
  <c r="F2464" i="1"/>
  <c r="G2464" i="1"/>
  <c r="H2464" i="1"/>
  <c r="I2464" i="1"/>
  <c r="J2464" i="1"/>
  <c r="K2464" i="1"/>
  <c r="L2464" i="1"/>
  <c r="M2464" i="1"/>
  <c r="N2464" i="1"/>
  <c r="O2464" i="1"/>
  <c r="P2464" i="1"/>
  <c r="Q2464" i="1"/>
  <c r="R2464" i="1"/>
  <c r="S2464" i="1"/>
  <c r="T2464" i="1"/>
  <c r="U2464" i="1"/>
  <c r="V2464" i="1"/>
  <c r="W2464" i="1"/>
  <c r="X2464" i="1"/>
  <c r="Y2464" i="1"/>
  <c r="Z2464" i="1"/>
  <c r="AA2464" i="1"/>
  <c r="AB2464" i="1"/>
  <c r="AC2464" i="1"/>
  <c r="AD2464" i="1"/>
  <c r="AE2464" i="1"/>
  <c r="AF2464" i="1"/>
  <c r="AG2464" i="1"/>
  <c r="AH2464" i="1"/>
  <c r="AI2464" i="1"/>
  <c r="AJ2464" i="1"/>
  <c r="AK2464" i="1"/>
  <c r="AL2464" i="1"/>
  <c r="AM2464" i="1"/>
  <c r="A2465" i="1"/>
  <c r="B2465" i="1"/>
  <c r="C2465" i="1"/>
  <c r="D2465" i="1"/>
  <c r="E2465" i="1"/>
  <c r="F2465" i="1"/>
  <c r="G2465" i="1"/>
  <c r="H2465" i="1"/>
  <c r="I2465" i="1"/>
  <c r="J2465" i="1"/>
  <c r="K2465" i="1"/>
  <c r="L2465" i="1"/>
  <c r="M2465" i="1"/>
  <c r="N2465" i="1"/>
  <c r="O2465" i="1"/>
  <c r="P2465" i="1"/>
  <c r="Q2465" i="1"/>
  <c r="R2465" i="1"/>
  <c r="S2465" i="1"/>
  <c r="T2465" i="1"/>
  <c r="U2465" i="1"/>
  <c r="V2465" i="1"/>
  <c r="W2465" i="1"/>
  <c r="X2465" i="1"/>
  <c r="Y2465" i="1"/>
  <c r="Z2465" i="1"/>
  <c r="AA2465" i="1"/>
  <c r="AB2465" i="1"/>
  <c r="AC2465" i="1"/>
  <c r="AD2465" i="1"/>
  <c r="AE2465" i="1"/>
  <c r="AF2465" i="1"/>
  <c r="AG2465" i="1"/>
  <c r="AH2465" i="1"/>
  <c r="AI2465" i="1"/>
  <c r="AJ2465" i="1"/>
  <c r="AK2465" i="1"/>
  <c r="AL2465" i="1"/>
  <c r="AM2465" i="1"/>
  <c r="A2466" i="1"/>
  <c r="B2466" i="1"/>
  <c r="C2466" i="1"/>
  <c r="D2466" i="1"/>
  <c r="E2466" i="1"/>
  <c r="F2466" i="1"/>
  <c r="G2466" i="1"/>
  <c r="H2466" i="1"/>
  <c r="I2466" i="1"/>
  <c r="J2466" i="1"/>
  <c r="K2466" i="1"/>
  <c r="L2466" i="1"/>
  <c r="M2466" i="1"/>
  <c r="N2466" i="1"/>
  <c r="O2466" i="1"/>
  <c r="P2466" i="1"/>
  <c r="Q2466" i="1"/>
  <c r="R2466" i="1"/>
  <c r="S2466" i="1"/>
  <c r="T2466" i="1"/>
  <c r="U2466" i="1"/>
  <c r="V2466" i="1"/>
  <c r="W2466" i="1"/>
  <c r="X2466" i="1"/>
  <c r="Y2466" i="1"/>
  <c r="Z2466" i="1"/>
  <c r="AA2466" i="1"/>
  <c r="AB2466" i="1"/>
  <c r="AC2466" i="1"/>
  <c r="AD2466" i="1"/>
  <c r="AE2466" i="1"/>
  <c r="AF2466" i="1"/>
  <c r="AG2466" i="1"/>
  <c r="AH2466" i="1"/>
  <c r="AI2466" i="1"/>
  <c r="AJ2466" i="1"/>
  <c r="AK2466" i="1"/>
  <c r="AL2466" i="1"/>
  <c r="AM2466" i="1"/>
  <c r="A2467" i="1"/>
  <c r="B2467" i="1"/>
  <c r="C2467" i="1"/>
  <c r="D2467" i="1"/>
  <c r="E2467" i="1"/>
  <c r="F2467" i="1"/>
  <c r="G2467" i="1"/>
  <c r="H2467" i="1"/>
  <c r="I2467" i="1"/>
  <c r="J2467" i="1"/>
  <c r="K2467" i="1"/>
  <c r="L2467" i="1"/>
  <c r="M2467" i="1"/>
  <c r="N2467" i="1"/>
  <c r="O2467" i="1"/>
  <c r="P2467" i="1"/>
  <c r="Q2467" i="1"/>
  <c r="R2467" i="1"/>
  <c r="S2467" i="1"/>
  <c r="T2467" i="1"/>
  <c r="U2467" i="1"/>
  <c r="V2467" i="1"/>
  <c r="W2467" i="1"/>
  <c r="X2467" i="1"/>
  <c r="Y2467" i="1"/>
  <c r="Z2467" i="1"/>
  <c r="AA2467" i="1"/>
  <c r="AB2467" i="1"/>
  <c r="AC2467" i="1"/>
  <c r="AD2467" i="1"/>
  <c r="AE2467" i="1"/>
  <c r="AF2467" i="1"/>
  <c r="AG2467" i="1"/>
  <c r="AH2467" i="1"/>
  <c r="AI2467" i="1"/>
  <c r="AJ2467" i="1"/>
  <c r="AK2467" i="1"/>
  <c r="AL2467" i="1"/>
  <c r="AM2467" i="1"/>
  <c r="A2468" i="1"/>
  <c r="B2468" i="1"/>
  <c r="C2468" i="1"/>
  <c r="D2468" i="1"/>
  <c r="E2468" i="1"/>
  <c r="F2468" i="1"/>
  <c r="G2468" i="1"/>
  <c r="H2468" i="1"/>
  <c r="I2468" i="1"/>
  <c r="J2468" i="1"/>
  <c r="K2468" i="1"/>
  <c r="L2468" i="1"/>
  <c r="M2468" i="1"/>
  <c r="N2468" i="1"/>
  <c r="O2468" i="1"/>
  <c r="P2468" i="1"/>
  <c r="Q2468" i="1"/>
  <c r="R2468" i="1"/>
  <c r="S2468" i="1"/>
  <c r="T2468" i="1"/>
  <c r="U2468" i="1"/>
  <c r="V2468" i="1"/>
  <c r="W2468" i="1"/>
  <c r="X2468" i="1"/>
  <c r="Y2468" i="1"/>
  <c r="Z2468" i="1"/>
  <c r="AA2468" i="1"/>
  <c r="AB2468" i="1"/>
  <c r="AC2468" i="1"/>
  <c r="AD2468" i="1"/>
  <c r="AE2468" i="1"/>
  <c r="AF2468" i="1"/>
  <c r="AG2468" i="1"/>
  <c r="AH2468" i="1"/>
  <c r="AI2468" i="1"/>
  <c r="AJ2468" i="1"/>
  <c r="AK2468" i="1"/>
  <c r="AL2468" i="1"/>
  <c r="AM2468" i="1"/>
  <c r="A2469" i="1"/>
  <c r="B2469" i="1"/>
  <c r="C2469" i="1"/>
  <c r="D2469" i="1"/>
  <c r="E2469" i="1"/>
  <c r="F2469" i="1"/>
  <c r="G2469" i="1"/>
  <c r="H2469" i="1"/>
  <c r="I2469" i="1"/>
  <c r="J2469" i="1"/>
  <c r="K2469" i="1"/>
  <c r="L2469" i="1"/>
  <c r="M2469" i="1"/>
  <c r="N2469" i="1"/>
  <c r="O2469" i="1"/>
  <c r="P2469" i="1"/>
  <c r="Q2469" i="1"/>
  <c r="R2469" i="1"/>
  <c r="S2469" i="1"/>
  <c r="T2469" i="1"/>
  <c r="U2469" i="1"/>
  <c r="V2469" i="1"/>
  <c r="W2469" i="1"/>
  <c r="X2469" i="1"/>
  <c r="Y2469" i="1"/>
  <c r="Z2469" i="1"/>
  <c r="AA2469" i="1"/>
  <c r="AB2469" i="1"/>
  <c r="AC2469" i="1"/>
  <c r="AD2469" i="1"/>
  <c r="AE2469" i="1"/>
  <c r="AF2469" i="1"/>
  <c r="AG2469" i="1"/>
  <c r="AH2469" i="1"/>
  <c r="AI2469" i="1"/>
  <c r="AJ2469" i="1"/>
  <c r="AK2469" i="1"/>
  <c r="AL2469" i="1"/>
  <c r="AM2469" i="1"/>
  <c r="A2470" i="1"/>
  <c r="B2470" i="1"/>
  <c r="C2470" i="1"/>
  <c r="D2470" i="1"/>
  <c r="E2470" i="1"/>
  <c r="F2470" i="1"/>
  <c r="G2470" i="1"/>
  <c r="H2470" i="1"/>
  <c r="I2470" i="1"/>
  <c r="J2470" i="1"/>
  <c r="K2470" i="1"/>
  <c r="L2470" i="1"/>
  <c r="M2470" i="1"/>
  <c r="N2470" i="1"/>
  <c r="O2470" i="1"/>
  <c r="P2470" i="1"/>
  <c r="Q2470" i="1"/>
  <c r="R2470" i="1"/>
  <c r="S2470" i="1"/>
  <c r="T2470" i="1"/>
  <c r="U2470" i="1"/>
  <c r="V2470" i="1"/>
  <c r="W2470" i="1"/>
  <c r="X2470" i="1"/>
  <c r="Y2470" i="1"/>
  <c r="Z2470" i="1"/>
  <c r="AA2470" i="1"/>
  <c r="AB2470" i="1"/>
  <c r="AC2470" i="1"/>
  <c r="AD2470" i="1"/>
  <c r="AE2470" i="1"/>
  <c r="AF2470" i="1"/>
  <c r="AG2470" i="1"/>
  <c r="AH2470" i="1"/>
  <c r="AI2470" i="1"/>
  <c r="AJ2470" i="1"/>
  <c r="AK2470" i="1"/>
  <c r="AL2470" i="1"/>
  <c r="AM2470" i="1"/>
  <c r="A2471" i="1"/>
  <c r="B2471" i="1"/>
  <c r="C2471" i="1"/>
  <c r="D2471" i="1"/>
  <c r="E2471" i="1"/>
  <c r="F2471" i="1"/>
  <c r="G2471" i="1"/>
  <c r="H2471" i="1"/>
  <c r="I2471" i="1"/>
  <c r="J2471" i="1"/>
  <c r="K2471" i="1"/>
  <c r="L2471" i="1"/>
  <c r="M2471" i="1"/>
  <c r="N2471" i="1"/>
  <c r="O2471" i="1"/>
  <c r="P2471" i="1"/>
  <c r="Q2471" i="1"/>
  <c r="R2471" i="1"/>
  <c r="S2471" i="1"/>
  <c r="T2471" i="1"/>
  <c r="U2471" i="1"/>
  <c r="V2471" i="1"/>
  <c r="W2471" i="1"/>
  <c r="X2471" i="1"/>
  <c r="Y2471" i="1"/>
  <c r="Z2471" i="1"/>
  <c r="AA2471" i="1"/>
  <c r="AB2471" i="1"/>
  <c r="AC2471" i="1"/>
  <c r="AD2471" i="1"/>
  <c r="AE2471" i="1"/>
  <c r="AF2471" i="1"/>
  <c r="AG2471" i="1"/>
  <c r="AH2471" i="1"/>
  <c r="AI2471" i="1"/>
  <c r="AJ2471" i="1"/>
  <c r="AK2471" i="1"/>
  <c r="AL2471" i="1"/>
  <c r="AM2471" i="1"/>
  <c r="A2472" i="1"/>
  <c r="B2472" i="1"/>
  <c r="C2472" i="1"/>
  <c r="D2472" i="1"/>
  <c r="E2472" i="1"/>
  <c r="F2472" i="1"/>
  <c r="G2472" i="1"/>
  <c r="H2472" i="1"/>
  <c r="I2472" i="1"/>
  <c r="J2472" i="1"/>
  <c r="K2472" i="1"/>
  <c r="L2472" i="1"/>
  <c r="M2472" i="1"/>
  <c r="N2472" i="1"/>
  <c r="O2472" i="1"/>
  <c r="P2472" i="1"/>
  <c r="Q2472" i="1"/>
  <c r="R2472" i="1"/>
  <c r="S2472" i="1"/>
  <c r="T2472" i="1"/>
  <c r="U2472" i="1"/>
  <c r="V2472" i="1"/>
  <c r="W2472" i="1"/>
  <c r="X2472" i="1"/>
  <c r="Y2472" i="1"/>
  <c r="Z2472" i="1"/>
  <c r="AA2472" i="1"/>
  <c r="AB2472" i="1"/>
  <c r="AC2472" i="1"/>
  <c r="AD2472" i="1"/>
  <c r="AE2472" i="1"/>
  <c r="AF2472" i="1"/>
  <c r="AG2472" i="1"/>
  <c r="AH2472" i="1"/>
  <c r="AI2472" i="1"/>
  <c r="AJ2472" i="1"/>
  <c r="AK2472" i="1"/>
  <c r="AL2472" i="1"/>
  <c r="AM2472" i="1"/>
  <c r="A2473" i="1"/>
  <c r="B2473" i="1"/>
  <c r="C2473" i="1"/>
  <c r="D2473" i="1"/>
  <c r="E2473" i="1"/>
  <c r="F2473" i="1"/>
  <c r="G2473" i="1"/>
  <c r="H2473" i="1"/>
  <c r="I2473" i="1"/>
  <c r="J2473" i="1"/>
  <c r="K2473" i="1"/>
  <c r="L2473" i="1"/>
  <c r="M2473" i="1"/>
  <c r="N2473" i="1"/>
  <c r="O2473" i="1"/>
  <c r="P2473" i="1"/>
  <c r="Q2473" i="1"/>
  <c r="R2473" i="1"/>
  <c r="S2473" i="1"/>
  <c r="T2473" i="1"/>
  <c r="U2473" i="1"/>
  <c r="V2473" i="1"/>
  <c r="W2473" i="1"/>
  <c r="X2473" i="1"/>
  <c r="Y2473" i="1"/>
  <c r="Z2473" i="1"/>
  <c r="AA2473" i="1"/>
  <c r="AB2473" i="1"/>
  <c r="AC2473" i="1"/>
  <c r="AD2473" i="1"/>
  <c r="AE2473" i="1"/>
  <c r="AF2473" i="1"/>
  <c r="AG2473" i="1"/>
  <c r="AH2473" i="1"/>
  <c r="AI2473" i="1"/>
  <c r="AJ2473" i="1"/>
  <c r="AK2473" i="1"/>
  <c r="AL2473" i="1"/>
  <c r="AM2473" i="1"/>
  <c r="A2474" i="1"/>
  <c r="B2474" i="1"/>
  <c r="C2474" i="1"/>
  <c r="D2474" i="1"/>
  <c r="E2474" i="1"/>
  <c r="F2474" i="1"/>
  <c r="G2474" i="1"/>
  <c r="H2474" i="1"/>
  <c r="I2474" i="1"/>
  <c r="J2474" i="1"/>
  <c r="K2474" i="1"/>
  <c r="L2474" i="1"/>
  <c r="M2474" i="1"/>
  <c r="N2474" i="1"/>
  <c r="O2474" i="1"/>
  <c r="P2474" i="1"/>
  <c r="Q2474" i="1"/>
  <c r="R2474" i="1"/>
  <c r="S2474" i="1"/>
  <c r="T2474" i="1"/>
  <c r="U2474" i="1"/>
  <c r="V2474" i="1"/>
  <c r="W2474" i="1"/>
  <c r="X2474" i="1"/>
  <c r="Y2474" i="1"/>
  <c r="Z2474" i="1"/>
  <c r="AA2474" i="1"/>
  <c r="AB2474" i="1"/>
  <c r="AC2474" i="1"/>
  <c r="AD2474" i="1"/>
  <c r="AE2474" i="1"/>
  <c r="AF2474" i="1"/>
  <c r="AG2474" i="1"/>
  <c r="AH2474" i="1"/>
  <c r="AI2474" i="1"/>
  <c r="AJ2474" i="1"/>
  <c r="AK2474" i="1"/>
  <c r="AL2474" i="1"/>
  <c r="AM2474" i="1"/>
  <c r="A2475" i="1"/>
  <c r="B2475" i="1"/>
  <c r="C2475" i="1"/>
  <c r="D2475" i="1"/>
  <c r="E2475" i="1"/>
  <c r="F2475" i="1"/>
  <c r="G2475" i="1"/>
  <c r="H2475" i="1"/>
  <c r="I2475" i="1"/>
  <c r="J2475" i="1"/>
  <c r="K2475" i="1"/>
  <c r="L2475" i="1"/>
  <c r="M2475" i="1"/>
  <c r="N2475" i="1"/>
  <c r="O2475" i="1"/>
  <c r="P2475" i="1"/>
  <c r="Q2475" i="1"/>
  <c r="R2475" i="1"/>
  <c r="S2475" i="1"/>
  <c r="T2475" i="1"/>
  <c r="U2475" i="1"/>
  <c r="V2475" i="1"/>
  <c r="W2475" i="1"/>
  <c r="X2475" i="1"/>
  <c r="Y2475" i="1"/>
  <c r="Z2475" i="1"/>
  <c r="AA2475" i="1"/>
  <c r="AB2475" i="1"/>
  <c r="AC2475" i="1"/>
  <c r="AD2475" i="1"/>
  <c r="AE2475" i="1"/>
  <c r="AF2475" i="1"/>
  <c r="AG2475" i="1"/>
  <c r="AH2475" i="1"/>
  <c r="AI2475" i="1"/>
  <c r="AJ2475" i="1"/>
  <c r="AK2475" i="1"/>
  <c r="AL2475" i="1"/>
  <c r="AM2475" i="1"/>
  <c r="A2476" i="1"/>
  <c r="B2476" i="1"/>
  <c r="C2476" i="1"/>
  <c r="D2476" i="1"/>
  <c r="E2476" i="1"/>
  <c r="F2476" i="1"/>
  <c r="G2476" i="1"/>
  <c r="H2476" i="1"/>
  <c r="I2476" i="1"/>
  <c r="J2476" i="1"/>
  <c r="K2476" i="1"/>
  <c r="L2476" i="1"/>
  <c r="M2476" i="1"/>
  <c r="N2476" i="1"/>
  <c r="O2476" i="1"/>
  <c r="P2476" i="1"/>
  <c r="Q2476" i="1"/>
  <c r="R2476" i="1"/>
  <c r="S2476" i="1"/>
  <c r="T2476" i="1"/>
  <c r="U2476" i="1"/>
  <c r="V2476" i="1"/>
  <c r="W2476" i="1"/>
  <c r="X2476" i="1"/>
  <c r="Y2476" i="1"/>
  <c r="Z2476" i="1"/>
  <c r="AA2476" i="1"/>
  <c r="AB2476" i="1"/>
  <c r="AC2476" i="1"/>
  <c r="AD2476" i="1"/>
  <c r="AE2476" i="1"/>
  <c r="AF2476" i="1"/>
  <c r="AG2476" i="1"/>
  <c r="AH2476" i="1"/>
  <c r="AI2476" i="1"/>
  <c r="AJ2476" i="1"/>
  <c r="AK2476" i="1"/>
  <c r="AL2476" i="1"/>
  <c r="AM2476" i="1"/>
  <c r="A2477" i="1"/>
  <c r="B2477" i="1"/>
  <c r="C2477" i="1"/>
  <c r="D2477" i="1"/>
  <c r="E2477" i="1"/>
  <c r="F2477" i="1"/>
  <c r="G2477" i="1"/>
  <c r="H2477" i="1"/>
  <c r="I2477" i="1"/>
  <c r="J2477" i="1"/>
  <c r="K2477" i="1"/>
  <c r="L2477" i="1"/>
  <c r="M2477" i="1"/>
  <c r="N2477" i="1"/>
  <c r="O2477" i="1"/>
  <c r="P2477" i="1"/>
  <c r="Q2477" i="1"/>
  <c r="R2477" i="1"/>
  <c r="S2477" i="1"/>
  <c r="T2477" i="1"/>
  <c r="U2477" i="1"/>
  <c r="V2477" i="1"/>
  <c r="W2477" i="1"/>
  <c r="X2477" i="1"/>
  <c r="Y2477" i="1"/>
  <c r="Z2477" i="1"/>
  <c r="AA2477" i="1"/>
  <c r="AB2477" i="1"/>
  <c r="AC2477" i="1"/>
  <c r="AD2477" i="1"/>
  <c r="AE2477" i="1"/>
  <c r="AF2477" i="1"/>
  <c r="AG2477" i="1"/>
  <c r="AH2477" i="1"/>
  <c r="AI2477" i="1"/>
  <c r="AJ2477" i="1"/>
  <c r="AK2477" i="1"/>
  <c r="AL2477" i="1"/>
  <c r="AM2477" i="1"/>
  <c r="A2478" i="1"/>
  <c r="B2478" i="1"/>
  <c r="C2478" i="1"/>
  <c r="D2478" i="1"/>
  <c r="E2478" i="1"/>
  <c r="F2478" i="1"/>
  <c r="G2478" i="1"/>
  <c r="H2478" i="1"/>
  <c r="I2478" i="1"/>
  <c r="J2478" i="1"/>
  <c r="K2478" i="1"/>
  <c r="L2478" i="1"/>
  <c r="M2478" i="1"/>
  <c r="N2478" i="1"/>
  <c r="O2478" i="1"/>
  <c r="P2478" i="1"/>
  <c r="Q2478" i="1"/>
  <c r="R2478" i="1"/>
  <c r="S2478" i="1"/>
  <c r="T2478" i="1"/>
  <c r="U2478" i="1"/>
  <c r="V2478" i="1"/>
  <c r="W2478" i="1"/>
  <c r="X2478" i="1"/>
  <c r="Y2478" i="1"/>
  <c r="Z2478" i="1"/>
  <c r="AA2478" i="1"/>
  <c r="AB2478" i="1"/>
  <c r="AC2478" i="1"/>
  <c r="AD2478" i="1"/>
  <c r="AE2478" i="1"/>
  <c r="AF2478" i="1"/>
  <c r="AG2478" i="1"/>
  <c r="AH2478" i="1"/>
  <c r="AI2478" i="1"/>
  <c r="AJ2478" i="1"/>
  <c r="AK2478" i="1"/>
  <c r="AL2478" i="1"/>
  <c r="AM2478" i="1"/>
  <c r="A2479" i="1"/>
  <c r="B2479" i="1"/>
  <c r="C2479" i="1"/>
  <c r="D2479" i="1"/>
  <c r="E2479" i="1"/>
  <c r="F2479" i="1"/>
  <c r="G2479" i="1"/>
  <c r="H2479" i="1"/>
  <c r="I2479" i="1"/>
  <c r="J2479" i="1"/>
  <c r="K2479" i="1"/>
  <c r="L2479" i="1"/>
  <c r="M2479" i="1"/>
  <c r="N2479" i="1"/>
  <c r="O2479" i="1"/>
  <c r="P2479" i="1"/>
  <c r="Q2479" i="1"/>
  <c r="R2479" i="1"/>
  <c r="S2479" i="1"/>
  <c r="T2479" i="1"/>
  <c r="U2479" i="1"/>
  <c r="V2479" i="1"/>
  <c r="W2479" i="1"/>
  <c r="X2479" i="1"/>
  <c r="Y2479" i="1"/>
  <c r="Z2479" i="1"/>
  <c r="AA2479" i="1"/>
  <c r="AB2479" i="1"/>
  <c r="AC2479" i="1"/>
  <c r="AD2479" i="1"/>
  <c r="AE2479" i="1"/>
  <c r="AF2479" i="1"/>
  <c r="AG2479" i="1"/>
  <c r="AH2479" i="1"/>
  <c r="AI2479" i="1"/>
  <c r="AJ2479" i="1"/>
  <c r="AK2479" i="1"/>
  <c r="AL2479" i="1"/>
  <c r="AM2479" i="1"/>
  <c r="A2480" i="1"/>
  <c r="B2480" i="1"/>
  <c r="C2480" i="1"/>
  <c r="D2480" i="1"/>
  <c r="E2480" i="1"/>
  <c r="F2480" i="1"/>
  <c r="G2480" i="1"/>
  <c r="H2480" i="1"/>
  <c r="I2480" i="1"/>
  <c r="J2480" i="1"/>
  <c r="K2480" i="1"/>
  <c r="L2480" i="1"/>
  <c r="M2480" i="1"/>
  <c r="N2480" i="1"/>
  <c r="O2480" i="1"/>
  <c r="P2480" i="1"/>
  <c r="Q2480" i="1"/>
  <c r="R2480" i="1"/>
  <c r="S2480" i="1"/>
  <c r="T2480" i="1"/>
  <c r="U2480" i="1"/>
  <c r="V2480" i="1"/>
  <c r="W2480" i="1"/>
  <c r="X2480" i="1"/>
  <c r="Y2480" i="1"/>
  <c r="Z2480" i="1"/>
  <c r="AA2480" i="1"/>
  <c r="AB2480" i="1"/>
  <c r="AC2480" i="1"/>
  <c r="AD2480" i="1"/>
  <c r="AE2480" i="1"/>
  <c r="AF2480" i="1"/>
  <c r="AG2480" i="1"/>
  <c r="AH2480" i="1"/>
  <c r="AI2480" i="1"/>
  <c r="AJ2480" i="1"/>
  <c r="AK2480" i="1"/>
  <c r="AL2480" i="1"/>
  <c r="AM2480" i="1"/>
  <c r="A2481" i="1"/>
  <c r="B2481" i="1"/>
  <c r="C2481" i="1"/>
  <c r="D2481" i="1"/>
  <c r="E2481" i="1"/>
  <c r="F2481" i="1"/>
  <c r="G2481" i="1"/>
  <c r="H2481" i="1"/>
  <c r="I2481" i="1"/>
  <c r="J2481" i="1"/>
  <c r="K2481" i="1"/>
  <c r="L2481" i="1"/>
  <c r="M2481" i="1"/>
  <c r="N2481" i="1"/>
  <c r="O2481" i="1"/>
  <c r="P2481" i="1"/>
  <c r="Q2481" i="1"/>
  <c r="R2481" i="1"/>
  <c r="S2481" i="1"/>
  <c r="T2481" i="1"/>
  <c r="U2481" i="1"/>
  <c r="V2481" i="1"/>
  <c r="W2481" i="1"/>
  <c r="X2481" i="1"/>
  <c r="Y2481" i="1"/>
  <c r="Z2481" i="1"/>
  <c r="AA2481" i="1"/>
  <c r="AB2481" i="1"/>
  <c r="AC2481" i="1"/>
  <c r="AD2481" i="1"/>
  <c r="AE2481" i="1"/>
  <c r="AF2481" i="1"/>
  <c r="AG2481" i="1"/>
  <c r="AH2481" i="1"/>
  <c r="AI2481" i="1"/>
  <c r="AJ2481" i="1"/>
  <c r="AK2481" i="1"/>
  <c r="AL2481" i="1"/>
  <c r="AM2481" i="1"/>
  <c r="A2482" i="1"/>
  <c r="B2482" i="1"/>
  <c r="C2482" i="1"/>
  <c r="D2482" i="1"/>
  <c r="E2482" i="1"/>
  <c r="F2482" i="1"/>
  <c r="G2482" i="1"/>
  <c r="H2482" i="1"/>
  <c r="I2482" i="1"/>
  <c r="J2482" i="1"/>
  <c r="K2482" i="1"/>
  <c r="L2482" i="1"/>
  <c r="M2482" i="1"/>
  <c r="N2482" i="1"/>
  <c r="O2482" i="1"/>
  <c r="P2482" i="1"/>
  <c r="Q2482" i="1"/>
  <c r="R2482" i="1"/>
  <c r="S2482" i="1"/>
  <c r="T2482" i="1"/>
  <c r="U2482" i="1"/>
  <c r="V2482" i="1"/>
  <c r="W2482" i="1"/>
  <c r="X2482" i="1"/>
  <c r="Y2482" i="1"/>
  <c r="Z2482" i="1"/>
  <c r="AA2482" i="1"/>
  <c r="AB2482" i="1"/>
  <c r="AC2482" i="1"/>
  <c r="AD2482" i="1"/>
  <c r="AE2482" i="1"/>
  <c r="AF2482" i="1"/>
  <c r="AG2482" i="1"/>
  <c r="AH2482" i="1"/>
  <c r="AI2482" i="1"/>
  <c r="AJ2482" i="1"/>
  <c r="AK2482" i="1"/>
  <c r="AL2482" i="1"/>
  <c r="AM2482" i="1"/>
  <c r="A2483" i="1"/>
  <c r="B2483" i="1"/>
  <c r="C2483" i="1"/>
  <c r="D2483" i="1"/>
  <c r="E2483" i="1"/>
  <c r="F2483" i="1"/>
  <c r="G2483" i="1"/>
  <c r="H2483" i="1"/>
  <c r="I2483" i="1"/>
  <c r="J2483" i="1"/>
  <c r="K2483" i="1"/>
  <c r="L2483" i="1"/>
  <c r="M2483" i="1"/>
  <c r="N2483" i="1"/>
  <c r="O2483" i="1"/>
  <c r="P2483" i="1"/>
  <c r="Q2483" i="1"/>
  <c r="R2483" i="1"/>
  <c r="S2483" i="1"/>
  <c r="T2483" i="1"/>
  <c r="U2483" i="1"/>
  <c r="V2483" i="1"/>
  <c r="W2483" i="1"/>
  <c r="X2483" i="1"/>
  <c r="Y2483" i="1"/>
  <c r="Z2483" i="1"/>
  <c r="AA2483" i="1"/>
  <c r="AB2483" i="1"/>
  <c r="AC2483" i="1"/>
  <c r="AD2483" i="1"/>
  <c r="AE2483" i="1"/>
  <c r="AF2483" i="1"/>
  <c r="AG2483" i="1"/>
  <c r="AH2483" i="1"/>
  <c r="AI2483" i="1"/>
  <c r="AJ2483" i="1"/>
  <c r="AK2483" i="1"/>
  <c r="AL2483" i="1"/>
  <c r="AM2483" i="1"/>
  <c r="A2484" i="1"/>
  <c r="B2484" i="1"/>
  <c r="C2484" i="1"/>
  <c r="D2484" i="1"/>
  <c r="E2484" i="1"/>
  <c r="F2484" i="1"/>
  <c r="G2484" i="1"/>
  <c r="H2484" i="1"/>
  <c r="I2484" i="1"/>
  <c r="J2484" i="1"/>
  <c r="K2484" i="1"/>
  <c r="L2484" i="1"/>
  <c r="M2484" i="1"/>
  <c r="N2484" i="1"/>
  <c r="O2484" i="1"/>
  <c r="P2484" i="1"/>
  <c r="Q2484" i="1"/>
  <c r="R2484" i="1"/>
  <c r="S2484" i="1"/>
  <c r="T2484" i="1"/>
  <c r="U2484" i="1"/>
  <c r="V2484" i="1"/>
  <c r="W2484" i="1"/>
  <c r="X2484" i="1"/>
  <c r="Y2484" i="1"/>
  <c r="Z2484" i="1"/>
  <c r="AA2484" i="1"/>
  <c r="AB2484" i="1"/>
  <c r="AC2484" i="1"/>
  <c r="AD2484" i="1"/>
  <c r="AE2484" i="1"/>
  <c r="AF2484" i="1"/>
  <c r="AG2484" i="1"/>
  <c r="AH2484" i="1"/>
  <c r="AI2484" i="1"/>
  <c r="AJ2484" i="1"/>
  <c r="AK2484" i="1"/>
  <c r="AL2484" i="1"/>
  <c r="AM2484" i="1"/>
  <c r="A2485" i="1"/>
  <c r="B2485" i="1"/>
  <c r="C2485" i="1"/>
  <c r="D2485" i="1"/>
  <c r="E2485" i="1"/>
  <c r="F2485" i="1"/>
  <c r="G2485" i="1"/>
  <c r="H2485" i="1"/>
  <c r="I2485" i="1"/>
  <c r="J2485" i="1"/>
  <c r="K2485" i="1"/>
  <c r="L2485" i="1"/>
  <c r="M2485" i="1"/>
  <c r="N2485" i="1"/>
  <c r="O2485" i="1"/>
  <c r="P2485" i="1"/>
  <c r="Q2485" i="1"/>
  <c r="R2485" i="1"/>
  <c r="S2485" i="1"/>
  <c r="T2485" i="1"/>
  <c r="U2485" i="1"/>
  <c r="V2485" i="1"/>
  <c r="W2485" i="1"/>
  <c r="X2485" i="1"/>
  <c r="Y2485" i="1"/>
  <c r="Z2485" i="1"/>
  <c r="AA2485" i="1"/>
  <c r="AB2485" i="1"/>
  <c r="AC2485" i="1"/>
  <c r="AD2485" i="1"/>
  <c r="AE2485" i="1"/>
  <c r="AF2485" i="1"/>
  <c r="AG2485" i="1"/>
  <c r="AH2485" i="1"/>
  <c r="AI2485" i="1"/>
  <c r="AJ2485" i="1"/>
  <c r="AK2485" i="1"/>
  <c r="AL2485" i="1"/>
  <c r="AM2485" i="1"/>
  <c r="A2486" i="1"/>
  <c r="B2486" i="1"/>
  <c r="C2486" i="1"/>
  <c r="D2486" i="1"/>
  <c r="E2486" i="1"/>
  <c r="F2486" i="1"/>
  <c r="G2486" i="1"/>
  <c r="H2486" i="1"/>
  <c r="I2486" i="1"/>
  <c r="J2486" i="1"/>
  <c r="K2486" i="1"/>
  <c r="L2486" i="1"/>
  <c r="M2486" i="1"/>
  <c r="N2486" i="1"/>
  <c r="O2486" i="1"/>
  <c r="P2486" i="1"/>
  <c r="Q2486" i="1"/>
  <c r="R2486" i="1"/>
  <c r="S2486" i="1"/>
  <c r="T2486" i="1"/>
  <c r="U2486" i="1"/>
  <c r="V2486" i="1"/>
  <c r="W2486" i="1"/>
  <c r="X2486" i="1"/>
  <c r="Y2486" i="1"/>
  <c r="Z2486" i="1"/>
  <c r="AA2486" i="1"/>
  <c r="AB2486" i="1"/>
  <c r="AC2486" i="1"/>
  <c r="AD2486" i="1"/>
  <c r="AE2486" i="1"/>
  <c r="AF2486" i="1"/>
  <c r="AG2486" i="1"/>
  <c r="AH2486" i="1"/>
  <c r="AI2486" i="1"/>
  <c r="AJ2486" i="1"/>
  <c r="AK2486" i="1"/>
  <c r="AL2486" i="1"/>
  <c r="AM2486" i="1"/>
  <c r="A2487" i="1"/>
  <c r="B2487" i="1"/>
  <c r="C2487" i="1"/>
  <c r="D2487" i="1"/>
  <c r="E2487" i="1"/>
  <c r="F2487" i="1"/>
  <c r="G2487" i="1"/>
  <c r="H2487" i="1"/>
  <c r="I2487" i="1"/>
  <c r="J2487" i="1"/>
  <c r="K2487" i="1"/>
  <c r="L2487" i="1"/>
  <c r="M2487" i="1"/>
  <c r="N2487" i="1"/>
  <c r="O2487" i="1"/>
  <c r="P2487" i="1"/>
  <c r="Q2487" i="1"/>
  <c r="R2487" i="1"/>
  <c r="S2487" i="1"/>
  <c r="T2487" i="1"/>
  <c r="U2487" i="1"/>
  <c r="V2487" i="1"/>
  <c r="W2487" i="1"/>
  <c r="X2487" i="1"/>
  <c r="Y2487" i="1"/>
  <c r="Z2487" i="1"/>
  <c r="AA2487" i="1"/>
  <c r="AB2487" i="1"/>
  <c r="AC2487" i="1"/>
  <c r="AD2487" i="1"/>
  <c r="AE2487" i="1"/>
  <c r="AF2487" i="1"/>
  <c r="AG2487" i="1"/>
  <c r="AH2487" i="1"/>
  <c r="AI2487" i="1"/>
  <c r="AJ2487" i="1"/>
  <c r="AK2487" i="1"/>
  <c r="AL2487" i="1"/>
  <c r="AM2487" i="1"/>
  <c r="A2488" i="1"/>
  <c r="B2488" i="1"/>
  <c r="C2488" i="1"/>
  <c r="D2488" i="1"/>
  <c r="E2488" i="1"/>
  <c r="F2488" i="1"/>
  <c r="G2488" i="1"/>
  <c r="H2488" i="1"/>
  <c r="I2488" i="1"/>
  <c r="J2488" i="1"/>
  <c r="K2488" i="1"/>
  <c r="L2488" i="1"/>
  <c r="M2488" i="1"/>
  <c r="N2488" i="1"/>
  <c r="O2488" i="1"/>
  <c r="P2488" i="1"/>
  <c r="Q2488" i="1"/>
  <c r="R2488" i="1"/>
  <c r="S2488" i="1"/>
  <c r="T2488" i="1"/>
  <c r="U2488" i="1"/>
  <c r="V2488" i="1"/>
  <c r="W2488" i="1"/>
  <c r="X2488" i="1"/>
  <c r="Y2488" i="1"/>
  <c r="Z2488" i="1"/>
  <c r="AA2488" i="1"/>
  <c r="AB2488" i="1"/>
  <c r="AC2488" i="1"/>
  <c r="AD2488" i="1"/>
  <c r="AE2488" i="1"/>
  <c r="AF2488" i="1"/>
  <c r="AG2488" i="1"/>
  <c r="AH2488" i="1"/>
  <c r="AI2488" i="1"/>
  <c r="AJ2488" i="1"/>
  <c r="AK2488" i="1"/>
  <c r="AL2488" i="1"/>
  <c r="AM2488" i="1"/>
  <c r="A2489" i="1"/>
  <c r="B2489" i="1"/>
  <c r="C2489" i="1"/>
  <c r="D2489" i="1"/>
  <c r="E2489" i="1"/>
  <c r="F2489" i="1"/>
  <c r="G2489" i="1"/>
  <c r="H2489" i="1"/>
  <c r="I2489" i="1"/>
  <c r="J2489" i="1"/>
  <c r="K2489" i="1"/>
  <c r="L2489" i="1"/>
  <c r="M2489" i="1"/>
  <c r="N2489" i="1"/>
  <c r="O2489" i="1"/>
  <c r="P2489" i="1"/>
  <c r="Q2489" i="1"/>
  <c r="R2489" i="1"/>
  <c r="S2489" i="1"/>
  <c r="T2489" i="1"/>
  <c r="U2489" i="1"/>
  <c r="V2489" i="1"/>
  <c r="W2489" i="1"/>
  <c r="X2489" i="1"/>
  <c r="Y2489" i="1"/>
  <c r="Z2489" i="1"/>
  <c r="AA2489" i="1"/>
  <c r="AB2489" i="1"/>
  <c r="AC2489" i="1"/>
  <c r="AD2489" i="1"/>
  <c r="AE2489" i="1"/>
  <c r="AF2489" i="1"/>
  <c r="AG2489" i="1"/>
  <c r="AH2489" i="1"/>
  <c r="AI2489" i="1"/>
  <c r="AJ2489" i="1"/>
  <c r="AK2489" i="1"/>
  <c r="AL2489" i="1"/>
  <c r="AM2489" i="1"/>
  <c r="A2490" i="1"/>
  <c r="B2490" i="1"/>
  <c r="C2490" i="1"/>
  <c r="D2490" i="1"/>
  <c r="E2490" i="1"/>
  <c r="F2490" i="1"/>
  <c r="G2490" i="1"/>
  <c r="H2490" i="1"/>
  <c r="I2490" i="1"/>
  <c r="J2490" i="1"/>
  <c r="K2490" i="1"/>
  <c r="L2490" i="1"/>
  <c r="M2490" i="1"/>
  <c r="N2490" i="1"/>
  <c r="O2490" i="1"/>
  <c r="P2490" i="1"/>
  <c r="Q2490" i="1"/>
  <c r="R2490" i="1"/>
  <c r="S2490" i="1"/>
  <c r="T2490" i="1"/>
  <c r="U2490" i="1"/>
  <c r="V2490" i="1"/>
  <c r="W2490" i="1"/>
  <c r="X2490" i="1"/>
  <c r="Y2490" i="1"/>
  <c r="Z2490" i="1"/>
  <c r="AA2490" i="1"/>
  <c r="AB2490" i="1"/>
  <c r="AC2490" i="1"/>
  <c r="AD2490" i="1"/>
  <c r="AE2490" i="1"/>
  <c r="AF2490" i="1"/>
  <c r="AG2490" i="1"/>
  <c r="AH2490" i="1"/>
  <c r="AI2490" i="1"/>
  <c r="AJ2490" i="1"/>
  <c r="AK2490" i="1"/>
  <c r="AL2490" i="1"/>
  <c r="AM2490" i="1"/>
  <c r="A2491" i="1"/>
  <c r="B2491" i="1"/>
  <c r="C2491" i="1"/>
  <c r="D2491" i="1"/>
  <c r="E2491" i="1"/>
  <c r="F2491" i="1"/>
  <c r="G2491" i="1"/>
  <c r="H2491" i="1"/>
  <c r="I2491" i="1"/>
  <c r="J2491" i="1"/>
  <c r="K2491" i="1"/>
  <c r="L2491" i="1"/>
  <c r="M2491" i="1"/>
  <c r="N2491" i="1"/>
  <c r="O2491" i="1"/>
  <c r="P2491" i="1"/>
  <c r="Q2491" i="1"/>
  <c r="R2491" i="1"/>
  <c r="S2491" i="1"/>
  <c r="T2491" i="1"/>
  <c r="U2491" i="1"/>
  <c r="V2491" i="1"/>
  <c r="W2491" i="1"/>
  <c r="X2491" i="1"/>
  <c r="Y2491" i="1"/>
  <c r="Z2491" i="1"/>
  <c r="AA2491" i="1"/>
  <c r="AB2491" i="1"/>
  <c r="AC2491" i="1"/>
  <c r="AD2491" i="1"/>
  <c r="AE2491" i="1"/>
  <c r="AF2491" i="1"/>
  <c r="AG2491" i="1"/>
  <c r="AH2491" i="1"/>
  <c r="AI2491" i="1"/>
  <c r="AJ2491" i="1"/>
  <c r="AK2491" i="1"/>
  <c r="AL2491" i="1"/>
  <c r="AM2491" i="1"/>
  <c r="A2492" i="1"/>
  <c r="B2492" i="1"/>
  <c r="C2492" i="1"/>
  <c r="D2492" i="1"/>
  <c r="E2492" i="1"/>
  <c r="F2492" i="1"/>
  <c r="G2492" i="1"/>
  <c r="H2492" i="1"/>
  <c r="I2492" i="1"/>
  <c r="J2492" i="1"/>
  <c r="K2492" i="1"/>
  <c r="L2492" i="1"/>
  <c r="M2492" i="1"/>
  <c r="N2492" i="1"/>
  <c r="O2492" i="1"/>
  <c r="P2492" i="1"/>
  <c r="Q2492" i="1"/>
  <c r="R2492" i="1"/>
  <c r="S2492" i="1"/>
  <c r="T2492" i="1"/>
  <c r="U2492" i="1"/>
  <c r="V2492" i="1"/>
  <c r="W2492" i="1"/>
  <c r="X2492" i="1"/>
  <c r="Y2492" i="1"/>
  <c r="Z2492" i="1"/>
  <c r="AA2492" i="1"/>
  <c r="AB2492" i="1"/>
  <c r="AC2492" i="1"/>
  <c r="AD2492" i="1"/>
  <c r="AE2492" i="1"/>
  <c r="AF2492" i="1"/>
  <c r="AG2492" i="1"/>
  <c r="AH2492" i="1"/>
  <c r="AI2492" i="1"/>
  <c r="AJ2492" i="1"/>
  <c r="AK2492" i="1"/>
  <c r="AL2492" i="1"/>
  <c r="AM2492" i="1"/>
  <c r="A2493" i="1"/>
  <c r="B2493" i="1"/>
  <c r="C2493" i="1"/>
  <c r="D2493" i="1"/>
  <c r="E2493" i="1"/>
  <c r="F2493" i="1"/>
  <c r="G2493" i="1"/>
  <c r="H2493" i="1"/>
  <c r="I2493" i="1"/>
  <c r="J2493" i="1"/>
  <c r="K2493" i="1"/>
  <c r="L2493" i="1"/>
  <c r="M2493" i="1"/>
  <c r="N2493" i="1"/>
  <c r="O2493" i="1"/>
  <c r="P2493" i="1"/>
  <c r="Q2493" i="1"/>
  <c r="R2493" i="1"/>
  <c r="S2493" i="1"/>
  <c r="T2493" i="1"/>
  <c r="U2493" i="1"/>
  <c r="V2493" i="1"/>
  <c r="W2493" i="1"/>
  <c r="X2493" i="1"/>
  <c r="Y2493" i="1"/>
  <c r="Z2493" i="1"/>
  <c r="AA2493" i="1"/>
  <c r="AB2493" i="1"/>
  <c r="AC2493" i="1"/>
  <c r="AD2493" i="1"/>
  <c r="AE2493" i="1"/>
  <c r="AF2493" i="1"/>
  <c r="AG2493" i="1"/>
  <c r="AH2493" i="1"/>
  <c r="AI2493" i="1"/>
  <c r="AJ2493" i="1"/>
  <c r="AK2493" i="1"/>
  <c r="AL2493" i="1"/>
  <c r="AM2493" i="1"/>
  <c r="A2494" i="1"/>
  <c r="B2494" i="1"/>
  <c r="C2494" i="1"/>
  <c r="D2494" i="1"/>
  <c r="E2494" i="1"/>
  <c r="F2494" i="1"/>
  <c r="G2494" i="1"/>
  <c r="H2494" i="1"/>
  <c r="I2494" i="1"/>
  <c r="J2494" i="1"/>
  <c r="K2494" i="1"/>
  <c r="L2494" i="1"/>
  <c r="M2494" i="1"/>
  <c r="N2494" i="1"/>
  <c r="O2494" i="1"/>
  <c r="P2494" i="1"/>
  <c r="Q2494" i="1"/>
  <c r="R2494" i="1"/>
  <c r="S2494" i="1"/>
  <c r="T2494" i="1"/>
  <c r="U2494" i="1"/>
  <c r="V2494" i="1"/>
  <c r="W2494" i="1"/>
  <c r="X2494" i="1"/>
  <c r="Y2494" i="1"/>
  <c r="Z2494" i="1"/>
  <c r="AA2494" i="1"/>
  <c r="AB2494" i="1"/>
  <c r="AC2494" i="1"/>
  <c r="AD2494" i="1"/>
  <c r="AE2494" i="1"/>
  <c r="AF2494" i="1"/>
  <c r="AG2494" i="1"/>
  <c r="AH2494" i="1"/>
  <c r="AI2494" i="1"/>
  <c r="AJ2494" i="1"/>
  <c r="AK2494" i="1"/>
  <c r="AL2494" i="1"/>
  <c r="AM2494" i="1"/>
  <c r="A2495" i="1"/>
  <c r="B2495" i="1"/>
  <c r="C2495" i="1"/>
  <c r="D2495" i="1"/>
  <c r="E2495" i="1"/>
  <c r="F2495" i="1"/>
  <c r="G2495" i="1"/>
  <c r="H2495" i="1"/>
  <c r="I2495" i="1"/>
  <c r="J2495" i="1"/>
  <c r="K2495" i="1"/>
  <c r="L2495" i="1"/>
  <c r="M2495" i="1"/>
  <c r="N2495" i="1"/>
  <c r="O2495" i="1"/>
  <c r="P2495" i="1"/>
  <c r="Q2495" i="1"/>
  <c r="R2495" i="1"/>
  <c r="S2495" i="1"/>
  <c r="T2495" i="1"/>
  <c r="U2495" i="1"/>
  <c r="V2495" i="1"/>
  <c r="W2495" i="1"/>
  <c r="X2495" i="1"/>
  <c r="Y2495" i="1"/>
  <c r="Z2495" i="1"/>
  <c r="AA2495" i="1"/>
  <c r="AB2495" i="1"/>
  <c r="AC2495" i="1"/>
  <c r="AD2495" i="1"/>
  <c r="AE2495" i="1"/>
  <c r="AF2495" i="1"/>
  <c r="AG2495" i="1"/>
  <c r="AH2495" i="1"/>
  <c r="AI2495" i="1"/>
  <c r="AJ2495" i="1"/>
  <c r="AK2495" i="1"/>
  <c r="AL2495" i="1"/>
  <c r="AM2495" i="1"/>
  <c r="A2496" i="1"/>
  <c r="B2496" i="1"/>
  <c r="C2496" i="1"/>
  <c r="D2496" i="1"/>
  <c r="E2496" i="1"/>
  <c r="F2496" i="1"/>
  <c r="G2496" i="1"/>
  <c r="H2496" i="1"/>
  <c r="I2496" i="1"/>
  <c r="J2496" i="1"/>
  <c r="K2496" i="1"/>
  <c r="L2496" i="1"/>
  <c r="M2496" i="1"/>
  <c r="N2496" i="1"/>
  <c r="O2496" i="1"/>
  <c r="P2496" i="1"/>
  <c r="Q2496" i="1"/>
  <c r="R2496" i="1"/>
  <c r="S2496" i="1"/>
  <c r="T2496" i="1"/>
  <c r="U2496" i="1"/>
  <c r="V2496" i="1"/>
  <c r="W2496" i="1"/>
  <c r="X2496" i="1"/>
  <c r="Y2496" i="1"/>
  <c r="Z2496" i="1"/>
  <c r="AA2496" i="1"/>
  <c r="AB2496" i="1"/>
  <c r="AC2496" i="1"/>
  <c r="AD2496" i="1"/>
  <c r="AE2496" i="1"/>
  <c r="AF2496" i="1"/>
  <c r="AG2496" i="1"/>
  <c r="AH2496" i="1"/>
  <c r="AI2496" i="1"/>
  <c r="AJ2496" i="1"/>
  <c r="AK2496" i="1"/>
  <c r="AL2496" i="1"/>
  <c r="AM2496" i="1"/>
  <c r="A2497" i="1"/>
  <c r="B2497" i="1"/>
  <c r="C2497" i="1"/>
  <c r="D2497" i="1"/>
  <c r="E2497" i="1"/>
  <c r="F2497" i="1"/>
  <c r="G2497" i="1"/>
  <c r="H2497" i="1"/>
  <c r="I2497" i="1"/>
  <c r="J2497" i="1"/>
  <c r="K2497" i="1"/>
  <c r="L2497" i="1"/>
  <c r="M2497" i="1"/>
  <c r="N2497" i="1"/>
  <c r="O2497" i="1"/>
  <c r="P2497" i="1"/>
  <c r="Q2497" i="1"/>
  <c r="R2497" i="1"/>
  <c r="S2497" i="1"/>
  <c r="T2497" i="1"/>
  <c r="U2497" i="1"/>
  <c r="V2497" i="1"/>
  <c r="W2497" i="1"/>
  <c r="X2497" i="1"/>
  <c r="Y2497" i="1"/>
  <c r="Z2497" i="1"/>
  <c r="AA2497" i="1"/>
  <c r="AB2497" i="1"/>
  <c r="AC2497" i="1"/>
  <c r="AD2497" i="1"/>
  <c r="AE2497" i="1"/>
  <c r="AF2497" i="1"/>
  <c r="AG2497" i="1"/>
  <c r="AH2497" i="1"/>
  <c r="AI2497" i="1"/>
  <c r="AJ2497" i="1"/>
  <c r="AK2497" i="1"/>
  <c r="AL2497" i="1"/>
  <c r="AM2497" i="1"/>
  <c r="A2498" i="1"/>
  <c r="B2498" i="1"/>
  <c r="C2498" i="1"/>
  <c r="D2498" i="1"/>
  <c r="E2498" i="1"/>
  <c r="F2498" i="1"/>
  <c r="G2498" i="1"/>
  <c r="H2498" i="1"/>
  <c r="I2498" i="1"/>
  <c r="J2498" i="1"/>
  <c r="K2498" i="1"/>
  <c r="L2498" i="1"/>
  <c r="M2498" i="1"/>
  <c r="N2498" i="1"/>
  <c r="O2498" i="1"/>
  <c r="P2498" i="1"/>
  <c r="Q2498" i="1"/>
  <c r="R2498" i="1"/>
  <c r="S2498" i="1"/>
  <c r="T2498" i="1"/>
  <c r="U2498" i="1"/>
  <c r="V2498" i="1"/>
  <c r="W2498" i="1"/>
  <c r="X2498" i="1"/>
  <c r="Y2498" i="1"/>
  <c r="Z2498" i="1"/>
  <c r="AA2498" i="1"/>
  <c r="AB2498" i="1"/>
  <c r="AC2498" i="1"/>
  <c r="AD2498" i="1"/>
  <c r="AE2498" i="1"/>
  <c r="AF2498" i="1"/>
  <c r="AG2498" i="1"/>
  <c r="AH2498" i="1"/>
  <c r="AI2498" i="1"/>
  <c r="AJ2498" i="1"/>
  <c r="AK2498" i="1"/>
  <c r="AL2498" i="1"/>
  <c r="AM2498" i="1"/>
  <c r="A2499" i="1"/>
  <c r="B2499" i="1"/>
  <c r="C2499" i="1"/>
  <c r="D2499" i="1"/>
  <c r="E2499" i="1"/>
  <c r="F2499" i="1"/>
  <c r="G2499" i="1"/>
  <c r="H2499" i="1"/>
  <c r="I2499" i="1"/>
  <c r="J2499" i="1"/>
  <c r="K2499" i="1"/>
  <c r="L2499" i="1"/>
  <c r="M2499" i="1"/>
  <c r="N2499" i="1"/>
  <c r="O2499" i="1"/>
  <c r="P2499" i="1"/>
  <c r="Q2499" i="1"/>
  <c r="R2499" i="1"/>
  <c r="S2499" i="1"/>
  <c r="T2499" i="1"/>
  <c r="U2499" i="1"/>
  <c r="V2499" i="1"/>
  <c r="W2499" i="1"/>
  <c r="X2499" i="1"/>
  <c r="Y2499" i="1"/>
  <c r="Z2499" i="1"/>
  <c r="AA2499" i="1"/>
  <c r="AB2499" i="1"/>
  <c r="AC2499" i="1"/>
  <c r="AD2499" i="1"/>
  <c r="AE2499" i="1"/>
  <c r="AF2499" i="1"/>
  <c r="AG2499" i="1"/>
  <c r="AH2499" i="1"/>
  <c r="AI2499" i="1"/>
  <c r="AJ2499" i="1"/>
  <c r="AK2499" i="1"/>
  <c r="AL2499" i="1"/>
  <c r="AM2499" i="1"/>
  <c r="A2500" i="1"/>
  <c r="B2500" i="1"/>
  <c r="C2500" i="1"/>
  <c r="D2500" i="1"/>
  <c r="E2500" i="1"/>
  <c r="F2500" i="1"/>
  <c r="G2500" i="1"/>
  <c r="H2500" i="1"/>
  <c r="I2500" i="1"/>
  <c r="J2500" i="1"/>
  <c r="K2500" i="1"/>
  <c r="L2500" i="1"/>
  <c r="M2500" i="1"/>
  <c r="N2500" i="1"/>
  <c r="O2500" i="1"/>
  <c r="P2500" i="1"/>
  <c r="Q2500" i="1"/>
  <c r="R2500" i="1"/>
  <c r="S2500" i="1"/>
  <c r="T2500" i="1"/>
  <c r="U2500" i="1"/>
  <c r="V2500" i="1"/>
  <c r="W2500" i="1"/>
  <c r="X2500" i="1"/>
  <c r="Y2500" i="1"/>
  <c r="Z2500" i="1"/>
  <c r="AA2500" i="1"/>
  <c r="AB2500" i="1"/>
  <c r="AC2500" i="1"/>
  <c r="AD2500" i="1"/>
  <c r="AE2500" i="1"/>
  <c r="AF2500" i="1"/>
  <c r="AG2500" i="1"/>
  <c r="AH2500" i="1"/>
  <c r="AI2500" i="1"/>
  <c r="AJ2500" i="1"/>
  <c r="AK2500" i="1"/>
  <c r="AL2500" i="1"/>
  <c r="AM2500" i="1"/>
  <c r="A2501" i="1"/>
  <c r="B2501" i="1"/>
  <c r="C2501" i="1"/>
  <c r="D2501" i="1"/>
  <c r="E2501" i="1"/>
  <c r="F2501" i="1"/>
  <c r="G2501" i="1"/>
  <c r="H2501" i="1"/>
  <c r="I2501" i="1"/>
  <c r="J2501" i="1"/>
  <c r="K2501" i="1"/>
  <c r="L2501" i="1"/>
  <c r="M2501" i="1"/>
  <c r="N2501" i="1"/>
  <c r="O2501" i="1"/>
  <c r="P2501" i="1"/>
  <c r="Q2501" i="1"/>
  <c r="R2501" i="1"/>
  <c r="S2501" i="1"/>
  <c r="T2501" i="1"/>
  <c r="U2501" i="1"/>
  <c r="V2501" i="1"/>
  <c r="W2501" i="1"/>
  <c r="X2501" i="1"/>
  <c r="Y2501" i="1"/>
  <c r="Z2501" i="1"/>
  <c r="AA2501" i="1"/>
  <c r="AB2501" i="1"/>
  <c r="AC2501" i="1"/>
  <c r="AD2501" i="1"/>
  <c r="AE2501" i="1"/>
  <c r="AF2501" i="1"/>
  <c r="AG2501" i="1"/>
  <c r="AH2501" i="1"/>
  <c r="AI2501" i="1"/>
  <c r="AJ2501" i="1"/>
  <c r="AK2501" i="1"/>
  <c r="AL2501" i="1"/>
  <c r="AM2501" i="1"/>
  <c r="A2502" i="1"/>
  <c r="B2502" i="1"/>
  <c r="C2502" i="1"/>
  <c r="D2502" i="1"/>
  <c r="E2502" i="1"/>
  <c r="F2502" i="1"/>
  <c r="G2502" i="1"/>
  <c r="H2502" i="1"/>
  <c r="I2502" i="1"/>
  <c r="J2502" i="1"/>
  <c r="K2502" i="1"/>
  <c r="L2502" i="1"/>
  <c r="M2502" i="1"/>
  <c r="N2502" i="1"/>
  <c r="O2502" i="1"/>
  <c r="P2502" i="1"/>
  <c r="Q2502" i="1"/>
  <c r="R2502" i="1"/>
  <c r="S2502" i="1"/>
  <c r="T2502" i="1"/>
  <c r="U2502" i="1"/>
  <c r="V2502" i="1"/>
  <c r="W2502" i="1"/>
  <c r="X2502" i="1"/>
  <c r="Y2502" i="1"/>
  <c r="Z2502" i="1"/>
  <c r="AA2502" i="1"/>
  <c r="AB2502" i="1"/>
  <c r="AC2502" i="1"/>
  <c r="AD2502" i="1"/>
  <c r="AE2502" i="1"/>
  <c r="AF2502" i="1"/>
  <c r="AG2502" i="1"/>
  <c r="AH2502" i="1"/>
  <c r="AI2502" i="1"/>
  <c r="AJ2502" i="1"/>
  <c r="AK2502" i="1"/>
  <c r="AL2502" i="1"/>
  <c r="AM2502" i="1"/>
  <c r="A2503" i="1"/>
  <c r="B2503" i="1"/>
  <c r="C2503" i="1"/>
  <c r="D2503" i="1"/>
  <c r="E2503" i="1"/>
  <c r="F2503" i="1"/>
  <c r="G2503" i="1"/>
  <c r="H2503" i="1"/>
  <c r="I2503" i="1"/>
  <c r="J2503" i="1"/>
  <c r="K2503" i="1"/>
  <c r="L2503" i="1"/>
  <c r="M2503" i="1"/>
  <c r="N2503" i="1"/>
  <c r="O2503" i="1"/>
  <c r="P2503" i="1"/>
  <c r="Q2503" i="1"/>
  <c r="R2503" i="1"/>
  <c r="S2503" i="1"/>
  <c r="T2503" i="1"/>
  <c r="U2503" i="1"/>
  <c r="V2503" i="1"/>
  <c r="W2503" i="1"/>
  <c r="X2503" i="1"/>
  <c r="Y2503" i="1"/>
  <c r="Z2503" i="1"/>
  <c r="AA2503" i="1"/>
  <c r="AB2503" i="1"/>
  <c r="AC2503" i="1"/>
  <c r="AD2503" i="1"/>
  <c r="AE2503" i="1"/>
  <c r="AF2503" i="1"/>
  <c r="AG2503" i="1"/>
  <c r="AH2503" i="1"/>
  <c r="AI2503" i="1"/>
  <c r="AJ2503" i="1"/>
  <c r="AK2503" i="1"/>
  <c r="AL2503" i="1"/>
  <c r="AM2503" i="1"/>
  <c r="A2504" i="1"/>
  <c r="B2504" i="1"/>
  <c r="C2504" i="1"/>
  <c r="D2504" i="1"/>
  <c r="E2504" i="1"/>
  <c r="F2504" i="1"/>
  <c r="G2504" i="1"/>
  <c r="H2504" i="1"/>
  <c r="I2504" i="1"/>
  <c r="J2504" i="1"/>
  <c r="K2504" i="1"/>
  <c r="L2504" i="1"/>
  <c r="M2504" i="1"/>
  <c r="N2504" i="1"/>
  <c r="O2504" i="1"/>
  <c r="P2504" i="1"/>
  <c r="Q2504" i="1"/>
  <c r="R2504" i="1"/>
  <c r="S2504" i="1"/>
  <c r="T2504" i="1"/>
  <c r="U2504" i="1"/>
  <c r="V2504" i="1"/>
  <c r="W2504" i="1"/>
  <c r="X2504" i="1"/>
  <c r="Y2504" i="1"/>
  <c r="Z2504" i="1"/>
  <c r="AA2504" i="1"/>
  <c r="AB2504" i="1"/>
  <c r="AC2504" i="1"/>
  <c r="AD2504" i="1"/>
  <c r="AE2504" i="1"/>
  <c r="AF2504" i="1"/>
  <c r="AG2504" i="1"/>
  <c r="AH2504" i="1"/>
  <c r="AI2504" i="1"/>
  <c r="AJ2504" i="1"/>
  <c r="AK2504" i="1"/>
  <c r="AL2504" i="1"/>
  <c r="AM2504" i="1"/>
  <c r="A2505" i="1"/>
  <c r="B2505" i="1"/>
  <c r="C2505" i="1"/>
  <c r="D2505" i="1"/>
  <c r="E2505" i="1"/>
  <c r="F2505" i="1"/>
  <c r="G2505" i="1"/>
  <c r="H2505" i="1"/>
  <c r="I2505" i="1"/>
  <c r="J2505" i="1"/>
  <c r="K2505" i="1"/>
  <c r="L2505" i="1"/>
  <c r="M2505" i="1"/>
  <c r="N2505" i="1"/>
  <c r="O2505" i="1"/>
  <c r="P2505" i="1"/>
  <c r="Q2505" i="1"/>
  <c r="R2505" i="1"/>
  <c r="S2505" i="1"/>
  <c r="T2505" i="1"/>
  <c r="U2505" i="1"/>
  <c r="V2505" i="1"/>
  <c r="W2505" i="1"/>
  <c r="X2505" i="1"/>
  <c r="Y2505" i="1"/>
  <c r="Z2505" i="1"/>
  <c r="AA2505" i="1"/>
  <c r="AB2505" i="1"/>
  <c r="AC2505" i="1"/>
  <c r="AD2505" i="1"/>
  <c r="AE2505" i="1"/>
  <c r="AF2505" i="1"/>
  <c r="AG2505" i="1"/>
  <c r="AH2505" i="1"/>
  <c r="AI2505" i="1"/>
  <c r="AJ2505" i="1"/>
  <c r="AK2505" i="1"/>
  <c r="AL2505" i="1"/>
  <c r="AM2505" i="1"/>
  <c r="A2506" i="1"/>
  <c r="B2506" i="1"/>
  <c r="C2506" i="1"/>
  <c r="D2506" i="1"/>
  <c r="E2506" i="1"/>
  <c r="F2506" i="1"/>
  <c r="G2506" i="1"/>
  <c r="H2506" i="1"/>
  <c r="I2506" i="1"/>
  <c r="J2506" i="1"/>
  <c r="K2506" i="1"/>
  <c r="L2506" i="1"/>
  <c r="M2506" i="1"/>
  <c r="N2506" i="1"/>
  <c r="O2506" i="1"/>
  <c r="P2506" i="1"/>
  <c r="Q2506" i="1"/>
  <c r="R2506" i="1"/>
  <c r="S2506" i="1"/>
  <c r="T2506" i="1"/>
  <c r="U2506" i="1"/>
  <c r="V2506" i="1"/>
  <c r="W2506" i="1"/>
  <c r="X2506" i="1"/>
  <c r="Y2506" i="1"/>
  <c r="Z2506" i="1"/>
  <c r="AA2506" i="1"/>
  <c r="AB2506" i="1"/>
  <c r="AC2506" i="1"/>
  <c r="AD2506" i="1"/>
  <c r="AE2506" i="1"/>
  <c r="AF2506" i="1"/>
  <c r="AG2506" i="1"/>
  <c r="AH2506" i="1"/>
  <c r="AI2506" i="1"/>
  <c r="AJ2506" i="1"/>
  <c r="AK2506" i="1"/>
  <c r="AL2506" i="1"/>
  <c r="AM2506" i="1"/>
  <c r="A2507" i="1"/>
  <c r="B2507" i="1"/>
  <c r="C2507" i="1"/>
  <c r="D2507" i="1"/>
  <c r="E2507" i="1"/>
  <c r="F2507" i="1"/>
  <c r="G2507" i="1"/>
  <c r="H2507" i="1"/>
  <c r="I2507" i="1"/>
  <c r="J2507" i="1"/>
  <c r="K2507" i="1"/>
  <c r="L2507" i="1"/>
  <c r="M2507" i="1"/>
  <c r="N2507" i="1"/>
  <c r="O2507" i="1"/>
  <c r="P2507" i="1"/>
  <c r="Q2507" i="1"/>
  <c r="R2507" i="1"/>
  <c r="S2507" i="1"/>
  <c r="T2507" i="1"/>
  <c r="U2507" i="1"/>
  <c r="V2507" i="1"/>
  <c r="W2507" i="1"/>
  <c r="X2507" i="1"/>
  <c r="Y2507" i="1"/>
  <c r="Z2507" i="1"/>
  <c r="AA2507" i="1"/>
  <c r="AB2507" i="1"/>
  <c r="AC2507" i="1"/>
  <c r="AD2507" i="1"/>
  <c r="AE2507" i="1"/>
  <c r="AF2507" i="1"/>
  <c r="AG2507" i="1"/>
  <c r="AH2507" i="1"/>
  <c r="AI2507" i="1"/>
  <c r="AJ2507" i="1"/>
  <c r="AK2507" i="1"/>
  <c r="AL2507" i="1"/>
  <c r="AM2507" i="1"/>
  <c r="A2508" i="1"/>
  <c r="B2508" i="1"/>
  <c r="C2508" i="1"/>
  <c r="D2508" i="1"/>
  <c r="E2508" i="1"/>
  <c r="F2508" i="1"/>
  <c r="G2508" i="1"/>
  <c r="H2508" i="1"/>
  <c r="I2508" i="1"/>
  <c r="J2508" i="1"/>
  <c r="K2508" i="1"/>
  <c r="L2508" i="1"/>
  <c r="M2508" i="1"/>
  <c r="N2508" i="1"/>
  <c r="O2508" i="1"/>
  <c r="P2508" i="1"/>
  <c r="Q2508" i="1"/>
  <c r="R2508" i="1"/>
  <c r="S2508" i="1"/>
  <c r="T2508" i="1"/>
  <c r="U2508" i="1"/>
  <c r="V2508" i="1"/>
  <c r="W2508" i="1"/>
  <c r="X2508" i="1"/>
  <c r="Y2508" i="1"/>
  <c r="Z2508" i="1"/>
  <c r="AA2508" i="1"/>
  <c r="AB2508" i="1"/>
  <c r="AC2508" i="1"/>
  <c r="AD2508" i="1"/>
  <c r="AE2508" i="1"/>
  <c r="AF2508" i="1"/>
  <c r="AG2508" i="1"/>
  <c r="AH2508" i="1"/>
  <c r="AI2508" i="1"/>
  <c r="AJ2508" i="1"/>
  <c r="AK2508" i="1"/>
  <c r="AL2508" i="1"/>
  <c r="AM2508" i="1"/>
  <c r="A2509" i="1"/>
  <c r="B2509" i="1"/>
  <c r="C2509" i="1"/>
  <c r="D2509" i="1"/>
  <c r="E2509" i="1"/>
  <c r="F2509" i="1"/>
  <c r="G2509" i="1"/>
  <c r="H2509" i="1"/>
  <c r="I2509" i="1"/>
  <c r="J2509" i="1"/>
  <c r="K2509" i="1"/>
  <c r="L2509" i="1"/>
  <c r="M2509" i="1"/>
  <c r="N2509" i="1"/>
  <c r="O2509" i="1"/>
  <c r="P2509" i="1"/>
  <c r="Q2509" i="1"/>
  <c r="R2509" i="1"/>
  <c r="S2509" i="1"/>
  <c r="T2509" i="1"/>
  <c r="U2509" i="1"/>
  <c r="V2509" i="1"/>
  <c r="W2509" i="1"/>
  <c r="X2509" i="1"/>
  <c r="Y2509" i="1"/>
  <c r="Z2509" i="1"/>
  <c r="AA2509" i="1"/>
  <c r="AB2509" i="1"/>
  <c r="AC2509" i="1"/>
  <c r="AD2509" i="1"/>
  <c r="AE2509" i="1"/>
  <c r="AF2509" i="1"/>
  <c r="AG2509" i="1"/>
  <c r="AH2509" i="1"/>
  <c r="AI2509" i="1"/>
  <c r="AJ2509" i="1"/>
  <c r="AK2509" i="1"/>
  <c r="AL2509" i="1"/>
  <c r="AM2509" i="1"/>
  <c r="A2510" i="1"/>
  <c r="B2510" i="1"/>
  <c r="C2510" i="1"/>
  <c r="D2510" i="1"/>
  <c r="E2510" i="1"/>
  <c r="F2510" i="1"/>
  <c r="G2510" i="1"/>
  <c r="H2510" i="1"/>
  <c r="I2510" i="1"/>
  <c r="J2510" i="1"/>
  <c r="K2510" i="1"/>
  <c r="L2510" i="1"/>
  <c r="M2510" i="1"/>
  <c r="N2510" i="1"/>
  <c r="O2510" i="1"/>
  <c r="P2510" i="1"/>
  <c r="Q2510" i="1"/>
  <c r="R2510" i="1"/>
  <c r="S2510" i="1"/>
  <c r="T2510" i="1"/>
  <c r="U2510" i="1"/>
  <c r="V2510" i="1"/>
  <c r="W2510" i="1"/>
  <c r="X2510" i="1"/>
  <c r="Y2510" i="1"/>
  <c r="Z2510" i="1"/>
  <c r="AA2510" i="1"/>
  <c r="AB2510" i="1"/>
  <c r="AC2510" i="1"/>
  <c r="AD2510" i="1"/>
  <c r="AE2510" i="1"/>
  <c r="AF2510" i="1"/>
  <c r="AG2510" i="1"/>
  <c r="AH2510" i="1"/>
  <c r="AI2510" i="1"/>
  <c r="AJ2510" i="1"/>
  <c r="AK2510" i="1"/>
  <c r="AL2510" i="1"/>
  <c r="AM2510" i="1"/>
  <c r="A2511" i="1"/>
  <c r="B2511" i="1"/>
  <c r="C2511" i="1"/>
  <c r="D2511" i="1"/>
  <c r="E2511" i="1"/>
  <c r="F2511" i="1"/>
  <c r="G2511" i="1"/>
  <c r="H2511" i="1"/>
  <c r="I2511" i="1"/>
  <c r="J2511" i="1"/>
  <c r="K2511" i="1"/>
  <c r="L2511" i="1"/>
  <c r="M2511" i="1"/>
  <c r="N2511" i="1"/>
  <c r="O2511" i="1"/>
  <c r="P2511" i="1"/>
  <c r="Q2511" i="1"/>
  <c r="R2511" i="1"/>
  <c r="S2511" i="1"/>
  <c r="T2511" i="1"/>
  <c r="U2511" i="1"/>
  <c r="V2511" i="1"/>
  <c r="W2511" i="1"/>
  <c r="X2511" i="1"/>
  <c r="Y2511" i="1"/>
  <c r="Z2511" i="1"/>
  <c r="AA2511" i="1"/>
  <c r="AB2511" i="1"/>
  <c r="AC2511" i="1"/>
  <c r="AD2511" i="1"/>
  <c r="AE2511" i="1"/>
  <c r="AF2511" i="1"/>
  <c r="AG2511" i="1"/>
  <c r="AH2511" i="1"/>
  <c r="AI2511" i="1"/>
  <c r="AJ2511" i="1"/>
  <c r="AK2511" i="1"/>
  <c r="AL2511" i="1"/>
  <c r="AM2511" i="1"/>
  <c r="A2512" i="1"/>
  <c r="B2512" i="1"/>
  <c r="C2512" i="1"/>
  <c r="D2512" i="1"/>
  <c r="E2512" i="1"/>
  <c r="F2512" i="1"/>
  <c r="G2512" i="1"/>
  <c r="H2512" i="1"/>
  <c r="I2512" i="1"/>
  <c r="J2512" i="1"/>
  <c r="K2512" i="1"/>
  <c r="L2512" i="1"/>
  <c r="M2512" i="1"/>
  <c r="N2512" i="1"/>
  <c r="O2512" i="1"/>
  <c r="P2512" i="1"/>
  <c r="Q2512" i="1"/>
  <c r="R2512" i="1"/>
  <c r="S2512" i="1"/>
  <c r="T2512" i="1"/>
  <c r="U2512" i="1"/>
  <c r="V2512" i="1"/>
  <c r="W2512" i="1"/>
  <c r="X2512" i="1"/>
  <c r="Y2512" i="1"/>
  <c r="Z2512" i="1"/>
  <c r="AA2512" i="1"/>
  <c r="AB2512" i="1"/>
  <c r="AC2512" i="1"/>
  <c r="AD2512" i="1"/>
  <c r="AE2512" i="1"/>
  <c r="AF2512" i="1"/>
  <c r="AG2512" i="1"/>
  <c r="AH2512" i="1"/>
  <c r="AI2512" i="1"/>
  <c r="AJ2512" i="1"/>
  <c r="AK2512" i="1"/>
  <c r="AL2512" i="1"/>
  <c r="AM2512" i="1"/>
  <c r="A2513" i="1"/>
  <c r="B2513" i="1"/>
  <c r="C2513" i="1"/>
  <c r="D2513" i="1"/>
  <c r="E2513" i="1"/>
  <c r="F2513" i="1"/>
  <c r="G2513" i="1"/>
  <c r="H2513" i="1"/>
  <c r="I2513" i="1"/>
  <c r="J2513" i="1"/>
  <c r="K2513" i="1"/>
  <c r="L2513" i="1"/>
  <c r="M2513" i="1"/>
  <c r="N2513" i="1"/>
  <c r="O2513" i="1"/>
  <c r="P2513" i="1"/>
  <c r="Q2513" i="1"/>
  <c r="R2513" i="1"/>
  <c r="S2513" i="1"/>
  <c r="T2513" i="1"/>
  <c r="U2513" i="1"/>
  <c r="V2513" i="1"/>
  <c r="W2513" i="1"/>
  <c r="X2513" i="1"/>
  <c r="Y2513" i="1"/>
  <c r="Z2513" i="1"/>
  <c r="AA2513" i="1"/>
  <c r="AB2513" i="1"/>
  <c r="AC2513" i="1"/>
  <c r="AD2513" i="1"/>
  <c r="AE2513" i="1"/>
  <c r="AF2513" i="1"/>
  <c r="AG2513" i="1"/>
  <c r="AH2513" i="1"/>
  <c r="AI2513" i="1"/>
  <c r="AJ2513" i="1"/>
  <c r="AK2513" i="1"/>
  <c r="AL2513" i="1"/>
  <c r="AM2513" i="1"/>
  <c r="A2514" i="1"/>
  <c r="B2514" i="1"/>
  <c r="C2514" i="1"/>
  <c r="D2514" i="1"/>
  <c r="E2514" i="1"/>
  <c r="F2514" i="1"/>
  <c r="G2514" i="1"/>
  <c r="H2514" i="1"/>
  <c r="I2514" i="1"/>
  <c r="J2514" i="1"/>
  <c r="K2514" i="1"/>
  <c r="L2514" i="1"/>
  <c r="M2514" i="1"/>
  <c r="N2514" i="1"/>
  <c r="O2514" i="1"/>
  <c r="P2514" i="1"/>
  <c r="Q2514" i="1"/>
  <c r="R2514" i="1"/>
  <c r="S2514" i="1"/>
  <c r="T2514" i="1"/>
  <c r="U2514" i="1"/>
  <c r="V2514" i="1"/>
  <c r="W2514" i="1"/>
  <c r="X2514" i="1"/>
  <c r="Y2514" i="1"/>
  <c r="Z2514" i="1"/>
  <c r="AA2514" i="1"/>
  <c r="AB2514" i="1"/>
  <c r="AC2514" i="1"/>
  <c r="AD2514" i="1"/>
  <c r="AE2514" i="1"/>
  <c r="AF2514" i="1"/>
  <c r="AG2514" i="1"/>
  <c r="AH2514" i="1"/>
  <c r="AI2514" i="1"/>
  <c r="AJ2514" i="1"/>
  <c r="AK2514" i="1"/>
  <c r="AL2514" i="1"/>
  <c r="AM2514" i="1"/>
  <c r="A2515" i="1"/>
  <c r="B2515" i="1"/>
  <c r="C2515" i="1"/>
  <c r="D2515" i="1"/>
  <c r="E2515" i="1"/>
  <c r="F2515" i="1"/>
  <c r="G2515" i="1"/>
  <c r="H2515" i="1"/>
  <c r="I2515" i="1"/>
  <c r="J2515" i="1"/>
  <c r="K2515" i="1"/>
  <c r="L2515" i="1"/>
  <c r="M2515" i="1"/>
  <c r="N2515" i="1"/>
  <c r="O2515" i="1"/>
  <c r="P2515" i="1"/>
  <c r="Q2515" i="1"/>
  <c r="R2515" i="1"/>
  <c r="S2515" i="1"/>
  <c r="T2515" i="1"/>
  <c r="U2515" i="1"/>
  <c r="V2515" i="1"/>
  <c r="W2515" i="1"/>
  <c r="X2515" i="1"/>
  <c r="Y2515" i="1"/>
  <c r="Z2515" i="1"/>
  <c r="AA2515" i="1"/>
  <c r="AB2515" i="1"/>
  <c r="AC2515" i="1"/>
  <c r="AD2515" i="1"/>
  <c r="AE2515" i="1"/>
  <c r="AF2515" i="1"/>
  <c r="AG2515" i="1"/>
  <c r="AH2515" i="1"/>
  <c r="AI2515" i="1"/>
  <c r="AJ2515" i="1"/>
  <c r="AK2515" i="1"/>
  <c r="AL2515" i="1"/>
  <c r="AM2515" i="1"/>
  <c r="A2516" i="1"/>
  <c r="B2516" i="1"/>
  <c r="C2516" i="1"/>
  <c r="D2516" i="1"/>
  <c r="E2516" i="1"/>
  <c r="F2516" i="1"/>
  <c r="G2516" i="1"/>
  <c r="H2516" i="1"/>
  <c r="I2516" i="1"/>
  <c r="J2516" i="1"/>
  <c r="K2516" i="1"/>
  <c r="L2516" i="1"/>
  <c r="M2516" i="1"/>
  <c r="N2516" i="1"/>
  <c r="O2516" i="1"/>
  <c r="P2516" i="1"/>
  <c r="Q2516" i="1"/>
  <c r="R2516" i="1"/>
  <c r="S2516" i="1"/>
  <c r="T2516" i="1"/>
  <c r="U2516" i="1"/>
  <c r="V2516" i="1"/>
  <c r="W2516" i="1"/>
  <c r="X2516" i="1"/>
  <c r="Y2516" i="1"/>
  <c r="Z2516" i="1"/>
  <c r="AA2516" i="1"/>
  <c r="AB2516" i="1"/>
  <c r="AC2516" i="1"/>
  <c r="AD2516" i="1"/>
  <c r="AE2516" i="1"/>
  <c r="AF2516" i="1"/>
  <c r="AG2516" i="1"/>
  <c r="AH2516" i="1"/>
  <c r="AI2516" i="1"/>
  <c r="AJ2516" i="1"/>
  <c r="AK2516" i="1"/>
  <c r="AL2516" i="1"/>
  <c r="AM2516" i="1"/>
  <c r="A2517" i="1"/>
  <c r="B2517" i="1"/>
  <c r="C2517" i="1"/>
  <c r="D2517" i="1"/>
  <c r="E2517" i="1"/>
  <c r="F2517" i="1"/>
  <c r="G2517" i="1"/>
  <c r="H2517" i="1"/>
  <c r="I2517" i="1"/>
  <c r="J2517" i="1"/>
  <c r="K2517" i="1"/>
  <c r="L2517" i="1"/>
  <c r="M2517" i="1"/>
  <c r="N2517" i="1"/>
  <c r="O2517" i="1"/>
  <c r="P2517" i="1"/>
  <c r="Q2517" i="1"/>
  <c r="R2517" i="1"/>
  <c r="S2517" i="1"/>
  <c r="T2517" i="1"/>
  <c r="U2517" i="1"/>
  <c r="V2517" i="1"/>
  <c r="W2517" i="1"/>
  <c r="X2517" i="1"/>
  <c r="Y2517" i="1"/>
  <c r="Z2517" i="1"/>
  <c r="AA2517" i="1"/>
  <c r="AB2517" i="1"/>
  <c r="AC2517" i="1"/>
  <c r="AD2517" i="1"/>
  <c r="AE2517" i="1"/>
  <c r="AF2517" i="1"/>
  <c r="AG2517" i="1"/>
  <c r="AH2517" i="1"/>
  <c r="AI2517" i="1"/>
  <c r="AJ2517" i="1"/>
  <c r="AK2517" i="1"/>
  <c r="AL2517" i="1"/>
  <c r="AM2517" i="1"/>
  <c r="A2518" i="1"/>
  <c r="B2518" i="1"/>
  <c r="C2518" i="1"/>
  <c r="D2518" i="1"/>
  <c r="E2518" i="1"/>
  <c r="F2518" i="1"/>
  <c r="G2518" i="1"/>
  <c r="H2518" i="1"/>
  <c r="I2518" i="1"/>
  <c r="J2518" i="1"/>
  <c r="K2518" i="1"/>
  <c r="L2518" i="1"/>
  <c r="M2518" i="1"/>
  <c r="N2518" i="1"/>
  <c r="O2518" i="1"/>
  <c r="P2518" i="1"/>
  <c r="Q2518" i="1"/>
  <c r="R2518" i="1"/>
  <c r="S2518" i="1"/>
  <c r="T2518" i="1"/>
  <c r="U2518" i="1"/>
  <c r="V2518" i="1"/>
  <c r="W2518" i="1"/>
  <c r="X2518" i="1"/>
  <c r="Y2518" i="1"/>
  <c r="Z2518" i="1"/>
  <c r="AA2518" i="1"/>
  <c r="AB2518" i="1"/>
  <c r="AC2518" i="1"/>
  <c r="AD2518" i="1"/>
  <c r="AE2518" i="1"/>
  <c r="AF2518" i="1"/>
  <c r="AG2518" i="1"/>
  <c r="AH2518" i="1"/>
  <c r="AI2518" i="1"/>
  <c r="AJ2518" i="1"/>
  <c r="AK2518" i="1"/>
  <c r="AL2518" i="1"/>
  <c r="AM2518" i="1"/>
  <c r="A2519" i="1"/>
  <c r="B2519" i="1"/>
  <c r="C2519" i="1"/>
  <c r="D2519" i="1"/>
  <c r="E2519" i="1"/>
  <c r="F2519" i="1"/>
  <c r="G2519" i="1"/>
  <c r="H2519" i="1"/>
  <c r="I2519" i="1"/>
  <c r="J2519" i="1"/>
  <c r="K2519" i="1"/>
  <c r="L2519" i="1"/>
  <c r="M2519" i="1"/>
  <c r="N2519" i="1"/>
  <c r="O2519" i="1"/>
  <c r="P2519" i="1"/>
  <c r="Q2519" i="1"/>
  <c r="R2519" i="1"/>
  <c r="S2519" i="1"/>
  <c r="T2519" i="1"/>
  <c r="U2519" i="1"/>
  <c r="V2519" i="1"/>
  <c r="W2519" i="1"/>
  <c r="X2519" i="1"/>
  <c r="Y2519" i="1"/>
  <c r="Z2519" i="1"/>
  <c r="AA2519" i="1"/>
  <c r="AB2519" i="1"/>
  <c r="AC2519" i="1"/>
  <c r="AD2519" i="1"/>
  <c r="AE2519" i="1"/>
  <c r="AF2519" i="1"/>
  <c r="AG2519" i="1"/>
  <c r="AH2519" i="1"/>
  <c r="AI2519" i="1"/>
  <c r="AJ2519" i="1"/>
  <c r="AK2519" i="1"/>
  <c r="AL2519" i="1"/>
  <c r="AM2519" i="1"/>
  <c r="A2520" i="1"/>
  <c r="B2520" i="1"/>
  <c r="C2520" i="1"/>
  <c r="D2520" i="1"/>
  <c r="E2520" i="1"/>
  <c r="F2520" i="1"/>
  <c r="G2520" i="1"/>
  <c r="H2520" i="1"/>
  <c r="I2520" i="1"/>
  <c r="J2520" i="1"/>
  <c r="K2520" i="1"/>
  <c r="L2520" i="1"/>
  <c r="M2520" i="1"/>
  <c r="N2520" i="1"/>
  <c r="O2520" i="1"/>
  <c r="P2520" i="1"/>
  <c r="Q2520" i="1"/>
  <c r="R2520" i="1"/>
  <c r="S2520" i="1"/>
  <c r="T2520" i="1"/>
  <c r="U2520" i="1"/>
  <c r="V2520" i="1"/>
  <c r="W2520" i="1"/>
  <c r="X2520" i="1"/>
  <c r="Y2520" i="1"/>
  <c r="Z2520" i="1"/>
  <c r="AA2520" i="1"/>
  <c r="AB2520" i="1"/>
  <c r="AC2520" i="1"/>
  <c r="AD2520" i="1"/>
  <c r="AE2520" i="1"/>
  <c r="AF2520" i="1"/>
  <c r="AG2520" i="1"/>
  <c r="AH2520" i="1"/>
  <c r="AI2520" i="1"/>
  <c r="AJ2520" i="1"/>
  <c r="AK2520" i="1"/>
  <c r="AL2520" i="1"/>
  <c r="AM2520" i="1"/>
  <c r="A2521" i="1"/>
  <c r="B2521" i="1"/>
  <c r="C2521" i="1"/>
  <c r="D2521" i="1"/>
  <c r="E2521" i="1"/>
  <c r="F2521" i="1"/>
  <c r="G2521" i="1"/>
  <c r="H2521" i="1"/>
  <c r="I2521" i="1"/>
  <c r="J2521" i="1"/>
  <c r="K2521" i="1"/>
  <c r="L2521" i="1"/>
  <c r="M2521" i="1"/>
  <c r="N2521" i="1"/>
  <c r="O2521" i="1"/>
  <c r="P2521" i="1"/>
  <c r="Q2521" i="1"/>
  <c r="R2521" i="1"/>
  <c r="S2521" i="1"/>
  <c r="T2521" i="1"/>
  <c r="U2521" i="1"/>
  <c r="V2521" i="1"/>
  <c r="W2521" i="1"/>
  <c r="X2521" i="1"/>
  <c r="Y2521" i="1"/>
  <c r="Z2521" i="1"/>
  <c r="AA2521" i="1"/>
  <c r="AB2521" i="1"/>
  <c r="AC2521" i="1"/>
  <c r="AD2521" i="1"/>
  <c r="AE2521" i="1"/>
  <c r="AF2521" i="1"/>
  <c r="AG2521" i="1"/>
  <c r="AH2521" i="1"/>
  <c r="AI2521" i="1"/>
  <c r="AJ2521" i="1"/>
  <c r="AK2521" i="1"/>
  <c r="AL2521" i="1"/>
  <c r="AM2521" i="1"/>
  <c r="A2522" i="1"/>
  <c r="B2522" i="1"/>
  <c r="C2522" i="1"/>
  <c r="D2522" i="1"/>
  <c r="E2522" i="1"/>
  <c r="F2522" i="1"/>
  <c r="G2522" i="1"/>
  <c r="H2522" i="1"/>
  <c r="I2522" i="1"/>
  <c r="J2522" i="1"/>
  <c r="K2522" i="1"/>
  <c r="L2522" i="1"/>
  <c r="M2522" i="1"/>
  <c r="N2522" i="1"/>
  <c r="O2522" i="1"/>
  <c r="P2522" i="1"/>
  <c r="Q2522" i="1"/>
  <c r="R2522" i="1"/>
  <c r="S2522" i="1"/>
  <c r="T2522" i="1"/>
  <c r="U2522" i="1"/>
  <c r="V2522" i="1"/>
  <c r="W2522" i="1"/>
  <c r="X2522" i="1"/>
  <c r="Y2522" i="1"/>
  <c r="Z2522" i="1"/>
  <c r="AA2522" i="1"/>
  <c r="AB2522" i="1"/>
  <c r="AC2522" i="1"/>
  <c r="AD2522" i="1"/>
  <c r="AE2522" i="1"/>
  <c r="AF2522" i="1"/>
  <c r="AG2522" i="1"/>
  <c r="AH2522" i="1"/>
  <c r="AI2522" i="1"/>
  <c r="AJ2522" i="1"/>
  <c r="AK2522" i="1"/>
  <c r="AL2522" i="1"/>
  <c r="AM2522" i="1"/>
  <c r="A2523" i="1"/>
  <c r="B2523" i="1"/>
  <c r="C2523" i="1"/>
  <c r="D2523" i="1"/>
  <c r="E2523" i="1"/>
  <c r="F2523" i="1"/>
  <c r="G2523" i="1"/>
  <c r="H2523" i="1"/>
  <c r="I2523" i="1"/>
  <c r="J2523" i="1"/>
  <c r="K2523" i="1"/>
  <c r="L2523" i="1"/>
  <c r="M2523" i="1"/>
  <c r="N2523" i="1"/>
  <c r="O2523" i="1"/>
  <c r="P2523" i="1"/>
  <c r="Q2523" i="1"/>
  <c r="R2523" i="1"/>
  <c r="S2523" i="1"/>
  <c r="T2523" i="1"/>
  <c r="U2523" i="1"/>
  <c r="V2523" i="1"/>
  <c r="W2523" i="1"/>
  <c r="X2523" i="1"/>
  <c r="Y2523" i="1"/>
  <c r="Z2523" i="1"/>
  <c r="AA2523" i="1"/>
  <c r="AB2523" i="1"/>
  <c r="AC2523" i="1"/>
  <c r="AD2523" i="1"/>
  <c r="AE2523" i="1"/>
  <c r="AF2523" i="1"/>
  <c r="AG2523" i="1"/>
  <c r="AH2523" i="1"/>
  <c r="AI2523" i="1"/>
  <c r="AJ2523" i="1"/>
  <c r="AK2523" i="1"/>
  <c r="AL2523" i="1"/>
  <c r="AM2523" i="1"/>
  <c r="A2524" i="1"/>
  <c r="B2524" i="1"/>
  <c r="C2524" i="1"/>
  <c r="D2524" i="1"/>
  <c r="E2524" i="1"/>
  <c r="F2524" i="1"/>
  <c r="G2524" i="1"/>
  <c r="H2524" i="1"/>
  <c r="I2524" i="1"/>
  <c r="J2524" i="1"/>
  <c r="K2524" i="1"/>
  <c r="L2524" i="1"/>
  <c r="M2524" i="1"/>
  <c r="N2524" i="1"/>
  <c r="O2524" i="1"/>
  <c r="P2524" i="1"/>
  <c r="Q2524" i="1"/>
  <c r="R2524" i="1"/>
  <c r="S2524" i="1"/>
  <c r="T2524" i="1"/>
  <c r="U2524" i="1"/>
  <c r="V2524" i="1"/>
  <c r="W2524" i="1"/>
  <c r="X2524" i="1"/>
  <c r="Y2524" i="1"/>
  <c r="Z2524" i="1"/>
  <c r="AA2524" i="1"/>
  <c r="AB2524" i="1"/>
  <c r="AC2524" i="1"/>
  <c r="AD2524" i="1"/>
  <c r="AE2524" i="1"/>
  <c r="AF2524" i="1"/>
  <c r="AG2524" i="1"/>
  <c r="AH2524" i="1"/>
  <c r="AI2524" i="1"/>
  <c r="AJ2524" i="1"/>
  <c r="AK2524" i="1"/>
  <c r="AL2524" i="1"/>
  <c r="AM2524" i="1"/>
  <c r="A2525" i="1"/>
  <c r="B2525" i="1"/>
  <c r="C2525" i="1"/>
  <c r="D2525" i="1"/>
  <c r="E2525" i="1"/>
  <c r="F2525" i="1"/>
  <c r="G2525" i="1"/>
  <c r="H2525" i="1"/>
  <c r="I2525" i="1"/>
  <c r="J2525" i="1"/>
  <c r="K2525" i="1"/>
  <c r="L2525" i="1"/>
  <c r="M2525" i="1"/>
  <c r="N2525" i="1"/>
  <c r="O2525" i="1"/>
  <c r="P2525" i="1"/>
  <c r="Q2525" i="1"/>
  <c r="R2525" i="1"/>
  <c r="S2525" i="1"/>
  <c r="T2525" i="1"/>
  <c r="U2525" i="1"/>
  <c r="V2525" i="1"/>
  <c r="W2525" i="1"/>
  <c r="X2525" i="1"/>
  <c r="Y2525" i="1"/>
  <c r="Z2525" i="1"/>
  <c r="AA2525" i="1"/>
  <c r="AB2525" i="1"/>
  <c r="AC2525" i="1"/>
  <c r="AD2525" i="1"/>
  <c r="AE2525" i="1"/>
  <c r="AF2525" i="1"/>
  <c r="AG2525" i="1"/>
  <c r="AH2525" i="1"/>
  <c r="AI2525" i="1"/>
  <c r="AJ2525" i="1"/>
  <c r="AK2525" i="1"/>
  <c r="AL2525" i="1"/>
  <c r="AM2525" i="1"/>
  <c r="A2526" i="1"/>
  <c r="B2526" i="1"/>
  <c r="C2526" i="1"/>
  <c r="D2526" i="1"/>
  <c r="E2526" i="1"/>
  <c r="F2526" i="1"/>
  <c r="G2526" i="1"/>
  <c r="H2526" i="1"/>
  <c r="I2526" i="1"/>
  <c r="J2526" i="1"/>
  <c r="K2526" i="1"/>
  <c r="L2526" i="1"/>
  <c r="M2526" i="1"/>
  <c r="N2526" i="1"/>
  <c r="O2526" i="1"/>
  <c r="P2526" i="1"/>
  <c r="Q2526" i="1"/>
  <c r="R2526" i="1"/>
  <c r="S2526" i="1"/>
  <c r="T2526" i="1"/>
  <c r="U2526" i="1"/>
  <c r="V2526" i="1"/>
  <c r="W2526" i="1"/>
  <c r="X2526" i="1"/>
  <c r="Y2526" i="1"/>
  <c r="Z2526" i="1"/>
  <c r="AA2526" i="1"/>
  <c r="AB2526" i="1"/>
  <c r="AC2526" i="1"/>
  <c r="AD2526" i="1"/>
  <c r="AE2526" i="1"/>
  <c r="AF2526" i="1"/>
  <c r="AG2526" i="1"/>
  <c r="AH2526" i="1"/>
  <c r="AI2526" i="1"/>
  <c r="AJ2526" i="1"/>
  <c r="AK2526" i="1"/>
  <c r="AL2526" i="1"/>
  <c r="AM2526" i="1"/>
  <c r="A2527" i="1"/>
  <c r="B2527" i="1"/>
  <c r="C2527" i="1"/>
  <c r="D2527" i="1"/>
  <c r="E2527" i="1"/>
  <c r="F2527" i="1"/>
  <c r="G2527" i="1"/>
  <c r="H2527" i="1"/>
  <c r="I2527" i="1"/>
  <c r="J2527" i="1"/>
  <c r="K2527" i="1"/>
  <c r="L2527" i="1"/>
  <c r="M2527" i="1"/>
  <c r="N2527" i="1"/>
  <c r="O2527" i="1"/>
  <c r="P2527" i="1"/>
  <c r="Q2527" i="1"/>
  <c r="R2527" i="1"/>
  <c r="S2527" i="1"/>
  <c r="T2527" i="1"/>
  <c r="U2527" i="1"/>
  <c r="V2527" i="1"/>
  <c r="W2527" i="1"/>
  <c r="X2527" i="1"/>
  <c r="Y2527" i="1"/>
  <c r="Z2527" i="1"/>
  <c r="AA2527" i="1"/>
  <c r="AB2527" i="1"/>
  <c r="AC2527" i="1"/>
  <c r="AD2527" i="1"/>
  <c r="AE2527" i="1"/>
  <c r="AF2527" i="1"/>
  <c r="AG2527" i="1"/>
  <c r="AH2527" i="1"/>
  <c r="AI2527" i="1"/>
  <c r="AJ2527" i="1"/>
  <c r="AK2527" i="1"/>
  <c r="AL2527" i="1"/>
  <c r="AM2527" i="1"/>
  <c r="A2528" i="1"/>
  <c r="B2528" i="1"/>
  <c r="C2528" i="1"/>
  <c r="D2528" i="1"/>
  <c r="E2528" i="1"/>
  <c r="F2528" i="1"/>
  <c r="G2528" i="1"/>
  <c r="H2528" i="1"/>
  <c r="I2528" i="1"/>
  <c r="J2528" i="1"/>
  <c r="K2528" i="1"/>
  <c r="L2528" i="1"/>
  <c r="M2528" i="1"/>
  <c r="N2528" i="1"/>
  <c r="O2528" i="1"/>
  <c r="P2528" i="1"/>
  <c r="Q2528" i="1"/>
  <c r="R2528" i="1"/>
  <c r="S2528" i="1"/>
  <c r="T2528" i="1"/>
  <c r="U2528" i="1"/>
  <c r="V2528" i="1"/>
  <c r="W2528" i="1"/>
  <c r="X2528" i="1"/>
  <c r="Y2528" i="1"/>
  <c r="Z2528" i="1"/>
  <c r="AA2528" i="1"/>
  <c r="AB2528" i="1"/>
  <c r="AC2528" i="1"/>
  <c r="AD2528" i="1"/>
  <c r="AE2528" i="1"/>
  <c r="AF2528" i="1"/>
  <c r="AG2528" i="1"/>
  <c r="AH2528" i="1"/>
  <c r="AI2528" i="1"/>
  <c r="AJ2528" i="1"/>
  <c r="AK2528" i="1"/>
  <c r="AL2528" i="1"/>
  <c r="AM2528" i="1"/>
  <c r="A2529" i="1"/>
  <c r="B2529" i="1"/>
  <c r="C2529" i="1"/>
  <c r="D2529" i="1"/>
  <c r="E2529" i="1"/>
  <c r="F2529" i="1"/>
  <c r="G2529" i="1"/>
  <c r="H2529" i="1"/>
  <c r="I2529" i="1"/>
  <c r="J2529" i="1"/>
  <c r="K2529" i="1"/>
  <c r="L2529" i="1"/>
  <c r="M2529" i="1"/>
  <c r="N2529" i="1"/>
  <c r="O2529" i="1"/>
  <c r="P2529" i="1"/>
  <c r="Q2529" i="1"/>
  <c r="R2529" i="1"/>
  <c r="S2529" i="1"/>
  <c r="T2529" i="1"/>
  <c r="U2529" i="1"/>
  <c r="V2529" i="1"/>
  <c r="W2529" i="1"/>
  <c r="X2529" i="1"/>
  <c r="Y2529" i="1"/>
  <c r="Z2529" i="1"/>
  <c r="AA2529" i="1"/>
  <c r="AB2529" i="1"/>
  <c r="AC2529" i="1"/>
  <c r="AD2529" i="1"/>
  <c r="AE2529" i="1"/>
  <c r="AF2529" i="1"/>
  <c r="AG2529" i="1"/>
  <c r="AH2529" i="1"/>
  <c r="AI2529" i="1"/>
  <c r="AJ2529" i="1"/>
  <c r="AK2529" i="1"/>
  <c r="AL2529" i="1"/>
  <c r="AM2529" i="1"/>
  <c r="A2530" i="1"/>
  <c r="B2530" i="1"/>
  <c r="C2530" i="1"/>
  <c r="D2530" i="1"/>
  <c r="E2530" i="1"/>
  <c r="F2530" i="1"/>
  <c r="G2530" i="1"/>
  <c r="H2530" i="1"/>
  <c r="I2530" i="1"/>
  <c r="J2530" i="1"/>
  <c r="K2530" i="1"/>
  <c r="L2530" i="1"/>
  <c r="M2530" i="1"/>
  <c r="N2530" i="1"/>
  <c r="O2530" i="1"/>
  <c r="P2530" i="1"/>
  <c r="Q2530" i="1"/>
  <c r="R2530" i="1"/>
  <c r="S2530" i="1"/>
  <c r="T2530" i="1"/>
  <c r="U2530" i="1"/>
  <c r="V2530" i="1"/>
  <c r="W2530" i="1"/>
  <c r="X2530" i="1"/>
  <c r="Y2530" i="1"/>
  <c r="Z2530" i="1"/>
  <c r="AA2530" i="1"/>
  <c r="AB2530" i="1"/>
  <c r="AC2530" i="1"/>
  <c r="AD2530" i="1"/>
  <c r="AE2530" i="1"/>
  <c r="AF2530" i="1"/>
  <c r="AG2530" i="1"/>
  <c r="AH2530" i="1"/>
  <c r="AI2530" i="1"/>
  <c r="AJ2530" i="1"/>
  <c r="AK2530" i="1"/>
  <c r="AL2530" i="1"/>
  <c r="AM2530" i="1"/>
  <c r="A2531" i="1"/>
  <c r="B2531" i="1"/>
  <c r="C2531" i="1"/>
  <c r="D2531" i="1"/>
  <c r="E2531" i="1"/>
  <c r="F2531" i="1"/>
  <c r="G2531" i="1"/>
  <c r="H2531" i="1"/>
  <c r="I2531" i="1"/>
  <c r="J2531" i="1"/>
  <c r="K2531" i="1"/>
  <c r="L2531" i="1"/>
  <c r="M2531" i="1"/>
  <c r="N2531" i="1"/>
  <c r="O2531" i="1"/>
  <c r="P2531" i="1"/>
  <c r="Q2531" i="1"/>
  <c r="R2531" i="1"/>
  <c r="S2531" i="1"/>
  <c r="T2531" i="1"/>
  <c r="U2531" i="1"/>
  <c r="V2531" i="1"/>
  <c r="W2531" i="1"/>
  <c r="X2531" i="1"/>
  <c r="Y2531" i="1"/>
  <c r="Z2531" i="1"/>
  <c r="AA2531" i="1"/>
  <c r="AB2531" i="1"/>
  <c r="AC2531" i="1"/>
  <c r="AD2531" i="1"/>
  <c r="AE2531" i="1"/>
  <c r="AF2531" i="1"/>
  <c r="AG2531" i="1"/>
  <c r="AH2531" i="1"/>
  <c r="AI2531" i="1"/>
  <c r="AJ2531" i="1"/>
  <c r="AK2531" i="1"/>
  <c r="AL2531" i="1"/>
  <c r="AM2531" i="1"/>
  <c r="A2532" i="1"/>
  <c r="B2532" i="1"/>
  <c r="C2532" i="1"/>
  <c r="D2532" i="1"/>
  <c r="E2532" i="1"/>
  <c r="F2532" i="1"/>
  <c r="G2532" i="1"/>
  <c r="H2532" i="1"/>
  <c r="I2532" i="1"/>
  <c r="J2532" i="1"/>
  <c r="K2532" i="1"/>
  <c r="L2532" i="1"/>
  <c r="M2532" i="1"/>
  <c r="N2532" i="1"/>
  <c r="O2532" i="1"/>
  <c r="P2532" i="1"/>
  <c r="Q2532" i="1"/>
  <c r="R2532" i="1"/>
  <c r="S2532" i="1"/>
  <c r="T2532" i="1"/>
  <c r="U2532" i="1"/>
  <c r="V2532" i="1"/>
  <c r="W2532" i="1"/>
  <c r="X2532" i="1"/>
  <c r="Y2532" i="1"/>
  <c r="Z2532" i="1"/>
  <c r="AA2532" i="1"/>
  <c r="AB2532" i="1"/>
  <c r="AC2532" i="1"/>
  <c r="AD2532" i="1"/>
  <c r="AE2532" i="1"/>
  <c r="AF2532" i="1"/>
  <c r="AG2532" i="1"/>
  <c r="AH2532" i="1"/>
  <c r="AI2532" i="1"/>
  <c r="AJ2532" i="1"/>
  <c r="AK2532" i="1"/>
  <c r="AL2532" i="1"/>
  <c r="AM2532" i="1"/>
  <c r="A2533" i="1"/>
  <c r="B2533" i="1"/>
  <c r="C2533" i="1"/>
  <c r="D2533" i="1"/>
  <c r="E2533" i="1"/>
  <c r="F2533" i="1"/>
  <c r="G2533" i="1"/>
  <c r="H2533" i="1"/>
  <c r="I2533" i="1"/>
  <c r="J2533" i="1"/>
  <c r="K2533" i="1"/>
  <c r="L2533" i="1"/>
  <c r="M2533" i="1"/>
  <c r="N2533" i="1"/>
  <c r="O2533" i="1"/>
  <c r="P2533" i="1"/>
  <c r="Q2533" i="1"/>
  <c r="R2533" i="1"/>
  <c r="S2533" i="1"/>
  <c r="T2533" i="1"/>
  <c r="U2533" i="1"/>
  <c r="V2533" i="1"/>
  <c r="W2533" i="1"/>
  <c r="X2533" i="1"/>
  <c r="Y2533" i="1"/>
  <c r="Z2533" i="1"/>
  <c r="AA2533" i="1"/>
  <c r="AB2533" i="1"/>
  <c r="AC2533" i="1"/>
  <c r="AD2533" i="1"/>
  <c r="AE2533" i="1"/>
  <c r="AF2533" i="1"/>
  <c r="AG2533" i="1"/>
  <c r="AH2533" i="1"/>
  <c r="AI2533" i="1"/>
  <c r="AJ2533" i="1"/>
  <c r="AK2533" i="1"/>
  <c r="AL2533" i="1"/>
  <c r="AM2533" i="1"/>
  <c r="A2534" i="1"/>
  <c r="B2534" i="1"/>
  <c r="C2534" i="1"/>
  <c r="D2534" i="1"/>
  <c r="E2534" i="1"/>
  <c r="F2534" i="1"/>
  <c r="G2534" i="1"/>
  <c r="H2534" i="1"/>
  <c r="I2534" i="1"/>
  <c r="J2534" i="1"/>
  <c r="K2534" i="1"/>
  <c r="L2534" i="1"/>
  <c r="M2534" i="1"/>
  <c r="N2534" i="1"/>
  <c r="O2534" i="1"/>
  <c r="P2534" i="1"/>
  <c r="Q2534" i="1"/>
  <c r="R2534" i="1"/>
  <c r="S2534" i="1"/>
  <c r="T2534" i="1"/>
  <c r="U2534" i="1"/>
  <c r="V2534" i="1"/>
  <c r="W2534" i="1"/>
  <c r="X2534" i="1"/>
  <c r="Y2534" i="1"/>
  <c r="Z2534" i="1"/>
  <c r="AA2534" i="1"/>
  <c r="AB2534" i="1"/>
  <c r="AC2534" i="1"/>
  <c r="AD2534" i="1"/>
  <c r="AE2534" i="1"/>
  <c r="AF2534" i="1"/>
  <c r="AG2534" i="1"/>
  <c r="AH2534" i="1"/>
  <c r="AI2534" i="1"/>
  <c r="AJ2534" i="1"/>
  <c r="AK2534" i="1"/>
  <c r="AL2534" i="1"/>
  <c r="AM2534" i="1"/>
  <c r="A2535" i="1"/>
  <c r="B2535" i="1"/>
  <c r="C2535" i="1"/>
  <c r="D2535" i="1"/>
  <c r="E2535" i="1"/>
  <c r="F2535" i="1"/>
  <c r="G2535" i="1"/>
  <c r="H2535" i="1"/>
  <c r="I2535" i="1"/>
  <c r="J2535" i="1"/>
  <c r="K2535" i="1"/>
  <c r="L2535" i="1"/>
  <c r="M2535" i="1"/>
  <c r="N2535" i="1"/>
  <c r="O2535" i="1"/>
  <c r="P2535" i="1"/>
  <c r="Q2535" i="1"/>
  <c r="R2535" i="1"/>
  <c r="S2535" i="1"/>
  <c r="T2535" i="1"/>
  <c r="U2535" i="1"/>
  <c r="V2535" i="1"/>
  <c r="W2535" i="1"/>
  <c r="X2535" i="1"/>
  <c r="Y2535" i="1"/>
  <c r="Z2535" i="1"/>
  <c r="AA2535" i="1"/>
  <c r="AB2535" i="1"/>
  <c r="AC2535" i="1"/>
  <c r="AD2535" i="1"/>
  <c r="AE2535" i="1"/>
  <c r="AF2535" i="1"/>
  <c r="AG2535" i="1"/>
  <c r="AH2535" i="1"/>
  <c r="AI2535" i="1"/>
  <c r="AJ2535" i="1"/>
  <c r="AK2535" i="1"/>
  <c r="AL2535" i="1"/>
  <c r="AM2535" i="1"/>
  <c r="A2536" i="1"/>
  <c r="B2536" i="1"/>
  <c r="C2536" i="1"/>
  <c r="D2536" i="1"/>
  <c r="E2536" i="1"/>
  <c r="F2536" i="1"/>
  <c r="G2536" i="1"/>
  <c r="H2536" i="1"/>
  <c r="I2536" i="1"/>
  <c r="J2536" i="1"/>
  <c r="K2536" i="1"/>
  <c r="L2536" i="1"/>
  <c r="M2536" i="1"/>
  <c r="N2536" i="1"/>
  <c r="O2536" i="1"/>
  <c r="P2536" i="1"/>
  <c r="Q2536" i="1"/>
  <c r="R2536" i="1"/>
  <c r="S2536" i="1"/>
  <c r="T2536" i="1"/>
  <c r="U2536" i="1"/>
  <c r="V2536" i="1"/>
  <c r="W2536" i="1"/>
  <c r="X2536" i="1"/>
  <c r="Y2536" i="1"/>
  <c r="Z2536" i="1"/>
  <c r="AA2536" i="1"/>
  <c r="AB2536" i="1"/>
  <c r="AC2536" i="1"/>
  <c r="AD2536" i="1"/>
  <c r="AE2536" i="1"/>
  <c r="AF2536" i="1"/>
  <c r="AG2536" i="1"/>
  <c r="AH2536" i="1"/>
  <c r="AI2536" i="1"/>
  <c r="AJ2536" i="1"/>
  <c r="AK2536" i="1"/>
  <c r="AL2536" i="1"/>
  <c r="AM2536" i="1"/>
  <c r="A2537" i="1"/>
  <c r="B2537" i="1"/>
  <c r="C2537" i="1"/>
  <c r="D2537" i="1"/>
  <c r="E2537" i="1"/>
  <c r="F2537" i="1"/>
  <c r="G2537" i="1"/>
  <c r="H2537" i="1"/>
  <c r="I2537" i="1"/>
  <c r="J2537" i="1"/>
  <c r="K2537" i="1"/>
  <c r="L2537" i="1"/>
  <c r="M2537" i="1"/>
  <c r="N2537" i="1"/>
  <c r="O2537" i="1"/>
  <c r="P2537" i="1"/>
  <c r="Q2537" i="1"/>
  <c r="R2537" i="1"/>
  <c r="S2537" i="1"/>
  <c r="T2537" i="1"/>
  <c r="U2537" i="1"/>
  <c r="V2537" i="1"/>
  <c r="W2537" i="1"/>
  <c r="X2537" i="1"/>
  <c r="Y2537" i="1"/>
  <c r="Z2537" i="1"/>
  <c r="AA2537" i="1"/>
  <c r="AB2537" i="1"/>
  <c r="AC2537" i="1"/>
  <c r="AD2537" i="1"/>
  <c r="AE2537" i="1"/>
  <c r="AF2537" i="1"/>
  <c r="AG2537" i="1"/>
  <c r="AH2537" i="1"/>
  <c r="AI2537" i="1"/>
  <c r="AJ2537" i="1"/>
  <c r="AK2537" i="1"/>
  <c r="AL2537" i="1"/>
  <c r="AM2537" i="1"/>
  <c r="A2538" i="1"/>
  <c r="B2538" i="1"/>
  <c r="C2538" i="1"/>
  <c r="D2538" i="1"/>
  <c r="E2538" i="1"/>
  <c r="F2538" i="1"/>
  <c r="G2538" i="1"/>
  <c r="H2538" i="1"/>
  <c r="I2538" i="1"/>
  <c r="J2538" i="1"/>
  <c r="K2538" i="1"/>
  <c r="L2538" i="1"/>
  <c r="M2538" i="1"/>
  <c r="N2538" i="1"/>
  <c r="O2538" i="1"/>
  <c r="P2538" i="1"/>
  <c r="Q2538" i="1"/>
  <c r="R2538" i="1"/>
  <c r="S2538" i="1"/>
  <c r="T2538" i="1"/>
  <c r="U2538" i="1"/>
  <c r="V2538" i="1"/>
  <c r="W2538" i="1"/>
  <c r="X2538" i="1"/>
  <c r="Y2538" i="1"/>
  <c r="Z2538" i="1"/>
  <c r="AA2538" i="1"/>
  <c r="AB2538" i="1"/>
  <c r="AC2538" i="1"/>
  <c r="AD2538" i="1"/>
  <c r="AE2538" i="1"/>
  <c r="AF2538" i="1"/>
  <c r="AG2538" i="1"/>
  <c r="AH2538" i="1"/>
  <c r="AI2538" i="1"/>
  <c r="AJ2538" i="1"/>
  <c r="AK2538" i="1"/>
  <c r="AL2538" i="1"/>
  <c r="AM2538" i="1"/>
  <c r="A2539" i="1"/>
  <c r="B2539" i="1"/>
  <c r="C2539" i="1"/>
  <c r="D2539" i="1"/>
  <c r="E2539" i="1"/>
  <c r="F2539" i="1"/>
  <c r="G2539" i="1"/>
  <c r="H2539" i="1"/>
  <c r="I2539" i="1"/>
  <c r="J2539" i="1"/>
  <c r="K2539" i="1"/>
  <c r="L2539" i="1"/>
  <c r="M2539" i="1"/>
  <c r="N2539" i="1"/>
  <c r="O2539" i="1"/>
  <c r="P2539" i="1"/>
  <c r="Q2539" i="1"/>
  <c r="R2539" i="1"/>
  <c r="S2539" i="1"/>
  <c r="T2539" i="1"/>
  <c r="U2539" i="1"/>
  <c r="V2539" i="1"/>
  <c r="W2539" i="1"/>
  <c r="X2539" i="1"/>
  <c r="Y2539" i="1"/>
  <c r="Z2539" i="1"/>
  <c r="AA2539" i="1"/>
  <c r="AB2539" i="1"/>
  <c r="AC2539" i="1"/>
  <c r="AD2539" i="1"/>
  <c r="AE2539" i="1"/>
  <c r="AF2539" i="1"/>
  <c r="AG2539" i="1"/>
  <c r="AH2539" i="1"/>
  <c r="AI2539" i="1"/>
  <c r="AJ2539" i="1"/>
  <c r="AK2539" i="1"/>
  <c r="AL2539" i="1"/>
  <c r="AM2539" i="1"/>
  <c r="A2540" i="1"/>
  <c r="B2540" i="1"/>
  <c r="C2540" i="1"/>
  <c r="D2540" i="1"/>
  <c r="E2540" i="1"/>
  <c r="F2540" i="1"/>
  <c r="G2540" i="1"/>
  <c r="H2540" i="1"/>
  <c r="I2540" i="1"/>
  <c r="J2540" i="1"/>
  <c r="K2540" i="1"/>
  <c r="L2540" i="1"/>
  <c r="M2540" i="1"/>
  <c r="N2540" i="1"/>
  <c r="O2540" i="1"/>
  <c r="P2540" i="1"/>
  <c r="Q2540" i="1"/>
  <c r="R2540" i="1"/>
  <c r="S2540" i="1"/>
  <c r="T2540" i="1"/>
  <c r="U2540" i="1"/>
  <c r="V2540" i="1"/>
  <c r="W2540" i="1"/>
  <c r="X2540" i="1"/>
  <c r="Y2540" i="1"/>
  <c r="Z2540" i="1"/>
  <c r="AA2540" i="1"/>
  <c r="AB2540" i="1"/>
  <c r="AC2540" i="1"/>
  <c r="AD2540" i="1"/>
  <c r="AE2540" i="1"/>
  <c r="AF2540" i="1"/>
  <c r="AG2540" i="1"/>
  <c r="AH2540" i="1"/>
  <c r="AI2540" i="1"/>
  <c r="AJ2540" i="1"/>
  <c r="AK2540" i="1"/>
  <c r="AL2540" i="1"/>
  <c r="AM2540" i="1"/>
  <c r="A2541" i="1"/>
  <c r="B2541" i="1"/>
  <c r="C2541" i="1"/>
  <c r="D2541" i="1"/>
  <c r="E2541" i="1"/>
  <c r="F2541" i="1"/>
  <c r="G2541" i="1"/>
  <c r="H2541" i="1"/>
  <c r="I2541" i="1"/>
  <c r="J2541" i="1"/>
  <c r="K2541" i="1"/>
  <c r="L2541" i="1"/>
  <c r="M2541" i="1"/>
  <c r="N2541" i="1"/>
  <c r="O2541" i="1"/>
  <c r="P2541" i="1"/>
  <c r="Q2541" i="1"/>
  <c r="R2541" i="1"/>
  <c r="S2541" i="1"/>
  <c r="T2541" i="1"/>
  <c r="U2541" i="1"/>
  <c r="V2541" i="1"/>
  <c r="W2541" i="1"/>
  <c r="X2541" i="1"/>
  <c r="Y2541" i="1"/>
  <c r="Z2541" i="1"/>
  <c r="AA2541" i="1"/>
  <c r="AB2541" i="1"/>
  <c r="AC2541" i="1"/>
  <c r="AD2541" i="1"/>
  <c r="AE2541" i="1"/>
  <c r="AF2541" i="1"/>
  <c r="AG2541" i="1"/>
  <c r="AH2541" i="1"/>
  <c r="AI2541" i="1"/>
  <c r="AJ2541" i="1"/>
  <c r="AK2541" i="1"/>
  <c r="AL2541" i="1"/>
  <c r="AM2541" i="1"/>
  <c r="A2542" i="1"/>
  <c r="B2542" i="1"/>
  <c r="C2542" i="1"/>
  <c r="D2542" i="1"/>
  <c r="E2542" i="1"/>
  <c r="F2542" i="1"/>
  <c r="G2542" i="1"/>
  <c r="H2542" i="1"/>
  <c r="I2542" i="1"/>
  <c r="J2542" i="1"/>
  <c r="K2542" i="1"/>
  <c r="L2542" i="1"/>
  <c r="M2542" i="1"/>
  <c r="N2542" i="1"/>
  <c r="O2542" i="1"/>
  <c r="P2542" i="1"/>
  <c r="Q2542" i="1"/>
  <c r="R2542" i="1"/>
  <c r="S2542" i="1"/>
  <c r="T2542" i="1"/>
  <c r="U2542" i="1"/>
  <c r="V2542" i="1"/>
  <c r="W2542" i="1"/>
  <c r="X2542" i="1"/>
  <c r="Y2542" i="1"/>
  <c r="Z2542" i="1"/>
  <c r="AA2542" i="1"/>
  <c r="AB2542" i="1"/>
  <c r="AC2542" i="1"/>
  <c r="AD2542" i="1"/>
  <c r="AE2542" i="1"/>
  <c r="AF2542" i="1"/>
  <c r="AG2542" i="1"/>
  <c r="AH2542" i="1"/>
  <c r="AI2542" i="1"/>
  <c r="AJ2542" i="1"/>
  <c r="AK2542" i="1"/>
  <c r="AL2542" i="1"/>
  <c r="AM2542" i="1"/>
  <c r="A2543" i="1"/>
  <c r="B2543" i="1"/>
  <c r="C2543" i="1"/>
  <c r="D2543" i="1"/>
  <c r="E2543" i="1"/>
  <c r="F2543" i="1"/>
  <c r="G2543" i="1"/>
  <c r="H2543" i="1"/>
  <c r="I2543" i="1"/>
  <c r="J2543" i="1"/>
  <c r="K2543" i="1"/>
  <c r="L2543" i="1"/>
  <c r="M2543" i="1"/>
  <c r="N2543" i="1"/>
  <c r="O2543" i="1"/>
  <c r="P2543" i="1"/>
  <c r="Q2543" i="1"/>
  <c r="R2543" i="1"/>
  <c r="S2543" i="1"/>
  <c r="T2543" i="1"/>
  <c r="U2543" i="1"/>
  <c r="V2543" i="1"/>
  <c r="W2543" i="1"/>
  <c r="X2543" i="1"/>
  <c r="Y2543" i="1"/>
  <c r="Z2543" i="1"/>
  <c r="AA2543" i="1"/>
  <c r="AB2543" i="1"/>
  <c r="AC2543" i="1"/>
  <c r="AD2543" i="1"/>
  <c r="AE2543" i="1"/>
  <c r="AF2543" i="1"/>
  <c r="AG2543" i="1"/>
  <c r="AH2543" i="1"/>
  <c r="AI2543" i="1"/>
  <c r="AJ2543" i="1"/>
  <c r="AK2543" i="1"/>
  <c r="AL2543" i="1"/>
  <c r="AM2543" i="1"/>
  <c r="A2544" i="1"/>
  <c r="B2544" i="1"/>
  <c r="C2544" i="1"/>
  <c r="D2544" i="1"/>
  <c r="E2544" i="1"/>
  <c r="F2544" i="1"/>
  <c r="G2544" i="1"/>
  <c r="H2544" i="1"/>
  <c r="I2544" i="1"/>
  <c r="J2544" i="1"/>
  <c r="K2544" i="1"/>
  <c r="L2544" i="1"/>
  <c r="M2544" i="1"/>
  <c r="N2544" i="1"/>
  <c r="O2544" i="1"/>
  <c r="P2544" i="1"/>
  <c r="Q2544" i="1"/>
  <c r="R2544" i="1"/>
  <c r="S2544" i="1"/>
  <c r="T2544" i="1"/>
  <c r="U2544" i="1"/>
  <c r="V2544" i="1"/>
  <c r="W2544" i="1"/>
  <c r="X2544" i="1"/>
  <c r="Y2544" i="1"/>
  <c r="Z2544" i="1"/>
  <c r="AA2544" i="1"/>
  <c r="AB2544" i="1"/>
  <c r="AC2544" i="1"/>
  <c r="AD2544" i="1"/>
  <c r="AE2544" i="1"/>
  <c r="AF2544" i="1"/>
  <c r="AG2544" i="1"/>
  <c r="AH2544" i="1"/>
  <c r="AI2544" i="1"/>
  <c r="AJ2544" i="1"/>
  <c r="AK2544" i="1"/>
  <c r="AL2544" i="1"/>
  <c r="AM2544" i="1"/>
  <c r="A2545" i="1"/>
  <c r="B2545" i="1"/>
  <c r="C2545" i="1"/>
  <c r="D2545" i="1"/>
  <c r="E2545" i="1"/>
  <c r="F2545" i="1"/>
  <c r="G2545" i="1"/>
  <c r="H2545" i="1"/>
  <c r="I2545" i="1"/>
  <c r="J2545" i="1"/>
  <c r="K2545" i="1"/>
  <c r="L2545" i="1"/>
  <c r="M2545" i="1"/>
  <c r="N2545" i="1"/>
  <c r="O2545" i="1"/>
  <c r="P2545" i="1"/>
  <c r="Q2545" i="1"/>
  <c r="R2545" i="1"/>
  <c r="S2545" i="1"/>
  <c r="T2545" i="1"/>
  <c r="U2545" i="1"/>
  <c r="V2545" i="1"/>
  <c r="W2545" i="1"/>
  <c r="X2545" i="1"/>
  <c r="Y2545" i="1"/>
  <c r="Z2545" i="1"/>
  <c r="AA2545" i="1"/>
  <c r="AB2545" i="1"/>
  <c r="AC2545" i="1"/>
  <c r="AD2545" i="1"/>
  <c r="AE2545" i="1"/>
  <c r="AF2545" i="1"/>
  <c r="AG2545" i="1"/>
  <c r="AH2545" i="1"/>
  <c r="AI2545" i="1"/>
  <c r="AJ2545" i="1"/>
  <c r="AK2545" i="1"/>
  <c r="AL2545" i="1"/>
  <c r="AM2545" i="1"/>
  <c r="A2546" i="1"/>
  <c r="B2546" i="1"/>
  <c r="C2546" i="1"/>
  <c r="D2546" i="1"/>
  <c r="E2546" i="1"/>
  <c r="F2546" i="1"/>
  <c r="G2546" i="1"/>
  <c r="H2546" i="1"/>
  <c r="I2546" i="1"/>
  <c r="J2546" i="1"/>
  <c r="K2546" i="1"/>
  <c r="L2546" i="1"/>
  <c r="M2546" i="1"/>
  <c r="N2546" i="1"/>
  <c r="O2546" i="1"/>
  <c r="P2546" i="1"/>
  <c r="Q2546" i="1"/>
  <c r="R2546" i="1"/>
  <c r="S2546" i="1"/>
  <c r="T2546" i="1"/>
  <c r="U2546" i="1"/>
  <c r="V2546" i="1"/>
  <c r="W2546" i="1"/>
  <c r="X2546" i="1"/>
  <c r="Y2546" i="1"/>
  <c r="Z2546" i="1"/>
  <c r="AA2546" i="1"/>
  <c r="AB2546" i="1"/>
  <c r="AC2546" i="1"/>
  <c r="AD2546" i="1"/>
  <c r="AE2546" i="1"/>
  <c r="AF2546" i="1"/>
  <c r="AG2546" i="1"/>
  <c r="AH2546" i="1"/>
  <c r="AI2546" i="1"/>
  <c r="AJ2546" i="1"/>
  <c r="AK2546" i="1"/>
  <c r="AL2546" i="1"/>
  <c r="AM2546" i="1"/>
  <c r="A2547" i="1"/>
  <c r="B2547" i="1"/>
  <c r="C2547" i="1"/>
  <c r="D2547" i="1"/>
  <c r="E2547" i="1"/>
  <c r="F2547" i="1"/>
  <c r="G2547" i="1"/>
  <c r="H2547" i="1"/>
  <c r="I2547" i="1"/>
  <c r="J2547" i="1"/>
  <c r="K2547" i="1"/>
  <c r="L2547" i="1"/>
  <c r="M2547" i="1"/>
  <c r="N2547" i="1"/>
  <c r="O2547" i="1"/>
  <c r="P2547" i="1"/>
  <c r="Q2547" i="1"/>
  <c r="R2547" i="1"/>
  <c r="S2547" i="1"/>
  <c r="T2547" i="1"/>
  <c r="U2547" i="1"/>
  <c r="V2547" i="1"/>
  <c r="W2547" i="1"/>
  <c r="X2547" i="1"/>
  <c r="Y2547" i="1"/>
  <c r="Z2547" i="1"/>
  <c r="AA2547" i="1"/>
  <c r="AB2547" i="1"/>
  <c r="AC2547" i="1"/>
  <c r="AD2547" i="1"/>
  <c r="AE2547" i="1"/>
  <c r="AF2547" i="1"/>
  <c r="AG2547" i="1"/>
  <c r="AH2547" i="1"/>
  <c r="AI2547" i="1"/>
  <c r="AJ2547" i="1"/>
  <c r="AK2547" i="1"/>
  <c r="AL2547" i="1"/>
  <c r="AM2547" i="1"/>
  <c r="A2548" i="1"/>
  <c r="B2548" i="1"/>
  <c r="C2548" i="1"/>
  <c r="D2548" i="1"/>
  <c r="E2548" i="1"/>
  <c r="F2548" i="1"/>
  <c r="G2548" i="1"/>
  <c r="H2548" i="1"/>
  <c r="I2548" i="1"/>
  <c r="J2548" i="1"/>
  <c r="K2548" i="1"/>
  <c r="L2548" i="1"/>
  <c r="M2548" i="1"/>
  <c r="N2548" i="1"/>
  <c r="O2548" i="1"/>
  <c r="P2548" i="1"/>
  <c r="Q2548" i="1"/>
  <c r="R2548" i="1"/>
  <c r="S2548" i="1"/>
  <c r="T2548" i="1"/>
  <c r="U2548" i="1"/>
  <c r="V2548" i="1"/>
  <c r="W2548" i="1"/>
  <c r="X2548" i="1"/>
  <c r="Y2548" i="1"/>
  <c r="Z2548" i="1"/>
  <c r="AA2548" i="1"/>
  <c r="AB2548" i="1"/>
  <c r="AC2548" i="1"/>
  <c r="AD2548" i="1"/>
  <c r="AE2548" i="1"/>
  <c r="AF2548" i="1"/>
  <c r="AG2548" i="1"/>
  <c r="AH2548" i="1"/>
  <c r="AI2548" i="1"/>
  <c r="AJ2548" i="1"/>
  <c r="AK2548" i="1"/>
  <c r="AL2548" i="1"/>
  <c r="AM2548" i="1"/>
  <c r="A2549" i="1"/>
  <c r="B2549" i="1"/>
  <c r="C2549" i="1"/>
  <c r="D2549" i="1"/>
  <c r="E2549" i="1"/>
  <c r="F2549" i="1"/>
  <c r="G2549" i="1"/>
  <c r="H2549" i="1"/>
  <c r="I2549" i="1"/>
  <c r="J2549" i="1"/>
  <c r="K2549" i="1"/>
  <c r="L2549" i="1"/>
  <c r="M2549" i="1"/>
  <c r="N2549" i="1"/>
  <c r="O2549" i="1"/>
  <c r="P2549" i="1"/>
  <c r="Q2549" i="1"/>
  <c r="R2549" i="1"/>
  <c r="S2549" i="1"/>
  <c r="T2549" i="1"/>
  <c r="U2549" i="1"/>
  <c r="V2549" i="1"/>
  <c r="W2549" i="1"/>
  <c r="X2549" i="1"/>
  <c r="Y2549" i="1"/>
  <c r="Z2549" i="1"/>
  <c r="AA2549" i="1"/>
  <c r="AB2549" i="1"/>
  <c r="AC2549" i="1"/>
  <c r="AD2549" i="1"/>
  <c r="AE2549" i="1"/>
  <c r="AF2549" i="1"/>
  <c r="AG2549" i="1"/>
  <c r="AH2549" i="1"/>
  <c r="AI2549" i="1"/>
  <c r="AJ2549" i="1"/>
  <c r="AK2549" i="1"/>
  <c r="AL2549" i="1"/>
  <c r="AM2549" i="1"/>
  <c r="A2550" i="1"/>
  <c r="B2550" i="1"/>
  <c r="C2550" i="1"/>
  <c r="D2550" i="1"/>
  <c r="E2550" i="1"/>
  <c r="F2550" i="1"/>
  <c r="G2550" i="1"/>
  <c r="H2550" i="1"/>
  <c r="I2550" i="1"/>
  <c r="J2550" i="1"/>
  <c r="K2550" i="1"/>
  <c r="L2550" i="1"/>
  <c r="M2550" i="1"/>
  <c r="N2550" i="1"/>
  <c r="O2550" i="1"/>
  <c r="P2550" i="1"/>
  <c r="Q2550" i="1"/>
  <c r="R2550" i="1"/>
  <c r="S2550" i="1"/>
  <c r="T2550" i="1"/>
  <c r="U2550" i="1"/>
  <c r="V2550" i="1"/>
  <c r="W2550" i="1"/>
  <c r="X2550" i="1"/>
  <c r="Y2550" i="1"/>
  <c r="Z2550" i="1"/>
  <c r="AA2550" i="1"/>
  <c r="AB2550" i="1"/>
  <c r="AC2550" i="1"/>
  <c r="AD2550" i="1"/>
  <c r="AE2550" i="1"/>
  <c r="AF2550" i="1"/>
  <c r="AG2550" i="1"/>
  <c r="AH2550" i="1"/>
  <c r="AI2550" i="1"/>
  <c r="AJ2550" i="1"/>
  <c r="AK2550" i="1"/>
  <c r="AL2550" i="1"/>
  <c r="AM2550" i="1"/>
  <c r="A2551" i="1"/>
  <c r="B2551" i="1"/>
  <c r="C2551" i="1"/>
  <c r="D2551" i="1"/>
  <c r="E2551" i="1"/>
  <c r="F2551" i="1"/>
  <c r="G2551" i="1"/>
  <c r="H2551" i="1"/>
  <c r="I2551" i="1"/>
  <c r="J2551" i="1"/>
  <c r="K2551" i="1"/>
  <c r="L2551" i="1"/>
  <c r="M2551" i="1"/>
  <c r="N2551" i="1"/>
  <c r="O2551" i="1"/>
  <c r="P2551" i="1"/>
  <c r="Q2551" i="1"/>
  <c r="R2551" i="1"/>
  <c r="S2551" i="1"/>
  <c r="T2551" i="1"/>
  <c r="U2551" i="1"/>
  <c r="V2551" i="1"/>
  <c r="W2551" i="1"/>
  <c r="X2551" i="1"/>
  <c r="Y2551" i="1"/>
  <c r="Z2551" i="1"/>
  <c r="AA2551" i="1"/>
  <c r="AB2551" i="1"/>
  <c r="AC2551" i="1"/>
  <c r="AD2551" i="1"/>
  <c r="AE2551" i="1"/>
  <c r="AF2551" i="1"/>
  <c r="AG2551" i="1"/>
  <c r="AH2551" i="1"/>
  <c r="AI2551" i="1"/>
  <c r="AJ2551" i="1"/>
  <c r="AK2551" i="1"/>
  <c r="AL2551" i="1"/>
  <c r="AM2551" i="1"/>
  <c r="A2552" i="1"/>
  <c r="B2552" i="1"/>
  <c r="C2552" i="1"/>
  <c r="D2552" i="1"/>
  <c r="E2552" i="1"/>
  <c r="F2552" i="1"/>
  <c r="G2552" i="1"/>
  <c r="H2552" i="1"/>
  <c r="I2552" i="1"/>
  <c r="J2552" i="1"/>
  <c r="K2552" i="1"/>
  <c r="L2552" i="1"/>
  <c r="M2552" i="1"/>
  <c r="N2552" i="1"/>
  <c r="O2552" i="1"/>
  <c r="P2552" i="1"/>
  <c r="Q2552" i="1"/>
  <c r="R2552" i="1"/>
  <c r="S2552" i="1"/>
  <c r="T2552" i="1"/>
  <c r="U2552" i="1"/>
  <c r="V2552" i="1"/>
  <c r="W2552" i="1"/>
  <c r="X2552" i="1"/>
  <c r="Y2552" i="1"/>
  <c r="Z2552" i="1"/>
  <c r="AA2552" i="1"/>
  <c r="AB2552" i="1"/>
  <c r="AC2552" i="1"/>
  <c r="AD2552" i="1"/>
  <c r="AE2552" i="1"/>
  <c r="AF2552" i="1"/>
  <c r="AG2552" i="1"/>
  <c r="AH2552" i="1"/>
  <c r="AI2552" i="1"/>
  <c r="AJ2552" i="1"/>
  <c r="AK2552" i="1"/>
  <c r="AL2552" i="1"/>
  <c r="AM2552" i="1"/>
  <c r="A2553" i="1"/>
  <c r="B2553" i="1"/>
  <c r="C2553" i="1"/>
  <c r="D2553" i="1"/>
  <c r="E2553" i="1"/>
  <c r="F2553" i="1"/>
  <c r="G2553" i="1"/>
  <c r="H2553" i="1"/>
  <c r="I2553" i="1"/>
  <c r="J2553" i="1"/>
  <c r="K2553" i="1"/>
  <c r="L2553" i="1"/>
  <c r="M2553" i="1"/>
  <c r="N2553" i="1"/>
  <c r="O2553" i="1"/>
  <c r="P2553" i="1"/>
  <c r="Q2553" i="1"/>
  <c r="R2553" i="1"/>
  <c r="S2553" i="1"/>
  <c r="T2553" i="1"/>
  <c r="U2553" i="1"/>
  <c r="V2553" i="1"/>
  <c r="W2553" i="1"/>
  <c r="X2553" i="1"/>
  <c r="Y2553" i="1"/>
  <c r="Z2553" i="1"/>
  <c r="AA2553" i="1"/>
  <c r="AB2553" i="1"/>
  <c r="AC2553" i="1"/>
  <c r="AD2553" i="1"/>
  <c r="AE2553" i="1"/>
  <c r="AF2553" i="1"/>
  <c r="AG2553" i="1"/>
  <c r="AH2553" i="1"/>
  <c r="AI2553" i="1"/>
  <c r="AJ2553" i="1"/>
  <c r="AK2553" i="1"/>
  <c r="AL2553" i="1"/>
  <c r="AM2553" i="1"/>
  <c r="A2554" i="1"/>
  <c r="B2554" i="1"/>
  <c r="C2554" i="1"/>
  <c r="D2554" i="1"/>
  <c r="E2554" i="1"/>
  <c r="F2554" i="1"/>
  <c r="G2554" i="1"/>
  <c r="H2554" i="1"/>
  <c r="I2554" i="1"/>
  <c r="J2554" i="1"/>
  <c r="K2554" i="1"/>
  <c r="L2554" i="1"/>
  <c r="M2554" i="1"/>
  <c r="N2554" i="1"/>
  <c r="O2554" i="1"/>
  <c r="P2554" i="1"/>
  <c r="Q2554" i="1"/>
  <c r="R2554" i="1"/>
  <c r="S2554" i="1"/>
  <c r="T2554" i="1"/>
  <c r="U2554" i="1"/>
  <c r="V2554" i="1"/>
  <c r="W2554" i="1"/>
  <c r="X2554" i="1"/>
  <c r="Y2554" i="1"/>
  <c r="Z2554" i="1"/>
  <c r="AA2554" i="1"/>
  <c r="AB2554" i="1"/>
  <c r="AC2554" i="1"/>
  <c r="AD2554" i="1"/>
  <c r="AE2554" i="1"/>
  <c r="AF2554" i="1"/>
  <c r="AG2554" i="1"/>
  <c r="AH2554" i="1"/>
  <c r="AI2554" i="1"/>
  <c r="AJ2554" i="1"/>
  <c r="AK2554" i="1"/>
  <c r="AL2554" i="1"/>
  <c r="AM2554" i="1"/>
  <c r="A2555" i="1"/>
  <c r="B2555" i="1"/>
  <c r="C2555" i="1"/>
  <c r="D2555" i="1"/>
  <c r="E2555" i="1"/>
  <c r="F2555" i="1"/>
  <c r="G2555" i="1"/>
  <c r="H2555" i="1"/>
  <c r="I2555" i="1"/>
  <c r="J2555" i="1"/>
  <c r="K2555" i="1"/>
  <c r="L2555" i="1"/>
  <c r="M2555" i="1"/>
  <c r="N2555" i="1"/>
  <c r="O2555" i="1"/>
  <c r="P2555" i="1"/>
  <c r="Q2555" i="1"/>
  <c r="R2555" i="1"/>
  <c r="S2555" i="1"/>
  <c r="T2555" i="1"/>
  <c r="U2555" i="1"/>
  <c r="V2555" i="1"/>
  <c r="W2555" i="1"/>
  <c r="X2555" i="1"/>
  <c r="Y2555" i="1"/>
  <c r="Z2555" i="1"/>
  <c r="AA2555" i="1"/>
  <c r="AB2555" i="1"/>
  <c r="AC2555" i="1"/>
  <c r="AD2555" i="1"/>
  <c r="AE2555" i="1"/>
  <c r="AF2555" i="1"/>
  <c r="AG2555" i="1"/>
  <c r="AH2555" i="1"/>
  <c r="AI2555" i="1"/>
  <c r="AJ2555" i="1"/>
  <c r="AK2555" i="1"/>
  <c r="AL2555" i="1"/>
  <c r="AM2555" i="1"/>
  <c r="A2556" i="1"/>
  <c r="B2556" i="1"/>
  <c r="C2556" i="1"/>
  <c r="D2556" i="1"/>
  <c r="E2556" i="1"/>
  <c r="F2556" i="1"/>
  <c r="G2556" i="1"/>
  <c r="H2556" i="1"/>
  <c r="I2556" i="1"/>
  <c r="J2556" i="1"/>
  <c r="K2556" i="1"/>
  <c r="L2556" i="1"/>
  <c r="M2556" i="1"/>
  <c r="N2556" i="1"/>
  <c r="O2556" i="1"/>
  <c r="P2556" i="1"/>
  <c r="Q2556" i="1"/>
  <c r="R2556" i="1"/>
  <c r="S2556" i="1"/>
  <c r="T2556" i="1"/>
  <c r="U2556" i="1"/>
  <c r="V2556" i="1"/>
  <c r="W2556" i="1"/>
  <c r="X2556" i="1"/>
  <c r="Y2556" i="1"/>
  <c r="Z2556" i="1"/>
  <c r="AA2556" i="1"/>
  <c r="AB2556" i="1"/>
  <c r="AC2556" i="1"/>
  <c r="AD2556" i="1"/>
  <c r="AE2556" i="1"/>
  <c r="AF2556" i="1"/>
  <c r="AG2556" i="1"/>
  <c r="AH2556" i="1"/>
  <c r="AI2556" i="1"/>
  <c r="AJ2556" i="1"/>
  <c r="AK2556" i="1"/>
  <c r="AL2556" i="1"/>
  <c r="AM2556" i="1"/>
  <c r="A2557" i="1"/>
  <c r="B2557" i="1"/>
  <c r="C2557" i="1"/>
  <c r="D2557" i="1"/>
  <c r="E2557" i="1"/>
  <c r="F2557" i="1"/>
  <c r="G2557" i="1"/>
  <c r="H2557" i="1"/>
  <c r="I2557" i="1"/>
  <c r="J2557" i="1"/>
  <c r="K2557" i="1"/>
  <c r="L2557" i="1"/>
  <c r="M2557" i="1"/>
  <c r="N2557" i="1"/>
  <c r="O2557" i="1"/>
  <c r="P2557" i="1"/>
  <c r="Q2557" i="1"/>
  <c r="R2557" i="1"/>
  <c r="S2557" i="1"/>
  <c r="T2557" i="1"/>
  <c r="U2557" i="1"/>
  <c r="V2557" i="1"/>
  <c r="W2557" i="1"/>
  <c r="X2557" i="1"/>
  <c r="Y2557" i="1"/>
  <c r="Z2557" i="1"/>
  <c r="AA2557" i="1"/>
  <c r="AB2557" i="1"/>
  <c r="AC2557" i="1"/>
  <c r="AD2557" i="1"/>
  <c r="AE2557" i="1"/>
  <c r="AF2557" i="1"/>
  <c r="AG2557" i="1"/>
  <c r="AH2557" i="1"/>
  <c r="AI2557" i="1"/>
  <c r="AJ2557" i="1"/>
  <c r="AK2557" i="1"/>
  <c r="AL2557" i="1"/>
  <c r="AM2557" i="1"/>
  <c r="A2558" i="1"/>
  <c r="B2558" i="1"/>
  <c r="C2558" i="1"/>
  <c r="D2558" i="1"/>
  <c r="E2558" i="1"/>
  <c r="F2558" i="1"/>
  <c r="G2558" i="1"/>
  <c r="H2558" i="1"/>
  <c r="I2558" i="1"/>
  <c r="J2558" i="1"/>
  <c r="K2558" i="1"/>
  <c r="L2558" i="1"/>
  <c r="M2558" i="1"/>
  <c r="N2558" i="1"/>
  <c r="O2558" i="1"/>
  <c r="P2558" i="1"/>
  <c r="Q2558" i="1"/>
  <c r="R2558" i="1"/>
  <c r="S2558" i="1"/>
  <c r="T2558" i="1"/>
  <c r="U2558" i="1"/>
  <c r="V2558" i="1"/>
  <c r="W2558" i="1"/>
  <c r="X2558" i="1"/>
  <c r="Y2558" i="1"/>
  <c r="Z2558" i="1"/>
  <c r="AA2558" i="1"/>
  <c r="AB2558" i="1"/>
  <c r="AC2558" i="1"/>
  <c r="AD2558" i="1"/>
  <c r="AE2558" i="1"/>
  <c r="AF2558" i="1"/>
  <c r="AG2558" i="1"/>
  <c r="AH2558" i="1"/>
  <c r="AI2558" i="1"/>
  <c r="AJ2558" i="1"/>
  <c r="AK2558" i="1"/>
  <c r="AL2558" i="1"/>
  <c r="AM2558" i="1"/>
  <c r="A2559" i="1"/>
  <c r="B2559" i="1"/>
  <c r="C2559" i="1"/>
  <c r="D2559" i="1"/>
  <c r="E2559" i="1"/>
  <c r="F2559" i="1"/>
  <c r="G2559" i="1"/>
  <c r="H2559" i="1"/>
  <c r="I2559" i="1"/>
  <c r="J2559" i="1"/>
  <c r="K2559" i="1"/>
  <c r="L2559" i="1"/>
  <c r="M2559" i="1"/>
  <c r="N2559" i="1"/>
  <c r="O2559" i="1"/>
  <c r="P2559" i="1"/>
  <c r="Q2559" i="1"/>
  <c r="R2559" i="1"/>
  <c r="S2559" i="1"/>
  <c r="T2559" i="1"/>
  <c r="U2559" i="1"/>
  <c r="V2559" i="1"/>
  <c r="W2559" i="1"/>
  <c r="X2559" i="1"/>
  <c r="Y2559" i="1"/>
  <c r="Z2559" i="1"/>
  <c r="AA2559" i="1"/>
  <c r="AB2559" i="1"/>
  <c r="AC2559" i="1"/>
  <c r="AD2559" i="1"/>
  <c r="AE2559" i="1"/>
  <c r="AF2559" i="1"/>
  <c r="AG2559" i="1"/>
  <c r="AH2559" i="1"/>
  <c r="AI2559" i="1"/>
  <c r="AJ2559" i="1"/>
  <c r="AK2559" i="1"/>
  <c r="AL2559" i="1"/>
  <c r="AM2559" i="1"/>
  <c r="A2560" i="1"/>
  <c r="B2560" i="1"/>
  <c r="C2560" i="1"/>
  <c r="D2560" i="1"/>
  <c r="E2560" i="1"/>
  <c r="F2560" i="1"/>
  <c r="G2560" i="1"/>
  <c r="H2560" i="1"/>
  <c r="I2560" i="1"/>
  <c r="J2560" i="1"/>
  <c r="K2560" i="1"/>
  <c r="L2560" i="1"/>
  <c r="M2560" i="1"/>
  <c r="N2560" i="1"/>
  <c r="O2560" i="1"/>
  <c r="P2560" i="1"/>
  <c r="Q2560" i="1"/>
  <c r="R2560" i="1"/>
  <c r="S2560" i="1"/>
  <c r="T2560" i="1"/>
  <c r="U2560" i="1"/>
  <c r="V2560" i="1"/>
  <c r="W2560" i="1"/>
  <c r="X2560" i="1"/>
  <c r="Y2560" i="1"/>
  <c r="Z2560" i="1"/>
  <c r="AA2560" i="1"/>
  <c r="AB2560" i="1"/>
  <c r="AC2560" i="1"/>
  <c r="AD2560" i="1"/>
  <c r="AE2560" i="1"/>
  <c r="AF2560" i="1"/>
  <c r="AG2560" i="1"/>
  <c r="AH2560" i="1"/>
  <c r="AI2560" i="1"/>
  <c r="AJ2560" i="1"/>
  <c r="AK2560" i="1"/>
  <c r="AL2560" i="1"/>
  <c r="AM2560" i="1"/>
  <c r="A2561" i="1"/>
  <c r="B2561" i="1"/>
  <c r="C2561" i="1"/>
  <c r="D2561" i="1"/>
  <c r="E2561" i="1"/>
  <c r="F2561" i="1"/>
  <c r="G2561" i="1"/>
  <c r="H2561" i="1"/>
  <c r="I2561" i="1"/>
  <c r="J2561" i="1"/>
  <c r="K2561" i="1"/>
  <c r="L2561" i="1"/>
  <c r="M2561" i="1"/>
  <c r="N2561" i="1"/>
  <c r="O2561" i="1"/>
  <c r="P2561" i="1"/>
  <c r="Q2561" i="1"/>
  <c r="R2561" i="1"/>
  <c r="S2561" i="1"/>
  <c r="T2561" i="1"/>
  <c r="U2561" i="1"/>
  <c r="V2561" i="1"/>
  <c r="W2561" i="1"/>
  <c r="X2561" i="1"/>
  <c r="Y2561" i="1"/>
  <c r="Z2561" i="1"/>
  <c r="AA2561" i="1"/>
  <c r="AB2561" i="1"/>
  <c r="AC2561" i="1"/>
  <c r="AD2561" i="1"/>
  <c r="AE2561" i="1"/>
  <c r="AF2561" i="1"/>
  <c r="AG2561" i="1"/>
  <c r="AH2561" i="1"/>
  <c r="AI2561" i="1"/>
  <c r="AJ2561" i="1"/>
  <c r="AK2561" i="1"/>
  <c r="AL2561" i="1"/>
  <c r="AM2561" i="1"/>
  <c r="A2562" i="1"/>
  <c r="B2562" i="1"/>
  <c r="C2562" i="1"/>
  <c r="D2562" i="1"/>
  <c r="E2562" i="1"/>
  <c r="F2562" i="1"/>
  <c r="G2562" i="1"/>
  <c r="H2562" i="1"/>
  <c r="I2562" i="1"/>
  <c r="J2562" i="1"/>
  <c r="K2562" i="1"/>
  <c r="L2562" i="1"/>
  <c r="M2562" i="1"/>
  <c r="N2562" i="1"/>
  <c r="O2562" i="1"/>
  <c r="P2562" i="1"/>
  <c r="Q2562" i="1"/>
  <c r="R2562" i="1"/>
  <c r="S2562" i="1"/>
  <c r="T2562" i="1"/>
  <c r="U2562" i="1"/>
  <c r="V2562" i="1"/>
  <c r="W2562" i="1"/>
  <c r="X2562" i="1"/>
  <c r="Y2562" i="1"/>
  <c r="Z2562" i="1"/>
  <c r="AA2562" i="1"/>
  <c r="AB2562" i="1"/>
  <c r="AC2562" i="1"/>
  <c r="AD2562" i="1"/>
  <c r="AE2562" i="1"/>
  <c r="AF2562" i="1"/>
  <c r="AG2562" i="1"/>
  <c r="AH2562" i="1"/>
  <c r="AI2562" i="1"/>
  <c r="AJ2562" i="1"/>
  <c r="AK2562" i="1"/>
  <c r="AL2562" i="1"/>
  <c r="AM2562" i="1"/>
  <c r="A2563" i="1"/>
  <c r="B2563" i="1"/>
  <c r="C2563" i="1"/>
  <c r="D2563" i="1"/>
  <c r="E2563" i="1"/>
  <c r="F2563" i="1"/>
  <c r="G2563" i="1"/>
  <c r="H2563" i="1"/>
  <c r="I2563" i="1"/>
  <c r="J2563" i="1"/>
  <c r="K2563" i="1"/>
  <c r="L2563" i="1"/>
  <c r="M2563" i="1"/>
  <c r="N2563" i="1"/>
  <c r="O2563" i="1"/>
  <c r="P2563" i="1"/>
  <c r="Q2563" i="1"/>
  <c r="R2563" i="1"/>
  <c r="S2563" i="1"/>
  <c r="T2563" i="1"/>
  <c r="U2563" i="1"/>
  <c r="V2563" i="1"/>
  <c r="W2563" i="1"/>
  <c r="X2563" i="1"/>
  <c r="Y2563" i="1"/>
  <c r="Z2563" i="1"/>
  <c r="AA2563" i="1"/>
  <c r="AB2563" i="1"/>
  <c r="AC2563" i="1"/>
  <c r="AD2563" i="1"/>
  <c r="AE2563" i="1"/>
  <c r="AF2563" i="1"/>
  <c r="AG2563" i="1"/>
  <c r="AH2563" i="1"/>
  <c r="AI2563" i="1"/>
  <c r="AJ2563" i="1"/>
  <c r="AK2563" i="1"/>
  <c r="AL2563" i="1"/>
  <c r="AM2563" i="1"/>
  <c r="A2564" i="1"/>
  <c r="B2564" i="1"/>
  <c r="C2564" i="1"/>
  <c r="D2564" i="1"/>
  <c r="E2564" i="1"/>
  <c r="F2564" i="1"/>
  <c r="G2564" i="1"/>
  <c r="H2564" i="1"/>
  <c r="I2564" i="1"/>
  <c r="J2564" i="1"/>
  <c r="K2564" i="1"/>
  <c r="L2564" i="1"/>
  <c r="M2564" i="1"/>
  <c r="N2564" i="1"/>
  <c r="O2564" i="1"/>
  <c r="P2564" i="1"/>
  <c r="Q2564" i="1"/>
  <c r="R2564" i="1"/>
  <c r="S2564" i="1"/>
  <c r="T2564" i="1"/>
  <c r="U2564" i="1"/>
  <c r="V2564" i="1"/>
  <c r="W2564" i="1"/>
  <c r="X2564" i="1"/>
  <c r="Y2564" i="1"/>
  <c r="Z2564" i="1"/>
  <c r="AA2564" i="1"/>
  <c r="AB2564" i="1"/>
  <c r="AC2564" i="1"/>
  <c r="AD2564" i="1"/>
  <c r="AE2564" i="1"/>
  <c r="AF2564" i="1"/>
  <c r="AG2564" i="1"/>
  <c r="AH2564" i="1"/>
  <c r="AI2564" i="1"/>
  <c r="AJ2564" i="1"/>
  <c r="AK2564" i="1"/>
  <c r="AL2564" i="1"/>
  <c r="AM2564" i="1"/>
  <c r="A2565" i="1"/>
  <c r="B2565" i="1"/>
  <c r="C2565" i="1"/>
  <c r="D2565" i="1"/>
  <c r="E2565" i="1"/>
  <c r="F2565" i="1"/>
  <c r="G2565" i="1"/>
  <c r="H2565" i="1"/>
  <c r="I2565" i="1"/>
  <c r="J2565" i="1"/>
  <c r="K2565" i="1"/>
  <c r="L2565" i="1"/>
  <c r="M2565" i="1"/>
  <c r="N2565" i="1"/>
  <c r="O2565" i="1"/>
  <c r="P2565" i="1"/>
  <c r="Q2565" i="1"/>
  <c r="R2565" i="1"/>
  <c r="S2565" i="1"/>
  <c r="T2565" i="1"/>
  <c r="U2565" i="1"/>
  <c r="V2565" i="1"/>
  <c r="W2565" i="1"/>
  <c r="X2565" i="1"/>
  <c r="Y2565" i="1"/>
  <c r="Z2565" i="1"/>
  <c r="AA2565" i="1"/>
  <c r="AB2565" i="1"/>
  <c r="AC2565" i="1"/>
  <c r="AD2565" i="1"/>
  <c r="AE2565" i="1"/>
  <c r="AF2565" i="1"/>
  <c r="AG2565" i="1"/>
  <c r="AH2565" i="1"/>
  <c r="AI2565" i="1"/>
  <c r="AJ2565" i="1"/>
  <c r="AK2565" i="1"/>
  <c r="AL2565" i="1"/>
  <c r="AM2565" i="1"/>
  <c r="A2566" i="1"/>
  <c r="B2566" i="1"/>
  <c r="C2566" i="1"/>
  <c r="D2566" i="1"/>
  <c r="E2566" i="1"/>
  <c r="F2566" i="1"/>
  <c r="G2566" i="1"/>
  <c r="H2566" i="1"/>
  <c r="I2566" i="1"/>
  <c r="J2566" i="1"/>
  <c r="K2566" i="1"/>
  <c r="L2566" i="1"/>
  <c r="M2566" i="1"/>
  <c r="N2566" i="1"/>
  <c r="O2566" i="1"/>
  <c r="P2566" i="1"/>
  <c r="Q2566" i="1"/>
  <c r="R2566" i="1"/>
  <c r="S2566" i="1"/>
  <c r="T2566" i="1"/>
  <c r="U2566" i="1"/>
  <c r="V2566" i="1"/>
  <c r="W2566" i="1"/>
  <c r="X2566" i="1"/>
  <c r="Y2566" i="1"/>
  <c r="Z2566" i="1"/>
  <c r="AA2566" i="1"/>
  <c r="AB2566" i="1"/>
  <c r="AC2566" i="1"/>
  <c r="AD2566" i="1"/>
  <c r="AE2566" i="1"/>
  <c r="AF2566" i="1"/>
  <c r="AG2566" i="1"/>
  <c r="AH2566" i="1"/>
  <c r="AI2566" i="1"/>
  <c r="AJ2566" i="1"/>
  <c r="AK2566" i="1"/>
  <c r="AL2566" i="1"/>
  <c r="AM2566" i="1"/>
  <c r="A2567" i="1"/>
  <c r="B2567" i="1"/>
  <c r="C2567" i="1"/>
  <c r="D2567" i="1"/>
  <c r="E2567" i="1"/>
  <c r="F2567" i="1"/>
  <c r="G2567" i="1"/>
  <c r="H2567" i="1"/>
  <c r="I2567" i="1"/>
  <c r="J2567" i="1"/>
  <c r="K2567" i="1"/>
  <c r="L2567" i="1"/>
  <c r="M2567" i="1"/>
  <c r="N2567" i="1"/>
  <c r="O2567" i="1"/>
  <c r="P2567" i="1"/>
  <c r="Q2567" i="1"/>
  <c r="R2567" i="1"/>
  <c r="S2567" i="1"/>
  <c r="T2567" i="1"/>
  <c r="U2567" i="1"/>
  <c r="V2567" i="1"/>
  <c r="W2567" i="1"/>
  <c r="X2567" i="1"/>
  <c r="Y2567" i="1"/>
  <c r="Z2567" i="1"/>
  <c r="AA2567" i="1"/>
  <c r="AB2567" i="1"/>
  <c r="AC2567" i="1"/>
  <c r="AD2567" i="1"/>
  <c r="AE2567" i="1"/>
  <c r="AF2567" i="1"/>
  <c r="AG2567" i="1"/>
  <c r="AH2567" i="1"/>
  <c r="AI2567" i="1"/>
  <c r="AJ2567" i="1"/>
  <c r="AK2567" i="1"/>
  <c r="AL2567" i="1"/>
  <c r="AM2567" i="1"/>
  <c r="A2568" i="1"/>
  <c r="B2568" i="1"/>
  <c r="C2568" i="1"/>
  <c r="D2568" i="1"/>
  <c r="E2568" i="1"/>
  <c r="F2568" i="1"/>
  <c r="G2568" i="1"/>
  <c r="H2568" i="1"/>
  <c r="I2568" i="1"/>
  <c r="J2568" i="1"/>
  <c r="K2568" i="1"/>
  <c r="L2568" i="1"/>
  <c r="M2568" i="1"/>
  <c r="N2568" i="1"/>
  <c r="O2568" i="1"/>
  <c r="P2568" i="1"/>
  <c r="Q2568" i="1"/>
  <c r="R2568" i="1"/>
  <c r="S2568" i="1"/>
  <c r="T2568" i="1"/>
  <c r="U2568" i="1"/>
  <c r="V2568" i="1"/>
  <c r="W2568" i="1"/>
  <c r="X2568" i="1"/>
  <c r="Y2568" i="1"/>
  <c r="Z2568" i="1"/>
  <c r="AA2568" i="1"/>
  <c r="AB2568" i="1"/>
  <c r="AC2568" i="1"/>
  <c r="AD2568" i="1"/>
  <c r="AE2568" i="1"/>
  <c r="AF2568" i="1"/>
  <c r="AG2568" i="1"/>
  <c r="AH2568" i="1"/>
  <c r="AI2568" i="1"/>
  <c r="AJ2568" i="1"/>
  <c r="AK2568" i="1"/>
  <c r="AL2568" i="1"/>
  <c r="AM2568" i="1"/>
  <c r="A2569" i="1"/>
  <c r="B2569" i="1"/>
  <c r="C2569" i="1"/>
  <c r="D2569" i="1"/>
  <c r="E2569" i="1"/>
  <c r="F2569" i="1"/>
  <c r="G2569" i="1"/>
  <c r="H2569" i="1"/>
  <c r="I2569" i="1"/>
  <c r="J2569" i="1"/>
  <c r="K2569" i="1"/>
  <c r="L2569" i="1"/>
  <c r="M2569" i="1"/>
  <c r="N2569" i="1"/>
  <c r="O2569" i="1"/>
  <c r="P2569" i="1"/>
  <c r="Q2569" i="1"/>
  <c r="R2569" i="1"/>
  <c r="S2569" i="1"/>
  <c r="T2569" i="1"/>
  <c r="U2569" i="1"/>
  <c r="V2569" i="1"/>
  <c r="W2569" i="1"/>
  <c r="X2569" i="1"/>
  <c r="Y2569" i="1"/>
  <c r="Z2569" i="1"/>
  <c r="AA2569" i="1"/>
  <c r="AB2569" i="1"/>
  <c r="AC2569" i="1"/>
  <c r="AD2569" i="1"/>
  <c r="AE2569" i="1"/>
  <c r="AF2569" i="1"/>
  <c r="AG2569" i="1"/>
  <c r="AH2569" i="1"/>
  <c r="AI2569" i="1"/>
  <c r="AJ2569" i="1"/>
  <c r="AK2569" i="1"/>
  <c r="AL2569" i="1"/>
  <c r="AM2569" i="1"/>
  <c r="A2570" i="1"/>
  <c r="B2570" i="1"/>
  <c r="C2570" i="1"/>
  <c r="D2570" i="1"/>
  <c r="E2570" i="1"/>
  <c r="F2570" i="1"/>
  <c r="G2570" i="1"/>
  <c r="H2570" i="1"/>
  <c r="I2570" i="1"/>
  <c r="J2570" i="1"/>
  <c r="K2570" i="1"/>
  <c r="L2570" i="1"/>
  <c r="M2570" i="1"/>
  <c r="N2570" i="1"/>
  <c r="O2570" i="1"/>
  <c r="P2570" i="1"/>
  <c r="Q2570" i="1"/>
  <c r="R2570" i="1"/>
  <c r="S2570" i="1"/>
  <c r="T2570" i="1"/>
  <c r="U2570" i="1"/>
  <c r="V2570" i="1"/>
  <c r="W2570" i="1"/>
  <c r="X2570" i="1"/>
  <c r="Y2570" i="1"/>
  <c r="Z2570" i="1"/>
  <c r="AA2570" i="1"/>
  <c r="AB2570" i="1"/>
  <c r="AC2570" i="1"/>
  <c r="AD2570" i="1"/>
  <c r="AE2570" i="1"/>
  <c r="AF2570" i="1"/>
  <c r="AG2570" i="1"/>
  <c r="AH2570" i="1"/>
  <c r="AI2570" i="1"/>
  <c r="AJ2570" i="1"/>
  <c r="AK2570" i="1"/>
  <c r="AL2570" i="1"/>
  <c r="AM2570" i="1"/>
  <c r="A2571" i="1"/>
  <c r="B2571" i="1"/>
  <c r="C2571" i="1"/>
  <c r="D2571" i="1"/>
  <c r="E2571" i="1"/>
  <c r="F2571" i="1"/>
  <c r="G2571" i="1"/>
  <c r="H2571" i="1"/>
  <c r="I2571" i="1"/>
  <c r="J2571" i="1"/>
  <c r="K2571" i="1"/>
  <c r="L2571" i="1"/>
  <c r="M2571" i="1"/>
  <c r="N2571" i="1"/>
  <c r="O2571" i="1"/>
  <c r="P2571" i="1"/>
  <c r="Q2571" i="1"/>
  <c r="R2571" i="1"/>
  <c r="S2571" i="1"/>
  <c r="T2571" i="1"/>
  <c r="U2571" i="1"/>
  <c r="V2571" i="1"/>
  <c r="W2571" i="1"/>
  <c r="X2571" i="1"/>
  <c r="Y2571" i="1"/>
  <c r="Z2571" i="1"/>
  <c r="AA2571" i="1"/>
  <c r="AB2571" i="1"/>
  <c r="AC2571" i="1"/>
  <c r="AD2571" i="1"/>
  <c r="AE2571" i="1"/>
  <c r="AF2571" i="1"/>
  <c r="AG2571" i="1"/>
  <c r="AH2571" i="1"/>
  <c r="AI2571" i="1"/>
  <c r="AJ2571" i="1"/>
  <c r="AK2571" i="1"/>
  <c r="AL2571" i="1"/>
  <c r="AM2571" i="1"/>
  <c r="A2572" i="1"/>
  <c r="B2572" i="1"/>
  <c r="C2572" i="1"/>
  <c r="D2572" i="1"/>
  <c r="E2572" i="1"/>
  <c r="F2572" i="1"/>
  <c r="G2572" i="1"/>
  <c r="H2572" i="1"/>
  <c r="I2572" i="1"/>
  <c r="J2572" i="1"/>
  <c r="K2572" i="1"/>
  <c r="L2572" i="1"/>
  <c r="M2572" i="1"/>
  <c r="N2572" i="1"/>
  <c r="O2572" i="1"/>
  <c r="P2572" i="1"/>
  <c r="Q2572" i="1"/>
  <c r="R2572" i="1"/>
  <c r="S2572" i="1"/>
  <c r="T2572" i="1"/>
  <c r="U2572" i="1"/>
  <c r="V2572" i="1"/>
  <c r="W2572" i="1"/>
  <c r="X2572" i="1"/>
  <c r="Y2572" i="1"/>
  <c r="Z2572" i="1"/>
  <c r="AA2572" i="1"/>
  <c r="AB2572" i="1"/>
  <c r="AC2572" i="1"/>
  <c r="AD2572" i="1"/>
  <c r="AE2572" i="1"/>
  <c r="AF2572" i="1"/>
  <c r="AG2572" i="1"/>
  <c r="AH2572" i="1"/>
  <c r="AI2572" i="1"/>
  <c r="AJ2572" i="1"/>
  <c r="AK2572" i="1"/>
  <c r="AL2572" i="1"/>
  <c r="AM2572" i="1"/>
  <c r="A2573" i="1"/>
  <c r="B2573" i="1"/>
  <c r="C2573" i="1"/>
  <c r="D2573" i="1"/>
  <c r="E2573" i="1"/>
  <c r="F2573" i="1"/>
  <c r="G2573" i="1"/>
  <c r="H2573" i="1"/>
  <c r="I2573" i="1"/>
  <c r="J2573" i="1"/>
  <c r="K2573" i="1"/>
  <c r="L2573" i="1"/>
  <c r="M2573" i="1"/>
  <c r="N2573" i="1"/>
  <c r="O2573" i="1"/>
  <c r="P2573" i="1"/>
  <c r="Q2573" i="1"/>
  <c r="R2573" i="1"/>
  <c r="S2573" i="1"/>
  <c r="T2573" i="1"/>
  <c r="U2573" i="1"/>
  <c r="V2573" i="1"/>
  <c r="W2573" i="1"/>
  <c r="X2573" i="1"/>
  <c r="Y2573" i="1"/>
  <c r="Z2573" i="1"/>
  <c r="AA2573" i="1"/>
  <c r="AB2573" i="1"/>
  <c r="AC2573" i="1"/>
  <c r="AD2573" i="1"/>
  <c r="AE2573" i="1"/>
  <c r="AF2573" i="1"/>
  <c r="AG2573" i="1"/>
  <c r="AH2573" i="1"/>
  <c r="AI2573" i="1"/>
  <c r="AJ2573" i="1"/>
  <c r="AK2573" i="1"/>
  <c r="AL2573" i="1"/>
  <c r="AM2573" i="1"/>
  <c r="A2574" i="1"/>
  <c r="B2574" i="1"/>
  <c r="C2574" i="1"/>
  <c r="D2574" i="1"/>
  <c r="E2574" i="1"/>
  <c r="F2574" i="1"/>
  <c r="G2574" i="1"/>
  <c r="H2574" i="1"/>
  <c r="I2574" i="1"/>
  <c r="J2574" i="1"/>
  <c r="K2574" i="1"/>
  <c r="L2574" i="1"/>
  <c r="M2574" i="1"/>
  <c r="N2574" i="1"/>
  <c r="O2574" i="1"/>
  <c r="P2574" i="1"/>
  <c r="Q2574" i="1"/>
  <c r="R2574" i="1"/>
  <c r="S2574" i="1"/>
  <c r="T2574" i="1"/>
  <c r="U2574" i="1"/>
  <c r="V2574" i="1"/>
  <c r="W2574" i="1"/>
  <c r="X2574" i="1"/>
  <c r="Y2574" i="1"/>
  <c r="Z2574" i="1"/>
  <c r="AA2574" i="1"/>
  <c r="AB2574" i="1"/>
  <c r="AC2574" i="1"/>
  <c r="AD2574" i="1"/>
  <c r="AE2574" i="1"/>
  <c r="AF2574" i="1"/>
  <c r="AG2574" i="1"/>
  <c r="AH2574" i="1"/>
  <c r="AI2574" i="1"/>
  <c r="AJ2574" i="1"/>
  <c r="AK2574" i="1"/>
  <c r="AL2574" i="1"/>
  <c r="AM2574" i="1"/>
  <c r="A2575" i="1"/>
  <c r="B2575" i="1"/>
  <c r="C2575" i="1"/>
  <c r="D2575" i="1"/>
  <c r="E2575" i="1"/>
  <c r="F2575" i="1"/>
  <c r="G2575" i="1"/>
  <c r="H2575" i="1"/>
  <c r="I2575" i="1"/>
  <c r="J2575" i="1"/>
  <c r="K2575" i="1"/>
  <c r="L2575" i="1"/>
  <c r="M2575" i="1"/>
  <c r="N2575" i="1"/>
  <c r="O2575" i="1"/>
  <c r="P2575" i="1"/>
  <c r="Q2575" i="1"/>
  <c r="R2575" i="1"/>
  <c r="S2575" i="1"/>
  <c r="T2575" i="1"/>
  <c r="U2575" i="1"/>
  <c r="V2575" i="1"/>
  <c r="W2575" i="1"/>
  <c r="X2575" i="1"/>
  <c r="Y2575" i="1"/>
  <c r="Z2575" i="1"/>
  <c r="AA2575" i="1"/>
  <c r="AB2575" i="1"/>
  <c r="AC2575" i="1"/>
  <c r="AD2575" i="1"/>
  <c r="AE2575" i="1"/>
  <c r="AF2575" i="1"/>
  <c r="AG2575" i="1"/>
  <c r="AH2575" i="1"/>
  <c r="AI2575" i="1"/>
  <c r="AJ2575" i="1"/>
  <c r="AK2575" i="1"/>
  <c r="AL2575" i="1"/>
  <c r="AM2575" i="1"/>
  <c r="A2576" i="1"/>
  <c r="B2576" i="1"/>
  <c r="C2576" i="1"/>
  <c r="D2576" i="1"/>
  <c r="E2576" i="1"/>
  <c r="F2576" i="1"/>
  <c r="G2576" i="1"/>
  <c r="H2576" i="1"/>
  <c r="I2576" i="1"/>
  <c r="J2576" i="1"/>
  <c r="K2576" i="1"/>
  <c r="L2576" i="1"/>
  <c r="M2576" i="1"/>
  <c r="N2576" i="1"/>
  <c r="O2576" i="1"/>
  <c r="P2576" i="1"/>
  <c r="Q2576" i="1"/>
  <c r="R2576" i="1"/>
  <c r="S2576" i="1"/>
  <c r="T2576" i="1"/>
  <c r="U2576" i="1"/>
  <c r="V2576" i="1"/>
  <c r="W2576" i="1"/>
  <c r="X2576" i="1"/>
  <c r="Y2576" i="1"/>
  <c r="Z2576" i="1"/>
  <c r="AA2576" i="1"/>
  <c r="AB2576" i="1"/>
  <c r="AC2576" i="1"/>
  <c r="AD2576" i="1"/>
  <c r="AE2576" i="1"/>
  <c r="AF2576" i="1"/>
  <c r="AG2576" i="1"/>
  <c r="AH2576" i="1"/>
  <c r="AI2576" i="1"/>
  <c r="AJ2576" i="1"/>
  <c r="AK2576" i="1"/>
  <c r="AL2576" i="1"/>
  <c r="AM2576" i="1"/>
  <c r="A2577" i="1"/>
  <c r="B2577" i="1"/>
  <c r="C2577" i="1"/>
  <c r="D2577" i="1"/>
  <c r="E2577" i="1"/>
  <c r="F2577" i="1"/>
  <c r="G2577" i="1"/>
  <c r="H2577" i="1"/>
  <c r="I2577" i="1"/>
  <c r="J2577" i="1"/>
  <c r="K2577" i="1"/>
  <c r="L2577" i="1"/>
  <c r="M2577" i="1"/>
  <c r="N2577" i="1"/>
  <c r="O2577" i="1"/>
  <c r="P2577" i="1"/>
  <c r="Q2577" i="1"/>
  <c r="R2577" i="1"/>
  <c r="S2577" i="1"/>
  <c r="T2577" i="1"/>
  <c r="U2577" i="1"/>
  <c r="V2577" i="1"/>
  <c r="W2577" i="1"/>
  <c r="X2577" i="1"/>
  <c r="Y2577" i="1"/>
  <c r="Z2577" i="1"/>
  <c r="AA2577" i="1"/>
  <c r="AB2577" i="1"/>
  <c r="AC2577" i="1"/>
  <c r="AD2577" i="1"/>
  <c r="AE2577" i="1"/>
  <c r="AF2577" i="1"/>
  <c r="AG2577" i="1"/>
  <c r="AH2577" i="1"/>
  <c r="AI2577" i="1"/>
  <c r="AJ2577" i="1"/>
  <c r="AK2577" i="1"/>
  <c r="AL2577" i="1"/>
  <c r="AM2577" i="1"/>
  <c r="A2578" i="1"/>
  <c r="B2578" i="1"/>
  <c r="C2578" i="1"/>
  <c r="D2578" i="1"/>
  <c r="E2578" i="1"/>
  <c r="F2578" i="1"/>
  <c r="G2578" i="1"/>
  <c r="H2578" i="1"/>
  <c r="I2578" i="1"/>
  <c r="J2578" i="1"/>
  <c r="K2578" i="1"/>
  <c r="L2578" i="1"/>
  <c r="M2578" i="1"/>
  <c r="N2578" i="1"/>
  <c r="O2578" i="1"/>
  <c r="P2578" i="1"/>
  <c r="Q2578" i="1"/>
  <c r="R2578" i="1"/>
  <c r="S2578" i="1"/>
  <c r="T2578" i="1"/>
  <c r="U2578" i="1"/>
  <c r="V2578" i="1"/>
  <c r="W2578" i="1"/>
  <c r="X2578" i="1"/>
  <c r="Y2578" i="1"/>
  <c r="Z2578" i="1"/>
  <c r="AA2578" i="1"/>
  <c r="AB2578" i="1"/>
  <c r="AC2578" i="1"/>
  <c r="AD2578" i="1"/>
  <c r="AE2578" i="1"/>
  <c r="AF2578" i="1"/>
  <c r="AG2578" i="1"/>
  <c r="AH2578" i="1"/>
  <c r="AI2578" i="1"/>
  <c r="AJ2578" i="1"/>
  <c r="AK2578" i="1"/>
  <c r="AL2578" i="1"/>
  <c r="AM2578" i="1"/>
  <c r="A2579" i="1"/>
  <c r="B2579" i="1"/>
  <c r="C2579" i="1"/>
  <c r="D2579" i="1"/>
  <c r="E2579" i="1"/>
  <c r="F2579" i="1"/>
  <c r="G2579" i="1"/>
  <c r="H2579" i="1"/>
  <c r="I2579" i="1"/>
  <c r="J2579" i="1"/>
  <c r="K2579" i="1"/>
  <c r="L2579" i="1"/>
  <c r="M2579" i="1"/>
  <c r="N2579" i="1"/>
  <c r="O2579" i="1"/>
  <c r="P2579" i="1"/>
  <c r="Q2579" i="1"/>
  <c r="R2579" i="1"/>
  <c r="S2579" i="1"/>
  <c r="T2579" i="1"/>
  <c r="U2579" i="1"/>
  <c r="V2579" i="1"/>
  <c r="W2579" i="1"/>
  <c r="X2579" i="1"/>
  <c r="Y2579" i="1"/>
  <c r="Z2579" i="1"/>
  <c r="AA2579" i="1"/>
  <c r="AB2579" i="1"/>
  <c r="AC2579" i="1"/>
  <c r="AD2579" i="1"/>
  <c r="AE2579" i="1"/>
  <c r="AF2579" i="1"/>
  <c r="AG2579" i="1"/>
  <c r="AH2579" i="1"/>
  <c r="AI2579" i="1"/>
  <c r="AJ2579" i="1"/>
  <c r="AK2579" i="1"/>
  <c r="AL2579" i="1"/>
  <c r="AM2579" i="1"/>
  <c r="A2580" i="1"/>
  <c r="B2580" i="1"/>
  <c r="C2580" i="1"/>
  <c r="D2580" i="1"/>
  <c r="E2580" i="1"/>
  <c r="F2580" i="1"/>
  <c r="G2580" i="1"/>
  <c r="H2580" i="1"/>
  <c r="I2580" i="1"/>
  <c r="J2580" i="1"/>
  <c r="K2580" i="1"/>
  <c r="L2580" i="1"/>
  <c r="M2580" i="1"/>
  <c r="N2580" i="1"/>
  <c r="O2580" i="1"/>
  <c r="P2580" i="1"/>
  <c r="Q2580" i="1"/>
  <c r="R2580" i="1"/>
  <c r="S2580" i="1"/>
  <c r="T2580" i="1"/>
  <c r="U2580" i="1"/>
  <c r="V2580" i="1"/>
  <c r="W2580" i="1"/>
  <c r="X2580" i="1"/>
  <c r="Y2580" i="1"/>
  <c r="Z2580" i="1"/>
  <c r="AA2580" i="1"/>
  <c r="AB2580" i="1"/>
  <c r="AC2580" i="1"/>
  <c r="AD2580" i="1"/>
  <c r="AE2580" i="1"/>
  <c r="AF2580" i="1"/>
  <c r="AG2580" i="1"/>
  <c r="AH2580" i="1"/>
  <c r="AI2580" i="1"/>
  <c r="AJ2580" i="1"/>
  <c r="AK2580" i="1"/>
  <c r="AL2580" i="1"/>
  <c r="AM2580" i="1"/>
  <c r="A2581" i="1"/>
  <c r="B2581" i="1"/>
  <c r="C2581" i="1"/>
  <c r="D2581" i="1"/>
  <c r="E2581" i="1"/>
  <c r="F2581" i="1"/>
  <c r="G2581" i="1"/>
  <c r="H2581" i="1"/>
  <c r="I2581" i="1"/>
  <c r="J2581" i="1"/>
  <c r="K2581" i="1"/>
  <c r="L2581" i="1"/>
  <c r="M2581" i="1"/>
  <c r="N2581" i="1"/>
  <c r="O2581" i="1"/>
  <c r="P2581" i="1"/>
  <c r="Q2581" i="1"/>
  <c r="R2581" i="1"/>
  <c r="S2581" i="1"/>
  <c r="T2581" i="1"/>
  <c r="U2581" i="1"/>
  <c r="V2581" i="1"/>
  <c r="W2581" i="1"/>
  <c r="X2581" i="1"/>
  <c r="Y2581" i="1"/>
  <c r="Z2581" i="1"/>
  <c r="AA2581" i="1"/>
  <c r="AB2581" i="1"/>
  <c r="AC2581" i="1"/>
  <c r="AD2581" i="1"/>
  <c r="AE2581" i="1"/>
  <c r="AF2581" i="1"/>
  <c r="AG2581" i="1"/>
  <c r="AH2581" i="1"/>
  <c r="AI2581" i="1"/>
  <c r="AJ2581" i="1"/>
  <c r="AK2581" i="1"/>
  <c r="AL2581" i="1"/>
  <c r="AM2581" i="1"/>
  <c r="A2582" i="1"/>
  <c r="B2582" i="1"/>
  <c r="C2582" i="1"/>
  <c r="D2582" i="1"/>
  <c r="E2582" i="1"/>
  <c r="F2582" i="1"/>
  <c r="G2582" i="1"/>
  <c r="H2582" i="1"/>
  <c r="I2582" i="1"/>
  <c r="J2582" i="1"/>
  <c r="K2582" i="1"/>
  <c r="L2582" i="1"/>
  <c r="M2582" i="1"/>
  <c r="N2582" i="1"/>
  <c r="O2582" i="1"/>
  <c r="P2582" i="1"/>
  <c r="Q2582" i="1"/>
  <c r="R2582" i="1"/>
  <c r="S2582" i="1"/>
  <c r="T2582" i="1"/>
  <c r="U2582" i="1"/>
  <c r="V2582" i="1"/>
  <c r="W2582" i="1"/>
  <c r="X2582" i="1"/>
  <c r="Y2582" i="1"/>
  <c r="Z2582" i="1"/>
  <c r="AA2582" i="1"/>
  <c r="AB2582" i="1"/>
  <c r="AC2582" i="1"/>
  <c r="AD2582" i="1"/>
  <c r="AE2582" i="1"/>
  <c r="AF2582" i="1"/>
  <c r="AG2582" i="1"/>
  <c r="AH2582" i="1"/>
  <c r="AI2582" i="1"/>
  <c r="AJ2582" i="1"/>
  <c r="AK2582" i="1"/>
  <c r="AL2582" i="1"/>
  <c r="AM2582" i="1"/>
  <c r="A2583" i="1"/>
  <c r="B2583" i="1"/>
  <c r="C2583" i="1"/>
  <c r="D2583" i="1"/>
  <c r="E2583" i="1"/>
  <c r="F2583" i="1"/>
  <c r="G2583" i="1"/>
  <c r="H2583" i="1"/>
  <c r="I2583" i="1"/>
  <c r="J2583" i="1"/>
  <c r="K2583" i="1"/>
  <c r="L2583" i="1"/>
  <c r="M2583" i="1"/>
  <c r="N2583" i="1"/>
  <c r="O2583" i="1"/>
  <c r="P2583" i="1"/>
  <c r="Q2583" i="1"/>
  <c r="R2583" i="1"/>
  <c r="S2583" i="1"/>
  <c r="T2583" i="1"/>
  <c r="U2583" i="1"/>
  <c r="V2583" i="1"/>
  <c r="W2583" i="1"/>
  <c r="X2583" i="1"/>
  <c r="Y2583" i="1"/>
  <c r="Z2583" i="1"/>
  <c r="AA2583" i="1"/>
  <c r="AB2583" i="1"/>
  <c r="AC2583" i="1"/>
  <c r="AD2583" i="1"/>
  <c r="AE2583" i="1"/>
  <c r="AF2583" i="1"/>
  <c r="AG2583" i="1"/>
  <c r="AH2583" i="1"/>
  <c r="AI2583" i="1"/>
  <c r="AJ2583" i="1"/>
  <c r="AK2583" i="1"/>
  <c r="AL2583" i="1"/>
  <c r="AM2583" i="1"/>
  <c r="A2584" i="1"/>
  <c r="B2584" i="1"/>
  <c r="C2584" i="1"/>
  <c r="D2584" i="1"/>
  <c r="E2584" i="1"/>
  <c r="F2584" i="1"/>
  <c r="G2584" i="1"/>
  <c r="H2584" i="1"/>
  <c r="I2584" i="1"/>
  <c r="J2584" i="1"/>
  <c r="K2584" i="1"/>
  <c r="L2584" i="1"/>
  <c r="M2584" i="1"/>
  <c r="N2584" i="1"/>
  <c r="O2584" i="1"/>
  <c r="P2584" i="1"/>
  <c r="Q2584" i="1"/>
  <c r="R2584" i="1"/>
  <c r="S2584" i="1"/>
  <c r="T2584" i="1"/>
  <c r="U2584" i="1"/>
  <c r="V2584" i="1"/>
  <c r="W2584" i="1"/>
  <c r="X2584" i="1"/>
  <c r="Y2584" i="1"/>
  <c r="Z2584" i="1"/>
  <c r="AA2584" i="1"/>
  <c r="AB2584" i="1"/>
  <c r="AC2584" i="1"/>
  <c r="AD2584" i="1"/>
  <c r="AE2584" i="1"/>
  <c r="AF2584" i="1"/>
  <c r="AG2584" i="1"/>
  <c r="AH2584" i="1"/>
  <c r="AI2584" i="1"/>
  <c r="AJ2584" i="1"/>
  <c r="AK2584" i="1"/>
  <c r="AL2584" i="1"/>
  <c r="AM2584" i="1"/>
  <c r="A2585" i="1"/>
  <c r="B2585" i="1"/>
  <c r="C2585" i="1"/>
  <c r="D2585" i="1"/>
  <c r="E2585" i="1"/>
  <c r="F2585" i="1"/>
  <c r="G2585" i="1"/>
  <c r="H2585" i="1"/>
  <c r="I2585" i="1"/>
  <c r="J2585" i="1"/>
  <c r="K2585" i="1"/>
  <c r="L2585" i="1"/>
  <c r="M2585" i="1"/>
  <c r="N2585" i="1"/>
  <c r="O2585" i="1"/>
  <c r="P2585" i="1"/>
  <c r="Q2585" i="1"/>
  <c r="R2585" i="1"/>
  <c r="S2585" i="1"/>
  <c r="T2585" i="1"/>
  <c r="U2585" i="1"/>
  <c r="V2585" i="1"/>
  <c r="W2585" i="1"/>
  <c r="X2585" i="1"/>
  <c r="Y2585" i="1"/>
  <c r="Z2585" i="1"/>
  <c r="AA2585" i="1"/>
  <c r="AB2585" i="1"/>
  <c r="AC2585" i="1"/>
  <c r="AD2585" i="1"/>
  <c r="AE2585" i="1"/>
  <c r="AF2585" i="1"/>
  <c r="AG2585" i="1"/>
  <c r="AH2585" i="1"/>
  <c r="AI2585" i="1"/>
  <c r="AJ2585" i="1"/>
  <c r="AK2585" i="1"/>
  <c r="AL2585" i="1"/>
  <c r="AM2585" i="1"/>
  <c r="A2586" i="1"/>
  <c r="B2586" i="1"/>
  <c r="C2586" i="1"/>
  <c r="D2586" i="1"/>
  <c r="E2586" i="1"/>
  <c r="F2586" i="1"/>
  <c r="G2586" i="1"/>
  <c r="H2586" i="1"/>
  <c r="I2586" i="1"/>
  <c r="J2586" i="1"/>
  <c r="K2586" i="1"/>
  <c r="L2586" i="1"/>
  <c r="M2586" i="1"/>
  <c r="N2586" i="1"/>
  <c r="O2586" i="1"/>
  <c r="P2586" i="1"/>
  <c r="Q2586" i="1"/>
  <c r="R2586" i="1"/>
  <c r="S2586" i="1"/>
  <c r="T2586" i="1"/>
  <c r="U2586" i="1"/>
  <c r="V2586" i="1"/>
  <c r="W2586" i="1"/>
  <c r="X2586" i="1"/>
  <c r="Y2586" i="1"/>
  <c r="Z2586" i="1"/>
  <c r="AA2586" i="1"/>
  <c r="AB2586" i="1"/>
  <c r="AC2586" i="1"/>
  <c r="AD2586" i="1"/>
  <c r="AE2586" i="1"/>
  <c r="AF2586" i="1"/>
  <c r="AG2586" i="1"/>
  <c r="AH2586" i="1"/>
  <c r="AI2586" i="1"/>
  <c r="AJ2586" i="1"/>
  <c r="AK2586" i="1"/>
  <c r="AL2586" i="1"/>
  <c r="AM2586" i="1"/>
  <c r="A2587" i="1"/>
  <c r="B2587" i="1"/>
  <c r="C2587" i="1"/>
  <c r="D2587" i="1"/>
  <c r="E2587" i="1"/>
  <c r="F2587" i="1"/>
  <c r="G2587" i="1"/>
  <c r="H2587" i="1"/>
  <c r="I2587" i="1"/>
  <c r="J2587" i="1"/>
  <c r="K2587" i="1"/>
  <c r="L2587" i="1"/>
  <c r="M2587" i="1"/>
  <c r="N2587" i="1"/>
  <c r="O2587" i="1"/>
  <c r="P2587" i="1"/>
  <c r="Q2587" i="1"/>
  <c r="R2587" i="1"/>
  <c r="S2587" i="1"/>
  <c r="T2587" i="1"/>
  <c r="U2587" i="1"/>
  <c r="V2587" i="1"/>
  <c r="W2587" i="1"/>
  <c r="X2587" i="1"/>
  <c r="Y2587" i="1"/>
  <c r="Z2587" i="1"/>
  <c r="AA2587" i="1"/>
  <c r="AB2587" i="1"/>
  <c r="AC2587" i="1"/>
  <c r="AD2587" i="1"/>
  <c r="AE2587" i="1"/>
  <c r="AF2587" i="1"/>
  <c r="AG2587" i="1"/>
  <c r="AH2587" i="1"/>
  <c r="AI2587" i="1"/>
  <c r="AJ2587" i="1"/>
  <c r="AK2587" i="1"/>
  <c r="AL2587" i="1"/>
  <c r="AM2587" i="1"/>
  <c r="A2588" i="1"/>
  <c r="B2588" i="1"/>
  <c r="C2588" i="1"/>
  <c r="D2588" i="1"/>
  <c r="E2588" i="1"/>
  <c r="F2588" i="1"/>
  <c r="G2588" i="1"/>
  <c r="H2588" i="1"/>
  <c r="I2588" i="1"/>
  <c r="J2588" i="1"/>
  <c r="K2588" i="1"/>
  <c r="L2588" i="1"/>
  <c r="M2588" i="1"/>
  <c r="N2588" i="1"/>
  <c r="O2588" i="1"/>
  <c r="P2588" i="1"/>
  <c r="Q2588" i="1"/>
  <c r="R2588" i="1"/>
  <c r="S2588" i="1"/>
  <c r="T2588" i="1"/>
  <c r="U2588" i="1"/>
  <c r="V2588" i="1"/>
  <c r="W2588" i="1"/>
  <c r="X2588" i="1"/>
  <c r="Y2588" i="1"/>
  <c r="Z2588" i="1"/>
  <c r="AA2588" i="1"/>
  <c r="AB2588" i="1"/>
  <c r="AC2588" i="1"/>
  <c r="AD2588" i="1"/>
  <c r="AE2588" i="1"/>
  <c r="AF2588" i="1"/>
  <c r="AG2588" i="1"/>
  <c r="AH2588" i="1"/>
  <c r="AI2588" i="1"/>
  <c r="AJ2588" i="1"/>
  <c r="AK2588" i="1"/>
  <c r="AL2588" i="1"/>
  <c r="AM2588" i="1"/>
  <c r="A2589" i="1"/>
  <c r="B2589" i="1"/>
  <c r="C2589" i="1"/>
  <c r="D2589" i="1"/>
  <c r="E2589" i="1"/>
  <c r="F2589" i="1"/>
  <c r="G2589" i="1"/>
  <c r="H2589" i="1"/>
  <c r="I2589" i="1"/>
  <c r="J2589" i="1"/>
  <c r="K2589" i="1"/>
  <c r="L2589" i="1"/>
  <c r="M2589" i="1"/>
  <c r="N2589" i="1"/>
  <c r="O2589" i="1"/>
  <c r="P2589" i="1"/>
  <c r="Q2589" i="1"/>
  <c r="R2589" i="1"/>
  <c r="S2589" i="1"/>
  <c r="T2589" i="1"/>
  <c r="U2589" i="1"/>
  <c r="V2589" i="1"/>
  <c r="W2589" i="1"/>
  <c r="X2589" i="1"/>
  <c r="Y2589" i="1"/>
  <c r="Z2589" i="1"/>
  <c r="AA2589" i="1"/>
  <c r="AB2589" i="1"/>
  <c r="AC2589" i="1"/>
  <c r="AD2589" i="1"/>
  <c r="AE2589" i="1"/>
  <c r="AF2589" i="1"/>
  <c r="AG2589" i="1"/>
  <c r="AH2589" i="1"/>
  <c r="AI2589" i="1"/>
  <c r="AJ2589" i="1"/>
  <c r="AK2589" i="1"/>
  <c r="AL2589" i="1"/>
  <c r="AM2589" i="1"/>
  <c r="A2590" i="1"/>
  <c r="B2590" i="1"/>
  <c r="C2590" i="1"/>
  <c r="D2590" i="1"/>
  <c r="E2590" i="1"/>
  <c r="F2590" i="1"/>
  <c r="G2590" i="1"/>
  <c r="H2590" i="1"/>
  <c r="I2590" i="1"/>
  <c r="J2590" i="1"/>
  <c r="K2590" i="1"/>
  <c r="L2590" i="1"/>
  <c r="M2590" i="1"/>
  <c r="N2590" i="1"/>
  <c r="O2590" i="1"/>
  <c r="P2590" i="1"/>
  <c r="Q2590" i="1"/>
  <c r="R2590" i="1"/>
  <c r="S2590" i="1"/>
  <c r="T2590" i="1"/>
  <c r="U2590" i="1"/>
  <c r="V2590" i="1"/>
  <c r="W2590" i="1"/>
  <c r="X2590" i="1"/>
  <c r="Y2590" i="1"/>
  <c r="Z2590" i="1"/>
  <c r="AA2590" i="1"/>
  <c r="AB2590" i="1"/>
  <c r="AC2590" i="1"/>
  <c r="AD2590" i="1"/>
  <c r="AE2590" i="1"/>
  <c r="AF2590" i="1"/>
  <c r="AG2590" i="1"/>
  <c r="AH2590" i="1"/>
  <c r="AI2590" i="1"/>
  <c r="AJ2590" i="1"/>
  <c r="AK2590" i="1"/>
  <c r="AL2590" i="1"/>
  <c r="AM2590" i="1"/>
  <c r="A2591" i="1"/>
  <c r="B2591" i="1"/>
  <c r="C2591" i="1"/>
  <c r="D2591" i="1"/>
  <c r="E2591" i="1"/>
  <c r="F2591" i="1"/>
  <c r="G2591" i="1"/>
  <c r="H2591" i="1"/>
  <c r="I2591" i="1"/>
  <c r="J2591" i="1"/>
  <c r="K2591" i="1"/>
  <c r="L2591" i="1"/>
  <c r="M2591" i="1"/>
  <c r="N2591" i="1"/>
  <c r="O2591" i="1"/>
  <c r="P2591" i="1"/>
  <c r="Q2591" i="1"/>
  <c r="R2591" i="1"/>
  <c r="S2591" i="1"/>
  <c r="T2591" i="1"/>
  <c r="U2591" i="1"/>
  <c r="V2591" i="1"/>
  <c r="W2591" i="1"/>
  <c r="X2591" i="1"/>
  <c r="Y2591" i="1"/>
  <c r="Z2591" i="1"/>
  <c r="AA2591" i="1"/>
  <c r="AB2591" i="1"/>
  <c r="AC2591" i="1"/>
  <c r="AD2591" i="1"/>
  <c r="AE2591" i="1"/>
  <c r="AF2591" i="1"/>
  <c r="AG2591" i="1"/>
  <c r="AH2591" i="1"/>
  <c r="AI2591" i="1"/>
  <c r="AJ2591" i="1"/>
  <c r="AK2591" i="1"/>
  <c r="AL2591" i="1"/>
  <c r="AM2591" i="1"/>
  <c r="A2592" i="1"/>
  <c r="B2592" i="1"/>
  <c r="C2592" i="1"/>
  <c r="D2592" i="1"/>
  <c r="E2592" i="1"/>
  <c r="F2592" i="1"/>
  <c r="G2592" i="1"/>
  <c r="H2592" i="1"/>
  <c r="I2592" i="1"/>
  <c r="J2592" i="1"/>
  <c r="K2592" i="1"/>
  <c r="L2592" i="1"/>
  <c r="M2592" i="1"/>
  <c r="N2592" i="1"/>
  <c r="O2592" i="1"/>
  <c r="P2592" i="1"/>
  <c r="Q2592" i="1"/>
  <c r="R2592" i="1"/>
  <c r="S2592" i="1"/>
  <c r="T2592" i="1"/>
  <c r="U2592" i="1"/>
  <c r="V2592" i="1"/>
  <c r="W2592" i="1"/>
  <c r="X2592" i="1"/>
  <c r="Y2592" i="1"/>
  <c r="Z2592" i="1"/>
  <c r="AA2592" i="1"/>
  <c r="AB2592" i="1"/>
  <c r="AC2592" i="1"/>
  <c r="AD2592" i="1"/>
  <c r="AE2592" i="1"/>
  <c r="AF2592" i="1"/>
  <c r="AG2592" i="1"/>
  <c r="AH2592" i="1"/>
  <c r="AI2592" i="1"/>
  <c r="AJ2592" i="1"/>
  <c r="AK2592" i="1"/>
  <c r="AL2592" i="1"/>
  <c r="AM2592" i="1"/>
  <c r="A2593" i="1"/>
  <c r="B2593" i="1"/>
  <c r="C2593" i="1"/>
  <c r="D2593" i="1"/>
  <c r="E2593" i="1"/>
  <c r="F2593" i="1"/>
  <c r="G2593" i="1"/>
  <c r="H2593" i="1"/>
  <c r="I2593" i="1"/>
  <c r="J2593" i="1"/>
  <c r="K2593" i="1"/>
  <c r="L2593" i="1"/>
  <c r="M2593" i="1"/>
  <c r="N2593" i="1"/>
  <c r="O2593" i="1"/>
  <c r="P2593" i="1"/>
  <c r="Q2593" i="1"/>
  <c r="R2593" i="1"/>
  <c r="S2593" i="1"/>
  <c r="T2593" i="1"/>
  <c r="U2593" i="1"/>
  <c r="V2593" i="1"/>
  <c r="W2593" i="1"/>
  <c r="X2593" i="1"/>
  <c r="Y2593" i="1"/>
  <c r="Z2593" i="1"/>
  <c r="AA2593" i="1"/>
  <c r="AB2593" i="1"/>
  <c r="AC2593" i="1"/>
  <c r="AD2593" i="1"/>
  <c r="AE2593" i="1"/>
  <c r="AF2593" i="1"/>
  <c r="AG2593" i="1"/>
  <c r="AH2593" i="1"/>
  <c r="AI2593" i="1"/>
  <c r="AJ2593" i="1"/>
  <c r="AK2593" i="1"/>
  <c r="AL2593" i="1"/>
  <c r="AM2593" i="1"/>
  <c r="A2594" i="1"/>
  <c r="B2594" i="1"/>
  <c r="C2594" i="1"/>
  <c r="D2594" i="1"/>
  <c r="E2594" i="1"/>
  <c r="F2594" i="1"/>
  <c r="G2594" i="1"/>
  <c r="H2594" i="1"/>
  <c r="I2594" i="1"/>
  <c r="J2594" i="1"/>
  <c r="K2594" i="1"/>
  <c r="L2594" i="1"/>
  <c r="M2594" i="1"/>
  <c r="N2594" i="1"/>
  <c r="O2594" i="1"/>
  <c r="P2594" i="1"/>
  <c r="Q2594" i="1"/>
  <c r="R2594" i="1"/>
  <c r="S2594" i="1"/>
  <c r="T2594" i="1"/>
  <c r="U2594" i="1"/>
  <c r="V2594" i="1"/>
  <c r="W2594" i="1"/>
  <c r="X2594" i="1"/>
  <c r="Y2594" i="1"/>
  <c r="Z2594" i="1"/>
  <c r="AA2594" i="1"/>
  <c r="AB2594" i="1"/>
  <c r="AC2594" i="1"/>
  <c r="AD2594" i="1"/>
  <c r="AE2594" i="1"/>
  <c r="AF2594" i="1"/>
  <c r="AG2594" i="1"/>
  <c r="AH2594" i="1"/>
  <c r="AI2594" i="1"/>
  <c r="AJ2594" i="1"/>
  <c r="AK2594" i="1"/>
  <c r="AL2594" i="1"/>
  <c r="AM2594" i="1"/>
  <c r="A2595" i="1"/>
  <c r="B2595" i="1"/>
  <c r="C2595" i="1"/>
  <c r="D2595" i="1"/>
  <c r="E2595" i="1"/>
  <c r="F2595" i="1"/>
  <c r="G2595" i="1"/>
  <c r="H2595" i="1"/>
  <c r="I2595" i="1"/>
  <c r="J2595" i="1"/>
  <c r="K2595" i="1"/>
  <c r="L2595" i="1"/>
  <c r="M2595" i="1"/>
  <c r="N2595" i="1"/>
  <c r="O2595" i="1"/>
  <c r="P2595" i="1"/>
  <c r="Q2595" i="1"/>
  <c r="R2595" i="1"/>
  <c r="S2595" i="1"/>
  <c r="T2595" i="1"/>
  <c r="U2595" i="1"/>
  <c r="V2595" i="1"/>
  <c r="W2595" i="1"/>
  <c r="X2595" i="1"/>
  <c r="Y2595" i="1"/>
  <c r="Z2595" i="1"/>
  <c r="AA2595" i="1"/>
  <c r="AB2595" i="1"/>
  <c r="AC2595" i="1"/>
  <c r="AD2595" i="1"/>
  <c r="AE2595" i="1"/>
  <c r="AF2595" i="1"/>
  <c r="AG2595" i="1"/>
  <c r="AH2595" i="1"/>
  <c r="AI2595" i="1"/>
  <c r="AJ2595" i="1"/>
  <c r="AK2595" i="1"/>
  <c r="AL2595" i="1"/>
  <c r="AM2595" i="1"/>
  <c r="A2596" i="1"/>
  <c r="B2596" i="1"/>
  <c r="C2596" i="1"/>
  <c r="D2596" i="1"/>
  <c r="E2596" i="1"/>
  <c r="F2596" i="1"/>
  <c r="G2596" i="1"/>
  <c r="H2596" i="1"/>
  <c r="I2596" i="1"/>
  <c r="J2596" i="1"/>
  <c r="K2596" i="1"/>
  <c r="L2596" i="1"/>
  <c r="M2596" i="1"/>
  <c r="N2596" i="1"/>
  <c r="O2596" i="1"/>
  <c r="P2596" i="1"/>
  <c r="Q2596" i="1"/>
  <c r="R2596" i="1"/>
  <c r="S2596" i="1"/>
  <c r="T2596" i="1"/>
  <c r="U2596" i="1"/>
  <c r="V2596" i="1"/>
  <c r="W2596" i="1"/>
  <c r="X2596" i="1"/>
  <c r="Y2596" i="1"/>
  <c r="Z2596" i="1"/>
  <c r="AA2596" i="1"/>
  <c r="AB2596" i="1"/>
  <c r="AC2596" i="1"/>
  <c r="AD2596" i="1"/>
  <c r="AE2596" i="1"/>
  <c r="AF2596" i="1"/>
  <c r="AG2596" i="1"/>
  <c r="AH2596" i="1"/>
  <c r="AI2596" i="1"/>
  <c r="AJ2596" i="1"/>
  <c r="AK2596" i="1"/>
  <c r="AL2596" i="1"/>
  <c r="AM2596" i="1"/>
  <c r="A2597" i="1"/>
  <c r="B2597" i="1"/>
  <c r="C2597" i="1"/>
  <c r="D2597" i="1"/>
  <c r="E2597" i="1"/>
  <c r="F2597" i="1"/>
  <c r="G2597" i="1"/>
  <c r="H2597" i="1"/>
  <c r="I2597" i="1"/>
  <c r="J2597" i="1"/>
  <c r="K2597" i="1"/>
  <c r="L2597" i="1"/>
  <c r="M2597" i="1"/>
  <c r="N2597" i="1"/>
  <c r="O2597" i="1"/>
  <c r="P2597" i="1"/>
  <c r="Q2597" i="1"/>
  <c r="R2597" i="1"/>
  <c r="S2597" i="1"/>
  <c r="T2597" i="1"/>
  <c r="U2597" i="1"/>
  <c r="V2597" i="1"/>
  <c r="W2597" i="1"/>
  <c r="X2597" i="1"/>
  <c r="Y2597" i="1"/>
  <c r="Z2597" i="1"/>
  <c r="AA2597" i="1"/>
  <c r="AB2597" i="1"/>
  <c r="AC2597" i="1"/>
  <c r="AD2597" i="1"/>
  <c r="AE2597" i="1"/>
  <c r="AF2597" i="1"/>
  <c r="AG2597" i="1"/>
  <c r="AH2597" i="1"/>
  <c r="AI2597" i="1"/>
  <c r="AJ2597" i="1"/>
  <c r="AK2597" i="1"/>
  <c r="AL2597" i="1"/>
  <c r="AM2597" i="1"/>
  <c r="A2598" i="1"/>
  <c r="B2598" i="1"/>
  <c r="C2598" i="1"/>
  <c r="D2598" i="1"/>
  <c r="E2598" i="1"/>
  <c r="F2598" i="1"/>
  <c r="G2598" i="1"/>
  <c r="H2598" i="1"/>
  <c r="I2598" i="1"/>
  <c r="J2598" i="1"/>
  <c r="K2598" i="1"/>
  <c r="L2598" i="1"/>
  <c r="M2598" i="1"/>
  <c r="N2598" i="1"/>
  <c r="O2598" i="1"/>
  <c r="P2598" i="1"/>
  <c r="Q2598" i="1"/>
  <c r="R2598" i="1"/>
  <c r="S2598" i="1"/>
  <c r="T2598" i="1"/>
  <c r="U2598" i="1"/>
  <c r="V2598" i="1"/>
  <c r="W2598" i="1"/>
  <c r="X2598" i="1"/>
  <c r="Y2598" i="1"/>
  <c r="Z2598" i="1"/>
  <c r="AA2598" i="1"/>
  <c r="AB2598" i="1"/>
  <c r="AC2598" i="1"/>
  <c r="AD2598" i="1"/>
  <c r="AE2598" i="1"/>
  <c r="AF2598" i="1"/>
  <c r="AG2598" i="1"/>
  <c r="AH2598" i="1"/>
  <c r="AI2598" i="1"/>
  <c r="AJ2598" i="1"/>
  <c r="AK2598" i="1"/>
  <c r="AL2598" i="1"/>
  <c r="AM2598" i="1"/>
  <c r="A2599" i="1"/>
  <c r="B2599" i="1"/>
  <c r="C2599" i="1"/>
  <c r="D2599" i="1"/>
  <c r="E2599" i="1"/>
  <c r="F2599" i="1"/>
  <c r="G2599" i="1"/>
  <c r="H2599" i="1"/>
  <c r="I2599" i="1"/>
  <c r="J2599" i="1"/>
  <c r="K2599" i="1"/>
  <c r="L2599" i="1"/>
  <c r="M2599" i="1"/>
  <c r="N2599" i="1"/>
  <c r="O2599" i="1"/>
  <c r="P2599" i="1"/>
  <c r="Q2599" i="1"/>
  <c r="R2599" i="1"/>
  <c r="S2599" i="1"/>
  <c r="T2599" i="1"/>
  <c r="U2599" i="1"/>
  <c r="V2599" i="1"/>
  <c r="W2599" i="1"/>
  <c r="X2599" i="1"/>
  <c r="Y2599" i="1"/>
  <c r="Z2599" i="1"/>
  <c r="AA2599" i="1"/>
  <c r="AB2599" i="1"/>
  <c r="AC2599" i="1"/>
  <c r="AD2599" i="1"/>
  <c r="AE2599" i="1"/>
  <c r="AF2599" i="1"/>
  <c r="AG2599" i="1"/>
  <c r="AH2599" i="1"/>
  <c r="AI2599" i="1"/>
  <c r="AJ2599" i="1"/>
  <c r="AK2599" i="1"/>
  <c r="AL2599" i="1"/>
  <c r="AM2599" i="1"/>
  <c r="A2600" i="1"/>
  <c r="B2600" i="1"/>
  <c r="C2600" i="1"/>
  <c r="D2600" i="1"/>
  <c r="E2600" i="1"/>
  <c r="F2600" i="1"/>
  <c r="G2600" i="1"/>
  <c r="H2600" i="1"/>
  <c r="I2600" i="1"/>
  <c r="J2600" i="1"/>
  <c r="K2600" i="1"/>
  <c r="L2600" i="1"/>
  <c r="M2600" i="1"/>
  <c r="N2600" i="1"/>
  <c r="O2600" i="1"/>
  <c r="P2600" i="1"/>
  <c r="Q2600" i="1"/>
  <c r="R2600" i="1"/>
  <c r="S2600" i="1"/>
  <c r="T2600" i="1"/>
  <c r="U2600" i="1"/>
  <c r="V2600" i="1"/>
  <c r="W2600" i="1"/>
  <c r="X2600" i="1"/>
  <c r="Y2600" i="1"/>
  <c r="Z2600" i="1"/>
  <c r="AA2600" i="1"/>
  <c r="AB2600" i="1"/>
  <c r="AC2600" i="1"/>
  <c r="AD2600" i="1"/>
  <c r="AE2600" i="1"/>
  <c r="AF2600" i="1"/>
  <c r="AG2600" i="1"/>
  <c r="AH2600" i="1"/>
  <c r="AI2600" i="1"/>
  <c r="AJ2600" i="1"/>
  <c r="AK2600" i="1"/>
  <c r="AL2600" i="1"/>
  <c r="AM2600" i="1"/>
  <c r="A2601" i="1"/>
  <c r="B2601" i="1"/>
  <c r="C2601" i="1"/>
  <c r="D2601" i="1"/>
  <c r="E2601" i="1"/>
  <c r="F2601" i="1"/>
  <c r="G2601" i="1"/>
  <c r="H2601" i="1"/>
  <c r="I2601" i="1"/>
  <c r="J2601" i="1"/>
  <c r="K2601" i="1"/>
  <c r="L2601" i="1"/>
  <c r="M2601" i="1"/>
  <c r="N2601" i="1"/>
  <c r="O2601" i="1"/>
  <c r="P2601" i="1"/>
  <c r="Q2601" i="1"/>
  <c r="R2601" i="1"/>
  <c r="S2601" i="1"/>
  <c r="T2601" i="1"/>
  <c r="U2601" i="1"/>
  <c r="V2601" i="1"/>
  <c r="W2601" i="1"/>
  <c r="X2601" i="1"/>
  <c r="Y2601" i="1"/>
  <c r="Z2601" i="1"/>
  <c r="AA2601" i="1"/>
  <c r="AB2601" i="1"/>
  <c r="AC2601" i="1"/>
  <c r="AD2601" i="1"/>
  <c r="AE2601" i="1"/>
  <c r="AF2601" i="1"/>
  <c r="AG2601" i="1"/>
  <c r="AH2601" i="1"/>
  <c r="AI2601" i="1"/>
  <c r="AJ2601" i="1"/>
  <c r="AK2601" i="1"/>
  <c r="AL2601" i="1"/>
  <c r="AM2601" i="1"/>
  <c r="A2602" i="1"/>
  <c r="B2602" i="1"/>
  <c r="C2602" i="1"/>
  <c r="D2602" i="1"/>
  <c r="E2602" i="1"/>
  <c r="F2602" i="1"/>
  <c r="G2602" i="1"/>
  <c r="H2602" i="1"/>
  <c r="I2602" i="1"/>
  <c r="J2602" i="1"/>
  <c r="K2602" i="1"/>
  <c r="L2602" i="1"/>
  <c r="M2602" i="1"/>
  <c r="N2602" i="1"/>
  <c r="O2602" i="1"/>
  <c r="P2602" i="1"/>
  <c r="Q2602" i="1"/>
  <c r="R2602" i="1"/>
  <c r="S2602" i="1"/>
  <c r="T2602" i="1"/>
  <c r="U2602" i="1"/>
  <c r="V2602" i="1"/>
  <c r="W2602" i="1"/>
  <c r="X2602" i="1"/>
  <c r="Y2602" i="1"/>
  <c r="Z2602" i="1"/>
  <c r="AA2602" i="1"/>
  <c r="AB2602" i="1"/>
  <c r="AC2602" i="1"/>
  <c r="AD2602" i="1"/>
  <c r="AE2602" i="1"/>
  <c r="AF2602" i="1"/>
  <c r="AG2602" i="1"/>
  <c r="AH2602" i="1"/>
  <c r="AI2602" i="1"/>
  <c r="AJ2602" i="1"/>
  <c r="AK2602" i="1"/>
  <c r="AL2602" i="1"/>
  <c r="AM2602" i="1"/>
  <c r="A2603" i="1"/>
  <c r="B2603" i="1"/>
  <c r="C2603" i="1"/>
  <c r="D2603" i="1"/>
  <c r="E2603" i="1"/>
  <c r="F2603" i="1"/>
  <c r="G2603" i="1"/>
  <c r="H2603" i="1"/>
  <c r="I2603" i="1"/>
  <c r="J2603" i="1"/>
  <c r="K2603" i="1"/>
  <c r="L2603" i="1"/>
  <c r="M2603" i="1"/>
  <c r="N2603" i="1"/>
  <c r="O2603" i="1"/>
  <c r="P2603" i="1"/>
  <c r="Q2603" i="1"/>
  <c r="R2603" i="1"/>
  <c r="S2603" i="1"/>
  <c r="T2603" i="1"/>
  <c r="U2603" i="1"/>
  <c r="V2603" i="1"/>
  <c r="W2603" i="1"/>
  <c r="X2603" i="1"/>
  <c r="Y2603" i="1"/>
  <c r="Z2603" i="1"/>
  <c r="AA2603" i="1"/>
  <c r="AB2603" i="1"/>
  <c r="AC2603" i="1"/>
  <c r="AD2603" i="1"/>
  <c r="AE2603" i="1"/>
  <c r="AF2603" i="1"/>
  <c r="AG2603" i="1"/>
  <c r="AH2603" i="1"/>
  <c r="AI2603" i="1"/>
  <c r="AJ2603" i="1"/>
  <c r="AK2603" i="1"/>
  <c r="AL2603" i="1"/>
  <c r="AM2603" i="1"/>
  <c r="A2604" i="1"/>
  <c r="B2604" i="1"/>
  <c r="C2604" i="1"/>
  <c r="D2604" i="1"/>
  <c r="E2604" i="1"/>
  <c r="F2604" i="1"/>
  <c r="G2604" i="1"/>
  <c r="H2604" i="1"/>
  <c r="I2604" i="1"/>
  <c r="J2604" i="1"/>
  <c r="K2604" i="1"/>
  <c r="L2604" i="1"/>
  <c r="M2604" i="1"/>
  <c r="N2604" i="1"/>
  <c r="O2604" i="1"/>
  <c r="P2604" i="1"/>
  <c r="Q2604" i="1"/>
  <c r="R2604" i="1"/>
  <c r="S2604" i="1"/>
  <c r="T2604" i="1"/>
  <c r="U2604" i="1"/>
  <c r="V2604" i="1"/>
  <c r="W2604" i="1"/>
  <c r="X2604" i="1"/>
  <c r="Y2604" i="1"/>
  <c r="Z2604" i="1"/>
  <c r="AA2604" i="1"/>
  <c r="AB2604" i="1"/>
  <c r="AC2604" i="1"/>
  <c r="AD2604" i="1"/>
  <c r="AE2604" i="1"/>
  <c r="AF2604" i="1"/>
  <c r="AG2604" i="1"/>
  <c r="AH2604" i="1"/>
  <c r="AI2604" i="1"/>
  <c r="AJ2604" i="1"/>
  <c r="AK2604" i="1"/>
  <c r="AL2604" i="1"/>
  <c r="AM2604" i="1"/>
  <c r="A2605" i="1"/>
  <c r="B2605" i="1"/>
  <c r="C2605" i="1"/>
  <c r="D2605" i="1"/>
  <c r="E2605" i="1"/>
  <c r="F2605" i="1"/>
  <c r="G2605" i="1"/>
  <c r="H2605" i="1"/>
  <c r="I2605" i="1"/>
  <c r="J2605" i="1"/>
  <c r="K2605" i="1"/>
  <c r="L2605" i="1"/>
  <c r="M2605" i="1"/>
  <c r="N2605" i="1"/>
  <c r="O2605" i="1"/>
  <c r="P2605" i="1"/>
  <c r="Q2605" i="1"/>
  <c r="R2605" i="1"/>
  <c r="S2605" i="1"/>
  <c r="T2605" i="1"/>
  <c r="U2605" i="1"/>
  <c r="V2605" i="1"/>
  <c r="W2605" i="1"/>
  <c r="X2605" i="1"/>
  <c r="Y2605" i="1"/>
  <c r="Z2605" i="1"/>
  <c r="AA2605" i="1"/>
  <c r="AB2605" i="1"/>
  <c r="AC2605" i="1"/>
  <c r="AD2605" i="1"/>
  <c r="AE2605" i="1"/>
  <c r="AF2605" i="1"/>
  <c r="AG2605" i="1"/>
  <c r="AH2605" i="1"/>
  <c r="AI2605" i="1"/>
  <c r="AJ2605" i="1"/>
  <c r="AK2605" i="1"/>
  <c r="AL2605" i="1"/>
  <c r="AM2605" i="1"/>
  <c r="A2606" i="1"/>
  <c r="B2606" i="1"/>
  <c r="C2606" i="1"/>
  <c r="D2606" i="1"/>
  <c r="E2606" i="1"/>
  <c r="F2606" i="1"/>
  <c r="G2606" i="1"/>
  <c r="H2606" i="1"/>
  <c r="I2606" i="1"/>
  <c r="J2606" i="1"/>
  <c r="K2606" i="1"/>
  <c r="L2606" i="1"/>
  <c r="M2606" i="1"/>
  <c r="N2606" i="1"/>
  <c r="O2606" i="1"/>
  <c r="P2606" i="1"/>
  <c r="Q2606" i="1"/>
  <c r="R2606" i="1"/>
  <c r="S2606" i="1"/>
  <c r="T2606" i="1"/>
  <c r="U2606" i="1"/>
  <c r="V2606" i="1"/>
  <c r="W2606" i="1"/>
  <c r="X2606" i="1"/>
  <c r="Y2606" i="1"/>
  <c r="Z2606" i="1"/>
  <c r="AA2606" i="1"/>
  <c r="AB2606" i="1"/>
  <c r="AC2606" i="1"/>
  <c r="AD2606" i="1"/>
  <c r="AE2606" i="1"/>
  <c r="AF2606" i="1"/>
  <c r="AG2606" i="1"/>
  <c r="AH2606" i="1"/>
  <c r="AI2606" i="1"/>
  <c r="AJ2606" i="1"/>
  <c r="AK2606" i="1"/>
  <c r="AL2606" i="1"/>
  <c r="AM2606" i="1"/>
  <c r="A2607" i="1"/>
  <c r="B2607" i="1"/>
  <c r="C2607" i="1"/>
  <c r="D2607" i="1"/>
  <c r="E2607" i="1"/>
  <c r="F2607" i="1"/>
  <c r="G2607" i="1"/>
  <c r="H2607" i="1"/>
  <c r="I2607" i="1"/>
  <c r="J2607" i="1"/>
  <c r="K2607" i="1"/>
  <c r="L2607" i="1"/>
  <c r="M2607" i="1"/>
  <c r="N2607" i="1"/>
  <c r="O2607" i="1"/>
  <c r="P2607" i="1"/>
  <c r="Q2607" i="1"/>
  <c r="R2607" i="1"/>
  <c r="S2607" i="1"/>
  <c r="T2607" i="1"/>
  <c r="U2607" i="1"/>
  <c r="V2607" i="1"/>
  <c r="W2607" i="1"/>
  <c r="X2607" i="1"/>
  <c r="Y2607" i="1"/>
  <c r="Z2607" i="1"/>
  <c r="AA2607" i="1"/>
  <c r="AB2607" i="1"/>
  <c r="AC2607" i="1"/>
  <c r="AD2607" i="1"/>
  <c r="AE2607" i="1"/>
  <c r="AF2607" i="1"/>
  <c r="AG2607" i="1"/>
  <c r="AH2607" i="1"/>
  <c r="AI2607" i="1"/>
  <c r="AJ2607" i="1"/>
  <c r="AK2607" i="1"/>
  <c r="AL2607" i="1"/>
  <c r="AM2607" i="1"/>
  <c r="A2608" i="1"/>
  <c r="B2608" i="1"/>
  <c r="C2608" i="1"/>
  <c r="D2608" i="1"/>
  <c r="E2608" i="1"/>
  <c r="F2608" i="1"/>
  <c r="G2608" i="1"/>
  <c r="H2608" i="1"/>
  <c r="I2608" i="1"/>
  <c r="J2608" i="1"/>
  <c r="K2608" i="1"/>
  <c r="L2608" i="1"/>
  <c r="M2608" i="1"/>
  <c r="N2608" i="1"/>
  <c r="O2608" i="1"/>
  <c r="P2608" i="1"/>
  <c r="Q2608" i="1"/>
  <c r="R2608" i="1"/>
  <c r="S2608" i="1"/>
  <c r="T2608" i="1"/>
  <c r="U2608" i="1"/>
  <c r="V2608" i="1"/>
  <c r="W2608" i="1"/>
  <c r="X2608" i="1"/>
  <c r="Y2608" i="1"/>
  <c r="Z2608" i="1"/>
  <c r="AA2608" i="1"/>
  <c r="AB2608" i="1"/>
  <c r="AC2608" i="1"/>
  <c r="AD2608" i="1"/>
  <c r="AE2608" i="1"/>
  <c r="AF2608" i="1"/>
  <c r="AG2608" i="1"/>
  <c r="AH2608" i="1"/>
  <c r="AI2608" i="1"/>
  <c r="AJ2608" i="1"/>
  <c r="AK2608" i="1"/>
  <c r="AL2608" i="1"/>
  <c r="AM2608" i="1"/>
  <c r="A2609" i="1"/>
  <c r="B2609" i="1"/>
  <c r="C2609" i="1"/>
  <c r="D2609" i="1"/>
  <c r="E2609" i="1"/>
  <c r="F2609" i="1"/>
  <c r="G2609" i="1"/>
  <c r="H2609" i="1"/>
  <c r="I2609" i="1"/>
  <c r="J2609" i="1"/>
  <c r="K2609" i="1"/>
  <c r="L2609" i="1"/>
  <c r="M2609" i="1"/>
  <c r="N2609" i="1"/>
  <c r="O2609" i="1"/>
  <c r="P2609" i="1"/>
  <c r="Q2609" i="1"/>
  <c r="R2609" i="1"/>
  <c r="S2609" i="1"/>
  <c r="T2609" i="1"/>
  <c r="U2609" i="1"/>
  <c r="V2609" i="1"/>
  <c r="W2609" i="1"/>
  <c r="X2609" i="1"/>
  <c r="Y2609" i="1"/>
  <c r="Z2609" i="1"/>
  <c r="AA2609" i="1"/>
  <c r="AB2609" i="1"/>
  <c r="AC2609" i="1"/>
  <c r="AD2609" i="1"/>
  <c r="AE2609" i="1"/>
  <c r="AF2609" i="1"/>
  <c r="AG2609" i="1"/>
  <c r="AH2609" i="1"/>
  <c r="AI2609" i="1"/>
  <c r="AJ2609" i="1"/>
  <c r="AK2609" i="1"/>
  <c r="AL2609" i="1"/>
  <c r="AM2609" i="1"/>
  <c r="A2610" i="1"/>
  <c r="B2610" i="1"/>
  <c r="C2610" i="1"/>
  <c r="D2610" i="1"/>
  <c r="E2610" i="1"/>
  <c r="F2610" i="1"/>
  <c r="G2610" i="1"/>
  <c r="H2610" i="1"/>
  <c r="I2610" i="1"/>
  <c r="J2610" i="1"/>
  <c r="K2610" i="1"/>
  <c r="L2610" i="1"/>
  <c r="M2610" i="1"/>
  <c r="N2610" i="1"/>
  <c r="O2610" i="1"/>
  <c r="P2610" i="1"/>
  <c r="Q2610" i="1"/>
  <c r="R2610" i="1"/>
  <c r="S2610" i="1"/>
  <c r="T2610" i="1"/>
  <c r="U2610" i="1"/>
  <c r="V2610" i="1"/>
  <c r="W2610" i="1"/>
  <c r="X2610" i="1"/>
  <c r="Y2610" i="1"/>
  <c r="Z2610" i="1"/>
  <c r="AA2610" i="1"/>
  <c r="AB2610" i="1"/>
  <c r="AC2610" i="1"/>
  <c r="AD2610" i="1"/>
  <c r="AE2610" i="1"/>
  <c r="AF2610" i="1"/>
  <c r="AG2610" i="1"/>
  <c r="AH2610" i="1"/>
  <c r="AI2610" i="1"/>
  <c r="AJ2610" i="1"/>
  <c r="AK2610" i="1"/>
  <c r="AL2610" i="1"/>
  <c r="AM2610" i="1"/>
  <c r="A2611" i="1"/>
  <c r="B2611" i="1"/>
  <c r="C2611" i="1"/>
  <c r="D2611" i="1"/>
  <c r="E2611" i="1"/>
  <c r="F2611" i="1"/>
  <c r="G2611" i="1"/>
  <c r="H2611" i="1"/>
  <c r="I2611" i="1"/>
  <c r="J2611" i="1"/>
  <c r="K2611" i="1"/>
  <c r="L2611" i="1"/>
  <c r="M2611" i="1"/>
  <c r="N2611" i="1"/>
  <c r="O2611" i="1"/>
  <c r="P2611" i="1"/>
  <c r="Q2611" i="1"/>
  <c r="R2611" i="1"/>
  <c r="S2611" i="1"/>
  <c r="T2611" i="1"/>
  <c r="U2611" i="1"/>
  <c r="V2611" i="1"/>
  <c r="W2611" i="1"/>
  <c r="X2611" i="1"/>
  <c r="Y2611" i="1"/>
  <c r="Z2611" i="1"/>
  <c r="AA2611" i="1"/>
  <c r="AB2611" i="1"/>
  <c r="AC2611" i="1"/>
  <c r="AD2611" i="1"/>
  <c r="AE2611" i="1"/>
  <c r="AF2611" i="1"/>
  <c r="AG2611" i="1"/>
  <c r="AH2611" i="1"/>
  <c r="AI2611" i="1"/>
  <c r="AJ2611" i="1"/>
  <c r="AK2611" i="1"/>
  <c r="AL2611" i="1"/>
  <c r="AM2611" i="1"/>
  <c r="A2612" i="1"/>
  <c r="B2612" i="1"/>
  <c r="C2612" i="1"/>
  <c r="D2612" i="1"/>
  <c r="E2612" i="1"/>
  <c r="F2612" i="1"/>
  <c r="G2612" i="1"/>
  <c r="H2612" i="1"/>
  <c r="I2612" i="1"/>
  <c r="J2612" i="1"/>
  <c r="K2612" i="1"/>
  <c r="L2612" i="1"/>
  <c r="M2612" i="1"/>
  <c r="N2612" i="1"/>
  <c r="O2612" i="1"/>
  <c r="P2612" i="1"/>
  <c r="Q2612" i="1"/>
  <c r="R2612" i="1"/>
  <c r="S2612" i="1"/>
  <c r="T2612" i="1"/>
  <c r="U2612" i="1"/>
  <c r="V2612" i="1"/>
  <c r="W2612" i="1"/>
  <c r="X2612" i="1"/>
  <c r="Y2612" i="1"/>
  <c r="Z2612" i="1"/>
  <c r="AA2612" i="1"/>
  <c r="AB2612" i="1"/>
  <c r="AC2612" i="1"/>
  <c r="AD2612" i="1"/>
  <c r="AE2612" i="1"/>
  <c r="AF2612" i="1"/>
  <c r="AG2612" i="1"/>
  <c r="AH2612" i="1"/>
  <c r="AI2612" i="1"/>
  <c r="AJ2612" i="1"/>
  <c r="AK2612" i="1"/>
  <c r="AL2612" i="1"/>
  <c r="AM2612" i="1"/>
  <c r="A2613" i="1"/>
  <c r="B2613" i="1"/>
  <c r="C2613" i="1"/>
  <c r="D2613" i="1"/>
  <c r="E2613" i="1"/>
  <c r="F2613" i="1"/>
  <c r="G2613" i="1"/>
  <c r="H2613" i="1"/>
  <c r="I2613" i="1"/>
  <c r="J2613" i="1"/>
  <c r="K2613" i="1"/>
  <c r="L2613" i="1"/>
  <c r="M2613" i="1"/>
  <c r="N2613" i="1"/>
  <c r="O2613" i="1"/>
  <c r="P2613" i="1"/>
  <c r="Q2613" i="1"/>
  <c r="R2613" i="1"/>
  <c r="S2613" i="1"/>
  <c r="T2613" i="1"/>
  <c r="U2613" i="1"/>
  <c r="V2613" i="1"/>
  <c r="W2613" i="1"/>
  <c r="X2613" i="1"/>
  <c r="Y2613" i="1"/>
  <c r="Z2613" i="1"/>
  <c r="AA2613" i="1"/>
  <c r="AB2613" i="1"/>
  <c r="AC2613" i="1"/>
  <c r="AD2613" i="1"/>
  <c r="AE2613" i="1"/>
  <c r="AF2613" i="1"/>
  <c r="AG2613" i="1"/>
  <c r="AH2613" i="1"/>
  <c r="AI2613" i="1"/>
  <c r="AJ2613" i="1"/>
  <c r="AK2613" i="1"/>
  <c r="AL2613" i="1"/>
  <c r="AM2613" i="1"/>
  <c r="A2614" i="1"/>
  <c r="B2614" i="1"/>
  <c r="C2614" i="1"/>
  <c r="D2614" i="1"/>
  <c r="E2614" i="1"/>
  <c r="F2614" i="1"/>
  <c r="G2614" i="1"/>
  <c r="H2614" i="1"/>
  <c r="I2614" i="1"/>
  <c r="J2614" i="1"/>
  <c r="K2614" i="1"/>
  <c r="L2614" i="1"/>
  <c r="M2614" i="1"/>
  <c r="N2614" i="1"/>
  <c r="O2614" i="1"/>
  <c r="P2614" i="1"/>
  <c r="Q2614" i="1"/>
  <c r="R2614" i="1"/>
  <c r="S2614" i="1"/>
  <c r="T2614" i="1"/>
  <c r="U2614" i="1"/>
  <c r="V2614" i="1"/>
  <c r="W2614" i="1"/>
  <c r="X2614" i="1"/>
  <c r="Y2614" i="1"/>
  <c r="Z2614" i="1"/>
  <c r="AA2614" i="1"/>
  <c r="AB2614" i="1"/>
  <c r="AC2614" i="1"/>
  <c r="AD2614" i="1"/>
  <c r="AE2614" i="1"/>
  <c r="AF2614" i="1"/>
  <c r="AG2614" i="1"/>
  <c r="AH2614" i="1"/>
  <c r="AI2614" i="1"/>
  <c r="AJ2614" i="1"/>
  <c r="AK2614" i="1"/>
  <c r="AL2614" i="1"/>
  <c r="AM2614" i="1"/>
  <c r="A2615" i="1"/>
  <c r="B2615" i="1"/>
  <c r="C2615" i="1"/>
  <c r="D2615" i="1"/>
  <c r="E2615" i="1"/>
  <c r="F2615" i="1"/>
  <c r="G2615" i="1"/>
  <c r="H2615" i="1"/>
  <c r="I2615" i="1"/>
  <c r="J2615" i="1"/>
  <c r="K2615" i="1"/>
  <c r="L2615" i="1"/>
  <c r="M2615" i="1"/>
  <c r="N2615" i="1"/>
  <c r="O2615" i="1"/>
  <c r="P2615" i="1"/>
  <c r="Q2615" i="1"/>
  <c r="R2615" i="1"/>
  <c r="S2615" i="1"/>
  <c r="T2615" i="1"/>
  <c r="U2615" i="1"/>
  <c r="V2615" i="1"/>
  <c r="W2615" i="1"/>
  <c r="X2615" i="1"/>
  <c r="Y2615" i="1"/>
  <c r="Z2615" i="1"/>
  <c r="AA2615" i="1"/>
  <c r="AB2615" i="1"/>
  <c r="AC2615" i="1"/>
  <c r="AD2615" i="1"/>
  <c r="AE2615" i="1"/>
  <c r="AF2615" i="1"/>
  <c r="AG2615" i="1"/>
  <c r="AH2615" i="1"/>
  <c r="AI2615" i="1"/>
  <c r="AJ2615" i="1"/>
  <c r="AK2615" i="1"/>
  <c r="AL2615" i="1"/>
  <c r="AM2615" i="1"/>
  <c r="A2616" i="1"/>
  <c r="B2616" i="1"/>
  <c r="C2616" i="1"/>
  <c r="D2616" i="1"/>
  <c r="E2616" i="1"/>
  <c r="F2616" i="1"/>
  <c r="G2616" i="1"/>
  <c r="H2616" i="1"/>
  <c r="I2616" i="1"/>
  <c r="J2616" i="1"/>
  <c r="K2616" i="1"/>
  <c r="L2616" i="1"/>
  <c r="M2616" i="1"/>
  <c r="N2616" i="1"/>
  <c r="O2616" i="1"/>
  <c r="P2616" i="1"/>
  <c r="Q2616" i="1"/>
  <c r="R2616" i="1"/>
  <c r="S2616" i="1"/>
  <c r="T2616" i="1"/>
  <c r="U2616" i="1"/>
  <c r="V2616" i="1"/>
  <c r="W2616" i="1"/>
  <c r="X2616" i="1"/>
  <c r="Y2616" i="1"/>
  <c r="Z2616" i="1"/>
  <c r="AA2616" i="1"/>
  <c r="AB2616" i="1"/>
  <c r="AC2616" i="1"/>
  <c r="AD2616" i="1"/>
  <c r="AE2616" i="1"/>
  <c r="AF2616" i="1"/>
  <c r="AG2616" i="1"/>
  <c r="AH2616" i="1"/>
  <c r="AI2616" i="1"/>
  <c r="AJ2616" i="1"/>
  <c r="AK2616" i="1"/>
  <c r="AL2616" i="1"/>
  <c r="AM2616" i="1"/>
  <c r="A2617" i="1"/>
  <c r="B2617" i="1"/>
  <c r="C2617" i="1"/>
  <c r="D2617" i="1"/>
  <c r="E2617" i="1"/>
  <c r="F2617" i="1"/>
  <c r="G2617" i="1"/>
  <c r="H2617" i="1"/>
  <c r="I2617" i="1"/>
  <c r="J2617" i="1"/>
  <c r="K2617" i="1"/>
  <c r="L2617" i="1"/>
  <c r="M2617" i="1"/>
  <c r="N2617" i="1"/>
  <c r="O2617" i="1"/>
  <c r="P2617" i="1"/>
  <c r="Q2617" i="1"/>
  <c r="R2617" i="1"/>
  <c r="S2617" i="1"/>
  <c r="T2617" i="1"/>
  <c r="U2617" i="1"/>
  <c r="V2617" i="1"/>
  <c r="W2617" i="1"/>
  <c r="X2617" i="1"/>
  <c r="Y2617" i="1"/>
  <c r="Z2617" i="1"/>
  <c r="AA2617" i="1"/>
  <c r="AB2617" i="1"/>
  <c r="AC2617" i="1"/>
  <c r="AD2617" i="1"/>
  <c r="AE2617" i="1"/>
  <c r="AF2617" i="1"/>
  <c r="AG2617" i="1"/>
  <c r="AH2617" i="1"/>
  <c r="AI2617" i="1"/>
  <c r="AJ2617" i="1"/>
  <c r="AK2617" i="1"/>
  <c r="AL2617" i="1"/>
  <c r="AM2617" i="1"/>
  <c r="A2618" i="1"/>
  <c r="B2618" i="1"/>
  <c r="C2618" i="1"/>
  <c r="D2618" i="1"/>
  <c r="E2618" i="1"/>
  <c r="F2618" i="1"/>
  <c r="G2618" i="1"/>
  <c r="H2618" i="1"/>
  <c r="I2618" i="1"/>
  <c r="J2618" i="1"/>
  <c r="K2618" i="1"/>
  <c r="L2618" i="1"/>
  <c r="M2618" i="1"/>
  <c r="N2618" i="1"/>
  <c r="O2618" i="1"/>
  <c r="P2618" i="1"/>
  <c r="Q2618" i="1"/>
  <c r="R2618" i="1"/>
  <c r="S2618" i="1"/>
  <c r="T2618" i="1"/>
  <c r="U2618" i="1"/>
  <c r="V2618" i="1"/>
  <c r="W2618" i="1"/>
  <c r="X2618" i="1"/>
  <c r="Y2618" i="1"/>
  <c r="Z2618" i="1"/>
  <c r="AA2618" i="1"/>
  <c r="AB2618" i="1"/>
  <c r="AC2618" i="1"/>
  <c r="AD2618" i="1"/>
  <c r="AE2618" i="1"/>
  <c r="AF2618" i="1"/>
  <c r="AG2618" i="1"/>
  <c r="AH2618" i="1"/>
  <c r="AI2618" i="1"/>
  <c r="AJ2618" i="1"/>
  <c r="AK2618" i="1"/>
  <c r="AL2618" i="1"/>
  <c r="AM2618" i="1"/>
  <c r="A2619" i="1"/>
  <c r="B2619" i="1"/>
  <c r="C2619" i="1"/>
  <c r="D2619" i="1"/>
  <c r="E2619" i="1"/>
  <c r="F2619" i="1"/>
  <c r="G2619" i="1"/>
  <c r="H2619" i="1"/>
  <c r="I2619" i="1"/>
  <c r="J2619" i="1"/>
  <c r="K2619" i="1"/>
  <c r="L2619" i="1"/>
  <c r="M2619" i="1"/>
  <c r="N2619" i="1"/>
  <c r="O2619" i="1"/>
  <c r="P2619" i="1"/>
  <c r="Q2619" i="1"/>
  <c r="R2619" i="1"/>
  <c r="S2619" i="1"/>
  <c r="T2619" i="1"/>
  <c r="U2619" i="1"/>
  <c r="V2619" i="1"/>
  <c r="W2619" i="1"/>
  <c r="X2619" i="1"/>
  <c r="Y2619" i="1"/>
  <c r="Z2619" i="1"/>
  <c r="AA2619" i="1"/>
  <c r="AB2619" i="1"/>
  <c r="AC2619" i="1"/>
  <c r="AD2619" i="1"/>
  <c r="AE2619" i="1"/>
  <c r="AF2619" i="1"/>
  <c r="AG2619" i="1"/>
  <c r="AH2619" i="1"/>
  <c r="AI2619" i="1"/>
  <c r="AJ2619" i="1"/>
  <c r="AK2619" i="1"/>
  <c r="AL2619" i="1"/>
  <c r="AM2619" i="1"/>
  <c r="A2620" i="1"/>
  <c r="B2620" i="1"/>
  <c r="C2620" i="1"/>
  <c r="D2620" i="1"/>
  <c r="E2620" i="1"/>
  <c r="F2620" i="1"/>
  <c r="G2620" i="1"/>
  <c r="H2620" i="1"/>
  <c r="I2620" i="1"/>
  <c r="J2620" i="1"/>
  <c r="K2620" i="1"/>
  <c r="L2620" i="1"/>
  <c r="M2620" i="1"/>
  <c r="N2620" i="1"/>
  <c r="O2620" i="1"/>
  <c r="P2620" i="1"/>
  <c r="Q2620" i="1"/>
  <c r="R2620" i="1"/>
  <c r="S2620" i="1"/>
  <c r="T2620" i="1"/>
  <c r="U2620" i="1"/>
  <c r="V2620" i="1"/>
  <c r="W2620" i="1"/>
  <c r="X2620" i="1"/>
  <c r="Y2620" i="1"/>
  <c r="Z2620" i="1"/>
  <c r="AA2620" i="1"/>
  <c r="AB2620" i="1"/>
  <c r="AC2620" i="1"/>
  <c r="AD2620" i="1"/>
  <c r="AE2620" i="1"/>
  <c r="AF2620" i="1"/>
  <c r="AG2620" i="1"/>
  <c r="AH2620" i="1"/>
  <c r="AI2620" i="1"/>
  <c r="AJ2620" i="1"/>
  <c r="AK2620" i="1"/>
  <c r="AL2620" i="1"/>
  <c r="AM2620" i="1"/>
  <c r="A2621" i="1"/>
  <c r="B2621" i="1"/>
  <c r="C2621" i="1"/>
  <c r="D2621" i="1"/>
  <c r="E2621" i="1"/>
  <c r="F2621" i="1"/>
  <c r="G2621" i="1"/>
  <c r="H2621" i="1"/>
  <c r="I2621" i="1"/>
  <c r="J2621" i="1"/>
  <c r="K2621" i="1"/>
  <c r="L2621" i="1"/>
  <c r="M2621" i="1"/>
  <c r="N2621" i="1"/>
  <c r="O2621" i="1"/>
  <c r="P2621" i="1"/>
  <c r="Q2621" i="1"/>
  <c r="R2621" i="1"/>
  <c r="S2621" i="1"/>
  <c r="T2621" i="1"/>
  <c r="U2621" i="1"/>
  <c r="V2621" i="1"/>
  <c r="W2621" i="1"/>
  <c r="X2621" i="1"/>
  <c r="Y2621" i="1"/>
  <c r="Z2621" i="1"/>
  <c r="AA2621" i="1"/>
  <c r="AB2621" i="1"/>
  <c r="AC2621" i="1"/>
  <c r="AD2621" i="1"/>
  <c r="AE2621" i="1"/>
  <c r="AF2621" i="1"/>
  <c r="AG2621" i="1"/>
  <c r="AH2621" i="1"/>
  <c r="AI2621" i="1"/>
  <c r="AJ2621" i="1"/>
  <c r="AK2621" i="1"/>
  <c r="AL2621" i="1"/>
  <c r="AM2621" i="1"/>
  <c r="A2622" i="1"/>
  <c r="B2622" i="1"/>
  <c r="C2622" i="1"/>
  <c r="D2622" i="1"/>
  <c r="E2622" i="1"/>
  <c r="F2622" i="1"/>
  <c r="G2622" i="1"/>
  <c r="H2622" i="1"/>
  <c r="I2622" i="1"/>
  <c r="J2622" i="1"/>
  <c r="K2622" i="1"/>
  <c r="L2622" i="1"/>
  <c r="M2622" i="1"/>
  <c r="N2622" i="1"/>
  <c r="O2622" i="1"/>
  <c r="P2622" i="1"/>
  <c r="Q2622" i="1"/>
  <c r="R2622" i="1"/>
  <c r="S2622" i="1"/>
  <c r="T2622" i="1"/>
  <c r="U2622" i="1"/>
  <c r="V2622" i="1"/>
  <c r="W2622" i="1"/>
  <c r="X2622" i="1"/>
  <c r="Y2622" i="1"/>
  <c r="Z2622" i="1"/>
  <c r="AA2622" i="1"/>
  <c r="AB2622" i="1"/>
  <c r="AC2622" i="1"/>
  <c r="AD2622" i="1"/>
  <c r="AE2622" i="1"/>
  <c r="AF2622" i="1"/>
  <c r="AG2622" i="1"/>
  <c r="AH2622" i="1"/>
  <c r="AI2622" i="1"/>
  <c r="AJ2622" i="1"/>
  <c r="AK2622" i="1"/>
  <c r="AL2622" i="1"/>
  <c r="AM2622" i="1"/>
  <c r="A2623" i="1"/>
  <c r="B2623" i="1"/>
  <c r="C2623" i="1"/>
  <c r="D2623" i="1"/>
  <c r="E2623" i="1"/>
  <c r="F2623" i="1"/>
  <c r="G2623" i="1"/>
  <c r="H2623" i="1"/>
  <c r="I2623" i="1"/>
  <c r="J2623" i="1"/>
  <c r="K2623" i="1"/>
  <c r="L2623" i="1"/>
  <c r="M2623" i="1"/>
  <c r="N2623" i="1"/>
  <c r="O2623" i="1"/>
  <c r="P2623" i="1"/>
  <c r="Q2623" i="1"/>
  <c r="R2623" i="1"/>
  <c r="S2623" i="1"/>
  <c r="T2623" i="1"/>
  <c r="U2623" i="1"/>
  <c r="V2623" i="1"/>
  <c r="W2623" i="1"/>
  <c r="X2623" i="1"/>
  <c r="Y2623" i="1"/>
  <c r="Z2623" i="1"/>
  <c r="AA2623" i="1"/>
  <c r="AB2623" i="1"/>
  <c r="AC2623" i="1"/>
  <c r="AD2623" i="1"/>
  <c r="AE2623" i="1"/>
  <c r="AF2623" i="1"/>
  <c r="AG2623" i="1"/>
  <c r="AH2623" i="1"/>
  <c r="AI2623" i="1"/>
  <c r="AJ2623" i="1"/>
  <c r="AK2623" i="1"/>
  <c r="AL2623" i="1"/>
  <c r="AM2623" i="1"/>
  <c r="A2624" i="1"/>
  <c r="B2624" i="1"/>
  <c r="C2624" i="1"/>
  <c r="D2624" i="1"/>
  <c r="E2624" i="1"/>
  <c r="F2624" i="1"/>
  <c r="G2624" i="1"/>
  <c r="H2624" i="1"/>
  <c r="I2624" i="1"/>
  <c r="J2624" i="1"/>
  <c r="K2624" i="1"/>
  <c r="L2624" i="1"/>
  <c r="M2624" i="1"/>
  <c r="N2624" i="1"/>
  <c r="O2624" i="1"/>
  <c r="P2624" i="1"/>
  <c r="Q2624" i="1"/>
  <c r="R2624" i="1"/>
  <c r="S2624" i="1"/>
  <c r="T2624" i="1"/>
  <c r="U2624" i="1"/>
  <c r="V2624" i="1"/>
  <c r="W2624" i="1"/>
  <c r="X2624" i="1"/>
  <c r="Y2624" i="1"/>
  <c r="Z2624" i="1"/>
  <c r="AA2624" i="1"/>
  <c r="AB2624" i="1"/>
  <c r="AC2624" i="1"/>
  <c r="AD2624" i="1"/>
  <c r="AE2624" i="1"/>
  <c r="AF2624" i="1"/>
  <c r="AG2624" i="1"/>
  <c r="AH2624" i="1"/>
  <c r="AI2624" i="1"/>
  <c r="AJ2624" i="1"/>
  <c r="AK2624" i="1"/>
  <c r="AL2624" i="1"/>
  <c r="AM2624" i="1"/>
  <c r="A2625" i="1"/>
  <c r="B2625" i="1"/>
  <c r="C2625" i="1"/>
  <c r="D2625" i="1"/>
  <c r="E2625" i="1"/>
  <c r="F2625" i="1"/>
  <c r="G2625" i="1"/>
  <c r="H2625" i="1"/>
  <c r="I2625" i="1"/>
  <c r="J2625" i="1"/>
  <c r="K2625" i="1"/>
  <c r="L2625" i="1"/>
  <c r="M2625" i="1"/>
  <c r="N2625" i="1"/>
  <c r="O2625" i="1"/>
  <c r="P2625" i="1"/>
  <c r="Q2625" i="1"/>
  <c r="R2625" i="1"/>
  <c r="S2625" i="1"/>
  <c r="T2625" i="1"/>
  <c r="U2625" i="1"/>
  <c r="V2625" i="1"/>
  <c r="W2625" i="1"/>
  <c r="X2625" i="1"/>
  <c r="Y2625" i="1"/>
  <c r="Z2625" i="1"/>
  <c r="AA2625" i="1"/>
  <c r="AB2625" i="1"/>
  <c r="AC2625" i="1"/>
  <c r="AD2625" i="1"/>
  <c r="AE2625" i="1"/>
  <c r="AF2625" i="1"/>
  <c r="AG2625" i="1"/>
  <c r="AH2625" i="1"/>
  <c r="AI2625" i="1"/>
  <c r="AJ2625" i="1"/>
  <c r="AK2625" i="1"/>
  <c r="AL2625" i="1"/>
  <c r="AM2625" i="1"/>
  <c r="A2626" i="1"/>
  <c r="B2626" i="1"/>
  <c r="C2626" i="1"/>
  <c r="D2626" i="1"/>
  <c r="E2626" i="1"/>
  <c r="F2626" i="1"/>
  <c r="G2626" i="1"/>
  <c r="H2626" i="1"/>
  <c r="I2626" i="1"/>
  <c r="J2626" i="1"/>
  <c r="K2626" i="1"/>
  <c r="L2626" i="1"/>
  <c r="M2626" i="1"/>
  <c r="N2626" i="1"/>
  <c r="O2626" i="1"/>
  <c r="P2626" i="1"/>
  <c r="Q2626" i="1"/>
  <c r="R2626" i="1"/>
  <c r="S2626" i="1"/>
  <c r="T2626" i="1"/>
  <c r="U2626" i="1"/>
  <c r="V2626" i="1"/>
  <c r="W2626" i="1"/>
  <c r="X2626" i="1"/>
  <c r="Y2626" i="1"/>
  <c r="Z2626" i="1"/>
  <c r="AA2626" i="1"/>
  <c r="AB2626" i="1"/>
  <c r="AC2626" i="1"/>
  <c r="AD2626" i="1"/>
  <c r="AE2626" i="1"/>
  <c r="AF2626" i="1"/>
  <c r="AG2626" i="1"/>
  <c r="AH2626" i="1"/>
  <c r="AI2626" i="1"/>
  <c r="AJ2626" i="1"/>
  <c r="AK2626" i="1"/>
  <c r="AL2626" i="1"/>
  <c r="AM2626" i="1"/>
  <c r="A2627" i="1"/>
  <c r="B2627" i="1"/>
  <c r="C2627" i="1"/>
  <c r="D2627" i="1"/>
  <c r="E2627" i="1"/>
  <c r="F2627" i="1"/>
  <c r="G2627" i="1"/>
  <c r="H2627" i="1"/>
  <c r="I2627" i="1"/>
  <c r="J2627" i="1"/>
  <c r="K2627" i="1"/>
  <c r="L2627" i="1"/>
  <c r="M2627" i="1"/>
  <c r="N2627" i="1"/>
  <c r="O2627" i="1"/>
  <c r="P2627" i="1"/>
  <c r="Q2627" i="1"/>
  <c r="R2627" i="1"/>
  <c r="S2627" i="1"/>
  <c r="T2627" i="1"/>
  <c r="U2627" i="1"/>
  <c r="V2627" i="1"/>
  <c r="W2627" i="1"/>
  <c r="X2627" i="1"/>
  <c r="Y2627" i="1"/>
  <c r="Z2627" i="1"/>
  <c r="AA2627" i="1"/>
  <c r="AB2627" i="1"/>
  <c r="AC2627" i="1"/>
  <c r="AD2627" i="1"/>
  <c r="AE2627" i="1"/>
  <c r="AF2627" i="1"/>
  <c r="AG2627" i="1"/>
  <c r="AH2627" i="1"/>
  <c r="AI2627" i="1"/>
  <c r="AJ2627" i="1"/>
  <c r="AK2627" i="1"/>
  <c r="AL2627" i="1"/>
  <c r="AM2627" i="1"/>
  <c r="A2628" i="1"/>
  <c r="B2628" i="1"/>
  <c r="C2628" i="1"/>
  <c r="D2628" i="1"/>
  <c r="E2628" i="1"/>
  <c r="F2628" i="1"/>
  <c r="G2628" i="1"/>
  <c r="H2628" i="1"/>
  <c r="I2628" i="1"/>
  <c r="J2628" i="1"/>
  <c r="K2628" i="1"/>
  <c r="L2628" i="1"/>
  <c r="M2628" i="1"/>
  <c r="N2628" i="1"/>
  <c r="O2628" i="1"/>
  <c r="P2628" i="1"/>
  <c r="Q2628" i="1"/>
  <c r="R2628" i="1"/>
  <c r="S2628" i="1"/>
  <c r="T2628" i="1"/>
  <c r="U2628" i="1"/>
  <c r="V2628" i="1"/>
  <c r="W2628" i="1"/>
  <c r="X2628" i="1"/>
  <c r="Y2628" i="1"/>
  <c r="Z2628" i="1"/>
  <c r="AA2628" i="1"/>
  <c r="AB2628" i="1"/>
  <c r="AC2628" i="1"/>
  <c r="AD2628" i="1"/>
  <c r="AE2628" i="1"/>
  <c r="AF2628" i="1"/>
  <c r="AG2628" i="1"/>
  <c r="AH2628" i="1"/>
  <c r="AI2628" i="1"/>
  <c r="AJ2628" i="1"/>
  <c r="AK2628" i="1"/>
  <c r="AL2628" i="1"/>
  <c r="AM2628" i="1"/>
  <c r="A2629" i="1"/>
  <c r="B2629" i="1"/>
  <c r="C2629" i="1"/>
  <c r="D2629" i="1"/>
  <c r="E2629" i="1"/>
  <c r="F2629" i="1"/>
  <c r="G2629" i="1"/>
  <c r="H2629" i="1"/>
  <c r="I2629" i="1"/>
  <c r="J2629" i="1"/>
  <c r="K2629" i="1"/>
  <c r="L2629" i="1"/>
  <c r="M2629" i="1"/>
  <c r="N2629" i="1"/>
  <c r="O2629" i="1"/>
  <c r="P2629" i="1"/>
  <c r="Q2629" i="1"/>
  <c r="R2629" i="1"/>
  <c r="S2629" i="1"/>
  <c r="T2629" i="1"/>
  <c r="U2629" i="1"/>
  <c r="V2629" i="1"/>
  <c r="W2629" i="1"/>
  <c r="X2629" i="1"/>
  <c r="Y2629" i="1"/>
  <c r="Z2629" i="1"/>
  <c r="AA2629" i="1"/>
  <c r="AB2629" i="1"/>
  <c r="AC2629" i="1"/>
  <c r="AD2629" i="1"/>
  <c r="AE2629" i="1"/>
  <c r="AF2629" i="1"/>
  <c r="AG2629" i="1"/>
  <c r="AH2629" i="1"/>
  <c r="AI2629" i="1"/>
  <c r="AJ2629" i="1"/>
  <c r="AK2629" i="1"/>
  <c r="AL2629" i="1"/>
  <c r="AM2629" i="1"/>
  <c r="A2630" i="1"/>
  <c r="B2630" i="1"/>
  <c r="C2630" i="1"/>
  <c r="D2630" i="1"/>
  <c r="E2630" i="1"/>
  <c r="F2630" i="1"/>
  <c r="G2630" i="1"/>
  <c r="H2630" i="1"/>
  <c r="I2630" i="1"/>
  <c r="J2630" i="1"/>
  <c r="K2630" i="1"/>
  <c r="L2630" i="1"/>
  <c r="M2630" i="1"/>
  <c r="N2630" i="1"/>
  <c r="O2630" i="1"/>
  <c r="P2630" i="1"/>
  <c r="Q2630" i="1"/>
  <c r="R2630" i="1"/>
  <c r="S2630" i="1"/>
  <c r="T2630" i="1"/>
  <c r="U2630" i="1"/>
  <c r="V2630" i="1"/>
  <c r="W2630" i="1"/>
  <c r="X2630" i="1"/>
  <c r="Y2630" i="1"/>
  <c r="Z2630" i="1"/>
  <c r="AA2630" i="1"/>
  <c r="AB2630" i="1"/>
  <c r="AC2630" i="1"/>
  <c r="AD2630" i="1"/>
  <c r="AE2630" i="1"/>
  <c r="AF2630" i="1"/>
  <c r="AG2630" i="1"/>
  <c r="AH2630" i="1"/>
  <c r="AI2630" i="1"/>
  <c r="AJ2630" i="1"/>
  <c r="AK2630" i="1"/>
  <c r="AL2630" i="1"/>
  <c r="AM2630" i="1"/>
  <c r="A2631" i="1"/>
  <c r="B2631" i="1"/>
  <c r="C2631" i="1"/>
  <c r="D2631" i="1"/>
  <c r="E2631" i="1"/>
  <c r="F2631" i="1"/>
  <c r="G2631" i="1"/>
  <c r="H2631" i="1"/>
  <c r="I2631" i="1"/>
  <c r="J2631" i="1"/>
  <c r="K2631" i="1"/>
  <c r="L2631" i="1"/>
  <c r="M2631" i="1"/>
  <c r="N2631" i="1"/>
  <c r="O2631" i="1"/>
  <c r="P2631" i="1"/>
  <c r="Q2631" i="1"/>
  <c r="R2631" i="1"/>
  <c r="S2631" i="1"/>
  <c r="T2631" i="1"/>
  <c r="U2631" i="1"/>
  <c r="V2631" i="1"/>
  <c r="W2631" i="1"/>
  <c r="X2631" i="1"/>
  <c r="Y2631" i="1"/>
  <c r="Z2631" i="1"/>
  <c r="AA2631" i="1"/>
  <c r="AB2631" i="1"/>
  <c r="AC2631" i="1"/>
  <c r="AD2631" i="1"/>
  <c r="AE2631" i="1"/>
  <c r="AF2631" i="1"/>
  <c r="AG2631" i="1"/>
  <c r="AH2631" i="1"/>
  <c r="AI2631" i="1"/>
  <c r="AJ2631" i="1"/>
  <c r="AK2631" i="1"/>
  <c r="AL2631" i="1"/>
  <c r="AM2631" i="1"/>
  <c r="A2632" i="1"/>
  <c r="B2632" i="1"/>
  <c r="C2632" i="1"/>
  <c r="D2632" i="1"/>
  <c r="E2632" i="1"/>
  <c r="F2632" i="1"/>
  <c r="G2632" i="1"/>
  <c r="H2632" i="1"/>
  <c r="I2632" i="1"/>
  <c r="J2632" i="1"/>
  <c r="K2632" i="1"/>
  <c r="L2632" i="1"/>
  <c r="M2632" i="1"/>
  <c r="N2632" i="1"/>
  <c r="O2632" i="1"/>
  <c r="P2632" i="1"/>
  <c r="Q2632" i="1"/>
  <c r="R2632" i="1"/>
  <c r="S2632" i="1"/>
  <c r="T2632" i="1"/>
  <c r="U2632" i="1"/>
  <c r="V2632" i="1"/>
  <c r="W2632" i="1"/>
  <c r="X2632" i="1"/>
  <c r="Y2632" i="1"/>
  <c r="Z2632" i="1"/>
  <c r="AA2632" i="1"/>
  <c r="AB2632" i="1"/>
  <c r="AC2632" i="1"/>
  <c r="AD2632" i="1"/>
  <c r="AE2632" i="1"/>
  <c r="AF2632" i="1"/>
  <c r="AG2632" i="1"/>
  <c r="AH2632" i="1"/>
  <c r="AI2632" i="1"/>
  <c r="AJ2632" i="1"/>
  <c r="AK2632" i="1"/>
  <c r="AL2632" i="1"/>
  <c r="AM2632" i="1"/>
  <c r="A2633" i="1"/>
  <c r="B2633" i="1"/>
  <c r="C2633" i="1"/>
  <c r="D2633" i="1"/>
  <c r="E2633" i="1"/>
  <c r="F2633" i="1"/>
  <c r="G2633" i="1"/>
  <c r="H2633" i="1"/>
  <c r="I2633" i="1"/>
  <c r="J2633" i="1"/>
  <c r="K2633" i="1"/>
  <c r="L2633" i="1"/>
  <c r="M2633" i="1"/>
  <c r="N2633" i="1"/>
  <c r="O2633" i="1"/>
  <c r="P2633" i="1"/>
  <c r="Q2633" i="1"/>
  <c r="R2633" i="1"/>
  <c r="S2633" i="1"/>
  <c r="T2633" i="1"/>
  <c r="U2633" i="1"/>
  <c r="V2633" i="1"/>
  <c r="W2633" i="1"/>
  <c r="X2633" i="1"/>
  <c r="Y2633" i="1"/>
  <c r="Z2633" i="1"/>
  <c r="AA2633" i="1"/>
  <c r="AB2633" i="1"/>
  <c r="AC2633" i="1"/>
  <c r="AD2633" i="1"/>
  <c r="AE2633" i="1"/>
  <c r="AF2633" i="1"/>
  <c r="AG2633" i="1"/>
  <c r="AH2633" i="1"/>
  <c r="AI2633" i="1"/>
  <c r="AJ2633" i="1"/>
  <c r="AK2633" i="1"/>
  <c r="AL2633" i="1"/>
  <c r="AM2633" i="1"/>
  <c r="A2634" i="1"/>
  <c r="B2634" i="1"/>
  <c r="C2634" i="1"/>
  <c r="D2634" i="1"/>
  <c r="E2634" i="1"/>
  <c r="F2634" i="1"/>
  <c r="G2634" i="1"/>
  <c r="H2634" i="1"/>
  <c r="I2634" i="1"/>
  <c r="J2634" i="1"/>
  <c r="K2634" i="1"/>
  <c r="L2634" i="1"/>
  <c r="M2634" i="1"/>
  <c r="N2634" i="1"/>
  <c r="O2634" i="1"/>
  <c r="P2634" i="1"/>
  <c r="Q2634" i="1"/>
  <c r="R2634" i="1"/>
  <c r="S2634" i="1"/>
  <c r="T2634" i="1"/>
  <c r="U2634" i="1"/>
  <c r="V2634" i="1"/>
  <c r="W2634" i="1"/>
  <c r="X2634" i="1"/>
  <c r="Y2634" i="1"/>
  <c r="Z2634" i="1"/>
  <c r="AA2634" i="1"/>
  <c r="AB2634" i="1"/>
  <c r="AC2634" i="1"/>
  <c r="AD2634" i="1"/>
  <c r="AE2634" i="1"/>
  <c r="AF2634" i="1"/>
  <c r="AG2634" i="1"/>
  <c r="AH2634" i="1"/>
  <c r="AI2634" i="1"/>
  <c r="AJ2634" i="1"/>
  <c r="AK2634" i="1"/>
  <c r="AL2634" i="1"/>
  <c r="AM2634" i="1"/>
  <c r="A2635" i="1"/>
  <c r="B2635" i="1"/>
  <c r="C2635" i="1"/>
  <c r="D2635" i="1"/>
  <c r="E2635" i="1"/>
  <c r="F2635" i="1"/>
  <c r="G2635" i="1"/>
  <c r="H2635" i="1"/>
  <c r="I2635" i="1"/>
  <c r="J2635" i="1"/>
  <c r="K2635" i="1"/>
  <c r="L2635" i="1"/>
  <c r="M2635" i="1"/>
  <c r="N2635" i="1"/>
  <c r="O2635" i="1"/>
  <c r="P2635" i="1"/>
  <c r="Q2635" i="1"/>
  <c r="R2635" i="1"/>
  <c r="S2635" i="1"/>
  <c r="T2635" i="1"/>
  <c r="U2635" i="1"/>
  <c r="V2635" i="1"/>
  <c r="W2635" i="1"/>
  <c r="X2635" i="1"/>
  <c r="Y2635" i="1"/>
  <c r="Z2635" i="1"/>
  <c r="AA2635" i="1"/>
  <c r="AB2635" i="1"/>
  <c r="AC2635" i="1"/>
  <c r="AD2635" i="1"/>
  <c r="AE2635" i="1"/>
  <c r="AF2635" i="1"/>
  <c r="AG2635" i="1"/>
  <c r="AH2635" i="1"/>
  <c r="AI2635" i="1"/>
  <c r="AJ2635" i="1"/>
  <c r="AK2635" i="1"/>
  <c r="AL2635" i="1"/>
  <c r="AM2635" i="1"/>
  <c r="A2636" i="1"/>
  <c r="B2636" i="1"/>
  <c r="C2636" i="1"/>
  <c r="D2636" i="1"/>
  <c r="E2636" i="1"/>
  <c r="F2636" i="1"/>
  <c r="G2636" i="1"/>
  <c r="H2636" i="1"/>
  <c r="I2636" i="1"/>
  <c r="J2636" i="1"/>
  <c r="K2636" i="1"/>
  <c r="L2636" i="1"/>
  <c r="M2636" i="1"/>
  <c r="N2636" i="1"/>
  <c r="O2636" i="1"/>
  <c r="P2636" i="1"/>
  <c r="Q2636" i="1"/>
  <c r="R2636" i="1"/>
  <c r="S2636" i="1"/>
  <c r="T2636" i="1"/>
  <c r="U2636" i="1"/>
  <c r="V2636" i="1"/>
  <c r="W2636" i="1"/>
  <c r="X2636" i="1"/>
  <c r="Y2636" i="1"/>
  <c r="Z2636" i="1"/>
  <c r="AA2636" i="1"/>
  <c r="AB2636" i="1"/>
  <c r="AC2636" i="1"/>
  <c r="AD2636" i="1"/>
  <c r="AE2636" i="1"/>
  <c r="AF2636" i="1"/>
  <c r="AG2636" i="1"/>
  <c r="AH2636" i="1"/>
  <c r="AI2636" i="1"/>
  <c r="AJ2636" i="1"/>
  <c r="AK2636" i="1"/>
  <c r="AL2636" i="1"/>
  <c r="AM2636" i="1"/>
  <c r="A2637" i="1"/>
  <c r="B2637" i="1"/>
  <c r="C2637" i="1"/>
  <c r="D2637" i="1"/>
  <c r="E2637" i="1"/>
  <c r="F2637" i="1"/>
  <c r="G2637" i="1"/>
  <c r="H2637" i="1"/>
  <c r="I2637" i="1"/>
  <c r="J2637" i="1"/>
  <c r="K2637" i="1"/>
  <c r="L2637" i="1"/>
  <c r="M2637" i="1"/>
  <c r="N2637" i="1"/>
  <c r="O2637" i="1"/>
  <c r="P2637" i="1"/>
  <c r="Q2637" i="1"/>
  <c r="R2637" i="1"/>
  <c r="S2637" i="1"/>
  <c r="T2637" i="1"/>
  <c r="U2637" i="1"/>
  <c r="V2637" i="1"/>
  <c r="W2637" i="1"/>
  <c r="X2637" i="1"/>
  <c r="Y2637" i="1"/>
  <c r="Z2637" i="1"/>
  <c r="AA2637" i="1"/>
  <c r="AB2637" i="1"/>
  <c r="AC2637" i="1"/>
  <c r="AD2637" i="1"/>
  <c r="AE2637" i="1"/>
  <c r="AF2637" i="1"/>
  <c r="AG2637" i="1"/>
  <c r="AH2637" i="1"/>
  <c r="AI2637" i="1"/>
  <c r="AJ2637" i="1"/>
  <c r="AK2637" i="1"/>
  <c r="AL2637" i="1"/>
  <c r="AM2637" i="1"/>
  <c r="A2638" i="1"/>
  <c r="B2638" i="1"/>
  <c r="C2638" i="1"/>
  <c r="D2638" i="1"/>
  <c r="E2638" i="1"/>
  <c r="F2638" i="1"/>
  <c r="G2638" i="1"/>
  <c r="H2638" i="1"/>
  <c r="I2638" i="1"/>
  <c r="J2638" i="1"/>
  <c r="K2638" i="1"/>
  <c r="L2638" i="1"/>
  <c r="M2638" i="1"/>
  <c r="N2638" i="1"/>
  <c r="O2638" i="1"/>
  <c r="P2638" i="1"/>
  <c r="Q2638" i="1"/>
  <c r="R2638" i="1"/>
  <c r="S2638" i="1"/>
  <c r="T2638" i="1"/>
  <c r="U2638" i="1"/>
  <c r="V2638" i="1"/>
  <c r="W2638" i="1"/>
  <c r="X2638" i="1"/>
  <c r="Y2638" i="1"/>
  <c r="Z2638" i="1"/>
  <c r="AA2638" i="1"/>
  <c r="AB2638" i="1"/>
  <c r="AC2638" i="1"/>
  <c r="AD2638" i="1"/>
  <c r="AE2638" i="1"/>
  <c r="AF2638" i="1"/>
  <c r="AG2638" i="1"/>
  <c r="AH2638" i="1"/>
  <c r="AI2638" i="1"/>
  <c r="AJ2638" i="1"/>
  <c r="AK2638" i="1"/>
  <c r="AL2638" i="1"/>
  <c r="AM2638" i="1"/>
  <c r="A2639" i="1"/>
  <c r="B2639" i="1"/>
  <c r="C2639" i="1"/>
  <c r="D2639" i="1"/>
  <c r="E2639" i="1"/>
  <c r="F2639" i="1"/>
  <c r="G2639" i="1"/>
  <c r="H2639" i="1"/>
  <c r="I2639" i="1"/>
  <c r="J2639" i="1"/>
  <c r="K2639" i="1"/>
  <c r="L2639" i="1"/>
  <c r="M2639" i="1"/>
  <c r="N2639" i="1"/>
  <c r="O2639" i="1"/>
  <c r="P2639" i="1"/>
  <c r="Q2639" i="1"/>
  <c r="R2639" i="1"/>
  <c r="S2639" i="1"/>
  <c r="T2639" i="1"/>
  <c r="U2639" i="1"/>
  <c r="V2639" i="1"/>
  <c r="W2639" i="1"/>
  <c r="X2639" i="1"/>
  <c r="Y2639" i="1"/>
  <c r="Z2639" i="1"/>
  <c r="AA2639" i="1"/>
  <c r="AB2639" i="1"/>
  <c r="AC2639" i="1"/>
  <c r="AD2639" i="1"/>
  <c r="AE2639" i="1"/>
  <c r="AF2639" i="1"/>
  <c r="AG2639" i="1"/>
  <c r="AH2639" i="1"/>
  <c r="AI2639" i="1"/>
  <c r="AJ2639" i="1"/>
  <c r="AK2639" i="1"/>
  <c r="AL2639" i="1"/>
  <c r="AM2639" i="1"/>
  <c r="A2640" i="1"/>
  <c r="B2640" i="1"/>
  <c r="C2640" i="1"/>
  <c r="D2640" i="1"/>
  <c r="E2640" i="1"/>
  <c r="F2640" i="1"/>
  <c r="G2640" i="1"/>
  <c r="H2640" i="1"/>
  <c r="I2640" i="1"/>
  <c r="J2640" i="1"/>
  <c r="K2640" i="1"/>
  <c r="L2640" i="1"/>
  <c r="M2640" i="1"/>
  <c r="N2640" i="1"/>
  <c r="O2640" i="1"/>
  <c r="P2640" i="1"/>
  <c r="Q2640" i="1"/>
  <c r="R2640" i="1"/>
  <c r="S2640" i="1"/>
  <c r="T2640" i="1"/>
  <c r="U2640" i="1"/>
  <c r="V2640" i="1"/>
  <c r="W2640" i="1"/>
  <c r="X2640" i="1"/>
  <c r="Y2640" i="1"/>
  <c r="Z2640" i="1"/>
  <c r="AA2640" i="1"/>
  <c r="AB2640" i="1"/>
  <c r="AC2640" i="1"/>
  <c r="AD2640" i="1"/>
  <c r="AE2640" i="1"/>
  <c r="AF2640" i="1"/>
  <c r="AG2640" i="1"/>
  <c r="AH2640" i="1"/>
  <c r="AI2640" i="1"/>
  <c r="AJ2640" i="1"/>
  <c r="AK2640" i="1"/>
  <c r="AL2640" i="1"/>
  <c r="AM2640" i="1"/>
  <c r="A2641" i="1"/>
  <c r="B2641" i="1"/>
  <c r="C2641" i="1"/>
  <c r="D2641" i="1"/>
  <c r="E2641" i="1"/>
  <c r="F2641" i="1"/>
  <c r="G2641" i="1"/>
  <c r="H2641" i="1"/>
  <c r="I2641" i="1"/>
  <c r="J2641" i="1"/>
  <c r="K2641" i="1"/>
  <c r="L2641" i="1"/>
  <c r="M2641" i="1"/>
  <c r="N2641" i="1"/>
  <c r="O2641" i="1"/>
  <c r="P2641" i="1"/>
  <c r="Q2641" i="1"/>
  <c r="R2641" i="1"/>
  <c r="S2641" i="1"/>
  <c r="T2641" i="1"/>
  <c r="U2641" i="1"/>
  <c r="V2641" i="1"/>
  <c r="W2641" i="1"/>
  <c r="X2641" i="1"/>
  <c r="Y2641" i="1"/>
  <c r="Z2641" i="1"/>
  <c r="AA2641" i="1"/>
  <c r="AB2641" i="1"/>
  <c r="AC2641" i="1"/>
  <c r="AD2641" i="1"/>
  <c r="AE2641" i="1"/>
  <c r="AF2641" i="1"/>
  <c r="AG2641" i="1"/>
  <c r="AH2641" i="1"/>
  <c r="AI2641" i="1"/>
  <c r="AJ2641" i="1"/>
  <c r="AK2641" i="1"/>
  <c r="AL2641" i="1"/>
  <c r="AM2641" i="1"/>
  <c r="A2642" i="1"/>
  <c r="B2642" i="1"/>
  <c r="C2642" i="1"/>
  <c r="D2642" i="1"/>
  <c r="E2642" i="1"/>
  <c r="F2642" i="1"/>
  <c r="G2642" i="1"/>
  <c r="H2642" i="1"/>
  <c r="I2642" i="1"/>
  <c r="J2642" i="1"/>
  <c r="K2642" i="1"/>
  <c r="L2642" i="1"/>
  <c r="M2642" i="1"/>
  <c r="N2642" i="1"/>
  <c r="O2642" i="1"/>
  <c r="P2642" i="1"/>
  <c r="Q2642" i="1"/>
  <c r="R2642" i="1"/>
  <c r="S2642" i="1"/>
  <c r="T2642" i="1"/>
  <c r="U2642" i="1"/>
  <c r="V2642" i="1"/>
  <c r="W2642" i="1"/>
  <c r="X2642" i="1"/>
  <c r="Y2642" i="1"/>
  <c r="Z2642" i="1"/>
  <c r="AA2642" i="1"/>
  <c r="AB2642" i="1"/>
  <c r="AC2642" i="1"/>
  <c r="AD2642" i="1"/>
  <c r="AE2642" i="1"/>
  <c r="AF2642" i="1"/>
  <c r="AG2642" i="1"/>
  <c r="AH2642" i="1"/>
  <c r="AI2642" i="1"/>
  <c r="AJ2642" i="1"/>
  <c r="AK2642" i="1"/>
  <c r="AL2642" i="1"/>
  <c r="AM2642" i="1"/>
  <c r="A2643" i="1"/>
  <c r="B2643" i="1"/>
  <c r="C2643" i="1"/>
  <c r="D2643" i="1"/>
  <c r="E2643" i="1"/>
  <c r="F2643" i="1"/>
  <c r="G2643" i="1"/>
  <c r="H2643" i="1"/>
  <c r="I2643" i="1"/>
  <c r="J2643" i="1"/>
  <c r="K2643" i="1"/>
  <c r="L2643" i="1"/>
  <c r="M2643" i="1"/>
  <c r="N2643" i="1"/>
  <c r="O2643" i="1"/>
  <c r="P2643" i="1"/>
  <c r="Q2643" i="1"/>
  <c r="R2643" i="1"/>
  <c r="S2643" i="1"/>
  <c r="T2643" i="1"/>
  <c r="U2643" i="1"/>
  <c r="V2643" i="1"/>
  <c r="W2643" i="1"/>
  <c r="X2643" i="1"/>
  <c r="Y2643" i="1"/>
  <c r="Z2643" i="1"/>
  <c r="AA2643" i="1"/>
  <c r="AB2643" i="1"/>
  <c r="AC2643" i="1"/>
  <c r="AD2643" i="1"/>
  <c r="AE2643" i="1"/>
  <c r="AF2643" i="1"/>
  <c r="AG2643" i="1"/>
  <c r="AH2643" i="1"/>
  <c r="AI2643" i="1"/>
  <c r="AJ2643" i="1"/>
  <c r="AK2643" i="1"/>
  <c r="AL2643" i="1"/>
  <c r="AM2643" i="1"/>
  <c r="A2644" i="1"/>
  <c r="B2644" i="1"/>
  <c r="C2644" i="1"/>
  <c r="D2644" i="1"/>
  <c r="E2644" i="1"/>
  <c r="F2644" i="1"/>
  <c r="G2644" i="1"/>
  <c r="H2644" i="1"/>
  <c r="I2644" i="1"/>
  <c r="J2644" i="1"/>
  <c r="K2644" i="1"/>
  <c r="L2644" i="1"/>
  <c r="M2644" i="1"/>
  <c r="N2644" i="1"/>
  <c r="O2644" i="1"/>
  <c r="P2644" i="1"/>
  <c r="Q2644" i="1"/>
  <c r="R2644" i="1"/>
  <c r="S2644" i="1"/>
  <c r="T2644" i="1"/>
  <c r="U2644" i="1"/>
  <c r="V2644" i="1"/>
  <c r="W2644" i="1"/>
  <c r="X2644" i="1"/>
  <c r="Y2644" i="1"/>
  <c r="Z2644" i="1"/>
  <c r="AA2644" i="1"/>
  <c r="AB2644" i="1"/>
  <c r="AC2644" i="1"/>
  <c r="AD2644" i="1"/>
  <c r="AE2644" i="1"/>
  <c r="AF2644" i="1"/>
  <c r="AG2644" i="1"/>
  <c r="AH2644" i="1"/>
  <c r="AI2644" i="1"/>
  <c r="AJ2644" i="1"/>
  <c r="AK2644" i="1"/>
  <c r="AL2644" i="1"/>
  <c r="AM2644" i="1"/>
  <c r="A2645" i="1"/>
  <c r="B2645" i="1"/>
  <c r="C2645" i="1"/>
  <c r="D2645" i="1"/>
  <c r="E2645" i="1"/>
  <c r="F2645" i="1"/>
  <c r="G2645" i="1"/>
  <c r="H2645" i="1"/>
  <c r="I2645" i="1"/>
  <c r="J2645" i="1"/>
  <c r="K2645" i="1"/>
  <c r="L2645" i="1"/>
  <c r="M2645" i="1"/>
  <c r="N2645" i="1"/>
  <c r="O2645" i="1"/>
  <c r="P2645" i="1"/>
  <c r="Q2645" i="1"/>
  <c r="R2645" i="1"/>
  <c r="S2645" i="1"/>
  <c r="T2645" i="1"/>
  <c r="U2645" i="1"/>
  <c r="V2645" i="1"/>
  <c r="W2645" i="1"/>
  <c r="X2645" i="1"/>
  <c r="Y2645" i="1"/>
  <c r="Z2645" i="1"/>
  <c r="AA2645" i="1"/>
  <c r="AB2645" i="1"/>
  <c r="AC2645" i="1"/>
  <c r="AD2645" i="1"/>
  <c r="AE2645" i="1"/>
  <c r="AF2645" i="1"/>
  <c r="AG2645" i="1"/>
  <c r="AH2645" i="1"/>
  <c r="AI2645" i="1"/>
  <c r="AJ2645" i="1"/>
  <c r="AK2645" i="1"/>
  <c r="AL2645" i="1"/>
  <c r="AM2645" i="1"/>
  <c r="A2646" i="1"/>
  <c r="B2646" i="1"/>
  <c r="C2646" i="1"/>
  <c r="D2646" i="1"/>
  <c r="E2646" i="1"/>
  <c r="F2646" i="1"/>
  <c r="G2646" i="1"/>
  <c r="H2646" i="1"/>
  <c r="I2646" i="1"/>
  <c r="J2646" i="1"/>
  <c r="K2646" i="1"/>
  <c r="L2646" i="1"/>
  <c r="M2646" i="1"/>
  <c r="N2646" i="1"/>
  <c r="O2646" i="1"/>
  <c r="P2646" i="1"/>
  <c r="Q2646" i="1"/>
  <c r="R2646" i="1"/>
  <c r="S2646" i="1"/>
  <c r="T2646" i="1"/>
  <c r="U2646" i="1"/>
  <c r="V2646" i="1"/>
  <c r="W2646" i="1"/>
  <c r="X2646" i="1"/>
  <c r="Y2646" i="1"/>
  <c r="Z2646" i="1"/>
  <c r="AA2646" i="1"/>
  <c r="AB2646" i="1"/>
  <c r="AC2646" i="1"/>
  <c r="AD2646" i="1"/>
  <c r="AE2646" i="1"/>
  <c r="AF2646" i="1"/>
  <c r="AG2646" i="1"/>
  <c r="AH2646" i="1"/>
  <c r="AI2646" i="1"/>
  <c r="AJ2646" i="1"/>
  <c r="AK2646" i="1"/>
  <c r="AL2646" i="1"/>
  <c r="AM2646" i="1"/>
  <c r="A2647" i="1"/>
  <c r="B2647" i="1"/>
  <c r="C2647" i="1"/>
  <c r="D2647" i="1"/>
  <c r="E2647" i="1"/>
  <c r="F2647" i="1"/>
  <c r="G2647" i="1"/>
  <c r="H2647" i="1"/>
  <c r="I2647" i="1"/>
  <c r="J2647" i="1"/>
  <c r="K2647" i="1"/>
  <c r="L2647" i="1"/>
  <c r="M2647" i="1"/>
  <c r="N2647" i="1"/>
  <c r="O2647" i="1"/>
  <c r="P2647" i="1"/>
  <c r="Q2647" i="1"/>
  <c r="R2647" i="1"/>
  <c r="S2647" i="1"/>
  <c r="T2647" i="1"/>
  <c r="U2647" i="1"/>
  <c r="V2647" i="1"/>
  <c r="W2647" i="1"/>
  <c r="X2647" i="1"/>
  <c r="Y2647" i="1"/>
  <c r="Z2647" i="1"/>
  <c r="AA2647" i="1"/>
  <c r="AB2647" i="1"/>
  <c r="AC2647" i="1"/>
  <c r="AD2647" i="1"/>
  <c r="AE2647" i="1"/>
  <c r="AF2647" i="1"/>
  <c r="AG2647" i="1"/>
  <c r="AH2647" i="1"/>
  <c r="AI2647" i="1"/>
  <c r="AJ2647" i="1"/>
  <c r="AK2647" i="1"/>
  <c r="AL2647" i="1"/>
  <c r="AM2647" i="1"/>
  <c r="A2648" i="1"/>
  <c r="B2648" i="1"/>
  <c r="C2648" i="1"/>
  <c r="D2648" i="1"/>
  <c r="E2648" i="1"/>
  <c r="F2648" i="1"/>
  <c r="G2648" i="1"/>
  <c r="H2648" i="1"/>
  <c r="I2648" i="1"/>
  <c r="J2648" i="1"/>
  <c r="K2648" i="1"/>
  <c r="L2648" i="1"/>
  <c r="M2648" i="1"/>
  <c r="N2648" i="1"/>
  <c r="O2648" i="1"/>
  <c r="P2648" i="1"/>
  <c r="Q2648" i="1"/>
  <c r="R2648" i="1"/>
  <c r="S2648" i="1"/>
  <c r="T2648" i="1"/>
  <c r="U2648" i="1"/>
  <c r="V2648" i="1"/>
  <c r="W2648" i="1"/>
  <c r="X2648" i="1"/>
  <c r="Y2648" i="1"/>
  <c r="Z2648" i="1"/>
  <c r="AA2648" i="1"/>
  <c r="AB2648" i="1"/>
  <c r="AC2648" i="1"/>
  <c r="AD2648" i="1"/>
  <c r="AE2648" i="1"/>
  <c r="AF2648" i="1"/>
  <c r="AG2648" i="1"/>
  <c r="AH2648" i="1"/>
  <c r="AI2648" i="1"/>
  <c r="AJ2648" i="1"/>
  <c r="AK2648" i="1"/>
  <c r="AL2648" i="1"/>
  <c r="AM2648" i="1"/>
  <c r="A2649" i="1"/>
  <c r="B2649" i="1"/>
  <c r="C2649" i="1"/>
  <c r="D2649" i="1"/>
  <c r="E2649" i="1"/>
  <c r="F2649" i="1"/>
  <c r="G2649" i="1"/>
  <c r="H2649" i="1"/>
  <c r="I2649" i="1"/>
  <c r="J2649" i="1"/>
  <c r="K2649" i="1"/>
  <c r="L2649" i="1"/>
  <c r="M2649" i="1"/>
  <c r="N2649" i="1"/>
  <c r="O2649" i="1"/>
  <c r="P2649" i="1"/>
  <c r="Q2649" i="1"/>
  <c r="R2649" i="1"/>
  <c r="S2649" i="1"/>
  <c r="T2649" i="1"/>
  <c r="U2649" i="1"/>
  <c r="V2649" i="1"/>
  <c r="W2649" i="1"/>
  <c r="X2649" i="1"/>
  <c r="Y2649" i="1"/>
  <c r="Z2649" i="1"/>
  <c r="AA2649" i="1"/>
  <c r="AB2649" i="1"/>
  <c r="AC2649" i="1"/>
  <c r="AD2649" i="1"/>
  <c r="AE2649" i="1"/>
  <c r="AF2649" i="1"/>
  <c r="AG2649" i="1"/>
  <c r="AH2649" i="1"/>
  <c r="AI2649" i="1"/>
  <c r="AJ2649" i="1"/>
  <c r="AK2649" i="1"/>
  <c r="AL2649" i="1"/>
  <c r="AM2649" i="1"/>
  <c r="A2650" i="1"/>
  <c r="B2650" i="1"/>
  <c r="C2650" i="1"/>
  <c r="D2650" i="1"/>
  <c r="E2650" i="1"/>
  <c r="F2650" i="1"/>
  <c r="G2650" i="1"/>
  <c r="H2650" i="1"/>
  <c r="I2650" i="1"/>
  <c r="J2650" i="1"/>
  <c r="K2650" i="1"/>
  <c r="L2650" i="1"/>
  <c r="M2650" i="1"/>
  <c r="N2650" i="1"/>
  <c r="O2650" i="1"/>
  <c r="P2650" i="1"/>
  <c r="Q2650" i="1"/>
  <c r="R2650" i="1"/>
  <c r="S2650" i="1"/>
  <c r="T2650" i="1"/>
  <c r="U2650" i="1"/>
  <c r="V2650" i="1"/>
  <c r="W2650" i="1"/>
  <c r="X2650" i="1"/>
  <c r="Y2650" i="1"/>
  <c r="Z2650" i="1"/>
  <c r="AA2650" i="1"/>
  <c r="AB2650" i="1"/>
  <c r="AC2650" i="1"/>
  <c r="AD2650" i="1"/>
  <c r="AE2650" i="1"/>
  <c r="AF2650" i="1"/>
  <c r="AG2650" i="1"/>
  <c r="AH2650" i="1"/>
  <c r="AI2650" i="1"/>
  <c r="AJ2650" i="1"/>
  <c r="AK2650" i="1"/>
  <c r="AL2650" i="1"/>
  <c r="AM2650" i="1"/>
  <c r="A2651" i="1"/>
  <c r="B2651" i="1"/>
  <c r="C2651" i="1"/>
  <c r="D2651" i="1"/>
  <c r="E2651" i="1"/>
  <c r="F2651" i="1"/>
  <c r="G2651" i="1"/>
  <c r="H2651" i="1"/>
  <c r="I2651" i="1"/>
  <c r="J2651" i="1"/>
  <c r="K2651" i="1"/>
  <c r="L2651" i="1"/>
  <c r="M2651" i="1"/>
  <c r="N2651" i="1"/>
  <c r="O2651" i="1"/>
  <c r="P2651" i="1"/>
  <c r="Q2651" i="1"/>
  <c r="R2651" i="1"/>
  <c r="S2651" i="1"/>
  <c r="T2651" i="1"/>
  <c r="U2651" i="1"/>
  <c r="V2651" i="1"/>
  <c r="W2651" i="1"/>
  <c r="X2651" i="1"/>
  <c r="Y2651" i="1"/>
  <c r="Z2651" i="1"/>
  <c r="AA2651" i="1"/>
  <c r="AB2651" i="1"/>
  <c r="AC2651" i="1"/>
  <c r="AD2651" i="1"/>
  <c r="AE2651" i="1"/>
  <c r="AF2651" i="1"/>
  <c r="AG2651" i="1"/>
  <c r="AH2651" i="1"/>
  <c r="AI2651" i="1"/>
  <c r="AJ2651" i="1"/>
  <c r="AK2651" i="1"/>
  <c r="AL2651" i="1"/>
  <c r="AM2651" i="1"/>
  <c r="A2652" i="1"/>
  <c r="B2652" i="1"/>
  <c r="C2652" i="1"/>
  <c r="D2652" i="1"/>
  <c r="E2652" i="1"/>
  <c r="F2652" i="1"/>
  <c r="G2652" i="1"/>
  <c r="H2652" i="1"/>
  <c r="I2652" i="1"/>
  <c r="J2652" i="1"/>
  <c r="K2652" i="1"/>
  <c r="L2652" i="1"/>
  <c r="M2652" i="1"/>
  <c r="N2652" i="1"/>
  <c r="O2652" i="1"/>
  <c r="P2652" i="1"/>
  <c r="Q2652" i="1"/>
  <c r="R2652" i="1"/>
  <c r="S2652" i="1"/>
  <c r="T2652" i="1"/>
  <c r="U2652" i="1"/>
  <c r="V2652" i="1"/>
  <c r="W2652" i="1"/>
  <c r="X2652" i="1"/>
  <c r="Y2652" i="1"/>
  <c r="Z2652" i="1"/>
  <c r="AA2652" i="1"/>
  <c r="AB2652" i="1"/>
  <c r="AC2652" i="1"/>
  <c r="AD2652" i="1"/>
  <c r="AE2652" i="1"/>
  <c r="AF2652" i="1"/>
  <c r="AG2652" i="1"/>
  <c r="AH2652" i="1"/>
  <c r="AI2652" i="1"/>
  <c r="AJ2652" i="1"/>
  <c r="AK2652" i="1"/>
  <c r="AL2652" i="1"/>
  <c r="AM2652" i="1"/>
  <c r="A2653" i="1"/>
  <c r="B2653" i="1"/>
  <c r="C2653" i="1"/>
  <c r="D2653" i="1"/>
  <c r="E2653" i="1"/>
  <c r="F2653" i="1"/>
  <c r="G2653" i="1"/>
  <c r="H2653" i="1"/>
  <c r="I2653" i="1"/>
  <c r="J2653" i="1"/>
  <c r="K2653" i="1"/>
  <c r="L2653" i="1"/>
  <c r="M2653" i="1"/>
  <c r="N2653" i="1"/>
  <c r="O2653" i="1"/>
  <c r="P2653" i="1"/>
  <c r="Q2653" i="1"/>
  <c r="R2653" i="1"/>
  <c r="S2653" i="1"/>
  <c r="T2653" i="1"/>
  <c r="U2653" i="1"/>
  <c r="V2653" i="1"/>
  <c r="W2653" i="1"/>
  <c r="X2653" i="1"/>
  <c r="Y2653" i="1"/>
  <c r="Z2653" i="1"/>
  <c r="AA2653" i="1"/>
  <c r="AB2653" i="1"/>
  <c r="AC2653" i="1"/>
  <c r="AD2653" i="1"/>
  <c r="AE2653" i="1"/>
  <c r="AF2653" i="1"/>
  <c r="AG2653" i="1"/>
  <c r="AH2653" i="1"/>
  <c r="AI2653" i="1"/>
  <c r="AJ2653" i="1"/>
  <c r="AK2653" i="1"/>
  <c r="AL2653" i="1"/>
  <c r="AM2653" i="1"/>
  <c r="A2654" i="1"/>
  <c r="B2654" i="1"/>
  <c r="C2654" i="1"/>
  <c r="D2654" i="1"/>
  <c r="E2654" i="1"/>
  <c r="F2654" i="1"/>
  <c r="G2654" i="1"/>
  <c r="H2654" i="1"/>
  <c r="I2654" i="1"/>
  <c r="J2654" i="1"/>
  <c r="K2654" i="1"/>
  <c r="L2654" i="1"/>
  <c r="M2654" i="1"/>
  <c r="N2654" i="1"/>
  <c r="O2654" i="1"/>
  <c r="P2654" i="1"/>
  <c r="Q2654" i="1"/>
  <c r="R2654" i="1"/>
  <c r="S2654" i="1"/>
  <c r="T2654" i="1"/>
  <c r="U2654" i="1"/>
  <c r="V2654" i="1"/>
  <c r="W2654" i="1"/>
  <c r="X2654" i="1"/>
  <c r="Y2654" i="1"/>
  <c r="Z2654" i="1"/>
  <c r="AA2654" i="1"/>
  <c r="AB2654" i="1"/>
  <c r="AC2654" i="1"/>
  <c r="AD2654" i="1"/>
  <c r="AE2654" i="1"/>
  <c r="AF2654" i="1"/>
  <c r="AG2654" i="1"/>
  <c r="AH2654" i="1"/>
  <c r="AI2654" i="1"/>
  <c r="AJ2654" i="1"/>
  <c r="AK2654" i="1"/>
  <c r="AL2654" i="1"/>
  <c r="AM2654" i="1"/>
  <c r="A2655" i="1"/>
  <c r="B2655" i="1"/>
  <c r="C2655" i="1"/>
  <c r="D2655" i="1"/>
  <c r="E2655" i="1"/>
  <c r="F2655" i="1"/>
  <c r="G2655" i="1"/>
  <c r="H2655" i="1"/>
  <c r="I2655" i="1"/>
  <c r="J2655" i="1"/>
  <c r="K2655" i="1"/>
  <c r="L2655" i="1"/>
  <c r="M2655" i="1"/>
  <c r="N2655" i="1"/>
  <c r="O2655" i="1"/>
  <c r="P2655" i="1"/>
  <c r="Q2655" i="1"/>
  <c r="R2655" i="1"/>
  <c r="S2655" i="1"/>
  <c r="T2655" i="1"/>
  <c r="U2655" i="1"/>
  <c r="V2655" i="1"/>
  <c r="W2655" i="1"/>
  <c r="X2655" i="1"/>
  <c r="Y2655" i="1"/>
  <c r="Z2655" i="1"/>
  <c r="AA2655" i="1"/>
  <c r="AB2655" i="1"/>
  <c r="AC2655" i="1"/>
  <c r="AD2655" i="1"/>
  <c r="AE2655" i="1"/>
  <c r="AF2655" i="1"/>
  <c r="AG2655" i="1"/>
  <c r="AH2655" i="1"/>
  <c r="AI2655" i="1"/>
  <c r="AJ2655" i="1"/>
  <c r="AK2655" i="1"/>
  <c r="AL2655" i="1"/>
  <c r="AM2655" i="1"/>
  <c r="A2656" i="1"/>
  <c r="B2656" i="1"/>
  <c r="C2656" i="1"/>
  <c r="D2656" i="1"/>
  <c r="E2656" i="1"/>
  <c r="F2656" i="1"/>
  <c r="G2656" i="1"/>
  <c r="H2656" i="1"/>
  <c r="I2656" i="1"/>
  <c r="J2656" i="1"/>
  <c r="K2656" i="1"/>
  <c r="L2656" i="1"/>
  <c r="M2656" i="1"/>
  <c r="N2656" i="1"/>
  <c r="O2656" i="1"/>
  <c r="P2656" i="1"/>
  <c r="Q2656" i="1"/>
  <c r="R2656" i="1"/>
  <c r="S2656" i="1"/>
  <c r="T2656" i="1"/>
  <c r="U2656" i="1"/>
  <c r="V2656" i="1"/>
  <c r="W2656" i="1"/>
  <c r="X2656" i="1"/>
  <c r="Y2656" i="1"/>
  <c r="Z2656" i="1"/>
  <c r="AA2656" i="1"/>
  <c r="AB2656" i="1"/>
  <c r="AC2656" i="1"/>
  <c r="AD2656" i="1"/>
  <c r="AE2656" i="1"/>
  <c r="AF2656" i="1"/>
  <c r="AG2656" i="1"/>
  <c r="AH2656" i="1"/>
  <c r="AI2656" i="1"/>
  <c r="AJ2656" i="1"/>
  <c r="AK2656" i="1"/>
  <c r="AL2656" i="1"/>
  <c r="AM2656" i="1"/>
  <c r="A2657" i="1"/>
  <c r="B2657" i="1"/>
  <c r="C2657" i="1"/>
  <c r="D2657" i="1"/>
  <c r="E2657" i="1"/>
  <c r="F2657" i="1"/>
  <c r="G2657" i="1"/>
  <c r="H2657" i="1"/>
  <c r="I2657" i="1"/>
  <c r="J2657" i="1"/>
  <c r="K2657" i="1"/>
  <c r="L2657" i="1"/>
  <c r="M2657" i="1"/>
  <c r="N2657" i="1"/>
  <c r="O2657" i="1"/>
  <c r="P2657" i="1"/>
  <c r="Q2657" i="1"/>
  <c r="R2657" i="1"/>
  <c r="S2657" i="1"/>
  <c r="T2657" i="1"/>
  <c r="U2657" i="1"/>
  <c r="V2657" i="1"/>
  <c r="W2657" i="1"/>
  <c r="X2657" i="1"/>
  <c r="Y2657" i="1"/>
  <c r="Z2657" i="1"/>
  <c r="AA2657" i="1"/>
  <c r="AB2657" i="1"/>
  <c r="AC2657" i="1"/>
  <c r="AD2657" i="1"/>
  <c r="AE2657" i="1"/>
  <c r="AF2657" i="1"/>
  <c r="AG2657" i="1"/>
  <c r="AH2657" i="1"/>
  <c r="AI2657" i="1"/>
  <c r="AJ2657" i="1"/>
  <c r="AK2657" i="1"/>
  <c r="AL2657" i="1"/>
  <c r="AM2657" i="1"/>
  <c r="A2658" i="1"/>
  <c r="B2658" i="1"/>
  <c r="C2658" i="1"/>
  <c r="D2658" i="1"/>
  <c r="E2658" i="1"/>
  <c r="F2658" i="1"/>
  <c r="G2658" i="1"/>
  <c r="H2658" i="1"/>
  <c r="I2658" i="1"/>
  <c r="J2658" i="1"/>
  <c r="K2658" i="1"/>
  <c r="L2658" i="1"/>
  <c r="M2658" i="1"/>
  <c r="N2658" i="1"/>
  <c r="O2658" i="1"/>
  <c r="P2658" i="1"/>
  <c r="Q2658" i="1"/>
  <c r="R2658" i="1"/>
  <c r="S2658" i="1"/>
  <c r="T2658" i="1"/>
  <c r="U2658" i="1"/>
  <c r="V2658" i="1"/>
  <c r="W2658" i="1"/>
  <c r="X2658" i="1"/>
  <c r="Y2658" i="1"/>
  <c r="Z2658" i="1"/>
  <c r="AA2658" i="1"/>
  <c r="AB2658" i="1"/>
  <c r="AC2658" i="1"/>
  <c r="AD2658" i="1"/>
  <c r="AE2658" i="1"/>
  <c r="AF2658" i="1"/>
  <c r="AG2658" i="1"/>
  <c r="AH2658" i="1"/>
  <c r="AI2658" i="1"/>
  <c r="AJ2658" i="1"/>
  <c r="AK2658" i="1"/>
  <c r="AL2658" i="1"/>
  <c r="AM2658" i="1"/>
  <c r="A2659" i="1"/>
  <c r="B2659" i="1"/>
  <c r="C2659" i="1"/>
  <c r="D2659" i="1"/>
  <c r="E2659" i="1"/>
  <c r="F2659" i="1"/>
  <c r="G2659" i="1"/>
  <c r="H2659" i="1"/>
  <c r="I2659" i="1"/>
  <c r="J2659" i="1"/>
  <c r="K2659" i="1"/>
  <c r="L2659" i="1"/>
  <c r="M2659" i="1"/>
  <c r="N2659" i="1"/>
  <c r="O2659" i="1"/>
  <c r="P2659" i="1"/>
  <c r="Q2659" i="1"/>
  <c r="R2659" i="1"/>
  <c r="S2659" i="1"/>
  <c r="T2659" i="1"/>
  <c r="U2659" i="1"/>
  <c r="V2659" i="1"/>
  <c r="W2659" i="1"/>
  <c r="X2659" i="1"/>
  <c r="Y2659" i="1"/>
  <c r="Z2659" i="1"/>
  <c r="AA2659" i="1"/>
  <c r="AB2659" i="1"/>
  <c r="AC2659" i="1"/>
  <c r="AD2659" i="1"/>
  <c r="AE2659" i="1"/>
  <c r="AF2659" i="1"/>
  <c r="AG2659" i="1"/>
  <c r="AH2659" i="1"/>
  <c r="AI2659" i="1"/>
  <c r="AJ2659" i="1"/>
  <c r="AK2659" i="1"/>
  <c r="AL2659" i="1"/>
  <c r="AM2659" i="1"/>
  <c r="A2660" i="1"/>
  <c r="B2660" i="1"/>
  <c r="C2660" i="1"/>
  <c r="D2660" i="1"/>
  <c r="E2660" i="1"/>
  <c r="F2660" i="1"/>
  <c r="G2660" i="1"/>
  <c r="H2660" i="1"/>
  <c r="I2660" i="1"/>
  <c r="J2660" i="1"/>
  <c r="K2660" i="1"/>
  <c r="L2660" i="1"/>
  <c r="M2660" i="1"/>
  <c r="N2660" i="1"/>
  <c r="O2660" i="1"/>
  <c r="P2660" i="1"/>
  <c r="Q2660" i="1"/>
  <c r="R2660" i="1"/>
  <c r="S2660" i="1"/>
  <c r="T2660" i="1"/>
  <c r="U2660" i="1"/>
  <c r="V2660" i="1"/>
  <c r="W2660" i="1"/>
  <c r="X2660" i="1"/>
  <c r="Y2660" i="1"/>
  <c r="Z2660" i="1"/>
  <c r="AA2660" i="1"/>
  <c r="AB2660" i="1"/>
  <c r="AC2660" i="1"/>
  <c r="AD2660" i="1"/>
  <c r="AE2660" i="1"/>
  <c r="AF2660" i="1"/>
  <c r="AG2660" i="1"/>
  <c r="AH2660" i="1"/>
  <c r="AI2660" i="1"/>
  <c r="AJ2660" i="1"/>
  <c r="AK2660" i="1"/>
  <c r="AL2660" i="1"/>
  <c r="AM2660" i="1"/>
  <c r="A2661" i="1"/>
  <c r="B2661" i="1"/>
  <c r="C2661" i="1"/>
  <c r="D2661" i="1"/>
  <c r="E2661" i="1"/>
  <c r="F2661" i="1"/>
  <c r="G2661" i="1"/>
  <c r="H2661" i="1"/>
  <c r="I2661" i="1"/>
  <c r="J2661" i="1"/>
  <c r="K2661" i="1"/>
  <c r="L2661" i="1"/>
  <c r="M2661" i="1"/>
  <c r="N2661" i="1"/>
  <c r="O2661" i="1"/>
  <c r="P2661" i="1"/>
  <c r="Q2661" i="1"/>
  <c r="R2661" i="1"/>
  <c r="S2661" i="1"/>
  <c r="T2661" i="1"/>
  <c r="U2661" i="1"/>
  <c r="V2661" i="1"/>
  <c r="W2661" i="1"/>
  <c r="X2661" i="1"/>
  <c r="Y2661" i="1"/>
  <c r="Z2661" i="1"/>
  <c r="AA2661" i="1"/>
  <c r="AB2661" i="1"/>
  <c r="AC2661" i="1"/>
  <c r="AD2661" i="1"/>
  <c r="AE2661" i="1"/>
  <c r="AF2661" i="1"/>
  <c r="AG2661" i="1"/>
  <c r="AH2661" i="1"/>
  <c r="AI2661" i="1"/>
  <c r="AJ2661" i="1"/>
  <c r="AK2661" i="1"/>
  <c r="AL2661" i="1"/>
  <c r="AM2661" i="1"/>
  <c r="A2662" i="1"/>
  <c r="B2662" i="1"/>
  <c r="C2662" i="1"/>
  <c r="D2662" i="1"/>
  <c r="E2662" i="1"/>
  <c r="F2662" i="1"/>
  <c r="G2662" i="1"/>
  <c r="H2662" i="1"/>
  <c r="I2662" i="1"/>
  <c r="J2662" i="1"/>
  <c r="K2662" i="1"/>
  <c r="L2662" i="1"/>
  <c r="M2662" i="1"/>
  <c r="N2662" i="1"/>
  <c r="O2662" i="1"/>
  <c r="P2662" i="1"/>
  <c r="Q2662" i="1"/>
  <c r="R2662" i="1"/>
  <c r="S2662" i="1"/>
  <c r="T2662" i="1"/>
  <c r="U2662" i="1"/>
  <c r="V2662" i="1"/>
  <c r="W2662" i="1"/>
  <c r="X2662" i="1"/>
  <c r="Y2662" i="1"/>
  <c r="Z2662" i="1"/>
  <c r="AA2662" i="1"/>
  <c r="AB2662" i="1"/>
  <c r="AC2662" i="1"/>
  <c r="AD2662" i="1"/>
  <c r="AE2662" i="1"/>
  <c r="AF2662" i="1"/>
  <c r="AG2662" i="1"/>
  <c r="AH2662" i="1"/>
  <c r="AI2662" i="1"/>
  <c r="AJ2662" i="1"/>
  <c r="AK2662" i="1"/>
  <c r="AL2662" i="1"/>
  <c r="AM2662" i="1"/>
  <c r="A2663" i="1"/>
  <c r="B2663" i="1"/>
  <c r="C2663" i="1"/>
  <c r="D2663" i="1"/>
  <c r="E2663" i="1"/>
  <c r="F2663" i="1"/>
  <c r="G2663" i="1"/>
  <c r="H2663" i="1"/>
  <c r="I2663" i="1"/>
  <c r="J2663" i="1"/>
  <c r="K2663" i="1"/>
  <c r="L2663" i="1"/>
  <c r="M2663" i="1"/>
  <c r="N2663" i="1"/>
  <c r="O2663" i="1"/>
  <c r="P2663" i="1"/>
  <c r="Q2663" i="1"/>
  <c r="R2663" i="1"/>
  <c r="S2663" i="1"/>
  <c r="T2663" i="1"/>
  <c r="U2663" i="1"/>
  <c r="V2663" i="1"/>
  <c r="W2663" i="1"/>
  <c r="X2663" i="1"/>
  <c r="Y2663" i="1"/>
  <c r="Z2663" i="1"/>
  <c r="AA2663" i="1"/>
  <c r="AB2663" i="1"/>
  <c r="AC2663" i="1"/>
  <c r="AD2663" i="1"/>
  <c r="AE2663" i="1"/>
  <c r="AF2663" i="1"/>
  <c r="AG2663" i="1"/>
  <c r="AH2663" i="1"/>
  <c r="AI2663" i="1"/>
  <c r="AJ2663" i="1"/>
  <c r="AK2663" i="1"/>
  <c r="AL2663" i="1"/>
  <c r="AM2663" i="1"/>
  <c r="A2664" i="1"/>
  <c r="B2664" i="1"/>
  <c r="C2664" i="1"/>
  <c r="D2664" i="1"/>
  <c r="E2664" i="1"/>
  <c r="F2664" i="1"/>
  <c r="G2664" i="1"/>
  <c r="H2664" i="1"/>
  <c r="I2664" i="1"/>
  <c r="J2664" i="1"/>
  <c r="K2664" i="1"/>
  <c r="L2664" i="1"/>
  <c r="M2664" i="1"/>
  <c r="N2664" i="1"/>
  <c r="O2664" i="1"/>
  <c r="P2664" i="1"/>
  <c r="Q2664" i="1"/>
  <c r="R2664" i="1"/>
  <c r="S2664" i="1"/>
  <c r="T2664" i="1"/>
  <c r="U2664" i="1"/>
  <c r="V2664" i="1"/>
  <c r="W2664" i="1"/>
  <c r="X2664" i="1"/>
  <c r="Y2664" i="1"/>
  <c r="Z2664" i="1"/>
  <c r="AA2664" i="1"/>
  <c r="AB2664" i="1"/>
  <c r="AC2664" i="1"/>
  <c r="AD2664" i="1"/>
  <c r="AE2664" i="1"/>
  <c r="AF2664" i="1"/>
  <c r="AG2664" i="1"/>
  <c r="AH2664" i="1"/>
  <c r="AI2664" i="1"/>
  <c r="AJ2664" i="1"/>
  <c r="AK2664" i="1"/>
  <c r="AL2664" i="1"/>
  <c r="AM2664" i="1"/>
  <c r="A2665" i="1"/>
  <c r="B2665" i="1"/>
  <c r="C2665" i="1"/>
  <c r="D2665" i="1"/>
  <c r="E2665" i="1"/>
  <c r="F2665" i="1"/>
  <c r="G2665" i="1"/>
  <c r="H2665" i="1"/>
  <c r="I2665" i="1"/>
  <c r="J2665" i="1"/>
  <c r="K2665" i="1"/>
  <c r="L2665" i="1"/>
  <c r="M2665" i="1"/>
  <c r="N2665" i="1"/>
  <c r="O2665" i="1"/>
  <c r="P2665" i="1"/>
  <c r="Q2665" i="1"/>
  <c r="R2665" i="1"/>
  <c r="S2665" i="1"/>
  <c r="T2665" i="1"/>
  <c r="U2665" i="1"/>
  <c r="V2665" i="1"/>
  <c r="W2665" i="1"/>
  <c r="X2665" i="1"/>
  <c r="Y2665" i="1"/>
  <c r="Z2665" i="1"/>
  <c r="AA2665" i="1"/>
  <c r="AB2665" i="1"/>
  <c r="AC2665" i="1"/>
  <c r="AD2665" i="1"/>
  <c r="AE2665" i="1"/>
  <c r="AF2665" i="1"/>
  <c r="AG2665" i="1"/>
  <c r="AH2665" i="1"/>
  <c r="AI2665" i="1"/>
  <c r="AJ2665" i="1"/>
  <c r="AK2665" i="1"/>
  <c r="AL2665" i="1"/>
  <c r="AM2665" i="1"/>
  <c r="A2666" i="1"/>
  <c r="B2666" i="1"/>
  <c r="C2666" i="1"/>
  <c r="D2666" i="1"/>
  <c r="E2666" i="1"/>
  <c r="F2666" i="1"/>
  <c r="G2666" i="1"/>
  <c r="H2666" i="1"/>
  <c r="I2666" i="1"/>
  <c r="J2666" i="1"/>
  <c r="K2666" i="1"/>
  <c r="L2666" i="1"/>
  <c r="M2666" i="1"/>
  <c r="N2666" i="1"/>
  <c r="O2666" i="1"/>
  <c r="P2666" i="1"/>
  <c r="Q2666" i="1"/>
  <c r="R2666" i="1"/>
  <c r="S2666" i="1"/>
  <c r="T2666" i="1"/>
  <c r="U2666" i="1"/>
  <c r="V2666" i="1"/>
  <c r="W2666" i="1"/>
  <c r="X2666" i="1"/>
  <c r="Y2666" i="1"/>
  <c r="Z2666" i="1"/>
  <c r="AA2666" i="1"/>
  <c r="AB2666" i="1"/>
  <c r="AC2666" i="1"/>
  <c r="AD2666" i="1"/>
  <c r="AE2666" i="1"/>
  <c r="AF2666" i="1"/>
  <c r="AG2666" i="1"/>
  <c r="AH2666" i="1"/>
  <c r="AI2666" i="1"/>
  <c r="AJ2666" i="1"/>
  <c r="AK2666" i="1"/>
  <c r="AL2666" i="1"/>
  <c r="AM2666" i="1"/>
  <c r="A2667" i="1"/>
  <c r="B2667" i="1"/>
  <c r="C2667" i="1"/>
  <c r="D2667" i="1"/>
  <c r="E2667" i="1"/>
  <c r="F2667" i="1"/>
  <c r="G2667" i="1"/>
  <c r="H2667" i="1"/>
  <c r="I2667" i="1"/>
  <c r="J2667" i="1"/>
  <c r="K2667" i="1"/>
  <c r="L2667" i="1"/>
  <c r="M2667" i="1"/>
  <c r="N2667" i="1"/>
  <c r="O2667" i="1"/>
  <c r="P2667" i="1"/>
  <c r="Q2667" i="1"/>
  <c r="R2667" i="1"/>
  <c r="S2667" i="1"/>
  <c r="T2667" i="1"/>
  <c r="U2667" i="1"/>
  <c r="V2667" i="1"/>
  <c r="W2667" i="1"/>
  <c r="X2667" i="1"/>
  <c r="Y2667" i="1"/>
  <c r="Z2667" i="1"/>
  <c r="AA2667" i="1"/>
  <c r="AB2667" i="1"/>
  <c r="AC2667" i="1"/>
  <c r="AD2667" i="1"/>
  <c r="AE2667" i="1"/>
  <c r="AF2667" i="1"/>
  <c r="AG2667" i="1"/>
  <c r="AH2667" i="1"/>
  <c r="AI2667" i="1"/>
  <c r="AJ2667" i="1"/>
  <c r="AK2667" i="1"/>
  <c r="AL2667" i="1"/>
  <c r="AM2667" i="1"/>
  <c r="A2668" i="1"/>
  <c r="B2668" i="1"/>
  <c r="C2668" i="1"/>
  <c r="D2668" i="1"/>
  <c r="E2668" i="1"/>
  <c r="F2668" i="1"/>
  <c r="G2668" i="1"/>
  <c r="H2668" i="1"/>
  <c r="I2668" i="1"/>
  <c r="J2668" i="1"/>
  <c r="K2668" i="1"/>
  <c r="L2668" i="1"/>
  <c r="M2668" i="1"/>
  <c r="N2668" i="1"/>
  <c r="O2668" i="1"/>
  <c r="P2668" i="1"/>
  <c r="Q2668" i="1"/>
  <c r="R2668" i="1"/>
  <c r="S2668" i="1"/>
  <c r="T2668" i="1"/>
  <c r="U2668" i="1"/>
  <c r="V2668" i="1"/>
  <c r="W2668" i="1"/>
  <c r="X2668" i="1"/>
  <c r="Y2668" i="1"/>
  <c r="Z2668" i="1"/>
  <c r="AA2668" i="1"/>
  <c r="AB2668" i="1"/>
  <c r="AC2668" i="1"/>
  <c r="AD2668" i="1"/>
  <c r="AE2668" i="1"/>
  <c r="AF2668" i="1"/>
  <c r="AG2668" i="1"/>
  <c r="AH2668" i="1"/>
  <c r="AI2668" i="1"/>
  <c r="AJ2668" i="1"/>
  <c r="AK2668" i="1"/>
  <c r="AL2668" i="1"/>
  <c r="AM2668" i="1"/>
  <c r="A2669" i="1"/>
  <c r="B2669" i="1"/>
  <c r="C2669" i="1"/>
  <c r="D2669" i="1"/>
  <c r="E2669" i="1"/>
  <c r="F2669" i="1"/>
  <c r="G2669" i="1"/>
  <c r="H2669" i="1"/>
  <c r="I2669" i="1"/>
  <c r="J2669" i="1"/>
  <c r="K2669" i="1"/>
  <c r="L2669" i="1"/>
  <c r="M2669" i="1"/>
  <c r="N2669" i="1"/>
  <c r="O2669" i="1"/>
  <c r="P2669" i="1"/>
  <c r="Q2669" i="1"/>
  <c r="R2669" i="1"/>
  <c r="S2669" i="1"/>
  <c r="T2669" i="1"/>
  <c r="U2669" i="1"/>
  <c r="V2669" i="1"/>
  <c r="W2669" i="1"/>
  <c r="X2669" i="1"/>
  <c r="Y2669" i="1"/>
  <c r="Z2669" i="1"/>
  <c r="AA2669" i="1"/>
  <c r="AB2669" i="1"/>
  <c r="AC2669" i="1"/>
  <c r="AD2669" i="1"/>
  <c r="AE2669" i="1"/>
  <c r="AF2669" i="1"/>
  <c r="AG2669" i="1"/>
  <c r="AH2669" i="1"/>
  <c r="AI2669" i="1"/>
  <c r="AJ2669" i="1"/>
  <c r="AK2669" i="1"/>
  <c r="AL2669" i="1"/>
  <c r="AM2669" i="1"/>
  <c r="A2670" i="1"/>
  <c r="B2670" i="1"/>
  <c r="C2670" i="1"/>
  <c r="D2670" i="1"/>
  <c r="E2670" i="1"/>
  <c r="F2670" i="1"/>
  <c r="G2670" i="1"/>
  <c r="H2670" i="1"/>
  <c r="I2670" i="1"/>
  <c r="J2670" i="1"/>
  <c r="K2670" i="1"/>
  <c r="L2670" i="1"/>
  <c r="M2670" i="1"/>
  <c r="N2670" i="1"/>
  <c r="O2670" i="1"/>
  <c r="P2670" i="1"/>
  <c r="Q2670" i="1"/>
  <c r="R2670" i="1"/>
  <c r="S2670" i="1"/>
  <c r="T2670" i="1"/>
  <c r="U2670" i="1"/>
  <c r="V2670" i="1"/>
  <c r="W2670" i="1"/>
  <c r="X2670" i="1"/>
  <c r="Y2670" i="1"/>
  <c r="Z2670" i="1"/>
  <c r="AA2670" i="1"/>
  <c r="AB2670" i="1"/>
  <c r="AC2670" i="1"/>
  <c r="AD2670" i="1"/>
  <c r="AE2670" i="1"/>
  <c r="AF2670" i="1"/>
  <c r="AG2670" i="1"/>
  <c r="AH2670" i="1"/>
  <c r="AI2670" i="1"/>
  <c r="AJ2670" i="1"/>
  <c r="AK2670" i="1"/>
  <c r="AL2670" i="1"/>
  <c r="AM2670" i="1"/>
  <c r="A2671" i="1"/>
  <c r="B2671" i="1"/>
  <c r="C2671" i="1"/>
  <c r="D2671" i="1"/>
  <c r="E2671" i="1"/>
  <c r="F2671" i="1"/>
  <c r="G2671" i="1"/>
  <c r="H2671" i="1"/>
  <c r="I2671" i="1"/>
  <c r="J2671" i="1"/>
  <c r="K2671" i="1"/>
  <c r="L2671" i="1"/>
  <c r="M2671" i="1"/>
  <c r="N2671" i="1"/>
  <c r="O2671" i="1"/>
  <c r="P2671" i="1"/>
  <c r="Q2671" i="1"/>
  <c r="R2671" i="1"/>
  <c r="S2671" i="1"/>
  <c r="T2671" i="1"/>
  <c r="U2671" i="1"/>
  <c r="V2671" i="1"/>
  <c r="W2671" i="1"/>
  <c r="X2671" i="1"/>
  <c r="Y2671" i="1"/>
  <c r="Z2671" i="1"/>
  <c r="AA2671" i="1"/>
  <c r="AB2671" i="1"/>
  <c r="AC2671" i="1"/>
  <c r="AD2671" i="1"/>
  <c r="AE2671" i="1"/>
  <c r="AF2671" i="1"/>
  <c r="AG2671" i="1"/>
  <c r="AH2671" i="1"/>
  <c r="AI2671" i="1"/>
  <c r="AJ2671" i="1"/>
  <c r="AK2671" i="1"/>
  <c r="AL2671" i="1"/>
  <c r="AM2671" i="1"/>
  <c r="A2672" i="1"/>
  <c r="B2672" i="1"/>
  <c r="C2672" i="1"/>
  <c r="D2672" i="1"/>
  <c r="E2672" i="1"/>
  <c r="F2672" i="1"/>
  <c r="G2672" i="1"/>
  <c r="H2672" i="1"/>
  <c r="I2672" i="1"/>
  <c r="J2672" i="1"/>
  <c r="K2672" i="1"/>
  <c r="L2672" i="1"/>
  <c r="M2672" i="1"/>
  <c r="N2672" i="1"/>
  <c r="O2672" i="1"/>
  <c r="P2672" i="1"/>
  <c r="Q2672" i="1"/>
  <c r="R2672" i="1"/>
  <c r="S2672" i="1"/>
  <c r="T2672" i="1"/>
  <c r="U2672" i="1"/>
  <c r="V2672" i="1"/>
  <c r="W2672" i="1"/>
  <c r="X2672" i="1"/>
  <c r="Y2672" i="1"/>
  <c r="Z2672" i="1"/>
  <c r="AA2672" i="1"/>
  <c r="AB2672" i="1"/>
  <c r="AC2672" i="1"/>
  <c r="AD2672" i="1"/>
  <c r="AE2672" i="1"/>
  <c r="AF2672" i="1"/>
  <c r="AG2672" i="1"/>
  <c r="AH2672" i="1"/>
  <c r="AI2672" i="1"/>
  <c r="AJ2672" i="1"/>
  <c r="AK2672" i="1"/>
  <c r="AL2672" i="1"/>
  <c r="AM2672" i="1"/>
  <c r="A2673" i="1"/>
  <c r="B2673" i="1"/>
  <c r="C2673" i="1"/>
  <c r="D2673" i="1"/>
  <c r="E2673" i="1"/>
  <c r="F2673" i="1"/>
  <c r="G2673" i="1"/>
  <c r="H2673" i="1"/>
  <c r="I2673" i="1"/>
  <c r="J2673" i="1"/>
  <c r="K2673" i="1"/>
  <c r="L2673" i="1"/>
  <c r="M2673" i="1"/>
  <c r="N2673" i="1"/>
  <c r="O2673" i="1"/>
  <c r="P2673" i="1"/>
  <c r="Q2673" i="1"/>
  <c r="R2673" i="1"/>
  <c r="S2673" i="1"/>
  <c r="T2673" i="1"/>
  <c r="U2673" i="1"/>
  <c r="V2673" i="1"/>
  <c r="W2673" i="1"/>
  <c r="X2673" i="1"/>
  <c r="Y2673" i="1"/>
  <c r="Z2673" i="1"/>
  <c r="AA2673" i="1"/>
  <c r="AB2673" i="1"/>
  <c r="AC2673" i="1"/>
  <c r="AD2673" i="1"/>
  <c r="AE2673" i="1"/>
  <c r="AF2673" i="1"/>
  <c r="AG2673" i="1"/>
  <c r="AH2673" i="1"/>
  <c r="AI2673" i="1"/>
  <c r="AJ2673" i="1"/>
  <c r="AK2673" i="1"/>
  <c r="AL2673" i="1"/>
  <c r="AM2673" i="1"/>
  <c r="A2674" i="1"/>
  <c r="B2674" i="1"/>
  <c r="C2674" i="1"/>
  <c r="D2674" i="1"/>
  <c r="E2674" i="1"/>
  <c r="F2674" i="1"/>
  <c r="G2674" i="1"/>
  <c r="H2674" i="1"/>
  <c r="I2674" i="1"/>
  <c r="J2674" i="1"/>
  <c r="K2674" i="1"/>
  <c r="L2674" i="1"/>
  <c r="M2674" i="1"/>
  <c r="N2674" i="1"/>
  <c r="O2674" i="1"/>
  <c r="P2674" i="1"/>
  <c r="Q2674" i="1"/>
  <c r="R2674" i="1"/>
  <c r="S2674" i="1"/>
  <c r="T2674" i="1"/>
  <c r="U2674" i="1"/>
  <c r="V2674" i="1"/>
  <c r="W2674" i="1"/>
  <c r="X2674" i="1"/>
  <c r="Y2674" i="1"/>
  <c r="Z2674" i="1"/>
  <c r="AA2674" i="1"/>
  <c r="AB2674" i="1"/>
  <c r="AC2674" i="1"/>
  <c r="AD2674" i="1"/>
  <c r="AE2674" i="1"/>
  <c r="AF2674" i="1"/>
  <c r="AG2674" i="1"/>
  <c r="AH2674" i="1"/>
  <c r="AI2674" i="1"/>
  <c r="AJ2674" i="1"/>
  <c r="AK2674" i="1"/>
  <c r="AL2674" i="1"/>
  <c r="AM2674" i="1"/>
  <c r="A2675" i="1"/>
  <c r="B2675" i="1"/>
  <c r="C2675" i="1"/>
  <c r="D2675" i="1"/>
  <c r="E2675" i="1"/>
  <c r="F2675" i="1"/>
  <c r="G2675" i="1"/>
  <c r="H2675" i="1"/>
  <c r="I2675" i="1"/>
  <c r="J2675" i="1"/>
  <c r="K2675" i="1"/>
  <c r="L2675" i="1"/>
  <c r="M2675" i="1"/>
  <c r="N2675" i="1"/>
  <c r="O2675" i="1"/>
  <c r="P2675" i="1"/>
  <c r="Q2675" i="1"/>
  <c r="R2675" i="1"/>
  <c r="S2675" i="1"/>
  <c r="T2675" i="1"/>
  <c r="U2675" i="1"/>
  <c r="V2675" i="1"/>
  <c r="W2675" i="1"/>
  <c r="X2675" i="1"/>
  <c r="Y2675" i="1"/>
  <c r="Z2675" i="1"/>
  <c r="AA2675" i="1"/>
  <c r="AB2675" i="1"/>
  <c r="AC2675" i="1"/>
  <c r="AD2675" i="1"/>
  <c r="AE2675" i="1"/>
  <c r="AF2675" i="1"/>
  <c r="AG2675" i="1"/>
  <c r="AH2675" i="1"/>
  <c r="AI2675" i="1"/>
  <c r="AJ2675" i="1"/>
  <c r="AK2675" i="1"/>
  <c r="AL2675" i="1"/>
  <c r="AM2675" i="1"/>
  <c r="A2676" i="1"/>
  <c r="B2676" i="1"/>
  <c r="C2676" i="1"/>
  <c r="D2676" i="1"/>
  <c r="E2676" i="1"/>
  <c r="F2676" i="1"/>
  <c r="G2676" i="1"/>
  <c r="H2676" i="1"/>
  <c r="I2676" i="1"/>
  <c r="J2676" i="1"/>
  <c r="K2676" i="1"/>
  <c r="L2676" i="1"/>
  <c r="M2676" i="1"/>
  <c r="N2676" i="1"/>
  <c r="O2676" i="1"/>
  <c r="P2676" i="1"/>
  <c r="Q2676" i="1"/>
  <c r="R2676" i="1"/>
  <c r="S2676" i="1"/>
  <c r="T2676" i="1"/>
  <c r="U2676" i="1"/>
  <c r="V2676" i="1"/>
  <c r="W2676" i="1"/>
  <c r="X2676" i="1"/>
  <c r="Y2676" i="1"/>
  <c r="Z2676" i="1"/>
  <c r="AA2676" i="1"/>
  <c r="AB2676" i="1"/>
  <c r="AC2676" i="1"/>
  <c r="AD2676" i="1"/>
  <c r="AE2676" i="1"/>
  <c r="AF2676" i="1"/>
  <c r="AG2676" i="1"/>
  <c r="AH2676" i="1"/>
  <c r="AI2676" i="1"/>
  <c r="AJ2676" i="1"/>
  <c r="AK2676" i="1"/>
  <c r="AL2676" i="1"/>
  <c r="AM2676" i="1"/>
  <c r="A2677" i="1"/>
  <c r="B2677" i="1"/>
  <c r="C2677" i="1"/>
  <c r="D2677" i="1"/>
  <c r="E2677" i="1"/>
  <c r="F2677" i="1"/>
  <c r="G2677" i="1"/>
  <c r="H2677" i="1"/>
  <c r="I2677" i="1"/>
  <c r="J2677" i="1"/>
  <c r="K2677" i="1"/>
  <c r="L2677" i="1"/>
  <c r="M2677" i="1"/>
  <c r="N2677" i="1"/>
  <c r="O2677" i="1"/>
  <c r="P2677" i="1"/>
  <c r="Q2677" i="1"/>
  <c r="R2677" i="1"/>
  <c r="S2677" i="1"/>
  <c r="T2677" i="1"/>
  <c r="U2677" i="1"/>
  <c r="V2677" i="1"/>
  <c r="W2677" i="1"/>
  <c r="X2677" i="1"/>
  <c r="Y2677" i="1"/>
  <c r="Z2677" i="1"/>
  <c r="AA2677" i="1"/>
  <c r="AB2677" i="1"/>
  <c r="AC2677" i="1"/>
  <c r="AD2677" i="1"/>
  <c r="AE2677" i="1"/>
  <c r="AF2677" i="1"/>
  <c r="AG2677" i="1"/>
  <c r="AH2677" i="1"/>
  <c r="AI2677" i="1"/>
  <c r="AJ2677" i="1"/>
  <c r="AK2677" i="1"/>
  <c r="AL2677" i="1"/>
  <c r="AM2677" i="1"/>
  <c r="A2678" i="1"/>
  <c r="B2678" i="1"/>
  <c r="C2678" i="1"/>
  <c r="D2678" i="1"/>
  <c r="E2678" i="1"/>
  <c r="F2678" i="1"/>
  <c r="G2678" i="1"/>
  <c r="H2678" i="1"/>
  <c r="I2678" i="1"/>
  <c r="J2678" i="1"/>
  <c r="K2678" i="1"/>
  <c r="L2678" i="1"/>
  <c r="M2678" i="1"/>
  <c r="N2678" i="1"/>
  <c r="O2678" i="1"/>
  <c r="P2678" i="1"/>
  <c r="Q2678" i="1"/>
  <c r="R2678" i="1"/>
  <c r="S2678" i="1"/>
  <c r="T2678" i="1"/>
  <c r="U2678" i="1"/>
  <c r="V2678" i="1"/>
  <c r="W2678" i="1"/>
  <c r="X2678" i="1"/>
  <c r="Y2678" i="1"/>
  <c r="Z2678" i="1"/>
  <c r="AA2678" i="1"/>
  <c r="AB2678" i="1"/>
  <c r="AC2678" i="1"/>
  <c r="AD2678" i="1"/>
  <c r="AE2678" i="1"/>
  <c r="AF2678" i="1"/>
  <c r="AG2678" i="1"/>
  <c r="AH2678" i="1"/>
  <c r="AI2678" i="1"/>
  <c r="AJ2678" i="1"/>
  <c r="AK2678" i="1"/>
  <c r="AL2678" i="1"/>
  <c r="AM2678" i="1"/>
  <c r="A2679" i="1"/>
  <c r="B2679" i="1"/>
  <c r="C2679" i="1"/>
  <c r="D2679" i="1"/>
  <c r="E2679" i="1"/>
  <c r="F2679" i="1"/>
  <c r="G2679" i="1"/>
  <c r="H2679" i="1"/>
  <c r="I2679" i="1"/>
  <c r="J2679" i="1"/>
  <c r="K2679" i="1"/>
  <c r="L2679" i="1"/>
  <c r="M2679" i="1"/>
  <c r="N2679" i="1"/>
  <c r="O2679" i="1"/>
  <c r="P2679" i="1"/>
  <c r="Q2679" i="1"/>
  <c r="R2679" i="1"/>
  <c r="S2679" i="1"/>
  <c r="T2679" i="1"/>
  <c r="U2679" i="1"/>
  <c r="V2679" i="1"/>
  <c r="W2679" i="1"/>
  <c r="X2679" i="1"/>
  <c r="Y2679" i="1"/>
  <c r="Z2679" i="1"/>
  <c r="AA2679" i="1"/>
  <c r="AB2679" i="1"/>
  <c r="AC2679" i="1"/>
  <c r="AD2679" i="1"/>
  <c r="AE2679" i="1"/>
  <c r="AF2679" i="1"/>
  <c r="AG2679" i="1"/>
  <c r="AH2679" i="1"/>
  <c r="AI2679" i="1"/>
  <c r="AJ2679" i="1"/>
  <c r="AK2679" i="1"/>
  <c r="AL2679" i="1"/>
  <c r="AM2679" i="1"/>
  <c r="A2680" i="1"/>
  <c r="B2680" i="1"/>
  <c r="C2680" i="1"/>
  <c r="D2680" i="1"/>
  <c r="E2680" i="1"/>
  <c r="F2680" i="1"/>
  <c r="G2680" i="1"/>
  <c r="H2680" i="1"/>
  <c r="I2680" i="1"/>
  <c r="J2680" i="1"/>
  <c r="K2680" i="1"/>
  <c r="L2680" i="1"/>
  <c r="M2680" i="1"/>
  <c r="N2680" i="1"/>
  <c r="O2680" i="1"/>
  <c r="P2680" i="1"/>
  <c r="Q2680" i="1"/>
  <c r="R2680" i="1"/>
  <c r="S2680" i="1"/>
  <c r="T2680" i="1"/>
  <c r="U2680" i="1"/>
  <c r="V2680" i="1"/>
  <c r="W2680" i="1"/>
  <c r="X2680" i="1"/>
  <c r="Y2680" i="1"/>
  <c r="Z2680" i="1"/>
  <c r="AA2680" i="1"/>
  <c r="AB2680" i="1"/>
  <c r="AC2680" i="1"/>
  <c r="AD2680" i="1"/>
  <c r="AE2680" i="1"/>
  <c r="AF2680" i="1"/>
  <c r="AG2680" i="1"/>
  <c r="AH2680" i="1"/>
  <c r="AI2680" i="1"/>
  <c r="AJ2680" i="1"/>
  <c r="AK2680" i="1"/>
  <c r="AL2680" i="1"/>
  <c r="AM2680" i="1"/>
  <c r="A2681" i="1"/>
  <c r="B2681" i="1"/>
  <c r="C2681" i="1"/>
  <c r="D2681" i="1"/>
  <c r="E2681" i="1"/>
  <c r="F2681" i="1"/>
  <c r="G2681" i="1"/>
  <c r="H2681" i="1"/>
  <c r="I2681" i="1"/>
  <c r="J2681" i="1"/>
  <c r="K2681" i="1"/>
  <c r="L2681" i="1"/>
  <c r="M2681" i="1"/>
  <c r="N2681" i="1"/>
  <c r="O2681" i="1"/>
  <c r="P2681" i="1"/>
  <c r="Q2681" i="1"/>
  <c r="R2681" i="1"/>
  <c r="S2681" i="1"/>
  <c r="T2681" i="1"/>
  <c r="U2681" i="1"/>
  <c r="V2681" i="1"/>
  <c r="W2681" i="1"/>
  <c r="X2681" i="1"/>
  <c r="Y2681" i="1"/>
  <c r="Z2681" i="1"/>
  <c r="AA2681" i="1"/>
  <c r="AB2681" i="1"/>
  <c r="AC2681" i="1"/>
  <c r="AD2681" i="1"/>
  <c r="AE2681" i="1"/>
  <c r="AF2681" i="1"/>
  <c r="AG2681" i="1"/>
  <c r="AH2681" i="1"/>
  <c r="AI2681" i="1"/>
  <c r="AJ2681" i="1"/>
  <c r="AK2681" i="1"/>
  <c r="AL2681" i="1"/>
  <c r="AM2681" i="1"/>
  <c r="A2682" i="1"/>
  <c r="B2682" i="1"/>
  <c r="C2682" i="1"/>
  <c r="D2682" i="1"/>
  <c r="E2682" i="1"/>
  <c r="F2682" i="1"/>
  <c r="G2682" i="1"/>
  <c r="H2682" i="1"/>
  <c r="I2682" i="1"/>
  <c r="J2682" i="1"/>
  <c r="K2682" i="1"/>
  <c r="L2682" i="1"/>
  <c r="M2682" i="1"/>
  <c r="N2682" i="1"/>
  <c r="O2682" i="1"/>
  <c r="P2682" i="1"/>
  <c r="Q2682" i="1"/>
  <c r="R2682" i="1"/>
  <c r="S2682" i="1"/>
  <c r="T2682" i="1"/>
  <c r="U2682" i="1"/>
  <c r="V2682" i="1"/>
  <c r="W2682" i="1"/>
  <c r="X2682" i="1"/>
  <c r="Y2682" i="1"/>
  <c r="Z2682" i="1"/>
  <c r="AA2682" i="1"/>
  <c r="AB2682" i="1"/>
  <c r="AC2682" i="1"/>
  <c r="AD2682" i="1"/>
  <c r="AE2682" i="1"/>
  <c r="AF2682" i="1"/>
  <c r="AG2682" i="1"/>
  <c r="AH2682" i="1"/>
  <c r="AI2682" i="1"/>
  <c r="AJ2682" i="1"/>
  <c r="AK2682" i="1"/>
  <c r="AL2682" i="1"/>
  <c r="AM2682" i="1"/>
  <c r="A2683" i="1"/>
  <c r="B2683" i="1"/>
  <c r="C2683" i="1"/>
  <c r="D2683" i="1"/>
  <c r="E2683" i="1"/>
  <c r="F2683" i="1"/>
  <c r="G2683" i="1"/>
  <c r="H2683" i="1"/>
  <c r="I2683" i="1"/>
  <c r="J2683" i="1"/>
  <c r="K2683" i="1"/>
  <c r="L2683" i="1"/>
  <c r="M2683" i="1"/>
  <c r="N2683" i="1"/>
  <c r="O2683" i="1"/>
  <c r="P2683" i="1"/>
  <c r="Q2683" i="1"/>
  <c r="R2683" i="1"/>
  <c r="S2683" i="1"/>
  <c r="T2683" i="1"/>
  <c r="U2683" i="1"/>
  <c r="V2683" i="1"/>
  <c r="W2683" i="1"/>
  <c r="X2683" i="1"/>
  <c r="Y2683" i="1"/>
  <c r="Z2683" i="1"/>
  <c r="AA2683" i="1"/>
  <c r="AB2683" i="1"/>
  <c r="AC2683" i="1"/>
  <c r="AD2683" i="1"/>
  <c r="AE2683" i="1"/>
  <c r="AF2683" i="1"/>
  <c r="AG2683" i="1"/>
  <c r="AH2683" i="1"/>
  <c r="AI2683" i="1"/>
  <c r="AJ2683" i="1"/>
  <c r="AK2683" i="1"/>
  <c r="AL2683" i="1"/>
  <c r="AM2683" i="1"/>
  <c r="A2684" i="1"/>
  <c r="B2684" i="1"/>
  <c r="C2684" i="1"/>
  <c r="D2684" i="1"/>
  <c r="E2684" i="1"/>
  <c r="F2684" i="1"/>
  <c r="G2684" i="1"/>
  <c r="H2684" i="1"/>
  <c r="I2684" i="1"/>
  <c r="J2684" i="1"/>
  <c r="K2684" i="1"/>
  <c r="L2684" i="1"/>
  <c r="M2684" i="1"/>
  <c r="N2684" i="1"/>
  <c r="O2684" i="1"/>
  <c r="P2684" i="1"/>
  <c r="Q2684" i="1"/>
  <c r="R2684" i="1"/>
  <c r="S2684" i="1"/>
  <c r="T2684" i="1"/>
  <c r="U2684" i="1"/>
  <c r="V2684" i="1"/>
  <c r="W2684" i="1"/>
  <c r="X2684" i="1"/>
  <c r="Y2684" i="1"/>
  <c r="Z2684" i="1"/>
  <c r="AA2684" i="1"/>
  <c r="AB2684" i="1"/>
  <c r="AC2684" i="1"/>
  <c r="AD2684" i="1"/>
  <c r="AE2684" i="1"/>
  <c r="AF2684" i="1"/>
  <c r="AG2684" i="1"/>
  <c r="AH2684" i="1"/>
  <c r="AI2684" i="1"/>
  <c r="AJ2684" i="1"/>
  <c r="AK2684" i="1"/>
  <c r="AL2684" i="1"/>
  <c r="AM2684" i="1"/>
  <c r="A2685" i="1"/>
  <c r="B2685" i="1"/>
  <c r="C2685" i="1"/>
  <c r="D2685" i="1"/>
  <c r="E2685" i="1"/>
  <c r="F2685" i="1"/>
  <c r="G2685" i="1"/>
  <c r="H2685" i="1"/>
  <c r="I2685" i="1"/>
  <c r="J2685" i="1"/>
  <c r="K2685" i="1"/>
  <c r="L2685" i="1"/>
  <c r="M2685" i="1"/>
  <c r="N2685" i="1"/>
  <c r="O2685" i="1"/>
  <c r="P2685" i="1"/>
  <c r="Q2685" i="1"/>
  <c r="R2685" i="1"/>
  <c r="S2685" i="1"/>
  <c r="T2685" i="1"/>
  <c r="U2685" i="1"/>
  <c r="V2685" i="1"/>
  <c r="W2685" i="1"/>
  <c r="X2685" i="1"/>
  <c r="Y2685" i="1"/>
  <c r="Z2685" i="1"/>
  <c r="AA2685" i="1"/>
  <c r="AB2685" i="1"/>
  <c r="AC2685" i="1"/>
  <c r="AD2685" i="1"/>
  <c r="AE2685" i="1"/>
  <c r="AF2685" i="1"/>
  <c r="AG2685" i="1"/>
  <c r="AH2685" i="1"/>
  <c r="AI2685" i="1"/>
  <c r="AJ2685" i="1"/>
  <c r="AK2685" i="1"/>
  <c r="AL2685" i="1"/>
  <c r="AM2685" i="1"/>
  <c r="A2686" i="1"/>
  <c r="B2686" i="1"/>
  <c r="C2686" i="1"/>
  <c r="D2686" i="1"/>
  <c r="E2686" i="1"/>
  <c r="F2686" i="1"/>
  <c r="G2686" i="1"/>
  <c r="H2686" i="1"/>
  <c r="I2686" i="1"/>
  <c r="J2686" i="1"/>
  <c r="K2686" i="1"/>
  <c r="L2686" i="1"/>
  <c r="M2686" i="1"/>
  <c r="N2686" i="1"/>
  <c r="O2686" i="1"/>
  <c r="P2686" i="1"/>
  <c r="Q2686" i="1"/>
  <c r="R2686" i="1"/>
  <c r="S2686" i="1"/>
  <c r="T2686" i="1"/>
  <c r="U2686" i="1"/>
  <c r="V2686" i="1"/>
  <c r="W2686" i="1"/>
  <c r="X2686" i="1"/>
  <c r="Y2686" i="1"/>
  <c r="Z2686" i="1"/>
  <c r="AA2686" i="1"/>
  <c r="AB2686" i="1"/>
  <c r="AC2686" i="1"/>
  <c r="AD2686" i="1"/>
  <c r="AE2686" i="1"/>
  <c r="AF2686" i="1"/>
  <c r="AG2686" i="1"/>
  <c r="AH2686" i="1"/>
  <c r="AI2686" i="1"/>
  <c r="AJ2686" i="1"/>
  <c r="AK2686" i="1"/>
  <c r="AL2686" i="1"/>
  <c r="AM2686" i="1"/>
  <c r="A2687" i="1"/>
  <c r="B2687" i="1"/>
  <c r="C2687" i="1"/>
  <c r="D2687" i="1"/>
  <c r="E2687" i="1"/>
  <c r="F2687" i="1"/>
  <c r="G2687" i="1"/>
  <c r="H2687" i="1"/>
  <c r="I2687" i="1"/>
  <c r="J2687" i="1"/>
  <c r="K2687" i="1"/>
  <c r="L2687" i="1"/>
  <c r="M2687" i="1"/>
  <c r="N2687" i="1"/>
  <c r="O2687" i="1"/>
  <c r="P2687" i="1"/>
  <c r="Q2687" i="1"/>
  <c r="R2687" i="1"/>
  <c r="S2687" i="1"/>
  <c r="T2687" i="1"/>
  <c r="U2687" i="1"/>
  <c r="V2687" i="1"/>
  <c r="W2687" i="1"/>
  <c r="X2687" i="1"/>
  <c r="Y2687" i="1"/>
  <c r="Z2687" i="1"/>
  <c r="AA2687" i="1"/>
  <c r="AB2687" i="1"/>
  <c r="AC2687" i="1"/>
  <c r="AD2687" i="1"/>
  <c r="AE2687" i="1"/>
  <c r="AF2687" i="1"/>
  <c r="AG2687" i="1"/>
  <c r="AH2687" i="1"/>
  <c r="AI2687" i="1"/>
  <c r="AJ2687" i="1"/>
  <c r="AK2687" i="1"/>
  <c r="AL2687" i="1"/>
  <c r="AM2687" i="1"/>
  <c r="A2688" i="1"/>
  <c r="B2688" i="1"/>
  <c r="C2688" i="1"/>
  <c r="D2688" i="1"/>
  <c r="E2688" i="1"/>
  <c r="F2688" i="1"/>
  <c r="G2688" i="1"/>
  <c r="H2688" i="1"/>
  <c r="I2688" i="1"/>
  <c r="J2688" i="1"/>
  <c r="K2688" i="1"/>
  <c r="L2688" i="1"/>
  <c r="M2688" i="1"/>
  <c r="N2688" i="1"/>
  <c r="O2688" i="1"/>
  <c r="P2688" i="1"/>
  <c r="Q2688" i="1"/>
  <c r="R2688" i="1"/>
  <c r="S2688" i="1"/>
  <c r="T2688" i="1"/>
  <c r="U2688" i="1"/>
  <c r="V2688" i="1"/>
  <c r="W2688" i="1"/>
  <c r="X2688" i="1"/>
  <c r="Y2688" i="1"/>
  <c r="Z2688" i="1"/>
  <c r="AA2688" i="1"/>
  <c r="AB2688" i="1"/>
  <c r="AC2688" i="1"/>
  <c r="AD2688" i="1"/>
  <c r="AE2688" i="1"/>
  <c r="AF2688" i="1"/>
  <c r="AG2688" i="1"/>
  <c r="AH2688" i="1"/>
  <c r="AI2688" i="1"/>
  <c r="AJ2688" i="1"/>
  <c r="AK2688" i="1"/>
  <c r="AL2688" i="1"/>
  <c r="AM2688" i="1"/>
  <c r="A2689" i="1"/>
  <c r="B2689" i="1"/>
  <c r="C2689" i="1"/>
  <c r="D2689" i="1"/>
  <c r="E2689" i="1"/>
  <c r="F2689" i="1"/>
  <c r="G2689" i="1"/>
  <c r="H2689" i="1"/>
  <c r="I2689" i="1"/>
  <c r="J2689" i="1"/>
  <c r="K2689" i="1"/>
  <c r="L2689" i="1"/>
  <c r="M2689" i="1"/>
  <c r="N2689" i="1"/>
  <c r="O2689" i="1"/>
  <c r="P2689" i="1"/>
  <c r="Q2689" i="1"/>
  <c r="R2689" i="1"/>
  <c r="S2689" i="1"/>
  <c r="T2689" i="1"/>
  <c r="U2689" i="1"/>
  <c r="V2689" i="1"/>
  <c r="W2689" i="1"/>
  <c r="X2689" i="1"/>
  <c r="Y2689" i="1"/>
  <c r="Z2689" i="1"/>
  <c r="AA2689" i="1"/>
  <c r="AB2689" i="1"/>
  <c r="AC2689" i="1"/>
  <c r="AD2689" i="1"/>
  <c r="AE2689" i="1"/>
  <c r="AF2689" i="1"/>
  <c r="AG2689" i="1"/>
  <c r="AH2689" i="1"/>
  <c r="AI2689" i="1"/>
  <c r="AJ2689" i="1"/>
  <c r="AK2689" i="1"/>
  <c r="AL2689" i="1"/>
  <c r="AM2689" i="1"/>
  <c r="A2690" i="1"/>
  <c r="B2690" i="1"/>
  <c r="C2690" i="1"/>
  <c r="D2690" i="1"/>
  <c r="E2690" i="1"/>
  <c r="F2690" i="1"/>
  <c r="G2690" i="1"/>
  <c r="H2690" i="1"/>
  <c r="I2690" i="1"/>
  <c r="J2690" i="1"/>
  <c r="K2690" i="1"/>
  <c r="L2690" i="1"/>
  <c r="M2690" i="1"/>
  <c r="N2690" i="1"/>
  <c r="O2690" i="1"/>
  <c r="P2690" i="1"/>
  <c r="Q2690" i="1"/>
  <c r="R2690" i="1"/>
  <c r="S2690" i="1"/>
  <c r="T2690" i="1"/>
  <c r="U2690" i="1"/>
  <c r="V2690" i="1"/>
  <c r="W2690" i="1"/>
  <c r="X2690" i="1"/>
  <c r="Y2690" i="1"/>
  <c r="Z2690" i="1"/>
  <c r="AA2690" i="1"/>
  <c r="AB2690" i="1"/>
  <c r="AC2690" i="1"/>
  <c r="AD2690" i="1"/>
  <c r="AE2690" i="1"/>
  <c r="AF2690" i="1"/>
  <c r="AG2690" i="1"/>
  <c r="AH2690" i="1"/>
  <c r="AI2690" i="1"/>
  <c r="AJ2690" i="1"/>
  <c r="AK2690" i="1"/>
  <c r="AL2690" i="1"/>
  <c r="AM2690" i="1"/>
  <c r="A2691" i="1"/>
  <c r="B2691" i="1"/>
  <c r="C2691" i="1"/>
  <c r="D2691" i="1"/>
  <c r="E2691" i="1"/>
  <c r="F2691" i="1"/>
  <c r="G2691" i="1"/>
  <c r="H2691" i="1"/>
  <c r="I2691" i="1"/>
  <c r="J2691" i="1"/>
  <c r="K2691" i="1"/>
  <c r="L2691" i="1"/>
  <c r="M2691" i="1"/>
  <c r="N2691" i="1"/>
  <c r="O2691" i="1"/>
  <c r="P2691" i="1"/>
  <c r="Q2691" i="1"/>
  <c r="R2691" i="1"/>
  <c r="S2691" i="1"/>
  <c r="T2691" i="1"/>
  <c r="U2691" i="1"/>
  <c r="V2691" i="1"/>
  <c r="W2691" i="1"/>
  <c r="X2691" i="1"/>
  <c r="Y2691" i="1"/>
  <c r="Z2691" i="1"/>
  <c r="AA2691" i="1"/>
  <c r="AB2691" i="1"/>
  <c r="AC2691" i="1"/>
  <c r="AD2691" i="1"/>
  <c r="AE2691" i="1"/>
  <c r="AF2691" i="1"/>
  <c r="AG2691" i="1"/>
  <c r="AH2691" i="1"/>
  <c r="AI2691" i="1"/>
  <c r="AJ2691" i="1"/>
  <c r="AK2691" i="1"/>
  <c r="AL2691" i="1"/>
  <c r="AM2691" i="1"/>
  <c r="A2692" i="1"/>
  <c r="B2692" i="1"/>
  <c r="C2692" i="1"/>
  <c r="D2692" i="1"/>
  <c r="E2692" i="1"/>
  <c r="F2692" i="1"/>
  <c r="G2692" i="1"/>
  <c r="H2692" i="1"/>
  <c r="I2692" i="1"/>
  <c r="J2692" i="1"/>
  <c r="K2692" i="1"/>
  <c r="L2692" i="1"/>
  <c r="M2692" i="1"/>
  <c r="N2692" i="1"/>
  <c r="O2692" i="1"/>
  <c r="P2692" i="1"/>
  <c r="Q2692" i="1"/>
  <c r="R2692" i="1"/>
  <c r="S2692" i="1"/>
  <c r="T2692" i="1"/>
  <c r="U2692" i="1"/>
  <c r="V2692" i="1"/>
  <c r="W2692" i="1"/>
  <c r="X2692" i="1"/>
  <c r="Y2692" i="1"/>
  <c r="Z2692" i="1"/>
  <c r="AA2692" i="1"/>
  <c r="AB2692" i="1"/>
  <c r="AC2692" i="1"/>
  <c r="AD2692" i="1"/>
  <c r="AE2692" i="1"/>
  <c r="AF2692" i="1"/>
  <c r="AG2692" i="1"/>
  <c r="AH2692" i="1"/>
  <c r="AI2692" i="1"/>
  <c r="AJ2692" i="1"/>
  <c r="AK2692" i="1"/>
  <c r="AL2692" i="1"/>
  <c r="AM2692" i="1"/>
  <c r="A2693" i="1"/>
  <c r="B2693" i="1"/>
  <c r="C2693" i="1"/>
  <c r="D2693" i="1"/>
  <c r="E2693" i="1"/>
  <c r="F2693" i="1"/>
  <c r="G2693" i="1"/>
  <c r="H2693" i="1"/>
  <c r="I2693" i="1"/>
  <c r="J2693" i="1"/>
  <c r="K2693" i="1"/>
  <c r="L2693" i="1"/>
  <c r="M2693" i="1"/>
  <c r="N2693" i="1"/>
  <c r="O2693" i="1"/>
  <c r="P2693" i="1"/>
  <c r="Q2693" i="1"/>
  <c r="R2693" i="1"/>
  <c r="S2693" i="1"/>
  <c r="T2693" i="1"/>
  <c r="U2693" i="1"/>
  <c r="V2693" i="1"/>
  <c r="W2693" i="1"/>
  <c r="X2693" i="1"/>
  <c r="Y2693" i="1"/>
  <c r="Z2693" i="1"/>
  <c r="AA2693" i="1"/>
  <c r="AB2693" i="1"/>
  <c r="AC2693" i="1"/>
  <c r="AD2693" i="1"/>
  <c r="AE2693" i="1"/>
  <c r="AF2693" i="1"/>
  <c r="AG2693" i="1"/>
  <c r="AH2693" i="1"/>
  <c r="AI2693" i="1"/>
  <c r="AJ2693" i="1"/>
  <c r="AK2693" i="1"/>
  <c r="AL2693" i="1"/>
  <c r="AM2693" i="1"/>
  <c r="A2694" i="1"/>
  <c r="B2694" i="1"/>
  <c r="C2694" i="1"/>
  <c r="D2694" i="1"/>
  <c r="E2694" i="1"/>
  <c r="F2694" i="1"/>
  <c r="G2694" i="1"/>
  <c r="H2694" i="1"/>
  <c r="I2694" i="1"/>
  <c r="J2694" i="1"/>
  <c r="K2694" i="1"/>
  <c r="L2694" i="1"/>
  <c r="M2694" i="1"/>
  <c r="N2694" i="1"/>
  <c r="O2694" i="1"/>
  <c r="P2694" i="1"/>
  <c r="Q2694" i="1"/>
  <c r="R2694" i="1"/>
  <c r="S2694" i="1"/>
  <c r="T2694" i="1"/>
  <c r="U2694" i="1"/>
  <c r="V2694" i="1"/>
  <c r="W2694" i="1"/>
  <c r="X2694" i="1"/>
  <c r="Y2694" i="1"/>
  <c r="Z2694" i="1"/>
  <c r="AA2694" i="1"/>
  <c r="AB2694" i="1"/>
  <c r="AC2694" i="1"/>
  <c r="AD2694" i="1"/>
  <c r="AE2694" i="1"/>
  <c r="AF2694" i="1"/>
  <c r="AG2694" i="1"/>
  <c r="AH2694" i="1"/>
  <c r="AI2694" i="1"/>
  <c r="AJ2694" i="1"/>
  <c r="AK2694" i="1"/>
  <c r="AL2694" i="1"/>
  <c r="AM2694" i="1"/>
  <c r="A2695" i="1"/>
  <c r="B2695" i="1"/>
  <c r="C2695" i="1"/>
  <c r="D2695" i="1"/>
  <c r="E2695" i="1"/>
  <c r="F2695" i="1"/>
  <c r="G2695" i="1"/>
  <c r="H2695" i="1"/>
  <c r="I2695" i="1"/>
  <c r="J2695" i="1"/>
  <c r="K2695" i="1"/>
  <c r="L2695" i="1"/>
  <c r="M2695" i="1"/>
  <c r="N2695" i="1"/>
  <c r="O2695" i="1"/>
  <c r="P2695" i="1"/>
  <c r="Q2695" i="1"/>
  <c r="R2695" i="1"/>
  <c r="S2695" i="1"/>
  <c r="T2695" i="1"/>
  <c r="U2695" i="1"/>
  <c r="V2695" i="1"/>
  <c r="W2695" i="1"/>
  <c r="X2695" i="1"/>
  <c r="Y2695" i="1"/>
  <c r="Z2695" i="1"/>
  <c r="AA2695" i="1"/>
  <c r="AB2695" i="1"/>
  <c r="AC2695" i="1"/>
  <c r="AD2695" i="1"/>
  <c r="AE2695" i="1"/>
  <c r="AF2695" i="1"/>
  <c r="AG2695" i="1"/>
  <c r="AH2695" i="1"/>
  <c r="AI2695" i="1"/>
  <c r="AJ2695" i="1"/>
  <c r="AK2695" i="1"/>
  <c r="AL2695" i="1"/>
  <c r="AM2695" i="1"/>
  <c r="A2696" i="1"/>
  <c r="B2696" i="1"/>
  <c r="C2696" i="1"/>
  <c r="D2696" i="1"/>
  <c r="E2696" i="1"/>
  <c r="F2696" i="1"/>
  <c r="G2696" i="1"/>
  <c r="H2696" i="1"/>
  <c r="I2696" i="1"/>
  <c r="J2696" i="1"/>
  <c r="K2696" i="1"/>
  <c r="L2696" i="1"/>
  <c r="M2696" i="1"/>
  <c r="N2696" i="1"/>
  <c r="O2696" i="1"/>
  <c r="P2696" i="1"/>
  <c r="Q2696" i="1"/>
  <c r="R2696" i="1"/>
  <c r="S2696" i="1"/>
  <c r="T2696" i="1"/>
  <c r="U2696" i="1"/>
  <c r="V2696" i="1"/>
  <c r="W2696" i="1"/>
  <c r="X2696" i="1"/>
  <c r="Y2696" i="1"/>
  <c r="Z2696" i="1"/>
  <c r="AA2696" i="1"/>
  <c r="AB2696" i="1"/>
  <c r="AC2696" i="1"/>
  <c r="AD2696" i="1"/>
  <c r="AE2696" i="1"/>
  <c r="AF2696" i="1"/>
  <c r="AG2696" i="1"/>
  <c r="AH2696" i="1"/>
  <c r="AI2696" i="1"/>
  <c r="AJ2696" i="1"/>
  <c r="AK2696" i="1"/>
  <c r="AL2696" i="1"/>
  <c r="AM2696" i="1"/>
  <c r="A2697" i="1"/>
  <c r="B2697" i="1"/>
  <c r="C2697" i="1"/>
  <c r="D2697" i="1"/>
  <c r="E2697" i="1"/>
  <c r="F2697" i="1"/>
  <c r="G2697" i="1"/>
  <c r="H2697" i="1"/>
  <c r="I2697" i="1"/>
  <c r="J2697" i="1"/>
  <c r="K2697" i="1"/>
  <c r="L2697" i="1"/>
  <c r="M2697" i="1"/>
  <c r="N2697" i="1"/>
  <c r="O2697" i="1"/>
  <c r="P2697" i="1"/>
  <c r="Q2697" i="1"/>
  <c r="R2697" i="1"/>
  <c r="S2697" i="1"/>
  <c r="T2697" i="1"/>
  <c r="U2697" i="1"/>
  <c r="V2697" i="1"/>
  <c r="W2697" i="1"/>
  <c r="X2697" i="1"/>
  <c r="Y2697" i="1"/>
  <c r="Z2697" i="1"/>
  <c r="AA2697" i="1"/>
  <c r="AB2697" i="1"/>
  <c r="AC2697" i="1"/>
  <c r="AD2697" i="1"/>
  <c r="AE2697" i="1"/>
  <c r="AF2697" i="1"/>
  <c r="AG2697" i="1"/>
  <c r="AH2697" i="1"/>
  <c r="AI2697" i="1"/>
  <c r="AJ2697" i="1"/>
  <c r="AK2697" i="1"/>
  <c r="AL2697" i="1"/>
  <c r="AM2697" i="1"/>
  <c r="A2698" i="1"/>
  <c r="B2698" i="1"/>
  <c r="C2698" i="1"/>
  <c r="D2698" i="1"/>
  <c r="E2698" i="1"/>
  <c r="F2698" i="1"/>
  <c r="G2698" i="1"/>
  <c r="H2698" i="1"/>
  <c r="I2698" i="1"/>
  <c r="J2698" i="1"/>
  <c r="K2698" i="1"/>
  <c r="L2698" i="1"/>
  <c r="M2698" i="1"/>
  <c r="N2698" i="1"/>
  <c r="O2698" i="1"/>
  <c r="P2698" i="1"/>
  <c r="Q2698" i="1"/>
  <c r="R2698" i="1"/>
  <c r="S2698" i="1"/>
  <c r="T2698" i="1"/>
  <c r="U2698" i="1"/>
  <c r="V2698" i="1"/>
  <c r="W2698" i="1"/>
  <c r="X2698" i="1"/>
  <c r="Y2698" i="1"/>
  <c r="Z2698" i="1"/>
  <c r="AA2698" i="1"/>
  <c r="AB2698" i="1"/>
  <c r="AC2698" i="1"/>
  <c r="AD2698" i="1"/>
  <c r="AE2698" i="1"/>
  <c r="AF2698" i="1"/>
  <c r="AG2698" i="1"/>
  <c r="AH2698" i="1"/>
  <c r="AI2698" i="1"/>
  <c r="AJ2698" i="1"/>
  <c r="AK2698" i="1"/>
  <c r="AL2698" i="1"/>
  <c r="AM2698" i="1"/>
  <c r="A2699" i="1"/>
  <c r="B2699" i="1"/>
  <c r="C2699" i="1"/>
  <c r="D2699" i="1"/>
  <c r="E2699" i="1"/>
  <c r="F2699" i="1"/>
  <c r="G2699" i="1"/>
  <c r="H2699" i="1"/>
  <c r="I2699" i="1"/>
  <c r="J2699" i="1"/>
  <c r="K2699" i="1"/>
  <c r="L2699" i="1"/>
  <c r="M2699" i="1"/>
  <c r="N2699" i="1"/>
  <c r="O2699" i="1"/>
  <c r="P2699" i="1"/>
  <c r="Q2699" i="1"/>
  <c r="R2699" i="1"/>
  <c r="S2699" i="1"/>
  <c r="T2699" i="1"/>
  <c r="U2699" i="1"/>
  <c r="V2699" i="1"/>
  <c r="W2699" i="1"/>
  <c r="X2699" i="1"/>
  <c r="Y2699" i="1"/>
  <c r="Z2699" i="1"/>
  <c r="AA2699" i="1"/>
  <c r="AB2699" i="1"/>
  <c r="AC2699" i="1"/>
  <c r="AD2699" i="1"/>
  <c r="AE2699" i="1"/>
  <c r="AF2699" i="1"/>
  <c r="AG2699" i="1"/>
  <c r="AH2699" i="1"/>
  <c r="AI2699" i="1"/>
  <c r="AJ2699" i="1"/>
  <c r="AK2699" i="1"/>
  <c r="AL2699" i="1"/>
  <c r="AM2699" i="1"/>
  <c r="A2700" i="1"/>
  <c r="B2700" i="1"/>
  <c r="C2700" i="1"/>
  <c r="D2700" i="1"/>
  <c r="E2700" i="1"/>
  <c r="F2700" i="1"/>
  <c r="G2700" i="1"/>
  <c r="H2700" i="1"/>
  <c r="I2700" i="1"/>
  <c r="J2700" i="1"/>
  <c r="K2700" i="1"/>
  <c r="L2700" i="1"/>
  <c r="M2700" i="1"/>
  <c r="N2700" i="1"/>
  <c r="O2700" i="1"/>
  <c r="P2700" i="1"/>
  <c r="Q2700" i="1"/>
  <c r="R2700" i="1"/>
  <c r="S2700" i="1"/>
  <c r="T2700" i="1"/>
  <c r="U2700" i="1"/>
  <c r="V2700" i="1"/>
  <c r="W2700" i="1"/>
  <c r="X2700" i="1"/>
  <c r="Y2700" i="1"/>
  <c r="Z2700" i="1"/>
  <c r="AA2700" i="1"/>
  <c r="AB2700" i="1"/>
  <c r="AC2700" i="1"/>
  <c r="AD2700" i="1"/>
  <c r="AE2700" i="1"/>
  <c r="AF2700" i="1"/>
  <c r="AG2700" i="1"/>
  <c r="AH2700" i="1"/>
  <c r="AI2700" i="1"/>
  <c r="AJ2700" i="1"/>
  <c r="AK2700" i="1"/>
  <c r="AL2700" i="1"/>
  <c r="AM2700" i="1"/>
  <c r="A2701" i="1"/>
  <c r="B2701" i="1"/>
  <c r="C2701" i="1"/>
  <c r="D2701" i="1"/>
  <c r="E2701" i="1"/>
  <c r="F2701" i="1"/>
  <c r="G2701" i="1"/>
  <c r="H2701" i="1"/>
  <c r="I2701" i="1"/>
  <c r="J2701" i="1"/>
  <c r="K2701" i="1"/>
  <c r="L2701" i="1"/>
  <c r="M2701" i="1"/>
  <c r="N2701" i="1"/>
  <c r="O2701" i="1"/>
  <c r="P2701" i="1"/>
  <c r="Q2701" i="1"/>
  <c r="R2701" i="1"/>
  <c r="S2701" i="1"/>
  <c r="T2701" i="1"/>
  <c r="U2701" i="1"/>
  <c r="V2701" i="1"/>
  <c r="W2701" i="1"/>
  <c r="X2701" i="1"/>
  <c r="Y2701" i="1"/>
  <c r="Z2701" i="1"/>
  <c r="AA2701" i="1"/>
  <c r="AB2701" i="1"/>
  <c r="AC2701" i="1"/>
  <c r="AD2701" i="1"/>
  <c r="AE2701" i="1"/>
  <c r="AF2701" i="1"/>
  <c r="AG2701" i="1"/>
  <c r="AH2701" i="1"/>
  <c r="AI2701" i="1"/>
  <c r="AJ2701" i="1"/>
  <c r="AK2701" i="1"/>
  <c r="AL2701" i="1"/>
  <c r="AM2701" i="1"/>
  <c r="A2702" i="1"/>
  <c r="B2702" i="1"/>
  <c r="C2702" i="1"/>
  <c r="D2702" i="1"/>
  <c r="E2702" i="1"/>
  <c r="F2702" i="1"/>
  <c r="G2702" i="1"/>
  <c r="H2702" i="1"/>
  <c r="I2702" i="1"/>
  <c r="J2702" i="1"/>
  <c r="K2702" i="1"/>
  <c r="L2702" i="1"/>
  <c r="M2702" i="1"/>
  <c r="N2702" i="1"/>
  <c r="O2702" i="1"/>
  <c r="P2702" i="1"/>
  <c r="Q2702" i="1"/>
  <c r="R2702" i="1"/>
  <c r="S2702" i="1"/>
  <c r="T2702" i="1"/>
  <c r="U2702" i="1"/>
  <c r="V2702" i="1"/>
  <c r="W2702" i="1"/>
  <c r="X2702" i="1"/>
  <c r="Y2702" i="1"/>
  <c r="Z2702" i="1"/>
  <c r="AA2702" i="1"/>
  <c r="AB2702" i="1"/>
  <c r="AC2702" i="1"/>
  <c r="AD2702" i="1"/>
  <c r="AE2702" i="1"/>
  <c r="AF2702" i="1"/>
  <c r="AG2702" i="1"/>
  <c r="AH2702" i="1"/>
  <c r="AI2702" i="1"/>
  <c r="AJ2702" i="1"/>
  <c r="AK2702" i="1"/>
  <c r="AL2702" i="1"/>
  <c r="AM2702" i="1"/>
  <c r="A2703" i="1"/>
  <c r="B2703" i="1"/>
  <c r="C2703" i="1"/>
  <c r="D2703" i="1"/>
  <c r="E2703" i="1"/>
  <c r="F2703" i="1"/>
  <c r="G2703" i="1"/>
  <c r="H2703" i="1"/>
  <c r="I2703" i="1"/>
  <c r="J2703" i="1"/>
  <c r="K2703" i="1"/>
  <c r="L2703" i="1"/>
  <c r="M2703" i="1"/>
  <c r="N2703" i="1"/>
  <c r="O2703" i="1"/>
  <c r="P2703" i="1"/>
  <c r="Q2703" i="1"/>
  <c r="R2703" i="1"/>
  <c r="S2703" i="1"/>
  <c r="T2703" i="1"/>
  <c r="U2703" i="1"/>
  <c r="V2703" i="1"/>
  <c r="W2703" i="1"/>
  <c r="X2703" i="1"/>
  <c r="Y2703" i="1"/>
  <c r="Z2703" i="1"/>
  <c r="AA2703" i="1"/>
  <c r="AB2703" i="1"/>
  <c r="AC2703" i="1"/>
  <c r="AD2703" i="1"/>
  <c r="AE2703" i="1"/>
  <c r="AF2703" i="1"/>
  <c r="AG2703" i="1"/>
  <c r="AH2703" i="1"/>
  <c r="AI2703" i="1"/>
  <c r="AJ2703" i="1"/>
  <c r="AK2703" i="1"/>
  <c r="AL2703" i="1"/>
  <c r="AM2703" i="1"/>
  <c r="A2704" i="1"/>
  <c r="B2704" i="1"/>
  <c r="C2704" i="1"/>
  <c r="D2704" i="1"/>
  <c r="E2704" i="1"/>
  <c r="F2704" i="1"/>
  <c r="G2704" i="1"/>
  <c r="H2704" i="1"/>
  <c r="I2704" i="1"/>
  <c r="J2704" i="1"/>
  <c r="K2704" i="1"/>
  <c r="L2704" i="1"/>
  <c r="M2704" i="1"/>
  <c r="N2704" i="1"/>
  <c r="O2704" i="1"/>
  <c r="P2704" i="1"/>
  <c r="Q2704" i="1"/>
  <c r="R2704" i="1"/>
  <c r="S2704" i="1"/>
  <c r="T2704" i="1"/>
  <c r="U2704" i="1"/>
  <c r="V2704" i="1"/>
  <c r="W2704" i="1"/>
  <c r="X2704" i="1"/>
  <c r="Y2704" i="1"/>
  <c r="Z2704" i="1"/>
  <c r="AA2704" i="1"/>
  <c r="AB2704" i="1"/>
  <c r="AC2704" i="1"/>
  <c r="AD2704" i="1"/>
  <c r="AE2704" i="1"/>
  <c r="AF2704" i="1"/>
  <c r="AG2704" i="1"/>
  <c r="AH2704" i="1"/>
  <c r="AI2704" i="1"/>
  <c r="AJ2704" i="1"/>
  <c r="AK2704" i="1"/>
  <c r="AL2704" i="1"/>
  <c r="AM2704" i="1"/>
  <c r="A2705" i="1"/>
  <c r="B2705" i="1"/>
  <c r="C2705" i="1"/>
  <c r="D2705" i="1"/>
  <c r="E2705" i="1"/>
  <c r="F2705" i="1"/>
  <c r="G2705" i="1"/>
  <c r="H2705" i="1"/>
  <c r="I2705" i="1"/>
  <c r="J2705" i="1"/>
  <c r="K2705" i="1"/>
  <c r="L2705" i="1"/>
  <c r="M2705" i="1"/>
  <c r="N2705" i="1"/>
  <c r="O2705" i="1"/>
  <c r="P2705" i="1"/>
  <c r="Q2705" i="1"/>
  <c r="R2705" i="1"/>
  <c r="S2705" i="1"/>
  <c r="T2705" i="1"/>
  <c r="U2705" i="1"/>
  <c r="V2705" i="1"/>
  <c r="W2705" i="1"/>
  <c r="X2705" i="1"/>
  <c r="Y2705" i="1"/>
  <c r="Z2705" i="1"/>
  <c r="AA2705" i="1"/>
  <c r="AB2705" i="1"/>
  <c r="AC2705" i="1"/>
  <c r="AD2705" i="1"/>
  <c r="AE2705" i="1"/>
  <c r="AF2705" i="1"/>
  <c r="AG2705" i="1"/>
  <c r="AH2705" i="1"/>
  <c r="AI2705" i="1"/>
  <c r="AJ2705" i="1"/>
  <c r="AK2705" i="1"/>
  <c r="AL2705" i="1"/>
  <c r="AM2705" i="1"/>
  <c r="A2706" i="1"/>
  <c r="B2706" i="1"/>
  <c r="C2706" i="1"/>
  <c r="D2706" i="1"/>
  <c r="E2706" i="1"/>
  <c r="F2706" i="1"/>
  <c r="G2706" i="1"/>
  <c r="H2706" i="1"/>
  <c r="I2706" i="1"/>
  <c r="J2706" i="1"/>
  <c r="K2706" i="1"/>
  <c r="L2706" i="1"/>
  <c r="M2706" i="1"/>
  <c r="N2706" i="1"/>
  <c r="O2706" i="1"/>
  <c r="P2706" i="1"/>
  <c r="Q2706" i="1"/>
  <c r="R2706" i="1"/>
  <c r="S2706" i="1"/>
  <c r="T2706" i="1"/>
  <c r="U2706" i="1"/>
  <c r="V2706" i="1"/>
  <c r="W2706" i="1"/>
  <c r="X2706" i="1"/>
  <c r="Y2706" i="1"/>
  <c r="Z2706" i="1"/>
  <c r="AA2706" i="1"/>
  <c r="AB2706" i="1"/>
  <c r="AC2706" i="1"/>
  <c r="AD2706" i="1"/>
  <c r="AE2706" i="1"/>
  <c r="AF2706" i="1"/>
  <c r="AG2706" i="1"/>
  <c r="AH2706" i="1"/>
  <c r="AI2706" i="1"/>
  <c r="AJ2706" i="1"/>
  <c r="AK2706" i="1"/>
  <c r="AL2706" i="1"/>
  <c r="AM2706" i="1"/>
  <c r="A2707" i="1"/>
  <c r="B2707" i="1"/>
  <c r="C2707" i="1"/>
  <c r="D2707" i="1"/>
  <c r="E2707" i="1"/>
  <c r="F2707" i="1"/>
  <c r="G2707" i="1"/>
  <c r="H2707" i="1"/>
  <c r="I2707" i="1"/>
  <c r="J2707" i="1"/>
  <c r="K2707" i="1"/>
  <c r="L2707" i="1"/>
  <c r="M2707" i="1"/>
  <c r="N2707" i="1"/>
  <c r="O2707" i="1"/>
  <c r="P2707" i="1"/>
  <c r="Q2707" i="1"/>
  <c r="R2707" i="1"/>
  <c r="S2707" i="1"/>
  <c r="T2707" i="1"/>
  <c r="U2707" i="1"/>
  <c r="V2707" i="1"/>
  <c r="W2707" i="1"/>
  <c r="X2707" i="1"/>
  <c r="Y2707" i="1"/>
  <c r="Z2707" i="1"/>
  <c r="AA2707" i="1"/>
  <c r="AB2707" i="1"/>
  <c r="AC2707" i="1"/>
  <c r="AD2707" i="1"/>
  <c r="AE2707" i="1"/>
  <c r="AF2707" i="1"/>
  <c r="AG2707" i="1"/>
  <c r="AH2707" i="1"/>
  <c r="AI2707" i="1"/>
  <c r="AJ2707" i="1"/>
  <c r="AK2707" i="1"/>
  <c r="AL2707" i="1"/>
  <c r="AM2707" i="1"/>
  <c r="A2708" i="1"/>
  <c r="B2708" i="1"/>
  <c r="C2708" i="1"/>
  <c r="D2708" i="1"/>
  <c r="E2708" i="1"/>
  <c r="F2708" i="1"/>
  <c r="G2708" i="1"/>
  <c r="H2708" i="1"/>
  <c r="I2708" i="1"/>
  <c r="J2708" i="1"/>
  <c r="K2708" i="1"/>
  <c r="L2708" i="1"/>
  <c r="M2708" i="1"/>
  <c r="N2708" i="1"/>
  <c r="O2708" i="1"/>
  <c r="P2708" i="1"/>
  <c r="Q2708" i="1"/>
  <c r="R2708" i="1"/>
  <c r="S2708" i="1"/>
  <c r="T2708" i="1"/>
  <c r="U2708" i="1"/>
  <c r="V2708" i="1"/>
  <c r="W2708" i="1"/>
  <c r="X2708" i="1"/>
  <c r="Y2708" i="1"/>
  <c r="Z2708" i="1"/>
  <c r="AA2708" i="1"/>
  <c r="AB2708" i="1"/>
  <c r="AC2708" i="1"/>
  <c r="AD2708" i="1"/>
  <c r="AE2708" i="1"/>
  <c r="AF2708" i="1"/>
  <c r="AG2708" i="1"/>
  <c r="AH2708" i="1"/>
  <c r="AI2708" i="1"/>
  <c r="AJ2708" i="1"/>
  <c r="AK2708" i="1"/>
  <c r="AL2708" i="1"/>
  <c r="AM2708" i="1"/>
  <c r="A2709" i="1"/>
  <c r="B2709" i="1"/>
  <c r="C2709" i="1"/>
  <c r="D2709" i="1"/>
  <c r="E2709" i="1"/>
  <c r="F2709" i="1"/>
  <c r="G2709" i="1"/>
  <c r="H2709" i="1"/>
  <c r="I2709" i="1"/>
  <c r="J2709" i="1"/>
  <c r="K2709" i="1"/>
  <c r="L2709" i="1"/>
  <c r="M2709" i="1"/>
  <c r="N2709" i="1"/>
  <c r="O2709" i="1"/>
  <c r="P2709" i="1"/>
  <c r="Q2709" i="1"/>
  <c r="R2709" i="1"/>
  <c r="S2709" i="1"/>
  <c r="T2709" i="1"/>
  <c r="U2709" i="1"/>
  <c r="V2709" i="1"/>
  <c r="W2709" i="1"/>
  <c r="X2709" i="1"/>
  <c r="Y2709" i="1"/>
  <c r="Z2709" i="1"/>
  <c r="AA2709" i="1"/>
  <c r="AB2709" i="1"/>
  <c r="AC2709" i="1"/>
  <c r="AD2709" i="1"/>
  <c r="AE2709" i="1"/>
  <c r="AF2709" i="1"/>
  <c r="AG2709" i="1"/>
  <c r="AH2709" i="1"/>
  <c r="AI2709" i="1"/>
  <c r="AJ2709" i="1"/>
  <c r="AK2709" i="1"/>
  <c r="AL2709" i="1"/>
  <c r="AM2709" i="1"/>
  <c r="A2710" i="1"/>
  <c r="B2710" i="1"/>
  <c r="C2710" i="1"/>
  <c r="D2710" i="1"/>
  <c r="E2710" i="1"/>
  <c r="F2710" i="1"/>
  <c r="G2710" i="1"/>
  <c r="H2710" i="1"/>
  <c r="I2710" i="1"/>
  <c r="J2710" i="1"/>
  <c r="K2710" i="1"/>
  <c r="L2710" i="1"/>
  <c r="M2710" i="1"/>
  <c r="N2710" i="1"/>
  <c r="O2710" i="1"/>
  <c r="P2710" i="1"/>
  <c r="Q2710" i="1"/>
  <c r="R2710" i="1"/>
  <c r="S2710" i="1"/>
  <c r="T2710" i="1"/>
  <c r="U2710" i="1"/>
  <c r="V2710" i="1"/>
  <c r="W2710" i="1"/>
  <c r="X2710" i="1"/>
  <c r="Y2710" i="1"/>
  <c r="Z2710" i="1"/>
  <c r="AA2710" i="1"/>
  <c r="AB2710" i="1"/>
  <c r="AC2710" i="1"/>
  <c r="AD2710" i="1"/>
  <c r="AE2710" i="1"/>
  <c r="AF2710" i="1"/>
  <c r="AG2710" i="1"/>
  <c r="AH2710" i="1"/>
  <c r="AI2710" i="1"/>
  <c r="AJ2710" i="1"/>
  <c r="AK2710" i="1"/>
  <c r="AL2710" i="1"/>
  <c r="AM2710" i="1"/>
  <c r="A2711" i="1"/>
  <c r="B2711" i="1"/>
  <c r="C2711" i="1"/>
  <c r="D2711" i="1"/>
  <c r="E2711" i="1"/>
  <c r="F2711" i="1"/>
  <c r="G2711" i="1"/>
  <c r="H2711" i="1"/>
  <c r="I2711" i="1"/>
  <c r="J2711" i="1"/>
  <c r="K2711" i="1"/>
  <c r="L2711" i="1"/>
  <c r="M2711" i="1"/>
  <c r="N2711" i="1"/>
  <c r="O2711" i="1"/>
  <c r="P2711" i="1"/>
  <c r="Q2711" i="1"/>
  <c r="R2711" i="1"/>
  <c r="S2711" i="1"/>
  <c r="T2711" i="1"/>
  <c r="U2711" i="1"/>
  <c r="V2711" i="1"/>
  <c r="W2711" i="1"/>
  <c r="X2711" i="1"/>
  <c r="Y2711" i="1"/>
  <c r="Z2711" i="1"/>
  <c r="AA2711" i="1"/>
  <c r="AB2711" i="1"/>
  <c r="AC2711" i="1"/>
  <c r="AD2711" i="1"/>
  <c r="AE2711" i="1"/>
  <c r="AF2711" i="1"/>
  <c r="AG2711" i="1"/>
  <c r="AH2711" i="1"/>
  <c r="AI2711" i="1"/>
  <c r="AJ2711" i="1"/>
  <c r="AK2711" i="1"/>
  <c r="AL2711" i="1"/>
  <c r="AM2711" i="1"/>
  <c r="A2712" i="1"/>
  <c r="B2712" i="1"/>
  <c r="C2712" i="1"/>
  <c r="D2712" i="1"/>
  <c r="E2712" i="1"/>
  <c r="F2712" i="1"/>
  <c r="G2712" i="1"/>
  <c r="H2712" i="1"/>
  <c r="I2712" i="1"/>
  <c r="J2712" i="1"/>
  <c r="K2712" i="1"/>
  <c r="L2712" i="1"/>
  <c r="M2712" i="1"/>
  <c r="N2712" i="1"/>
  <c r="O2712" i="1"/>
  <c r="P2712" i="1"/>
  <c r="Q2712" i="1"/>
  <c r="R2712" i="1"/>
  <c r="S2712" i="1"/>
  <c r="T2712" i="1"/>
  <c r="U2712" i="1"/>
  <c r="V2712" i="1"/>
  <c r="W2712" i="1"/>
  <c r="X2712" i="1"/>
  <c r="Y2712" i="1"/>
  <c r="Z2712" i="1"/>
  <c r="AA2712" i="1"/>
  <c r="AB2712" i="1"/>
  <c r="AC2712" i="1"/>
  <c r="AD2712" i="1"/>
  <c r="AE2712" i="1"/>
  <c r="AF2712" i="1"/>
  <c r="AG2712" i="1"/>
  <c r="AH2712" i="1"/>
  <c r="AI2712" i="1"/>
  <c r="AJ2712" i="1"/>
  <c r="AK2712" i="1"/>
  <c r="AL2712" i="1"/>
  <c r="AM2712" i="1"/>
  <c r="A2713" i="1"/>
  <c r="B2713" i="1"/>
  <c r="C2713" i="1"/>
  <c r="D2713" i="1"/>
  <c r="E2713" i="1"/>
  <c r="F2713" i="1"/>
  <c r="G2713" i="1"/>
  <c r="H2713" i="1"/>
  <c r="I2713" i="1"/>
  <c r="J2713" i="1"/>
  <c r="K2713" i="1"/>
  <c r="L2713" i="1"/>
  <c r="M2713" i="1"/>
  <c r="N2713" i="1"/>
  <c r="O2713" i="1"/>
  <c r="P2713" i="1"/>
  <c r="Q2713" i="1"/>
  <c r="R2713" i="1"/>
  <c r="S2713" i="1"/>
  <c r="T2713" i="1"/>
  <c r="U2713" i="1"/>
  <c r="V2713" i="1"/>
  <c r="W2713" i="1"/>
  <c r="X2713" i="1"/>
  <c r="Y2713" i="1"/>
  <c r="Z2713" i="1"/>
  <c r="AA2713" i="1"/>
  <c r="AB2713" i="1"/>
  <c r="AC2713" i="1"/>
  <c r="AD2713" i="1"/>
  <c r="AE2713" i="1"/>
  <c r="AF2713" i="1"/>
  <c r="AG2713" i="1"/>
  <c r="AH2713" i="1"/>
  <c r="AI2713" i="1"/>
  <c r="AJ2713" i="1"/>
  <c r="AK2713" i="1"/>
  <c r="AL2713" i="1"/>
  <c r="AM2713" i="1"/>
  <c r="A2714" i="1"/>
  <c r="B2714" i="1"/>
  <c r="C2714" i="1"/>
  <c r="D2714" i="1"/>
  <c r="E2714" i="1"/>
  <c r="F2714" i="1"/>
  <c r="G2714" i="1"/>
  <c r="H2714" i="1"/>
  <c r="I2714" i="1"/>
  <c r="J2714" i="1"/>
  <c r="K2714" i="1"/>
  <c r="L2714" i="1"/>
  <c r="M2714" i="1"/>
  <c r="N2714" i="1"/>
  <c r="O2714" i="1"/>
  <c r="P2714" i="1"/>
  <c r="Q2714" i="1"/>
  <c r="R2714" i="1"/>
  <c r="S2714" i="1"/>
  <c r="T2714" i="1"/>
  <c r="U2714" i="1"/>
  <c r="V2714" i="1"/>
  <c r="W2714" i="1"/>
  <c r="X2714" i="1"/>
  <c r="Y2714" i="1"/>
  <c r="Z2714" i="1"/>
  <c r="AA2714" i="1"/>
  <c r="AB2714" i="1"/>
  <c r="AC2714" i="1"/>
  <c r="AD2714" i="1"/>
  <c r="AE2714" i="1"/>
  <c r="AF2714" i="1"/>
  <c r="AG2714" i="1"/>
  <c r="AH2714" i="1"/>
  <c r="AI2714" i="1"/>
  <c r="AJ2714" i="1"/>
  <c r="AK2714" i="1"/>
  <c r="AL2714" i="1"/>
  <c r="AM2714" i="1"/>
  <c r="A2715" i="1"/>
  <c r="B2715" i="1"/>
  <c r="C2715" i="1"/>
  <c r="D2715" i="1"/>
  <c r="E2715" i="1"/>
  <c r="F2715" i="1"/>
  <c r="G2715" i="1"/>
  <c r="H2715" i="1"/>
  <c r="I2715" i="1"/>
  <c r="J2715" i="1"/>
  <c r="K2715" i="1"/>
  <c r="L2715" i="1"/>
  <c r="M2715" i="1"/>
  <c r="N2715" i="1"/>
  <c r="O2715" i="1"/>
  <c r="P2715" i="1"/>
  <c r="Q2715" i="1"/>
  <c r="R2715" i="1"/>
  <c r="S2715" i="1"/>
  <c r="T2715" i="1"/>
  <c r="U2715" i="1"/>
  <c r="V2715" i="1"/>
  <c r="W2715" i="1"/>
  <c r="X2715" i="1"/>
  <c r="Y2715" i="1"/>
  <c r="Z2715" i="1"/>
  <c r="AA2715" i="1"/>
  <c r="AB2715" i="1"/>
  <c r="AC2715" i="1"/>
  <c r="AD2715" i="1"/>
  <c r="AE2715" i="1"/>
  <c r="AF2715" i="1"/>
  <c r="AG2715" i="1"/>
  <c r="AH2715" i="1"/>
  <c r="AI2715" i="1"/>
  <c r="AJ2715" i="1"/>
  <c r="AK2715" i="1"/>
  <c r="AL2715" i="1"/>
  <c r="AM2715" i="1"/>
  <c r="A2716" i="1"/>
  <c r="B2716" i="1"/>
  <c r="C2716" i="1"/>
  <c r="D2716" i="1"/>
  <c r="E2716" i="1"/>
  <c r="F2716" i="1"/>
  <c r="G2716" i="1"/>
  <c r="H2716" i="1"/>
  <c r="I2716" i="1"/>
  <c r="J2716" i="1"/>
  <c r="K2716" i="1"/>
  <c r="L2716" i="1"/>
  <c r="M2716" i="1"/>
  <c r="N2716" i="1"/>
  <c r="O2716" i="1"/>
  <c r="P2716" i="1"/>
  <c r="Q2716" i="1"/>
  <c r="R2716" i="1"/>
  <c r="S2716" i="1"/>
  <c r="T2716" i="1"/>
  <c r="U2716" i="1"/>
  <c r="V2716" i="1"/>
  <c r="W2716" i="1"/>
  <c r="X2716" i="1"/>
  <c r="Y2716" i="1"/>
  <c r="Z2716" i="1"/>
  <c r="AA2716" i="1"/>
  <c r="AB2716" i="1"/>
  <c r="AC2716" i="1"/>
  <c r="AD2716" i="1"/>
  <c r="AE2716" i="1"/>
  <c r="AF2716" i="1"/>
  <c r="AG2716" i="1"/>
  <c r="AH2716" i="1"/>
  <c r="AI2716" i="1"/>
  <c r="AJ2716" i="1"/>
  <c r="AK2716" i="1"/>
  <c r="AL2716" i="1"/>
  <c r="AM2716" i="1"/>
  <c r="A2717" i="1"/>
  <c r="B2717" i="1"/>
  <c r="C2717" i="1"/>
  <c r="D2717" i="1"/>
  <c r="E2717" i="1"/>
  <c r="F2717" i="1"/>
  <c r="G2717" i="1"/>
  <c r="H2717" i="1"/>
  <c r="I2717" i="1"/>
  <c r="J2717" i="1"/>
  <c r="K2717" i="1"/>
  <c r="L2717" i="1"/>
  <c r="M2717" i="1"/>
  <c r="N2717" i="1"/>
  <c r="O2717" i="1"/>
  <c r="P2717" i="1"/>
  <c r="Q2717" i="1"/>
  <c r="R2717" i="1"/>
  <c r="S2717" i="1"/>
  <c r="T2717" i="1"/>
  <c r="U2717" i="1"/>
  <c r="V2717" i="1"/>
  <c r="W2717" i="1"/>
  <c r="X2717" i="1"/>
  <c r="Y2717" i="1"/>
  <c r="Z2717" i="1"/>
  <c r="AA2717" i="1"/>
  <c r="AB2717" i="1"/>
  <c r="AC2717" i="1"/>
  <c r="AD2717" i="1"/>
  <c r="AE2717" i="1"/>
  <c r="AF2717" i="1"/>
  <c r="AG2717" i="1"/>
  <c r="AH2717" i="1"/>
  <c r="AI2717" i="1"/>
  <c r="AJ2717" i="1"/>
  <c r="AK2717" i="1"/>
  <c r="AL2717" i="1"/>
  <c r="AM2717" i="1"/>
  <c r="A2718" i="1"/>
  <c r="B2718" i="1"/>
  <c r="C2718" i="1"/>
  <c r="D2718" i="1"/>
  <c r="E2718" i="1"/>
  <c r="F2718" i="1"/>
  <c r="G2718" i="1"/>
  <c r="H2718" i="1"/>
  <c r="I2718" i="1"/>
  <c r="J2718" i="1"/>
  <c r="K2718" i="1"/>
  <c r="L2718" i="1"/>
  <c r="M2718" i="1"/>
  <c r="N2718" i="1"/>
  <c r="O2718" i="1"/>
  <c r="P2718" i="1"/>
  <c r="Q2718" i="1"/>
  <c r="R2718" i="1"/>
  <c r="S2718" i="1"/>
  <c r="T2718" i="1"/>
  <c r="U2718" i="1"/>
  <c r="V2718" i="1"/>
  <c r="W2718" i="1"/>
  <c r="X2718" i="1"/>
  <c r="Y2718" i="1"/>
  <c r="Z2718" i="1"/>
  <c r="AA2718" i="1"/>
  <c r="AB2718" i="1"/>
  <c r="AC2718" i="1"/>
  <c r="AD2718" i="1"/>
  <c r="AE2718" i="1"/>
  <c r="AF2718" i="1"/>
  <c r="AG2718" i="1"/>
  <c r="AH2718" i="1"/>
  <c r="AI2718" i="1"/>
  <c r="AJ2718" i="1"/>
  <c r="AK2718" i="1"/>
  <c r="AL2718" i="1"/>
  <c r="AM2718" i="1"/>
  <c r="A2719" i="1"/>
  <c r="B2719" i="1"/>
  <c r="C2719" i="1"/>
  <c r="D2719" i="1"/>
  <c r="E2719" i="1"/>
  <c r="F2719" i="1"/>
  <c r="G2719" i="1"/>
  <c r="H2719" i="1"/>
  <c r="I2719" i="1"/>
  <c r="J2719" i="1"/>
  <c r="K2719" i="1"/>
  <c r="L2719" i="1"/>
  <c r="M2719" i="1"/>
  <c r="N2719" i="1"/>
  <c r="O2719" i="1"/>
  <c r="P2719" i="1"/>
  <c r="Q2719" i="1"/>
  <c r="R2719" i="1"/>
  <c r="S2719" i="1"/>
  <c r="T2719" i="1"/>
  <c r="U2719" i="1"/>
  <c r="V2719" i="1"/>
  <c r="W2719" i="1"/>
  <c r="X2719" i="1"/>
  <c r="Y2719" i="1"/>
  <c r="Z2719" i="1"/>
  <c r="AA2719" i="1"/>
  <c r="AB2719" i="1"/>
  <c r="AC2719" i="1"/>
  <c r="AD2719" i="1"/>
  <c r="AE2719" i="1"/>
  <c r="AF2719" i="1"/>
  <c r="AG2719" i="1"/>
  <c r="AH2719" i="1"/>
  <c r="AI2719" i="1"/>
  <c r="AJ2719" i="1"/>
  <c r="AK2719" i="1"/>
  <c r="AL2719" i="1"/>
  <c r="AM2719" i="1"/>
  <c r="A2720" i="1"/>
  <c r="B2720" i="1"/>
  <c r="C2720" i="1"/>
  <c r="D2720" i="1"/>
  <c r="E2720" i="1"/>
  <c r="F2720" i="1"/>
  <c r="G2720" i="1"/>
  <c r="H2720" i="1"/>
  <c r="I2720" i="1"/>
  <c r="J2720" i="1"/>
  <c r="K2720" i="1"/>
  <c r="L2720" i="1"/>
  <c r="M2720" i="1"/>
  <c r="N2720" i="1"/>
  <c r="O2720" i="1"/>
  <c r="P2720" i="1"/>
  <c r="Q2720" i="1"/>
  <c r="R2720" i="1"/>
  <c r="S2720" i="1"/>
  <c r="T2720" i="1"/>
  <c r="U2720" i="1"/>
  <c r="V2720" i="1"/>
  <c r="W2720" i="1"/>
  <c r="X2720" i="1"/>
  <c r="Y2720" i="1"/>
  <c r="Z2720" i="1"/>
  <c r="AA2720" i="1"/>
  <c r="AB2720" i="1"/>
  <c r="AC2720" i="1"/>
  <c r="AD2720" i="1"/>
  <c r="AE2720" i="1"/>
  <c r="AF2720" i="1"/>
  <c r="AG2720" i="1"/>
  <c r="AH2720" i="1"/>
  <c r="AI2720" i="1"/>
  <c r="AJ2720" i="1"/>
  <c r="AK2720" i="1"/>
  <c r="AL2720" i="1"/>
  <c r="AM2720" i="1"/>
  <c r="A2721" i="1"/>
  <c r="B2721" i="1"/>
  <c r="C2721" i="1"/>
  <c r="D2721" i="1"/>
  <c r="E2721" i="1"/>
  <c r="F2721" i="1"/>
  <c r="G2721" i="1"/>
  <c r="H2721" i="1"/>
  <c r="I2721" i="1"/>
  <c r="J2721" i="1"/>
  <c r="K2721" i="1"/>
  <c r="L2721" i="1"/>
  <c r="M2721" i="1"/>
  <c r="N2721" i="1"/>
  <c r="O2721" i="1"/>
  <c r="P2721" i="1"/>
  <c r="Q2721" i="1"/>
  <c r="R2721" i="1"/>
  <c r="S2721" i="1"/>
  <c r="T2721" i="1"/>
  <c r="U2721" i="1"/>
  <c r="V2721" i="1"/>
  <c r="W2721" i="1"/>
  <c r="X2721" i="1"/>
  <c r="Y2721" i="1"/>
  <c r="Z2721" i="1"/>
  <c r="AA2721" i="1"/>
  <c r="AB2721" i="1"/>
  <c r="AC2721" i="1"/>
  <c r="AD2721" i="1"/>
  <c r="AE2721" i="1"/>
  <c r="AF2721" i="1"/>
  <c r="AG2721" i="1"/>
  <c r="AH2721" i="1"/>
  <c r="AI2721" i="1"/>
  <c r="AJ2721" i="1"/>
  <c r="AK2721" i="1"/>
  <c r="AL2721" i="1"/>
  <c r="AM2721" i="1"/>
  <c r="A2722" i="1"/>
  <c r="B2722" i="1"/>
  <c r="C2722" i="1"/>
  <c r="D2722" i="1"/>
  <c r="E2722" i="1"/>
  <c r="F2722" i="1"/>
  <c r="G2722" i="1"/>
  <c r="H2722" i="1"/>
  <c r="I2722" i="1"/>
  <c r="J2722" i="1"/>
  <c r="K2722" i="1"/>
  <c r="L2722" i="1"/>
  <c r="M2722" i="1"/>
  <c r="N2722" i="1"/>
  <c r="O2722" i="1"/>
  <c r="P2722" i="1"/>
  <c r="Q2722" i="1"/>
  <c r="R2722" i="1"/>
  <c r="S2722" i="1"/>
  <c r="T2722" i="1"/>
  <c r="U2722" i="1"/>
  <c r="V2722" i="1"/>
  <c r="W2722" i="1"/>
  <c r="X2722" i="1"/>
  <c r="Y2722" i="1"/>
  <c r="Z2722" i="1"/>
  <c r="AA2722" i="1"/>
  <c r="AB2722" i="1"/>
  <c r="AC2722" i="1"/>
  <c r="AD2722" i="1"/>
  <c r="AE2722" i="1"/>
  <c r="AF2722" i="1"/>
  <c r="AG2722" i="1"/>
  <c r="AH2722" i="1"/>
  <c r="AI2722" i="1"/>
  <c r="AJ2722" i="1"/>
  <c r="AK2722" i="1"/>
  <c r="AL2722" i="1"/>
  <c r="AM2722" i="1"/>
  <c r="A2723" i="1"/>
  <c r="B2723" i="1"/>
  <c r="C2723" i="1"/>
  <c r="D2723" i="1"/>
  <c r="E2723" i="1"/>
  <c r="F2723" i="1"/>
  <c r="G2723" i="1"/>
  <c r="H2723" i="1"/>
  <c r="I2723" i="1"/>
  <c r="J2723" i="1"/>
  <c r="K2723" i="1"/>
  <c r="L2723" i="1"/>
  <c r="M2723" i="1"/>
  <c r="N2723" i="1"/>
  <c r="O2723" i="1"/>
  <c r="P2723" i="1"/>
  <c r="Q2723" i="1"/>
  <c r="R2723" i="1"/>
  <c r="S2723" i="1"/>
  <c r="T2723" i="1"/>
  <c r="U2723" i="1"/>
  <c r="V2723" i="1"/>
  <c r="W2723" i="1"/>
  <c r="X2723" i="1"/>
  <c r="Y2723" i="1"/>
  <c r="Z2723" i="1"/>
  <c r="AA2723" i="1"/>
  <c r="AB2723" i="1"/>
  <c r="AC2723" i="1"/>
  <c r="AD2723" i="1"/>
  <c r="AE2723" i="1"/>
  <c r="AF2723" i="1"/>
  <c r="AG2723" i="1"/>
  <c r="AH2723" i="1"/>
  <c r="AI2723" i="1"/>
  <c r="AJ2723" i="1"/>
  <c r="AK2723" i="1"/>
  <c r="AL2723" i="1"/>
  <c r="AM2723" i="1"/>
  <c r="A2724" i="1"/>
  <c r="B2724" i="1"/>
  <c r="C2724" i="1"/>
  <c r="D2724" i="1"/>
  <c r="E2724" i="1"/>
  <c r="F2724" i="1"/>
  <c r="G2724" i="1"/>
  <c r="H2724" i="1"/>
  <c r="I2724" i="1"/>
  <c r="J2724" i="1"/>
  <c r="K2724" i="1"/>
  <c r="L2724" i="1"/>
  <c r="M2724" i="1"/>
  <c r="N2724" i="1"/>
  <c r="O2724" i="1"/>
  <c r="P2724" i="1"/>
  <c r="Q2724" i="1"/>
  <c r="R2724" i="1"/>
  <c r="S2724" i="1"/>
  <c r="T2724" i="1"/>
  <c r="U2724" i="1"/>
  <c r="V2724" i="1"/>
  <c r="W2724" i="1"/>
  <c r="X2724" i="1"/>
  <c r="Y2724" i="1"/>
  <c r="Z2724" i="1"/>
  <c r="AA2724" i="1"/>
  <c r="AB2724" i="1"/>
  <c r="AC2724" i="1"/>
  <c r="AD2724" i="1"/>
  <c r="AE2724" i="1"/>
  <c r="AF2724" i="1"/>
  <c r="AG2724" i="1"/>
  <c r="AH2724" i="1"/>
  <c r="AI2724" i="1"/>
  <c r="AJ2724" i="1"/>
  <c r="AK2724" i="1"/>
  <c r="AL2724" i="1"/>
  <c r="AM2724" i="1"/>
  <c r="A2725" i="1"/>
  <c r="B2725" i="1"/>
  <c r="C2725" i="1"/>
  <c r="D2725" i="1"/>
  <c r="E2725" i="1"/>
  <c r="F2725" i="1"/>
  <c r="G2725" i="1"/>
  <c r="H2725" i="1"/>
  <c r="I2725" i="1"/>
  <c r="J2725" i="1"/>
  <c r="K2725" i="1"/>
  <c r="L2725" i="1"/>
  <c r="M2725" i="1"/>
  <c r="N2725" i="1"/>
  <c r="O2725" i="1"/>
  <c r="P2725" i="1"/>
  <c r="Q2725" i="1"/>
  <c r="R2725" i="1"/>
  <c r="S2725" i="1"/>
  <c r="T2725" i="1"/>
  <c r="U2725" i="1"/>
  <c r="V2725" i="1"/>
  <c r="W2725" i="1"/>
  <c r="X2725" i="1"/>
  <c r="Y2725" i="1"/>
  <c r="Z2725" i="1"/>
  <c r="AA2725" i="1"/>
  <c r="AB2725" i="1"/>
  <c r="AC2725" i="1"/>
  <c r="AD2725" i="1"/>
  <c r="AE2725" i="1"/>
  <c r="AF2725" i="1"/>
  <c r="AG2725" i="1"/>
  <c r="AH2725" i="1"/>
  <c r="AI2725" i="1"/>
  <c r="AJ2725" i="1"/>
  <c r="AK2725" i="1"/>
  <c r="AL2725" i="1"/>
  <c r="AM2725" i="1"/>
  <c r="A2726" i="1"/>
  <c r="B2726" i="1"/>
  <c r="C2726" i="1"/>
  <c r="D2726" i="1"/>
  <c r="E2726" i="1"/>
  <c r="F2726" i="1"/>
  <c r="G2726" i="1"/>
  <c r="H2726" i="1"/>
  <c r="I2726" i="1"/>
  <c r="J2726" i="1"/>
  <c r="K2726" i="1"/>
  <c r="L2726" i="1"/>
  <c r="M2726" i="1"/>
  <c r="N2726" i="1"/>
  <c r="O2726" i="1"/>
  <c r="P2726" i="1"/>
  <c r="Q2726" i="1"/>
  <c r="R2726" i="1"/>
  <c r="S2726" i="1"/>
  <c r="T2726" i="1"/>
  <c r="U2726" i="1"/>
  <c r="V2726" i="1"/>
  <c r="W2726" i="1"/>
  <c r="X2726" i="1"/>
  <c r="Y2726" i="1"/>
  <c r="Z2726" i="1"/>
  <c r="AA2726" i="1"/>
  <c r="AB2726" i="1"/>
  <c r="AC2726" i="1"/>
  <c r="AD2726" i="1"/>
  <c r="AE2726" i="1"/>
  <c r="AF2726" i="1"/>
  <c r="AG2726" i="1"/>
  <c r="AH2726" i="1"/>
  <c r="AI2726" i="1"/>
  <c r="AJ2726" i="1"/>
  <c r="AK2726" i="1"/>
  <c r="AL2726" i="1"/>
  <c r="AM2726" i="1"/>
  <c r="A2727" i="1"/>
  <c r="B2727" i="1"/>
  <c r="C2727" i="1"/>
  <c r="D2727" i="1"/>
  <c r="E2727" i="1"/>
  <c r="F2727" i="1"/>
  <c r="G2727" i="1"/>
  <c r="H2727" i="1"/>
  <c r="I2727" i="1"/>
  <c r="J2727" i="1"/>
  <c r="K2727" i="1"/>
  <c r="L2727" i="1"/>
  <c r="M2727" i="1"/>
  <c r="N2727" i="1"/>
  <c r="O2727" i="1"/>
  <c r="P2727" i="1"/>
  <c r="Q2727" i="1"/>
  <c r="R2727" i="1"/>
  <c r="S2727" i="1"/>
  <c r="T2727" i="1"/>
  <c r="U2727" i="1"/>
  <c r="V2727" i="1"/>
  <c r="W2727" i="1"/>
  <c r="X2727" i="1"/>
  <c r="Y2727" i="1"/>
  <c r="Z2727" i="1"/>
  <c r="AA2727" i="1"/>
  <c r="AB2727" i="1"/>
  <c r="AC2727" i="1"/>
  <c r="AD2727" i="1"/>
  <c r="AE2727" i="1"/>
  <c r="AF2727" i="1"/>
  <c r="AG2727" i="1"/>
  <c r="AH2727" i="1"/>
  <c r="AI2727" i="1"/>
  <c r="AJ2727" i="1"/>
  <c r="AK2727" i="1"/>
  <c r="AL2727" i="1"/>
  <c r="AM2727" i="1"/>
  <c r="A2728" i="1"/>
  <c r="B2728" i="1"/>
  <c r="C2728" i="1"/>
  <c r="D2728" i="1"/>
  <c r="E2728" i="1"/>
  <c r="F2728" i="1"/>
  <c r="G2728" i="1"/>
  <c r="H2728" i="1"/>
  <c r="I2728" i="1"/>
  <c r="J2728" i="1"/>
  <c r="K2728" i="1"/>
  <c r="L2728" i="1"/>
  <c r="M2728" i="1"/>
  <c r="N2728" i="1"/>
  <c r="O2728" i="1"/>
  <c r="P2728" i="1"/>
  <c r="Q2728" i="1"/>
  <c r="R2728" i="1"/>
  <c r="S2728" i="1"/>
  <c r="T2728" i="1"/>
  <c r="U2728" i="1"/>
  <c r="V2728" i="1"/>
  <c r="W2728" i="1"/>
  <c r="X2728" i="1"/>
  <c r="Y2728" i="1"/>
  <c r="Z2728" i="1"/>
  <c r="AA2728" i="1"/>
  <c r="AB2728" i="1"/>
  <c r="AC2728" i="1"/>
  <c r="AD2728" i="1"/>
  <c r="AE2728" i="1"/>
  <c r="AF2728" i="1"/>
  <c r="AG2728" i="1"/>
  <c r="AH2728" i="1"/>
  <c r="AI2728" i="1"/>
  <c r="AJ2728" i="1"/>
  <c r="AK2728" i="1"/>
  <c r="AL2728" i="1"/>
  <c r="AM2728" i="1"/>
  <c r="A2729" i="1"/>
  <c r="B2729" i="1"/>
  <c r="C2729" i="1"/>
  <c r="D2729" i="1"/>
  <c r="E2729" i="1"/>
  <c r="F2729" i="1"/>
  <c r="G2729" i="1"/>
  <c r="H2729" i="1"/>
  <c r="I2729" i="1"/>
  <c r="J2729" i="1"/>
  <c r="K2729" i="1"/>
  <c r="L2729" i="1"/>
  <c r="M2729" i="1"/>
  <c r="N2729" i="1"/>
  <c r="O2729" i="1"/>
  <c r="P2729" i="1"/>
  <c r="Q2729" i="1"/>
  <c r="R2729" i="1"/>
  <c r="S2729" i="1"/>
  <c r="T2729" i="1"/>
  <c r="U2729" i="1"/>
  <c r="V2729" i="1"/>
  <c r="W2729" i="1"/>
  <c r="X2729" i="1"/>
  <c r="Y2729" i="1"/>
  <c r="Z2729" i="1"/>
  <c r="AA2729" i="1"/>
  <c r="AB2729" i="1"/>
  <c r="AC2729" i="1"/>
  <c r="AD2729" i="1"/>
  <c r="AE2729" i="1"/>
  <c r="AF2729" i="1"/>
  <c r="AG2729" i="1"/>
  <c r="AH2729" i="1"/>
  <c r="AI2729" i="1"/>
  <c r="AJ2729" i="1"/>
  <c r="AK2729" i="1"/>
  <c r="AL2729" i="1"/>
  <c r="AM2729" i="1"/>
  <c r="A2730" i="1"/>
  <c r="B2730" i="1"/>
  <c r="C2730" i="1"/>
  <c r="D2730" i="1"/>
  <c r="E2730" i="1"/>
  <c r="F2730" i="1"/>
  <c r="G2730" i="1"/>
  <c r="H2730" i="1"/>
  <c r="I2730" i="1"/>
  <c r="J2730" i="1"/>
  <c r="K2730" i="1"/>
  <c r="L2730" i="1"/>
  <c r="M2730" i="1"/>
  <c r="N2730" i="1"/>
  <c r="O2730" i="1"/>
  <c r="P2730" i="1"/>
  <c r="Q2730" i="1"/>
  <c r="R2730" i="1"/>
  <c r="S2730" i="1"/>
  <c r="T2730" i="1"/>
  <c r="U2730" i="1"/>
  <c r="V2730" i="1"/>
  <c r="W2730" i="1"/>
  <c r="X2730" i="1"/>
  <c r="Y2730" i="1"/>
  <c r="Z2730" i="1"/>
  <c r="AA2730" i="1"/>
  <c r="AB2730" i="1"/>
  <c r="AC2730" i="1"/>
  <c r="AD2730" i="1"/>
  <c r="AE2730" i="1"/>
  <c r="AF2730" i="1"/>
  <c r="AG2730" i="1"/>
  <c r="AH2730" i="1"/>
  <c r="AI2730" i="1"/>
  <c r="AJ2730" i="1"/>
  <c r="AK2730" i="1"/>
  <c r="AL2730" i="1"/>
  <c r="AM2730" i="1"/>
  <c r="A2731" i="1"/>
  <c r="B2731" i="1"/>
  <c r="C2731" i="1"/>
  <c r="D2731" i="1"/>
  <c r="E2731" i="1"/>
  <c r="F2731" i="1"/>
  <c r="G2731" i="1"/>
  <c r="H2731" i="1"/>
  <c r="I2731" i="1"/>
  <c r="J2731" i="1"/>
  <c r="K2731" i="1"/>
  <c r="L2731" i="1"/>
  <c r="M2731" i="1"/>
  <c r="N2731" i="1"/>
  <c r="O2731" i="1"/>
  <c r="P2731" i="1"/>
  <c r="Q2731" i="1"/>
  <c r="R2731" i="1"/>
  <c r="S2731" i="1"/>
  <c r="T2731" i="1"/>
  <c r="U2731" i="1"/>
  <c r="V2731" i="1"/>
  <c r="W2731" i="1"/>
  <c r="X2731" i="1"/>
  <c r="Y2731" i="1"/>
  <c r="Z2731" i="1"/>
  <c r="AA2731" i="1"/>
  <c r="AB2731" i="1"/>
  <c r="AC2731" i="1"/>
  <c r="AD2731" i="1"/>
  <c r="AE2731" i="1"/>
  <c r="AF2731" i="1"/>
  <c r="AG2731" i="1"/>
  <c r="AH2731" i="1"/>
  <c r="AI2731" i="1"/>
  <c r="AJ2731" i="1"/>
  <c r="AK2731" i="1"/>
  <c r="AL2731" i="1"/>
  <c r="AM2731" i="1"/>
  <c r="A2732" i="1"/>
  <c r="B2732" i="1"/>
  <c r="C2732" i="1"/>
  <c r="D2732" i="1"/>
  <c r="E2732" i="1"/>
  <c r="F2732" i="1"/>
  <c r="G2732" i="1"/>
  <c r="H2732" i="1"/>
  <c r="I2732" i="1"/>
  <c r="J2732" i="1"/>
  <c r="K2732" i="1"/>
  <c r="L2732" i="1"/>
  <c r="M2732" i="1"/>
  <c r="N2732" i="1"/>
  <c r="O2732" i="1"/>
  <c r="P2732" i="1"/>
  <c r="Q2732" i="1"/>
  <c r="R2732" i="1"/>
  <c r="S2732" i="1"/>
  <c r="T2732" i="1"/>
  <c r="U2732" i="1"/>
  <c r="V2732" i="1"/>
  <c r="W2732" i="1"/>
  <c r="X2732" i="1"/>
  <c r="Y2732" i="1"/>
  <c r="Z2732" i="1"/>
  <c r="AA2732" i="1"/>
  <c r="AB2732" i="1"/>
  <c r="AC2732" i="1"/>
  <c r="AD2732" i="1"/>
  <c r="AE2732" i="1"/>
  <c r="AF2732" i="1"/>
  <c r="AG2732" i="1"/>
  <c r="AH2732" i="1"/>
  <c r="AI2732" i="1"/>
  <c r="AJ2732" i="1"/>
  <c r="AK2732" i="1"/>
  <c r="AL2732" i="1"/>
  <c r="AM2732" i="1"/>
  <c r="A2733" i="1"/>
  <c r="B2733" i="1"/>
  <c r="C2733" i="1"/>
  <c r="D2733" i="1"/>
  <c r="E2733" i="1"/>
  <c r="F2733" i="1"/>
  <c r="G2733" i="1"/>
  <c r="H2733" i="1"/>
  <c r="I2733" i="1"/>
  <c r="J2733" i="1"/>
  <c r="K2733" i="1"/>
  <c r="L2733" i="1"/>
  <c r="M2733" i="1"/>
  <c r="N2733" i="1"/>
  <c r="O2733" i="1"/>
  <c r="P2733" i="1"/>
  <c r="Q2733" i="1"/>
  <c r="R2733" i="1"/>
  <c r="S2733" i="1"/>
  <c r="T2733" i="1"/>
  <c r="U2733" i="1"/>
  <c r="V2733" i="1"/>
  <c r="W2733" i="1"/>
  <c r="X2733" i="1"/>
  <c r="Y2733" i="1"/>
  <c r="Z2733" i="1"/>
  <c r="AA2733" i="1"/>
  <c r="AB2733" i="1"/>
  <c r="AC2733" i="1"/>
  <c r="AD2733" i="1"/>
  <c r="AE2733" i="1"/>
  <c r="AF2733" i="1"/>
  <c r="AG2733" i="1"/>
  <c r="AH2733" i="1"/>
  <c r="AI2733" i="1"/>
  <c r="AJ2733" i="1"/>
  <c r="AK2733" i="1"/>
  <c r="AL2733" i="1"/>
  <c r="AM2733" i="1"/>
  <c r="A2734" i="1"/>
  <c r="B2734" i="1"/>
  <c r="C2734" i="1"/>
  <c r="D2734" i="1"/>
  <c r="E2734" i="1"/>
  <c r="F2734" i="1"/>
  <c r="G2734" i="1"/>
  <c r="H2734" i="1"/>
  <c r="I2734" i="1"/>
  <c r="J2734" i="1"/>
  <c r="K2734" i="1"/>
  <c r="L2734" i="1"/>
  <c r="M2734" i="1"/>
  <c r="N2734" i="1"/>
  <c r="O2734" i="1"/>
  <c r="P2734" i="1"/>
  <c r="Q2734" i="1"/>
  <c r="R2734" i="1"/>
  <c r="S2734" i="1"/>
  <c r="T2734" i="1"/>
  <c r="U2734" i="1"/>
  <c r="V2734" i="1"/>
  <c r="W2734" i="1"/>
  <c r="X2734" i="1"/>
  <c r="Y2734" i="1"/>
  <c r="Z2734" i="1"/>
  <c r="AA2734" i="1"/>
  <c r="AB2734" i="1"/>
  <c r="AC2734" i="1"/>
  <c r="AD2734" i="1"/>
  <c r="AE2734" i="1"/>
  <c r="AF2734" i="1"/>
  <c r="AG2734" i="1"/>
  <c r="AH2734" i="1"/>
  <c r="AI2734" i="1"/>
  <c r="AJ2734" i="1"/>
  <c r="AK2734" i="1"/>
  <c r="AL2734" i="1"/>
  <c r="AM2734" i="1"/>
  <c r="A2735" i="1"/>
  <c r="B2735" i="1"/>
  <c r="C2735" i="1"/>
  <c r="D2735" i="1"/>
  <c r="E2735" i="1"/>
  <c r="F2735" i="1"/>
  <c r="G2735" i="1"/>
  <c r="H2735" i="1"/>
  <c r="I2735" i="1"/>
  <c r="J2735" i="1"/>
  <c r="K2735" i="1"/>
  <c r="L2735" i="1"/>
  <c r="M2735" i="1"/>
  <c r="N2735" i="1"/>
  <c r="O2735" i="1"/>
  <c r="P2735" i="1"/>
  <c r="Q2735" i="1"/>
  <c r="R2735" i="1"/>
  <c r="S2735" i="1"/>
  <c r="T2735" i="1"/>
  <c r="U2735" i="1"/>
  <c r="V2735" i="1"/>
  <c r="W2735" i="1"/>
  <c r="X2735" i="1"/>
  <c r="Y2735" i="1"/>
  <c r="Z2735" i="1"/>
  <c r="AA2735" i="1"/>
  <c r="AB2735" i="1"/>
  <c r="AC2735" i="1"/>
  <c r="AD2735" i="1"/>
  <c r="AE2735" i="1"/>
  <c r="AF2735" i="1"/>
  <c r="AG2735" i="1"/>
  <c r="AH2735" i="1"/>
  <c r="AI2735" i="1"/>
  <c r="AJ2735" i="1"/>
  <c r="AK2735" i="1"/>
  <c r="AL2735" i="1"/>
  <c r="AM2735" i="1"/>
  <c r="A2736" i="1"/>
  <c r="B2736" i="1"/>
  <c r="C2736" i="1"/>
  <c r="D2736" i="1"/>
  <c r="E2736" i="1"/>
  <c r="F2736" i="1"/>
  <c r="G2736" i="1"/>
  <c r="H2736" i="1"/>
  <c r="I2736" i="1"/>
  <c r="J2736" i="1"/>
  <c r="K2736" i="1"/>
  <c r="L2736" i="1"/>
  <c r="M2736" i="1"/>
  <c r="N2736" i="1"/>
  <c r="O2736" i="1"/>
  <c r="P2736" i="1"/>
  <c r="Q2736" i="1"/>
  <c r="R2736" i="1"/>
  <c r="S2736" i="1"/>
  <c r="T2736" i="1"/>
  <c r="U2736" i="1"/>
  <c r="V2736" i="1"/>
  <c r="W2736" i="1"/>
  <c r="X2736" i="1"/>
  <c r="Y2736" i="1"/>
  <c r="Z2736" i="1"/>
  <c r="AA2736" i="1"/>
  <c r="AB2736" i="1"/>
  <c r="AC2736" i="1"/>
  <c r="AD2736" i="1"/>
  <c r="AE2736" i="1"/>
  <c r="AF2736" i="1"/>
  <c r="AG2736" i="1"/>
  <c r="AH2736" i="1"/>
  <c r="AI2736" i="1"/>
  <c r="AJ2736" i="1"/>
  <c r="AK2736" i="1"/>
  <c r="AL2736" i="1"/>
  <c r="AM2736" i="1"/>
  <c r="A2737" i="1"/>
  <c r="B2737" i="1"/>
  <c r="C2737" i="1"/>
  <c r="D2737" i="1"/>
  <c r="E2737" i="1"/>
  <c r="F2737" i="1"/>
  <c r="G2737" i="1"/>
  <c r="H2737" i="1"/>
  <c r="I2737" i="1"/>
  <c r="J2737" i="1"/>
  <c r="K2737" i="1"/>
  <c r="L2737" i="1"/>
  <c r="M2737" i="1"/>
  <c r="N2737" i="1"/>
  <c r="O2737" i="1"/>
  <c r="P2737" i="1"/>
  <c r="Q2737" i="1"/>
  <c r="R2737" i="1"/>
  <c r="S2737" i="1"/>
  <c r="T2737" i="1"/>
  <c r="U2737" i="1"/>
  <c r="V2737" i="1"/>
  <c r="W2737" i="1"/>
  <c r="X2737" i="1"/>
  <c r="Y2737" i="1"/>
  <c r="Z2737" i="1"/>
  <c r="AA2737" i="1"/>
  <c r="AB2737" i="1"/>
  <c r="AC2737" i="1"/>
  <c r="AD2737" i="1"/>
  <c r="AE2737" i="1"/>
  <c r="AF2737" i="1"/>
  <c r="AG2737" i="1"/>
  <c r="AH2737" i="1"/>
  <c r="AI2737" i="1"/>
  <c r="AJ2737" i="1"/>
  <c r="AK2737" i="1"/>
  <c r="AL2737" i="1"/>
  <c r="AM2737" i="1"/>
  <c r="A2738" i="1"/>
  <c r="B2738" i="1"/>
  <c r="C2738" i="1"/>
  <c r="D2738" i="1"/>
  <c r="E2738" i="1"/>
  <c r="F2738" i="1"/>
  <c r="G2738" i="1"/>
  <c r="H2738" i="1"/>
  <c r="I2738" i="1"/>
  <c r="J2738" i="1"/>
  <c r="K2738" i="1"/>
  <c r="L2738" i="1"/>
  <c r="M2738" i="1"/>
  <c r="N2738" i="1"/>
  <c r="O2738" i="1"/>
  <c r="P2738" i="1"/>
  <c r="Q2738" i="1"/>
  <c r="R2738" i="1"/>
  <c r="S2738" i="1"/>
  <c r="T2738" i="1"/>
  <c r="U2738" i="1"/>
  <c r="V2738" i="1"/>
  <c r="W2738" i="1"/>
  <c r="X2738" i="1"/>
  <c r="Y2738" i="1"/>
  <c r="Z2738" i="1"/>
  <c r="AA2738" i="1"/>
  <c r="AB2738" i="1"/>
  <c r="AC2738" i="1"/>
  <c r="AD2738" i="1"/>
  <c r="AE2738" i="1"/>
  <c r="AF2738" i="1"/>
  <c r="AG2738" i="1"/>
  <c r="AH2738" i="1"/>
  <c r="AI2738" i="1"/>
  <c r="AJ2738" i="1"/>
  <c r="AK2738" i="1"/>
  <c r="AL2738" i="1"/>
  <c r="AM2738" i="1"/>
  <c r="A2739" i="1"/>
  <c r="B2739" i="1"/>
  <c r="C2739" i="1"/>
  <c r="D2739" i="1"/>
  <c r="E2739" i="1"/>
  <c r="F2739" i="1"/>
  <c r="G2739" i="1"/>
  <c r="H2739" i="1"/>
  <c r="I2739" i="1"/>
  <c r="J2739" i="1"/>
  <c r="K2739" i="1"/>
  <c r="L2739" i="1"/>
  <c r="M2739" i="1"/>
  <c r="N2739" i="1"/>
  <c r="O2739" i="1"/>
  <c r="P2739" i="1"/>
  <c r="Q2739" i="1"/>
  <c r="R2739" i="1"/>
  <c r="S2739" i="1"/>
  <c r="T2739" i="1"/>
  <c r="U2739" i="1"/>
  <c r="V2739" i="1"/>
  <c r="W2739" i="1"/>
  <c r="X2739" i="1"/>
  <c r="Y2739" i="1"/>
  <c r="Z2739" i="1"/>
  <c r="AA2739" i="1"/>
  <c r="AB2739" i="1"/>
  <c r="AC2739" i="1"/>
  <c r="AD2739" i="1"/>
  <c r="AE2739" i="1"/>
  <c r="AF2739" i="1"/>
  <c r="AG2739" i="1"/>
  <c r="AH2739" i="1"/>
  <c r="AI2739" i="1"/>
  <c r="AJ2739" i="1"/>
  <c r="AK2739" i="1"/>
  <c r="AL2739" i="1"/>
  <c r="AM2739" i="1"/>
  <c r="A2740" i="1"/>
  <c r="B2740" i="1"/>
  <c r="C2740" i="1"/>
  <c r="D2740" i="1"/>
  <c r="E2740" i="1"/>
  <c r="F2740" i="1"/>
  <c r="G2740" i="1"/>
  <c r="H2740" i="1"/>
  <c r="I2740" i="1"/>
  <c r="J2740" i="1"/>
  <c r="K2740" i="1"/>
  <c r="L2740" i="1"/>
  <c r="M2740" i="1"/>
  <c r="N2740" i="1"/>
  <c r="O2740" i="1"/>
  <c r="P2740" i="1"/>
  <c r="Q2740" i="1"/>
  <c r="R2740" i="1"/>
  <c r="S2740" i="1"/>
  <c r="T2740" i="1"/>
  <c r="U2740" i="1"/>
  <c r="V2740" i="1"/>
  <c r="W2740" i="1"/>
  <c r="X2740" i="1"/>
  <c r="Y2740" i="1"/>
  <c r="Z2740" i="1"/>
  <c r="AA2740" i="1"/>
  <c r="AB2740" i="1"/>
  <c r="AC2740" i="1"/>
  <c r="AD2740" i="1"/>
  <c r="AE2740" i="1"/>
  <c r="AF2740" i="1"/>
  <c r="AG2740" i="1"/>
  <c r="AH2740" i="1"/>
  <c r="AI2740" i="1"/>
  <c r="AJ2740" i="1"/>
  <c r="AK2740" i="1"/>
  <c r="AL2740" i="1"/>
  <c r="AM2740" i="1"/>
  <c r="A2741" i="1"/>
  <c r="B2741" i="1"/>
  <c r="C2741" i="1"/>
  <c r="D2741" i="1"/>
  <c r="E2741" i="1"/>
  <c r="F2741" i="1"/>
  <c r="G2741" i="1"/>
  <c r="H2741" i="1"/>
  <c r="I2741" i="1"/>
  <c r="J2741" i="1"/>
  <c r="K2741" i="1"/>
  <c r="L2741" i="1"/>
  <c r="M2741" i="1"/>
  <c r="N2741" i="1"/>
  <c r="O2741" i="1"/>
  <c r="P2741" i="1"/>
  <c r="Q2741" i="1"/>
  <c r="R2741" i="1"/>
  <c r="S2741" i="1"/>
  <c r="T2741" i="1"/>
  <c r="U2741" i="1"/>
  <c r="V2741" i="1"/>
  <c r="W2741" i="1"/>
  <c r="X2741" i="1"/>
  <c r="Y2741" i="1"/>
  <c r="Z2741" i="1"/>
  <c r="AA2741" i="1"/>
  <c r="AB2741" i="1"/>
  <c r="AC2741" i="1"/>
  <c r="AD2741" i="1"/>
  <c r="AE2741" i="1"/>
  <c r="AF2741" i="1"/>
  <c r="AG2741" i="1"/>
  <c r="AH2741" i="1"/>
  <c r="AI2741" i="1"/>
  <c r="AJ2741" i="1"/>
  <c r="AK2741" i="1"/>
  <c r="AL2741" i="1"/>
  <c r="AM2741" i="1"/>
  <c r="A2742" i="1"/>
  <c r="B2742" i="1"/>
  <c r="C2742" i="1"/>
  <c r="D2742" i="1"/>
  <c r="E2742" i="1"/>
  <c r="F2742" i="1"/>
  <c r="G2742" i="1"/>
  <c r="H2742" i="1"/>
  <c r="I2742" i="1"/>
  <c r="J2742" i="1"/>
  <c r="K2742" i="1"/>
  <c r="L2742" i="1"/>
  <c r="M2742" i="1"/>
  <c r="N2742" i="1"/>
  <c r="O2742" i="1"/>
  <c r="P2742" i="1"/>
  <c r="Q2742" i="1"/>
  <c r="R2742" i="1"/>
  <c r="S2742" i="1"/>
  <c r="T2742" i="1"/>
  <c r="U2742" i="1"/>
  <c r="V2742" i="1"/>
  <c r="W2742" i="1"/>
  <c r="X2742" i="1"/>
  <c r="Y2742" i="1"/>
  <c r="Z2742" i="1"/>
  <c r="AA2742" i="1"/>
  <c r="AB2742" i="1"/>
  <c r="AC2742" i="1"/>
  <c r="AD2742" i="1"/>
  <c r="AE2742" i="1"/>
  <c r="AF2742" i="1"/>
  <c r="AG2742" i="1"/>
  <c r="AH2742" i="1"/>
  <c r="AI2742" i="1"/>
  <c r="AJ2742" i="1"/>
  <c r="AK2742" i="1"/>
  <c r="AL2742" i="1"/>
  <c r="AM2742" i="1"/>
  <c r="A2743" i="1"/>
  <c r="B2743" i="1"/>
  <c r="C2743" i="1"/>
  <c r="D2743" i="1"/>
  <c r="E2743" i="1"/>
  <c r="F2743" i="1"/>
  <c r="G2743" i="1"/>
  <c r="H2743" i="1"/>
  <c r="I2743" i="1"/>
  <c r="J2743" i="1"/>
  <c r="K2743" i="1"/>
  <c r="L2743" i="1"/>
  <c r="M2743" i="1"/>
  <c r="N2743" i="1"/>
  <c r="O2743" i="1"/>
  <c r="P2743" i="1"/>
  <c r="Q2743" i="1"/>
  <c r="R2743" i="1"/>
  <c r="S2743" i="1"/>
  <c r="T2743" i="1"/>
  <c r="U2743" i="1"/>
  <c r="V2743" i="1"/>
  <c r="W2743" i="1"/>
  <c r="X2743" i="1"/>
  <c r="Y2743" i="1"/>
  <c r="Z2743" i="1"/>
  <c r="AA2743" i="1"/>
  <c r="AB2743" i="1"/>
  <c r="AC2743" i="1"/>
  <c r="AD2743" i="1"/>
  <c r="AE2743" i="1"/>
  <c r="AF2743" i="1"/>
  <c r="AG2743" i="1"/>
  <c r="AH2743" i="1"/>
  <c r="AI2743" i="1"/>
  <c r="AJ2743" i="1"/>
  <c r="AK2743" i="1"/>
  <c r="AL2743" i="1"/>
  <c r="AM2743" i="1"/>
  <c r="A2744" i="1"/>
  <c r="B2744" i="1"/>
  <c r="C2744" i="1"/>
  <c r="D2744" i="1"/>
  <c r="E2744" i="1"/>
  <c r="F2744" i="1"/>
  <c r="G2744" i="1"/>
  <c r="H2744" i="1"/>
  <c r="I2744" i="1"/>
  <c r="J2744" i="1"/>
  <c r="K2744" i="1"/>
  <c r="L2744" i="1"/>
  <c r="M2744" i="1"/>
  <c r="N2744" i="1"/>
  <c r="O2744" i="1"/>
  <c r="P2744" i="1"/>
  <c r="Q2744" i="1"/>
  <c r="R2744" i="1"/>
  <c r="S2744" i="1"/>
  <c r="T2744" i="1"/>
  <c r="U2744" i="1"/>
  <c r="V2744" i="1"/>
  <c r="W2744" i="1"/>
  <c r="X2744" i="1"/>
  <c r="Y2744" i="1"/>
  <c r="Z2744" i="1"/>
  <c r="AA2744" i="1"/>
  <c r="AB2744" i="1"/>
  <c r="AC2744" i="1"/>
  <c r="AD2744" i="1"/>
  <c r="AE2744" i="1"/>
  <c r="AF2744" i="1"/>
  <c r="AG2744" i="1"/>
  <c r="AH2744" i="1"/>
  <c r="AI2744" i="1"/>
  <c r="AJ2744" i="1"/>
  <c r="AK2744" i="1"/>
  <c r="AL2744" i="1"/>
  <c r="AM2744" i="1"/>
  <c r="A2745" i="1"/>
  <c r="B2745" i="1"/>
  <c r="C2745" i="1"/>
  <c r="D2745" i="1"/>
  <c r="E2745" i="1"/>
  <c r="F2745" i="1"/>
  <c r="G2745" i="1"/>
  <c r="H2745" i="1"/>
  <c r="I2745" i="1"/>
  <c r="J2745" i="1"/>
  <c r="K2745" i="1"/>
  <c r="L2745" i="1"/>
  <c r="M2745" i="1"/>
  <c r="N2745" i="1"/>
  <c r="O2745" i="1"/>
  <c r="P2745" i="1"/>
  <c r="Q2745" i="1"/>
  <c r="R2745" i="1"/>
  <c r="S2745" i="1"/>
  <c r="T2745" i="1"/>
  <c r="U2745" i="1"/>
  <c r="V2745" i="1"/>
  <c r="W2745" i="1"/>
  <c r="X2745" i="1"/>
  <c r="Y2745" i="1"/>
  <c r="Z2745" i="1"/>
  <c r="AA2745" i="1"/>
  <c r="AB2745" i="1"/>
  <c r="AC2745" i="1"/>
  <c r="AD2745" i="1"/>
  <c r="AE2745" i="1"/>
  <c r="AF2745" i="1"/>
  <c r="AG2745" i="1"/>
  <c r="AH2745" i="1"/>
  <c r="AI2745" i="1"/>
  <c r="AJ2745" i="1"/>
  <c r="AK2745" i="1"/>
  <c r="AL2745" i="1"/>
  <c r="AM2745" i="1"/>
  <c r="A2746" i="1"/>
  <c r="B2746" i="1"/>
  <c r="C2746" i="1"/>
  <c r="D2746" i="1"/>
  <c r="E2746" i="1"/>
  <c r="F2746" i="1"/>
  <c r="G2746" i="1"/>
  <c r="H2746" i="1"/>
  <c r="I2746" i="1"/>
  <c r="J2746" i="1"/>
  <c r="K2746" i="1"/>
  <c r="L2746" i="1"/>
  <c r="M2746" i="1"/>
  <c r="N2746" i="1"/>
  <c r="O2746" i="1"/>
  <c r="P2746" i="1"/>
  <c r="Q2746" i="1"/>
  <c r="R2746" i="1"/>
  <c r="S2746" i="1"/>
  <c r="T2746" i="1"/>
  <c r="U2746" i="1"/>
  <c r="V2746" i="1"/>
  <c r="W2746" i="1"/>
  <c r="X2746" i="1"/>
  <c r="Y2746" i="1"/>
  <c r="Z2746" i="1"/>
  <c r="AA2746" i="1"/>
  <c r="AB2746" i="1"/>
  <c r="AC2746" i="1"/>
  <c r="AD2746" i="1"/>
  <c r="AE2746" i="1"/>
  <c r="AF2746" i="1"/>
  <c r="AG2746" i="1"/>
  <c r="AH2746" i="1"/>
  <c r="AI2746" i="1"/>
  <c r="AJ2746" i="1"/>
  <c r="AK2746" i="1"/>
  <c r="AL2746" i="1"/>
  <c r="AM2746" i="1"/>
  <c r="A2747" i="1"/>
  <c r="B2747" i="1"/>
  <c r="C2747" i="1"/>
  <c r="D2747" i="1"/>
  <c r="E2747" i="1"/>
  <c r="F2747" i="1"/>
  <c r="G2747" i="1"/>
  <c r="H2747" i="1"/>
  <c r="I2747" i="1"/>
  <c r="J2747" i="1"/>
  <c r="K2747" i="1"/>
  <c r="L2747" i="1"/>
  <c r="M2747" i="1"/>
  <c r="N2747" i="1"/>
  <c r="O2747" i="1"/>
  <c r="P2747" i="1"/>
  <c r="Q2747" i="1"/>
  <c r="R2747" i="1"/>
  <c r="S2747" i="1"/>
  <c r="T2747" i="1"/>
  <c r="U2747" i="1"/>
  <c r="V2747" i="1"/>
  <c r="W2747" i="1"/>
  <c r="X2747" i="1"/>
  <c r="Y2747" i="1"/>
  <c r="Z2747" i="1"/>
  <c r="AA2747" i="1"/>
  <c r="AB2747" i="1"/>
  <c r="AC2747" i="1"/>
  <c r="AD2747" i="1"/>
  <c r="AE2747" i="1"/>
  <c r="AF2747" i="1"/>
  <c r="AG2747" i="1"/>
  <c r="AH2747" i="1"/>
  <c r="AI2747" i="1"/>
  <c r="AJ2747" i="1"/>
  <c r="AK2747" i="1"/>
  <c r="AL2747" i="1"/>
  <c r="AM2747" i="1"/>
  <c r="A2748" i="1"/>
  <c r="B2748" i="1"/>
  <c r="C2748" i="1"/>
  <c r="D2748" i="1"/>
  <c r="E2748" i="1"/>
  <c r="F2748" i="1"/>
  <c r="G2748" i="1"/>
  <c r="H2748" i="1"/>
  <c r="I2748" i="1"/>
  <c r="J2748" i="1"/>
  <c r="K2748" i="1"/>
  <c r="L2748" i="1"/>
  <c r="M2748" i="1"/>
  <c r="N2748" i="1"/>
  <c r="O2748" i="1"/>
  <c r="P2748" i="1"/>
  <c r="Q2748" i="1"/>
  <c r="R2748" i="1"/>
  <c r="S2748" i="1"/>
  <c r="T2748" i="1"/>
  <c r="U2748" i="1"/>
  <c r="V2748" i="1"/>
  <c r="W2748" i="1"/>
  <c r="X2748" i="1"/>
  <c r="Y2748" i="1"/>
  <c r="Z2748" i="1"/>
  <c r="AA2748" i="1"/>
  <c r="AB2748" i="1"/>
  <c r="AC2748" i="1"/>
  <c r="AD2748" i="1"/>
  <c r="AE2748" i="1"/>
  <c r="AF2748" i="1"/>
  <c r="AG2748" i="1"/>
  <c r="AH2748" i="1"/>
  <c r="AI2748" i="1"/>
  <c r="AJ2748" i="1"/>
  <c r="AK2748" i="1"/>
  <c r="AL2748" i="1"/>
  <c r="AM2748" i="1"/>
  <c r="A2749" i="1"/>
  <c r="B2749" i="1"/>
  <c r="C2749" i="1"/>
  <c r="D2749" i="1"/>
  <c r="E2749" i="1"/>
  <c r="F2749" i="1"/>
  <c r="G2749" i="1"/>
  <c r="H2749" i="1"/>
  <c r="I2749" i="1"/>
  <c r="J2749" i="1"/>
  <c r="K2749" i="1"/>
  <c r="L2749" i="1"/>
  <c r="M2749" i="1"/>
  <c r="N2749" i="1"/>
  <c r="O2749" i="1"/>
  <c r="P2749" i="1"/>
  <c r="Q2749" i="1"/>
  <c r="R2749" i="1"/>
  <c r="S2749" i="1"/>
  <c r="T2749" i="1"/>
  <c r="U2749" i="1"/>
  <c r="V2749" i="1"/>
  <c r="W2749" i="1"/>
  <c r="X2749" i="1"/>
  <c r="Y2749" i="1"/>
  <c r="Z2749" i="1"/>
  <c r="AA2749" i="1"/>
  <c r="AB2749" i="1"/>
  <c r="AC2749" i="1"/>
  <c r="AD2749" i="1"/>
  <c r="AE2749" i="1"/>
  <c r="AF2749" i="1"/>
  <c r="AG2749" i="1"/>
  <c r="AH2749" i="1"/>
  <c r="AI2749" i="1"/>
  <c r="AJ2749" i="1"/>
  <c r="AK2749" i="1"/>
  <c r="AL2749" i="1"/>
  <c r="AM2749" i="1"/>
  <c r="A2750" i="1"/>
  <c r="B2750" i="1"/>
  <c r="C2750" i="1"/>
  <c r="D2750" i="1"/>
  <c r="E2750" i="1"/>
  <c r="F2750" i="1"/>
  <c r="G2750" i="1"/>
  <c r="H2750" i="1"/>
  <c r="I2750" i="1"/>
  <c r="J2750" i="1"/>
  <c r="K2750" i="1"/>
  <c r="L2750" i="1"/>
  <c r="M2750" i="1"/>
  <c r="N2750" i="1"/>
  <c r="O2750" i="1"/>
  <c r="P2750" i="1"/>
  <c r="Q2750" i="1"/>
  <c r="R2750" i="1"/>
  <c r="S2750" i="1"/>
  <c r="T2750" i="1"/>
  <c r="U2750" i="1"/>
  <c r="V2750" i="1"/>
  <c r="W2750" i="1"/>
  <c r="X2750" i="1"/>
  <c r="Y2750" i="1"/>
  <c r="Z2750" i="1"/>
  <c r="AA2750" i="1"/>
  <c r="AB2750" i="1"/>
  <c r="AC2750" i="1"/>
  <c r="AD2750" i="1"/>
  <c r="AE2750" i="1"/>
  <c r="AF2750" i="1"/>
  <c r="AG2750" i="1"/>
  <c r="AH2750" i="1"/>
  <c r="AI2750" i="1"/>
  <c r="AJ2750" i="1"/>
  <c r="AK2750" i="1"/>
  <c r="AL2750" i="1"/>
  <c r="AM2750" i="1"/>
  <c r="A2751" i="1"/>
  <c r="B2751" i="1"/>
  <c r="C2751" i="1"/>
  <c r="D2751" i="1"/>
  <c r="E2751" i="1"/>
  <c r="F2751" i="1"/>
  <c r="G2751" i="1"/>
  <c r="H2751" i="1"/>
  <c r="I2751" i="1"/>
  <c r="J2751" i="1"/>
  <c r="K2751" i="1"/>
  <c r="L2751" i="1"/>
  <c r="M2751" i="1"/>
  <c r="N2751" i="1"/>
  <c r="O2751" i="1"/>
  <c r="P2751" i="1"/>
  <c r="Q2751" i="1"/>
  <c r="R2751" i="1"/>
  <c r="S2751" i="1"/>
  <c r="T2751" i="1"/>
  <c r="U2751" i="1"/>
  <c r="V2751" i="1"/>
  <c r="W2751" i="1"/>
  <c r="X2751" i="1"/>
  <c r="Y2751" i="1"/>
  <c r="Z2751" i="1"/>
  <c r="AA2751" i="1"/>
  <c r="AB2751" i="1"/>
  <c r="AC2751" i="1"/>
  <c r="AD2751" i="1"/>
  <c r="AE2751" i="1"/>
  <c r="AF2751" i="1"/>
  <c r="AG2751" i="1"/>
  <c r="AH2751" i="1"/>
  <c r="AI2751" i="1"/>
  <c r="AJ2751" i="1"/>
  <c r="AK2751" i="1"/>
  <c r="AL2751" i="1"/>
  <c r="AM2751" i="1"/>
  <c r="A2752" i="1"/>
  <c r="B2752" i="1"/>
  <c r="C2752" i="1"/>
  <c r="D2752" i="1"/>
  <c r="E2752" i="1"/>
  <c r="F2752" i="1"/>
  <c r="G2752" i="1"/>
  <c r="H2752" i="1"/>
  <c r="I2752" i="1"/>
  <c r="J2752" i="1"/>
  <c r="K2752" i="1"/>
  <c r="L2752" i="1"/>
  <c r="M2752" i="1"/>
  <c r="N2752" i="1"/>
  <c r="O2752" i="1"/>
  <c r="P2752" i="1"/>
  <c r="Q2752" i="1"/>
  <c r="R2752" i="1"/>
  <c r="S2752" i="1"/>
  <c r="T2752" i="1"/>
  <c r="U2752" i="1"/>
  <c r="V2752" i="1"/>
  <c r="W2752" i="1"/>
  <c r="X2752" i="1"/>
  <c r="Y2752" i="1"/>
  <c r="Z2752" i="1"/>
  <c r="AA2752" i="1"/>
  <c r="AB2752" i="1"/>
  <c r="AC2752" i="1"/>
  <c r="AD2752" i="1"/>
  <c r="AE2752" i="1"/>
  <c r="AF2752" i="1"/>
  <c r="AG2752" i="1"/>
  <c r="AH2752" i="1"/>
  <c r="AI2752" i="1"/>
  <c r="AJ2752" i="1"/>
  <c r="AK2752" i="1"/>
  <c r="AL2752" i="1"/>
  <c r="AM2752" i="1"/>
  <c r="A2753" i="1"/>
  <c r="B2753" i="1"/>
  <c r="C2753" i="1"/>
  <c r="D2753" i="1"/>
  <c r="E2753" i="1"/>
  <c r="F2753" i="1"/>
  <c r="G2753" i="1"/>
  <c r="H2753" i="1"/>
  <c r="I2753" i="1"/>
  <c r="J2753" i="1"/>
  <c r="K2753" i="1"/>
  <c r="L2753" i="1"/>
  <c r="M2753" i="1"/>
  <c r="N2753" i="1"/>
  <c r="O2753" i="1"/>
  <c r="P2753" i="1"/>
  <c r="Q2753" i="1"/>
  <c r="R2753" i="1"/>
  <c r="S2753" i="1"/>
  <c r="T2753" i="1"/>
  <c r="U2753" i="1"/>
  <c r="V2753" i="1"/>
  <c r="W2753" i="1"/>
  <c r="X2753" i="1"/>
  <c r="Y2753" i="1"/>
  <c r="Z2753" i="1"/>
  <c r="AA2753" i="1"/>
  <c r="AB2753" i="1"/>
  <c r="AC2753" i="1"/>
  <c r="AD2753" i="1"/>
  <c r="AE2753" i="1"/>
  <c r="AF2753" i="1"/>
  <c r="AG2753" i="1"/>
  <c r="AH2753" i="1"/>
  <c r="AI2753" i="1"/>
  <c r="AJ2753" i="1"/>
  <c r="AK2753" i="1"/>
  <c r="AL2753" i="1"/>
  <c r="AM2753" i="1"/>
  <c r="A2754" i="1"/>
  <c r="B2754" i="1"/>
  <c r="C2754" i="1"/>
  <c r="D2754" i="1"/>
  <c r="E2754" i="1"/>
  <c r="F2754" i="1"/>
  <c r="G2754" i="1"/>
  <c r="H2754" i="1"/>
  <c r="I2754" i="1"/>
  <c r="J2754" i="1"/>
  <c r="K2754" i="1"/>
  <c r="L2754" i="1"/>
  <c r="M2754" i="1"/>
  <c r="N2754" i="1"/>
  <c r="O2754" i="1"/>
  <c r="P2754" i="1"/>
  <c r="Q2754" i="1"/>
  <c r="R2754" i="1"/>
  <c r="S2754" i="1"/>
  <c r="T2754" i="1"/>
  <c r="U2754" i="1"/>
  <c r="V2754" i="1"/>
  <c r="W2754" i="1"/>
  <c r="X2754" i="1"/>
  <c r="Y2754" i="1"/>
  <c r="Z2754" i="1"/>
  <c r="AA2754" i="1"/>
  <c r="AB2754" i="1"/>
  <c r="AC2754" i="1"/>
  <c r="AD2754" i="1"/>
  <c r="AE2754" i="1"/>
  <c r="AF2754" i="1"/>
  <c r="AG2754" i="1"/>
  <c r="AH2754" i="1"/>
  <c r="AI2754" i="1"/>
  <c r="AJ2754" i="1"/>
  <c r="AK2754" i="1"/>
  <c r="AL2754" i="1"/>
  <c r="AM2754" i="1"/>
  <c r="A2755" i="1"/>
  <c r="B2755" i="1"/>
  <c r="C2755" i="1"/>
  <c r="D2755" i="1"/>
  <c r="E2755" i="1"/>
  <c r="F2755" i="1"/>
  <c r="G2755" i="1"/>
  <c r="H2755" i="1"/>
  <c r="I2755" i="1"/>
  <c r="J2755" i="1"/>
  <c r="K2755" i="1"/>
  <c r="L2755" i="1"/>
  <c r="M2755" i="1"/>
  <c r="N2755" i="1"/>
  <c r="O2755" i="1"/>
  <c r="P2755" i="1"/>
  <c r="Q2755" i="1"/>
  <c r="R2755" i="1"/>
  <c r="S2755" i="1"/>
  <c r="T2755" i="1"/>
  <c r="U2755" i="1"/>
  <c r="V2755" i="1"/>
  <c r="W2755" i="1"/>
  <c r="X2755" i="1"/>
  <c r="Y2755" i="1"/>
  <c r="Z2755" i="1"/>
  <c r="AA2755" i="1"/>
  <c r="AB2755" i="1"/>
  <c r="AC2755" i="1"/>
  <c r="AD2755" i="1"/>
  <c r="AE2755" i="1"/>
  <c r="AF2755" i="1"/>
  <c r="AG2755" i="1"/>
  <c r="AH2755" i="1"/>
  <c r="AI2755" i="1"/>
  <c r="AJ2755" i="1"/>
  <c r="AK2755" i="1"/>
  <c r="AL2755" i="1"/>
  <c r="AM2755" i="1"/>
  <c r="A2756" i="1"/>
  <c r="B2756" i="1"/>
  <c r="C2756" i="1"/>
  <c r="D2756" i="1"/>
  <c r="E2756" i="1"/>
  <c r="F2756" i="1"/>
  <c r="G2756" i="1"/>
  <c r="H2756" i="1"/>
  <c r="I2756" i="1"/>
  <c r="J2756" i="1"/>
  <c r="K2756" i="1"/>
  <c r="L2756" i="1"/>
  <c r="M2756" i="1"/>
  <c r="N2756" i="1"/>
  <c r="O2756" i="1"/>
  <c r="P2756" i="1"/>
  <c r="Q2756" i="1"/>
  <c r="R2756" i="1"/>
  <c r="S2756" i="1"/>
  <c r="T2756" i="1"/>
  <c r="U2756" i="1"/>
  <c r="V2756" i="1"/>
  <c r="W2756" i="1"/>
  <c r="X2756" i="1"/>
  <c r="Y2756" i="1"/>
  <c r="Z2756" i="1"/>
  <c r="AA2756" i="1"/>
  <c r="AB2756" i="1"/>
  <c r="AC2756" i="1"/>
  <c r="AD2756" i="1"/>
  <c r="AE2756" i="1"/>
  <c r="AF2756" i="1"/>
  <c r="AG2756" i="1"/>
  <c r="AH2756" i="1"/>
  <c r="AI2756" i="1"/>
  <c r="AJ2756" i="1"/>
  <c r="AK2756" i="1"/>
  <c r="AL2756" i="1"/>
  <c r="AM2756" i="1"/>
  <c r="A2757" i="1"/>
  <c r="B2757" i="1"/>
  <c r="C2757" i="1"/>
  <c r="D2757" i="1"/>
  <c r="E2757" i="1"/>
  <c r="F2757" i="1"/>
  <c r="G2757" i="1"/>
  <c r="H2757" i="1"/>
  <c r="I2757" i="1"/>
  <c r="J2757" i="1"/>
  <c r="K2757" i="1"/>
  <c r="L2757" i="1"/>
  <c r="M2757" i="1"/>
  <c r="N2757" i="1"/>
  <c r="O2757" i="1"/>
  <c r="P2757" i="1"/>
  <c r="Q2757" i="1"/>
  <c r="R2757" i="1"/>
  <c r="S2757" i="1"/>
  <c r="T2757" i="1"/>
  <c r="U2757" i="1"/>
  <c r="V2757" i="1"/>
  <c r="W2757" i="1"/>
  <c r="X2757" i="1"/>
  <c r="Y2757" i="1"/>
  <c r="Z2757" i="1"/>
  <c r="AA2757" i="1"/>
  <c r="AB2757" i="1"/>
  <c r="AC2757" i="1"/>
  <c r="AD2757" i="1"/>
  <c r="AE2757" i="1"/>
  <c r="AF2757" i="1"/>
  <c r="AG2757" i="1"/>
  <c r="AH2757" i="1"/>
  <c r="AI2757" i="1"/>
  <c r="AJ2757" i="1"/>
  <c r="AK2757" i="1"/>
  <c r="AL2757" i="1"/>
  <c r="AM2757" i="1"/>
  <c r="A2758" i="1"/>
  <c r="B2758" i="1"/>
  <c r="C2758" i="1"/>
  <c r="D2758" i="1"/>
  <c r="E2758" i="1"/>
  <c r="F2758" i="1"/>
  <c r="G2758" i="1"/>
  <c r="H2758" i="1"/>
  <c r="I2758" i="1"/>
  <c r="J2758" i="1"/>
  <c r="K2758" i="1"/>
  <c r="L2758" i="1"/>
  <c r="M2758" i="1"/>
  <c r="N2758" i="1"/>
  <c r="O2758" i="1"/>
  <c r="P2758" i="1"/>
  <c r="Q2758" i="1"/>
  <c r="R2758" i="1"/>
  <c r="S2758" i="1"/>
  <c r="T2758" i="1"/>
  <c r="U2758" i="1"/>
  <c r="V2758" i="1"/>
  <c r="W2758" i="1"/>
  <c r="X2758" i="1"/>
  <c r="Y2758" i="1"/>
  <c r="Z2758" i="1"/>
  <c r="AA2758" i="1"/>
  <c r="AB2758" i="1"/>
  <c r="AC2758" i="1"/>
  <c r="AD2758" i="1"/>
  <c r="AE2758" i="1"/>
  <c r="AF2758" i="1"/>
  <c r="AG2758" i="1"/>
  <c r="AH2758" i="1"/>
  <c r="AI2758" i="1"/>
  <c r="AJ2758" i="1"/>
  <c r="AK2758" i="1"/>
  <c r="AL2758" i="1"/>
  <c r="AM2758" i="1"/>
  <c r="A2759" i="1"/>
  <c r="B2759" i="1"/>
  <c r="C2759" i="1"/>
  <c r="D2759" i="1"/>
  <c r="E2759" i="1"/>
  <c r="F2759" i="1"/>
  <c r="G2759" i="1"/>
  <c r="H2759" i="1"/>
  <c r="I2759" i="1"/>
  <c r="J2759" i="1"/>
  <c r="K2759" i="1"/>
  <c r="L2759" i="1"/>
  <c r="M2759" i="1"/>
  <c r="N2759" i="1"/>
  <c r="O2759" i="1"/>
  <c r="P2759" i="1"/>
  <c r="Q2759" i="1"/>
  <c r="R2759" i="1"/>
  <c r="S2759" i="1"/>
  <c r="T2759" i="1"/>
  <c r="U2759" i="1"/>
  <c r="V2759" i="1"/>
  <c r="W2759" i="1"/>
  <c r="X2759" i="1"/>
  <c r="Y2759" i="1"/>
  <c r="Z2759" i="1"/>
  <c r="AA2759" i="1"/>
  <c r="AB2759" i="1"/>
  <c r="AC2759" i="1"/>
  <c r="AD2759" i="1"/>
  <c r="AE2759" i="1"/>
  <c r="AF2759" i="1"/>
  <c r="AG2759" i="1"/>
  <c r="AH2759" i="1"/>
  <c r="AI2759" i="1"/>
  <c r="AJ2759" i="1"/>
  <c r="AK2759" i="1"/>
  <c r="AL2759" i="1"/>
  <c r="AM2759" i="1"/>
  <c r="A2760" i="1"/>
  <c r="B2760" i="1"/>
  <c r="C2760" i="1"/>
  <c r="D2760" i="1"/>
  <c r="E2760" i="1"/>
  <c r="F2760" i="1"/>
  <c r="G2760" i="1"/>
  <c r="H2760" i="1"/>
  <c r="I2760" i="1"/>
  <c r="J2760" i="1"/>
  <c r="K2760" i="1"/>
  <c r="L2760" i="1"/>
  <c r="M2760" i="1"/>
  <c r="N2760" i="1"/>
  <c r="O2760" i="1"/>
  <c r="P2760" i="1"/>
  <c r="Q2760" i="1"/>
  <c r="R2760" i="1"/>
  <c r="S2760" i="1"/>
  <c r="T2760" i="1"/>
  <c r="U2760" i="1"/>
  <c r="V2760" i="1"/>
  <c r="W2760" i="1"/>
  <c r="X2760" i="1"/>
  <c r="Y2760" i="1"/>
  <c r="Z2760" i="1"/>
  <c r="AA2760" i="1"/>
  <c r="AB2760" i="1"/>
  <c r="AC2760" i="1"/>
  <c r="AD2760" i="1"/>
  <c r="AE2760" i="1"/>
  <c r="AF2760" i="1"/>
  <c r="AG2760" i="1"/>
  <c r="AH2760" i="1"/>
  <c r="AI2760" i="1"/>
  <c r="AJ2760" i="1"/>
  <c r="AK2760" i="1"/>
  <c r="AL2760" i="1"/>
  <c r="AM2760" i="1"/>
  <c r="A2761" i="1"/>
  <c r="B2761" i="1"/>
  <c r="C2761" i="1"/>
  <c r="D2761" i="1"/>
  <c r="E2761" i="1"/>
  <c r="F2761" i="1"/>
  <c r="G2761" i="1"/>
  <c r="H2761" i="1"/>
  <c r="I2761" i="1"/>
  <c r="J2761" i="1"/>
  <c r="K2761" i="1"/>
  <c r="L2761" i="1"/>
  <c r="M2761" i="1"/>
  <c r="N2761" i="1"/>
  <c r="O2761" i="1"/>
  <c r="P2761" i="1"/>
  <c r="Q2761" i="1"/>
  <c r="R2761" i="1"/>
  <c r="S2761" i="1"/>
  <c r="T2761" i="1"/>
  <c r="U2761" i="1"/>
  <c r="V2761" i="1"/>
  <c r="W2761" i="1"/>
  <c r="X2761" i="1"/>
  <c r="Y2761" i="1"/>
  <c r="Z2761" i="1"/>
  <c r="AA2761" i="1"/>
  <c r="AB2761" i="1"/>
  <c r="AC2761" i="1"/>
  <c r="AD2761" i="1"/>
  <c r="AE2761" i="1"/>
  <c r="AF2761" i="1"/>
  <c r="AG2761" i="1"/>
  <c r="AH2761" i="1"/>
  <c r="AI2761" i="1"/>
  <c r="AJ2761" i="1"/>
  <c r="AK2761" i="1"/>
  <c r="AL2761" i="1"/>
  <c r="AM2761" i="1"/>
  <c r="A2762" i="1"/>
  <c r="B2762" i="1"/>
  <c r="C2762" i="1"/>
  <c r="D2762" i="1"/>
  <c r="E2762" i="1"/>
  <c r="F2762" i="1"/>
  <c r="G2762" i="1"/>
  <c r="H2762" i="1"/>
  <c r="I2762" i="1"/>
  <c r="J2762" i="1"/>
  <c r="K2762" i="1"/>
  <c r="L2762" i="1"/>
  <c r="M2762" i="1"/>
  <c r="N2762" i="1"/>
  <c r="O2762" i="1"/>
  <c r="P2762" i="1"/>
  <c r="Q2762" i="1"/>
  <c r="R2762" i="1"/>
  <c r="S2762" i="1"/>
  <c r="T2762" i="1"/>
  <c r="U2762" i="1"/>
  <c r="V2762" i="1"/>
  <c r="W2762" i="1"/>
  <c r="X2762" i="1"/>
  <c r="Y2762" i="1"/>
  <c r="Z2762" i="1"/>
  <c r="AA2762" i="1"/>
  <c r="AB2762" i="1"/>
  <c r="AC2762" i="1"/>
  <c r="AD2762" i="1"/>
  <c r="AE2762" i="1"/>
  <c r="AF2762" i="1"/>
  <c r="AG2762" i="1"/>
  <c r="AH2762" i="1"/>
  <c r="AI2762" i="1"/>
  <c r="AJ2762" i="1"/>
  <c r="AK2762" i="1"/>
  <c r="AL2762" i="1"/>
  <c r="AM2762" i="1"/>
  <c r="A2763" i="1"/>
  <c r="B2763" i="1"/>
  <c r="C2763" i="1"/>
  <c r="D2763" i="1"/>
  <c r="E2763" i="1"/>
  <c r="F2763" i="1"/>
  <c r="G2763" i="1"/>
  <c r="H2763" i="1"/>
  <c r="I2763" i="1"/>
  <c r="J2763" i="1"/>
  <c r="K2763" i="1"/>
  <c r="L2763" i="1"/>
  <c r="M2763" i="1"/>
  <c r="N2763" i="1"/>
  <c r="O2763" i="1"/>
  <c r="P2763" i="1"/>
  <c r="Q2763" i="1"/>
  <c r="R2763" i="1"/>
  <c r="S2763" i="1"/>
  <c r="T2763" i="1"/>
  <c r="U2763" i="1"/>
  <c r="V2763" i="1"/>
  <c r="W2763" i="1"/>
  <c r="X2763" i="1"/>
  <c r="Y2763" i="1"/>
  <c r="Z2763" i="1"/>
  <c r="AA2763" i="1"/>
  <c r="AB2763" i="1"/>
  <c r="AC2763" i="1"/>
  <c r="AD2763" i="1"/>
  <c r="AE2763" i="1"/>
  <c r="AF2763" i="1"/>
  <c r="AG2763" i="1"/>
  <c r="AH2763" i="1"/>
  <c r="AI2763" i="1"/>
  <c r="AJ2763" i="1"/>
  <c r="AK2763" i="1"/>
  <c r="AL2763" i="1"/>
  <c r="AM2763" i="1"/>
  <c r="A2764" i="1"/>
  <c r="B2764" i="1"/>
  <c r="C2764" i="1"/>
  <c r="D2764" i="1"/>
  <c r="E2764" i="1"/>
  <c r="F2764" i="1"/>
  <c r="G2764" i="1"/>
  <c r="H2764" i="1"/>
  <c r="I2764" i="1"/>
  <c r="J2764" i="1"/>
  <c r="K2764" i="1"/>
  <c r="L2764" i="1"/>
  <c r="M2764" i="1"/>
  <c r="N2764" i="1"/>
  <c r="O2764" i="1"/>
  <c r="P2764" i="1"/>
  <c r="Q2764" i="1"/>
  <c r="R2764" i="1"/>
  <c r="S2764" i="1"/>
  <c r="T2764" i="1"/>
  <c r="U2764" i="1"/>
  <c r="V2764" i="1"/>
  <c r="W2764" i="1"/>
  <c r="X2764" i="1"/>
  <c r="Y2764" i="1"/>
  <c r="Z2764" i="1"/>
  <c r="AA2764" i="1"/>
  <c r="AB2764" i="1"/>
  <c r="AC2764" i="1"/>
  <c r="AD2764" i="1"/>
  <c r="AE2764" i="1"/>
  <c r="AF2764" i="1"/>
  <c r="AG2764" i="1"/>
  <c r="AH2764" i="1"/>
  <c r="AI2764" i="1"/>
  <c r="AJ2764" i="1"/>
  <c r="AK2764" i="1"/>
  <c r="AL2764" i="1"/>
  <c r="AM2764" i="1"/>
  <c r="A2765" i="1"/>
  <c r="B2765" i="1"/>
  <c r="C2765" i="1"/>
  <c r="D2765" i="1"/>
  <c r="E2765" i="1"/>
  <c r="F2765" i="1"/>
  <c r="G2765" i="1"/>
  <c r="H2765" i="1"/>
  <c r="I2765" i="1"/>
  <c r="J2765" i="1"/>
  <c r="K2765" i="1"/>
  <c r="L2765" i="1"/>
  <c r="M2765" i="1"/>
  <c r="N2765" i="1"/>
  <c r="O2765" i="1"/>
  <c r="P2765" i="1"/>
  <c r="Q2765" i="1"/>
  <c r="R2765" i="1"/>
  <c r="S2765" i="1"/>
  <c r="T2765" i="1"/>
  <c r="U2765" i="1"/>
  <c r="V2765" i="1"/>
  <c r="W2765" i="1"/>
  <c r="X2765" i="1"/>
  <c r="Y2765" i="1"/>
  <c r="Z2765" i="1"/>
  <c r="AA2765" i="1"/>
  <c r="AB2765" i="1"/>
  <c r="AC2765" i="1"/>
  <c r="AD2765" i="1"/>
  <c r="AE2765" i="1"/>
  <c r="AF2765" i="1"/>
  <c r="AG2765" i="1"/>
  <c r="AH2765" i="1"/>
  <c r="AI2765" i="1"/>
  <c r="AJ2765" i="1"/>
  <c r="AK2765" i="1"/>
  <c r="AL2765" i="1"/>
  <c r="AM2765" i="1"/>
  <c r="A2766" i="1"/>
  <c r="B2766" i="1"/>
  <c r="C2766" i="1"/>
  <c r="D2766" i="1"/>
  <c r="E2766" i="1"/>
  <c r="F2766" i="1"/>
  <c r="G2766" i="1"/>
  <c r="H2766" i="1"/>
  <c r="I2766" i="1"/>
  <c r="J2766" i="1"/>
  <c r="K2766" i="1"/>
  <c r="L2766" i="1"/>
  <c r="M2766" i="1"/>
  <c r="N2766" i="1"/>
  <c r="O2766" i="1"/>
  <c r="P2766" i="1"/>
  <c r="Q2766" i="1"/>
  <c r="R2766" i="1"/>
  <c r="S2766" i="1"/>
  <c r="T2766" i="1"/>
  <c r="U2766" i="1"/>
  <c r="V2766" i="1"/>
  <c r="W2766" i="1"/>
  <c r="X2766" i="1"/>
  <c r="Y2766" i="1"/>
  <c r="Z2766" i="1"/>
  <c r="AA2766" i="1"/>
  <c r="AB2766" i="1"/>
  <c r="AC2766" i="1"/>
  <c r="AD2766" i="1"/>
  <c r="AE2766" i="1"/>
  <c r="AF2766" i="1"/>
  <c r="AG2766" i="1"/>
  <c r="AH2766" i="1"/>
  <c r="AI2766" i="1"/>
  <c r="AJ2766" i="1"/>
  <c r="AK2766" i="1"/>
  <c r="AL2766" i="1"/>
  <c r="AM2766" i="1"/>
  <c r="A2767" i="1"/>
  <c r="B2767" i="1"/>
  <c r="C2767" i="1"/>
  <c r="D2767" i="1"/>
  <c r="E2767" i="1"/>
  <c r="F2767" i="1"/>
  <c r="G2767" i="1"/>
  <c r="H2767" i="1"/>
  <c r="I2767" i="1"/>
  <c r="J2767" i="1"/>
  <c r="K2767" i="1"/>
  <c r="L2767" i="1"/>
  <c r="M2767" i="1"/>
  <c r="N2767" i="1"/>
  <c r="O2767" i="1"/>
  <c r="P2767" i="1"/>
  <c r="Q2767" i="1"/>
  <c r="R2767" i="1"/>
  <c r="S2767" i="1"/>
  <c r="T2767" i="1"/>
  <c r="U2767" i="1"/>
  <c r="V2767" i="1"/>
  <c r="W2767" i="1"/>
  <c r="X2767" i="1"/>
  <c r="Y2767" i="1"/>
  <c r="Z2767" i="1"/>
  <c r="AA2767" i="1"/>
  <c r="AB2767" i="1"/>
  <c r="AC2767" i="1"/>
  <c r="AD2767" i="1"/>
  <c r="AE2767" i="1"/>
  <c r="AF2767" i="1"/>
  <c r="AG2767" i="1"/>
  <c r="AH2767" i="1"/>
  <c r="AI2767" i="1"/>
  <c r="AJ2767" i="1"/>
  <c r="AK2767" i="1"/>
  <c r="AL2767" i="1"/>
  <c r="AM2767" i="1"/>
  <c r="A2768" i="1"/>
  <c r="B2768" i="1"/>
  <c r="C2768" i="1"/>
  <c r="D2768" i="1"/>
  <c r="E2768" i="1"/>
  <c r="F2768" i="1"/>
  <c r="G2768" i="1"/>
  <c r="H2768" i="1"/>
  <c r="I2768" i="1"/>
  <c r="J2768" i="1"/>
  <c r="K2768" i="1"/>
  <c r="L2768" i="1"/>
  <c r="M2768" i="1"/>
  <c r="N2768" i="1"/>
  <c r="O2768" i="1"/>
  <c r="P2768" i="1"/>
  <c r="Q2768" i="1"/>
  <c r="R2768" i="1"/>
  <c r="S2768" i="1"/>
  <c r="T2768" i="1"/>
  <c r="U2768" i="1"/>
  <c r="V2768" i="1"/>
  <c r="W2768" i="1"/>
  <c r="X2768" i="1"/>
  <c r="Y2768" i="1"/>
  <c r="Z2768" i="1"/>
  <c r="AA2768" i="1"/>
  <c r="AB2768" i="1"/>
  <c r="AC2768" i="1"/>
  <c r="AD2768" i="1"/>
  <c r="AE2768" i="1"/>
  <c r="AF2768" i="1"/>
  <c r="AG2768" i="1"/>
  <c r="AH2768" i="1"/>
  <c r="AI2768" i="1"/>
  <c r="AJ2768" i="1"/>
  <c r="AK2768" i="1"/>
  <c r="AL2768" i="1"/>
  <c r="AM2768" i="1"/>
  <c r="A2769" i="1"/>
  <c r="B2769" i="1"/>
  <c r="C2769" i="1"/>
  <c r="D2769" i="1"/>
  <c r="E2769" i="1"/>
  <c r="F2769" i="1"/>
  <c r="G2769" i="1"/>
  <c r="H2769" i="1"/>
  <c r="I2769" i="1"/>
  <c r="J2769" i="1"/>
  <c r="K2769" i="1"/>
  <c r="L2769" i="1"/>
  <c r="M2769" i="1"/>
  <c r="N2769" i="1"/>
  <c r="O2769" i="1"/>
  <c r="P2769" i="1"/>
  <c r="Q2769" i="1"/>
  <c r="R2769" i="1"/>
  <c r="S2769" i="1"/>
  <c r="T2769" i="1"/>
  <c r="U2769" i="1"/>
  <c r="V2769" i="1"/>
  <c r="W2769" i="1"/>
  <c r="X2769" i="1"/>
  <c r="Y2769" i="1"/>
  <c r="Z2769" i="1"/>
  <c r="AA2769" i="1"/>
  <c r="AB2769" i="1"/>
  <c r="AC2769" i="1"/>
  <c r="AD2769" i="1"/>
  <c r="AE2769" i="1"/>
  <c r="AF2769" i="1"/>
  <c r="AG2769" i="1"/>
  <c r="AH2769" i="1"/>
  <c r="AI2769" i="1"/>
  <c r="AJ2769" i="1"/>
  <c r="AK2769" i="1"/>
  <c r="AL2769" i="1"/>
  <c r="AM2769" i="1"/>
  <c r="A2770" i="1"/>
  <c r="B2770" i="1"/>
  <c r="C2770" i="1"/>
  <c r="D2770" i="1"/>
  <c r="E2770" i="1"/>
  <c r="F2770" i="1"/>
  <c r="G2770" i="1"/>
  <c r="H2770" i="1"/>
  <c r="I2770" i="1"/>
  <c r="J2770" i="1"/>
  <c r="K2770" i="1"/>
  <c r="L2770" i="1"/>
  <c r="M2770" i="1"/>
  <c r="N2770" i="1"/>
  <c r="O2770" i="1"/>
  <c r="P2770" i="1"/>
  <c r="Q2770" i="1"/>
  <c r="R2770" i="1"/>
  <c r="S2770" i="1"/>
  <c r="T2770" i="1"/>
  <c r="U2770" i="1"/>
  <c r="V2770" i="1"/>
  <c r="W2770" i="1"/>
  <c r="X2770" i="1"/>
  <c r="Y2770" i="1"/>
  <c r="Z2770" i="1"/>
  <c r="AA2770" i="1"/>
  <c r="AB2770" i="1"/>
  <c r="AC2770" i="1"/>
  <c r="AD2770" i="1"/>
  <c r="AE2770" i="1"/>
  <c r="AF2770" i="1"/>
  <c r="AG2770" i="1"/>
  <c r="AH2770" i="1"/>
  <c r="AI2770" i="1"/>
  <c r="AJ2770" i="1"/>
  <c r="AK2770" i="1"/>
  <c r="AL2770" i="1"/>
  <c r="AM2770" i="1"/>
  <c r="A2771" i="1"/>
  <c r="B2771" i="1"/>
  <c r="C2771" i="1"/>
  <c r="D2771" i="1"/>
  <c r="E2771" i="1"/>
  <c r="F2771" i="1"/>
  <c r="G2771" i="1"/>
  <c r="H2771" i="1"/>
  <c r="I2771" i="1"/>
  <c r="J2771" i="1"/>
  <c r="K2771" i="1"/>
  <c r="L2771" i="1"/>
  <c r="M2771" i="1"/>
  <c r="N2771" i="1"/>
  <c r="O2771" i="1"/>
  <c r="P2771" i="1"/>
  <c r="Q2771" i="1"/>
  <c r="R2771" i="1"/>
  <c r="S2771" i="1"/>
  <c r="T2771" i="1"/>
  <c r="U2771" i="1"/>
  <c r="V2771" i="1"/>
  <c r="W2771" i="1"/>
  <c r="X2771" i="1"/>
  <c r="Y2771" i="1"/>
  <c r="Z2771" i="1"/>
  <c r="AA2771" i="1"/>
  <c r="AB2771" i="1"/>
  <c r="AC2771" i="1"/>
  <c r="AD2771" i="1"/>
  <c r="AE2771" i="1"/>
  <c r="AF2771" i="1"/>
  <c r="AG2771" i="1"/>
  <c r="AH2771" i="1"/>
  <c r="AI2771" i="1"/>
  <c r="AJ2771" i="1"/>
  <c r="AK2771" i="1"/>
  <c r="AL2771" i="1"/>
  <c r="AM2771" i="1"/>
  <c r="A2772" i="1"/>
  <c r="B2772" i="1"/>
  <c r="C2772" i="1"/>
  <c r="D2772" i="1"/>
  <c r="E2772" i="1"/>
  <c r="F2772" i="1"/>
  <c r="G2772" i="1"/>
  <c r="H2772" i="1"/>
  <c r="I2772" i="1"/>
  <c r="J2772" i="1"/>
  <c r="K2772" i="1"/>
  <c r="L2772" i="1"/>
  <c r="M2772" i="1"/>
  <c r="N2772" i="1"/>
  <c r="O2772" i="1"/>
  <c r="P2772" i="1"/>
  <c r="Q2772" i="1"/>
  <c r="R2772" i="1"/>
  <c r="S2772" i="1"/>
  <c r="T2772" i="1"/>
  <c r="U2772" i="1"/>
  <c r="V2772" i="1"/>
  <c r="W2772" i="1"/>
  <c r="X2772" i="1"/>
  <c r="Y2772" i="1"/>
  <c r="Z2772" i="1"/>
  <c r="AA2772" i="1"/>
  <c r="AB2772" i="1"/>
  <c r="AC2772" i="1"/>
  <c r="AD2772" i="1"/>
  <c r="AE2772" i="1"/>
  <c r="AF2772" i="1"/>
  <c r="AG2772" i="1"/>
  <c r="AH2772" i="1"/>
  <c r="AI2772" i="1"/>
  <c r="AJ2772" i="1"/>
  <c r="AK2772" i="1"/>
  <c r="AL2772" i="1"/>
  <c r="AM2772" i="1"/>
  <c r="A2773" i="1"/>
  <c r="B2773" i="1"/>
  <c r="C2773" i="1"/>
  <c r="D2773" i="1"/>
  <c r="E2773" i="1"/>
  <c r="F2773" i="1"/>
  <c r="G2773" i="1"/>
  <c r="H2773" i="1"/>
  <c r="I2773" i="1"/>
  <c r="J2773" i="1"/>
  <c r="K2773" i="1"/>
  <c r="L2773" i="1"/>
  <c r="M2773" i="1"/>
  <c r="N2773" i="1"/>
  <c r="O2773" i="1"/>
  <c r="P2773" i="1"/>
  <c r="Q2773" i="1"/>
  <c r="R2773" i="1"/>
  <c r="S2773" i="1"/>
  <c r="T2773" i="1"/>
  <c r="U2773" i="1"/>
  <c r="V2773" i="1"/>
  <c r="W2773" i="1"/>
  <c r="X2773" i="1"/>
  <c r="Y2773" i="1"/>
  <c r="Z2773" i="1"/>
  <c r="AA2773" i="1"/>
  <c r="AB2773" i="1"/>
  <c r="AC2773" i="1"/>
  <c r="AD2773" i="1"/>
  <c r="AE2773" i="1"/>
  <c r="AF2773" i="1"/>
  <c r="AG2773" i="1"/>
  <c r="AH2773" i="1"/>
  <c r="AI2773" i="1"/>
  <c r="AJ2773" i="1"/>
  <c r="AK2773" i="1"/>
  <c r="AL2773" i="1"/>
  <c r="AM2773" i="1"/>
  <c r="A2774" i="1"/>
  <c r="B2774" i="1"/>
  <c r="C2774" i="1"/>
  <c r="D2774" i="1"/>
  <c r="E2774" i="1"/>
  <c r="F2774" i="1"/>
  <c r="G2774" i="1"/>
  <c r="H2774" i="1"/>
  <c r="I2774" i="1"/>
  <c r="J2774" i="1"/>
  <c r="K2774" i="1"/>
  <c r="L2774" i="1"/>
  <c r="M2774" i="1"/>
  <c r="N2774" i="1"/>
  <c r="O2774" i="1"/>
  <c r="P2774" i="1"/>
  <c r="Q2774" i="1"/>
  <c r="R2774" i="1"/>
  <c r="S2774" i="1"/>
  <c r="T2774" i="1"/>
  <c r="U2774" i="1"/>
  <c r="V2774" i="1"/>
  <c r="W2774" i="1"/>
  <c r="X2774" i="1"/>
  <c r="Y2774" i="1"/>
  <c r="Z2774" i="1"/>
  <c r="AA2774" i="1"/>
  <c r="AB2774" i="1"/>
  <c r="AC2774" i="1"/>
  <c r="AD2774" i="1"/>
  <c r="AE2774" i="1"/>
  <c r="AF2774" i="1"/>
  <c r="AG2774" i="1"/>
  <c r="AH2774" i="1"/>
  <c r="AI2774" i="1"/>
  <c r="AJ2774" i="1"/>
  <c r="AK2774" i="1"/>
  <c r="AL2774" i="1"/>
  <c r="AM2774" i="1"/>
  <c r="A2775" i="1"/>
  <c r="B2775" i="1"/>
  <c r="C2775" i="1"/>
  <c r="D2775" i="1"/>
  <c r="E2775" i="1"/>
  <c r="F2775" i="1"/>
  <c r="G2775" i="1"/>
  <c r="H2775" i="1"/>
  <c r="I2775" i="1"/>
  <c r="J2775" i="1"/>
  <c r="K2775" i="1"/>
  <c r="L2775" i="1"/>
  <c r="M2775" i="1"/>
  <c r="N2775" i="1"/>
  <c r="O2775" i="1"/>
  <c r="P2775" i="1"/>
  <c r="Q2775" i="1"/>
  <c r="R2775" i="1"/>
  <c r="S2775" i="1"/>
  <c r="T2775" i="1"/>
  <c r="U2775" i="1"/>
  <c r="V2775" i="1"/>
  <c r="W2775" i="1"/>
  <c r="X2775" i="1"/>
  <c r="Y2775" i="1"/>
  <c r="Z2775" i="1"/>
  <c r="AA2775" i="1"/>
  <c r="AB2775" i="1"/>
  <c r="AC2775" i="1"/>
  <c r="AD2775" i="1"/>
  <c r="AE2775" i="1"/>
  <c r="AF2775" i="1"/>
  <c r="AG2775" i="1"/>
  <c r="AH2775" i="1"/>
  <c r="AI2775" i="1"/>
  <c r="AJ2775" i="1"/>
  <c r="AK2775" i="1"/>
  <c r="AL2775" i="1"/>
  <c r="AM2775" i="1"/>
  <c r="A2776" i="1"/>
  <c r="B2776" i="1"/>
  <c r="C2776" i="1"/>
  <c r="D2776" i="1"/>
  <c r="E2776" i="1"/>
  <c r="F2776" i="1"/>
  <c r="G2776" i="1"/>
  <c r="H2776" i="1"/>
  <c r="I2776" i="1"/>
  <c r="J2776" i="1"/>
  <c r="K2776" i="1"/>
  <c r="L2776" i="1"/>
  <c r="M2776" i="1"/>
  <c r="N2776" i="1"/>
  <c r="O2776" i="1"/>
  <c r="P2776" i="1"/>
  <c r="Q2776" i="1"/>
  <c r="R2776" i="1"/>
  <c r="S2776" i="1"/>
  <c r="T2776" i="1"/>
  <c r="U2776" i="1"/>
  <c r="V2776" i="1"/>
  <c r="W2776" i="1"/>
  <c r="X2776" i="1"/>
  <c r="Y2776" i="1"/>
  <c r="Z2776" i="1"/>
  <c r="AA2776" i="1"/>
  <c r="AB2776" i="1"/>
  <c r="AC2776" i="1"/>
  <c r="AD2776" i="1"/>
  <c r="AE2776" i="1"/>
  <c r="AF2776" i="1"/>
  <c r="AG2776" i="1"/>
  <c r="AH2776" i="1"/>
  <c r="AI2776" i="1"/>
  <c r="AJ2776" i="1"/>
  <c r="AK2776" i="1"/>
  <c r="AL2776" i="1"/>
  <c r="AM2776" i="1"/>
  <c r="A2777" i="1"/>
  <c r="B2777" i="1"/>
  <c r="C2777" i="1"/>
  <c r="D2777" i="1"/>
  <c r="E2777" i="1"/>
  <c r="F2777" i="1"/>
  <c r="G2777" i="1"/>
  <c r="H2777" i="1"/>
  <c r="I2777" i="1"/>
  <c r="J2777" i="1"/>
  <c r="K2777" i="1"/>
  <c r="L2777" i="1"/>
  <c r="M2777" i="1"/>
  <c r="N2777" i="1"/>
  <c r="O2777" i="1"/>
  <c r="P2777" i="1"/>
  <c r="Q2777" i="1"/>
  <c r="R2777" i="1"/>
  <c r="S2777" i="1"/>
  <c r="T2777" i="1"/>
  <c r="U2777" i="1"/>
  <c r="V2777" i="1"/>
  <c r="W2777" i="1"/>
  <c r="X2777" i="1"/>
  <c r="Y2777" i="1"/>
  <c r="Z2777" i="1"/>
  <c r="AA2777" i="1"/>
  <c r="AB2777" i="1"/>
  <c r="AC2777" i="1"/>
  <c r="AD2777" i="1"/>
  <c r="AE2777" i="1"/>
  <c r="AF2777" i="1"/>
  <c r="AG2777" i="1"/>
  <c r="AH2777" i="1"/>
  <c r="AI2777" i="1"/>
  <c r="AJ2777" i="1"/>
  <c r="AK2777" i="1"/>
  <c r="AL2777" i="1"/>
  <c r="AM2777" i="1"/>
  <c r="A2778" i="1"/>
  <c r="B2778" i="1"/>
  <c r="C2778" i="1"/>
  <c r="D2778" i="1"/>
  <c r="E2778" i="1"/>
  <c r="F2778" i="1"/>
  <c r="G2778" i="1"/>
  <c r="H2778" i="1"/>
  <c r="I2778" i="1"/>
  <c r="J2778" i="1"/>
  <c r="K2778" i="1"/>
  <c r="L2778" i="1"/>
  <c r="M2778" i="1"/>
  <c r="N2778" i="1"/>
  <c r="O2778" i="1"/>
  <c r="P2778" i="1"/>
  <c r="Q2778" i="1"/>
  <c r="R2778" i="1"/>
  <c r="S2778" i="1"/>
  <c r="T2778" i="1"/>
  <c r="U2778" i="1"/>
  <c r="V2778" i="1"/>
  <c r="W2778" i="1"/>
  <c r="X2778" i="1"/>
  <c r="Y2778" i="1"/>
  <c r="Z2778" i="1"/>
  <c r="AA2778" i="1"/>
  <c r="AB2778" i="1"/>
  <c r="AC2778" i="1"/>
  <c r="AD2778" i="1"/>
  <c r="AE2778" i="1"/>
  <c r="AF2778" i="1"/>
  <c r="AG2778" i="1"/>
  <c r="AH2778" i="1"/>
  <c r="AI2778" i="1"/>
  <c r="AJ2778" i="1"/>
  <c r="AK2778" i="1"/>
  <c r="AL2778" i="1"/>
  <c r="AM2778" i="1"/>
  <c r="A2779" i="1"/>
  <c r="B2779" i="1"/>
  <c r="C2779" i="1"/>
  <c r="D2779" i="1"/>
  <c r="E2779" i="1"/>
  <c r="F2779" i="1"/>
  <c r="G2779" i="1"/>
  <c r="H2779" i="1"/>
  <c r="I2779" i="1"/>
  <c r="J2779" i="1"/>
  <c r="K2779" i="1"/>
  <c r="L2779" i="1"/>
  <c r="M2779" i="1"/>
  <c r="N2779" i="1"/>
  <c r="O2779" i="1"/>
  <c r="P2779" i="1"/>
  <c r="Q2779" i="1"/>
  <c r="R2779" i="1"/>
  <c r="S2779" i="1"/>
  <c r="T2779" i="1"/>
  <c r="U2779" i="1"/>
  <c r="V2779" i="1"/>
  <c r="W2779" i="1"/>
  <c r="X2779" i="1"/>
  <c r="Y2779" i="1"/>
  <c r="Z2779" i="1"/>
  <c r="AA2779" i="1"/>
  <c r="AB2779" i="1"/>
  <c r="AC2779" i="1"/>
  <c r="AD2779" i="1"/>
  <c r="AE2779" i="1"/>
  <c r="AF2779" i="1"/>
  <c r="AG2779" i="1"/>
  <c r="AH2779" i="1"/>
  <c r="AI2779" i="1"/>
  <c r="AJ2779" i="1"/>
  <c r="AK2779" i="1"/>
  <c r="AL2779" i="1"/>
  <c r="AM2779" i="1"/>
  <c r="A2780" i="1"/>
  <c r="B2780" i="1"/>
  <c r="C2780" i="1"/>
  <c r="D2780" i="1"/>
  <c r="E2780" i="1"/>
  <c r="F2780" i="1"/>
  <c r="G2780" i="1"/>
  <c r="H2780" i="1"/>
  <c r="I2780" i="1"/>
  <c r="J2780" i="1"/>
  <c r="K2780" i="1"/>
  <c r="L2780" i="1"/>
  <c r="M2780" i="1"/>
  <c r="N2780" i="1"/>
  <c r="O2780" i="1"/>
  <c r="P2780" i="1"/>
  <c r="Q2780" i="1"/>
  <c r="R2780" i="1"/>
  <c r="S2780" i="1"/>
  <c r="T2780" i="1"/>
  <c r="U2780" i="1"/>
  <c r="V2780" i="1"/>
  <c r="W2780" i="1"/>
  <c r="X2780" i="1"/>
  <c r="Y2780" i="1"/>
  <c r="Z2780" i="1"/>
  <c r="AA2780" i="1"/>
  <c r="AB2780" i="1"/>
  <c r="AC2780" i="1"/>
  <c r="AD2780" i="1"/>
  <c r="AE2780" i="1"/>
  <c r="AF2780" i="1"/>
  <c r="AG2780" i="1"/>
  <c r="AH2780" i="1"/>
  <c r="AI2780" i="1"/>
  <c r="AJ2780" i="1"/>
  <c r="AK2780" i="1"/>
  <c r="AL2780" i="1"/>
  <c r="AM2780" i="1"/>
  <c r="A2781" i="1"/>
  <c r="B2781" i="1"/>
  <c r="C2781" i="1"/>
  <c r="D2781" i="1"/>
  <c r="E2781" i="1"/>
  <c r="F2781" i="1"/>
  <c r="G2781" i="1"/>
  <c r="H2781" i="1"/>
  <c r="I2781" i="1"/>
  <c r="J2781" i="1"/>
  <c r="K2781" i="1"/>
  <c r="L2781" i="1"/>
  <c r="M2781" i="1"/>
  <c r="N2781" i="1"/>
  <c r="O2781" i="1"/>
  <c r="P2781" i="1"/>
  <c r="Q2781" i="1"/>
  <c r="R2781" i="1"/>
  <c r="S2781" i="1"/>
  <c r="T2781" i="1"/>
  <c r="U2781" i="1"/>
  <c r="V2781" i="1"/>
  <c r="W2781" i="1"/>
  <c r="X2781" i="1"/>
  <c r="Y2781" i="1"/>
  <c r="Z2781" i="1"/>
  <c r="AA2781" i="1"/>
  <c r="AB2781" i="1"/>
  <c r="AC2781" i="1"/>
  <c r="AD2781" i="1"/>
  <c r="AE2781" i="1"/>
  <c r="AF2781" i="1"/>
  <c r="AG2781" i="1"/>
  <c r="AH2781" i="1"/>
  <c r="AI2781" i="1"/>
  <c r="AJ2781" i="1"/>
  <c r="AK2781" i="1"/>
  <c r="AL2781" i="1"/>
  <c r="AM2781" i="1"/>
  <c r="A2782" i="1"/>
  <c r="B2782" i="1"/>
  <c r="C2782" i="1"/>
  <c r="D2782" i="1"/>
  <c r="E2782" i="1"/>
  <c r="F2782" i="1"/>
  <c r="G2782" i="1"/>
  <c r="H2782" i="1"/>
  <c r="I2782" i="1"/>
  <c r="J2782" i="1"/>
  <c r="K2782" i="1"/>
  <c r="L2782" i="1"/>
  <c r="M2782" i="1"/>
  <c r="N2782" i="1"/>
  <c r="O2782" i="1"/>
  <c r="P2782" i="1"/>
  <c r="Q2782" i="1"/>
  <c r="R2782" i="1"/>
  <c r="S2782" i="1"/>
  <c r="T2782" i="1"/>
  <c r="U2782" i="1"/>
  <c r="V2782" i="1"/>
  <c r="W2782" i="1"/>
  <c r="X2782" i="1"/>
  <c r="Y2782" i="1"/>
  <c r="Z2782" i="1"/>
  <c r="AA2782" i="1"/>
  <c r="AB2782" i="1"/>
  <c r="AC2782" i="1"/>
  <c r="AD2782" i="1"/>
  <c r="AE2782" i="1"/>
  <c r="AF2782" i="1"/>
  <c r="AG2782" i="1"/>
  <c r="AH2782" i="1"/>
  <c r="AI2782" i="1"/>
  <c r="AJ2782" i="1"/>
  <c r="AK2782" i="1"/>
  <c r="AL2782" i="1"/>
  <c r="AM2782" i="1"/>
  <c r="A2783" i="1"/>
  <c r="B2783" i="1"/>
  <c r="C2783" i="1"/>
  <c r="D2783" i="1"/>
  <c r="E2783" i="1"/>
  <c r="F2783" i="1"/>
  <c r="G2783" i="1"/>
  <c r="H2783" i="1"/>
  <c r="I2783" i="1"/>
  <c r="J2783" i="1"/>
  <c r="K2783" i="1"/>
  <c r="L2783" i="1"/>
  <c r="M2783" i="1"/>
  <c r="N2783" i="1"/>
  <c r="O2783" i="1"/>
  <c r="P2783" i="1"/>
  <c r="Q2783" i="1"/>
  <c r="R2783" i="1"/>
  <c r="S2783" i="1"/>
  <c r="T2783" i="1"/>
  <c r="U2783" i="1"/>
  <c r="V2783" i="1"/>
  <c r="W2783" i="1"/>
  <c r="X2783" i="1"/>
  <c r="Y2783" i="1"/>
  <c r="Z2783" i="1"/>
  <c r="AA2783" i="1"/>
  <c r="AB2783" i="1"/>
  <c r="AC2783" i="1"/>
  <c r="AD2783" i="1"/>
  <c r="AE2783" i="1"/>
  <c r="AF2783" i="1"/>
  <c r="AG2783" i="1"/>
  <c r="AH2783" i="1"/>
  <c r="AI2783" i="1"/>
  <c r="AJ2783" i="1"/>
  <c r="AK2783" i="1"/>
  <c r="AL2783" i="1"/>
  <c r="AM2783" i="1"/>
  <c r="A2784" i="1"/>
  <c r="B2784" i="1"/>
  <c r="C2784" i="1"/>
  <c r="D2784" i="1"/>
  <c r="E2784" i="1"/>
  <c r="F2784" i="1"/>
  <c r="G2784" i="1"/>
  <c r="H2784" i="1"/>
  <c r="I2784" i="1"/>
  <c r="J2784" i="1"/>
  <c r="K2784" i="1"/>
  <c r="L2784" i="1"/>
  <c r="M2784" i="1"/>
  <c r="N2784" i="1"/>
  <c r="O2784" i="1"/>
  <c r="P2784" i="1"/>
  <c r="Q2784" i="1"/>
  <c r="R2784" i="1"/>
  <c r="S2784" i="1"/>
  <c r="T2784" i="1"/>
  <c r="U2784" i="1"/>
  <c r="V2784" i="1"/>
  <c r="W2784" i="1"/>
  <c r="X2784" i="1"/>
  <c r="Y2784" i="1"/>
  <c r="Z2784" i="1"/>
  <c r="AA2784" i="1"/>
  <c r="AB2784" i="1"/>
  <c r="AC2784" i="1"/>
  <c r="AD2784" i="1"/>
  <c r="AE2784" i="1"/>
  <c r="AF2784" i="1"/>
  <c r="AG2784" i="1"/>
  <c r="AH2784" i="1"/>
  <c r="AI2784" i="1"/>
  <c r="AJ2784" i="1"/>
  <c r="AK2784" i="1"/>
  <c r="AL2784" i="1"/>
  <c r="AM2784" i="1"/>
  <c r="A2785" i="1"/>
  <c r="B2785" i="1"/>
  <c r="C2785" i="1"/>
  <c r="D2785" i="1"/>
  <c r="E2785" i="1"/>
  <c r="F2785" i="1"/>
  <c r="G2785" i="1"/>
  <c r="H2785" i="1"/>
  <c r="I2785" i="1"/>
  <c r="J2785" i="1"/>
  <c r="K2785" i="1"/>
  <c r="L2785" i="1"/>
  <c r="M2785" i="1"/>
  <c r="N2785" i="1"/>
  <c r="O2785" i="1"/>
  <c r="P2785" i="1"/>
  <c r="Q2785" i="1"/>
  <c r="R2785" i="1"/>
  <c r="S2785" i="1"/>
  <c r="T2785" i="1"/>
  <c r="U2785" i="1"/>
  <c r="V2785" i="1"/>
  <c r="W2785" i="1"/>
  <c r="X2785" i="1"/>
  <c r="Y2785" i="1"/>
  <c r="Z2785" i="1"/>
  <c r="AA2785" i="1"/>
  <c r="AB2785" i="1"/>
  <c r="AC2785" i="1"/>
  <c r="AD2785" i="1"/>
  <c r="AE2785" i="1"/>
  <c r="AF2785" i="1"/>
  <c r="AG2785" i="1"/>
  <c r="AH2785" i="1"/>
  <c r="AI2785" i="1"/>
  <c r="AJ2785" i="1"/>
  <c r="AK2785" i="1"/>
  <c r="AL2785" i="1"/>
  <c r="AM2785" i="1"/>
  <c r="A2786" i="1"/>
  <c r="B2786" i="1"/>
  <c r="C2786" i="1"/>
  <c r="D2786" i="1"/>
  <c r="E2786" i="1"/>
  <c r="F2786" i="1"/>
  <c r="G2786" i="1"/>
  <c r="H2786" i="1"/>
  <c r="I2786" i="1"/>
  <c r="J2786" i="1"/>
  <c r="K2786" i="1"/>
  <c r="L2786" i="1"/>
  <c r="M2786" i="1"/>
  <c r="N2786" i="1"/>
  <c r="O2786" i="1"/>
  <c r="P2786" i="1"/>
  <c r="Q2786" i="1"/>
  <c r="R2786" i="1"/>
  <c r="S2786" i="1"/>
  <c r="T2786" i="1"/>
  <c r="U2786" i="1"/>
  <c r="V2786" i="1"/>
  <c r="W2786" i="1"/>
  <c r="X2786" i="1"/>
  <c r="Y2786" i="1"/>
  <c r="Z2786" i="1"/>
  <c r="AA2786" i="1"/>
  <c r="AB2786" i="1"/>
  <c r="AC2786" i="1"/>
  <c r="AD2786" i="1"/>
  <c r="AE2786" i="1"/>
  <c r="AF2786" i="1"/>
  <c r="AG2786" i="1"/>
  <c r="AH2786" i="1"/>
  <c r="AI2786" i="1"/>
  <c r="AJ2786" i="1"/>
  <c r="AK2786" i="1"/>
  <c r="AL2786" i="1"/>
  <c r="AM2786" i="1"/>
  <c r="A2787" i="1"/>
  <c r="B2787" i="1"/>
  <c r="C2787" i="1"/>
  <c r="D2787" i="1"/>
  <c r="E2787" i="1"/>
  <c r="F2787" i="1"/>
  <c r="G2787" i="1"/>
  <c r="H2787" i="1"/>
  <c r="I2787" i="1"/>
  <c r="J2787" i="1"/>
  <c r="K2787" i="1"/>
  <c r="L2787" i="1"/>
  <c r="M2787" i="1"/>
  <c r="N2787" i="1"/>
  <c r="O2787" i="1"/>
  <c r="P2787" i="1"/>
  <c r="Q2787" i="1"/>
  <c r="R2787" i="1"/>
  <c r="S2787" i="1"/>
  <c r="T2787" i="1"/>
  <c r="U2787" i="1"/>
  <c r="V2787" i="1"/>
  <c r="W2787" i="1"/>
  <c r="X2787" i="1"/>
  <c r="Y2787" i="1"/>
  <c r="Z2787" i="1"/>
  <c r="AA2787" i="1"/>
  <c r="AB2787" i="1"/>
  <c r="AC2787" i="1"/>
  <c r="AD2787" i="1"/>
  <c r="AE2787" i="1"/>
  <c r="AF2787" i="1"/>
  <c r="AG2787" i="1"/>
  <c r="AH2787" i="1"/>
  <c r="AI2787" i="1"/>
  <c r="AJ2787" i="1"/>
  <c r="AK2787" i="1"/>
  <c r="AL2787" i="1"/>
  <c r="AM2787" i="1"/>
  <c r="A2788" i="1"/>
  <c r="B2788" i="1"/>
  <c r="C2788" i="1"/>
  <c r="D2788" i="1"/>
  <c r="E2788" i="1"/>
  <c r="F2788" i="1"/>
  <c r="G2788" i="1"/>
  <c r="H2788" i="1"/>
  <c r="I2788" i="1"/>
  <c r="J2788" i="1"/>
  <c r="K2788" i="1"/>
  <c r="L2788" i="1"/>
  <c r="M2788" i="1"/>
  <c r="N2788" i="1"/>
  <c r="O2788" i="1"/>
  <c r="P2788" i="1"/>
  <c r="Q2788" i="1"/>
  <c r="R2788" i="1"/>
  <c r="S2788" i="1"/>
  <c r="T2788" i="1"/>
  <c r="U2788" i="1"/>
  <c r="V2788" i="1"/>
  <c r="W2788" i="1"/>
  <c r="X2788" i="1"/>
  <c r="Y2788" i="1"/>
  <c r="Z2788" i="1"/>
  <c r="AA2788" i="1"/>
  <c r="AB2788" i="1"/>
  <c r="AC2788" i="1"/>
  <c r="AD2788" i="1"/>
  <c r="AE2788" i="1"/>
  <c r="AF2788" i="1"/>
  <c r="AG2788" i="1"/>
  <c r="AH2788" i="1"/>
  <c r="AI2788" i="1"/>
  <c r="AJ2788" i="1"/>
  <c r="AK2788" i="1"/>
  <c r="AL2788" i="1"/>
  <c r="AM2788" i="1"/>
  <c r="A2789" i="1"/>
  <c r="B2789" i="1"/>
  <c r="C2789" i="1"/>
  <c r="D2789" i="1"/>
  <c r="E2789" i="1"/>
  <c r="F2789" i="1"/>
  <c r="G2789" i="1"/>
  <c r="H2789" i="1"/>
  <c r="I2789" i="1"/>
  <c r="J2789" i="1"/>
  <c r="K2789" i="1"/>
  <c r="L2789" i="1"/>
  <c r="M2789" i="1"/>
  <c r="N2789" i="1"/>
  <c r="O2789" i="1"/>
  <c r="P2789" i="1"/>
  <c r="Q2789" i="1"/>
  <c r="R2789" i="1"/>
  <c r="S2789" i="1"/>
  <c r="T2789" i="1"/>
  <c r="U2789" i="1"/>
  <c r="V2789" i="1"/>
  <c r="W2789" i="1"/>
  <c r="X2789" i="1"/>
  <c r="Y2789" i="1"/>
  <c r="Z2789" i="1"/>
  <c r="AA2789" i="1"/>
  <c r="AB2789" i="1"/>
  <c r="AC2789" i="1"/>
  <c r="AD2789" i="1"/>
  <c r="AE2789" i="1"/>
  <c r="AF2789" i="1"/>
  <c r="AG2789" i="1"/>
  <c r="AH2789" i="1"/>
  <c r="AI2789" i="1"/>
  <c r="AJ2789" i="1"/>
  <c r="AK2789" i="1"/>
  <c r="AL2789" i="1"/>
  <c r="AM2789" i="1"/>
  <c r="A2790" i="1"/>
  <c r="B2790" i="1"/>
  <c r="C2790" i="1"/>
  <c r="D2790" i="1"/>
  <c r="E2790" i="1"/>
  <c r="F2790" i="1"/>
  <c r="G2790" i="1"/>
  <c r="H2790" i="1"/>
  <c r="I2790" i="1"/>
  <c r="J2790" i="1"/>
  <c r="K2790" i="1"/>
  <c r="L2790" i="1"/>
  <c r="M2790" i="1"/>
  <c r="N2790" i="1"/>
  <c r="O2790" i="1"/>
  <c r="P2790" i="1"/>
  <c r="Q2790" i="1"/>
  <c r="R2790" i="1"/>
  <c r="S2790" i="1"/>
  <c r="T2790" i="1"/>
  <c r="U2790" i="1"/>
  <c r="V2790" i="1"/>
  <c r="W2790" i="1"/>
  <c r="X2790" i="1"/>
  <c r="Y2790" i="1"/>
  <c r="Z2790" i="1"/>
  <c r="AA2790" i="1"/>
  <c r="AB2790" i="1"/>
  <c r="AC2790" i="1"/>
  <c r="AD2790" i="1"/>
  <c r="AE2790" i="1"/>
  <c r="AF2790" i="1"/>
  <c r="AG2790" i="1"/>
  <c r="AH2790" i="1"/>
  <c r="AI2790" i="1"/>
  <c r="AJ2790" i="1"/>
  <c r="AK2790" i="1"/>
  <c r="AL2790" i="1"/>
  <c r="AM2790" i="1"/>
  <c r="A2791" i="1"/>
  <c r="B2791" i="1"/>
  <c r="C2791" i="1"/>
  <c r="D2791" i="1"/>
  <c r="E2791" i="1"/>
  <c r="F2791" i="1"/>
  <c r="G2791" i="1"/>
  <c r="H2791" i="1"/>
  <c r="I2791" i="1"/>
  <c r="J2791" i="1"/>
  <c r="K2791" i="1"/>
  <c r="L2791" i="1"/>
  <c r="M2791" i="1"/>
  <c r="N2791" i="1"/>
  <c r="O2791" i="1"/>
  <c r="P2791" i="1"/>
  <c r="Q2791" i="1"/>
  <c r="R2791" i="1"/>
  <c r="S2791" i="1"/>
  <c r="T2791" i="1"/>
  <c r="U2791" i="1"/>
  <c r="V2791" i="1"/>
  <c r="W2791" i="1"/>
  <c r="X2791" i="1"/>
  <c r="Y2791" i="1"/>
  <c r="Z2791" i="1"/>
  <c r="AA2791" i="1"/>
  <c r="AB2791" i="1"/>
  <c r="AC2791" i="1"/>
  <c r="AD2791" i="1"/>
  <c r="AE2791" i="1"/>
  <c r="AF2791" i="1"/>
  <c r="AG2791" i="1"/>
  <c r="AH2791" i="1"/>
  <c r="AI2791" i="1"/>
  <c r="AJ2791" i="1"/>
  <c r="AK2791" i="1"/>
  <c r="AL2791" i="1"/>
  <c r="AM2791" i="1"/>
  <c r="A2792" i="1"/>
  <c r="B2792" i="1"/>
  <c r="C2792" i="1"/>
  <c r="D2792" i="1"/>
  <c r="E2792" i="1"/>
  <c r="F2792" i="1"/>
  <c r="G2792" i="1"/>
  <c r="H2792" i="1"/>
  <c r="I2792" i="1"/>
  <c r="J2792" i="1"/>
  <c r="K2792" i="1"/>
  <c r="L2792" i="1"/>
  <c r="M2792" i="1"/>
  <c r="N2792" i="1"/>
  <c r="O2792" i="1"/>
  <c r="P2792" i="1"/>
  <c r="Q2792" i="1"/>
  <c r="R2792" i="1"/>
  <c r="S2792" i="1"/>
  <c r="T2792" i="1"/>
  <c r="U2792" i="1"/>
  <c r="V2792" i="1"/>
  <c r="W2792" i="1"/>
  <c r="X2792" i="1"/>
  <c r="Y2792" i="1"/>
  <c r="Z2792" i="1"/>
  <c r="AA2792" i="1"/>
  <c r="AB2792" i="1"/>
  <c r="AC2792" i="1"/>
  <c r="AD2792" i="1"/>
  <c r="AE2792" i="1"/>
  <c r="AF2792" i="1"/>
  <c r="AG2792" i="1"/>
  <c r="AH2792" i="1"/>
  <c r="AI2792" i="1"/>
  <c r="AJ2792" i="1"/>
  <c r="AK2792" i="1"/>
  <c r="AL2792" i="1"/>
  <c r="AM2792" i="1"/>
  <c r="A2793" i="1"/>
  <c r="B2793" i="1"/>
  <c r="C2793" i="1"/>
  <c r="D2793" i="1"/>
  <c r="E2793" i="1"/>
  <c r="F2793" i="1"/>
  <c r="G2793" i="1"/>
  <c r="H2793" i="1"/>
  <c r="I2793" i="1"/>
  <c r="J2793" i="1"/>
  <c r="K2793" i="1"/>
  <c r="L2793" i="1"/>
  <c r="M2793" i="1"/>
  <c r="N2793" i="1"/>
  <c r="O2793" i="1"/>
  <c r="P2793" i="1"/>
  <c r="Q2793" i="1"/>
  <c r="R2793" i="1"/>
  <c r="S2793" i="1"/>
  <c r="T2793" i="1"/>
  <c r="U2793" i="1"/>
  <c r="V2793" i="1"/>
  <c r="W2793" i="1"/>
  <c r="X2793" i="1"/>
  <c r="Y2793" i="1"/>
  <c r="Z2793" i="1"/>
  <c r="AA2793" i="1"/>
  <c r="AB2793" i="1"/>
  <c r="AC2793" i="1"/>
  <c r="AD2793" i="1"/>
  <c r="AE2793" i="1"/>
  <c r="AF2793" i="1"/>
  <c r="AG2793" i="1"/>
  <c r="AH2793" i="1"/>
  <c r="AI2793" i="1"/>
  <c r="AJ2793" i="1"/>
  <c r="AK2793" i="1"/>
  <c r="AL2793" i="1"/>
  <c r="AM2793" i="1"/>
  <c r="A2794" i="1"/>
  <c r="B2794" i="1"/>
  <c r="C2794" i="1"/>
  <c r="D2794" i="1"/>
  <c r="E2794" i="1"/>
  <c r="F2794" i="1"/>
  <c r="G2794" i="1"/>
  <c r="H2794" i="1"/>
  <c r="I2794" i="1"/>
  <c r="J2794" i="1"/>
  <c r="K2794" i="1"/>
  <c r="L2794" i="1"/>
  <c r="M2794" i="1"/>
  <c r="N2794" i="1"/>
  <c r="O2794" i="1"/>
  <c r="P2794" i="1"/>
  <c r="Q2794" i="1"/>
  <c r="R2794" i="1"/>
  <c r="S2794" i="1"/>
  <c r="T2794" i="1"/>
  <c r="U2794" i="1"/>
  <c r="V2794" i="1"/>
  <c r="W2794" i="1"/>
  <c r="X2794" i="1"/>
  <c r="Y2794" i="1"/>
  <c r="Z2794" i="1"/>
  <c r="AA2794" i="1"/>
  <c r="AB2794" i="1"/>
  <c r="AC2794" i="1"/>
  <c r="AD2794" i="1"/>
  <c r="AE2794" i="1"/>
  <c r="AF2794" i="1"/>
  <c r="AG2794" i="1"/>
  <c r="AH2794" i="1"/>
  <c r="AI2794" i="1"/>
  <c r="AJ2794" i="1"/>
  <c r="AK2794" i="1"/>
  <c r="AL2794" i="1"/>
  <c r="AM2794" i="1"/>
  <c r="A2795" i="1"/>
  <c r="B2795" i="1"/>
  <c r="C2795" i="1"/>
  <c r="D2795" i="1"/>
  <c r="E2795" i="1"/>
  <c r="F2795" i="1"/>
  <c r="G2795" i="1"/>
  <c r="H2795" i="1"/>
  <c r="I2795" i="1"/>
  <c r="J2795" i="1"/>
  <c r="K2795" i="1"/>
  <c r="L2795" i="1"/>
  <c r="M2795" i="1"/>
  <c r="N2795" i="1"/>
  <c r="O2795" i="1"/>
  <c r="P2795" i="1"/>
  <c r="Q2795" i="1"/>
  <c r="R2795" i="1"/>
  <c r="S2795" i="1"/>
  <c r="T2795" i="1"/>
  <c r="U2795" i="1"/>
  <c r="V2795" i="1"/>
  <c r="W2795" i="1"/>
  <c r="X2795" i="1"/>
  <c r="Y2795" i="1"/>
  <c r="Z2795" i="1"/>
  <c r="AA2795" i="1"/>
  <c r="AB2795" i="1"/>
  <c r="AC2795" i="1"/>
  <c r="AD2795" i="1"/>
  <c r="AE2795" i="1"/>
  <c r="AF2795" i="1"/>
  <c r="AG2795" i="1"/>
  <c r="AH2795" i="1"/>
  <c r="AI2795" i="1"/>
  <c r="AJ2795" i="1"/>
  <c r="AK2795" i="1"/>
  <c r="AL2795" i="1"/>
  <c r="AM2795" i="1"/>
  <c r="A2796" i="1"/>
  <c r="B2796" i="1"/>
  <c r="C2796" i="1"/>
  <c r="D2796" i="1"/>
  <c r="E2796" i="1"/>
  <c r="F2796" i="1"/>
  <c r="G2796" i="1"/>
  <c r="H2796" i="1"/>
  <c r="I2796" i="1"/>
  <c r="J2796" i="1"/>
  <c r="K2796" i="1"/>
  <c r="L2796" i="1"/>
  <c r="M2796" i="1"/>
  <c r="N2796" i="1"/>
  <c r="O2796" i="1"/>
  <c r="P2796" i="1"/>
  <c r="Q2796" i="1"/>
  <c r="R2796" i="1"/>
  <c r="S2796" i="1"/>
  <c r="T2796" i="1"/>
  <c r="U2796" i="1"/>
  <c r="V2796" i="1"/>
  <c r="W2796" i="1"/>
  <c r="X2796" i="1"/>
  <c r="Y2796" i="1"/>
  <c r="Z2796" i="1"/>
  <c r="AA2796" i="1"/>
  <c r="AB2796" i="1"/>
  <c r="AC2796" i="1"/>
  <c r="AD2796" i="1"/>
  <c r="AE2796" i="1"/>
  <c r="AF2796" i="1"/>
  <c r="AG2796" i="1"/>
  <c r="AH2796" i="1"/>
  <c r="AI2796" i="1"/>
  <c r="AJ2796" i="1"/>
  <c r="AK2796" i="1"/>
  <c r="AL2796" i="1"/>
  <c r="AM2796" i="1"/>
  <c r="A2797" i="1"/>
  <c r="B2797" i="1"/>
  <c r="C2797" i="1"/>
  <c r="D2797" i="1"/>
  <c r="E2797" i="1"/>
  <c r="F2797" i="1"/>
  <c r="G2797" i="1"/>
  <c r="H2797" i="1"/>
  <c r="I2797" i="1"/>
  <c r="J2797" i="1"/>
  <c r="K2797" i="1"/>
  <c r="L2797" i="1"/>
  <c r="M2797" i="1"/>
  <c r="N2797" i="1"/>
  <c r="O2797" i="1"/>
  <c r="P2797" i="1"/>
  <c r="Q2797" i="1"/>
  <c r="R2797" i="1"/>
  <c r="S2797" i="1"/>
  <c r="T2797" i="1"/>
  <c r="U2797" i="1"/>
  <c r="V2797" i="1"/>
  <c r="W2797" i="1"/>
  <c r="X2797" i="1"/>
  <c r="Y2797" i="1"/>
  <c r="Z2797" i="1"/>
  <c r="AA2797" i="1"/>
  <c r="AB2797" i="1"/>
  <c r="AC2797" i="1"/>
  <c r="AD2797" i="1"/>
  <c r="AE2797" i="1"/>
  <c r="AF2797" i="1"/>
  <c r="AG2797" i="1"/>
  <c r="AH2797" i="1"/>
  <c r="AI2797" i="1"/>
  <c r="AJ2797" i="1"/>
  <c r="AK2797" i="1"/>
  <c r="AL2797" i="1"/>
  <c r="AM2797" i="1"/>
  <c r="A2798" i="1"/>
  <c r="B2798" i="1"/>
  <c r="C2798" i="1"/>
  <c r="D2798" i="1"/>
  <c r="E2798" i="1"/>
  <c r="F2798" i="1"/>
  <c r="G2798" i="1"/>
  <c r="H2798" i="1"/>
  <c r="I2798" i="1"/>
  <c r="J2798" i="1"/>
  <c r="K2798" i="1"/>
  <c r="L2798" i="1"/>
  <c r="M2798" i="1"/>
  <c r="N2798" i="1"/>
  <c r="O2798" i="1"/>
  <c r="P2798" i="1"/>
  <c r="Q2798" i="1"/>
  <c r="R2798" i="1"/>
  <c r="S2798" i="1"/>
  <c r="T2798" i="1"/>
  <c r="U2798" i="1"/>
  <c r="V2798" i="1"/>
  <c r="W2798" i="1"/>
  <c r="X2798" i="1"/>
  <c r="Y2798" i="1"/>
  <c r="Z2798" i="1"/>
  <c r="AA2798" i="1"/>
  <c r="AB2798" i="1"/>
  <c r="AC2798" i="1"/>
  <c r="AD2798" i="1"/>
  <c r="AE2798" i="1"/>
  <c r="AF2798" i="1"/>
  <c r="AG2798" i="1"/>
  <c r="AH2798" i="1"/>
  <c r="AI2798" i="1"/>
  <c r="AJ2798" i="1"/>
  <c r="AK2798" i="1"/>
  <c r="AL2798" i="1"/>
  <c r="AM2798" i="1"/>
  <c r="A2799" i="1"/>
  <c r="B2799" i="1"/>
  <c r="C2799" i="1"/>
  <c r="D2799" i="1"/>
  <c r="E2799" i="1"/>
  <c r="F2799" i="1"/>
  <c r="G2799" i="1"/>
  <c r="H2799" i="1"/>
  <c r="I2799" i="1"/>
  <c r="J2799" i="1"/>
  <c r="K2799" i="1"/>
  <c r="L2799" i="1"/>
  <c r="M2799" i="1"/>
  <c r="N2799" i="1"/>
  <c r="O2799" i="1"/>
  <c r="P2799" i="1"/>
  <c r="Q2799" i="1"/>
  <c r="R2799" i="1"/>
  <c r="S2799" i="1"/>
  <c r="T2799" i="1"/>
  <c r="U2799" i="1"/>
  <c r="V2799" i="1"/>
  <c r="W2799" i="1"/>
  <c r="X2799" i="1"/>
  <c r="Y2799" i="1"/>
  <c r="Z2799" i="1"/>
  <c r="AA2799" i="1"/>
  <c r="AB2799" i="1"/>
  <c r="AC2799" i="1"/>
  <c r="AD2799" i="1"/>
  <c r="AE2799" i="1"/>
  <c r="AF2799" i="1"/>
  <c r="AG2799" i="1"/>
  <c r="AH2799" i="1"/>
  <c r="AI2799" i="1"/>
  <c r="AJ2799" i="1"/>
  <c r="AK2799" i="1"/>
  <c r="AL2799" i="1"/>
  <c r="AM2799" i="1"/>
  <c r="A2800" i="1"/>
  <c r="B2800" i="1"/>
  <c r="C2800" i="1"/>
  <c r="D2800" i="1"/>
  <c r="E2800" i="1"/>
  <c r="F2800" i="1"/>
  <c r="G2800" i="1"/>
  <c r="H2800" i="1"/>
  <c r="I2800" i="1"/>
  <c r="J2800" i="1"/>
  <c r="K2800" i="1"/>
  <c r="L2800" i="1"/>
  <c r="M2800" i="1"/>
  <c r="N2800" i="1"/>
  <c r="O2800" i="1"/>
  <c r="P2800" i="1"/>
  <c r="Q2800" i="1"/>
  <c r="R2800" i="1"/>
  <c r="S2800" i="1"/>
  <c r="T2800" i="1"/>
  <c r="U2800" i="1"/>
  <c r="V2800" i="1"/>
  <c r="W2800" i="1"/>
  <c r="X2800" i="1"/>
  <c r="Y2800" i="1"/>
  <c r="Z2800" i="1"/>
  <c r="AA2800" i="1"/>
  <c r="AB2800" i="1"/>
  <c r="AC2800" i="1"/>
  <c r="AD2800" i="1"/>
  <c r="AE2800" i="1"/>
  <c r="AF2800" i="1"/>
  <c r="AG2800" i="1"/>
  <c r="AH2800" i="1"/>
  <c r="AI2800" i="1"/>
  <c r="AJ2800" i="1"/>
  <c r="AK2800" i="1"/>
  <c r="AL2800" i="1"/>
  <c r="AM2800" i="1"/>
  <c r="A2801" i="1"/>
  <c r="B2801" i="1"/>
  <c r="C2801" i="1"/>
  <c r="D2801" i="1"/>
  <c r="E2801" i="1"/>
  <c r="F2801" i="1"/>
  <c r="G2801" i="1"/>
  <c r="H2801" i="1"/>
  <c r="I2801" i="1"/>
  <c r="J2801" i="1"/>
  <c r="K2801" i="1"/>
  <c r="L2801" i="1"/>
  <c r="M2801" i="1"/>
  <c r="N2801" i="1"/>
  <c r="O2801" i="1"/>
  <c r="P2801" i="1"/>
  <c r="Q2801" i="1"/>
  <c r="R2801" i="1"/>
  <c r="S2801" i="1"/>
  <c r="T2801" i="1"/>
  <c r="U2801" i="1"/>
  <c r="V2801" i="1"/>
  <c r="W2801" i="1"/>
  <c r="X2801" i="1"/>
  <c r="Y2801" i="1"/>
  <c r="Z2801" i="1"/>
  <c r="AA2801" i="1"/>
  <c r="AB2801" i="1"/>
  <c r="AC2801" i="1"/>
  <c r="AD2801" i="1"/>
  <c r="AE2801" i="1"/>
  <c r="AF2801" i="1"/>
  <c r="AG2801" i="1"/>
  <c r="AH2801" i="1"/>
  <c r="AI2801" i="1"/>
  <c r="AJ2801" i="1"/>
  <c r="AK2801" i="1"/>
  <c r="AL2801" i="1"/>
  <c r="AM2801" i="1"/>
  <c r="A2802" i="1"/>
  <c r="B2802" i="1"/>
  <c r="C2802" i="1"/>
  <c r="D2802" i="1"/>
  <c r="E2802" i="1"/>
  <c r="F2802" i="1"/>
  <c r="G2802" i="1"/>
  <c r="H2802" i="1"/>
  <c r="I2802" i="1"/>
  <c r="J2802" i="1"/>
  <c r="K2802" i="1"/>
  <c r="L2802" i="1"/>
  <c r="M2802" i="1"/>
  <c r="N2802" i="1"/>
  <c r="O2802" i="1"/>
  <c r="P2802" i="1"/>
  <c r="Q2802" i="1"/>
  <c r="R2802" i="1"/>
  <c r="S2802" i="1"/>
  <c r="T2802" i="1"/>
  <c r="U2802" i="1"/>
  <c r="V2802" i="1"/>
  <c r="W2802" i="1"/>
  <c r="X2802" i="1"/>
  <c r="Y2802" i="1"/>
  <c r="Z2802" i="1"/>
  <c r="AA2802" i="1"/>
  <c r="AB2802" i="1"/>
  <c r="AC2802" i="1"/>
  <c r="AD2802" i="1"/>
  <c r="AE2802" i="1"/>
  <c r="AF2802" i="1"/>
  <c r="AG2802" i="1"/>
  <c r="AH2802" i="1"/>
  <c r="AI2802" i="1"/>
  <c r="AJ2802" i="1"/>
  <c r="AK2802" i="1"/>
  <c r="AL2802" i="1"/>
  <c r="AM2802" i="1"/>
  <c r="A2803" i="1"/>
  <c r="B2803" i="1"/>
  <c r="C2803" i="1"/>
  <c r="D2803" i="1"/>
  <c r="E2803" i="1"/>
  <c r="F2803" i="1"/>
  <c r="G2803" i="1"/>
  <c r="H2803" i="1"/>
  <c r="I2803" i="1"/>
  <c r="J2803" i="1"/>
  <c r="K2803" i="1"/>
  <c r="L2803" i="1"/>
  <c r="M2803" i="1"/>
  <c r="N2803" i="1"/>
  <c r="O2803" i="1"/>
  <c r="P2803" i="1"/>
  <c r="Q2803" i="1"/>
  <c r="R2803" i="1"/>
  <c r="S2803" i="1"/>
  <c r="T2803" i="1"/>
  <c r="U2803" i="1"/>
  <c r="V2803" i="1"/>
  <c r="W2803" i="1"/>
  <c r="X2803" i="1"/>
  <c r="Y2803" i="1"/>
  <c r="Z2803" i="1"/>
  <c r="AA2803" i="1"/>
  <c r="AB2803" i="1"/>
  <c r="AC2803" i="1"/>
  <c r="AD2803" i="1"/>
  <c r="AE2803" i="1"/>
  <c r="AF2803" i="1"/>
  <c r="AG2803" i="1"/>
  <c r="AH2803" i="1"/>
  <c r="AI2803" i="1"/>
  <c r="AJ2803" i="1"/>
  <c r="AK2803" i="1"/>
  <c r="AL2803" i="1"/>
  <c r="AM2803" i="1"/>
  <c r="A2804" i="1"/>
  <c r="B2804" i="1"/>
  <c r="C2804" i="1"/>
  <c r="D2804" i="1"/>
  <c r="E2804" i="1"/>
  <c r="F2804" i="1"/>
  <c r="G2804" i="1"/>
  <c r="H2804" i="1"/>
  <c r="I2804" i="1"/>
  <c r="J2804" i="1"/>
  <c r="K2804" i="1"/>
  <c r="L2804" i="1"/>
  <c r="M2804" i="1"/>
  <c r="N2804" i="1"/>
  <c r="O2804" i="1"/>
  <c r="P2804" i="1"/>
  <c r="Q2804" i="1"/>
  <c r="R2804" i="1"/>
  <c r="S2804" i="1"/>
  <c r="T2804" i="1"/>
  <c r="U2804" i="1"/>
  <c r="V2804" i="1"/>
  <c r="W2804" i="1"/>
  <c r="X2804" i="1"/>
  <c r="Y2804" i="1"/>
  <c r="Z2804" i="1"/>
  <c r="AA2804" i="1"/>
  <c r="AB2804" i="1"/>
  <c r="AC2804" i="1"/>
  <c r="AD2804" i="1"/>
  <c r="AE2804" i="1"/>
  <c r="AF2804" i="1"/>
  <c r="AG2804" i="1"/>
  <c r="AH2804" i="1"/>
  <c r="AI2804" i="1"/>
  <c r="AJ2804" i="1"/>
  <c r="AK2804" i="1"/>
  <c r="AL2804" i="1"/>
  <c r="AM2804" i="1"/>
  <c r="A2805" i="1"/>
  <c r="B2805" i="1"/>
  <c r="C2805" i="1"/>
  <c r="D2805" i="1"/>
  <c r="E2805" i="1"/>
  <c r="F2805" i="1"/>
  <c r="G2805" i="1"/>
  <c r="H2805" i="1"/>
  <c r="I2805" i="1"/>
  <c r="J2805" i="1"/>
  <c r="K2805" i="1"/>
  <c r="L2805" i="1"/>
  <c r="M2805" i="1"/>
  <c r="N2805" i="1"/>
  <c r="O2805" i="1"/>
  <c r="P2805" i="1"/>
  <c r="Q2805" i="1"/>
  <c r="R2805" i="1"/>
  <c r="S2805" i="1"/>
  <c r="T2805" i="1"/>
  <c r="U2805" i="1"/>
  <c r="V2805" i="1"/>
  <c r="W2805" i="1"/>
  <c r="X2805" i="1"/>
  <c r="Y2805" i="1"/>
  <c r="Z2805" i="1"/>
  <c r="AA2805" i="1"/>
  <c r="AB2805" i="1"/>
  <c r="AC2805" i="1"/>
  <c r="AD2805" i="1"/>
  <c r="AE2805" i="1"/>
  <c r="AF2805" i="1"/>
  <c r="AG2805" i="1"/>
  <c r="AH2805" i="1"/>
  <c r="AI2805" i="1"/>
  <c r="AJ2805" i="1"/>
  <c r="AK2805" i="1"/>
  <c r="AL2805" i="1"/>
  <c r="AM2805" i="1"/>
  <c r="A2806" i="1"/>
  <c r="B2806" i="1"/>
  <c r="C2806" i="1"/>
  <c r="D2806" i="1"/>
  <c r="E2806" i="1"/>
  <c r="F2806" i="1"/>
  <c r="G2806" i="1"/>
  <c r="H2806" i="1"/>
  <c r="I2806" i="1"/>
  <c r="J2806" i="1"/>
  <c r="K2806" i="1"/>
  <c r="L2806" i="1"/>
  <c r="M2806" i="1"/>
  <c r="N2806" i="1"/>
  <c r="O2806" i="1"/>
  <c r="P2806" i="1"/>
  <c r="Q2806" i="1"/>
  <c r="R2806" i="1"/>
  <c r="S2806" i="1"/>
  <c r="T2806" i="1"/>
  <c r="U2806" i="1"/>
  <c r="V2806" i="1"/>
  <c r="W2806" i="1"/>
  <c r="X2806" i="1"/>
  <c r="Y2806" i="1"/>
  <c r="Z2806" i="1"/>
  <c r="AA2806" i="1"/>
  <c r="AB2806" i="1"/>
  <c r="AC2806" i="1"/>
  <c r="AD2806" i="1"/>
  <c r="AE2806" i="1"/>
  <c r="AF2806" i="1"/>
  <c r="AG2806" i="1"/>
  <c r="AH2806" i="1"/>
  <c r="AI2806" i="1"/>
  <c r="AJ2806" i="1"/>
  <c r="AK2806" i="1"/>
  <c r="AL2806" i="1"/>
  <c r="AM2806" i="1"/>
  <c r="A2807" i="1"/>
  <c r="B2807" i="1"/>
  <c r="C2807" i="1"/>
  <c r="D2807" i="1"/>
  <c r="E2807" i="1"/>
  <c r="F2807" i="1"/>
  <c r="G2807" i="1"/>
  <c r="H2807" i="1"/>
  <c r="I2807" i="1"/>
  <c r="J2807" i="1"/>
  <c r="K2807" i="1"/>
  <c r="L2807" i="1"/>
  <c r="M2807" i="1"/>
  <c r="N2807" i="1"/>
  <c r="O2807" i="1"/>
  <c r="P2807" i="1"/>
  <c r="Q2807" i="1"/>
  <c r="R2807" i="1"/>
  <c r="S2807" i="1"/>
  <c r="T2807" i="1"/>
  <c r="U2807" i="1"/>
  <c r="V2807" i="1"/>
  <c r="W2807" i="1"/>
  <c r="X2807" i="1"/>
  <c r="Y2807" i="1"/>
  <c r="Z2807" i="1"/>
  <c r="AA2807" i="1"/>
  <c r="AB2807" i="1"/>
  <c r="AC2807" i="1"/>
  <c r="AD2807" i="1"/>
  <c r="AE2807" i="1"/>
  <c r="AF2807" i="1"/>
  <c r="AG2807" i="1"/>
  <c r="AH2807" i="1"/>
  <c r="AI2807" i="1"/>
  <c r="AJ2807" i="1"/>
  <c r="AK2807" i="1"/>
  <c r="AL2807" i="1"/>
  <c r="AM2807" i="1"/>
  <c r="A2808" i="1"/>
  <c r="B2808" i="1"/>
  <c r="C2808" i="1"/>
  <c r="D2808" i="1"/>
  <c r="E2808" i="1"/>
  <c r="F2808" i="1"/>
  <c r="G2808" i="1"/>
  <c r="H2808" i="1"/>
  <c r="I2808" i="1"/>
  <c r="J2808" i="1"/>
  <c r="K2808" i="1"/>
  <c r="L2808" i="1"/>
  <c r="M2808" i="1"/>
  <c r="N2808" i="1"/>
  <c r="O2808" i="1"/>
  <c r="P2808" i="1"/>
  <c r="Q2808" i="1"/>
  <c r="R2808" i="1"/>
  <c r="S2808" i="1"/>
  <c r="T2808" i="1"/>
  <c r="U2808" i="1"/>
  <c r="V2808" i="1"/>
  <c r="W2808" i="1"/>
  <c r="X2808" i="1"/>
  <c r="Y2808" i="1"/>
  <c r="Z2808" i="1"/>
  <c r="AA2808" i="1"/>
  <c r="AB2808" i="1"/>
  <c r="AC2808" i="1"/>
  <c r="AD2808" i="1"/>
  <c r="AE2808" i="1"/>
  <c r="AF2808" i="1"/>
  <c r="AG2808" i="1"/>
  <c r="AH2808" i="1"/>
  <c r="AI2808" i="1"/>
  <c r="AJ2808" i="1"/>
  <c r="AK2808" i="1"/>
  <c r="AL2808" i="1"/>
  <c r="AM2808" i="1"/>
  <c r="A2809" i="1"/>
  <c r="B2809" i="1"/>
  <c r="C2809" i="1"/>
  <c r="D2809" i="1"/>
  <c r="E2809" i="1"/>
  <c r="F2809" i="1"/>
  <c r="G2809" i="1"/>
  <c r="H2809" i="1"/>
  <c r="I2809" i="1"/>
  <c r="J2809" i="1"/>
  <c r="K2809" i="1"/>
  <c r="L2809" i="1"/>
  <c r="M2809" i="1"/>
  <c r="N2809" i="1"/>
  <c r="O2809" i="1"/>
  <c r="P2809" i="1"/>
  <c r="Q2809" i="1"/>
  <c r="R2809" i="1"/>
  <c r="S2809" i="1"/>
  <c r="T2809" i="1"/>
  <c r="U2809" i="1"/>
  <c r="V2809" i="1"/>
  <c r="W2809" i="1"/>
  <c r="X2809" i="1"/>
  <c r="Y2809" i="1"/>
  <c r="Z2809" i="1"/>
  <c r="AA2809" i="1"/>
  <c r="AB2809" i="1"/>
  <c r="AC2809" i="1"/>
  <c r="AD2809" i="1"/>
  <c r="AE2809" i="1"/>
  <c r="AF2809" i="1"/>
  <c r="AG2809" i="1"/>
  <c r="AH2809" i="1"/>
  <c r="AI2809" i="1"/>
  <c r="AJ2809" i="1"/>
  <c r="AK2809" i="1"/>
  <c r="AL2809" i="1"/>
  <c r="AM2809" i="1"/>
  <c r="A2810" i="1"/>
  <c r="B2810" i="1"/>
  <c r="C2810" i="1"/>
  <c r="D2810" i="1"/>
  <c r="E2810" i="1"/>
  <c r="F2810" i="1"/>
  <c r="G2810" i="1"/>
  <c r="H2810" i="1"/>
  <c r="I2810" i="1"/>
  <c r="J2810" i="1"/>
  <c r="K2810" i="1"/>
  <c r="L2810" i="1"/>
  <c r="M2810" i="1"/>
  <c r="N2810" i="1"/>
  <c r="O2810" i="1"/>
  <c r="P2810" i="1"/>
  <c r="Q2810" i="1"/>
  <c r="R2810" i="1"/>
  <c r="S2810" i="1"/>
  <c r="T2810" i="1"/>
  <c r="U2810" i="1"/>
  <c r="V2810" i="1"/>
  <c r="W2810" i="1"/>
  <c r="X2810" i="1"/>
  <c r="Y2810" i="1"/>
  <c r="Z2810" i="1"/>
  <c r="AA2810" i="1"/>
  <c r="AB2810" i="1"/>
  <c r="AC2810" i="1"/>
  <c r="AD2810" i="1"/>
  <c r="AE2810" i="1"/>
  <c r="AF2810" i="1"/>
  <c r="AG2810" i="1"/>
  <c r="AH2810" i="1"/>
  <c r="AI2810" i="1"/>
  <c r="AJ2810" i="1"/>
  <c r="AK2810" i="1"/>
  <c r="AL2810" i="1"/>
  <c r="AM2810" i="1"/>
  <c r="A2811" i="1"/>
  <c r="B2811" i="1"/>
  <c r="C2811" i="1"/>
  <c r="D2811" i="1"/>
  <c r="E2811" i="1"/>
  <c r="F2811" i="1"/>
  <c r="G2811" i="1"/>
  <c r="H2811" i="1"/>
  <c r="I2811" i="1"/>
  <c r="J2811" i="1"/>
  <c r="K2811" i="1"/>
  <c r="L2811" i="1"/>
  <c r="M2811" i="1"/>
  <c r="N2811" i="1"/>
  <c r="O2811" i="1"/>
  <c r="P2811" i="1"/>
  <c r="Q2811" i="1"/>
  <c r="R2811" i="1"/>
  <c r="S2811" i="1"/>
  <c r="T2811" i="1"/>
  <c r="U2811" i="1"/>
  <c r="V2811" i="1"/>
  <c r="W2811" i="1"/>
  <c r="X2811" i="1"/>
  <c r="Y2811" i="1"/>
  <c r="Z2811" i="1"/>
  <c r="AA2811" i="1"/>
  <c r="AB2811" i="1"/>
  <c r="AC2811" i="1"/>
  <c r="AD2811" i="1"/>
  <c r="AE2811" i="1"/>
  <c r="AF2811" i="1"/>
  <c r="AG2811" i="1"/>
  <c r="AH2811" i="1"/>
  <c r="AI2811" i="1"/>
  <c r="AJ2811" i="1"/>
  <c r="AK2811" i="1"/>
  <c r="AL2811" i="1"/>
  <c r="AM2811" i="1"/>
  <c r="A2812" i="1"/>
  <c r="B2812" i="1"/>
  <c r="C2812" i="1"/>
  <c r="D2812" i="1"/>
  <c r="E2812" i="1"/>
  <c r="F2812" i="1"/>
  <c r="G2812" i="1"/>
  <c r="H2812" i="1"/>
  <c r="I2812" i="1"/>
  <c r="J2812" i="1"/>
  <c r="K2812" i="1"/>
  <c r="L2812" i="1"/>
  <c r="M2812" i="1"/>
  <c r="N2812" i="1"/>
  <c r="O2812" i="1"/>
  <c r="P2812" i="1"/>
  <c r="Q2812" i="1"/>
  <c r="R2812" i="1"/>
  <c r="S2812" i="1"/>
  <c r="T2812" i="1"/>
  <c r="U2812" i="1"/>
  <c r="V2812" i="1"/>
  <c r="W2812" i="1"/>
  <c r="X2812" i="1"/>
  <c r="Y2812" i="1"/>
  <c r="Z2812" i="1"/>
  <c r="AA2812" i="1"/>
  <c r="AB2812" i="1"/>
  <c r="AC2812" i="1"/>
  <c r="AD2812" i="1"/>
  <c r="AE2812" i="1"/>
  <c r="AF2812" i="1"/>
  <c r="AG2812" i="1"/>
  <c r="AH2812" i="1"/>
  <c r="AI2812" i="1"/>
  <c r="AJ2812" i="1"/>
  <c r="AK2812" i="1"/>
  <c r="AL2812" i="1"/>
  <c r="AM2812" i="1"/>
  <c r="A2813" i="1"/>
  <c r="B2813" i="1"/>
  <c r="C2813" i="1"/>
  <c r="D2813" i="1"/>
  <c r="E2813" i="1"/>
  <c r="F2813" i="1"/>
  <c r="G2813" i="1"/>
  <c r="H2813" i="1"/>
  <c r="I2813" i="1"/>
  <c r="J2813" i="1"/>
  <c r="K2813" i="1"/>
  <c r="L2813" i="1"/>
  <c r="M2813" i="1"/>
  <c r="N2813" i="1"/>
  <c r="O2813" i="1"/>
  <c r="P2813" i="1"/>
  <c r="Q2813" i="1"/>
  <c r="R2813" i="1"/>
  <c r="S2813" i="1"/>
  <c r="T2813" i="1"/>
  <c r="U2813" i="1"/>
  <c r="V2813" i="1"/>
  <c r="W2813" i="1"/>
  <c r="X2813" i="1"/>
  <c r="Y2813" i="1"/>
  <c r="Z2813" i="1"/>
  <c r="AA2813" i="1"/>
  <c r="AB2813" i="1"/>
  <c r="AC2813" i="1"/>
  <c r="AD2813" i="1"/>
  <c r="AE2813" i="1"/>
  <c r="AF2813" i="1"/>
  <c r="AG2813" i="1"/>
  <c r="AH2813" i="1"/>
  <c r="AI2813" i="1"/>
  <c r="AJ2813" i="1"/>
  <c r="AK2813" i="1"/>
  <c r="AL2813" i="1"/>
  <c r="AM2813" i="1"/>
  <c r="A2814" i="1"/>
  <c r="B2814" i="1"/>
  <c r="C2814" i="1"/>
  <c r="D2814" i="1"/>
  <c r="E2814" i="1"/>
  <c r="F2814" i="1"/>
  <c r="G2814" i="1"/>
  <c r="H2814" i="1"/>
  <c r="I2814" i="1"/>
  <c r="J2814" i="1"/>
  <c r="K2814" i="1"/>
  <c r="L2814" i="1"/>
  <c r="M2814" i="1"/>
  <c r="N2814" i="1"/>
  <c r="O2814" i="1"/>
  <c r="P2814" i="1"/>
  <c r="Q2814" i="1"/>
  <c r="R2814" i="1"/>
  <c r="S2814" i="1"/>
  <c r="T2814" i="1"/>
  <c r="U2814" i="1"/>
  <c r="V2814" i="1"/>
  <c r="W2814" i="1"/>
  <c r="X2814" i="1"/>
  <c r="Y2814" i="1"/>
  <c r="Z2814" i="1"/>
  <c r="AA2814" i="1"/>
  <c r="AB2814" i="1"/>
  <c r="AC2814" i="1"/>
  <c r="AD2814" i="1"/>
  <c r="AE2814" i="1"/>
  <c r="AF2814" i="1"/>
  <c r="AG2814" i="1"/>
  <c r="AH2814" i="1"/>
  <c r="AI2814" i="1"/>
  <c r="AJ2814" i="1"/>
  <c r="AK2814" i="1"/>
  <c r="AL2814" i="1"/>
  <c r="AM2814" i="1"/>
  <c r="A2815" i="1"/>
  <c r="B2815" i="1"/>
  <c r="C2815" i="1"/>
  <c r="D2815" i="1"/>
  <c r="E2815" i="1"/>
  <c r="F2815" i="1"/>
  <c r="G2815" i="1"/>
  <c r="H2815" i="1"/>
  <c r="I2815" i="1"/>
  <c r="J2815" i="1"/>
  <c r="K2815" i="1"/>
  <c r="L2815" i="1"/>
  <c r="M2815" i="1"/>
  <c r="N2815" i="1"/>
  <c r="O2815" i="1"/>
  <c r="P2815" i="1"/>
  <c r="Q2815" i="1"/>
  <c r="R2815" i="1"/>
  <c r="S2815" i="1"/>
  <c r="T2815" i="1"/>
  <c r="U2815" i="1"/>
  <c r="V2815" i="1"/>
  <c r="W2815" i="1"/>
  <c r="X2815" i="1"/>
  <c r="Y2815" i="1"/>
  <c r="Z2815" i="1"/>
  <c r="AA2815" i="1"/>
  <c r="AB2815" i="1"/>
  <c r="AC2815" i="1"/>
  <c r="AD2815" i="1"/>
  <c r="AE2815" i="1"/>
  <c r="AF2815" i="1"/>
  <c r="AG2815" i="1"/>
  <c r="AH2815" i="1"/>
  <c r="AI2815" i="1"/>
  <c r="AJ2815" i="1"/>
  <c r="AK2815" i="1"/>
  <c r="AL2815" i="1"/>
  <c r="AM2815" i="1"/>
  <c r="A2816" i="1"/>
  <c r="B2816" i="1"/>
  <c r="C2816" i="1"/>
  <c r="D2816" i="1"/>
  <c r="E2816" i="1"/>
  <c r="F2816" i="1"/>
  <c r="G2816" i="1"/>
  <c r="H2816" i="1"/>
  <c r="I2816" i="1"/>
  <c r="J2816" i="1"/>
  <c r="K2816" i="1"/>
  <c r="L2816" i="1"/>
  <c r="M2816" i="1"/>
  <c r="N2816" i="1"/>
  <c r="O2816" i="1"/>
  <c r="P2816" i="1"/>
  <c r="Q2816" i="1"/>
  <c r="R2816" i="1"/>
  <c r="S2816" i="1"/>
  <c r="T2816" i="1"/>
  <c r="U2816" i="1"/>
  <c r="V2816" i="1"/>
  <c r="W2816" i="1"/>
  <c r="X2816" i="1"/>
  <c r="Y2816" i="1"/>
  <c r="Z2816" i="1"/>
  <c r="AA2816" i="1"/>
  <c r="AB2816" i="1"/>
  <c r="AC2816" i="1"/>
  <c r="AD2816" i="1"/>
  <c r="AE2816" i="1"/>
  <c r="AF2816" i="1"/>
  <c r="AG2816" i="1"/>
  <c r="AH2816" i="1"/>
  <c r="AI2816" i="1"/>
  <c r="AJ2816" i="1"/>
  <c r="AK2816" i="1"/>
  <c r="AL2816" i="1"/>
  <c r="AM2816" i="1"/>
  <c r="A2817" i="1"/>
  <c r="B2817" i="1"/>
  <c r="C2817" i="1"/>
  <c r="D2817" i="1"/>
  <c r="E2817" i="1"/>
  <c r="F2817" i="1"/>
  <c r="G2817" i="1"/>
  <c r="H2817" i="1"/>
  <c r="I2817" i="1"/>
  <c r="J2817" i="1"/>
  <c r="K2817" i="1"/>
  <c r="L2817" i="1"/>
  <c r="M2817" i="1"/>
  <c r="N2817" i="1"/>
  <c r="O2817" i="1"/>
  <c r="P2817" i="1"/>
  <c r="Q2817" i="1"/>
  <c r="R2817" i="1"/>
  <c r="S2817" i="1"/>
  <c r="T2817" i="1"/>
  <c r="U2817" i="1"/>
  <c r="V2817" i="1"/>
  <c r="W2817" i="1"/>
  <c r="X2817" i="1"/>
  <c r="Y2817" i="1"/>
  <c r="Z2817" i="1"/>
  <c r="AA2817" i="1"/>
  <c r="AB2817" i="1"/>
  <c r="AC2817" i="1"/>
  <c r="AD2817" i="1"/>
  <c r="AE2817" i="1"/>
  <c r="AF2817" i="1"/>
  <c r="AG2817" i="1"/>
  <c r="AH2817" i="1"/>
  <c r="AI2817" i="1"/>
  <c r="AJ2817" i="1"/>
  <c r="AK2817" i="1"/>
  <c r="AL2817" i="1"/>
  <c r="AM2817" i="1"/>
  <c r="A2818" i="1"/>
  <c r="B2818" i="1"/>
  <c r="C2818" i="1"/>
  <c r="D2818" i="1"/>
  <c r="E2818" i="1"/>
  <c r="F2818" i="1"/>
  <c r="G2818" i="1"/>
  <c r="H2818" i="1"/>
  <c r="I2818" i="1"/>
  <c r="J2818" i="1"/>
  <c r="K2818" i="1"/>
  <c r="L2818" i="1"/>
  <c r="M2818" i="1"/>
  <c r="N2818" i="1"/>
  <c r="O2818" i="1"/>
  <c r="P2818" i="1"/>
  <c r="Q2818" i="1"/>
  <c r="R2818" i="1"/>
  <c r="S2818" i="1"/>
  <c r="T2818" i="1"/>
  <c r="U2818" i="1"/>
  <c r="V2818" i="1"/>
  <c r="W2818" i="1"/>
  <c r="X2818" i="1"/>
  <c r="Y2818" i="1"/>
  <c r="Z2818" i="1"/>
  <c r="AA2818" i="1"/>
  <c r="AB2818" i="1"/>
  <c r="AC2818" i="1"/>
  <c r="AD2818" i="1"/>
  <c r="AE2818" i="1"/>
  <c r="AF2818" i="1"/>
  <c r="AG2818" i="1"/>
  <c r="AH2818" i="1"/>
  <c r="AI2818" i="1"/>
  <c r="AJ2818" i="1"/>
  <c r="AK2818" i="1"/>
  <c r="AL2818" i="1"/>
  <c r="AM2818" i="1"/>
  <c r="A2819" i="1"/>
  <c r="B2819" i="1"/>
  <c r="C2819" i="1"/>
  <c r="D2819" i="1"/>
  <c r="E2819" i="1"/>
  <c r="F2819" i="1"/>
  <c r="G2819" i="1"/>
  <c r="H2819" i="1"/>
  <c r="I2819" i="1"/>
  <c r="J2819" i="1"/>
  <c r="K2819" i="1"/>
  <c r="L2819" i="1"/>
  <c r="M2819" i="1"/>
  <c r="N2819" i="1"/>
  <c r="O2819" i="1"/>
  <c r="P2819" i="1"/>
  <c r="Q2819" i="1"/>
  <c r="R2819" i="1"/>
  <c r="S2819" i="1"/>
  <c r="T2819" i="1"/>
  <c r="U2819" i="1"/>
  <c r="V2819" i="1"/>
  <c r="W2819" i="1"/>
  <c r="X2819" i="1"/>
  <c r="Y2819" i="1"/>
  <c r="Z2819" i="1"/>
  <c r="AA2819" i="1"/>
  <c r="AB2819" i="1"/>
  <c r="AC2819" i="1"/>
  <c r="AD2819" i="1"/>
  <c r="AE2819" i="1"/>
  <c r="AF2819" i="1"/>
  <c r="AG2819" i="1"/>
  <c r="AH2819" i="1"/>
  <c r="AI2819" i="1"/>
  <c r="AJ2819" i="1"/>
  <c r="AK2819" i="1"/>
  <c r="AL2819" i="1"/>
  <c r="AM2819" i="1"/>
  <c r="A2820" i="1"/>
  <c r="B2820" i="1"/>
  <c r="C2820" i="1"/>
  <c r="D2820" i="1"/>
  <c r="E2820" i="1"/>
  <c r="F2820" i="1"/>
  <c r="G2820" i="1"/>
  <c r="H2820" i="1"/>
  <c r="I2820" i="1"/>
  <c r="J2820" i="1"/>
  <c r="K2820" i="1"/>
  <c r="L2820" i="1"/>
  <c r="M2820" i="1"/>
  <c r="N2820" i="1"/>
  <c r="O2820" i="1"/>
  <c r="P2820" i="1"/>
  <c r="Q2820" i="1"/>
  <c r="R2820" i="1"/>
  <c r="S2820" i="1"/>
  <c r="T2820" i="1"/>
  <c r="U2820" i="1"/>
  <c r="V2820" i="1"/>
  <c r="W2820" i="1"/>
  <c r="X2820" i="1"/>
  <c r="Y2820" i="1"/>
  <c r="Z2820" i="1"/>
  <c r="AA2820" i="1"/>
  <c r="AB2820" i="1"/>
  <c r="AC2820" i="1"/>
  <c r="AD2820" i="1"/>
  <c r="AE2820" i="1"/>
  <c r="AF2820" i="1"/>
  <c r="AG2820" i="1"/>
  <c r="AH2820" i="1"/>
  <c r="AI2820" i="1"/>
  <c r="AJ2820" i="1"/>
  <c r="AK2820" i="1"/>
  <c r="AL2820" i="1"/>
  <c r="AM2820" i="1"/>
  <c r="A2821" i="1"/>
  <c r="B2821" i="1"/>
  <c r="C2821" i="1"/>
  <c r="D2821" i="1"/>
  <c r="E2821" i="1"/>
  <c r="F2821" i="1"/>
  <c r="G2821" i="1"/>
  <c r="H2821" i="1"/>
  <c r="I2821" i="1"/>
  <c r="J2821" i="1"/>
  <c r="K2821" i="1"/>
  <c r="L2821" i="1"/>
  <c r="M2821" i="1"/>
  <c r="N2821" i="1"/>
  <c r="O2821" i="1"/>
  <c r="P2821" i="1"/>
  <c r="Q2821" i="1"/>
  <c r="R2821" i="1"/>
  <c r="S2821" i="1"/>
  <c r="T2821" i="1"/>
  <c r="U2821" i="1"/>
  <c r="V2821" i="1"/>
  <c r="W2821" i="1"/>
  <c r="X2821" i="1"/>
  <c r="Y2821" i="1"/>
  <c r="Z2821" i="1"/>
  <c r="AA2821" i="1"/>
  <c r="AB2821" i="1"/>
  <c r="AC2821" i="1"/>
  <c r="AD2821" i="1"/>
  <c r="AE2821" i="1"/>
  <c r="AF2821" i="1"/>
  <c r="AG2821" i="1"/>
  <c r="AH2821" i="1"/>
  <c r="AI2821" i="1"/>
  <c r="AJ2821" i="1"/>
  <c r="AK2821" i="1"/>
  <c r="AL2821" i="1"/>
  <c r="AM2821" i="1"/>
  <c r="A2822" i="1"/>
  <c r="B2822" i="1"/>
  <c r="C2822" i="1"/>
  <c r="D2822" i="1"/>
  <c r="E2822" i="1"/>
  <c r="F2822" i="1"/>
  <c r="G2822" i="1"/>
  <c r="H2822" i="1"/>
  <c r="I2822" i="1"/>
  <c r="J2822" i="1"/>
  <c r="K2822" i="1"/>
  <c r="L2822" i="1"/>
  <c r="M2822" i="1"/>
  <c r="N2822" i="1"/>
  <c r="O2822" i="1"/>
  <c r="P2822" i="1"/>
  <c r="Q2822" i="1"/>
  <c r="R2822" i="1"/>
  <c r="S2822" i="1"/>
  <c r="T2822" i="1"/>
  <c r="U2822" i="1"/>
  <c r="V2822" i="1"/>
  <c r="W2822" i="1"/>
  <c r="X2822" i="1"/>
  <c r="Y2822" i="1"/>
  <c r="Z2822" i="1"/>
  <c r="AA2822" i="1"/>
  <c r="AB2822" i="1"/>
  <c r="AC2822" i="1"/>
  <c r="AD2822" i="1"/>
  <c r="AE2822" i="1"/>
  <c r="AF2822" i="1"/>
  <c r="AG2822" i="1"/>
  <c r="AH2822" i="1"/>
  <c r="AI2822" i="1"/>
  <c r="AJ2822" i="1"/>
  <c r="AK2822" i="1"/>
  <c r="AL2822" i="1"/>
  <c r="AM2822" i="1"/>
  <c r="A2823" i="1"/>
  <c r="B2823" i="1"/>
  <c r="C2823" i="1"/>
  <c r="D2823" i="1"/>
  <c r="E2823" i="1"/>
  <c r="F2823" i="1"/>
  <c r="G2823" i="1"/>
  <c r="H2823" i="1"/>
  <c r="I2823" i="1"/>
  <c r="J2823" i="1"/>
  <c r="K2823" i="1"/>
  <c r="L2823" i="1"/>
  <c r="M2823" i="1"/>
  <c r="N2823" i="1"/>
  <c r="O2823" i="1"/>
  <c r="P2823" i="1"/>
  <c r="Q2823" i="1"/>
  <c r="R2823" i="1"/>
  <c r="S2823" i="1"/>
  <c r="T2823" i="1"/>
  <c r="U2823" i="1"/>
  <c r="V2823" i="1"/>
  <c r="W2823" i="1"/>
  <c r="X2823" i="1"/>
  <c r="Y2823" i="1"/>
  <c r="Z2823" i="1"/>
  <c r="AA2823" i="1"/>
  <c r="AB2823" i="1"/>
  <c r="AC2823" i="1"/>
  <c r="AD2823" i="1"/>
  <c r="AE2823" i="1"/>
  <c r="AF2823" i="1"/>
  <c r="AG2823" i="1"/>
  <c r="AH2823" i="1"/>
  <c r="AI2823" i="1"/>
  <c r="AJ2823" i="1"/>
  <c r="AK2823" i="1"/>
  <c r="AL2823" i="1"/>
  <c r="AM2823" i="1"/>
  <c r="A2824" i="1"/>
  <c r="B2824" i="1"/>
  <c r="C2824" i="1"/>
  <c r="D2824" i="1"/>
  <c r="E2824" i="1"/>
  <c r="F2824" i="1"/>
  <c r="G2824" i="1"/>
  <c r="H2824" i="1"/>
  <c r="I2824" i="1"/>
  <c r="J2824" i="1"/>
  <c r="K2824" i="1"/>
  <c r="L2824" i="1"/>
  <c r="M2824" i="1"/>
  <c r="N2824" i="1"/>
  <c r="O2824" i="1"/>
  <c r="P2824" i="1"/>
  <c r="Q2824" i="1"/>
  <c r="R2824" i="1"/>
  <c r="S2824" i="1"/>
  <c r="T2824" i="1"/>
  <c r="U2824" i="1"/>
  <c r="V2824" i="1"/>
  <c r="W2824" i="1"/>
  <c r="X2824" i="1"/>
  <c r="Y2824" i="1"/>
  <c r="Z2824" i="1"/>
  <c r="AA2824" i="1"/>
  <c r="AB2824" i="1"/>
  <c r="AC2824" i="1"/>
  <c r="AD2824" i="1"/>
  <c r="AE2824" i="1"/>
  <c r="AF2824" i="1"/>
  <c r="AG2824" i="1"/>
  <c r="AH2824" i="1"/>
  <c r="AI2824" i="1"/>
  <c r="AJ2824" i="1"/>
  <c r="AK2824" i="1"/>
  <c r="AL2824" i="1"/>
  <c r="AM2824" i="1"/>
  <c r="A2825" i="1"/>
  <c r="B2825" i="1"/>
  <c r="C2825" i="1"/>
  <c r="D2825" i="1"/>
  <c r="E2825" i="1"/>
  <c r="F2825" i="1"/>
  <c r="G2825" i="1"/>
  <c r="H2825" i="1"/>
  <c r="I2825" i="1"/>
  <c r="J2825" i="1"/>
  <c r="K2825" i="1"/>
  <c r="L2825" i="1"/>
  <c r="M2825" i="1"/>
  <c r="N2825" i="1"/>
  <c r="O2825" i="1"/>
  <c r="P2825" i="1"/>
  <c r="Q2825" i="1"/>
  <c r="R2825" i="1"/>
  <c r="S2825" i="1"/>
  <c r="T2825" i="1"/>
  <c r="U2825" i="1"/>
  <c r="V2825" i="1"/>
  <c r="W2825" i="1"/>
  <c r="X2825" i="1"/>
  <c r="Y2825" i="1"/>
  <c r="Z2825" i="1"/>
  <c r="AA2825" i="1"/>
  <c r="AB2825" i="1"/>
  <c r="AC2825" i="1"/>
  <c r="AD2825" i="1"/>
  <c r="AE2825" i="1"/>
  <c r="AF2825" i="1"/>
  <c r="AG2825" i="1"/>
  <c r="AH2825" i="1"/>
  <c r="AI2825" i="1"/>
  <c r="AJ2825" i="1"/>
  <c r="AK2825" i="1"/>
  <c r="AL2825" i="1"/>
  <c r="AM2825" i="1"/>
  <c r="A2826" i="1"/>
  <c r="B2826" i="1"/>
  <c r="C2826" i="1"/>
  <c r="D2826" i="1"/>
  <c r="E2826" i="1"/>
  <c r="F2826" i="1"/>
  <c r="G2826" i="1"/>
  <c r="H2826" i="1"/>
  <c r="I2826" i="1"/>
  <c r="J2826" i="1"/>
  <c r="K2826" i="1"/>
  <c r="L2826" i="1"/>
  <c r="M2826" i="1"/>
  <c r="N2826" i="1"/>
  <c r="O2826" i="1"/>
  <c r="P2826" i="1"/>
  <c r="Q2826" i="1"/>
  <c r="R2826" i="1"/>
  <c r="S2826" i="1"/>
  <c r="T2826" i="1"/>
  <c r="U2826" i="1"/>
  <c r="V2826" i="1"/>
  <c r="W2826" i="1"/>
  <c r="X2826" i="1"/>
  <c r="Y2826" i="1"/>
  <c r="Z2826" i="1"/>
  <c r="AA2826" i="1"/>
  <c r="AB2826" i="1"/>
  <c r="AC2826" i="1"/>
  <c r="AD2826" i="1"/>
  <c r="AE2826" i="1"/>
  <c r="AF2826" i="1"/>
  <c r="AG2826" i="1"/>
  <c r="AH2826" i="1"/>
  <c r="AI2826" i="1"/>
  <c r="AJ2826" i="1"/>
  <c r="AK2826" i="1"/>
  <c r="AL2826" i="1"/>
  <c r="AM2826" i="1"/>
  <c r="A2827" i="1"/>
  <c r="B2827" i="1"/>
  <c r="C2827" i="1"/>
  <c r="D2827" i="1"/>
  <c r="E2827" i="1"/>
  <c r="F2827" i="1"/>
  <c r="G2827" i="1"/>
  <c r="H2827" i="1"/>
  <c r="I2827" i="1"/>
  <c r="J2827" i="1"/>
  <c r="K2827" i="1"/>
  <c r="L2827" i="1"/>
  <c r="M2827" i="1"/>
  <c r="N2827" i="1"/>
  <c r="O2827" i="1"/>
  <c r="P2827" i="1"/>
  <c r="Q2827" i="1"/>
  <c r="R2827" i="1"/>
  <c r="S2827" i="1"/>
  <c r="T2827" i="1"/>
  <c r="U2827" i="1"/>
  <c r="V2827" i="1"/>
  <c r="W2827" i="1"/>
  <c r="X2827" i="1"/>
  <c r="Y2827" i="1"/>
  <c r="Z2827" i="1"/>
  <c r="AA2827" i="1"/>
  <c r="AB2827" i="1"/>
  <c r="AC2827" i="1"/>
  <c r="AD2827" i="1"/>
  <c r="AE2827" i="1"/>
  <c r="AF2827" i="1"/>
  <c r="AG2827" i="1"/>
  <c r="AH2827" i="1"/>
  <c r="AI2827" i="1"/>
  <c r="AJ2827" i="1"/>
  <c r="AK2827" i="1"/>
  <c r="AL2827" i="1"/>
  <c r="AM2827" i="1"/>
  <c r="A2828" i="1"/>
  <c r="B2828" i="1"/>
  <c r="C2828" i="1"/>
  <c r="D2828" i="1"/>
  <c r="E2828" i="1"/>
  <c r="F2828" i="1"/>
  <c r="G2828" i="1"/>
  <c r="H2828" i="1"/>
  <c r="I2828" i="1"/>
  <c r="J2828" i="1"/>
  <c r="K2828" i="1"/>
  <c r="L2828" i="1"/>
  <c r="M2828" i="1"/>
  <c r="N2828" i="1"/>
  <c r="O2828" i="1"/>
  <c r="P2828" i="1"/>
  <c r="Q2828" i="1"/>
  <c r="R2828" i="1"/>
  <c r="S2828" i="1"/>
  <c r="T2828" i="1"/>
  <c r="U2828" i="1"/>
  <c r="V2828" i="1"/>
  <c r="W2828" i="1"/>
  <c r="X2828" i="1"/>
  <c r="Y2828" i="1"/>
  <c r="Z2828" i="1"/>
  <c r="AA2828" i="1"/>
  <c r="AB2828" i="1"/>
  <c r="AC2828" i="1"/>
  <c r="AD2828" i="1"/>
  <c r="AE2828" i="1"/>
  <c r="AF2828" i="1"/>
  <c r="AG2828" i="1"/>
  <c r="AH2828" i="1"/>
  <c r="AI2828" i="1"/>
  <c r="AJ2828" i="1"/>
  <c r="AK2828" i="1"/>
  <c r="AL2828" i="1"/>
  <c r="AM2828" i="1"/>
  <c r="A2829" i="1"/>
  <c r="B2829" i="1"/>
  <c r="C2829" i="1"/>
  <c r="D2829" i="1"/>
  <c r="E2829" i="1"/>
  <c r="F2829" i="1"/>
  <c r="G2829" i="1"/>
  <c r="H2829" i="1"/>
  <c r="I2829" i="1"/>
  <c r="J2829" i="1"/>
  <c r="K2829" i="1"/>
  <c r="L2829" i="1"/>
  <c r="M2829" i="1"/>
  <c r="N2829" i="1"/>
  <c r="O2829" i="1"/>
  <c r="P2829" i="1"/>
  <c r="Q2829" i="1"/>
  <c r="R2829" i="1"/>
  <c r="S2829" i="1"/>
  <c r="T2829" i="1"/>
  <c r="U2829" i="1"/>
  <c r="V2829" i="1"/>
  <c r="W2829" i="1"/>
  <c r="X2829" i="1"/>
  <c r="Y2829" i="1"/>
  <c r="Z2829" i="1"/>
  <c r="AA2829" i="1"/>
  <c r="AB2829" i="1"/>
  <c r="AC2829" i="1"/>
  <c r="AD2829" i="1"/>
  <c r="AE2829" i="1"/>
  <c r="AF2829" i="1"/>
  <c r="AG2829" i="1"/>
  <c r="AH2829" i="1"/>
  <c r="AI2829" i="1"/>
  <c r="AJ2829" i="1"/>
  <c r="AK2829" i="1"/>
  <c r="AL2829" i="1"/>
  <c r="AM2829" i="1"/>
  <c r="A2830" i="1"/>
  <c r="B2830" i="1"/>
  <c r="C2830" i="1"/>
  <c r="D2830" i="1"/>
  <c r="E2830" i="1"/>
  <c r="F2830" i="1"/>
  <c r="G2830" i="1"/>
  <c r="H2830" i="1"/>
  <c r="I2830" i="1"/>
  <c r="J2830" i="1"/>
  <c r="K2830" i="1"/>
  <c r="L2830" i="1"/>
  <c r="M2830" i="1"/>
  <c r="N2830" i="1"/>
  <c r="O2830" i="1"/>
  <c r="P2830" i="1"/>
  <c r="Q2830" i="1"/>
  <c r="R2830" i="1"/>
  <c r="S2830" i="1"/>
  <c r="T2830" i="1"/>
  <c r="U2830" i="1"/>
  <c r="V2830" i="1"/>
  <c r="W2830" i="1"/>
  <c r="X2830" i="1"/>
  <c r="Y2830" i="1"/>
  <c r="Z2830" i="1"/>
  <c r="AA2830" i="1"/>
  <c r="AB2830" i="1"/>
  <c r="AC2830" i="1"/>
  <c r="AD2830" i="1"/>
  <c r="AE2830" i="1"/>
  <c r="AF2830" i="1"/>
  <c r="AG2830" i="1"/>
  <c r="AH2830" i="1"/>
  <c r="AI2830" i="1"/>
  <c r="AJ2830" i="1"/>
  <c r="AK2830" i="1"/>
  <c r="AL2830" i="1"/>
  <c r="AM2830" i="1"/>
  <c r="A2831" i="1"/>
  <c r="B2831" i="1"/>
  <c r="C2831" i="1"/>
  <c r="D2831" i="1"/>
  <c r="E2831" i="1"/>
  <c r="F2831" i="1"/>
  <c r="G2831" i="1"/>
  <c r="H2831" i="1"/>
  <c r="I2831" i="1"/>
  <c r="J2831" i="1"/>
  <c r="K2831" i="1"/>
  <c r="L2831" i="1"/>
  <c r="M2831" i="1"/>
  <c r="N2831" i="1"/>
  <c r="O2831" i="1"/>
  <c r="P2831" i="1"/>
  <c r="Q2831" i="1"/>
  <c r="R2831" i="1"/>
  <c r="S2831" i="1"/>
  <c r="T2831" i="1"/>
  <c r="U2831" i="1"/>
  <c r="V2831" i="1"/>
  <c r="W2831" i="1"/>
  <c r="X2831" i="1"/>
  <c r="Y2831" i="1"/>
  <c r="Z2831" i="1"/>
  <c r="AA2831" i="1"/>
  <c r="AB2831" i="1"/>
  <c r="AC2831" i="1"/>
  <c r="AD2831" i="1"/>
  <c r="AE2831" i="1"/>
  <c r="AF2831" i="1"/>
  <c r="AG2831" i="1"/>
  <c r="AH2831" i="1"/>
  <c r="AI2831" i="1"/>
  <c r="AJ2831" i="1"/>
  <c r="AK2831" i="1"/>
  <c r="AL2831" i="1"/>
  <c r="AM2831" i="1"/>
  <c r="A2832" i="1"/>
  <c r="B2832" i="1"/>
  <c r="C2832" i="1"/>
  <c r="D2832" i="1"/>
  <c r="E2832" i="1"/>
  <c r="F2832" i="1"/>
  <c r="G2832" i="1"/>
  <c r="H2832" i="1"/>
  <c r="I2832" i="1"/>
  <c r="J2832" i="1"/>
  <c r="K2832" i="1"/>
  <c r="L2832" i="1"/>
  <c r="M2832" i="1"/>
  <c r="N2832" i="1"/>
  <c r="O2832" i="1"/>
  <c r="P2832" i="1"/>
  <c r="Q2832" i="1"/>
  <c r="R2832" i="1"/>
  <c r="S2832" i="1"/>
  <c r="T2832" i="1"/>
  <c r="U2832" i="1"/>
  <c r="V2832" i="1"/>
  <c r="W2832" i="1"/>
  <c r="X2832" i="1"/>
  <c r="Y2832" i="1"/>
  <c r="Z2832" i="1"/>
  <c r="AA2832" i="1"/>
  <c r="AB2832" i="1"/>
  <c r="AC2832" i="1"/>
  <c r="AD2832" i="1"/>
  <c r="AE2832" i="1"/>
  <c r="AF2832" i="1"/>
  <c r="AG2832" i="1"/>
  <c r="AH2832" i="1"/>
  <c r="AI2832" i="1"/>
  <c r="AJ2832" i="1"/>
  <c r="AK2832" i="1"/>
  <c r="AL2832" i="1"/>
  <c r="AM2832" i="1"/>
  <c r="A2833" i="1"/>
  <c r="B2833" i="1"/>
  <c r="C2833" i="1"/>
  <c r="D2833" i="1"/>
  <c r="E2833" i="1"/>
  <c r="F2833" i="1"/>
  <c r="G2833" i="1"/>
  <c r="H2833" i="1"/>
  <c r="I2833" i="1"/>
  <c r="J2833" i="1"/>
  <c r="K2833" i="1"/>
  <c r="L2833" i="1"/>
  <c r="M2833" i="1"/>
  <c r="N2833" i="1"/>
  <c r="O2833" i="1"/>
  <c r="P2833" i="1"/>
  <c r="Q2833" i="1"/>
  <c r="R2833" i="1"/>
  <c r="S2833" i="1"/>
  <c r="T2833" i="1"/>
  <c r="U2833" i="1"/>
  <c r="V2833" i="1"/>
  <c r="W2833" i="1"/>
  <c r="X2833" i="1"/>
  <c r="Y2833" i="1"/>
  <c r="Z2833" i="1"/>
  <c r="AA2833" i="1"/>
  <c r="AB2833" i="1"/>
  <c r="AC2833" i="1"/>
  <c r="AD2833" i="1"/>
  <c r="AE2833" i="1"/>
  <c r="AF2833" i="1"/>
  <c r="AG2833" i="1"/>
  <c r="AH2833" i="1"/>
  <c r="AI2833" i="1"/>
  <c r="AJ2833" i="1"/>
  <c r="AK2833" i="1"/>
  <c r="AL2833" i="1"/>
  <c r="AM2833" i="1"/>
  <c r="A2834" i="1"/>
  <c r="B2834" i="1"/>
  <c r="C2834" i="1"/>
  <c r="D2834" i="1"/>
  <c r="E2834" i="1"/>
  <c r="F2834" i="1"/>
  <c r="G2834" i="1"/>
  <c r="H2834" i="1"/>
  <c r="I2834" i="1"/>
  <c r="J2834" i="1"/>
  <c r="K2834" i="1"/>
  <c r="L2834" i="1"/>
  <c r="M2834" i="1"/>
  <c r="N2834" i="1"/>
  <c r="O2834" i="1"/>
  <c r="P2834" i="1"/>
  <c r="Q2834" i="1"/>
  <c r="R2834" i="1"/>
  <c r="S2834" i="1"/>
  <c r="T2834" i="1"/>
  <c r="U2834" i="1"/>
  <c r="V2834" i="1"/>
  <c r="W2834" i="1"/>
  <c r="X2834" i="1"/>
  <c r="Y2834" i="1"/>
  <c r="Z2834" i="1"/>
  <c r="AA2834" i="1"/>
  <c r="AB2834" i="1"/>
  <c r="AC2834" i="1"/>
  <c r="AD2834" i="1"/>
  <c r="AE2834" i="1"/>
  <c r="AF2834" i="1"/>
  <c r="AG2834" i="1"/>
  <c r="AH2834" i="1"/>
  <c r="AI2834" i="1"/>
  <c r="AJ2834" i="1"/>
  <c r="AK2834" i="1"/>
  <c r="AL2834" i="1"/>
  <c r="AM2834" i="1"/>
  <c r="A2835" i="1"/>
  <c r="B2835" i="1"/>
  <c r="C2835" i="1"/>
  <c r="D2835" i="1"/>
  <c r="E2835" i="1"/>
  <c r="F2835" i="1"/>
  <c r="G2835" i="1"/>
  <c r="H2835" i="1"/>
  <c r="I2835" i="1"/>
  <c r="J2835" i="1"/>
  <c r="K2835" i="1"/>
  <c r="L2835" i="1"/>
  <c r="M2835" i="1"/>
  <c r="N2835" i="1"/>
  <c r="O2835" i="1"/>
  <c r="P2835" i="1"/>
  <c r="Q2835" i="1"/>
  <c r="R2835" i="1"/>
  <c r="S2835" i="1"/>
  <c r="T2835" i="1"/>
  <c r="U2835" i="1"/>
  <c r="V2835" i="1"/>
  <c r="W2835" i="1"/>
  <c r="X2835" i="1"/>
  <c r="Y2835" i="1"/>
  <c r="Z2835" i="1"/>
  <c r="AA2835" i="1"/>
  <c r="AB2835" i="1"/>
  <c r="AC2835" i="1"/>
  <c r="AD2835" i="1"/>
  <c r="AE2835" i="1"/>
  <c r="AF2835" i="1"/>
  <c r="AG2835" i="1"/>
  <c r="AH2835" i="1"/>
  <c r="AI2835" i="1"/>
  <c r="AJ2835" i="1"/>
  <c r="AK2835" i="1"/>
  <c r="AL2835" i="1"/>
  <c r="AM2835" i="1"/>
  <c r="A2836" i="1"/>
  <c r="B2836" i="1"/>
  <c r="C2836" i="1"/>
  <c r="D2836" i="1"/>
  <c r="E2836" i="1"/>
  <c r="F2836" i="1"/>
  <c r="G2836" i="1"/>
  <c r="H2836" i="1"/>
  <c r="I2836" i="1"/>
  <c r="J2836" i="1"/>
  <c r="K2836" i="1"/>
  <c r="L2836" i="1"/>
  <c r="M2836" i="1"/>
  <c r="N2836" i="1"/>
  <c r="O2836" i="1"/>
  <c r="P2836" i="1"/>
  <c r="Q2836" i="1"/>
  <c r="R2836" i="1"/>
  <c r="S2836" i="1"/>
  <c r="T2836" i="1"/>
  <c r="U2836" i="1"/>
  <c r="V2836" i="1"/>
  <c r="W2836" i="1"/>
  <c r="X2836" i="1"/>
  <c r="Y2836" i="1"/>
  <c r="Z2836" i="1"/>
  <c r="AA2836" i="1"/>
  <c r="AB2836" i="1"/>
  <c r="AC2836" i="1"/>
  <c r="AD2836" i="1"/>
  <c r="AE2836" i="1"/>
  <c r="AF2836" i="1"/>
  <c r="AG2836" i="1"/>
  <c r="AH2836" i="1"/>
  <c r="AI2836" i="1"/>
  <c r="AJ2836" i="1"/>
  <c r="AK2836" i="1"/>
  <c r="AL2836" i="1"/>
  <c r="AM2836" i="1"/>
  <c r="A2837" i="1"/>
  <c r="B2837" i="1"/>
  <c r="C2837" i="1"/>
  <c r="D2837" i="1"/>
  <c r="E2837" i="1"/>
  <c r="F2837" i="1"/>
  <c r="G2837" i="1"/>
  <c r="H2837" i="1"/>
  <c r="I2837" i="1"/>
  <c r="J2837" i="1"/>
  <c r="K2837" i="1"/>
  <c r="L2837" i="1"/>
  <c r="M2837" i="1"/>
  <c r="N2837" i="1"/>
  <c r="O2837" i="1"/>
  <c r="P2837" i="1"/>
  <c r="Q2837" i="1"/>
  <c r="R2837" i="1"/>
  <c r="S2837" i="1"/>
  <c r="T2837" i="1"/>
  <c r="U2837" i="1"/>
  <c r="V2837" i="1"/>
  <c r="W2837" i="1"/>
  <c r="X2837" i="1"/>
  <c r="Y2837" i="1"/>
  <c r="Z2837" i="1"/>
  <c r="AA2837" i="1"/>
  <c r="AB2837" i="1"/>
  <c r="AC2837" i="1"/>
  <c r="AD2837" i="1"/>
  <c r="AE2837" i="1"/>
  <c r="AF2837" i="1"/>
  <c r="AG2837" i="1"/>
  <c r="AH2837" i="1"/>
  <c r="AI2837" i="1"/>
  <c r="AJ2837" i="1"/>
  <c r="AK2837" i="1"/>
  <c r="AL2837" i="1"/>
  <c r="AM2837" i="1"/>
  <c r="A2838" i="1"/>
  <c r="B2838" i="1"/>
  <c r="C2838" i="1"/>
  <c r="D2838" i="1"/>
  <c r="E2838" i="1"/>
  <c r="F2838" i="1"/>
  <c r="G2838" i="1"/>
  <c r="H2838" i="1"/>
  <c r="I2838" i="1"/>
  <c r="J2838" i="1"/>
  <c r="K2838" i="1"/>
  <c r="L2838" i="1"/>
  <c r="M2838" i="1"/>
  <c r="N2838" i="1"/>
  <c r="O2838" i="1"/>
  <c r="P2838" i="1"/>
  <c r="Q2838" i="1"/>
  <c r="R2838" i="1"/>
  <c r="S2838" i="1"/>
  <c r="T2838" i="1"/>
  <c r="U2838" i="1"/>
  <c r="V2838" i="1"/>
  <c r="W2838" i="1"/>
  <c r="X2838" i="1"/>
  <c r="Y2838" i="1"/>
  <c r="Z2838" i="1"/>
  <c r="AA2838" i="1"/>
  <c r="AB2838" i="1"/>
  <c r="AC2838" i="1"/>
  <c r="AD2838" i="1"/>
  <c r="AE2838" i="1"/>
  <c r="AF2838" i="1"/>
  <c r="AG2838" i="1"/>
  <c r="AH2838" i="1"/>
  <c r="AI2838" i="1"/>
  <c r="AJ2838" i="1"/>
  <c r="AK2838" i="1"/>
  <c r="AL2838" i="1"/>
  <c r="AM2838" i="1"/>
  <c r="A2839" i="1"/>
  <c r="B2839" i="1"/>
  <c r="C2839" i="1"/>
  <c r="D2839" i="1"/>
  <c r="E2839" i="1"/>
  <c r="F2839" i="1"/>
  <c r="G2839" i="1"/>
  <c r="H2839" i="1"/>
  <c r="I2839" i="1"/>
  <c r="J2839" i="1"/>
  <c r="K2839" i="1"/>
  <c r="L2839" i="1"/>
  <c r="M2839" i="1"/>
  <c r="N2839" i="1"/>
  <c r="O2839" i="1"/>
  <c r="P2839" i="1"/>
  <c r="Q2839" i="1"/>
  <c r="R2839" i="1"/>
  <c r="S2839" i="1"/>
  <c r="T2839" i="1"/>
  <c r="U2839" i="1"/>
  <c r="V2839" i="1"/>
  <c r="W2839" i="1"/>
  <c r="X2839" i="1"/>
  <c r="Y2839" i="1"/>
  <c r="Z2839" i="1"/>
  <c r="AA2839" i="1"/>
  <c r="AB2839" i="1"/>
  <c r="AC2839" i="1"/>
  <c r="AD2839" i="1"/>
  <c r="AE2839" i="1"/>
  <c r="AF2839" i="1"/>
  <c r="AG2839" i="1"/>
  <c r="AH2839" i="1"/>
  <c r="AI2839" i="1"/>
  <c r="AJ2839" i="1"/>
  <c r="AK2839" i="1"/>
  <c r="AL2839" i="1"/>
  <c r="AM2839" i="1"/>
  <c r="A2840" i="1"/>
  <c r="B2840" i="1"/>
  <c r="C2840" i="1"/>
  <c r="D2840" i="1"/>
  <c r="E2840" i="1"/>
  <c r="F2840" i="1"/>
  <c r="G2840" i="1"/>
  <c r="H2840" i="1"/>
  <c r="I2840" i="1"/>
  <c r="J2840" i="1"/>
  <c r="K2840" i="1"/>
  <c r="L2840" i="1"/>
  <c r="M2840" i="1"/>
  <c r="N2840" i="1"/>
  <c r="O2840" i="1"/>
  <c r="P2840" i="1"/>
  <c r="Q2840" i="1"/>
  <c r="R2840" i="1"/>
  <c r="S2840" i="1"/>
  <c r="T2840" i="1"/>
  <c r="U2840" i="1"/>
  <c r="V2840" i="1"/>
  <c r="W2840" i="1"/>
  <c r="X2840" i="1"/>
  <c r="Y2840" i="1"/>
  <c r="Z2840" i="1"/>
  <c r="AA2840" i="1"/>
  <c r="AB2840" i="1"/>
  <c r="AC2840" i="1"/>
  <c r="AD2840" i="1"/>
  <c r="AE2840" i="1"/>
  <c r="AF2840" i="1"/>
  <c r="AG2840" i="1"/>
  <c r="AH2840" i="1"/>
  <c r="AI2840" i="1"/>
  <c r="AJ2840" i="1"/>
  <c r="AK2840" i="1"/>
  <c r="AL2840" i="1"/>
  <c r="AM2840" i="1"/>
  <c r="A2841" i="1"/>
  <c r="B2841" i="1"/>
  <c r="C2841" i="1"/>
  <c r="D2841" i="1"/>
  <c r="E2841" i="1"/>
  <c r="F2841" i="1"/>
  <c r="G2841" i="1"/>
  <c r="H2841" i="1"/>
  <c r="I2841" i="1"/>
  <c r="J2841" i="1"/>
  <c r="K2841" i="1"/>
  <c r="L2841" i="1"/>
  <c r="M2841" i="1"/>
  <c r="N2841" i="1"/>
  <c r="O2841" i="1"/>
  <c r="P2841" i="1"/>
  <c r="Q2841" i="1"/>
  <c r="R2841" i="1"/>
  <c r="S2841" i="1"/>
  <c r="T2841" i="1"/>
  <c r="U2841" i="1"/>
  <c r="V2841" i="1"/>
  <c r="W2841" i="1"/>
  <c r="X2841" i="1"/>
  <c r="Y2841" i="1"/>
  <c r="Z2841" i="1"/>
  <c r="AA2841" i="1"/>
  <c r="AB2841" i="1"/>
  <c r="AC2841" i="1"/>
  <c r="AD2841" i="1"/>
  <c r="AE2841" i="1"/>
  <c r="AF2841" i="1"/>
  <c r="AG2841" i="1"/>
  <c r="AH2841" i="1"/>
  <c r="AI2841" i="1"/>
  <c r="AJ2841" i="1"/>
  <c r="AK2841" i="1"/>
  <c r="AL2841" i="1"/>
  <c r="AM2841" i="1"/>
  <c r="A2842" i="1"/>
  <c r="B2842" i="1"/>
  <c r="C2842" i="1"/>
  <c r="D2842" i="1"/>
  <c r="E2842" i="1"/>
  <c r="F2842" i="1"/>
  <c r="G2842" i="1"/>
  <c r="H2842" i="1"/>
  <c r="I2842" i="1"/>
  <c r="J2842" i="1"/>
  <c r="K2842" i="1"/>
  <c r="L2842" i="1"/>
  <c r="M2842" i="1"/>
  <c r="N2842" i="1"/>
  <c r="O2842" i="1"/>
  <c r="P2842" i="1"/>
  <c r="Q2842" i="1"/>
  <c r="R2842" i="1"/>
  <c r="S2842" i="1"/>
  <c r="T2842" i="1"/>
  <c r="U2842" i="1"/>
  <c r="V2842" i="1"/>
  <c r="W2842" i="1"/>
  <c r="X2842" i="1"/>
  <c r="Y2842" i="1"/>
  <c r="Z2842" i="1"/>
  <c r="AA2842" i="1"/>
  <c r="AB2842" i="1"/>
  <c r="AC2842" i="1"/>
  <c r="AD2842" i="1"/>
  <c r="AE2842" i="1"/>
  <c r="AF2842" i="1"/>
  <c r="AG2842" i="1"/>
  <c r="AH2842" i="1"/>
  <c r="AI2842" i="1"/>
  <c r="AJ2842" i="1"/>
  <c r="AK2842" i="1"/>
  <c r="AL2842" i="1"/>
  <c r="AM2842" i="1"/>
  <c r="A2843" i="1"/>
  <c r="B2843" i="1"/>
  <c r="C2843" i="1"/>
  <c r="D2843" i="1"/>
  <c r="E2843" i="1"/>
  <c r="F2843" i="1"/>
  <c r="G2843" i="1"/>
  <c r="H2843" i="1"/>
  <c r="I2843" i="1"/>
  <c r="J2843" i="1"/>
  <c r="K2843" i="1"/>
  <c r="L2843" i="1"/>
  <c r="M2843" i="1"/>
  <c r="N2843" i="1"/>
  <c r="O2843" i="1"/>
  <c r="P2843" i="1"/>
  <c r="Q2843" i="1"/>
  <c r="R2843" i="1"/>
  <c r="S2843" i="1"/>
  <c r="T2843" i="1"/>
  <c r="U2843" i="1"/>
  <c r="V2843" i="1"/>
  <c r="W2843" i="1"/>
  <c r="X2843" i="1"/>
  <c r="Y2843" i="1"/>
  <c r="Z2843" i="1"/>
  <c r="AA2843" i="1"/>
  <c r="AB2843" i="1"/>
  <c r="AC2843" i="1"/>
  <c r="AD2843" i="1"/>
  <c r="AE2843" i="1"/>
  <c r="AF2843" i="1"/>
  <c r="AG2843" i="1"/>
  <c r="AH2843" i="1"/>
  <c r="AI2843" i="1"/>
  <c r="AJ2843" i="1"/>
  <c r="AK2843" i="1"/>
  <c r="AL2843" i="1"/>
  <c r="AM2843" i="1"/>
  <c r="A2844" i="1"/>
  <c r="B2844" i="1"/>
  <c r="C2844" i="1"/>
  <c r="D2844" i="1"/>
  <c r="E2844" i="1"/>
  <c r="F2844" i="1"/>
  <c r="G2844" i="1"/>
  <c r="H2844" i="1"/>
  <c r="I2844" i="1"/>
  <c r="J2844" i="1"/>
  <c r="K2844" i="1"/>
  <c r="L2844" i="1"/>
  <c r="M2844" i="1"/>
  <c r="N2844" i="1"/>
  <c r="O2844" i="1"/>
  <c r="P2844" i="1"/>
  <c r="Q2844" i="1"/>
  <c r="R2844" i="1"/>
  <c r="S2844" i="1"/>
  <c r="T2844" i="1"/>
  <c r="U2844" i="1"/>
  <c r="V2844" i="1"/>
  <c r="W2844" i="1"/>
  <c r="X2844" i="1"/>
  <c r="Y2844" i="1"/>
  <c r="Z2844" i="1"/>
  <c r="AA2844" i="1"/>
  <c r="AB2844" i="1"/>
  <c r="AC2844" i="1"/>
  <c r="AD2844" i="1"/>
  <c r="AE2844" i="1"/>
  <c r="AF2844" i="1"/>
  <c r="AG2844" i="1"/>
  <c r="AH2844" i="1"/>
  <c r="AI2844" i="1"/>
  <c r="AJ2844" i="1"/>
  <c r="AK2844" i="1"/>
  <c r="AL2844" i="1"/>
  <c r="AM2844" i="1"/>
  <c r="A2845" i="1"/>
  <c r="B2845" i="1"/>
  <c r="C2845" i="1"/>
  <c r="D2845" i="1"/>
  <c r="E2845" i="1"/>
  <c r="F2845" i="1"/>
  <c r="G2845" i="1"/>
  <c r="H2845" i="1"/>
  <c r="I2845" i="1"/>
  <c r="J2845" i="1"/>
  <c r="K2845" i="1"/>
  <c r="L2845" i="1"/>
  <c r="M2845" i="1"/>
  <c r="N2845" i="1"/>
  <c r="O2845" i="1"/>
  <c r="P2845" i="1"/>
  <c r="Q2845" i="1"/>
  <c r="R2845" i="1"/>
  <c r="S2845" i="1"/>
  <c r="T2845" i="1"/>
  <c r="U2845" i="1"/>
  <c r="V2845" i="1"/>
  <c r="W2845" i="1"/>
  <c r="X2845" i="1"/>
  <c r="Y2845" i="1"/>
  <c r="Z2845" i="1"/>
  <c r="AA2845" i="1"/>
  <c r="AB2845" i="1"/>
  <c r="AC2845" i="1"/>
  <c r="AD2845" i="1"/>
  <c r="AE2845" i="1"/>
  <c r="AF2845" i="1"/>
  <c r="AG2845" i="1"/>
  <c r="AH2845" i="1"/>
  <c r="AI2845" i="1"/>
  <c r="AJ2845" i="1"/>
  <c r="AK2845" i="1"/>
  <c r="AL2845" i="1"/>
  <c r="AM2845" i="1"/>
  <c r="A2846" i="1"/>
  <c r="B2846" i="1"/>
  <c r="C2846" i="1"/>
  <c r="D2846" i="1"/>
  <c r="E2846" i="1"/>
  <c r="F2846" i="1"/>
  <c r="G2846" i="1"/>
  <c r="H2846" i="1"/>
  <c r="I2846" i="1"/>
  <c r="J2846" i="1"/>
  <c r="K2846" i="1"/>
  <c r="L2846" i="1"/>
  <c r="M2846" i="1"/>
  <c r="N2846" i="1"/>
  <c r="O2846" i="1"/>
  <c r="P2846" i="1"/>
  <c r="Q2846" i="1"/>
  <c r="R2846" i="1"/>
  <c r="S2846" i="1"/>
  <c r="T2846" i="1"/>
  <c r="U2846" i="1"/>
  <c r="V2846" i="1"/>
  <c r="W2846" i="1"/>
  <c r="X2846" i="1"/>
  <c r="Y2846" i="1"/>
  <c r="Z2846" i="1"/>
  <c r="AA2846" i="1"/>
  <c r="AB2846" i="1"/>
  <c r="AC2846" i="1"/>
  <c r="AD2846" i="1"/>
  <c r="AE2846" i="1"/>
  <c r="AF2846" i="1"/>
  <c r="AG2846" i="1"/>
  <c r="AH2846" i="1"/>
  <c r="AI2846" i="1"/>
  <c r="AJ2846" i="1"/>
  <c r="AK2846" i="1"/>
  <c r="AL2846" i="1"/>
  <c r="AM2846" i="1"/>
  <c r="A2847" i="1"/>
  <c r="B2847" i="1"/>
  <c r="C2847" i="1"/>
  <c r="D2847" i="1"/>
  <c r="E2847" i="1"/>
  <c r="F2847" i="1"/>
  <c r="G2847" i="1"/>
  <c r="H2847" i="1"/>
  <c r="I2847" i="1"/>
  <c r="J2847" i="1"/>
  <c r="K2847" i="1"/>
  <c r="L2847" i="1"/>
  <c r="M2847" i="1"/>
  <c r="N2847" i="1"/>
  <c r="O2847" i="1"/>
  <c r="P2847" i="1"/>
  <c r="Q2847" i="1"/>
  <c r="R2847" i="1"/>
  <c r="S2847" i="1"/>
  <c r="T2847" i="1"/>
  <c r="U2847" i="1"/>
  <c r="V2847" i="1"/>
  <c r="W2847" i="1"/>
  <c r="X2847" i="1"/>
  <c r="Y2847" i="1"/>
  <c r="Z2847" i="1"/>
  <c r="AA2847" i="1"/>
  <c r="AB2847" i="1"/>
  <c r="AC2847" i="1"/>
  <c r="AD2847" i="1"/>
  <c r="AE2847" i="1"/>
  <c r="AF2847" i="1"/>
  <c r="AG2847" i="1"/>
  <c r="AH2847" i="1"/>
  <c r="AI2847" i="1"/>
  <c r="AJ2847" i="1"/>
  <c r="AK2847" i="1"/>
  <c r="AL2847" i="1"/>
  <c r="AM2847" i="1"/>
  <c r="A2848" i="1"/>
  <c r="B2848" i="1"/>
  <c r="C2848" i="1"/>
  <c r="D2848" i="1"/>
  <c r="E2848" i="1"/>
  <c r="F2848" i="1"/>
  <c r="G2848" i="1"/>
  <c r="H2848" i="1"/>
  <c r="I2848" i="1"/>
  <c r="J2848" i="1"/>
  <c r="K2848" i="1"/>
  <c r="L2848" i="1"/>
  <c r="M2848" i="1"/>
  <c r="N2848" i="1"/>
  <c r="O2848" i="1"/>
  <c r="P2848" i="1"/>
  <c r="Q2848" i="1"/>
  <c r="R2848" i="1"/>
  <c r="S2848" i="1"/>
  <c r="T2848" i="1"/>
  <c r="U2848" i="1"/>
  <c r="V2848" i="1"/>
  <c r="W2848" i="1"/>
  <c r="X2848" i="1"/>
  <c r="Y2848" i="1"/>
  <c r="Z2848" i="1"/>
  <c r="AA2848" i="1"/>
  <c r="AB2848" i="1"/>
  <c r="AC2848" i="1"/>
  <c r="AD2848" i="1"/>
  <c r="AE2848" i="1"/>
  <c r="AF2848" i="1"/>
  <c r="AG2848" i="1"/>
  <c r="AH2848" i="1"/>
  <c r="AI2848" i="1"/>
  <c r="AJ2848" i="1"/>
  <c r="AK2848" i="1"/>
  <c r="AL2848" i="1"/>
  <c r="AM2848" i="1"/>
  <c r="A2849" i="1"/>
  <c r="B2849" i="1"/>
  <c r="C2849" i="1"/>
  <c r="D2849" i="1"/>
  <c r="E2849" i="1"/>
  <c r="F2849" i="1"/>
  <c r="G2849" i="1"/>
  <c r="H2849" i="1"/>
  <c r="I2849" i="1"/>
  <c r="J2849" i="1"/>
  <c r="K2849" i="1"/>
  <c r="L2849" i="1"/>
  <c r="M2849" i="1"/>
  <c r="N2849" i="1"/>
  <c r="O2849" i="1"/>
  <c r="P2849" i="1"/>
  <c r="Q2849" i="1"/>
  <c r="R2849" i="1"/>
  <c r="S2849" i="1"/>
  <c r="T2849" i="1"/>
  <c r="U2849" i="1"/>
  <c r="V2849" i="1"/>
  <c r="W2849" i="1"/>
  <c r="X2849" i="1"/>
  <c r="Y2849" i="1"/>
  <c r="Z2849" i="1"/>
  <c r="AA2849" i="1"/>
  <c r="AB2849" i="1"/>
  <c r="AC2849" i="1"/>
  <c r="AD2849" i="1"/>
  <c r="AE2849" i="1"/>
  <c r="AF2849" i="1"/>
  <c r="AG2849" i="1"/>
  <c r="AH2849" i="1"/>
  <c r="AI2849" i="1"/>
  <c r="AJ2849" i="1"/>
  <c r="AK2849" i="1"/>
  <c r="AL2849" i="1"/>
  <c r="AM2849" i="1"/>
  <c r="A2850" i="1"/>
  <c r="B2850" i="1"/>
  <c r="C2850" i="1"/>
  <c r="D2850" i="1"/>
  <c r="E2850" i="1"/>
  <c r="F2850" i="1"/>
  <c r="G2850" i="1"/>
  <c r="H2850" i="1"/>
  <c r="I2850" i="1"/>
  <c r="J2850" i="1"/>
  <c r="K2850" i="1"/>
  <c r="L2850" i="1"/>
  <c r="M2850" i="1"/>
  <c r="N2850" i="1"/>
  <c r="O2850" i="1"/>
  <c r="P2850" i="1"/>
  <c r="Q2850" i="1"/>
  <c r="R2850" i="1"/>
  <c r="S2850" i="1"/>
  <c r="T2850" i="1"/>
  <c r="U2850" i="1"/>
  <c r="V2850" i="1"/>
  <c r="W2850" i="1"/>
  <c r="X2850" i="1"/>
  <c r="Y2850" i="1"/>
  <c r="Z2850" i="1"/>
  <c r="AA2850" i="1"/>
  <c r="AB2850" i="1"/>
  <c r="AC2850" i="1"/>
  <c r="AD2850" i="1"/>
  <c r="AE2850" i="1"/>
  <c r="AF2850" i="1"/>
  <c r="AG2850" i="1"/>
  <c r="AH2850" i="1"/>
  <c r="AI2850" i="1"/>
  <c r="AJ2850" i="1"/>
  <c r="AK2850" i="1"/>
  <c r="AL2850" i="1"/>
  <c r="AM2850" i="1"/>
  <c r="A2851" i="1"/>
  <c r="B2851" i="1"/>
  <c r="C2851" i="1"/>
  <c r="D2851" i="1"/>
  <c r="E2851" i="1"/>
  <c r="F2851" i="1"/>
  <c r="G2851" i="1"/>
  <c r="H2851" i="1"/>
  <c r="I2851" i="1"/>
  <c r="J2851" i="1"/>
  <c r="K2851" i="1"/>
  <c r="L2851" i="1"/>
  <c r="M2851" i="1"/>
  <c r="N2851" i="1"/>
  <c r="O2851" i="1"/>
  <c r="P2851" i="1"/>
  <c r="Q2851" i="1"/>
  <c r="R2851" i="1"/>
  <c r="S2851" i="1"/>
  <c r="T2851" i="1"/>
  <c r="U2851" i="1"/>
  <c r="V2851" i="1"/>
  <c r="W2851" i="1"/>
  <c r="X2851" i="1"/>
  <c r="Y2851" i="1"/>
  <c r="Z2851" i="1"/>
  <c r="AA2851" i="1"/>
  <c r="AB2851" i="1"/>
  <c r="AC2851" i="1"/>
  <c r="AD2851" i="1"/>
  <c r="AE2851" i="1"/>
  <c r="AF2851" i="1"/>
  <c r="AG2851" i="1"/>
  <c r="AH2851" i="1"/>
  <c r="AI2851" i="1"/>
  <c r="AJ2851" i="1"/>
  <c r="AK2851" i="1"/>
  <c r="AL2851" i="1"/>
  <c r="AM2851" i="1"/>
  <c r="A2852" i="1"/>
  <c r="B2852" i="1"/>
  <c r="C2852" i="1"/>
  <c r="D2852" i="1"/>
  <c r="E2852" i="1"/>
  <c r="F2852" i="1"/>
  <c r="G2852" i="1"/>
  <c r="H2852" i="1"/>
  <c r="I2852" i="1"/>
  <c r="J2852" i="1"/>
  <c r="K2852" i="1"/>
  <c r="L2852" i="1"/>
  <c r="M2852" i="1"/>
  <c r="N2852" i="1"/>
  <c r="O2852" i="1"/>
  <c r="P2852" i="1"/>
  <c r="Q2852" i="1"/>
  <c r="R2852" i="1"/>
  <c r="S2852" i="1"/>
  <c r="T2852" i="1"/>
  <c r="U2852" i="1"/>
  <c r="V2852" i="1"/>
  <c r="W2852" i="1"/>
  <c r="X2852" i="1"/>
  <c r="Y2852" i="1"/>
  <c r="Z2852" i="1"/>
  <c r="AA2852" i="1"/>
  <c r="AB2852" i="1"/>
  <c r="AC2852" i="1"/>
  <c r="AD2852" i="1"/>
  <c r="AE2852" i="1"/>
  <c r="AF2852" i="1"/>
  <c r="AG2852" i="1"/>
  <c r="AH2852" i="1"/>
  <c r="AI2852" i="1"/>
  <c r="AJ2852" i="1"/>
  <c r="AK2852" i="1"/>
  <c r="AL2852" i="1"/>
  <c r="AM2852" i="1"/>
  <c r="A2853" i="1"/>
  <c r="B2853" i="1"/>
  <c r="C2853" i="1"/>
  <c r="D2853" i="1"/>
  <c r="E2853" i="1"/>
  <c r="F2853" i="1"/>
  <c r="G2853" i="1"/>
  <c r="H2853" i="1"/>
  <c r="I2853" i="1"/>
  <c r="J2853" i="1"/>
  <c r="K2853" i="1"/>
  <c r="L2853" i="1"/>
  <c r="M2853" i="1"/>
  <c r="N2853" i="1"/>
  <c r="O2853" i="1"/>
  <c r="P2853" i="1"/>
  <c r="Q2853" i="1"/>
  <c r="R2853" i="1"/>
  <c r="S2853" i="1"/>
  <c r="T2853" i="1"/>
  <c r="U2853" i="1"/>
  <c r="V2853" i="1"/>
  <c r="W2853" i="1"/>
  <c r="X2853" i="1"/>
  <c r="Y2853" i="1"/>
  <c r="Z2853" i="1"/>
  <c r="AA2853" i="1"/>
  <c r="AB2853" i="1"/>
  <c r="AC2853" i="1"/>
  <c r="AD2853" i="1"/>
  <c r="AE2853" i="1"/>
  <c r="AF2853" i="1"/>
  <c r="AG2853" i="1"/>
  <c r="AH2853" i="1"/>
  <c r="AI2853" i="1"/>
  <c r="AJ2853" i="1"/>
  <c r="AK2853" i="1"/>
  <c r="AL2853" i="1"/>
  <c r="AM2853" i="1"/>
  <c r="A2854" i="1"/>
  <c r="B2854" i="1"/>
  <c r="C2854" i="1"/>
  <c r="D2854" i="1"/>
  <c r="E2854" i="1"/>
  <c r="F2854" i="1"/>
  <c r="G2854" i="1"/>
  <c r="H2854" i="1"/>
  <c r="I2854" i="1"/>
  <c r="J2854" i="1"/>
  <c r="K2854" i="1"/>
  <c r="L2854" i="1"/>
  <c r="M2854" i="1"/>
  <c r="N2854" i="1"/>
  <c r="O2854" i="1"/>
  <c r="P2854" i="1"/>
  <c r="Q2854" i="1"/>
  <c r="R2854" i="1"/>
  <c r="S2854" i="1"/>
  <c r="T2854" i="1"/>
  <c r="U2854" i="1"/>
  <c r="V2854" i="1"/>
  <c r="W2854" i="1"/>
  <c r="X2854" i="1"/>
  <c r="Y2854" i="1"/>
  <c r="Z2854" i="1"/>
  <c r="AA2854" i="1"/>
  <c r="AB2854" i="1"/>
  <c r="AC2854" i="1"/>
  <c r="AD2854" i="1"/>
  <c r="AE2854" i="1"/>
  <c r="AF2854" i="1"/>
  <c r="AG2854" i="1"/>
  <c r="AH2854" i="1"/>
  <c r="AI2854" i="1"/>
  <c r="AJ2854" i="1"/>
  <c r="AK2854" i="1"/>
  <c r="AL2854" i="1"/>
  <c r="AM2854" i="1"/>
  <c r="A2855" i="1"/>
  <c r="B2855" i="1"/>
  <c r="C2855" i="1"/>
  <c r="D2855" i="1"/>
  <c r="E2855" i="1"/>
  <c r="F2855" i="1"/>
  <c r="G2855" i="1"/>
  <c r="H2855" i="1"/>
  <c r="I2855" i="1"/>
  <c r="J2855" i="1"/>
  <c r="K2855" i="1"/>
  <c r="L2855" i="1"/>
  <c r="M2855" i="1"/>
  <c r="N2855" i="1"/>
  <c r="O2855" i="1"/>
  <c r="P2855" i="1"/>
  <c r="Q2855" i="1"/>
  <c r="R2855" i="1"/>
  <c r="S2855" i="1"/>
  <c r="T2855" i="1"/>
  <c r="U2855" i="1"/>
  <c r="V2855" i="1"/>
  <c r="W2855" i="1"/>
  <c r="X2855" i="1"/>
  <c r="Y2855" i="1"/>
  <c r="Z2855" i="1"/>
  <c r="AA2855" i="1"/>
  <c r="AB2855" i="1"/>
  <c r="AC2855" i="1"/>
  <c r="AD2855" i="1"/>
  <c r="AE2855" i="1"/>
  <c r="AF2855" i="1"/>
  <c r="AG2855" i="1"/>
  <c r="AH2855" i="1"/>
  <c r="AI2855" i="1"/>
  <c r="AJ2855" i="1"/>
  <c r="AK2855" i="1"/>
  <c r="AL2855" i="1"/>
  <c r="AM2855" i="1"/>
  <c r="A2856" i="1"/>
  <c r="B2856" i="1"/>
  <c r="C2856" i="1"/>
  <c r="D2856" i="1"/>
  <c r="E2856" i="1"/>
  <c r="F2856" i="1"/>
  <c r="G2856" i="1"/>
  <c r="H2856" i="1"/>
  <c r="I2856" i="1"/>
  <c r="J2856" i="1"/>
  <c r="K2856" i="1"/>
  <c r="L2856" i="1"/>
  <c r="M2856" i="1"/>
  <c r="N2856" i="1"/>
  <c r="O2856" i="1"/>
  <c r="P2856" i="1"/>
  <c r="Q2856" i="1"/>
  <c r="R2856" i="1"/>
  <c r="S2856" i="1"/>
  <c r="T2856" i="1"/>
  <c r="U2856" i="1"/>
  <c r="V2856" i="1"/>
  <c r="W2856" i="1"/>
  <c r="X2856" i="1"/>
  <c r="Y2856" i="1"/>
  <c r="Z2856" i="1"/>
  <c r="AA2856" i="1"/>
  <c r="AB2856" i="1"/>
  <c r="AC2856" i="1"/>
  <c r="AD2856" i="1"/>
  <c r="AE2856" i="1"/>
  <c r="AF2856" i="1"/>
  <c r="AG2856" i="1"/>
  <c r="AH2856" i="1"/>
  <c r="AI2856" i="1"/>
  <c r="AJ2856" i="1"/>
  <c r="AK2856" i="1"/>
  <c r="AL2856" i="1"/>
  <c r="AM2856" i="1"/>
  <c r="A2857" i="1"/>
  <c r="B2857" i="1"/>
  <c r="C2857" i="1"/>
  <c r="D2857" i="1"/>
  <c r="E2857" i="1"/>
  <c r="F2857" i="1"/>
  <c r="G2857" i="1"/>
  <c r="H2857" i="1"/>
  <c r="I2857" i="1"/>
  <c r="J2857" i="1"/>
  <c r="K2857" i="1"/>
  <c r="L2857" i="1"/>
  <c r="M2857" i="1"/>
  <c r="N2857" i="1"/>
  <c r="O2857" i="1"/>
  <c r="P2857" i="1"/>
  <c r="Q2857" i="1"/>
  <c r="R2857" i="1"/>
  <c r="S2857" i="1"/>
  <c r="T2857" i="1"/>
  <c r="U2857" i="1"/>
  <c r="V2857" i="1"/>
  <c r="W2857" i="1"/>
  <c r="X2857" i="1"/>
  <c r="Y2857" i="1"/>
  <c r="Z2857" i="1"/>
  <c r="AA2857" i="1"/>
  <c r="AB2857" i="1"/>
  <c r="AC2857" i="1"/>
  <c r="AD2857" i="1"/>
  <c r="AE2857" i="1"/>
  <c r="AF2857" i="1"/>
  <c r="AG2857" i="1"/>
  <c r="AH2857" i="1"/>
  <c r="AI2857" i="1"/>
  <c r="AJ2857" i="1"/>
  <c r="AK2857" i="1"/>
  <c r="AL2857" i="1"/>
  <c r="AM2857" i="1"/>
  <c r="A2858" i="1"/>
  <c r="B2858" i="1"/>
  <c r="C2858" i="1"/>
  <c r="D2858" i="1"/>
  <c r="E2858" i="1"/>
  <c r="F2858" i="1"/>
  <c r="G2858" i="1"/>
  <c r="H2858" i="1"/>
  <c r="I2858" i="1"/>
  <c r="J2858" i="1"/>
  <c r="K2858" i="1"/>
  <c r="L2858" i="1"/>
  <c r="M2858" i="1"/>
  <c r="N2858" i="1"/>
  <c r="O2858" i="1"/>
  <c r="P2858" i="1"/>
  <c r="Q2858" i="1"/>
  <c r="R2858" i="1"/>
  <c r="S2858" i="1"/>
  <c r="T2858" i="1"/>
  <c r="U2858" i="1"/>
  <c r="V2858" i="1"/>
  <c r="W2858" i="1"/>
  <c r="X2858" i="1"/>
  <c r="Y2858" i="1"/>
  <c r="Z2858" i="1"/>
  <c r="AA2858" i="1"/>
  <c r="AB2858" i="1"/>
  <c r="AC2858" i="1"/>
  <c r="AD2858" i="1"/>
  <c r="AE2858" i="1"/>
  <c r="AF2858" i="1"/>
  <c r="AG2858" i="1"/>
  <c r="AH2858" i="1"/>
  <c r="AI2858" i="1"/>
  <c r="AJ2858" i="1"/>
  <c r="AK2858" i="1"/>
  <c r="AL2858" i="1"/>
  <c r="AM2858" i="1"/>
  <c r="A2859" i="1"/>
  <c r="B2859" i="1"/>
  <c r="C2859" i="1"/>
  <c r="D2859" i="1"/>
  <c r="E2859" i="1"/>
  <c r="F2859" i="1"/>
  <c r="G2859" i="1"/>
  <c r="H2859" i="1"/>
  <c r="I2859" i="1"/>
  <c r="J2859" i="1"/>
  <c r="K2859" i="1"/>
  <c r="L2859" i="1"/>
  <c r="M2859" i="1"/>
  <c r="N2859" i="1"/>
  <c r="O2859" i="1"/>
  <c r="P2859" i="1"/>
  <c r="Q2859" i="1"/>
  <c r="R2859" i="1"/>
  <c r="S2859" i="1"/>
  <c r="T2859" i="1"/>
  <c r="U2859" i="1"/>
  <c r="V2859" i="1"/>
  <c r="W2859" i="1"/>
  <c r="X2859" i="1"/>
  <c r="Y2859" i="1"/>
  <c r="Z2859" i="1"/>
  <c r="AA2859" i="1"/>
  <c r="AB2859" i="1"/>
  <c r="AC2859" i="1"/>
  <c r="AD2859" i="1"/>
  <c r="AE2859" i="1"/>
  <c r="AF2859" i="1"/>
  <c r="AG2859" i="1"/>
  <c r="AH2859" i="1"/>
  <c r="AI2859" i="1"/>
  <c r="AJ2859" i="1"/>
  <c r="AK2859" i="1"/>
  <c r="AL2859" i="1"/>
  <c r="AM2859" i="1"/>
  <c r="A2860" i="1"/>
  <c r="B2860" i="1"/>
  <c r="C2860" i="1"/>
  <c r="D2860" i="1"/>
  <c r="E2860" i="1"/>
  <c r="F2860" i="1"/>
  <c r="G2860" i="1"/>
  <c r="H2860" i="1"/>
  <c r="I2860" i="1"/>
  <c r="J2860" i="1"/>
  <c r="K2860" i="1"/>
  <c r="L2860" i="1"/>
  <c r="M2860" i="1"/>
  <c r="N2860" i="1"/>
  <c r="O2860" i="1"/>
  <c r="P2860" i="1"/>
  <c r="Q2860" i="1"/>
  <c r="R2860" i="1"/>
  <c r="S2860" i="1"/>
  <c r="T2860" i="1"/>
  <c r="U2860" i="1"/>
  <c r="V2860" i="1"/>
  <c r="W2860" i="1"/>
  <c r="X2860" i="1"/>
  <c r="Y2860" i="1"/>
  <c r="Z2860" i="1"/>
  <c r="AA2860" i="1"/>
  <c r="AB2860" i="1"/>
  <c r="AC2860" i="1"/>
  <c r="AD2860" i="1"/>
  <c r="AE2860" i="1"/>
  <c r="AF2860" i="1"/>
  <c r="AG2860" i="1"/>
  <c r="AH2860" i="1"/>
  <c r="AI2860" i="1"/>
  <c r="AJ2860" i="1"/>
  <c r="AK2860" i="1"/>
  <c r="AL2860" i="1"/>
  <c r="AM2860" i="1"/>
  <c r="A2861" i="1"/>
  <c r="B2861" i="1"/>
  <c r="C2861" i="1"/>
  <c r="D2861" i="1"/>
  <c r="E2861" i="1"/>
  <c r="F2861" i="1"/>
  <c r="G2861" i="1"/>
  <c r="H2861" i="1"/>
  <c r="I2861" i="1"/>
  <c r="J2861" i="1"/>
  <c r="K2861" i="1"/>
  <c r="L2861" i="1"/>
  <c r="M2861" i="1"/>
  <c r="N2861" i="1"/>
  <c r="O2861" i="1"/>
  <c r="P2861" i="1"/>
  <c r="Q2861" i="1"/>
  <c r="R2861" i="1"/>
  <c r="S2861" i="1"/>
  <c r="T2861" i="1"/>
  <c r="U2861" i="1"/>
  <c r="V2861" i="1"/>
  <c r="W2861" i="1"/>
  <c r="X2861" i="1"/>
  <c r="Y2861" i="1"/>
  <c r="Z2861" i="1"/>
  <c r="AA2861" i="1"/>
  <c r="AB2861" i="1"/>
  <c r="AC2861" i="1"/>
  <c r="AD2861" i="1"/>
  <c r="AE2861" i="1"/>
  <c r="AF2861" i="1"/>
  <c r="AG2861" i="1"/>
  <c r="AH2861" i="1"/>
  <c r="AI2861" i="1"/>
  <c r="AJ2861" i="1"/>
  <c r="AK2861" i="1"/>
  <c r="AL2861" i="1"/>
  <c r="AM2861" i="1"/>
  <c r="A2862" i="1"/>
  <c r="B2862" i="1"/>
  <c r="C2862" i="1"/>
  <c r="D2862" i="1"/>
  <c r="E2862" i="1"/>
  <c r="F2862" i="1"/>
  <c r="G2862" i="1"/>
  <c r="H2862" i="1"/>
  <c r="I2862" i="1"/>
  <c r="J2862" i="1"/>
  <c r="K2862" i="1"/>
  <c r="L2862" i="1"/>
  <c r="M2862" i="1"/>
  <c r="N2862" i="1"/>
  <c r="O2862" i="1"/>
  <c r="P2862" i="1"/>
  <c r="Q2862" i="1"/>
  <c r="R2862" i="1"/>
  <c r="S2862" i="1"/>
  <c r="T2862" i="1"/>
  <c r="U2862" i="1"/>
  <c r="V2862" i="1"/>
  <c r="W2862" i="1"/>
  <c r="X2862" i="1"/>
  <c r="Y2862" i="1"/>
  <c r="Z2862" i="1"/>
  <c r="AA2862" i="1"/>
  <c r="AB2862" i="1"/>
  <c r="AC2862" i="1"/>
  <c r="AD2862" i="1"/>
  <c r="AE2862" i="1"/>
  <c r="AF2862" i="1"/>
  <c r="AG2862" i="1"/>
  <c r="AH2862" i="1"/>
  <c r="AI2862" i="1"/>
  <c r="AJ2862" i="1"/>
  <c r="AK2862" i="1"/>
  <c r="AL2862" i="1"/>
  <c r="AM2862" i="1"/>
  <c r="A2863" i="1"/>
  <c r="B2863" i="1"/>
  <c r="C2863" i="1"/>
  <c r="D2863" i="1"/>
  <c r="E2863" i="1"/>
  <c r="F2863" i="1"/>
  <c r="G2863" i="1"/>
  <c r="H2863" i="1"/>
  <c r="I2863" i="1"/>
  <c r="J2863" i="1"/>
  <c r="K2863" i="1"/>
  <c r="L2863" i="1"/>
  <c r="M2863" i="1"/>
  <c r="N2863" i="1"/>
  <c r="O2863" i="1"/>
  <c r="P2863" i="1"/>
  <c r="Q2863" i="1"/>
  <c r="R2863" i="1"/>
  <c r="S2863" i="1"/>
  <c r="T2863" i="1"/>
  <c r="U2863" i="1"/>
  <c r="V2863" i="1"/>
  <c r="W2863" i="1"/>
  <c r="X2863" i="1"/>
  <c r="Y2863" i="1"/>
  <c r="Z2863" i="1"/>
  <c r="AA2863" i="1"/>
  <c r="AB2863" i="1"/>
  <c r="AC2863" i="1"/>
  <c r="AD2863" i="1"/>
  <c r="AE2863" i="1"/>
  <c r="AF2863" i="1"/>
  <c r="AG2863" i="1"/>
  <c r="AH2863" i="1"/>
  <c r="AI2863" i="1"/>
  <c r="AJ2863" i="1"/>
  <c r="AK2863" i="1"/>
  <c r="AL2863" i="1"/>
  <c r="AM2863" i="1"/>
  <c r="A2864" i="1"/>
  <c r="B2864" i="1"/>
  <c r="C2864" i="1"/>
  <c r="D2864" i="1"/>
  <c r="E2864" i="1"/>
  <c r="F2864" i="1"/>
  <c r="G2864" i="1"/>
  <c r="H2864" i="1"/>
  <c r="I2864" i="1"/>
  <c r="J2864" i="1"/>
  <c r="K2864" i="1"/>
  <c r="L2864" i="1"/>
  <c r="M2864" i="1"/>
  <c r="N2864" i="1"/>
  <c r="O2864" i="1"/>
  <c r="P2864" i="1"/>
  <c r="Q2864" i="1"/>
  <c r="R2864" i="1"/>
  <c r="S2864" i="1"/>
  <c r="T2864" i="1"/>
  <c r="U2864" i="1"/>
  <c r="V2864" i="1"/>
  <c r="W2864" i="1"/>
  <c r="X2864" i="1"/>
  <c r="Y2864" i="1"/>
  <c r="Z2864" i="1"/>
  <c r="AA2864" i="1"/>
  <c r="AB2864" i="1"/>
  <c r="AC2864" i="1"/>
  <c r="AD2864" i="1"/>
  <c r="AE2864" i="1"/>
  <c r="AF2864" i="1"/>
  <c r="AG2864" i="1"/>
  <c r="AH2864" i="1"/>
  <c r="AI2864" i="1"/>
  <c r="AJ2864" i="1"/>
  <c r="AK2864" i="1"/>
  <c r="AL2864" i="1"/>
  <c r="AM2864" i="1"/>
  <c r="A2865" i="1"/>
  <c r="B2865" i="1"/>
  <c r="C2865" i="1"/>
  <c r="D2865" i="1"/>
  <c r="E2865" i="1"/>
  <c r="F2865" i="1"/>
  <c r="G2865" i="1"/>
  <c r="H2865" i="1"/>
  <c r="I2865" i="1"/>
  <c r="J2865" i="1"/>
  <c r="K2865" i="1"/>
  <c r="L2865" i="1"/>
  <c r="M2865" i="1"/>
  <c r="N2865" i="1"/>
  <c r="O2865" i="1"/>
  <c r="P2865" i="1"/>
  <c r="Q2865" i="1"/>
  <c r="R2865" i="1"/>
  <c r="S2865" i="1"/>
  <c r="T2865" i="1"/>
  <c r="U2865" i="1"/>
  <c r="V2865" i="1"/>
  <c r="W2865" i="1"/>
  <c r="X2865" i="1"/>
  <c r="Y2865" i="1"/>
  <c r="Z2865" i="1"/>
  <c r="AA2865" i="1"/>
  <c r="AB2865" i="1"/>
  <c r="AC2865" i="1"/>
  <c r="AD2865" i="1"/>
  <c r="AE2865" i="1"/>
  <c r="AF2865" i="1"/>
  <c r="AG2865" i="1"/>
  <c r="AH2865" i="1"/>
  <c r="AI2865" i="1"/>
  <c r="AJ2865" i="1"/>
  <c r="AK2865" i="1"/>
  <c r="AL2865" i="1"/>
  <c r="AM2865" i="1"/>
  <c r="A2866" i="1"/>
  <c r="B2866" i="1"/>
  <c r="C2866" i="1"/>
  <c r="D2866" i="1"/>
  <c r="E2866" i="1"/>
  <c r="F2866" i="1"/>
  <c r="G2866" i="1"/>
  <c r="H2866" i="1"/>
  <c r="I2866" i="1"/>
  <c r="J2866" i="1"/>
  <c r="K2866" i="1"/>
  <c r="L2866" i="1"/>
  <c r="M2866" i="1"/>
  <c r="N2866" i="1"/>
  <c r="O2866" i="1"/>
  <c r="P2866" i="1"/>
  <c r="Q2866" i="1"/>
  <c r="R2866" i="1"/>
  <c r="S2866" i="1"/>
  <c r="T2866" i="1"/>
  <c r="U2866" i="1"/>
  <c r="V2866" i="1"/>
  <c r="W2866" i="1"/>
  <c r="X2866" i="1"/>
  <c r="Y2866" i="1"/>
  <c r="Z2866" i="1"/>
  <c r="AA2866" i="1"/>
  <c r="AB2866" i="1"/>
  <c r="AC2866" i="1"/>
  <c r="AD2866" i="1"/>
  <c r="AE2866" i="1"/>
  <c r="AF2866" i="1"/>
  <c r="AG2866" i="1"/>
  <c r="AH2866" i="1"/>
  <c r="AI2866" i="1"/>
  <c r="AJ2866" i="1"/>
  <c r="AK2866" i="1"/>
  <c r="AL2866" i="1"/>
  <c r="AM2866" i="1"/>
  <c r="A2867" i="1"/>
  <c r="B2867" i="1"/>
  <c r="C2867" i="1"/>
  <c r="D2867" i="1"/>
  <c r="E2867" i="1"/>
  <c r="F2867" i="1"/>
  <c r="G2867" i="1"/>
  <c r="H2867" i="1"/>
  <c r="I2867" i="1"/>
  <c r="J2867" i="1"/>
  <c r="K2867" i="1"/>
  <c r="L2867" i="1"/>
  <c r="M2867" i="1"/>
  <c r="N2867" i="1"/>
  <c r="O2867" i="1"/>
  <c r="P2867" i="1"/>
  <c r="Q2867" i="1"/>
  <c r="R2867" i="1"/>
  <c r="S2867" i="1"/>
  <c r="T2867" i="1"/>
  <c r="U2867" i="1"/>
  <c r="V2867" i="1"/>
  <c r="W2867" i="1"/>
  <c r="X2867" i="1"/>
  <c r="Y2867" i="1"/>
  <c r="Z2867" i="1"/>
  <c r="AA2867" i="1"/>
  <c r="AB2867" i="1"/>
  <c r="AC2867" i="1"/>
  <c r="AD2867" i="1"/>
  <c r="AE2867" i="1"/>
  <c r="AF2867" i="1"/>
  <c r="AG2867" i="1"/>
  <c r="AH2867" i="1"/>
  <c r="AI2867" i="1"/>
  <c r="AJ2867" i="1"/>
  <c r="AK2867" i="1"/>
  <c r="AL2867" i="1"/>
  <c r="AM2867" i="1"/>
  <c r="A2868" i="1"/>
  <c r="B2868" i="1"/>
  <c r="C2868" i="1"/>
  <c r="D2868" i="1"/>
  <c r="E2868" i="1"/>
  <c r="F2868" i="1"/>
  <c r="G2868" i="1"/>
  <c r="H2868" i="1"/>
  <c r="I2868" i="1"/>
  <c r="J2868" i="1"/>
  <c r="K2868" i="1"/>
  <c r="L2868" i="1"/>
  <c r="M2868" i="1"/>
  <c r="N2868" i="1"/>
  <c r="O2868" i="1"/>
  <c r="P2868" i="1"/>
  <c r="Q2868" i="1"/>
  <c r="R2868" i="1"/>
  <c r="S2868" i="1"/>
  <c r="T2868" i="1"/>
  <c r="U2868" i="1"/>
  <c r="V2868" i="1"/>
  <c r="W2868" i="1"/>
  <c r="X2868" i="1"/>
  <c r="Y2868" i="1"/>
  <c r="Z2868" i="1"/>
  <c r="AA2868" i="1"/>
  <c r="AB2868" i="1"/>
  <c r="AC2868" i="1"/>
  <c r="AD2868" i="1"/>
  <c r="AE2868" i="1"/>
  <c r="AF2868" i="1"/>
  <c r="AG2868" i="1"/>
  <c r="AH2868" i="1"/>
  <c r="AI2868" i="1"/>
  <c r="AJ2868" i="1"/>
  <c r="AK2868" i="1"/>
  <c r="AL2868" i="1"/>
  <c r="AM2868" i="1"/>
  <c r="A2869" i="1"/>
  <c r="B2869" i="1"/>
  <c r="C2869" i="1"/>
  <c r="D2869" i="1"/>
  <c r="E2869" i="1"/>
  <c r="F2869" i="1"/>
  <c r="G2869" i="1"/>
  <c r="H2869" i="1"/>
  <c r="I2869" i="1"/>
  <c r="J2869" i="1"/>
  <c r="K2869" i="1"/>
  <c r="L2869" i="1"/>
  <c r="M2869" i="1"/>
  <c r="N2869" i="1"/>
  <c r="O2869" i="1"/>
  <c r="P2869" i="1"/>
  <c r="Q2869" i="1"/>
  <c r="R2869" i="1"/>
  <c r="S2869" i="1"/>
  <c r="T2869" i="1"/>
  <c r="U2869" i="1"/>
  <c r="V2869" i="1"/>
  <c r="W2869" i="1"/>
  <c r="X2869" i="1"/>
  <c r="Y2869" i="1"/>
  <c r="Z2869" i="1"/>
  <c r="AA2869" i="1"/>
  <c r="AB2869" i="1"/>
  <c r="AC2869" i="1"/>
  <c r="AD2869" i="1"/>
  <c r="AE2869" i="1"/>
  <c r="AF2869" i="1"/>
  <c r="AG2869" i="1"/>
  <c r="AH2869" i="1"/>
  <c r="AI2869" i="1"/>
  <c r="AJ2869" i="1"/>
  <c r="AK2869" i="1"/>
  <c r="AL2869" i="1"/>
  <c r="AM2869" i="1"/>
  <c r="A2870" i="1"/>
  <c r="B2870" i="1"/>
  <c r="C2870" i="1"/>
  <c r="D2870" i="1"/>
  <c r="E2870" i="1"/>
  <c r="F2870" i="1"/>
  <c r="G2870" i="1"/>
  <c r="H2870" i="1"/>
  <c r="I2870" i="1"/>
  <c r="J2870" i="1"/>
  <c r="K2870" i="1"/>
  <c r="L2870" i="1"/>
  <c r="M2870" i="1"/>
  <c r="N2870" i="1"/>
  <c r="O2870" i="1"/>
  <c r="P2870" i="1"/>
  <c r="Q2870" i="1"/>
  <c r="R2870" i="1"/>
  <c r="S2870" i="1"/>
  <c r="T2870" i="1"/>
  <c r="U2870" i="1"/>
  <c r="V2870" i="1"/>
  <c r="W2870" i="1"/>
  <c r="X2870" i="1"/>
  <c r="Y2870" i="1"/>
  <c r="Z2870" i="1"/>
  <c r="AA2870" i="1"/>
  <c r="AB2870" i="1"/>
  <c r="AC2870" i="1"/>
  <c r="AD2870" i="1"/>
  <c r="AE2870" i="1"/>
  <c r="AF2870" i="1"/>
  <c r="AG2870" i="1"/>
  <c r="AH2870" i="1"/>
  <c r="AI2870" i="1"/>
  <c r="AJ2870" i="1"/>
  <c r="AK2870" i="1"/>
  <c r="AL2870" i="1"/>
  <c r="AM2870" i="1"/>
  <c r="A2871" i="1"/>
  <c r="B2871" i="1"/>
  <c r="C2871" i="1"/>
  <c r="D2871" i="1"/>
  <c r="E2871" i="1"/>
  <c r="F2871" i="1"/>
  <c r="G2871" i="1"/>
  <c r="H2871" i="1"/>
  <c r="I2871" i="1"/>
  <c r="J2871" i="1"/>
  <c r="K2871" i="1"/>
  <c r="L2871" i="1"/>
  <c r="M2871" i="1"/>
  <c r="N2871" i="1"/>
  <c r="O2871" i="1"/>
  <c r="P2871" i="1"/>
  <c r="Q2871" i="1"/>
  <c r="R2871" i="1"/>
  <c r="S2871" i="1"/>
  <c r="T2871" i="1"/>
  <c r="U2871" i="1"/>
  <c r="V2871" i="1"/>
  <c r="W2871" i="1"/>
  <c r="X2871" i="1"/>
  <c r="Y2871" i="1"/>
  <c r="Z2871" i="1"/>
  <c r="AA2871" i="1"/>
  <c r="AB2871" i="1"/>
  <c r="AC2871" i="1"/>
  <c r="AD2871" i="1"/>
  <c r="AE2871" i="1"/>
  <c r="AF2871" i="1"/>
  <c r="AG2871" i="1"/>
  <c r="AH2871" i="1"/>
  <c r="AI2871" i="1"/>
  <c r="AJ2871" i="1"/>
  <c r="AK2871" i="1"/>
  <c r="AL2871" i="1"/>
  <c r="AM2871" i="1"/>
  <c r="A2872" i="1"/>
  <c r="B2872" i="1"/>
  <c r="C2872" i="1"/>
  <c r="D2872" i="1"/>
  <c r="E2872" i="1"/>
  <c r="F2872" i="1"/>
  <c r="G2872" i="1"/>
  <c r="H2872" i="1"/>
  <c r="I2872" i="1"/>
  <c r="J2872" i="1"/>
  <c r="K2872" i="1"/>
  <c r="L2872" i="1"/>
  <c r="M2872" i="1"/>
  <c r="N2872" i="1"/>
  <c r="O2872" i="1"/>
  <c r="P2872" i="1"/>
  <c r="Q2872" i="1"/>
  <c r="R2872" i="1"/>
  <c r="S2872" i="1"/>
  <c r="T2872" i="1"/>
  <c r="U2872" i="1"/>
  <c r="V2872" i="1"/>
  <c r="W2872" i="1"/>
  <c r="X2872" i="1"/>
  <c r="Y2872" i="1"/>
  <c r="Z2872" i="1"/>
  <c r="AA2872" i="1"/>
  <c r="AB2872" i="1"/>
  <c r="AC2872" i="1"/>
  <c r="AD2872" i="1"/>
  <c r="AE2872" i="1"/>
  <c r="AF2872" i="1"/>
  <c r="AG2872" i="1"/>
  <c r="AH2872" i="1"/>
  <c r="AI2872" i="1"/>
  <c r="AJ2872" i="1"/>
  <c r="AK2872" i="1"/>
  <c r="AL2872" i="1"/>
  <c r="AM2872" i="1"/>
  <c r="A2873" i="1"/>
  <c r="B2873" i="1"/>
  <c r="C2873" i="1"/>
  <c r="D2873" i="1"/>
  <c r="E2873" i="1"/>
  <c r="F2873" i="1"/>
  <c r="G2873" i="1"/>
  <c r="H2873" i="1"/>
  <c r="I2873" i="1"/>
  <c r="J2873" i="1"/>
  <c r="K2873" i="1"/>
  <c r="L2873" i="1"/>
  <c r="M2873" i="1"/>
  <c r="N2873" i="1"/>
  <c r="O2873" i="1"/>
  <c r="P2873" i="1"/>
  <c r="Q2873" i="1"/>
  <c r="R2873" i="1"/>
  <c r="S2873" i="1"/>
  <c r="T2873" i="1"/>
  <c r="U2873" i="1"/>
  <c r="V2873" i="1"/>
  <c r="W2873" i="1"/>
  <c r="X2873" i="1"/>
  <c r="Y2873" i="1"/>
  <c r="Z2873" i="1"/>
  <c r="AA2873" i="1"/>
  <c r="AB2873" i="1"/>
  <c r="AC2873" i="1"/>
  <c r="AD2873" i="1"/>
  <c r="AE2873" i="1"/>
  <c r="AF2873" i="1"/>
  <c r="AG2873" i="1"/>
  <c r="AH2873" i="1"/>
  <c r="AI2873" i="1"/>
  <c r="AJ2873" i="1"/>
  <c r="AK2873" i="1"/>
  <c r="AL2873" i="1"/>
  <c r="AM2873" i="1"/>
  <c r="A2874" i="1"/>
  <c r="B2874" i="1"/>
  <c r="C2874" i="1"/>
  <c r="D2874" i="1"/>
  <c r="E2874" i="1"/>
  <c r="F2874" i="1"/>
  <c r="G2874" i="1"/>
  <c r="H2874" i="1"/>
  <c r="I2874" i="1"/>
  <c r="J2874" i="1"/>
  <c r="K2874" i="1"/>
  <c r="L2874" i="1"/>
  <c r="M2874" i="1"/>
  <c r="N2874" i="1"/>
  <c r="O2874" i="1"/>
  <c r="P2874" i="1"/>
  <c r="Q2874" i="1"/>
  <c r="R2874" i="1"/>
  <c r="S2874" i="1"/>
  <c r="T2874" i="1"/>
  <c r="U2874" i="1"/>
  <c r="V2874" i="1"/>
  <c r="W2874" i="1"/>
  <c r="X2874" i="1"/>
  <c r="Y2874" i="1"/>
  <c r="Z2874" i="1"/>
  <c r="AA2874" i="1"/>
  <c r="AB2874" i="1"/>
  <c r="AC2874" i="1"/>
  <c r="AD2874" i="1"/>
  <c r="AE2874" i="1"/>
  <c r="AF2874" i="1"/>
  <c r="AG2874" i="1"/>
  <c r="AH2874" i="1"/>
  <c r="AI2874" i="1"/>
  <c r="AJ2874" i="1"/>
  <c r="AK2874" i="1"/>
  <c r="AL2874" i="1"/>
  <c r="AM2874" i="1"/>
  <c r="A2875" i="1"/>
  <c r="B2875" i="1"/>
  <c r="C2875" i="1"/>
  <c r="D2875" i="1"/>
  <c r="E2875" i="1"/>
  <c r="F2875" i="1"/>
  <c r="G2875" i="1"/>
  <c r="H2875" i="1"/>
  <c r="I2875" i="1"/>
  <c r="J2875" i="1"/>
  <c r="K2875" i="1"/>
  <c r="L2875" i="1"/>
  <c r="M2875" i="1"/>
  <c r="N2875" i="1"/>
  <c r="O2875" i="1"/>
  <c r="P2875" i="1"/>
  <c r="Q2875" i="1"/>
  <c r="R2875" i="1"/>
  <c r="S2875" i="1"/>
  <c r="T2875" i="1"/>
  <c r="U2875" i="1"/>
  <c r="V2875" i="1"/>
  <c r="W2875" i="1"/>
  <c r="X2875" i="1"/>
  <c r="Y2875" i="1"/>
  <c r="Z2875" i="1"/>
  <c r="AA2875" i="1"/>
  <c r="AB2875" i="1"/>
  <c r="AC2875" i="1"/>
  <c r="AD2875" i="1"/>
  <c r="AE2875" i="1"/>
  <c r="AF2875" i="1"/>
  <c r="AG2875" i="1"/>
  <c r="AH2875" i="1"/>
  <c r="AI2875" i="1"/>
  <c r="AJ2875" i="1"/>
  <c r="AK2875" i="1"/>
  <c r="AL2875" i="1"/>
  <c r="AM2875" i="1"/>
  <c r="A2876" i="1"/>
  <c r="B2876" i="1"/>
  <c r="C2876" i="1"/>
  <c r="D2876" i="1"/>
  <c r="E2876" i="1"/>
  <c r="F2876" i="1"/>
  <c r="G2876" i="1"/>
  <c r="H2876" i="1"/>
  <c r="I2876" i="1"/>
  <c r="J2876" i="1"/>
  <c r="K2876" i="1"/>
  <c r="L2876" i="1"/>
  <c r="M2876" i="1"/>
  <c r="N2876" i="1"/>
  <c r="O2876" i="1"/>
  <c r="P2876" i="1"/>
  <c r="Q2876" i="1"/>
  <c r="R2876" i="1"/>
  <c r="S2876" i="1"/>
  <c r="T2876" i="1"/>
  <c r="U2876" i="1"/>
  <c r="V2876" i="1"/>
  <c r="W2876" i="1"/>
  <c r="X2876" i="1"/>
  <c r="Y2876" i="1"/>
  <c r="Z2876" i="1"/>
  <c r="AA2876" i="1"/>
  <c r="AB2876" i="1"/>
  <c r="AC2876" i="1"/>
  <c r="AD2876" i="1"/>
  <c r="AE2876" i="1"/>
  <c r="AF2876" i="1"/>
  <c r="AG2876" i="1"/>
  <c r="AH2876" i="1"/>
  <c r="AI2876" i="1"/>
  <c r="AJ2876" i="1"/>
  <c r="AK2876" i="1"/>
  <c r="AL2876" i="1"/>
  <c r="AM2876" i="1"/>
  <c r="A2877" i="1"/>
  <c r="B2877" i="1"/>
  <c r="C2877" i="1"/>
  <c r="D2877" i="1"/>
  <c r="E2877" i="1"/>
  <c r="F2877" i="1"/>
  <c r="G2877" i="1"/>
  <c r="H2877" i="1"/>
  <c r="I2877" i="1"/>
  <c r="J2877" i="1"/>
  <c r="K2877" i="1"/>
  <c r="L2877" i="1"/>
  <c r="M2877" i="1"/>
  <c r="N2877" i="1"/>
  <c r="O2877" i="1"/>
  <c r="P2877" i="1"/>
  <c r="Q2877" i="1"/>
  <c r="R2877" i="1"/>
  <c r="S2877" i="1"/>
  <c r="T2877" i="1"/>
  <c r="U2877" i="1"/>
  <c r="V2877" i="1"/>
  <c r="W2877" i="1"/>
  <c r="X2877" i="1"/>
  <c r="Y2877" i="1"/>
  <c r="Z2877" i="1"/>
  <c r="AA2877" i="1"/>
  <c r="AB2877" i="1"/>
  <c r="AC2877" i="1"/>
  <c r="AD2877" i="1"/>
  <c r="AE2877" i="1"/>
  <c r="AF2877" i="1"/>
  <c r="AG2877" i="1"/>
  <c r="AH2877" i="1"/>
  <c r="AI2877" i="1"/>
  <c r="AJ2877" i="1"/>
  <c r="AK2877" i="1"/>
  <c r="AL2877" i="1"/>
  <c r="AM2877" i="1"/>
  <c r="A2878" i="1"/>
  <c r="B2878" i="1"/>
  <c r="C2878" i="1"/>
  <c r="D2878" i="1"/>
  <c r="E2878" i="1"/>
  <c r="F2878" i="1"/>
  <c r="G2878" i="1"/>
  <c r="H2878" i="1"/>
  <c r="I2878" i="1"/>
  <c r="J2878" i="1"/>
  <c r="K2878" i="1"/>
  <c r="L2878" i="1"/>
  <c r="M2878" i="1"/>
  <c r="N2878" i="1"/>
  <c r="O2878" i="1"/>
  <c r="P2878" i="1"/>
  <c r="Q2878" i="1"/>
  <c r="R2878" i="1"/>
  <c r="S2878" i="1"/>
  <c r="T2878" i="1"/>
  <c r="U2878" i="1"/>
  <c r="V2878" i="1"/>
  <c r="W2878" i="1"/>
  <c r="X2878" i="1"/>
  <c r="Y2878" i="1"/>
  <c r="Z2878" i="1"/>
  <c r="AA2878" i="1"/>
  <c r="AB2878" i="1"/>
  <c r="AC2878" i="1"/>
  <c r="AD2878" i="1"/>
  <c r="AE2878" i="1"/>
  <c r="AF2878" i="1"/>
  <c r="AG2878" i="1"/>
  <c r="AH2878" i="1"/>
  <c r="AI2878" i="1"/>
  <c r="AJ2878" i="1"/>
  <c r="AK2878" i="1"/>
  <c r="AL2878" i="1"/>
  <c r="AM2878" i="1"/>
  <c r="A2879" i="1"/>
  <c r="B2879" i="1"/>
  <c r="C2879" i="1"/>
  <c r="D2879" i="1"/>
  <c r="E2879" i="1"/>
  <c r="F2879" i="1"/>
  <c r="G2879" i="1"/>
  <c r="H2879" i="1"/>
  <c r="I2879" i="1"/>
  <c r="J2879" i="1"/>
  <c r="K2879" i="1"/>
  <c r="L2879" i="1"/>
  <c r="M2879" i="1"/>
  <c r="N2879" i="1"/>
  <c r="O2879" i="1"/>
  <c r="P2879" i="1"/>
  <c r="Q2879" i="1"/>
  <c r="R2879" i="1"/>
  <c r="S2879" i="1"/>
  <c r="T2879" i="1"/>
  <c r="U2879" i="1"/>
  <c r="V2879" i="1"/>
  <c r="W2879" i="1"/>
  <c r="X2879" i="1"/>
  <c r="Y2879" i="1"/>
  <c r="Z2879" i="1"/>
  <c r="AA2879" i="1"/>
  <c r="AB2879" i="1"/>
  <c r="AC2879" i="1"/>
  <c r="AD2879" i="1"/>
  <c r="AE2879" i="1"/>
  <c r="AF2879" i="1"/>
  <c r="AG2879" i="1"/>
  <c r="AH2879" i="1"/>
  <c r="AI2879" i="1"/>
  <c r="AJ2879" i="1"/>
  <c r="AK2879" i="1"/>
  <c r="AL2879" i="1"/>
  <c r="AM2879" i="1"/>
  <c r="A2880" i="1"/>
  <c r="B2880" i="1"/>
  <c r="C2880" i="1"/>
  <c r="D2880" i="1"/>
  <c r="E2880" i="1"/>
  <c r="F2880" i="1"/>
  <c r="G2880" i="1"/>
  <c r="H2880" i="1"/>
  <c r="I2880" i="1"/>
  <c r="J2880" i="1"/>
  <c r="K2880" i="1"/>
  <c r="L2880" i="1"/>
  <c r="M2880" i="1"/>
  <c r="N2880" i="1"/>
  <c r="O2880" i="1"/>
  <c r="P2880" i="1"/>
  <c r="Q2880" i="1"/>
  <c r="R2880" i="1"/>
  <c r="S2880" i="1"/>
  <c r="T2880" i="1"/>
  <c r="U2880" i="1"/>
  <c r="V2880" i="1"/>
  <c r="W2880" i="1"/>
  <c r="X2880" i="1"/>
  <c r="Y2880" i="1"/>
  <c r="Z2880" i="1"/>
  <c r="AA2880" i="1"/>
  <c r="AB2880" i="1"/>
  <c r="AC2880" i="1"/>
  <c r="AD2880" i="1"/>
  <c r="AE2880" i="1"/>
  <c r="AF2880" i="1"/>
  <c r="AG2880" i="1"/>
  <c r="AH2880" i="1"/>
  <c r="AI2880" i="1"/>
  <c r="AJ2880" i="1"/>
  <c r="AK2880" i="1"/>
  <c r="AL2880" i="1"/>
  <c r="AM2880" i="1"/>
  <c r="A2881" i="1"/>
  <c r="B2881" i="1"/>
  <c r="C2881" i="1"/>
  <c r="D2881" i="1"/>
  <c r="E2881" i="1"/>
  <c r="F2881" i="1"/>
  <c r="G2881" i="1"/>
  <c r="H2881" i="1"/>
  <c r="I2881" i="1"/>
  <c r="J2881" i="1"/>
  <c r="K2881" i="1"/>
  <c r="L2881" i="1"/>
  <c r="M2881" i="1"/>
  <c r="N2881" i="1"/>
  <c r="O2881" i="1"/>
  <c r="P2881" i="1"/>
  <c r="Q2881" i="1"/>
  <c r="R2881" i="1"/>
  <c r="S2881" i="1"/>
  <c r="T2881" i="1"/>
  <c r="U2881" i="1"/>
  <c r="V2881" i="1"/>
  <c r="W2881" i="1"/>
  <c r="X2881" i="1"/>
  <c r="Y2881" i="1"/>
  <c r="Z2881" i="1"/>
  <c r="AA2881" i="1"/>
  <c r="AB2881" i="1"/>
  <c r="AC2881" i="1"/>
  <c r="AD2881" i="1"/>
  <c r="AE2881" i="1"/>
  <c r="AF2881" i="1"/>
  <c r="AG2881" i="1"/>
  <c r="AH2881" i="1"/>
  <c r="AI2881" i="1"/>
  <c r="AJ2881" i="1"/>
  <c r="AK2881" i="1"/>
  <c r="AL2881" i="1"/>
  <c r="AM2881" i="1"/>
  <c r="A2882" i="1"/>
  <c r="B2882" i="1"/>
  <c r="C2882" i="1"/>
  <c r="D2882" i="1"/>
  <c r="E2882" i="1"/>
  <c r="F2882" i="1"/>
  <c r="G2882" i="1"/>
  <c r="H2882" i="1"/>
  <c r="I2882" i="1"/>
  <c r="J2882" i="1"/>
  <c r="K2882" i="1"/>
  <c r="L2882" i="1"/>
  <c r="M2882" i="1"/>
  <c r="N2882" i="1"/>
  <c r="O2882" i="1"/>
  <c r="P2882" i="1"/>
  <c r="Q2882" i="1"/>
  <c r="R2882" i="1"/>
  <c r="S2882" i="1"/>
  <c r="T2882" i="1"/>
  <c r="U2882" i="1"/>
  <c r="V2882" i="1"/>
  <c r="W2882" i="1"/>
  <c r="X2882" i="1"/>
  <c r="Y2882" i="1"/>
  <c r="Z2882" i="1"/>
  <c r="AA2882" i="1"/>
  <c r="AB2882" i="1"/>
  <c r="AC2882" i="1"/>
  <c r="AD2882" i="1"/>
  <c r="AE2882" i="1"/>
  <c r="AF2882" i="1"/>
  <c r="AG2882" i="1"/>
  <c r="AH2882" i="1"/>
  <c r="AI2882" i="1"/>
  <c r="AJ2882" i="1"/>
  <c r="AK2882" i="1"/>
  <c r="AL2882" i="1"/>
  <c r="AM2882" i="1"/>
  <c r="A2883" i="1"/>
  <c r="B2883" i="1"/>
  <c r="C2883" i="1"/>
  <c r="D2883" i="1"/>
  <c r="E2883" i="1"/>
  <c r="F2883" i="1"/>
  <c r="G2883" i="1"/>
  <c r="H2883" i="1"/>
  <c r="I2883" i="1"/>
  <c r="J2883" i="1"/>
  <c r="K2883" i="1"/>
  <c r="L2883" i="1"/>
  <c r="M2883" i="1"/>
  <c r="N2883" i="1"/>
  <c r="O2883" i="1"/>
  <c r="P2883" i="1"/>
  <c r="Q2883" i="1"/>
  <c r="R2883" i="1"/>
  <c r="S2883" i="1"/>
  <c r="T2883" i="1"/>
  <c r="U2883" i="1"/>
  <c r="V2883" i="1"/>
  <c r="W2883" i="1"/>
  <c r="X2883" i="1"/>
  <c r="Y2883" i="1"/>
  <c r="Z2883" i="1"/>
  <c r="AA2883" i="1"/>
  <c r="AB2883" i="1"/>
  <c r="AC2883" i="1"/>
  <c r="AD2883" i="1"/>
  <c r="AE2883" i="1"/>
  <c r="AF2883" i="1"/>
  <c r="AG2883" i="1"/>
  <c r="AH2883" i="1"/>
  <c r="AI2883" i="1"/>
  <c r="AJ2883" i="1"/>
  <c r="AK2883" i="1"/>
  <c r="AL2883" i="1"/>
  <c r="AM2883" i="1"/>
  <c r="A2884" i="1"/>
  <c r="B2884" i="1"/>
  <c r="C2884" i="1"/>
  <c r="D2884" i="1"/>
  <c r="E2884" i="1"/>
  <c r="F2884" i="1"/>
  <c r="G2884" i="1"/>
  <c r="H2884" i="1"/>
  <c r="I2884" i="1"/>
  <c r="J2884" i="1"/>
  <c r="K2884" i="1"/>
  <c r="L2884" i="1"/>
  <c r="M2884" i="1"/>
  <c r="N2884" i="1"/>
  <c r="O2884" i="1"/>
  <c r="P2884" i="1"/>
  <c r="Q2884" i="1"/>
  <c r="R2884" i="1"/>
  <c r="S2884" i="1"/>
  <c r="T2884" i="1"/>
  <c r="U2884" i="1"/>
  <c r="V2884" i="1"/>
  <c r="W2884" i="1"/>
  <c r="X2884" i="1"/>
  <c r="Y2884" i="1"/>
  <c r="Z2884" i="1"/>
  <c r="AA2884" i="1"/>
  <c r="AB2884" i="1"/>
  <c r="AC2884" i="1"/>
  <c r="AD2884" i="1"/>
  <c r="AE2884" i="1"/>
  <c r="AF2884" i="1"/>
  <c r="AG2884" i="1"/>
  <c r="AH2884" i="1"/>
  <c r="AI2884" i="1"/>
  <c r="AJ2884" i="1"/>
  <c r="AK2884" i="1"/>
  <c r="AL2884" i="1"/>
  <c r="AM2884" i="1"/>
  <c r="A2885" i="1"/>
  <c r="B2885" i="1"/>
  <c r="C2885" i="1"/>
  <c r="D2885" i="1"/>
  <c r="E2885" i="1"/>
  <c r="F2885" i="1"/>
  <c r="G2885" i="1"/>
  <c r="H2885" i="1"/>
  <c r="I2885" i="1"/>
  <c r="J2885" i="1"/>
  <c r="K2885" i="1"/>
  <c r="L2885" i="1"/>
  <c r="M2885" i="1"/>
  <c r="N2885" i="1"/>
  <c r="O2885" i="1"/>
  <c r="P2885" i="1"/>
  <c r="Q2885" i="1"/>
  <c r="R2885" i="1"/>
  <c r="S2885" i="1"/>
  <c r="T2885" i="1"/>
  <c r="U2885" i="1"/>
  <c r="V2885" i="1"/>
  <c r="W2885" i="1"/>
  <c r="X2885" i="1"/>
  <c r="Y2885" i="1"/>
  <c r="Z2885" i="1"/>
  <c r="AA2885" i="1"/>
  <c r="AB2885" i="1"/>
  <c r="AC2885" i="1"/>
  <c r="AD2885" i="1"/>
  <c r="AE2885" i="1"/>
  <c r="AF2885" i="1"/>
  <c r="AG2885" i="1"/>
  <c r="AH2885" i="1"/>
  <c r="AI2885" i="1"/>
  <c r="AJ2885" i="1"/>
  <c r="AK2885" i="1"/>
  <c r="AL2885" i="1"/>
  <c r="AM2885" i="1"/>
  <c r="A2886" i="1"/>
  <c r="B2886" i="1"/>
  <c r="C2886" i="1"/>
  <c r="D2886" i="1"/>
  <c r="E2886" i="1"/>
  <c r="F2886" i="1"/>
  <c r="G2886" i="1"/>
  <c r="H2886" i="1"/>
  <c r="I2886" i="1"/>
  <c r="J2886" i="1"/>
  <c r="K2886" i="1"/>
  <c r="L2886" i="1"/>
  <c r="M2886" i="1"/>
  <c r="N2886" i="1"/>
  <c r="O2886" i="1"/>
  <c r="P2886" i="1"/>
  <c r="Q2886" i="1"/>
  <c r="R2886" i="1"/>
  <c r="S2886" i="1"/>
  <c r="T2886" i="1"/>
  <c r="U2886" i="1"/>
  <c r="V2886" i="1"/>
  <c r="W2886" i="1"/>
  <c r="X2886" i="1"/>
  <c r="Y2886" i="1"/>
  <c r="Z2886" i="1"/>
  <c r="AA2886" i="1"/>
  <c r="AB2886" i="1"/>
  <c r="AC2886" i="1"/>
  <c r="AD2886" i="1"/>
  <c r="AE2886" i="1"/>
  <c r="AF2886" i="1"/>
  <c r="AG2886" i="1"/>
  <c r="AH2886" i="1"/>
  <c r="AI2886" i="1"/>
  <c r="AJ2886" i="1"/>
  <c r="AK2886" i="1"/>
  <c r="AL2886" i="1"/>
  <c r="AM2886" i="1"/>
  <c r="A2887" i="1"/>
  <c r="B2887" i="1"/>
  <c r="C2887" i="1"/>
  <c r="D2887" i="1"/>
  <c r="E2887" i="1"/>
  <c r="F2887" i="1"/>
  <c r="G2887" i="1"/>
  <c r="H2887" i="1"/>
  <c r="I2887" i="1"/>
  <c r="J2887" i="1"/>
  <c r="K2887" i="1"/>
  <c r="L2887" i="1"/>
  <c r="M2887" i="1"/>
  <c r="N2887" i="1"/>
  <c r="O2887" i="1"/>
  <c r="P2887" i="1"/>
  <c r="Q2887" i="1"/>
  <c r="R2887" i="1"/>
  <c r="S2887" i="1"/>
  <c r="T2887" i="1"/>
  <c r="U2887" i="1"/>
  <c r="V2887" i="1"/>
  <c r="W2887" i="1"/>
  <c r="X2887" i="1"/>
  <c r="Y2887" i="1"/>
  <c r="Z2887" i="1"/>
  <c r="AA2887" i="1"/>
  <c r="AB2887" i="1"/>
  <c r="AC2887" i="1"/>
  <c r="AD2887" i="1"/>
  <c r="AE2887" i="1"/>
  <c r="AF2887" i="1"/>
  <c r="AG2887" i="1"/>
  <c r="AH2887" i="1"/>
  <c r="AI2887" i="1"/>
  <c r="AJ2887" i="1"/>
  <c r="AK2887" i="1"/>
  <c r="AL2887" i="1"/>
  <c r="AM2887" i="1"/>
  <c r="A2888" i="1"/>
  <c r="B2888" i="1"/>
  <c r="C2888" i="1"/>
  <c r="D2888" i="1"/>
  <c r="E2888" i="1"/>
  <c r="F2888" i="1"/>
  <c r="G2888" i="1"/>
  <c r="H2888" i="1"/>
  <c r="I2888" i="1"/>
  <c r="J2888" i="1"/>
  <c r="K2888" i="1"/>
  <c r="L2888" i="1"/>
  <c r="M2888" i="1"/>
  <c r="N2888" i="1"/>
  <c r="O2888" i="1"/>
  <c r="P2888" i="1"/>
  <c r="Q2888" i="1"/>
  <c r="R2888" i="1"/>
  <c r="S2888" i="1"/>
  <c r="T2888" i="1"/>
  <c r="U2888" i="1"/>
  <c r="V2888" i="1"/>
  <c r="W2888" i="1"/>
  <c r="X2888" i="1"/>
  <c r="Y2888" i="1"/>
  <c r="Z2888" i="1"/>
  <c r="AA2888" i="1"/>
  <c r="AB2888" i="1"/>
  <c r="AC2888" i="1"/>
  <c r="AD2888" i="1"/>
  <c r="AE2888" i="1"/>
  <c r="AF2888" i="1"/>
  <c r="AG2888" i="1"/>
  <c r="AH2888" i="1"/>
  <c r="AI2888" i="1"/>
  <c r="AJ2888" i="1"/>
  <c r="AK2888" i="1"/>
  <c r="AL2888" i="1"/>
  <c r="AM2888" i="1"/>
  <c r="A2889" i="1"/>
  <c r="B2889" i="1"/>
  <c r="C2889" i="1"/>
  <c r="D2889" i="1"/>
  <c r="E2889" i="1"/>
  <c r="F2889" i="1"/>
  <c r="G2889" i="1"/>
  <c r="H2889" i="1"/>
  <c r="I2889" i="1"/>
  <c r="J2889" i="1"/>
  <c r="K2889" i="1"/>
  <c r="L2889" i="1"/>
  <c r="M2889" i="1"/>
  <c r="N2889" i="1"/>
  <c r="O2889" i="1"/>
  <c r="P2889" i="1"/>
  <c r="Q2889" i="1"/>
  <c r="R2889" i="1"/>
  <c r="S2889" i="1"/>
  <c r="T2889" i="1"/>
  <c r="U2889" i="1"/>
  <c r="V2889" i="1"/>
  <c r="W2889" i="1"/>
  <c r="X2889" i="1"/>
  <c r="Y2889" i="1"/>
  <c r="Z2889" i="1"/>
  <c r="AA2889" i="1"/>
  <c r="AB2889" i="1"/>
  <c r="AC2889" i="1"/>
  <c r="AD2889" i="1"/>
  <c r="AE2889" i="1"/>
  <c r="AF2889" i="1"/>
  <c r="AG2889" i="1"/>
  <c r="AH2889" i="1"/>
  <c r="AI2889" i="1"/>
  <c r="AJ2889" i="1"/>
  <c r="AK2889" i="1"/>
  <c r="AL2889" i="1"/>
  <c r="AM2889" i="1"/>
  <c r="A2890" i="1"/>
  <c r="B2890" i="1"/>
  <c r="C2890" i="1"/>
  <c r="D2890" i="1"/>
  <c r="E2890" i="1"/>
  <c r="F2890" i="1"/>
  <c r="G2890" i="1"/>
  <c r="H2890" i="1"/>
  <c r="I2890" i="1"/>
  <c r="J2890" i="1"/>
  <c r="K2890" i="1"/>
  <c r="L2890" i="1"/>
  <c r="M2890" i="1"/>
  <c r="N2890" i="1"/>
  <c r="O2890" i="1"/>
  <c r="P2890" i="1"/>
  <c r="Q2890" i="1"/>
  <c r="R2890" i="1"/>
  <c r="S2890" i="1"/>
  <c r="T2890" i="1"/>
  <c r="U2890" i="1"/>
  <c r="V2890" i="1"/>
  <c r="W2890" i="1"/>
  <c r="X2890" i="1"/>
  <c r="Y2890" i="1"/>
  <c r="Z2890" i="1"/>
  <c r="AA2890" i="1"/>
  <c r="AB2890" i="1"/>
  <c r="AC2890" i="1"/>
  <c r="AD2890" i="1"/>
  <c r="AE2890" i="1"/>
  <c r="AF2890" i="1"/>
  <c r="AG2890" i="1"/>
  <c r="AH2890" i="1"/>
  <c r="AI2890" i="1"/>
  <c r="AJ2890" i="1"/>
  <c r="AK2890" i="1"/>
  <c r="AL2890" i="1"/>
  <c r="AM2890" i="1"/>
  <c r="A2891" i="1"/>
  <c r="B2891" i="1"/>
  <c r="C2891" i="1"/>
  <c r="D2891" i="1"/>
  <c r="E2891" i="1"/>
  <c r="F2891" i="1"/>
  <c r="G2891" i="1"/>
  <c r="H2891" i="1"/>
  <c r="I2891" i="1"/>
  <c r="J2891" i="1"/>
  <c r="K2891" i="1"/>
  <c r="L2891" i="1"/>
  <c r="M2891" i="1"/>
  <c r="N2891" i="1"/>
  <c r="O2891" i="1"/>
  <c r="P2891" i="1"/>
  <c r="Q2891" i="1"/>
  <c r="R2891" i="1"/>
  <c r="S2891" i="1"/>
  <c r="T2891" i="1"/>
  <c r="U2891" i="1"/>
  <c r="V2891" i="1"/>
  <c r="W2891" i="1"/>
  <c r="X2891" i="1"/>
  <c r="Y2891" i="1"/>
  <c r="Z2891" i="1"/>
  <c r="AA2891" i="1"/>
  <c r="AB2891" i="1"/>
  <c r="AC2891" i="1"/>
  <c r="AD2891" i="1"/>
  <c r="AE2891" i="1"/>
  <c r="AF2891" i="1"/>
  <c r="AG2891" i="1"/>
  <c r="AH2891" i="1"/>
  <c r="AI2891" i="1"/>
  <c r="AJ2891" i="1"/>
  <c r="AK2891" i="1"/>
  <c r="AL2891" i="1"/>
  <c r="AM2891" i="1"/>
  <c r="A2892" i="1"/>
  <c r="B2892" i="1"/>
  <c r="C2892" i="1"/>
  <c r="D2892" i="1"/>
  <c r="E2892" i="1"/>
  <c r="F2892" i="1"/>
  <c r="G2892" i="1"/>
  <c r="H2892" i="1"/>
  <c r="I2892" i="1"/>
  <c r="J2892" i="1"/>
  <c r="K2892" i="1"/>
  <c r="L2892" i="1"/>
  <c r="M2892" i="1"/>
  <c r="N2892" i="1"/>
  <c r="O2892" i="1"/>
  <c r="P2892" i="1"/>
  <c r="Q2892" i="1"/>
  <c r="R2892" i="1"/>
  <c r="S2892" i="1"/>
  <c r="T2892" i="1"/>
  <c r="U2892" i="1"/>
  <c r="V2892" i="1"/>
  <c r="W2892" i="1"/>
  <c r="X2892" i="1"/>
  <c r="Y2892" i="1"/>
  <c r="Z2892" i="1"/>
  <c r="AA2892" i="1"/>
  <c r="AB2892" i="1"/>
  <c r="AC2892" i="1"/>
  <c r="AD2892" i="1"/>
  <c r="AE2892" i="1"/>
  <c r="AF2892" i="1"/>
  <c r="AG2892" i="1"/>
  <c r="AH2892" i="1"/>
  <c r="AI2892" i="1"/>
  <c r="AJ2892" i="1"/>
  <c r="AK2892" i="1"/>
  <c r="AL2892" i="1"/>
  <c r="AM2892" i="1"/>
  <c r="A2893" i="1"/>
  <c r="B2893" i="1"/>
  <c r="C2893" i="1"/>
  <c r="D2893" i="1"/>
  <c r="E2893" i="1"/>
  <c r="F2893" i="1"/>
  <c r="G2893" i="1"/>
  <c r="H2893" i="1"/>
  <c r="I2893" i="1"/>
  <c r="J2893" i="1"/>
  <c r="K2893" i="1"/>
  <c r="L2893" i="1"/>
  <c r="M2893" i="1"/>
  <c r="N2893" i="1"/>
  <c r="O2893" i="1"/>
  <c r="P2893" i="1"/>
  <c r="Q2893" i="1"/>
  <c r="R2893" i="1"/>
  <c r="S2893" i="1"/>
  <c r="T2893" i="1"/>
  <c r="U2893" i="1"/>
  <c r="V2893" i="1"/>
  <c r="W2893" i="1"/>
  <c r="X2893" i="1"/>
  <c r="Y2893" i="1"/>
  <c r="Z2893" i="1"/>
  <c r="AA2893" i="1"/>
  <c r="AB2893" i="1"/>
  <c r="AC2893" i="1"/>
  <c r="AD2893" i="1"/>
  <c r="AE2893" i="1"/>
  <c r="AF2893" i="1"/>
  <c r="AG2893" i="1"/>
  <c r="AH2893" i="1"/>
  <c r="AI2893" i="1"/>
  <c r="AJ2893" i="1"/>
  <c r="AK2893" i="1"/>
  <c r="AL2893" i="1"/>
  <c r="AM2893" i="1"/>
  <c r="A2894" i="1"/>
  <c r="B2894" i="1"/>
  <c r="C2894" i="1"/>
  <c r="D2894" i="1"/>
  <c r="E2894" i="1"/>
  <c r="F2894" i="1"/>
  <c r="G2894" i="1"/>
  <c r="H2894" i="1"/>
  <c r="I2894" i="1"/>
  <c r="J2894" i="1"/>
  <c r="K2894" i="1"/>
  <c r="L2894" i="1"/>
  <c r="M2894" i="1"/>
  <c r="N2894" i="1"/>
  <c r="O2894" i="1"/>
  <c r="P2894" i="1"/>
  <c r="Q2894" i="1"/>
  <c r="R2894" i="1"/>
  <c r="S2894" i="1"/>
  <c r="T2894" i="1"/>
  <c r="U2894" i="1"/>
  <c r="V2894" i="1"/>
  <c r="W2894" i="1"/>
  <c r="X2894" i="1"/>
  <c r="Y2894" i="1"/>
  <c r="Z2894" i="1"/>
  <c r="AA2894" i="1"/>
  <c r="AB2894" i="1"/>
  <c r="AC2894" i="1"/>
  <c r="AD2894" i="1"/>
  <c r="AE2894" i="1"/>
  <c r="AF2894" i="1"/>
  <c r="AG2894" i="1"/>
  <c r="AH2894" i="1"/>
  <c r="AI2894" i="1"/>
  <c r="AJ2894" i="1"/>
  <c r="AK2894" i="1"/>
  <c r="AL2894" i="1"/>
  <c r="AM2894" i="1"/>
  <c r="A2895" i="1"/>
  <c r="B2895" i="1"/>
  <c r="C2895" i="1"/>
  <c r="D2895" i="1"/>
  <c r="E2895" i="1"/>
  <c r="F2895" i="1"/>
  <c r="G2895" i="1"/>
  <c r="H2895" i="1"/>
  <c r="I2895" i="1"/>
  <c r="J2895" i="1"/>
  <c r="K2895" i="1"/>
  <c r="L2895" i="1"/>
  <c r="M2895" i="1"/>
  <c r="N2895" i="1"/>
  <c r="O2895" i="1"/>
  <c r="P2895" i="1"/>
  <c r="Q2895" i="1"/>
  <c r="R2895" i="1"/>
  <c r="S2895" i="1"/>
  <c r="T2895" i="1"/>
  <c r="U2895" i="1"/>
  <c r="V2895" i="1"/>
  <c r="W2895" i="1"/>
  <c r="X2895" i="1"/>
  <c r="Y2895" i="1"/>
  <c r="Z2895" i="1"/>
  <c r="AA2895" i="1"/>
  <c r="AB2895" i="1"/>
  <c r="AC2895" i="1"/>
  <c r="AD2895" i="1"/>
  <c r="AE2895" i="1"/>
  <c r="AF2895" i="1"/>
  <c r="AG2895" i="1"/>
  <c r="AH2895" i="1"/>
  <c r="AI2895" i="1"/>
  <c r="AJ2895" i="1"/>
  <c r="AK2895" i="1"/>
  <c r="AL2895" i="1"/>
  <c r="AM2895" i="1"/>
  <c r="A2896" i="1"/>
  <c r="B2896" i="1"/>
  <c r="C2896" i="1"/>
  <c r="D2896" i="1"/>
  <c r="E2896" i="1"/>
  <c r="F2896" i="1"/>
  <c r="G2896" i="1"/>
  <c r="H2896" i="1"/>
  <c r="I2896" i="1"/>
  <c r="J2896" i="1"/>
  <c r="K2896" i="1"/>
  <c r="L2896" i="1"/>
  <c r="M2896" i="1"/>
  <c r="N2896" i="1"/>
  <c r="O2896" i="1"/>
  <c r="P2896" i="1"/>
  <c r="Q2896" i="1"/>
  <c r="R2896" i="1"/>
  <c r="S2896" i="1"/>
  <c r="T2896" i="1"/>
  <c r="U2896" i="1"/>
  <c r="V2896" i="1"/>
  <c r="W2896" i="1"/>
  <c r="X2896" i="1"/>
  <c r="Y2896" i="1"/>
  <c r="Z2896" i="1"/>
  <c r="AA2896" i="1"/>
  <c r="AB2896" i="1"/>
  <c r="AC2896" i="1"/>
  <c r="AD2896" i="1"/>
  <c r="AE2896" i="1"/>
  <c r="AF2896" i="1"/>
  <c r="AG2896" i="1"/>
  <c r="AH2896" i="1"/>
  <c r="AI2896" i="1"/>
  <c r="AJ2896" i="1"/>
  <c r="AK2896" i="1"/>
  <c r="AL2896" i="1"/>
  <c r="AM2896" i="1"/>
  <c r="A2897" i="1"/>
  <c r="B2897" i="1"/>
  <c r="C2897" i="1"/>
  <c r="D2897" i="1"/>
  <c r="E2897" i="1"/>
  <c r="F2897" i="1"/>
  <c r="G2897" i="1"/>
  <c r="H2897" i="1"/>
  <c r="I2897" i="1"/>
  <c r="J2897" i="1"/>
  <c r="K2897" i="1"/>
  <c r="L2897" i="1"/>
  <c r="M2897" i="1"/>
  <c r="N2897" i="1"/>
  <c r="O2897" i="1"/>
  <c r="P2897" i="1"/>
  <c r="Q2897" i="1"/>
  <c r="R2897" i="1"/>
  <c r="S2897" i="1"/>
  <c r="T2897" i="1"/>
  <c r="U2897" i="1"/>
  <c r="V2897" i="1"/>
  <c r="W2897" i="1"/>
  <c r="X2897" i="1"/>
  <c r="Y2897" i="1"/>
  <c r="Z2897" i="1"/>
  <c r="AA2897" i="1"/>
  <c r="AB2897" i="1"/>
  <c r="AC2897" i="1"/>
  <c r="AD2897" i="1"/>
  <c r="AE2897" i="1"/>
  <c r="AF2897" i="1"/>
  <c r="AG2897" i="1"/>
  <c r="AH2897" i="1"/>
  <c r="AI2897" i="1"/>
  <c r="AJ2897" i="1"/>
  <c r="AK2897" i="1"/>
  <c r="AL2897" i="1"/>
  <c r="AM2897" i="1"/>
  <c r="A2898" i="1"/>
  <c r="B2898" i="1"/>
  <c r="C2898" i="1"/>
  <c r="D2898" i="1"/>
  <c r="E2898" i="1"/>
  <c r="F2898" i="1"/>
  <c r="G2898" i="1"/>
  <c r="H2898" i="1"/>
  <c r="I2898" i="1"/>
  <c r="J2898" i="1"/>
  <c r="K2898" i="1"/>
  <c r="L2898" i="1"/>
  <c r="M2898" i="1"/>
  <c r="N2898" i="1"/>
  <c r="O2898" i="1"/>
  <c r="P2898" i="1"/>
  <c r="Q2898" i="1"/>
  <c r="R2898" i="1"/>
  <c r="S2898" i="1"/>
  <c r="T2898" i="1"/>
  <c r="U2898" i="1"/>
  <c r="V2898" i="1"/>
  <c r="W2898" i="1"/>
  <c r="X2898" i="1"/>
  <c r="Y2898" i="1"/>
  <c r="Z2898" i="1"/>
  <c r="AA2898" i="1"/>
  <c r="AB2898" i="1"/>
  <c r="AC2898" i="1"/>
  <c r="AD2898" i="1"/>
  <c r="AE2898" i="1"/>
  <c r="AF2898" i="1"/>
  <c r="AG2898" i="1"/>
  <c r="AH2898" i="1"/>
  <c r="AI2898" i="1"/>
  <c r="AJ2898" i="1"/>
  <c r="AK2898" i="1"/>
  <c r="AL2898" i="1"/>
  <c r="AM2898" i="1"/>
  <c r="A2899" i="1"/>
  <c r="B2899" i="1"/>
  <c r="C2899" i="1"/>
  <c r="D2899" i="1"/>
  <c r="E2899" i="1"/>
  <c r="F2899" i="1"/>
  <c r="G2899" i="1"/>
  <c r="H2899" i="1"/>
  <c r="I2899" i="1"/>
  <c r="J2899" i="1"/>
  <c r="K2899" i="1"/>
  <c r="L2899" i="1"/>
  <c r="M2899" i="1"/>
  <c r="N2899" i="1"/>
  <c r="O2899" i="1"/>
  <c r="P2899" i="1"/>
  <c r="Q2899" i="1"/>
  <c r="R2899" i="1"/>
  <c r="S2899" i="1"/>
  <c r="T2899" i="1"/>
  <c r="U2899" i="1"/>
  <c r="V2899" i="1"/>
  <c r="W2899" i="1"/>
  <c r="X2899" i="1"/>
  <c r="Y2899" i="1"/>
  <c r="Z2899" i="1"/>
  <c r="AA2899" i="1"/>
  <c r="AB2899" i="1"/>
  <c r="AC2899" i="1"/>
  <c r="AD2899" i="1"/>
  <c r="AE2899" i="1"/>
  <c r="AF2899" i="1"/>
  <c r="AG2899" i="1"/>
  <c r="AH2899" i="1"/>
  <c r="AI2899" i="1"/>
  <c r="AJ2899" i="1"/>
  <c r="AK2899" i="1"/>
  <c r="AL2899" i="1"/>
  <c r="AM2899" i="1"/>
  <c r="A2900" i="1"/>
  <c r="B2900" i="1"/>
  <c r="C2900" i="1"/>
  <c r="D2900" i="1"/>
  <c r="E2900" i="1"/>
  <c r="F2900" i="1"/>
  <c r="G2900" i="1"/>
  <c r="H2900" i="1"/>
  <c r="I2900" i="1"/>
  <c r="J2900" i="1"/>
  <c r="K2900" i="1"/>
  <c r="L2900" i="1"/>
  <c r="M2900" i="1"/>
  <c r="N2900" i="1"/>
  <c r="O2900" i="1"/>
  <c r="P2900" i="1"/>
  <c r="Q2900" i="1"/>
  <c r="R2900" i="1"/>
  <c r="S2900" i="1"/>
  <c r="T2900" i="1"/>
  <c r="U2900" i="1"/>
  <c r="V2900" i="1"/>
  <c r="W2900" i="1"/>
  <c r="X2900" i="1"/>
  <c r="Y2900" i="1"/>
  <c r="Z2900" i="1"/>
  <c r="AA2900" i="1"/>
  <c r="AB2900" i="1"/>
  <c r="AC2900" i="1"/>
  <c r="AD2900" i="1"/>
  <c r="AE2900" i="1"/>
  <c r="AF2900" i="1"/>
  <c r="AG2900" i="1"/>
  <c r="AH2900" i="1"/>
  <c r="AI2900" i="1"/>
  <c r="AJ2900" i="1"/>
  <c r="AK2900" i="1"/>
  <c r="AL2900" i="1"/>
  <c r="AM2900" i="1"/>
  <c r="A2901" i="1"/>
  <c r="B2901" i="1"/>
  <c r="C2901" i="1"/>
  <c r="D2901" i="1"/>
  <c r="E2901" i="1"/>
  <c r="F2901" i="1"/>
  <c r="G2901" i="1"/>
  <c r="H2901" i="1"/>
  <c r="I2901" i="1"/>
  <c r="J2901" i="1"/>
  <c r="K2901" i="1"/>
  <c r="L2901" i="1"/>
  <c r="M2901" i="1"/>
  <c r="N2901" i="1"/>
  <c r="O2901" i="1"/>
  <c r="P2901" i="1"/>
  <c r="Q2901" i="1"/>
  <c r="R2901" i="1"/>
  <c r="S2901" i="1"/>
  <c r="T2901" i="1"/>
  <c r="U2901" i="1"/>
  <c r="V2901" i="1"/>
  <c r="W2901" i="1"/>
  <c r="X2901" i="1"/>
  <c r="Y2901" i="1"/>
  <c r="Z2901" i="1"/>
  <c r="AA2901" i="1"/>
  <c r="AB2901" i="1"/>
  <c r="AC2901" i="1"/>
  <c r="AD2901" i="1"/>
  <c r="AE2901" i="1"/>
  <c r="AF2901" i="1"/>
  <c r="AG2901" i="1"/>
  <c r="AH2901" i="1"/>
  <c r="AI2901" i="1"/>
  <c r="AJ2901" i="1"/>
  <c r="AK2901" i="1"/>
  <c r="AL2901" i="1"/>
  <c r="AM2901" i="1"/>
  <c r="A2902" i="1"/>
  <c r="B2902" i="1"/>
  <c r="C2902" i="1"/>
  <c r="D2902" i="1"/>
  <c r="E2902" i="1"/>
  <c r="F2902" i="1"/>
  <c r="G2902" i="1"/>
  <c r="H2902" i="1"/>
  <c r="I2902" i="1"/>
  <c r="J2902" i="1"/>
  <c r="K2902" i="1"/>
  <c r="L2902" i="1"/>
  <c r="M2902" i="1"/>
  <c r="N2902" i="1"/>
  <c r="O2902" i="1"/>
  <c r="P2902" i="1"/>
  <c r="Q2902" i="1"/>
  <c r="R2902" i="1"/>
  <c r="S2902" i="1"/>
  <c r="T2902" i="1"/>
  <c r="U2902" i="1"/>
  <c r="V2902" i="1"/>
  <c r="W2902" i="1"/>
  <c r="X2902" i="1"/>
  <c r="Y2902" i="1"/>
  <c r="Z2902" i="1"/>
  <c r="AA2902" i="1"/>
  <c r="AB2902" i="1"/>
  <c r="AC2902" i="1"/>
  <c r="AD2902" i="1"/>
  <c r="AE2902" i="1"/>
  <c r="AF2902" i="1"/>
  <c r="AG2902" i="1"/>
  <c r="AH2902" i="1"/>
  <c r="AI2902" i="1"/>
  <c r="AJ2902" i="1"/>
  <c r="AK2902" i="1"/>
  <c r="AL2902" i="1"/>
  <c r="AM2902" i="1"/>
  <c r="A2903" i="1"/>
  <c r="B2903" i="1"/>
  <c r="C2903" i="1"/>
  <c r="D2903" i="1"/>
  <c r="E2903" i="1"/>
  <c r="F2903" i="1"/>
  <c r="G2903" i="1"/>
  <c r="H2903" i="1"/>
  <c r="I2903" i="1"/>
  <c r="J2903" i="1"/>
  <c r="K2903" i="1"/>
  <c r="L2903" i="1"/>
  <c r="M2903" i="1"/>
  <c r="N2903" i="1"/>
  <c r="O2903" i="1"/>
  <c r="P2903" i="1"/>
  <c r="Q2903" i="1"/>
  <c r="R2903" i="1"/>
  <c r="S2903" i="1"/>
  <c r="T2903" i="1"/>
  <c r="U2903" i="1"/>
  <c r="V2903" i="1"/>
  <c r="W2903" i="1"/>
  <c r="X2903" i="1"/>
  <c r="Y2903" i="1"/>
  <c r="Z2903" i="1"/>
  <c r="AA2903" i="1"/>
  <c r="AB2903" i="1"/>
  <c r="AC2903" i="1"/>
  <c r="AD2903" i="1"/>
  <c r="AE2903" i="1"/>
  <c r="AF2903" i="1"/>
  <c r="AG2903" i="1"/>
  <c r="AH2903" i="1"/>
  <c r="AI2903" i="1"/>
  <c r="AJ2903" i="1"/>
  <c r="AK2903" i="1"/>
  <c r="AL2903" i="1"/>
  <c r="AM2903" i="1"/>
  <c r="A2904" i="1"/>
  <c r="B2904" i="1"/>
  <c r="C2904" i="1"/>
  <c r="D2904" i="1"/>
  <c r="E2904" i="1"/>
  <c r="F2904" i="1"/>
  <c r="G2904" i="1"/>
  <c r="H2904" i="1"/>
  <c r="I2904" i="1"/>
  <c r="J2904" i="1"/>
  <c r="K2904" i="1"/>
  <c r="L2904" i="1"/>
  <c r="M2904" i="1"/>
  <c r="N2904" i="1"/>
  <c r="O2904" i="1"/>
  <c r="P2904" i="1"/>
  <c r="Q2904" i="1"/>
  <c r="R2904" i="1"/>
  <c r="S2904" i="1"/>
  <c r="T2904" i="1"/>
  <c r="U2904" i="1"/>
  <c r="V2904" i="1"/>
  <c r="W2904" i="1"/>
  <c r="X2904" i="1"/>
  <c r="Y2904" i="1"/>
  <c r="Z2904" i="1"/>
  <c r="AA2904" i="1"/>
  <c r="AB2904" i="1"/>
  <c r="AC2904" i="1"/>
  <c r="AD2904" i="1"/>
  <c r="AE2904" i="1"/>
  <c r="AF2904" i="1"/>
  <c r="AG2904" i="1"/>
  <c r="AH2904" i="1"/>
  <c r="AI2904" i="1"/>
  <c r="AJ2904" i="1"/>
  <c r="AK2904" i="1"/>
  <c r="AL2904" i="1"/>
  <c r="AM2904" i="1"/>
  <c r="A2905" i="1"/>
  <c r="B2905" i="1"/>
  <c r="C2905" i="1"/>
  <c r="D2905" i="1"/>
  <c r="E2905" i="1"/>
  <c r="F2905" i="1"/>
  <c r="G2905" i="1"/>
  <c r="H2905" i="1"/>
  <c r="I2905" i="1"/>
  <c r="J2905" i="1"/>
  <c r="K2905" i="1"/>
  <c r="L2905" i="1"/>
  <c r="M2905" i="1"/>
  <c r="N2905" i="1"/>
  <c r="O2905" i="1"/>
  <c r="P2905" i="1"/>
  <c r="Q2905" i="1"/>
  <c r="R2905" i="1"/>
  <c r="S2905" i="1"/>
  <c r="T2905" i="1"/>
  <c r="U2905" i="1"/>
  <c r="V2905" i="1"/>
  <c r="W2905" i="1"/>
  <c r="X2905" i="1"/>
  <c r="Y2905" i="1"/>
  <c r="Z2905" i="1"/>
  <c r="AA2905" i="1"/>
  <c r="AB2905" i="1"/>
  <c r="AC2905" i="1"/>
  <c r="AD2905" i="1"/>
  <c r="AE2905" i="1"/>
  <c r="AF2905" i="1"/>
  <c r="AG2905" i="1"/>
  <c r="AH2905" i="1"/>
  <c r="AI2905" i="1"/>
  <c r="AJ2905" i="1"/>
  <c r="AK2905" i="1"/>
  <c r="AL2905" i="1"/>
  <c r="AM2905" i="1"/>
  <c r="A2906" i="1"/>
  <c r="B2906" i="1"/>
  <c r="C2906" i="1"/>
  <c r="D2906" i="1"/>
  <c r="E2906" i="1"/>
  <c r="F2906" i="1"/>
  <c r="G2906" i="1"/>
  <c r="H2906" i="1"/>
  <c r="I2906" i="1"/>
  <c r="J2906" i="1"/>
  <c r="K2906" i="1"/>
  <c r="L2906" i="1"/>
  <c r="M2906" i="1"/>
  <c r="N2906" i="1"/>
  <c r="O2906" i="1"/>
  <c r="P2906" i="1"/>
  <c r="Q2906" i="1"/>
  <c r="R2906" i="1"/>
  <c r="S2906" i="1"/>
  <c r="T2906" i="1"/>
  <c r="U2906" i="1"/>
  <c r="V2906" i="1"/>
  <c r="W2906" i="1"/>
  <c r="X2906" i="1"/>
  <c r="Y2906" i="1"/>
  <c r="Z2906" i="1"/>
  <c r="AA2906" i="1"/>
  <c r="AB2906" i="1"/>
  <c r="AC2906" i="1"/>
  <c r="AD2906" i="1"/>
  <c r="AE2906" i="1"/>
  <c r="AF2906" i="1"/>
  <c r="AG2906" i="1"/>
  <c r="AH2906" i="1"/>
  <c r="AI2906" i="1"/>
  <c r="AJ2906" i="1"/>
  <c r="AK2906" i="1"/>
  <c r="AL2906" i="1"/>
  <c r="AM2906" i="1"/>
  <c r="A2907" i="1"/>
  <c r="B2907" i="1"/>
  <c r="C2907" i="1"/>
  <c r="D2907" i="1"/>
  <c r="E2907" i="1"/>
  <c r="F2907" i="1"/>
  <c r="G2907" i="1"/>
  <c r="H2907" i="1"/>
  <c r="I2907" i="1"/>
  <c r="J2907" i="1"/>
  <c r="K2907" i="1"/>
  <c r="L2907" i="1"/>
  <c r="M2907" i="1"/>
  <c r="N2907" i="1"/>
  <c r="O2907" i="1"/>
  <c r="P2907" i="1"/>
  <c r="Q2907" i="1"/>
  <c r="R2907" i="1"/>
  <c r="S2907" i="1"/>
  <c r="T2907" i="1"/>
  <c r="U2907" i="1"/>
  <c r="V2907" i="1"/>
  <c r="W2907" i="1"/>
  <c r="X2907" i="1"/>
  <c r="Y2907" i="1"/>
  <c r="Z2907" i="1"/>
  <c r="AA2907" i="1"/>
  <c r="AB2907" i="1"/>
  <c r="AC2907" i="1"/>
  <c r="AD2907" i="1"/>
  <c r="AE2907" i="1"/>
  <c r="AF2907" i="1"/>
  <c r="AG2907" i="1"/>
  <c r="AH2907" i="1"/>
  <c r="AI2907" i="1"/>
  <c r="AJ2907" i="1"/>
  <c r="AK2907" i="1"/>
  <c r="AL2907" i="1"/>
  <c r="AM2907" i="1"/>
  <c r="A2908" i="1"/>
  <c r="B2908" i="1"/>
  <c r="C2908" i="1"/>
  <c r="D2908" i="1"/>
  <c r="E2908" i="1"/>
  <c r="F2908" i="1"/>
  <c r="G2908" i="1"/>
  <c r="H2908" i="1"/>
  <c r="I2908" i="1"/>
  <c r="J2908" i="1"/>
  <c r="K2908" i="1"/>
  <c r="L2908" i="1"/>
  <c r="M2908" i="1"/>
  <c r="N2908" i="1"/>
  <c r="O2908" i="1"/>
  <c r="P2908" i="1"/>
  <c r="Q2908" i="1"/>
  <c r="R2908" i="1"/>
  <c r="S2908" i="1"/>
  <c r="T2908" i="1"/>
  <c r="U2908" i="1"/>
  <c r="V2908" i="1"/>
  <c r="W2908" i="1"/>
  <c r="X2908" i="1"/>
  <c r="Y2908" i="1"/>
  <c r="Z2908" i="1"/>
  <c r="AA2908" i="1"/>
  <c r="AB2908" i="1"/>
  <c r="AC2908" i="1"/>
  <c r="AD2908" i="1"/>
  <c r="AE2908" i="1"/>
  <c r="AF2908" i="1"/>
  <c r="AG2908" i="1"/>
  <c r="AH2908" i="1"/>
  <c r="AI2908" i="1"/>
  <c r="AJ2908" i="1"/>
  <c r="AK2908" i="1"/>
  <c r="AL2908" i="1"/>
  <c r="AM2908" i="1"/>
  <c r="A2909" i="1"/>
  <c r="B2909" i="1"/>
  <c r="C2909" i="1"/>
  <c r="D2909" i="1"/>
  <c r="E2909" i="1"/>
  <c r="F2909" i="1"/>
  <c r="G2909" i="1"/>
  <c r="H2909" i="1"/>
  <c r="I2909" i="1"/>
  <c r="J2909" i="1"/>
  <c r="K2909" i="1"/>
  <c r="L2909" i="1"/>
  <c r="M2909" i="1"/>
  <c r="N2909" i="1"/>
  <c r="O2909" i="1"/>
  <c r="P2909" i="1"/>
  <c r="Q2909" i="1"/>
  <c r="R2909" i="1"/>
  <c r="S2909" i="1"/>
  <c r="T2909" i="1"/>
  <c r="U2909" i="1"/>
  <c r="V2909" i="1"/>
  <c r="W2909" i="1"/>
  <c r="X2909" i="1"/>
  <c r="Y2909" i="1"/>
  <c r="Z2909" i="1"/>
  <c r="AA2909" i="1"/>
  <c r="AB2909" i="1"/>
  <c r="AC2909" i="1"/>
  <c r="AD2909" i="1"/>
  <c r="AE2909" i="1"/>
  <c r="AF2909" i="1"/>
  <c r="AG2909" i="1"/>
  <c r="AH2909" i="1"/>
  <c r="AI2909" i="1"/>
  <c r="AJ2909" i="1"/>
  <c r="AK2909" i="1"/>
  <c r="AL2909" i="1"/>
  <c r="AM2909" i="1"/>
  <c r="A2910" i="1"/>
  <c r="B2910" i="1"/>
  <c r="C2910" i="1"/>
  <c r="D2910" i="1"/>
  <c r="E2910" i="1"/>
  <c r="F2910" i="1"/>
  <c r="G2910" i="1"/>
  <c r="H2910" i="1"/>
  <c r="I2910" i="1"/>
  <c r="J2910" i="1"/>
  <c r="K2910" i="1"/>
  <c r="L2910" i="1"/>
  <c r="M2910" i="1"/>
  <c r="N2910" i="1"/>
  <c r="O2910" i="1"/>
  <c r="P2910" i="1"/>
  <c r="Q2910" i="1"/>
  <c r="R2910" i="1"/>
  <c r="S2910" i="1"/>
  <c r="T2910" i="1"/>
  <c r="U2910" i="1"/>
  <c r="V2910" i="1"/>
  <c r="W2910" i="1"/>
  <c r="X2910" i="1"/>
  <c r="Y2910" i="1"/>
  <c r="Z2910" i="1"/>
  <c r="AA2910" i="1"/>
  <c r="AB2910" i="1"/>
  <c r="AC2910" i="1"/>
  <c r="AD2910" i="1"/>
  <c r="AE2910" i="1"/>
  <c r="AF2910" i="1"/>
  <c r="AG2910" i="1"/>
  <c r="AH2910" i="1"/>
  <c r="AI2910" i="1"/>
  <c r="AJ2910" i="1"/>
  <c r="AK2910" i="1"/>
  <c r="AL2910" i="1"/>
  <c r="AM2910" i="1"/>
  <c r="A2911" i="1"/>
  <c r="B2911" i="1"/>
  <c r="C2911" i="1"/>
  <c r="D2911" i="1"/>
  <c r="E2911" i="1"/>
  <c r="F2911" i="1"/>
  <c r="G2911" i="1"/>
  <c r="H2911" i="1"/>
  <c r="I2911" i="1"/>
  <c r="J2911" i="1"/>
  <c r="K2911" i="1"/>
  <c r="L2911" i="1"/>
  <c r="M2911" i="1"/>
  <c r="N2911" i="1"/>
  <c r="O2911" i="1"/>
  <c r="P2911" i="1"/>
  <c r="Q2911" i="1"/>
  <c r="R2911" i="1"/>
  <c r="S2911" i="1"/>
  <c r="T2911" i="1"/>
  <c r="U2911" i="1"/>
  <c r="V2911" i="1"/>
  <c r="W2911" i="1"/>
  <c r="X2911" i="1"/>
  <c r="Y2911" i="1"/>
  <c r="Z2911" i="1"/>
  <c r="AA2911" i="1"/>
  <c r="AB2911" i="1"/>
  <c r="AC2911" i="1"/>
  <c r="AD2911" i="1"/>
  <c r="AE2911" i="1"/>
  <c r="AF2911" i="1"/>
  <c r="AG2911" i="1"/>
  <c r="AH2911" i="1"/>
  <c r="AI2911" i="1"/>
  <c r="AJ2911" i="1"/>
  <c r="AK2911" i="1"/>
  <c r="AL2911" i="1"/>
  <c r="AM2911" i="1"/>
  <c r="A2912" i="1"/>
  <c r="B2912" i="1"/>
  <c r="C2912" i="1"/>
  <c r="D2912" i="1"/>
  <c r="E2912" i="1"/>
  <c r="F2912" i="1"/>
  <c r="G2912" i="1"/>
  <c r="H2912" i="1"/>
  <c r="I2912" i="1"/>
  <c r="J2912" i="1"/>
  <c r="K2912" i="1"/>
  <c r="L2912" i="1"/>
  <c r="M2912" i="1"/>
  <c r="N2912" i="1"/>
  <c r="O2912" i="1"/>
  <c r="P2912" i="1"/>
  <c r="Q2912" i="1"/>
  <c r="R2912" i="1"/>
  <c r="S2912" i="1"/>
  <c r="T2912" i="1"/>
  <c r="U2912" i="1"/>
  <c r="V2912" i="1"/>
  <c r="W2912" i="1"/>
  <c r="X2912" i="1"/>
  <c r="Y2912" i="1"/>
  <c r="Z2912" i="1"/>
  <c r="AA2912" i="1"/>
  <c r="AB2912" i="1"/>
  <c r="AC2912" i="1"/>
  <c r="AD2912" i="1"/>
  <c r="AE2912" i="1"/>
  <c r="AF2912" i="1"/>
  <c r="AG2912" i="1"/>
  <c r="AH2912" i="1"/>
  <c r="AI2912" i="1"/>
  <c r="AJ2912" i="1"/>
  <c r="AK2912" i="1"/>
  <c r="AL2912" i="1"/>
  <c r="AM2912" i="1"/>
  <c r="A2913" i="1"/>
  <c r="B2913" i="1"/>
  <c r="C2913" i="1"/>
  <c r="D2913" i="1"/>
  <c r="E2913" i="1"/>
  <c r="F2913" i="1"/>
  <c r="G2913" i="1"/>
  <c r="H2913" i="1"/>
  <c r="I2913" i="1"/>
  <c r="J2913" i="1"/>
  <c r="K2913" i="1"/>
  <c r="L2913" i="1"/>
  <c r="M2913" i="1"/>
  <c r="N2913" i="1"/>
  <c r="O2913" i="1"/>
  <c r="P2913" i="1"/>
  <c r="Q2913" i="1"/>
  <c r="R2913" i="1"/>
  <c r="S2913" i="1"/>
  <c r="T2913" i="1"/>
  <c r="U2913" i="1"/>
  <c r="V2913" i="1"/>
  <c r="W2913" i="1"/>
  <c r="X2913" i="1"/>
  <c r="Y2913" i="1"/>
  <c r="Z2913" i="1"/>
  <c r="AA2913" i="1"/>
  <c r="AB2913" i="1"/>
  <c r="AC2913" i="1"/>
  <c r="AD2913" i="1"/>
  <c r="AE2913" i="1"/>
  <c r="AF2913" i="1"/>
  <c r="AG2913" i="1"/>
  <c r="AH2913" i="1"/>
  <c r="AI2913" i="1"/>
  <c r="AJ2913" i="1"/>
  <c r="AK2913" i="1"/>
  <c r="AL2913" i="1"/>
  <c r="AM2913" i="1"/>
  <c r="A2914" i="1"/>
  <c r="B2914" i="1"/>
  <c r="C2914" i="1"/>
  <c r="D2914" i="1"/>
  <c r="E2914" i="1"/>
  <c r="F2914" i="1"/>
  <c r="G2914" i="1"/>
  <c r="H2914" i="1"/>
  <c r="I2914" i="1"/>
  <c r="J2914" i="1"/>
  <c r="K2914" i="1"/>
  <c r="L2914" i="1"/>
  <c r="M2914" i="1"/>
  <c r="N2914" i="1"/>
  <c r="O2914" i="1"/>
  <c r="P2914" i="1"/>
  <c r="Q2914" i="1"/>
  <c r="R2914" i="1"/>
  <c r="S2914" i="1"/>
  <c r="T2914" i="1"/>
  <c r="U2914" i="1"/>
  <c r="V2914" i="1"/>
  <c r="W2914" i="1"/>
  <c r="X2914" i="1"/>
  <c r="Y2914" i="1"/>
  <c r="Z2914" i="1"/>
  <c r="AA2914" i="1"/>
  <c r="AB2914" i="1"/>
  <c r="AC2914" i="1"/>
  <c r="AD2914" i="1"/>
  <c r="AE2914" i="1"/>
  <c r="AF2914" i="1"/>
  <c r="AG2914" i="1"/>
  <c r="AH2914" i="1"/>
  <c r="AI2914" i="1"/>
  <c r="AJ2914" i="1"/>
  <c r="AK2914" i="1"/>
  <c r="AL2914" i="1"/>
  <c r="AM2914" i="1"/>
  <c r="A2915" i="1"/>
  <c r="B2915" i="1"/>
  <c r="C2915" i="1"/>
  <c r="D2915" i="1"/>
  <c r="E2915" i="1"/>
  <c r="F2915" i="1"/>
  <c r="G2915" i="1"/>
  <c r="H2915" i="1"/>
  <c r="I2915" i="1"/>
  <c r="J2915" i="1"/>
  <c r="K2915" i="1"/>
  <c r="L2915" i="1"/>
  <c r="M2915" i="1"/>
  <c r="N2915" i="1"/>
  <c r="O2915" i="1"/>
  <c r="P2915" i="1"/>
  <c r="Q2915" i="1"/>
  <c r="R2915" i="1"/>
  <c r="S2915" i="1"/>
  <c r="T2915" i="1"/>
  <c r="U2915" i="1"/>
  <c r="V2915" i="1"/>
  <c r="W2915" i="1"/>
  <c r="X2915" i="1"/>
  <c r="Y2915" i="1"/>
  <c r="Z2915" i="1"/>
  <c r="AA2915" i="1"/>
  <c r="AB2915" i="1"/>
  <c r="AC2915" i="1"/>
  <c r="AD2915" i="1"/>
  <c r="AE2915" i="1"/>
  <c r="AF2915" i="1"/>
  <c r="AG2915" i="1"/>
  <c r="AH2915" i="1"/>
  <c r="AI2915" i="1"/>
  <c r="AJ2915" i="1"/>
  <c r="AK2915" i="1"/>
  <c r="AL2915" i="1"/>
  <c r="AM2915" i="1"/>
  <c r="A2916" i="1"/>
  <c r="B2916" i="1"/>
  <c r="C2916" i="1"/>
  <c r="D2916" i="1"/>
  <c r="E2916" i="1"/>
  <c r="F2916" i="1"/>
  <c r="G2916" i="1"/>
  <c r="H2916" i="1"/>
  <c r="I2916" i="1"/>
  <c r="J2916" i="1"/>
  <c r="K2916" i="1"/>
  <c r="L2916" i="1"/>
  <c r="M2916" i="1"/>
  <c r="N2916" i="1"/>
  <c r="O2916" i="1"/>
  <c r="P2916" i="1"/>
  <c r="Q2916" i="1"/>
  <c r="R2916" i="1"/>
  <c r="S2916" i="1"/>
  <c r="T2916" i="1"/>
  <c r="U2916" i="1"/>
  <c r="V2916" i="1"/>
  <c r="W2916" i="1"/>
  <c r="X2916" i="1"/>
  <c r="Y2916" i="1"/>
  <c r="Z2916" i="1"/>
  <c r="AA2916" i="1"/>
  <c r="AB2916" i="1"/>
  <c r="AC2916" i="1"/>
  <c r="AD2916" i="1"/>
  <c r="AE2916" i="1"/>
  <c r="AF2916" i="1"/>
  <c r="AG2916" i="1"/>
  <c r="AH2916" i="1"/>
  <c r="AI2916" i="1"/>
  <c r="AJ2916" i="1"/>
  <c r="AK2916" i="1"/>
  <c r="AL2916" i="1"/>
  <c r="AM2916" i="1"/>
  <c r="A2917" i="1"/>
  <c r="B2917" i="1"/>
  <c r="C2917" i="1"/>
  <c r="D2917" i="1"/>
  <c r="E2917" i="1"/>
  <c r="F2917" i="1"/>
  <c r="G2917" i="1"/>
  <c r="H2917" i="1"/>
  <c r="I2917" i="1"/>
  <c r="J2917" i="1"/>
  <c r="K2917" i="1"/>
  <c r="L2917" i="1"/>
  <c r="M2917" i="1"/>
  <c r="N2917" i="1"/>
  <c r="O2917" i="1"/>
  <c r="P2917" i="1"/>
  <c r="Q2917" i="1"/>
  <c r="R2917" i="1"/>
  <c r="S2917" i="1"/>
  <c r="T2917" i="1"/>
  <c r="U2917" i="1"/>
  <c r="V2917" i="1"/>
  <c r="W2917" i="1"/>
  <c r="X2917" i="1"/>
  <c r="Y2917" i="1"/>
  <c r="Z2917" i="1"/>
  <c r="AA2917" i="1"/>
  <c r="AB2917" i="1"/>
  <c r="AC2917" i="1"/>
  <c r="AD2917" i="1"/>
  <c r="AE2917" i="1"/>
  <c r="AF2917" i="1"/>
  <c r="AG2917" i="1"/>
  <c r="AH2917" i="1"/>
  <c r="AI2917" i="1"/>
  <c r="AJ2917" i="1"/>
  <c r="AK2917" i="1"/>
  <c r="AL2917" i="1"/>
  <c r="AM2917" i="1"/>
  <c r="A2918" i="1"/>
  <c r="B2918" i="1"/>
  <c r="C2918" i="1"/>
  <c r="D2918" i="1"/>
  <c r="E2918" i="1"/>
  <c r="F2918" i="1"/>
  <c r="G2918" i="1"/>
  <c r="H2918" i="1"/>
  <c r="I2918" i="1"/>
  <c r="J2918" i="1"/>
  <c r="K2918" i="1"/>
  <c r="L2918" i="1"/>
  <c r="M2918" i="1"/>
  <c r="N2918" i="1"/>
  <c r="O2918" i="1"/>
  <c r="P2918" i="1"/>
  <c r="Q2918" i="1"/>
  <c r="R2918" i="1"/>
  <c r="S2918" i="1"/>
  <c r="T2918" i="1"/>
  <c r="U2918" i="1"/>
  <c r="V2918" i="1"/>
  <c r="W2918" i="1"/>
  <c r="X2918" i="1"/>
  <c r="Y2918" i="1"/>
  <c r="Z2918" i="1"/>
  <c r="AA2918" i="1"/>
  <c r="AB2918" i="1"/>
  <c r="AC2918" i="1"/>
  <c r="AD2918" i="1"/>
  <c r="AE2918" i="1"/>
  <c r="AF2918" i="1"/>
  <c r="AG2918" i="1"/>
  <c r="AH2918" i="1"/>
  <c r="AI2918" i="1"/>
  <c r="AJ2918" i="1"/>
  <c r="AK2918" i="1"/>
  <c r="AL2918" i="1"/>
  <c r="AM2918" i="1"/>
  <c r="A2919" i="1"/>
  <c r="B2919" i="1"/>
  <c r="C2919" i="1"/>
  <c r="D2919" i="1"/>
  <c r="E2919" i="1"/>
  <c r="F2919" i="1"/>
  <c r="G2919" i="1"/>
  <c r="H2919" i="1"/>
  <c r="I2919" i="1"/>
  <c r="J2919" i="1"/>
  <c r="K2919" i="1"/>
  <c r="L2919" i="1"/>
  <c r="M2919" i="1"/>
  <c r="N2919" i="1"/>
  <c r="O2919" i="1"/>
  <c r="P2919" i="1"/>
  <c r="Q2919" i="1"/>
  <c r="R2919" i="1"/>
  <c r="S2919" i="1"/>
  <c r="T2919" i="1"/>
  <c r="U2919" i="1"/>
  <c r="V2919" i="1"/>
  <c r="W2919" i="1"/>
  <c r="X2919" i="1"/>
  <c r="Y2919" i="1"/>
  <c r="Z2919" i="1"/>
  <c r="AA2919" i="1"/>
  <c r="AB2919" i="1"/>
  <c r="AC2919" i="1"/>
  <c r="AD2919" i="1"/>
  <c r="AE2919" i="1"/>
  <c r="AF2919" i="1"/>
  <c r="AG2919" i="1"/>
  <c r="AH2919" i="1"/>
  <c r="AI2919" i="1"/>
  <c r="AJ2919" i="1"/>
  <c r="AK2919" i="1"/>
  <c r="AL2919" i="1"/>
  <c r="AM2919" i="1"/>
  <c r="A2920" i="1"/>
  <c r="B2920" i="1"/>
  <c r="C2920" i="1"/>
  <c r="D2920" i="1"/>
  <c r="E2920" i="1"/>
  <c r="F2920" i="1"/>
  <c r="G2920" i="1"/>
  <c r="H2920" i="1"/>
  <c r="I2920" i="1"/>
  <c r="J2920" i="1"/>
  <c r="K2920" i="1"/>
  <c r="L2920" i="1"/>
  <c r="M2920" i="1"/>
  <c r="N2920" i="1"/>
  <c r="O2920" i="1"/>
  <c r="P2920" i="1"/>
  <c r="Q2920" i="1"/>
  <c r="R2920" i="1"/>
  <c r="S2920" i="1"/>
  <c r="T2920" i="1"/>
  <c r="U2920" i="1"/>
  <c r="V2920" i="1"/>
  <c r="W2920" i="1"/>
  <c r="X2920" i="1"/>
  <c r="Y2920" i="1"/>
  <c r="Z2920" i="1"/>
  <c r="AA2920" i="1"/>
  <c r="AB2920" i="1"/>
  <c r="AC2920" i="1"/>
  <c r="AD2920" i="1"/>
  <c r="AE2920" i="1"/>
  <c r="AF2920" i="1"/>
  <c r="AG2920" i="1"/>
  <c r="AH2920" i="1"/>
  <c r="AI2920" i="1"/>
  <c r="AJ2920" i="1"/>
  <c r="AK2920" i="1"/>
  <c r="AL2920" i="1"/>
  <c r="AM2920" i="1"/>
  <c r="A2921" i="1"/>
  <c r="B2921" i="1"/>
  <c r="C2921" i="1"/>
  <c r="D2921" i="1"/>
  <c r="E2921" i="1"/>
  <c r="F2921" i="1"/>
  <c r="G2921" i="1"/>
  <c r="H2921" i="1"/>
  <c r="I2921" i="1"/>
  <c r="J2921" i="1"/>
  <c r="K2921" i="1"/>
  <c r="L2921" i="1"/>
  <c r="M2921" i="1"/>
  <c r="N2921" i="1"/>
  <c r="O2921" i="1"/>
  <c r="P2921" i="1"/>
  <c r="Q2921" i="1"/>
  <c r="R2921" i="1"/>
  <c r="S2921" i="1"/>
  <c r="T2921" i="1"/>
  <c r="U2921" i="1"/>
  <c r="V2921" i="1"/>
  <c r="W2921" i="1"/>
  <c r="X2921" i="1"/>
  <c r="Y2921" i="1"/>
  <c r="Z2921" i="1"/>
  <c r="AA2921" i="1"/>
  <c r="AB2921" i="1"/>
  <c r="AC2921" i="1"/>
  <c r="AD2921" i="1"/>
  <c r="AE2921" i="1"/>
  <c r="AF2921" i="1"/>
  <c r="AG2921" i="1"/>
  <c r="AH2921" i="1"/>
  <c r="AI2921" i="1"/>
  <c r="AJ2921" i="1"/>
  <c r="AK2921" i="1"/>
  <c r="AL2921" i="1"/>
  <c r="AM2921" i="1"/>
  <c r="A2922" i="1"/>
  <c r="B2922" i="1"/>
  <c r="C2922" i="1"/>
  <c r="D2922" i="1"/>
  <c r="E2922" i="1"/>
  <c r="F2922" i="1"/>
  <c r="G2922" i="1"/>
  <c r="H2922" i="1"/>
  <c r="I2922" i="1"/>
  <c r="J2922" i="1"/>
  <c r="K2922" i="1"/>
  <c r="L2922" i="1"/>
  <c r="M2922" i="1"/>
  <c r="N2922" i="1"/>
  <c r="O2922" i="1"/>
  <c r="P2922" i="1"/>
  <c r="Q2922" i="1"/>
  <c r="R2922" i="1"/>
  <c r="S2922" i="1"/>
  <c r="T2922" i="1"/>
  <c r="U2922" i="1"/>
  <c r="V2922" i="1"/>
  <c r="W2922" i="1"/>
  <c r="X2922" i="1"/>
  <c r="Y2922" i="1"/>
  <c r="Z2922" i="1"/>
  <c r="AA2922" i="1"/>
  <c r="AB2922" i="1"/>
  <c r="AC2922" i="1"/>
  <c r="AD2922" i="1"/>
  <c r="AE2922" i="1"/>
  <c r="AF2922" i="1"/>
  <c r="AG2922" i="1"/>
  <c r="AH2922" i="1"/>
  <c r="AI2922" i="1"/>
  <c r="AJ2922" i="1"/>
  <c r="AK2922" i="1"/>
  <c r="AL2922" i="1"/>
  <c r="AM2922" i="1"/>
  <c r="A2923" i="1"/>
  <c r="B2923" i="1"/>
  <c r="C2923" i="1"/>
  <c r="D2923" i="1"/>
  <c r="E2923" i="1"/>
  <c r="F2923" i="1"/>
  <c r="G2923" i="1"/>
  <c r="H2923" i="1"/>
  <c r="I2923" i="1"/>
  <c r="J2923" i="1"/>
  <c r="K2923" i="1"/>
  <c r="L2923" i="1"/>
  <c r="M2923" i="1"/>
  <c r="N2923" i="1"/>
  <c r="O2923" i="1"/>
  <c r="P2923" i="1"/>
  <c r="Q2923" i="1"/>
  <c r="R2923" i="1"/>
  <c r="S2923" i="1"/>
  <c r="T2923" i="1"/>
  <c r="U2923" i="1"/>
  <c r="V2923" i="1"/>
  <c r="W2923" i="1"/>
  <c r="X2923" i="1"/>
  <c r="Y2923" i="1"/>
  <c r="Z2923" i="1"/>
  <c r="AA2923" i="1"/>
  <c r="AB2923" i="1"/>
  <c r="AC2923" i="1"/>
  <c r="AD2923" i="1"/>
  <c r="AE2923" i="1"/>
  <c r="AF2923" i="1"/>
  <c r="AG2923" i="1"/>
  <c r="AH2923" i="1"/>
  <c r="AI2923" i="1"/>
  <c r="AJ2923" i="1"/>
  <c r="AK2923" i="1"/>
  <c r="AL2923" i="1"/>
  <c r="AM2923" i="1"/>
  <c r="A2924" i="1"/>
  <c r="B2924" i="1"/>
  <c r="C2924" i="1"/>
  <c r="D2924" i="1"/>
  <c r="E2924" i="1"/>
  <c r="F2924" i="1"/>
  <c r="G2924" i="1"/>
  <c r="H2924" i="1"/>
  <c r="I2924" i="1"/>
  <c r="J2924" i="1"/>
  <c r="K2924" i="1"/>
  <c r="L2924" i="1"/>
  <c r="M2924" i="1"/>
  <c r="N2924" i="1"/>
  <c r="O2924" i="1"/>
  <c r="P2924" i="1"/>
  <c r="Q2924" i="1"/>
  <c r="R2924" i="1"/>
  <c r="S2924" i="1"/>
  <c r="T2924" i="1"/>
  <c r="U2924" i="1"/>
  <c r="V2924" i="1"/>
  <c r="W2924" i="1"/>
  <c r="X2924" i="1"/>
  <c r="Y2924" i="1"/>
  <c r="Z2924" i="1"/>
  <c r="AA2924" i="1"/>
  <c r="AB2924" i="1"/>
  <c r="AC2924" i="1"/>
  <c r="AD2924" i="1"/>
  <c r="AE2924" i="1"/>
  <c r="AF2924" i="1"/>
  <c r="AG2924" i="1"/>
  <c r="AH2924" i="1"/>
  <c r="AI2924" i="1"/>
  <c r="AJ2924" i="1"/>
  <c r="AK2924" i="1"/>
  <c r="AL2924" i="1"/>
  <c r="AM2924" i="1"/>
  <c r="A2925" i="1"/>
  <c r="B2925" i="1"/>
  <c r="C2925" i="1"/>
  <c r="D2925" i="1"/>
  <c r="E2925" i="1"/>
  <c r="F2925" i="1"/>
  <c r="G2925" i="1"/>
  <c r="H2925" i="1"/>
  <c r="I2925" i="1"/>
  <c r="J2925" i="1"/>
  <c r="K2925" i="1"/>
  <c r="L2925" i="1"/>
  <c r="M2925" i="1"/>
  <c r="N2925" i="1"/>
  <c r="O2925" i="1"/>
  <c r="P2925" i="1"/>
  <c r="Q2925" i="1"/>
  <c r="R2925" i="1"/>
  <c r="S2925" i="1"/>
  <c r="T2925" i="1"/>
  <c r="U2925" i="1"/>
  <c r="V2925" i="1"/>
  <c r="W2925" i="1"/>
  <c r="X2925" i="1"/>
  <c r="Y2925" i="1"/>
  <c r="Z2925" i="1"/>
  <c r="AA2925" i="1"/>
  <c r="AB2925" i="1"/>
  <c r="AC2925" i="1"/>
  <c r="AD2925" i="1"/>
  <c r="AE2925" i="1"/>
  <c r="AF2925" i="1"/>
  <c r="AG2925" i="1"/>
  <c r="AH2925" i="1"/>
  <c r="AI2925" i="1"/>
  <c r="AJ2925" i="1"/>
  <c r="AK2925" i="1"/>
  <c r="AL2925" i="1"/>
  <c r="AM2925" i="1"/>
  <c r="A2926" i="1"/>
  <c r="B2926" i="1"/>
  <c r="C2926" i="1"/>
  <c r="D2926" i="1"/>
  <c r="E2926" i="1"/>
  <c r="F2926" i="1"/>
  <c r="G2926" i="1"/>
  <c r="H2926" i="1"/>
  <c r="I2926" i="1"/>
  <c r="J2926" i="1"/>
  <c r="K2926" i="1"/>
  <c r="L2926" i="1"/>
  <c r="M2926" i="1"/>
  <c r="N2926" i="1"/>
  <c r="O2926" i="1"/>
  <c r="P2926" i="1"/>
  <c r="Q2926" i="1"/>
  <c r="R2926" i="1"/>
  <c r="S2926" i="1"/>
  <c r="T2926" i="1"/>
  <c r="U2926" i="1"/>
  <c r="V2926" i="1"/>
  <c r="W2926" i="1"/>
  <c r="X2926" i="1"/>
  <c r="Y2926" i="1"/>
  <c r="Z2926" i="1"/>
  <c r="AA2926" i="1"/>
  <c r="AB2926" i="1"/>
  <c r="AC2926" i="1"/>
  <c r="AD2926" i="1"/>
  <c r="AE2926" i="1"/>
  <c r="AF2926" i="1"/>
  <c r="AG2926" i="1"/>
  <c r="AH2926" i="1"/>
  <c r="AI2926" i="1"/>
  <c r="AJ2926" i="1"/>
  <c r="AK2926" i="1"/>
  <c r="AL2926" i="1"/>
  <c r="AM2926" i="1"/>
  <c r="A2927" i="1"/>
  <c r="B2927" i="1"/>
  <c r="C2927" i="1"/>
  <c r="D2927" i="1"/>
  <c r="E2927" i="1"/>
  <c r="F2927" i="1"/>
  <c r="G2927" i="1"/>
  <c r="H2927" i="1"/>
  <c r="I2927" i="1"/>
  <c r="J2927" i="1"/>
  <c r="K2927" i="1"/>
  <c r="L2927" i="1"/>
  <c r="M2927" i="1"/>
  <c r="N2927" i="1"/>
  <c r="O2927" i="1"/>
  <c r="P2927" i="1"/>
  <c r="Q2927" i="1"/>
  <c r="R2927" i="1"/>
  <c r="S2927" i="1"/>
  <c r="T2927" i="1"/>
  <c r="U2927" i="1"/>
  <c r="V2927" i="1"/>
  <c r="W2927" i="1"/>
  <c r="X2927" i="1"/>
  <c r="Y2927" i="1"/>
  <c r="Z2927" i="1"/>
  <c r="AA2927" i="1"/>
  <c r="AB2927" i="1"/>
  <c r="AC2927" i="1"/>
  <c r="AD2927" i="1"/>
  <c r="AE2927" i="1"/>
  <c r="AF2927" i="1"/>
  <c r="AG2927" i="1"/>
  <c r="AH2927" i="1"/>
  <c r="AI2927" i="1"/>
  <c r="AJ2927" i="1"/>
  <c r="AK2927" i="1"/>
  <c r="AL2927" i="1"/>
  <c r="AM2927" i="1"/>
  <c r="A2928" i="1"/>
  <c r="B2928" i="1"/>
  <c r="C2928" i="1"/>
  <c r="D2928" i="1"/>
  <c r="E2928" i="1"/>
  <c r="F2928" i="1"/>
  <c r="G2928" i="1"/>
  <c r="H2928" i="1"/>
  <c r="I2928" i="1"/>
  <c r="J2928" i="1"/>
  <c r="K2928" i="1"/>
  <c r="L2928" i="1"/>
  <c r="M2928" i="1"/>
  <c r="N2928" i="1"/>
  <c r="O2928" i="1"/>
  <c r="P2928" i="1"/>
  <c r="Q2928" i="1"/>
  <c r="R2928" i="1"/>
  <c r="S2928" i="1"/>
  <c r="T2928" i="1"/>
  <c r="U2928" i="1"/>
  <c r="V2928" i="1"/>
  <c r="W2928" i="1"/>
  <c r="X2928" i="1"/>
  <c r="Y2928" i="1"/>
  <c r="Z2928" i="1"/>
  <c r="AA2928" i="1"/>
  <c r="AB2928" i="1"/>
  <c r="AC2928" i="1"/>
  <c r="AD2928" i="1"/>
  <c r="AE2928" i="1"/>
  <c r="AF2928" i="1"/>
  <c r="AG2928" i="1"/>
  <c r="AH2928" i="1"/>
  <c r="AI2928" i="1"/>
  <c r="AJ2928" i="1"/>
  <c r="AK2928" i="1"/>
  <c r="AL2928" i="1"/>
  <c r="AM2928" i="1"/>
  <c r="A2929" i="1"/>
  <c r="B2929" i="1"/>
  <c r="C2929" i="1"/>
  <c r="D2929" i="1"/>
  <c r="E2929" i="1"/>
  <c r="F2929" i="1"/>
  <c r="G2929" i="1"/>
  <c r="H2929" i="1"/>
  <c r="I2929" i="1"/>
  <c r="J2929" i="1"/>
  <c r="K2929" i="1"/>
  <c r="L2929" i="1"/>
  <c r="M2929" i="1"/>
  <c r="N2929" i="1"/>
  <c r="O2929" i="1"/>
  <c r="P2929" i="1"/>
  <c r="Q2929" i="1"/>
  <c r="R2929" i="1"/>
  <c r="S2929" i="1"/>
  <c r="T2929" i="1"/>
  <c r="U2929" i="1"/>
  <c r="V2929" i="1"/>
  <c r="W2929" i="1"/>
  <c r="X2929" i="1"/>
  <c r="Y2929" i="1"/>
  <c r="Z2929" i="1"/>
  <c r="AA2929" i="1"/>
  <c r="AB2929" i="1"/>
  <c r="AC2929" i="1"/>
  <c r="AD2929" i="1"/>
  <c r="AE2929" i="1"/>
  <c r="AF2929" i="1"/>
  <c r="AG2929" i="1"/>
  <c r="AH2929" i="1"/>
  <c r="AI2929" i="1"/>
  <c r="AJ2929" i="1"/>
  <c r="AK2929" i="1"/>
  <c r="AL2929" i="1"/>
  <c r="AM2929" i="1"/>
  <c r="A2930" i="1"/>
  <c r="B2930" i="1"/>
  <c r="C2930" i="1"/>
  <c r="D2930" i="1"/>
  <c r="E2930" i="1"/>
  <c r="F2930" i="1"/>
  <c r="G2930" i="1"/>
  <c r="H2930" i="1"/>
  <c r="I2930" i="1"/>
  <c r="J2930" i="1"/>
  <c r="K2930" i="1"/>
  <c r="L2930" i="1"/>
  <c r="M2930" i="1"/>
  <c r="N2930" i="1"/>
  <c r="O2930" i="1"/>
  <c r="P2930" i="1"/>
  <c r="Q2930" i="1"/>
  <c r="R2930" i="1"/>
  <c r="S2930" i="1"/>
  <c r="T2930" i="1"/>
  <c r="U2930" i="1"/>
  <c r="V2930" i="1"/>
  <c r="W2930" i="1"/>
  <c r="X2930" i="1"/>
  <c r="Y2930" i="1"/>
  <c r="Z2930" i="1"/>
  <c r="AA2930" i="1"/>
  <c r="AB2930" i="1"/>
  <c r="AC2930" i="1"/>
  <c r="AD2930" i="1"/>
  <c r="AE2930" i="1"/>
  <c r="AF2930" i="1"/>
  <c r="AG2930" i="1"/>
  <c r="AH2930" i="1"/>
  <c r="AI2930" i="1"/>
  <c r="AJ2930" i="1"/>
  <c r="AK2930" i="1"/>
  <c r="AL2930" i="1"/>
  <c r="AM2930" i="1"/>
  <c r="A2931" i="1"/>
  <c r="B2931" i="1"/>
  <c r="C2931" i="1"/>
  <c r="D2931" i="1"/>
  <c r="E2931" i="1"/>
  <c r="F2931" i="1"/>
  <c r="G2931" i="1"/>
  <c r="H2931" i="1"/>
  <c r="I2931" i="1"/>
  <c r="J2931" i="1"/>
  <c r="K2931" i="1"/>
  <c r="L2931" i="1"/>
  <c r="M2931" i="1"/>
  <c r="N2931" i="1"/>
  <c r="O2931" i="1"/>
  <c r="P2931" i="1"/>
  <c r="Q2931" i="1"/>
  <c r="R2931" i="1"/>
  <c r="S2931" i="1"/>
  <c r="T2931" i="1"/>
  <c r="U2931" i="1"/>
  <c r="V2931" i="1"/>
  <c r="W2931" i="1"/>
  <c r="X2931" i="1"/>
  <c r="Y2931" i="1"/>
  <c r="Z2931" i="1"/>
  <c r="AA2931" i="1"/>
  <c r="AB2931" i="1"/>
  <c r="AC2931" i="1"/>
  <c r="AD2931" i="1"/>
  <c r="AE2931" i="1"/>
  <c r="AF2931" i="1"/>
  <c r="AG2931" i="1"/>
  <c r="AH2931" i="1"/>
  <c r="AI2931" i="1"/>
  <c r="AJ2931" i="1"/>
  <c r="AK2931" i="1"/>
  <c r="AL2931" i="1"/>
  <c r="AM2931" i="1"/>
  <c r="A2932" i="1"/>
  <c r="B2932" i="1"/>
  <c r="C2932" i="1"/>
  <c r="D2932" i="1"/>
  <c r="E2932" i="1"/>
  <c r="F2932" i="1"/>
  <c r="G2932" i="1"/>
  <c r="H2932" i="1"/>
  <c r="I2932" i="1"/>
  <c r="J2932" i="1"/>
  <c r="K2932" i="1"/>
  <c r="L2932" i="1"/>
  <c r="M2932" i="1"/>
  <c r="N2932" i="1"/>
  <c r="O2932" i="1"/>
  <c r="P2932" i="1"/>
  <c r="Q2932" i="1"/>
  <c r="R2932" i="1"/>
  <c r="S2932" i="1"/>
  <c r="T2932" i="1"/>
  <c r="U2932" i="1"/>
  <c r="V2932" i="1"/>
  <c r="W2932" i="1"/>
  <c r="X2932" i="1"/>
  <c r="Y2932" i="1"/>
  <c r="Z2932" i="1"/>
  <c r="AA2932" i="1"/>
  <c r="AB2932" i="1"/>
  <c r="AC2932" i="1"/>
  <c r="AD2932" i="1"/>
  <c r="AE2932" i="1"/>
  <c r="AF2932" i="1"/>
  <c r="AG2932" i="1"/>
  <c r="AH2932" i="1"/>
  <c r="AI2932" i="1"/>
  <c r="AJ2932" i="1"/>
  <c r="AK2932" i="1"/>
  <c r="AL2932" i="1"/>
  <c r="AM2932" i="1"/>
  <c r="A2933" i="1"/>
  <c r="B2933" i="1"/>
  <c r="C2933" i="1"/>
  <c r="D2933" i="1"/>
  <c r="E2933" i="1"/>
  <c r="F2933" i="1"/>
  <c r="G2933" i="1"/>
  <c r="H2933" i="1"/>
  <c r="I2933" i="1"/>
  <c r="J2933" i="1"/>
  <c r="K2933" i="1"/>
  <c r="L2933" i="1"/>
  <c r="M2933" i="1"/>
  <c r="N2933" i="1"/>
  <c r="O2933" i="1"/>
  <c r="P2933" i="1"/>
  <c r="Q2933" i="1"/>
  <c r="R2933" i="1"/>
  <c r="S2933" i="1"/>
  <c r="T2933" i="1"/>
  <c r="U2933" i="1"/>
  <c r="V2933" i="1"/>
  <c r="W2933" i="1"/>
  <c r="X2933" i="1"/>
  <c r="Y2933" i="1"/>
  <c r="Z2933" i="1"/>
  <c r="AA2933" i="1"/>
  <c r="AB2933" i="1"/>
  <c r="AC2933" i="1"/>
  <c r="AD2933" i="1"/>
  <c r="AE2933" i="1"/>
  <c r="AF2933" i="1"/>
  <c r="AG2933" i="1"/>
  <c r="AH2933" i="1"/>
  <c r="AI2933" i="1"/>
  <c r="AJ2933" i="1"/>
  <c r="AK2933" i="1"/>
  <c r="AL2933" i="1"/>
  <c r="AM2933" i="1"/>
  <c r="A2934" i="1"/>
  <c r="B2934" i="1"/>
  <c r="C2934" i="1"/>
  <c r="D2934" i="1"/>
  <c r="E2934" i="1"/>
  <c r="F2934" i="1"/>
  <c r="G2934" i="1"/>
  <c r="H2934" i="1"/>
  <c r="I2934" i="1"/>
  <c r="J2934" i="1"/>
  <c r="K2934" i="1"/>
  <c r="L2934" i="1"/>
  <c r="M2934" i="1"/>
  <c r="N2934" i="1"/>
  <c r="O2934" i="1"/>
  <c r="P2934" i="1"/>
  <c r="Q2934" i="1"/>
  <c r="R2934" i="1"/>
  <c r="S2934" i="1"/>
  <c r="T2934" i="1"/>
  <c r="U2934" i="1"/>
  <c r="V2934" i="1"/>
  <c r="W2934" i="1"/>
  <c r="X2934" i="1"/>
  <c r="Y2934" i="1"/>
  <c r="Z2934" i="1"/>
  <c r="AA2934" i="1"/>
  <c r="AB2934" i="1"/>
  <c r="AC2934" i="1"/>
  <c r="AD2934" i="1"/>
  <c r="AE2934" i="1"/>
  <c r="AF2934" i="1"/>
  <c r="AG2934" i="1"/>
  <c r="AH2934" i="1"/>
  <c r="AI2934" i="1"/>
  <c r="AJ2934" i="1"/>
  <c r="AK2934" i="1"/>
  <c r="AL2934" i="1"/>
  <c r="AM2934" i="1"/>
  <c r="A2935" i="1"/>
  <c r="B2935" i="1"/>
  <c r="C2935" i="1"/>
  <c r="D2935" i="1"/>
  <c r="E2935" i="1"/>
  <c r="F2935" i="1"/>
  <c r="G2935" i="1"/>
  <c r="H2935" i="1"/>
  <c r="I2935" i="1"/>
  <c r="J2935" i="1"/>
  <c r="K2935" i="1"/>
  <c r="L2935" i="1"/>
  <c r="M2935" i="1"/>
  <c r="N2935" i="1"/>
  <c r="O2935" i="1"/>
  <c r="P2935" i="1"/>
  <c r="Q2935" i="1"/>
  <c r="R2935" i="1"/>
  <c r="S2935" i="1"/>
  <c r="T2935" i="1"/>
  <c r="U2935" i="1"/>
  <c r="V2935" i="1"/>
  <c r="W2935" i="1"/>
  <c r="X2935" i="1"/>
  <c r="Y2935" i="1"/>
  <c r="Z2935" i="1"/>
  <c r="AA2935" i="1"/>
  <c r="AB2935" i="1"/>
  <c r="AC2935" i="1"/>
  <c r="AD2935" i="1"/>
  <c r="AE2935" i="1"/>
  <c r="AF2935" i="1"/>
  <c r="AG2935" i="1"/>
  <c r="AH2935" i="1"/>
  <c r="AI2935" i="1"/>
  <c r="AJ2935" i="1"/>
  <c r="AK2935" i="1"/>
  <c r="AL2935" i="1"/>
  <c r="AM2935" i="1"/>
  <c r="A2936" i="1"/>
  <c r="B2936" i="1"/>
  <c r="C2936" i="1"/>
  <c r="D2936" i="1"/>
  <c r="E2936" i="1"/>
  <c r="F2936" i="1"/>
  <c r="G2936" i="1"/>
  <c r="H2936" i="1"/>
  <c r="I2936" i="1"/>
  <c r="J2936" i="1"/>
  <c r="K2936" i="1"/>
  <c r="L2936" i="1"/>
  <c r="M2936" i="1"/>
  <c r="N2936" i="1"/>
  <c r="O2936" i="1"/>
  <c r="P2936" i="1"/>
  <c r="Q2936" i="1"/>
  <c r="R2936" i="1"/>
  <c r="S2936" i="1"/>
  <c r="T2936" i="1"/>
  <c r="U2936" i="1"/>
  <c r="V2936" i="1"/>
  <c r="W2936" i="1"/>
  <c r="X2936" i="1"/>
  <c r="Y2936" i="1"/>
  <c r="Z2936" i="1"/>
  <c r="AA2936" i="1"/>
  <c r="AB2936" i="1"/>
  <c r="AC2936" i="1"/>
  <c r="AD2936" i="1"/>
  <c r="AE2936" i="1"/>
  <c r="AF2936" i="1"/>
  <c r="AG2936" i="1"/>
  <c r="AH2936" i="1"/>
  <c r="AI2936" i="1"/>
  <c r="AJ2936" i="1"/>
  <c r="AK2936" i="1"/>
  <c r="AL2936" i="1"/>
  <c r="AM2936" i="1"/>
  <c r="A2937" i="1"/>
  <c r="B2937" i="1"/>
  <c r="C2937" i="1"/>
  <c r="D2937" i="1"/>
  <c r="E2937" i="1"/>
  <c r="F2937" i="1"/>
  <c r="G2937" i="1"/>
  <c r="H2937" i="1"/>
  <c r="I2937" i="1"/>
  <c r="J2937" i="1"/>
  <c r="K2937" i="1"/>
  <c r="L2937" i="1"/>
  <c r="M2937" i="1"/>
  <c r="N2937" i="1"/>
  <c r="O2937" i="1"/>
  <c r="P2937" i="1"/>
  <c r="Q2937" i="1"/>
  <c r="R2937" i="1"/>
  <c r="S2937" i="1"/>
  <c r="T2937" i="1"/>
  <c r="U2937" i="1"/>
  <c r="V2937" i="1"/>
  <c r="W2937" i="1"/>
  <c r="X2937" i="1"/>
  <c r="Y2937" i="1"/>
  <c r="Z2937" i="1"/>
  <c r="AA2937" i="1"/>
  <c r="AB2937" i="1"/>
  <c r="AC2937" i="1"/>
  <c r="AD2937" i="1"/>
  <c r="AE2937" i="1"/>
  <c r="AF2937" i="1"/>
  <c r="AG2937" i="1"/>
  <c r="AH2937" i="1"/>
  <c r="AI2937" i="1"/>
  <c r="AJ2937" i="1"/>
  <c r="AK2937" i="1"/>
  <c r="AL2937" i="1"/>
  <c r="AM2937" i="1"/>
  <c r="A2938" i="1"/>
  <c r="B2938" i="1"/>
  <c r="C2938" i="1"/>
  <c r="D2938" i="1"/>
  <c r="E2938" i="1"/>
  <c r="F2938" i="1"/>
  <c r="G2938" i="1"/>
  <c r="H2938" i="1"/>
  <c r="I2938" i="1"/>
  <c r="J2938" i="1"/>
  <c r="K2938" i="1"/>
  <c r="L2938" i="1"/>
  <c r="M2938" i="1"/>
  <c r="N2938" i="1"/>
  <c r="O2938" i="1"/>
  <c r="P2938" i="1"/>
  <c r="Q2938" i="1"/>
  <c r="R2938" i="1"/>
  <c r="S2938" i="1"/>
  <c r="T2938" i="1"/>
  <c r="U2938" i="1"/>
  <c r="V2938" i="1"/>
  <c r="W2938" i="1"/>
  <c r="X2938" i="1"/>
  <c r="Y2938" i="1"/>
  <c r="Z2938" i="1"/>
  <c r="AA2938" i="1"/>
  <c r="AB2938" i="1"/>
  <c r="AC2938" i="1"/>
  <c r="AD2938" i="1"/>
  <c r="AE2938" i="1"/>
  <c r="AF2938" i="1"/>
  <c r="AG2938" i="1"/>
  <c r="AH2938" i="1"/>
  <c r="AI2938" i="1"/>
  <c r="AJ2938" i="1"/>
  <c r="AK2938" i="1"/>
  <c r="AL2938" i="1"/>
  <c r="AM2938" i="1"/>
  <c r="A2939" i="1"/>
  <c r="B2939" i="1"/>
  <c r="C2939" i="1"/>
  <c r="D2939" i="1"/>
  <c r="E2939" i="1"/>
  <c r="F2939" i="1"/>
  <c r="G2939" i="1"/>
  <c r="H2939" i="1"/>
  <c r="I2939" i="1"/>
  <c r="J2939" i="1"/>
  <c r="K2939" i="1"/>
  <c r="L2939" i="1"/>
  <c r="M2939" i="1"/>
  <c r="N2939" i="1"/>
  <c r="O2939" i="1"/>
  <c r="P2939" i="1"/>
  <c r="Q2939" i="1"/>
  <c r="R2939" i="1"/>
  <c r="S2939" i="1"/>
  <c r="T2939" i="1"/>
  <c r="U2939" i="1"/>
  <c r="V2939" i="1"/>
  <c r="W2939" i="1"/>
  <c r="X2939" i="1"/>
  <c r="Y2939" i="1"/>
  <c r="Z2939" i="1"/>
  <c r="AA2939" i="1"/>
  <c r="AB2939" i="1"/>
  <c r="AC2939" i="1"/>
  <c r="AD2939" i="1"/>
  <c r="AE2939" i="1"/>
  <c r="AF2939" i="1"/>
  <c r="AG2939" i="1"/>
  <c r="AH2939" i="1"/>
  <c r="AI2939" i="1"/>
  <c r="AJ2939" i="1"/>
  <c r="AK2939" i="1"/>
  <c r="AL2939" i="1"/>
  <c r="AM2939" i="1"/>
  <c r="A2940" i="1"/>
  <c r="B2940" i="1"/>
  <c r="C2940" i="1"/>
  <c r="D2940" i="1"/>
  <c r="E2940" i="1"/>
  <c r="F2940" i="1"/>
  <c r="G2940" i="1"/>
  <c r="H2940" i="1"/>
  <c r="I2940" i="1"/>
  <c r="J2940" i="1"/>
  <c r="K2940" i="1"/>
  <c r="L2940" i="1"/>
  <c r="M2940" i="1"/>
  <c r="N2940" i="1"/>
  <c r="O2940" i="1"/>
  <c r="P2940" i="1"/>
  <c r="Q2940" i="1"/>
  <c r="R2940" i="1"/>
  <c r="S2940" i="1"/>
  <c r="T2940" i="1"/>
  <c r="U2940" i="1"/>
  <c r="V2940" i="1"/>
  <c r="W2940" i="1"/>
  <c r="X2940" i="1"/>
  <c r="Y2940" i="1"/>
  <c r="Z2940" i="1"/>
  <c r="AA2940" i="1"/>
  <c r="AB2940" i="1"/>
  <c r="AC2940" i="1"/>
  <c r="AD2940" i="1"/>
  <c r="AE2940" i="1"/>
  <c r="AF2940" i="1"/>
  <c r="AG2940" i="1"/>
  <c r="AH2940" i="1"/>
  <c r="AI2940" i="1"/>
  <c r="AJ2940" i="1"/>
  <c r="AK2940" i="1"/>
  <c r="AL2940" i="1"/>
  <c r="AM2940" i="1"/>
  <c r="A2941" i="1"/>
  <c r="B2941" i="1"/>
  <c r="C2941" i="1"/>
  <c r="D2941" i="1"/>
  <c r="E2941" i="1"/>
  <c r="F2941" i="1"/>
  <c r="G2941" i="1"/>
  <c r="H2941" i="1"/>
  <c r="I2941" i="1"/>
  <c r="J2941" i="1"/>
  <c r="K2941" i="1"/>
  <c r="L2941" i="1"/>
  <c r="M2941" i="1"/>
  <c r="N2941" i="1"/>
  <c r="O2941" i="1"/>
  <c r="P2941" i="1"/>
  <c r="Q2941" i="1"/>
  <c r="R2941" i="1"/>
  <c r="S2941" i="1"/>
  <c r="T2941" i="1"/>
  <c r="U2941" i="1"/>
  <c r="V2941" i="1"/>
  <c r="W2941" i="1"/>
  <c r="X2941" i="1"/>
  <c r="Y2941" i="1"/>
  <c r="Z2941" i="1"/>
  <c r="AA2941" i="1"/>
  <c r="AB2941" i="1"/>
  <c r="AC2941" i="1"/>
  <c r="AD2941" i="1"/>
  <c r="AE2941" i="1"/>
  <c r="AF2941" i="1"/>
  <c r="AG2941" i="1"/>
  <c r="AH2941" i="1"/>
  <c r="AI2941" i="1"/>
  <c r="AJ2941" i="1"/>
  <c r="AK2941" i="1"/>
  <c r="AL2941" i="1"/>
  <c r="AM2941" i="1"/>
  <c r="A2942" i="1"/>
  <c r="B2942" i="1"/>
  <c r="C2942" i="1"/>
  <c r="D2942" i="1"/>
  <c r="E2942" i="1"/>
  <c r="F2942" i="1"/>
  <c r="G2942" i="1"/>
  <c r="H2942" i="1"/>
  <c r="I2942" i="1"/>
  <c r="J2942" i="1"/>
  <c r="K2942" i="1"/>
  <c r="L2942" i="1"/>
  <c r="M2942" i="1"/>
  <c r="N2942" i="1"/>
  <c r="O2942" i="1"/>
  <c r="P2942" i="1"/>
  <c r="Q2942" i="1"/>
  <c r="R2942" i="1"/>
  <c r="S2942" i="1"/>
  <c r="T2942" i="1"/>
  <c r="U2942" i="1"/>
  <c r="V2942" i="1"/>
  <c r="W2942" i="1"/>
  <c r="X2942" i="1"/>
  <c r="Y2942" i="1"/>
  <c r="Z2942" i="1"/>
  <c r="AA2942" i="1"/>
  <c r="AB2942" i="1"/>
  <c r="AC2942" i="1"/>
  <c r="AD2942" i="1"/>
  <c r="AE2942" i="1"/>
  <c r="AF2942" i="1"/>
  <c r="AG2942" i="1"/>
  <c r="AH2942" i="1"/>
  <c r="AI2942" i="1"/>
  <c r="AJ2942" i="1"/>
  <c r="AK2942" i="1"/>
  <c r="AL2942" i="1"/>
  <c r="AM2942" i="1"/>
  <c r="A2943" i="1"/>
  <c r="B2943" i="1"/>
  <c r="C2943" i="1"/>
  <c r="D2943" i="1"/>
  <c r="E2943" i="1"/>
  <c r="F2943" i="1"/>
  <c r="G2943" i="1"/>
  <c r="H2943" i="1"/>
  <c r="I2943" i="1"/>
  <c r="J2943" i="1"/>
  <c r="K2943" i="1"/>
  <c r="L2943" i="1"/>
  <c r="M2943" i="1"/>
  <c r="N2943" i="1"/>
  <c r="O2943" i="1"/>
  <c r="P2943" i="1"/>
  <c r="Q2943" i="1"/>
  <c r="R2943" i="1"/>
  <c r="S2943" i="1"/>
  <c r="T2943" i="1"/>
  <c r="U2943" i="1"/>
  <c r="V2943" i="1"/>
  <c r="W2943" i="1"/>
  <c r="X2943" i="1"/>
  <c r="Y2943" i="1"/>
  <c r="Z2943" i="1"/>
  <c r="AA2943" i="1"/>
  <c r="AB2943" i="1"/>
  <c r="AC2943" i="1"/>
  <c r="AD2943" i="1"/>
  <c r="AE2943" i="1"/>
  <c r="AF2943" i="1"/>
  <c r="AG2943" i="1"/>
  <c r="AH2943" i="1"/>
  <c r="AI2943" i="1"/>
  <c r="AJ2943" i="1"/>
  <c r="AK2943" i="1"/>
  <c r="AL2943" i="1"/>
  <c r="AM2943" i="1"/>
  <c r="A2944" i="1"/>
  <c r="B2944" i="1"/>
  <c r="C2944" i="1"/>
  <c r="D2944" i="1"/>
  <c r="E2944" i="1"/>
  <c r="F2944" i="1"/>
  <c r="G2944" i="1"/>
  <c r="H2944" i="1"/>
  <c r="I2944" i="1"/>
  <c r="J2944" i="1"/>
  <c r="K2944" i="1"/>
  <c r="L2944" i="1"/>
  <c r="M2944" i="1"/>
  <c r="N2944" i="1"/>
  <c r="O2944" i="1"/>
  <c r="P2944" i="1"/>
  <c r="Q2944" i="1"/>
  <c r="R2944" i="1"/>
  <c r="S2944" i="1"/>
  <c r="T2944" i="1"/>
  <c r="U2944" i="1"/>
  <c r="V2944" i="1"/>
  <c r="W2944" i="1"/>
  <c r="X2944" i="1"/>
  <c r="Y2944" i="1"/>
  <c r="Z2944" i="1"/>
  <c r="AA2944" i="1"/>
  <c r="AB2944" i="1"/>
  <c r="AC2944" i="1"/>
  <c r="AD2944" i="1"/>
  <c r="AE2944" i="1"/>
  <c r="AF2944" i="1"/>
  <c r="AG2944" i="1"/>
  <c r="AH2944" i="1"/>
  <c r="AI2944" i="1"/>
  <c r="AJ2944" i="1"/>
  <c r="AK2944" i="1"/>
  <c r="AL2944" i="1"/>
  <c r="AM2944" i="1"/>
  <c r="A2945" i="1"/>
  <c r="B2945" i="1"/>
  <c r="C2945" i="1"/>
  <c r="D2945" i="1"/>
  <c r="E2945" i="1"/>
  <c r="F2945" i="1"/>
  <c r="G2945" i="1"/>
  <c r="H2945" i="1"/>
  <c r="I2945" i="1"/>
  <c r="J2945" i="1"/>
  <c r="K2945" i="1"/>
  <c r="L2945" i="1"/>
  <c r="M2945" i="1"/>
  <c r="N2945" i="1"/>
  <c r="O2945" i="1"/>
  <c r="P2945" i="1"/>
  <c r="Q2945" i="1"/>
  <c r="R2945" i="1"/>
  <c r="S2945" i="1"/>
  <c r="T2945" i="1"/>
  <c r="U2945" i="1"/>
  <c r="V2945" i="1"/>
  <c r="W2945" i="1"/>
  <c r="X2945" i="1"/>
  <c r="Y2945" i="1"/>
  <c r="Z2945" i="1"/>
  <c r="AA2945" i="1"/>
  <c r="AB2945" i="1"/>
  <c r="AC2945" i="1"/>
  <c r="AD2945" i="1"/>
  <c r="AE2945" i="1"/>
  <c r="AF2945" i="1"/>
  <c r="AG2945" i="1"/>
  <c r="AH2945" i="1"/>
  <c r="AI2945" i="1"/>
  <c r="AJ2945" i="1"/>
  <c r="AK2945" i="1"/>
  <c r="AL2945" i="1"/>
  <c r="AM2945" i="1"/>
  <c r="A2946" i="1"/>
  <c r="B2946" i="1"/>
  <c r="C2946" i="1"/>
  <c r="D2946" i="1"/>
  <c r="E2946" i="1"/>
  <c r="F2946" i="1"/>
  <c r="G2946" i="1"/>
  <c r="H2946" i="1"/>
  <c r="I2946" i="1"/>
  <c r="J2946" i="1"/>
  <c r="K2946" i="1"/>
  <c r="L2946" i="1"/>
  <c r="M2946" i="1"/>
  <c r="N2946" i="1"/>
  <c r="O2946" i="1"/>
  <c r="P2946" i="1"/>
  <c r="Q2946" i="1"/>
  <c r="R2946" i="1"/>
  <c r="S2946" i="1"/>
  <c r="T2946" i="1"/>
  <c r="U2946" i="1"/>
  <c r="V2946" i="1"/>
  <c r="W2946" i="1"/>
  <c r="X2946" i="1"/>
  <c r="Y2946" i="1"/>
  <c r="Z2946" i="1"/>
  <c r="AA2946" i="1"/>
  <c r="AB2946" i="1"/>
  <c r="AC2946" i="1"/>
  <c r="AD2946" i="1"/>
  <c r="AE2946" i="1"/>
  <c r="AF2946" i="1"/>
  <c r="AG2946" i="1"/>
  <c r="AH2946" i="1"/>
  <c r="AI2946" i="1"/>
  <c r="AJ2946" i="1"/>
  <c r="AK2946" i="1"/>
  <c r="AL2946" i="1"/>
  <c r="AM2946" i="1"/>
  <c r="A2947" i="1"/>
  <c r="B2947" i="1"/>
  <c r="C2947" i="1"/>
  <c r="D2947" i="1"/>
  <c r="E2947" i="1"/>
  <c r="F2947" i="1"/>
  <c r="G2947" i="1"/>
  <c r="H2947" i="1"/>
  <c r="I2947" i="1"/>
  <c r="J2947" i="1"/>
  <c r="K2947" i="1"/>
  <c r="L2947" i="1"/>
  <c r="M2947" i="1"/>
  <c r="N2947" i="1"/>
  <c r="O2947" i="1"/>
  <c r="P2947" i="1"/>
  <c r="Q2947" i="1"/>
  <c r="R2947" i="1"/>
  <c r="S2947" i="1"/>
  <c r="T2947" i="1"/>
  <c r="U2947" i="1"/>
  <c r="V2947" i="1"/>
  <c r="W2947" i="1"/>
  <c r="X2947" i="1"/>
  <c r="Y2947" i="1"/>
  <c r="Z2947" i="1"/>
  <c r="AA2947" i="1"/>
  <c r="AB2947" i="1"/>
  <c r="AC2947" i="1"/>
  <c r="AD2947" i="1"/>
  <c r="AE2947" i="1"/>
  <c r="AF2947" i="1"/>
  <c r="AG2947" i="1"/>
  <c r="AH2947" i="1"/>
  <c r="AI2947" i="1"/>
  <c r="AJ2947" i="1"/>
  <c r="AK2947" i="1"/>
  <c r="AL2947" i="1"/>
  <c r="AM2947" i="1"/>
  <c r="A2948" i="1"/>
  <c r="B2948" i="1"/>
  <c r="C2948" i="1"/>
  <c r="D2948" i="1"/>
  <c r="E2948" i="1"/>
  <c r="F2948" i="1"/>
  <c r="G2948" i="1"/>
  <c r="H2948" i="1"/>
  <c r="I2948" i="1"/>
  <c r="J2948" i="1"/>
  <c r="K2948" i="1"/>
  <c r="L2948" i="1"/>
  <c r="M2948" i="1"/>
  <c r="N2948" i="1"/>
  <c r="O2948" i="1"/>
  <c r="P2948" i="1"/>
  <c r="Q2948" i="1"/>
  <c r="R2948" i="1"/>
  <c r="S2948" i="1"/>
  <c r="T2948" i="1"/>
  <c r="U2948" i="1"/>
  <c r="V2948" i="1"/>
  <c r="W2948" i="1"/>
  <c r="X2948" i="1"/>
  <c r="Y2948" i="1"/>
  <c r="Z2948" i="1"/>
  <c r="AA2948" i="1"/>
  <c r="AB2948" i="1"/>
  <c r="AC2948" i="1"/>
  <c r="AD2948" i="1"/>
  <c r="AE2948" i="1"/>
  <c r="AF2948" i="1"/>
  <c r="AG2948" i="1"/>
  <c r="AH2948" i="1"/>
  <c r="AI2948" i="1"/>
  <c r="AJ2948" i="1"/>
  <c r="AK2948" i="1"/>
  <c r="AL2948" i="1"/>
  <c r="AM2948" i="1"/>
  <c r="A2949" i="1"/>
  <c r="B2949" i="1"/>
  <c r="C2949" i="1"/>
  <c r="D2949" i="1"/>
  <c r="E2949" i="1"/>
  <c r="F2949" i="1"/>
  <c r="G2949" i="1"/>
  <c r="H2949" i="1"/>
  <c r="I2949" i="1"/>
  <c r="J2949" i="1"/>
  <c r="K2949" i="1"/>
  <c r="L2949" i="1"/>
  <c r="M2949" i="1"/>
  <c r="N2949" i="1"/>
  <c r="O2949" i="1"/>
  <c r="P2949" i="1"/>
  <c r="Q2949" i="1"/>
  <c r="R2949" i="1"/>
  <c r="S2949" i="1"/>
  <c r="T2949" i="1"/>
  <c r="U2949" i="1"/>
  <c r="V2949" i="1"/>
  <c r="W2949" i="1"/>
  <c r="X2949" i="1"/>
  <c r="Y2949" i="1"/>
  <c r="Z2949" i="1"/>
  <c r="AA2949" i="1"/>
  <c r="AB2949" i="1"/>
  <c r="AC2949" i="1"/>
  <c r="AD2949" i="1"/>
  <c r="AE2949" i="1"/>
  <c r="AF2949" i="1"/>
  <c r="AG2949" i="1"/>
  <c r="AH2949" i="1"/>
  <c r="AI2949" i="1"/>
  <c r="AJ2949" i="1"/>
  <c r="AK2949" i="1"/>
  <c r="AL2949" i="1"/>
  <c r="AM2949" i="1"/>
  <c r="A2950" i="1"/>
  <c r="B2950" i="1"/>
  <c r="C2950" i="1"/>
  <c r="D2950" i="1"/>
  <c r="E2950" i="1"/>
  <c r="F2950" i="1"/>
  <c r="G2950" i="1"/>
  <c r="H2950" i="1"/>
  <c r="I2950" i="1"/>
  <c r="J2950" i="1"/>
  <c r="K2950" i="1"/>
  <c r="L2950" i="1"/>
  <c r="M2950" i="1"/>
  <c r="N2950" i="1"/>
  <c r="O2950" i="1"/>
  <c r="P2950" i="1"/>
  <c r="Q2950" i="1"/>
  <c r="R2950" i="1"/>
  <c r="S2950" i="1"/>
  <c r="T2950" i="1"/>
  <c r="U2950" i="1"/>
  <c r="V2950" i="1"/>
  <c r="W2950" i="1"/>
  <c r="X2950" i="1"/>
  <c r="Y2950" i="1"/>
  <c r="Z2950" i="1"/>
  <c r="AA2950" i="1"/>
  <c r="AB2950" i="1"/>
  <c r="AC2950" i="1"/>
  <c r="AD2950" i="1"/>
  <c r="AE2950" i="1"/>
  <c r="AF2950" i="1"/>
  <c r="AG2950" i="1"/>
  <c r="AH2950" i="1"/>
  <c r="AI2950" i="1"/>
  <c r="AJ2950" i="1"/>
  <c r="AK2950" i="1"/>
  <c r="AL2950" i="1"/>
  <c r="AM2950" i="1"/>
  <c r="A2951" i="1"/>
  <c r="B2951" i="1"/>
  <c r="C2951" i="1"/>
  <c r="D2951" i="1"/>
  <c r="E2951" i="1"/>
  <c r="F2951" i="1"/>
  <c r="G2951" i="1"/>
  <c r="H2951" i="1"/>
  <c r="I2951" i="1"/>
  <c r="J2951" i="1"/>
  <c r="K2951" i="1"/>
  <c r="L2951" i="1"/>
  <c r="M2951" i="1"/>
  <c r="N2951" i="1"/>
  <c r="O2951" i="1"/>
  <c r="P2951" i="1"/>
  <c r="Q2951" i="1"/>
  <c r="R2951" i="1"/>
  <c r="S2951" i="1"/>
  <c r="T2951" i="1"/>
  <c r="U2951" i="1"/>
  <c r="V2951" i="1"/>
  <c r="W2951" i="1"/>
  <c r="X2951" i="1"/>
  <c r="Y2951" i="1"/>
  <c r="Z2951" i="1"/>
  <c r="AA2951" i="1"/>
  <c r="AB2951" i="1"/>
  <c r="AC2951" i="1"/>
  <c r="AD2951" i="1"/>
  <c r="AE2951" i="1"/>
  <c r="AF2951" i="1"/>
  <c r="AG2951" i="1"/>
  <c r="AH2951" i="1"/>
  <c r="AI2951" i="1"/>
  <c r="AJ2951" i="1"/>
  <c r="AK2951" i="1"/>
  <c r="AL2951" i="1"/>
  <c r="AM2951" i="1"/>
  <c r="A2952" i="1"/>
  <c r="B2952" i="1"/>
  <c r="C2952" i="1"/>
  <c r="D2952" i="1"/>
  <c r="E2952" i="1"/>
  <c r="F2952" i="1"/>
  <c r="G2952" i="1"/>
  <c r="H2952" i="1"/>
  <c r="I2952" i="1"/>
  <c r="J2952" i="1"/>
  <c r="K2952" i="1"/>
  <c r="L2952" i="1"/>
  <c r="M2952" i="1"/>
  <c r="N2952" i="1"/>
  <c r="O2952" i="1"/>
  <c r="P2952" i="1"/>
  <c r="Q2952" i="1"/>
  <c r="R2952" i="1"/>
  <c r="S2952" i="1"/>
  <c r="T2952" i="1"/>
  <c r="U2952" i="1"/>
  <c r="V2952" i="1"/>
  <c r="W2952" i="1"/>
  <c r="X2952" i="1"/>
  <c r="Y2952" i="1"/>
  <c r="Z2952" i="1"/>
  <c r="AA2952" i="1"/>
  <c r="AB2952" i="1"/>
  <c r="AC2952" i="1"/>
  <c r="AD2952" i="1"/>
  <c r="AE2952" i="1"/>
  <c r="AF2952" i="1"/>
  <c r="AG2952" i="1"/>
  <c r="AH2952" i="1"/>
  <c r="AI2952" i="1"/>
  <c r="AJ2952" i="1"/>
  <c r="AK2952" i="1"/>
  <c r="AL2952" i="1"/>
  <c r="AM2952" i="1"/>
  <c r="A2953" i="1"/>
  <c r="B2953" i="1"/>
  <c r="C2953" i="1"/>
  <c r="D2953" i="1"/>
  <c r="E2953" i="1"/>
  <c r="F2953" i="1"/>
  <c r="G2953" i="1"/>
  <c r="H2953" i="1"/>
  <c r="I2953" i="1"/>
  <c r="J2953" i="1"/>
  <c r="K2953" i="1"/>
  <c r="L2953" i="1"/>
  <c r="M2953" i="1"/>
  <c r="N2953" i="1"/>
  <c r="O2953" i="1"/>
  <c r="P2953" i="1"/>
  <c r="Q2953" i="1"/>
  <c r="R2953" i="1"/>
  <c r="S2953" i="1"/>
  <c r="T2953" i="1"/>
  <c r="U2953" i="1"/>
  <c r="V2953" i="1"/>
  <c r="W2953" i="1"/>
  <c r="X2953" i="1"/>
  <c r="Y2953" i="1"/>
  <c r="Z2953" i="1"/>
  <c r="AA2953" i="1"/>
  <c r="AB2953" i="1"/>
  <c r="AC2953" i="1"/>
  <c r="AD2953" i="1"/>
  <c r="AE2953" i="1"/>
  <c r="AF2953" i="1"/>
  <c r="AG2953" i="1"/>
  <c r="AH2953" i="1"/>
  <c r="AI2953" i="1"/>
  <c r="AJ2953" i="1"/>
  <c r="AK2953" i="1"/>
  <c r="AL2953" i="1"/>
  <c r="AM2953" i="1"/>
  <c r="A2954" i="1"/>
  <c r="B2954" i="1"/>
  <c r="C2954" i="1"/>
  <c r="D2954" i="1"/>
  <c r="E2954" i="1"/>
  <c r="F2954" i="1"/>
  <c r="G2954" i="1"/>
  <c r="H2954" i="1"/>
  <c r="I2954" i="1"/>
  <c r="J2954" i="1"/>
  <c r="K2954" i="1"/>
  <c r="L2954" i="1"/>
  <c r="M2954" i="1"/>
  <c r="N2954" i="1"/>
  <c r="O2954" i="1"/>
  <c r="P2954" i="1"/>
  <c r="Q2954" i="1"/>
  <c r="R2954" i="1"/>
  <c r="S2954" i="1"/>
  <c r="T2954" i="1"/>
  <c r="U2954" i="1"/>
  <c r="V2954" i="1"/>
  <c r="W2954" i="1"/>
  <c r="X2954" i="1"/>
  <c r="Y2954" i="1"/>
  <c r="Z2954" i="1"/>
  <c r="AA2954" i="1"/>
  <c r="AB2954" i="1"/>
  <c r="AC2954" i="1"/>
  <c r="AD2954" i="1"/>
  <c r="AE2954" i="1"/>
  <c r="AF2954" i="1"/>
  <c r="AG2954" i="1"/>
  <c r="AH2954" i="1"/>
  <c r="AI2954" i="1"/>
  <c r="AJ2954" i="1"/>
  <c r="AK2954" i="1"/>
  <c r="AL2954" i="1"/>
  <c r="AM2954" i="1"/>
  <c r="A2955" i="1"/>
  <c r="B2955" i="1"/>
  <c r="C2955" i="1"/>
  <c r="D2955" i="1"/>
  <c r="E2955" i="1"/>
  <c r="F2955" i="1"/>
  <c r="G2955" i="1"/>
  <c r="H2955" i="1"/>
  <c r="I2955" i="1"/>
  <c r="J2955" i="1"/>
  <c r="K2955" i="1"/>
  <c r="L2955" i="1"/>
  <c r="M2955" i="1"/>
  <c r="N2955" i="1"/>
  <c r="O2955" i="1"/>
  <c r="P2955" i="1"/>
  <c r="Q2955" i="1"/>
  <c r="R2955" i="1"/>
  <c r="S2955" i="1"/>
  <c r="T2955" i="1"/>
  <c r="U2955" i="1"/>
  <c r="V2955" i="1"/>
  <c r="W2955" i="1"/>
  <c r="X2955" i="1"/>
  <c r="Y2955" i="1"/>
  <c r="Z2955" i="1"/>
  <c r="AA2955" i="1"/>
  <c r="AB2955" i="1"/>
  <c r="AC2955" i="1"/>
  <c r="AD2955" i="1"/>
  <c r="AE2955" i="1"/>
  <c r="AF2955" i="1"/>
  <c r="AG2955" i="1"/>
  <c r="AH2955" i="1"/>
  <c r="AI2955" i="1"/>
  <c r="AJ2955" i="1"/>
  <c r="AK2955" i="1"/>
  <c r="AL2955" i="1"/>
  <c r="AM2955" i="1"/>
  <c r="A2956" i="1"/>
  <c r="B2956" i="1"/>
  <c r="C2956" i="1"/>
  <c r="D2956" i="1"/>
  <c r="E2956" i="1"/>
  <c r="F2956" i="1"/>
  <c r="G2956" i="1"/>
  <c r="H2956" i="1"/>
  <c r="I2956" i="1"/>
  <c r="J2956" i="1"/>
  <c r="K2956" i="1"/>
  <c r="L2956" i="1"/>
  <c r="M2956" i="1"/>
  <c r="N2956" i="1"/>
  <c r="O2956" i="1"/>
  <c r="P2956" i="1"/>
  <c r="Q2956" i="1"/>
  <c r="R2956" i="1"/>
  <c r="S2956" i="1"/>
  <c r="T2956" i="1"/>
  <c r="U2956" i="1"/>
  <c r="V2956" i="1"/>
  <c r="W2956" i="1"/>
  <c r="X2956" i="1"/>
  <c r="Y2956" i="1"/>
  <c r="Z2956" i="1"/>
  <c r="AA2956" i="1"/>
  <c r="AB2956" i="1"/>
  <c r="AC2956" i="1"/>
  <c r="AD2956" i="1"/>
  <c r="AE2956" i="1"/>
  <c r="AF2956" i="1"/>
  <c r="AG2956" i="1"/>
  <c r="AH2956" i="1"/>
  <c r="AI2956" i="1"/>
  <c r="AJ2956" i="1"/>
  <c r="AK2956" i="1"/>
  <c r="AL2956" i="1"/>
  <c r="AM2956" i="1"/>
  <c r="A2957" i="1"/>
  <c r="B2957" i="1"/>
  <c r="C2957" i="1"/>
  <c r="D2957" i="1"/>
  <c r="E2957" i="1"/>
  <c r="F2957" i="1"/>
  <c r="G2957" i="1"/>
  <c r="H2957" i="1"/>
  <c r="I2957" i="1"/>
  <c r="J2957" i="1"/>
  <c r="K2957" i="1"/>
  <c r="L2957" i="1"/>
  <c r="M2957" i="1"/>
  <c r="N2957" i="1"/>
  <c r="O2957" i="1"/>
  <c r="P2957" i="1"/>
  <c r="Q2957" i="1"/>
  <c r="R2957" i="1"/>
  <c r="S2957" i="1"/>
  <c r="T2957" i="1"/>
  <c r="U2957" i="1"/>
  <c r="V2957" i="1"/>
  <c r="W2957" i="1"/>
  <c r="X2957" i="1"/>
  <c r="Y2957" i="1"/>
  <c r="Z2957" i="1"/>
  <c r="AA2957" i="1"/>
  <c r="AB2957" i="1"/>
  <c r="AC2957" i="1"/>
  <c r="AD2957" i="1"/>
  <c r="AE2957" i="1"/>
  <c r="AF2957" i="1"/>
  <c r="AG2957" i="1"/>
  <c r="AH2957" i="1"/>
  <c r="AI2957" i="1"/>
  <c r="AJ2957" i="1"/>
  <c r="AK2957" i="1"/>
  <c r="AL2957" i="1"/>
  <c r="AM2957" i="1"/>
  <c r="A2958" i="1"/>
  <c r="B2958" i="1"/>
  <c r="C2958" i="1"/>
  <c r="D2958" i="1"/>
  <c r="E2958" i="1"/>
  <c r="F2958" i="1"/>
  <c r="G2958" i="1"/>
  <c r="H2958" i="1"/>
  <c r="I2958" i="1"/>
  <c r="J2958" i="1"/>
  <c r="K2958" i="1"/>
  <c r="L2958" i="1"/>
  <c r="M2958" i="1"/>
  <c r="N2958" i="1"/>
  <c r="O2958" i="1"/>
  <c r="P2958" i="1"/>
  <c r="Q2958" i="1"/>
  <c r="R2958" i="1"/>
  <c r="S2958" i="1"/>
  <c r="T2958" i="1"/>
  <c r="U2958" i="1"/>
  <c r="V2958" i="1"/>
  <c r="W2958" i="1"/>
  <c r="X2958" i="1"/>
  <c r="Y2958" i="1"/>
  <c r="Z2958" i="1"/>
  <c r="AA2958" i="1"/>
  <c r="AB2958" i="1"/>
  <c r="AC2958" i="1"/>
  <c r="AD2958" i="1"/>
  <c r="AE2958" i="1"/>
  <c r="AF2958" i="1"/>
  <c r="AG2958" i="1"/>
  <c r="AH2958" i="1"/>
  <c r="AI2958" i="1"/>
  <c r="AJ2958" i="1"/>
  <c r="AK2958" i="1"/>
  <c r="AL2958" i="1"/>
  <c r="AM2958" i="1"/>
  <c r="A2959" i="1"/>
  <c r="B2959" i="1"/>
  <c r="C2959" i="1"/>
  <c r="D2959" i="1"/>
  <c r="E2959" i="1"/>
  <c r="F2959" i="1"/>
  <c r="G2959" i="1"/>
  <c r="H2959" i="1"/>
  <c r="I2959" i="1"/>
  <c r="J2959" i="1"/>
  <c r="K2959" i="1"/>
  <c r="L2959" i="1"/>
  <c r="M2959" i="1"/>
  <c r="N2959" i="1"/>
  <c r="O2959" i="1"/>
  <c r="P2959" i="1"/>
  <c r="Q2959" i="1"/>
  <c r="R2959" i="1"/>
  <c r="S2959" i="1"/>
  <c r="T2959" i="1"/>
  <c r="U2959" i="1"/>
  <c r="V2959" i="1"/>
  <c r="W2959" i="1"/>
  <c r="X2959" i="1"/>
  <c r="Y2959" i="1"/>
  <c r="Z2959" i="1"/>
  <c r="AA2959" i="1"/>
  <c r="AB2959" i="1"/>
  <c r="AC2959" i="1"/>
  <c r="AD2959" i="1"/>
  <c r="AE2959" i="1"/>
  <c r="AF2959" i="1"/>
  <c r="AG2959" i="1"/>
  <c r="AH2959" i="1"/>
  <c r="AI2959" i="1"/>
  <c r="AJ2959" i="1"/>
  <c r="AK2959" i="1"/>
  <c r="AL2959" i="1"/>
  <c r="AM2959" i="1"/>
  <c r="A2960" i="1"/>
  <c r="B2960" i="1"/>
  <c r="C2960" i="1"/>
  <c r="D2960" i="1"/>
  <c r="E2960" i="1"/>
  <c r="F2960" i="1"/>
  <c r="G2960" i="1"/>
  <c r="H2960" i="1"/>
  <c r="I2960" i="1"/>
  <c r="J2960" i="1"/>
  <c r="K2960" i="1"/>
  <c r="L2960" i="1"/>
  <c r="M2960" i="1"/>
  <c r="N2960" i="1"/>
  <c r="O2960" i="1"/>
  <c r="P2960" i="1"/>
  <c r="Q2960" i="1"/>
  <c r="R2960" i="1"/>
  <c r="S2960" i="1"/>
  <c r="T2960" i="1"/>
  <c r="U2960" i="1"/>
  <c r="V2960" i="1"/>
  <c r="W2960" i="1"/>
  <c r="X2960" i="1"/>
  <c r="Y2960" i="1"/>
  <c r="Z2960" i="1"/>
  <c r="AA2960" i="1"/>
  <c r="AB2960" i="1"/>
  <c r="AC2960" i="1"/>
  <c r="AD2960" i="1"/>
  <c r="AE2960" i="1"/>
  <c r="AF2960" i="1"/>
  <c r="AG2960" i="1"/>
  <c r="AH2960" i="1"/>
  <c r="AI2960" i="1"/>
  <c r="AJ2960" i="1"/>
  <c r="AK2960" i="1"/>
  <c r="AL2960" i="1"/>
  <c r="AM2960" i="1"/>
  <c r="A2961" i="1"/>
  <c r="B2961" i="1"/>
  <c r="C2961" i="1"/>
  <c r="D2961" i="1"/>
  <c r="E2961" i="1"/>
  <c r="F2961" i="1"/>
  <c r="G2961" i="1"/>
  <c r="H2961" i="1"/>
  <c r="I2961" i="1"/>
  <c r="J2961" i="1"/>
  <c r="K2961" i="1"/>
  <c r="L2961" i="1"/>
  <c r="M2961" i="1"/>
  <c r="N2961" i="1"/>
  <c r="O2961" i="1"/>
  <c r="P2961" i="1"/>
  <c r="Q2961" i="1"/>
  <c r="R2961" i="1"/>
  <c r="S2961" i="1"/>
  <c r="T2961" i="1"/>
  <c r="U2961" i="1"/>
  <c r="V2961" i="1"/>
  <c r="W2961" i="1"/>
  <c r="X2961" i="1"/>
  <c r="Y2961" i="1"/>
  <c r="Z2961" i="1"/>
  <c r="AA2961" i="1"/>
  <c r="AB2961" i="1"/>
  <c r="AC2961" i="1"/>
  <c r="AD2961" i="1"/>
  <c r="AE2961" i="1"/>
  <c r="AF2961" i="1"/>
  <c r="AG2961" i="1"/>
  <c r="AH2961" i="1"/>
  <c r="AI2961" i="1"/>
  <c r="AJ2961" i="1"/>
  <c r="AK2961" i="1"/>
  <c r="AL2961" i="1"/>
  <c r="AM2961" i="1"/>
  <c r="A2962" i="1"/>
  <c r="B2962" i="1"/>
  <c r="C2962" i="1"/>
  <c r="D2962" i="1"/>
  <c r="E2962" i="1"/>
  <c r="F2962" i="1"/>
  <c r="G2962" i="1"/>
  <c r="H2962" i="1"/>
  <c r="I2962" i="1"/>
  <c r="J2962" i="1"/>
  <c r="K2962" i="1"/>
  <c r="L2962" i="1"/>
  <c r="M2962" i="1"/>
  <c r="N2962" i="1"/>
  <c r="O2962" i="1"/>
  <c r="P2962" i="1"/>
  <c r="Q2962" i="1"/>
  <c r="R2962" i="1"/>
  <c r="S2962" i="1"/>
  <c r="T2962" i="1"/>
  <c r="U2962" i="1"/>
  <c r="V2962" i="1"/>
  <c r="W2962" i="1"/>
  <c r="X2962" i="1"/>
  <c r="Y2962" i="1"/>
  <c r="Z2962" i="1"/>
  <c r="AA2962" i="1"/>
  <c r="AB2962" i="1"/>
  <c r="AC2962" i="1"/>
  <c r="AD2962" i="1"/>
  <c r="AE2962" i="1"/>
  <c r="AF2962" i="1"/>
  <c r="AG2962" i="1"/>
  <c r="AH2962" i="1"/>
  <c r="AI2962" i="1"/>
  <c r="AJ2962" i="1"/>
  <c r="AK2962" i="1"/>
  <c r="AL2962" i="1"/>
  <c r="AM2962" i="1"/>
  <c r="A2963" i="1"/>
  <c r="B2963" i="1"/>
  <c r="C2963" i="1"/>
  <c r="D2963" i="1"/>
  <c r="E2963" i="1"/>
  <c r="F2963" i="1"/>
  <c r="G2963" i="1"/>
  <c r="H2963" i="1"/>
  <c r="I2963" i="1"/>
  <c r="J2963" i="1"/>
  <c r="K2963" i="1"/>
  <c r="L2963" i="1"/>
  <c r="M2963" i="1"/>
  <c r="N2963" i="1"/>
  <c r="O2963" i="1"/>
  <c r="P2963" i="1"/>
  <c r="Q2963" i="1"/>
  <c r="R2963" i="1"/>
  <c r="S2963" i="1"/>
  <c r="T2963" i="1"/>
  <c r="U2963" i="1"/>
  <c r="V2963" i="1"/>
  <c r="W2963" i="1"/>
  <c r="X2963" i="1"/>
  <c r="Y2963" i="1"/>
  <c r="Z2963" i="1"/>
  <c r="AA2963" i="1"/>
  <c r="AB2963" i="1"/>
  <c r="AC2963" i="1"/>
  <c r="AD2963" i="1"/>
  <c r="AE2963" i="1"/>
  <c r="AF2963" i="1"/>
  <c r="AG2963" i="1"/>
  <c r="AH2963" i="1"/>
  <c r="AI2963" i="1"/>
  <c r="AJ2963" i="1"/>
  <c r="AK2963" i="1"/>
  <c r="AL2963" i="1"/>
  <c r="AM2963" i="1"/>
  <c r="A2964" i="1"/>
  <c r="B2964" i="1"/>
  <c r="C2964" i="1"/>
  <c r="D2964" i="1"/>
  <c r="E2964" i="1"/>
  <c r="F2964" i="1"/>
  <c r="G2964" i="1"/>
  <c r="H2964" i="1"/>
  <c r="I2964" i="1"/>
  <c r="J2964" i="1"/>
  <c r="K2964" i="1"/>
  <c r="L2964" i="1"/>
  <c r="M2964" i="1"/>
  <c r="N2964" i="1"/>
  <c r="O2964" i="1"/>
  <c r="P2964" i="1"/>
  <c r="Q2964" i="1"/>
  <c r="R2964" i="1"/>
  <c r="S2964" i="1"/>
  <c r="T2964" i="1"/>
  <c r="U2964" i="1"/>
  <c r="V2964" i="1"/>
  <c r="W2964" i="1"/>
  <c r="X2964" i="1"/>
  <c r="Y2964" i="1"/>
  <c r="Z2964" i="1"/>
  <c r="AA2964" i="1"/>
  <c r="AB2964" i="1"/>
  <c r="AC2964" i="1"/>
  <c r="AD2964" i="1"/>
  <c r="AE2964" i="1"/>
  <c r="AF2964" i="1"/>
  <c r="AG2964" i="1"/>
  <c r="AH2964" i="1"/>
  <c r="AI2964" i="1"/>
  <c r="AJ2964" i="1"/>
  <c r="AK2964" i="1"/>
  <c r="AL2964" i="1"/>
  <c r="AM2964" i="1"/>
  <c r="A2965" i="1"/>
  <c r="B2965" i="1"/>
  <c r="C2965" i="1"/>
  <c r="D2965" i="1"/>
  <c r="E2965" i="1"/>
  <c r="F2965" i="1"/>
  <c r="G2965" i="1"/>
  <c r="H2965" i="1"/>
  <c r="I2965" i="1"/>
  <c r="J2965" i="1"/>
  <c r="K2965" i="1"/>
  <c r="L2965" i="1"/>
  <c r="M2965" i="1"/>
  <c r="N2965" i="1"/>
  <c r="O2965" i="1"/>
  <c r="P2965" i="1"/>
  <c r="Q2965" i="1"/>
  <c r="R2965" i="1"/>
  <c r="S2965" i="1"/>
  <c r="T2965" i="1"/>
  <c r="U2965" i="1"/>
  <c r="V2965" i="1"/>
  <c r="W2965" i="1"/>
  <c r="X2965" i="1"/>
  <c r="Y2965" i="1"/>
  <c r="Z2965" i="1"/>
  <c r="AA2965" i="1"/>
  <c r="AB2965" i="1"/>
  <c r="AC2965" i="1"/>
  <c r="AD2965" i="1"/>
  <c r="AE2965" i="1"/>
  <c r="AF2965" i="1"/>
  <c r="AG2965" i="1"/>
  <c r="AH2965" i="1"/>
  <c r="AI2965" i="1"/>
  <c r="AJ2965" i="1"/>
  <c r="AK2965" i="1"/>
  <c r="AL2965" i="1"/>
  <c r="AM2965" i="1"/>
  <c r="A2966" i="1"/>
  <c r="B2966" i="1"/>
  <c r="C2966" i="1"/>
  <c r="D2966" i="1"/>
  <c r="E2966" i="1"/>
  <c r="F2966" i="1"/>
  <c r="G2966" i="1"/>
  <c r="H2966" i="1"/>
  <c r="I2966" i="1"/>
  <c r="J2966" i="1"/>
  <c r="K2966" i="1"/>
  <c r="L2966" i="1"/>
  <c r="M2966" i="1"/>
  <c r="N2966" i="1"/>
  <c r="O2966" i="1"/>
  <c r="P2966" i="1"/>
  <c r="Q2966" i="1"/>
  <c r="R2966" i="1"/>
  <c r="S2966" i="1"/>
  <c r="T2966" i="1"/>
  <c r="U2966" i="1"/>
  <c r="V2966" i="1"/>
  <c r="W2966" i="1"/>
  <c r="X2966" i="1"/>
  <c r="Y2966" i="1"/>
  <c r="Z2966" i="1"/>
  <c r="AA2966" i="1"/>
  <c r="AB2966" i="1"/>
  <c r="AC2966" i="1"/>
  <c r="AD2966" i="1"/>
  <c r="AE2966" i="1"/>
  <c r="AF2966" i="1"/>
  <c r="AG2966" i="1"/>
  <c r="AH2966" i="1"/>
  <c r="AI2966" i="1"/>
  <c r="AJ2966" i="1"/>
  <c r="AK2966" i="1"/>
  <c r="AL2966" i="1"/>
  <c r="AM2966" i="1"/>
  <c r="A2967" i="1"/>
  <c r="B2967" i="1"/>
  <c r="C2967" i="1"/>
  <c r="D2967" i="1"/>
  <c r="E2967" i="1"/>
  <c r="F2967" i="1"/>
  <c r="G2967" i="1"/>
  <c r="H2967" i="1"/>
  <c r="I2967" i="1"/>
  <c r="J2967" i="1"/>
  <c r="K2967" i="1"/>
  <c r="L2967" i="1"/>
  <c r="M2967" i="1"/>
  <c r="N2967" i="1"/>
  <c r="O2967" i="1"/>
  <c r="P2967" i="1"/>
  <c r="Q2967" i="1"/>
  <c r="R2967" i="1"/>
  <c r="S2967" i="1"/>
  <c r="T2967" i="1"/>
  <c r="U2967" i="1"/>
  <c r="V2967" i="1"/>
  <c r="W2967" i="1"/>
  <c r="X2967" i="1"/>
  <c r="Y2967" i="1"/>
  <c r="Z2967" i="1"/>
  <c r="AA2967" i="1"/>
  <c r="AB2967" i="1"/>
  <c r="AC2967" i="1"/>
  <c r="AD2967" i="1"/>
  <c r="AE2967" i="1"/>
  <c r="AF2967" i="1"/>
  <c r="AG2967" i="1"/>
  <c r="AH2967" i="1"/>
  <c r="AI2967" i="1"/>
  <c r="AJ2967" i="1"/>
  <c r="AK2967" i="1"/>
  <c r="AL2967" i="1"/>
  <c r="AM2967" i="1"/>
  <c r="A2968" i="1"/>
  <c r="B2968" i="1"/>
  <c r="C2968" i="1"/>
  <c r="D2968" i="1"/>
  <c r="E2968" i="1"/>
  <c r="F2968" i="1"/>
  <c r="G2968" i="1"/>
  <c r="H2968" i="1"/>
  <c r="I2968" i="1"/>
  <c r="J2968" i="1"/>
  <c r="K2968" i="1"/>
  <c r="L2968" i="1"/>
  <c r="M2968" i="1"/>
  <c r="N2968" i="1"/>
  <c r="O2968" i="1"/>
  <c r="P2968" i="1"/>
  <c r="Q2968" i="1"/>
  <c r="R2968" i="1"/>
  <c r="S2968" i="1"/>
  <c r="T2968" i="1"/>
  <c r="U2968" i="1"/>
  <c r="V2968" i="1"/>
  <c r="W2968" i="1"/>
  <c r="X2968" i="1"/>
  <c r="Y2968" i="1"/>
  <c r="Z2968" i="1"/>
  <c r="AA2968" i="1"/>
  <c r="AB2968" i="1"/>
  <c r="AC2968" i="1"/>
  <c r="AD2968" i="1"/>
  <c r="AE2968" i="1"/>
  <c r="AF2968" i="1"/>
  <c r="AG2968" i="1"/>
  <c r="AH2968" i="1"/>
  <c r="AI2968" i="1"/>
  <c r="AJ2968" i="1"/>
  <c r="AK2968" i="1"/>
  <c r="AL2968" i="1"/>
  <c r="AM2968" i="1"/>
  <c r="A2969" i="1"/>
  <c r="B2969" i="1"/>
  <c r="C2969" i="1"/>
  <c r="D2969" i="1"/>
  <c r="E2969" i="1"/>
  <c r="F2969" i="1"/>
  <c r="G2969" i="1"/>
  <c r="H2969" i="1"/>
  <c r="I2969" i="1"/>
  <c r="J2969" i="1"/>
  <c r="K2969" i="1"/>
  <c r="L2969" i="1"/>
  <c r="M2969" i="1"/>
  <c r="N2969" i="1"/>
  <c r="O2969" i="1"/>
  <c r="P2969" i="1"/>
  <c r="Q2969" i="1"/>
  <c r="R2969" i="1"/>
  <c r="S2969" i="1"/>
  <c r="T2969" i="1"/>
  <c r="U2969" i="1"/>
  <c r="V2969" i="1"/>
  <c r="W2969" i="1"/>
  <c r="X2969" i="1"/>
  <c r="Y2969" i="1"/>
  <c r="Z2969" i="1"/>
  <c r="AA2969" i="1"/>
  <c r="AB2969" i="1"/>
  <c r="AC2969" i="1"/>
  <c r="AD2969" i="1"/>
  <c r="AE2969" i="1"/>
  <c r="AF2969" i="1"/>
  <c r="AG2969" i="1"/>
  <c r="AH2969" i="1"/>
  <c r="AI2969" i="1"/>
  <c r="AJ2969" i="1"/>
  <c r="AK2969" i="1"/>
  <c r="AL2969" i="1"/>
  <c r="AM2969" i="1"/>
  <c r="A2970" i="1"/>
  <c r="B2970" i="1"/>
  <c r="C2970" i="1"/>
  <c r="D2970" i="1"/>
  <c r="E2970" i="1"/>
  <c r="F2970" i="1"/>
  <c r="G2970" i="1"/>
  <c r="H2970" i="1"/>
  <c r="I2970" i="1"/>
  <c r="J2970" i="1"/>
  <c r="K2970" i="1"/>
  <c r="L2970" i="1"/>
  <c r="M2970" i="1"/>
  <c r="N2970" i="1"/>
  <c r="O2970" i="1"/>
  <c r="P2970" i="1"/>
  <c r="Q2970" i="1"/>
  <c r="R2970" i="1"/>
  <c r="S2970" i="1"/>
  <c r="T2970" i="1"/>
  <c r="U2970" i="1"/>
  <c r="V2970" i="1"/>
  <c r="W2970" i="1"/>
  <c r="X2970" i="1"/>
  <c r="Y2970" i="1"/>
  <c r="Z2970" i="1"/>
  <c r="AA2970" i="1"/>
  <c r="AB2970" i="1"/>
  <c r="AC2970" i="1"/>
  <c r="AD2970" i="1"/>
  <c r="AE2970" i="1"/>
  <c r="AF2970" i="1"/>
  <c r="AG2970" i="1"/>
  <c r="AH2970" i="1"/>
  <c r="AI2970" i="1"/>
  <c r="AJ2970" i="1"/>
  <c r="AK2970" i="1"/>
  <c r="AL2970" i="1"/>
  <c r="AM2970" i="1"/>
  <c r="A2971" i="1"/>
  <c r="B2971" i="1"/>
  <c r="C2971" i="1"/>
  <c r="D2971" i="1"/>
  <c r="E2971" i="1"/>
  <c r="F2971" i="1"/>
  <c r="G2971" i="1"/>
  <c r="H2971" i="1"/>
  <c r="I2971" i="1"/>
  <c r="J2971" i="1"/>
  <c r="K2971" i="1"/>
  <c r="L2971" i="1"/>
  <c r="M2971" i="1"/>
  <c r="N2971" i="1"/>
  <c r="O2971" i="1"/>
  <c r="P2971" i="1"/>
  <c r="Q2971" i="1"/>
  <c r="R2971" i="1"/>
  <c r="S2971" i="1"/>
  <c r="T2971" i="1"/>
  <c r="U2971" i="1"/>
  <c r="V2971" i="1"/>
  <c r="W2971" i="1"/>
  <c r="X2971" i="1"/>
  <c r="Y2971" i="1"/>
  <c r="Z2971" i="1"/>
  <c r="AA2971" i="1"/>
  <c r="AB2971" i="1"/>
  <c r="AC2971" i="1"/>
  <c r="AD2971" i="1"/>
  <c r="AE2971" i="1"/>
  <c r="AF2971" i="1"/>
  <c r="AG2971" i="1"/>
  <c r="AH2971" i="1"/>
  <c r="AI2971" i="1"/>
  <c r="AJ2971" i="1"/>
  <c r="AK2971" i="1"/>
  <c r="AL2971" i="1"/>
  <c r="AM2971" i="1"/>
  <c r="A2972" i="1"/>
  <c r="B2972" i="1"/>
  <c r="C2972" i="1"/>
  <c r="D2972" i="1"/>
  <c r="E2972" i="1"/>
  <c r="F2972" i="1"/>
  <c r="G2972" i="1"/>
  <c r="H2972" i="1"/>
  <c r="I2972" i="1"/>
  <c r="J2972" i="1"/>
  <c r="K2972" i="1"/>
  <c r="L2972" i="1"/>
  <c r="M2972" i="1"/>
  <c r="N2972" i="1"/>
  <c r="O2972" i="1"/>
  <c r="P2972" i="1"/>
  <c r="Q2972" i="1"/>
  <c r="R2972" i="1"/>
  <c r="S2972" i="1"/>
  <c r="T2972" i="1"/>
  <c r="U2972" i="1"/>
  <c r="V2972" i="1"/>
  <c r="W2972" i="1"/>
  <c r="X2972" i="1"/>
  <c r="Y2972" i="1"/>
  <c r="Z2972" i="1"/>
  <c r="AA2972" i="1"/>
  <c r="AB2972" i="1"/>
  <c r="AC2972" i="1"/>
  <c r="AD2972" i="1"/>
  <c r="AE2972" i="1"/>
  <c r="AF2972" i="1"/>
  <c r="AG2972" i="1"/>
  <c r="AH2972" i="1"/>
  <c r="AI2972" i="1"/>
  <c r="AJ2972" i="1"/>
  <c r="AK2972" i="1"/>
  <c r="AL2972" i="1"/>
  <c r="AM2972" i="1"/>
  <c r="A2973" i="1"/>
  <c r="B2973" i="1"/>
  <c r="C2973" i="1"/>
  <c r="D2973" i="1"/>
  <c r="E2973" i="1"/>
  <c r="F2973" i="1"/>
  <c r="G2973" i="1"/>
  <c r="H2973" i="1"/>
  <c r="I2973" i="1"/>
  <c r="J2973" i="1"/>
  <c r="K2973" i="1"/>
  <c r="L2973" i="1"/>
  <c r="M2973" i="1"/>
  <c r="N2973" i="1"/>
  <c r="O2973" i="1"/>
  <c r="P2973" i="1"/>
  <c r="Q2973" i="1"/>
  <c r="R2973" i="1"/>
  <c r="S2973" i="1"/>
  <c r="T2973" i="1"/>
  <c r="U2973" i="1"/>
  <c r="V2973" i="1"/>
  <c r="W2973" i="1"/>
  <c r="X2973" i="1"/>
  <c r="Y2973" i="1"/>
  <c r="Z2973" i="1"/>
  <c r="AA2973" i="1"/>
  <c r="AB2973" i="1"/>
  <c r="AC2973" i="1"/>
  <c r="AD2973" i="1"/>
  <c r="AE2973" i="1"/>
  <c r="AF2973" i="1"/>
  <c r="AG2973" i="1"/>
  <c r="AH2973" i="1"/>
  <c r="AI2973" i="1"/>
  <c r="AJ2973" i="1"/>
  <c r="AK2973" i="1"/>
  <c r="AL2973" i="1"/>
  <c r="AM2973" i="1"/>
  <c r="A2974" i="1"/>
  <c r="B2974" i="1"/>
  <c r="C2974" i="1"/>
  <c r="D2974" i="1"/>
  <c r="E2974" i="1"/>
  <c r="F2974" i="1"/>
  <c r="G2974" i="1"/>
  <c r="H2974" i="1"/>
  <c r="I2974" i="1"/>
  <c r="J2974" i="1"/>
  <c r="K2974" i="1"/>
  <c r="L2974" i="1"/>
  <c r="M2974" i="1"/>
  <c r="N2974" i="1"/>
  <c r="O2974" i="1"/>
  <c r="P2974" i="1"/>
  <c r="Q2974" i="1"/>
  <c r="R2974" i="1"/>
  <c r="S2974" i="1"/>
  <c r="T2974" i="1"/>
  <c r="U2974" i="1"/>
  <c r="V2974" i="1"/>
  <c r="W2974" i="1"/>
  <c r="X2974" i="1"/>
  <c r="Y2974" i="1"/>
  <c r="Z2974" i="1"/>
  <c r="AA2974" i="1"/>
  <c r="AB2974" i="1"/>
  <c r="AC2974" i="1"/>
  <c r="AD2974" i="1"/>
  <c r="AE2974" i="1"/>
  <c r="AF2974" i="1"/>
  <c r="AG2974" i="1"/>
  <c r="AH2974" i="1"/>
  <c r="AI2974" i="1"/>
  <c r="AJ2974" i="1"/>
  <c r="AK2974" i="1"/>
  <c r="AL2974" i="1"/>
  <c r="AM2974" i="1"/>
  <c r="A2975" i="1"/>
  <c r="B2975" i="1"/>
  <c r="C2975" i="1"/>
  <c r="D2975" i="1"/>
  <c r="E2975" i="1"/>
  <c r="F2975" i="1"/>
  <c r="G2975" i="1"/>
  <c r="H2975" i="1"/>
  <c r="I2975" i="1"/>
  <c r="J2975" i="1"/>
  <c r="K2975" i="1"/>
  <c r="L2975" i="1"/>
  <c r="M2975" i="1"/>
  <c r="N2975" i="1"/>
  <c r="O2975" i="1"/>
  <c r="P2975" i="1"/>
  <c r="Q2975" i="1"/>
  <c r="R2975" i="1"/>
  <c r="S2975" i="1"/>
  <c r="T2975" i="1"/>
  <c r="U2975" i="1"/>
  <c r="V2975" i="1"/>
  <c r="W2975" i="1"/>
  <c r="X2975" i="1"/>
  <c r="Y2975" i="1"/>
  <c r="Z2975" i="1"/>
  <c r="AA2975" i="1"/>
  <c r="AB2975" i="1"/>
  <c r="AC2975" i="1"/>
  <c r="AD2975" i="1"/>
  <c r="AE2975" i="1"/>
  <c r="AF2975" i="1"/>
  <c r="AG2975" i="1"/>
  <c r="AH2975" i="1"/>
  <c r="AI2975" i="1"/>
  <c r="AJ2975" i="1"/>
  <c r="AK2975" i="1"/>
  <c r="AL2975" i="1"/>
  <c r="AM2975" i="1"/>
  <c r="A2976" i="1"/>
  <c r="B2976" i="1"/>
  <c r="C2976" i="1"/>
  <c r="D2976" i="1"/>
  <c r="E2976" i="1"/>
  <c r="F2976" i="1"/>
  <c r="G2976" i="1"/>
  <c r="H2976" i="1"/>
  <c r="I2976" i="1"/>
  <c r="J2976" i="1"/>
  <c r="K2976" i="1"/>
  <c r="L2976" i="1"/>
  <c r="M2976" i="1"/>
  <c r="N2976" i="1"/>
  <c r="O2976" i="1"/>
  <c r="P2976" i="1"/>
  <c r="Q2976" i="1"/>
  <c r="R2976" i="1"/>
  <c r="S2976" i="1"/>
  <c r="T2976" i="1"/>
  <c r="U2976" i="1"/>
  <c r="V2976" i="1"/>
  <c r="W2976" i="1"/>
  <c r="X2976" i="1"/>
  <c r="Y2976" i="1"/>
  <c r="Z2976" i="1"/>
  <c r="AA2976" i="1"/>
  <c r="AB2976" i="1"/>
  <c r="AC2976" i="1"/>
  <c r="AD2976" i="1"/>
  <c r="AE2976" i="1"/>
  <c r="AF2976" i="1"/>
  <c r="AG2976" i="1"/>
  <c r="AH2976" i="1"/>
  <c r="AI2976" i="1"/>
  <c r="AJ2976" i="1"/>
  <c r="AK2976" i="1"/>
  <c r="AL2976" i="1"/>
  <c r="AM2976" i="1"/>
  <c r="A2977" i="1"/>
  <c r="B2977" i="1"/>
  <c r="C2977" i="1"/>
  <c r="D2977" i="1"/>
  <c r="E2977" i="1"/>
  <c r="F2977" i="1"/>
  <c r="G2977" i="1"/>
  <c r="H2977" i="1"/>
  <c r="I2977" i="1"/>
  <c r="J2977" i="1"/>
  <c r="K2977" i="1"/>
  <c r="L2977" i="1"/>
  <c r="M2977" i="1"/>
  <c r="N2977" i="1"/>
  <c r="O2977" i="1"/>
  <c r="P2977" i="1"/>
  <c r="Q2977" i="1"/>
  <c r="R2977" i="1"/>
  <c r="S2977" i="1"/>
  <c r="T2977" i="1"/>
  <c r="U2977" i="1"/>
  <c r="V2977" i="1"/>
  <c r="W2977" i="1"/>
  <c r="X2977" i="1"/>
  <c r="Y2977" i="1"/>
  <c r="Z2977" i="1"/>
  <c r="AA2977" i="1"/>
  <c r="AB2977" i="1"/>
  <c r="AC2977" i="1"/>
  <c r="AD2977" i="1"/>
  <c r="AE2977" i="1"/>
  <c r="AF2977" i="1"/>
  <c r="AG2977" i="1"/>
  <c r="AH2977" i="1"/>
  <c r="AI2977" i="1"/>
  <c r="AJ2977" i="1"/>
  <c r="AK2977" i="1"/>
  <c r="AL2977" i="1"/>
  <c r="AM2977" i="1"/>
  <c r="A2978" i="1"/>
  <c r="B2978" i="1"/>
  <c r="C2978" i="1"/>
  <c r="D2978" i="1"/>
  <c r="E2978" i="1"/>
  <c r="F2978" i="1"/>
  <c r="G2978" i="1"/>
  <c r="H2978" i="1"/>
  <c r="I2978" i="1"/>
  <c r="J2978" i="1"/>
  <c r="K2978" i="1"/>
  <c r="L2978" i="1"/>
  <c r="M2978" i="1"/>
  <c r="N2978" i="1"/>
  <c r="O2978" i="1"/>
  <c r="P2978" i="1"/>
  <c r="Q2978" i="1"/>
  <c r="R2978" i="1"/>
  <c r="S2978" i="1"/>
  <c r="T2978" i="1"/>
  <c r="U2978" i="1"/>
  <c r="V2978" i="1"/>
  <c r="W2978" i="1"/>
  <c r="X2978" i="1"/>
  <c r="Y2978" i="1"/>
  <c r="Z2978" i="1"/>
  <c r="AA2978" i="1"/>
  <c r="AB2978" i="1"/>
  <c r="AC2978" i="1"/>
  <c r="AD2978" i="1"/>
  <c r="AE2978" i="1"/>
  <c r="AF2978" i="1"/>
  <c r="AG2978" i="1"/>
  <c r="AH2978" i="1"/>
  <c r="AI2978" i="1"/>
  <c r="AJ2978" i="1"/>
  <c r="AK2978" i="1"/>
  <c r="AL2978" i="1"/>
  <c r="AM2978" i="1"/>
  <c r="A2979" i="1"/>
  <c r="B2979" i="1"/>
  <c r="C2979" i="1"/>
  <c r="D2979" i="1"/>
  <c r="E2979" i="1"/>
  <c r="F2979" i="1"/>
  <c r="G2979" i="1"/>
  <c r="H2979" i="1"/>
  <c r="I2979" i="1"/>
  <c r="J2979" i="1"/>
  <c r="K2979" i="1"/>
  <c r="L2979" i="1"/>
  <c r="M2979" i="1"/>
  <c r="N2979" i="1"/>
  <c r="O2979" i="1"/>
  <c r="P2979" i="1"/>
  <c r="Q2979" i="1"/>
  <c r="R2979" i="1"/>
  <c r="S2979" i="1"/>
  <c r="T2979" i="1"/>
  <c r="U2979" i="1"/>
  <c r="V2979" i="1"/>
  <c r="W2979" i="1"/>
  <c r="X2979" i="1"/>
  <c r="Y2979" i="1"/>
  <c r="Z2979" i="1"/>
  <c r="AA2979" i="1"/>
  <c r="AB2979" i="1"/>
  <c r="AC2979" i="1"/>
  <c r="AD2979" i="1"/>
  <c r="AE2979" i="1"/>
  <c r="AF2979" i="1"/>
  <c r="AG2979" i="1"/>
  <c r="AH2979" i="1"/>
  <c r="AI2979" i="1"/>
  <c r="AJ2979" i="1"/>
  <c r="AK2979" i="1"/>
  <c r="AL2979" i="1"/>
  <c r="AM2979" i="1"/>
  <c r="A2980" i="1"/>
  <c r="B2980" i="1"/>
  <c r="C2980" i="1"/>
  <c r="D2980" i="1"/>
  <c r="E2980" i="1"/>
  <c r="F2980" i="1"/>
  <c r="G2980" i="1"/>
  <c r="H2980" i="1"/>
  <c r="I2980" i="1"/>
  <c r="J2980" i="1"/>
  <c r="K2980" i="1"/>
  <c r="L2980" i="1"/>
  <c r="M2980" i="1"/>
  <c r="N2980" i="1"/>
  <c r="O2980" i="1"/>
  <c r="P2980" i="1"/>
  <c r="Q2980" i="1"/>
  <c r="R2980" i="1"/>
  <c r="S2980" i="1"/>
  <c r="T2980" i="1"/>
  <c r="U2980" i="1"/>
  <c r="V2980" i="1"/>
  <c r="W2980" i="1"/>
  <c r="X2980" i="1"/>
  <c r="Y2980" i="1"/>
  <c r="Z2980" i="1"/>
  <c r="AA2980" i="1"/>
  <c r="AB2980" i="1"/>
  <c r="AC2980" i="1"/>
  <c r="AD2980" i="1"/>
  <c r="AE2980" i="1"/>
  <c r="AF2980" i="1"/>
  <c r="AG2980" i="1"/>
  <c r="AH2980" i="1"/>
  <c r="AI2980" i="1"/>
  <c r="AJ2980" i="1"/>
  <c r="AK2980" i="1"/>
  <c r="AL2980" i="1"/>
  <c r="AM2980" i="1"/>
  <c r="A2981" i="1"/>
  <c r="B2981" i="1"/>
  <c r="C2981" i="1"/>
  <c r="D2981" i="1"/>
  <c r="E2981" i="1"/>
  <c r="F2981" i="1"/>
  <c r="G2981" i="1"/>
  <c r="H2981" i="1"/>
  <c r="I2981" i="1"/>
  <c r="J2981" i="1"/>
  <c r="K2981" i="1"/>
  <c r="L2981" i="1"/>
  <c r="M2981" i="1"/>
  <c r="N2981" i="1"/>
  <c r="O2981" i="1"/>
  <c r="P2981" i="1"/>
  <c r="Q2981" i="1"/>
  <c r="R2981" i="1"/>
  <c r="S2981" i="1"/>
  <c r="T2981" i="1"/>
  <c r="U2981" i="1"/>
  <c r="V2981" i="1"/>
  <c r="W2981" i="1"/>
  <c r="X2981" i="1"/>
  <c r="Y2981" i="1"/>
  <c r="Z2981" i="1"/>
  <c r="AA2981" i="1"/>
  <c r="AB2981" i="1"/>
  <c r="AC2981" i="1"/>
  <c r="AD2981" i="1"/>
  <c r="AE2981" i="1"/>
  <c r="AF2981" i="1"/>
  <c r="AG2981" i="1"/>
  <c r="AH2981" i="1"/>
  <c r="AI2981" i="1"/>
  <c r="AJ2981" i="1"/>
  <c r="AK2981" i="1"/>
  <c r="AL2981" i="1"/>
  <c r="AM2981" i="1"/>
  <c r="A2982" i="1"/>
  <c r="B2982" i="1"/>
  <c r="C2982" i="1"/>
  <c r="D2982" i="1"/>
  <c r="E2982" i="1"/>
  <c r="F2982" i="1"/>
  <c r="G2982" i="1"/>
  <c r="H2982" i="1"/>
  <c r="I2982" i="1"/>
  <c r="J2982" i="1"/>
  <c r="K2982" i="1"/>
  <c r="L2982" i="1"/>
  <c r="M2982" i="1"/>
  <c r="N2982" i="1"/>
  <c r="O2982" i="1"/>
  <c r="P2982" i="1"/>
  <c r="Q2982" i="1"/>
  <c r="R2982" i="1"/>
  <c r="S2982" i="1"/>
  <c r="T2982" i="1"/>
  <c r="U2982" i="1"/>
  <c r="V2982" i="1"/>
  <c r="W2982" i="1"/>
  <c r="X2982" i="1"/>
  <c r="Y2982" i="1"/>
  <c r="Z2982" i="1"/>
  <c r="AA2982" i="1"/>
  <c r="AB2982" i="1"/>
  <c r="AC2982" i="1"/>
  <c r="AD2982" i="1"/>
  <c r="AE2982" i="1"/>
  <c r="AF2982" i="1"/>
  <c r="AG2982" i="1"/>
  <c r="AH2982" i="1"/>
  <c r="AI2982" i="1"/>
  <c r="AJ2982" i="1"/>
  <c r="AK2982" i="1"/>
  <c r="AL2982" i="1"/>
  <c r="AM2982" i="1"/>
  <c r="A2983" i="1"/>
  <c r="B2983" i="1"/>
  <c r="C2983" i="1"/>
  <c r="D2983" i="1"/>
  <c r="E2983" i="1"/>
  <c r="F2983" i="1"/>
  <c r="G2983" i="1"/>
  <c r="H2983" i="1"/>
  <c r="I2983" i="1"/>
  <c r="J2983" i="1"/>
  <c r="K2983" i="1"/>
  <c r="L2983" i="1"/>
  <c r="M2983" i="1"/>
  <c r="N2983" i="1"/>
  <c r="O2983" i="1"/>
  <c r="P2983" i="1"/>
  <c r="Q2983" i="1"/>
  <c r="R2983" i="1"/>
  <c r="S2983" i="1"/>
  <c r="T2983" i="1"/>
  <c r="U2983" i="1"/>
  <c r="V2983" i="1"/>
  <c r="W2983" i="1"/>
  <c r="X2983" i="1"/>
  <c r="Y2983" i="1"/>
  <c r="Z2983" i="1"/>
  <c r="AA2983" i="1"/>
  <c r="AB2983" i="1"/>
  <c r="AC2983" i="1"/>
  <c r="AD2983" i="1"/>
  <c r="AE2983" i="1"/>
  <c r="AF2983" i="1"/>
  <c r="AG2983" i="1"/>
  <c r="AH2983" i="1"/>
  <c r="AI2983" i="1"/>
  <c r="AJ2983" i="1"/>
  <c r="AK2983" i="1"/>
  <c r="AL2983" i="1"/>
  <c r="AM2983" i="1"/>
  <c r="A2984" i="1"/>
  <c r="B2984" i="1"/>
  <c r="C2984" i="1"/>
  <c r="D2984" i="1"/>
  <c r="E2984" i="1"/>
  <c r="F2984" i="1"/>
  <c r="G2984" i="1"/>
  <c r="H2984" i="1"/>
  <c r="I2984" i="1"/>
  <c r="J2984" i="1"/>
  <c r="K2984" i="1"/>
  <c r="L2984" i="1"/>
  <c r="M2984" i="1"/>
  <c r="N2984" i="1"/>
  <c r="O2984" i="1"/>
  <c r="P2984" i="1"/>
  <c r="Q2984" i="1"/>
  <c r="R2984" i="1"/>
  <c r="S2984" i="1"/>
  <c r="T2984" i="1"/>
  <c r="U2984" i="1"/>
  <c r="V2984" i="1"/>
  <c r="W2984" i="1"/>
  <c r="X2984" i="1"/>
  <c r="Y2984" i="1"/>
  <c r="Z2984" i="1"/>
  <c r="AA2984" i="1"/>
  <c r="AB2984" i="1"/>
  <c r="AC2984" i="1"/>
  <c r="AD2984" i="1"/>
  <c r="AE2984" i="1"/>
  <c r="AF2984" i="1"/>
  <c r="AG2984" i="1"/>
  <c r="AH2984" i="1"/>
  <c r="AI2984" i="1"/>
  <c r="AJ2984" i="1"/>
  <c r="AK2984" i="1"/>
  <c r="AL2984" i="1"/>
  <c r="AM2984" i="1"/>
  <c r="A2985" i="1"/>
  <c r="B2985" i="1"/>
  <c r="C2985" i="1"/>
  <c r="D2985" i="1"/>
  <c r="E2985" i="1"/>
  <c r="F2985" i="1"/>
  <c r="G2985" i="1"/>
  <c r="H2985" i="1"/>
  <c r="I2985" i="1"/>
  <c r="J2985" i="1"/>
  <c r="K2985" i="1"/>
  <c r="L2985" i="1"/>
  <c r="M2985" i="1"/>
  <c r="N2985" i="1"/>
  <c r="O2985" i="1"/>
  <c r="P2985" i="1"/>
  <c r="Q2985" i="1"/>
  <c r="R2985" i="1"/>
  <c r="S2985" i="1"/>
  <c r="T2985" i="1"/>
  <c r="U2985" i="1"/>
  <c r="V2985" i="1"/>
  <c r="W2985" i="1"/>
  <c r="X2985" i="1"/>
  <c r="Y2985" i="1"/>
  <c r="Z2985" i="1"/>
  <c r="AA2985" i="1"/>
  <c r="AB2985" i="1"/>
  <c r="AC2985" i="1"/>
  <c r="AD2985" i="1"/>
  <c r="AE2985" i="1"/>
  <c r="AF2985" i="1"/>
  <c r="AG2985" i="1"/>
  <c r="AH2985" i="1"/>
  <c r="AI2985" i="1"/>
  <c r="AJ2985" i="1"/>
  <c r="AK2985" i="1"/>
  <c r="AL2985" i="1"/>
  <c r="AM2985" i="1"/>
  <c r="A2986" i="1"/>
  <c r="B2986" i="1"/>
  <c r="C2986" i="1"/>
  <c r="D2986" i="1"/>
  <c r="E2986" i="1"/>
  <c r="F2986" i="1"/>
  <c r="G2986" i="1"/>
  <c r="H2986" i="1"/>
  <c r="I2986" i="1"/>
  <c r="J2986" i="1"/>
  <c r="K2986" i="1"/>
  <c r="L2986" i="1"/>
  <c r="M2986" i="1"/>
  <c r="N2986" i="1"/>
  <c r="O2986" i="1"/>
  <c r="P2986" i="1"/>
  <c r="Q2986" i="1"/>
  <c r="R2986" i="1"/>
  <c r="S2986" i="1"/>
  <c r="T2986" i="1"/>
  <c r="U2986" i="1"/>
  <c r="V2986" i="1"/>
  <c r="W2986" i="1"/>
  <c r="X2986" i="1"/>
  <c r="Y2986" i="1"/>
  <c r="Z2986" i="1"/>
  <c r="AA2986" i="1"/>
  <c r="AB2986" i="1"/>
  <c r="AC2986" i="1"/>
  <c r="AD2986" i="1"/>
  <c r="AE2986" i="1"/>
  <c r="AF2986" i="1"/>
  <c r="AG2986" i="1"/>
  <c r="AH2986" i="1"/>
  <c r="AI2986" i="1"/>
  <c r="AJ2986" i="1"/>
  <c r="AK2986" i="1"/>
  <c r="AL2986" i="1"/>
  <c r="AM2986" i="1"/>
  <c r="A2987" i="1"/>
  <c r="B2987" i="1"/>
  <c r="C2987" i="1"/>
  <c r="D2987" i="1"/>
  <c r="E2987" i="1"/>
  <c r="F2987" i="1"/>
  <c r="G2987" i="1"/>
  <c r="H2987" i="1"/>
  <c r="I2987" i="1"/>
  <c r="J2987" i="1"/>
  <c r="K2987" i="1"/>
  <c r="L2987" i="1"/>
  <c r="M2987" i="1"/>
  <c r="N2987" i="1"/>
  <c r="O2987" i="1"/>
  <c r="P2987" i="1"/>
  <c r="Q2987" i="1"/>
  <c r="R2987" i="1"/>
  <c r="S2987" i="1"/>
  <c r="T2987" i="1"/>
  <c r="U2987" i="1"/>
  <c r="V2987" i="1"/>
  <c r="W2987" i="1"/>
  <c r="X2987" i="1"/>
  <c r="Y2987" i="1"/>
  <c r="Z2987" i="1"/>
  <c r="AA2987" i="1"/>
  <c r="AB2987" i="1"/>
  <c r="AC2987" i="1"/>
  <c r="AD2987" i="1"/>
  <c r="AE2987" i="1"/>
  <c r="AF2987" i="1"/>
  <c r="AG2987" i="1"/>
  <c r="AH2987" i="1"/>
  <c r="AI2987" i="1"/>
  <c r="AJ2987" i="1"/>
  <c r="AK2987" i="1"/>
  <c r="AL2987" i="1"/>
  <c r="AM2987" i="1"/>
  <c r="A2988" i="1"/>
  <c r="B2988" i="1"/>
  <c r="C2988" i="1"/>
  <c r="D2988" i="1"/>
  <c r="E2988" i="1"/>
  <c r="F2988" i="1"/>
  <c r="G2988" i="1"/>
  <c r="H2988" i="1"/>
  <c r="I2988" i="1"/>
  <c r="J2988" i="1"/>
  <c r="K2988" i="1"/>
  <c r="L2988" i="1"/>
  <c r="M2988" i="1"/>
  <c r="N2988" i="1"/>
  <c r="O2988" i="1"/>
  <c r="P2988" i="1"/>
  <c r="Q2988" i="1"/>
  <c r="R2988" i="1"/>
  <c r="S2988" i="1"/>
  <c r="T2988" i="1"/>
  <c r="U2988" i="1"/>
  <c r="V2988" i="1"/>
  <c r="W2988" i="1"/>
  <c r="X2988" i="1"/>
  <c r="Y2988" i="1"/>
  <c r="Z2988" i="1"/>
  <c r="AA2988" i="1"/>
  <c r="AB2988" i="1"/>
  <c r="AC2988" i="1"/>
  <c r="AD2988" i="1"/>
  <c r="AE2988" i="1"/>
  <c r="AF2988" i="1"/>
  <c r="AG2988" i="1"/>
  <c r="AH2988" i="1"/>
  <c r="AI2988" i="1"/>
  <c r="AJ2988" i="1"/>
  <c r="AK2988" i="1"/>
  <c r="AL2988" i="1"/>
  <c r="AM2988" i="1"/>
  <c r="A2989" i="1"/>
  <c r="B2989" i="1"/>
  <c r="C2989" i="1"/>
  <c r="D2989" i="1"/>
  <c r="E2989" i="1"/>
  <c r="F2989" i="1"/>
  <c r="G2989" i="1"/>
  <c r="H2989" i="1"/>
  <c r="I2989" i="1"/>
  <c r="J2989" i="1"/>
  <c r="K2989" i="1"/>
  <c r="L2989" i="1"/>
  <c r="M2989" i="1"/>
  <c r="N2989" i="1"/>
  <c r="O2989" i="1"/>
  <c r="P2989" i="1"/>
  <c r="Q2989" i="1"/>
  <c r="R2989" i="1"/>
  <c r="S2989" i="1"/>
  <c r="T2989" i="1"/>
  <c r="U2989" i="1"/>
  <c r="V2989" i="1"/>
  <c r="W2989" i="1"/>
  <c r="X2989" i="1"/>
  <c r="Y2989" i="1"/>
  <c r="Z2989" i="1"/>
  <c r="AA2989" i="1"/>
  <c r="AB2989" i="1"/>
  <c r="AC2989" i="1"/>
  <c r="AD2989" i="1"/>
  <c r="AE2989" i="1"/>
  <c r="AF2989" i="1"/>
  <c r="AG2989" i="1"/>
  <c r="AH2989" i="1"/>
  <c r="AI2989" i="1"/>
  <c r="AJ2989" i="1"/>
  <c r="AK2989" i="1"/>
  <c r="AL2989" i="1"/>
  <c r="AM2989" i="1"/>
  <c r="A2990" i="1"/>
  <c r="B2990" i="1"/>
  <c r="C2990" i="1"/>
  <c r="D2990" i="1"/>
  <c r="E2990" i="1"/>
  <c r="F2990" i="1"/>
  <c r="G2990" i="1"/>
  <c r="H2990" i="1"/>
  <c r="I2990" i="1"/>
  <c r="J2990" i="1"/>
  <c r="K2990" i="1"/>
  <c r="L2990" i="1"/>
  <c r="M2990" i="1"/>
  <c r="N2990" i="1"/>
  <c r="O2990" i="1"/>
  <c r="P2990" i="1"/>
  <c r="Q2990" i="1"/>
  <c r="R2990" i="1"/>
  <c r="S2990" i="1"/>
  <c r="T2990" i="1"/>
  <c r="U2990" i="1"/>
  <c r="V2990" i="1"/>
  <c r="W2990" i="1"/>
  <c r="X2990" i="1"/>
  <c r="Y2990" i="1"/>
  <c r="Z2990" i="1"/>
  <c r="AA2990" i="1"/>
  <c r="AB2990" i="1"/>
  <c r="AC2990" i="1"/>
  <c r="AD2990" i="1"/>
  <c r="AE2990" i="1"/>
  <c r="AF2990" i="1"/>
  <c r="AG2990" i="1"/>
  <c r="AH2990" i="1"/>
  <c r="AI2990" i="1"/>
  <c r="AJ2990" i="1"/>
  <c r="AK2990" i="1"/>
  <c r="AL2990" i="1"/>
  <c r="AM2990" i="1"/>
  <c r="A2991" i="1"/>
  <c r="B2991" i="1"/>
  <c r="C2991" i="1"/>
  <c r="D2991" i="1"/>
  <c r="E2991" i="1"/>
  <c r="F2991" i="1"/>
  <c r="G2991" i="1"/>
  <c r="H2991" i="1"/>
  <c r="I2991" i="1"/>
  <c r="J2991" i="1"/>
  <c r="K2991" i="1"/>
  <c r="L2991" i="1"/>
  <c r="M2991" i="1"/>
  <c r="N2991" i="1"/>
  <c r="O2991" i="1"/>
  <c r="P2991" i="1"/>
  <c r="Q2991" i="1"/>
  <c r="R2991" i="1"/>
  <c r="S2991" i="1"/>
  <c r="T2991" i="1"/>
  <c r="U2991" i="1"/>
  <c r="V2991" i="1"/>
  <c r="W2991" i="1"/>
  <c r="X2991" i="1"/>
  <c r="Y2991" i="1"/>
  <c r="Z2991" i="1"/>
  <c r="AA2991" i="1"/>
  <c r="AB2991" i="1"/>
  <c r="AC2991" i="1"/>
  <c r="AD2991" i="1"/>
  <c r="AE2991" i="1"/>
  <c r="AF2991" i="1"/>
  <c r="AG2991" i="1"/>
  <c r="AH2991" i="1"/>
  <c r="AI2991" i="1"/>
  <c r="AJ2991" i="1"/>
  <c r="AK2991" i="1"/>
  <c r="AL2991" i="1"/>
  <c r="AM2991" i="1"/>
  <c r="A2992" i="1"/>
  <c r="B2992" i="1"/>
  <c r="C2992" i="1"/>
  <c r="D2992" i="1"/>
  <c r="E2992" i="1"/>
  <c r="F2992" i="1"/>
  <c r="G2992" i="1"/>
  <c r="H2992" i="1"/>
  <c r="I2992" i="1"/>
  <c r="J2992" i="1"/>
  <c r="K2992" i="1"/>
  <c r="L2992" i="1"/>
  <c r="M2992" i="1"/>
  <c r="N2992" i="1"/>
  <c r="O2992" i="1"/>
  <c r="P2992" i="1"/>
  <c r="Q2992" i="1"/>
  <c r="R2992" i="1"/>
  <c r="S2992" i="1"/>
  <c r="T2992" i="1"/>
  <c r="U2992" i="1"/>
  <c r="V2992" i="1"/>
  <c r="W2992" i="1"/>
  <c r="X2992" i="1"/>
  <c r="Y2992" i="1"/>
  <c r="Z2992" i="1"/>
  <c r="AA2992" i="1"/>
  <c r="AB2992" i="1"/>
  <c r="AC2992" i="1"/>
  <c r="AD2992" i="1"/>
  <c r="AE2992" i="1"/>
  <c r="AF2992" i="1"/>
  <c r="AG2992" i="1"/>
  <c r="AH2992" i="1"/>
  <c r="AI2992" i="1"/>
  <c r="AJ2992" i="1"/>
  <c r="AK2992" i="1"/>
  <c r="AL2992" i="1"/>
  <c r="AM2992" i="1"/>
  <c r="A2993" i="1"/>
  <c r="B2993" i="1"/>
  <c r="C2993" i="1"/>
  <c r="D2993" i="1"/>
  <c r="E2993" i="1"/>
  <c r="F2993" i="1"/>
  <c r="G2993" i="1"/>
  <c r="H2993" i="1"/>
  <c r="I2993" i="1"/>
  <c r="J2993" i="1"/>
  <c r="K2993" i="1"/>
  <c r="L2993" i="1"/>
  <c r="M2993" i="1"/>
  <c r="N2993" i="1"/>
  <c r="O2993" i="1"/>
  <c r="P2993" i="1"/>
  <c r="Q2993" i="1"/>
  <c r="R2993" i="1"/>
  <c r="S2993" i="1"/>
  <c r="T2993" i="1"/>
  <c r="U2993" i="1"/>
  <c r="V2993" i="1"/>
  <c r="W2993" i="1"/>
  <c r="X2993" i="1"/>
  <c r="Y2993" i="1"/>
  <c r="Z2993" i="1"/>
  <c r="AA2993" i="1"/>
  <c r="AB2993" i="1"/>
  <c r="AC2993" i="1"/>
  <c r="AD2993" i="1"/>
  <c r="AE2993" i="1"/>
  <c r="AF2993" i="1"/>
  <c r="AG2993" i="1"/>
  <c r="AH2993" i="1"/>
  <c r="AI2993" i="1"/>
  <c r="AJ2993" i="1"/>
  <c r="AK2993" i="1"/>
  <c r="AL2993" i="1"/>
  <c r="AM2993" i="1"/>
  <c r="A2994" i="1"/>
  <c r="B2994" i="1"/>
  <c r="C2994" i="1"/>
  <c r="D2994" i="1"/>
  <c r="E2994" i="1"/>
  <c r="F2994" i="1"/>
  <c r="G2994" i="1"/>
  <c r="H2994" i="1"/>
  <c r="I2994" i="1"/>
  <c r="J2994" i="1"/>
  <c r="K2994" i="1"/>
  <c r="L2994" i="1"/>
  <c r="M2994" i="1"/>
  <c r="N2994" i="1"/>
  <c r="O2994" i="1"/>
  <c r="P2994" i="1"/>
  <c r="Q2994" i="1"/>
  <c r="R2994" i="1"/>
  <c r="S2994" i="1"/>
  <c r="T2994" i="1"/>
  <c r="U2994" i="1"/>
  <c r="V2994" i="1"/>
  <c r="W2994" i="1"/>
  <c r="X2994" i="1"/>
  <c r="Y2994" i="1"/>
  <c r="Z2994" i="1"/>
  <c r="AA2994" i="1"/>
  <c r="AB2994" i="1"/>
  <c r="AC2994" i="1"/>
  <c r="AD2994" i="1"/>
  <c r="AE2994" i="1"/>
  <c r="AF2994" i="1"/>
  <c r="AG2994" i="1"/>
  <c r="AH2994" i="1"/>
  <c r="AI2994" i="1"/>
  <c r="AJ2994" i="1"/>
  <c r="AK2994" i="1"/>
  <c r="AL2994" i="1"/>
  <c r="AM2994" i="1"/>
  <c r="A2995" i="1"/>
  <c r="B2995" i="1"/>
  <c r="C2995" i="1"/>
  <c r="D2995" i="1"/>
  <c r="E2995" i="1"/>
  <c r="F2995" i="1"/>
  <c r="G2995" i="1"/>
  <c r="H2995" i="1"/>
  <c r="I2995" i="1"/>
  <c r="J2995" i="1"/>
  <c r="K2995" i="1"/>
  <c r="L2995" i="1"/>
  <c r="M2995" i="1"/>
  <c r="N2995" i="1"/>
  <c r="O2995" i="1"/>
  <c r="P2995" i="1"/>
  <c r="Q2995" i="1"/>
  <c r="R2995" i="1"/>
  <c r="S2995" i="1"/>
  <c r="T2995" i="1"/>
  <c r="U2995" i="1"/>
  <c r="V2995" i="1"/>
  <c r="W2995" i="1"/>
  <c r="X2995" i="1"/>
  <c r="Y2995" i="1"/>
  <c r="Z2995" i="1"/>
  <c r="AA2995" i="1"/>
  <c r="AB2995" i="1"/>
  <c r="AC2995" i="1"/>
  <c r="AD2995" i="1"/>
  <c r="AE2995" i="1"/>
  <c r="AF2995" i="1"/>
  <c r="AG2995" i="1"/>
  <c r="AH2995" i="1"/>
  <c r="AI2995" i="1"/>
  <c r="AJ2995" i="1"/>
  <c r="AK2995" i="1"/>
  <c r="AL2995" i="1"/>
  <c r="AM2995" i="1"/>
  <c r="A2996" i="1"/>
  <c r="B2996" i="1"/>
  <c r="C2996" i="1"/>
  <c r="D2996" i="1"/>
  <c r="E2996" i="1"/>
  <c r="F2996" i="1"/>
  <c r="G2996" i="1"/>
  <c r="H2996" i="1"/>
  <c r="I2996" i="1"/>
  <c r="J2996" i="1"/>
  <c r="K2996" i="1"/>
  <c r="L2996" i="1"/>
  <c r="M2996" i="1"/>
  <c r="N2996" i="1"/>
  <c r="O2996" i="1"/>
  <c r="P2996" i="1"/>
  <c r="Q2996" i="1"/>
  <c r="R2996" i="1"/>
  <c r="S2996" i="1"/>
  <c r="T2996" i="1"/>
  <c r="U2996" i="1"/>
  <c r="V2996" i="1"/>
  <c r="W2996" i="1"/>
  <c r="X2996" i="1"/>
  <c r="Y2996" i="1"/>
  <c r="Z2996" i="1"/>
  <c r="AA2996" i="1"/>
  <c r="AB2996" i="1"/>
  <c r="AC2996" i="1"/>
  <c r="AD2996" i="1"/>
  <c r="AE2996" i="1"/>
  <c r="AF2996" i="1"/>
  <c r="AG2996" i="1"/>
  <c r="AH2996" i="1"/>
  <c r="AI2996" i="1"/>
  <c r="AJ2996" i="1"/>
  <c r="AK2996" i="1"/>
  <c r="AL2996" i="1"/>
  <c r="AM2996" i="1"/>
  <c r="A2997" i="1"/>
  <c r="B2997" i="1"/>
  <c r="C2997" i="1"/>
  <c r="D2997" i="1"/>
  <c r="E2997" i="1"/>
  <c r="F2997" i="1"/>
  <c r="G2997" i="1"/>
  <c r="H2997" i="1"/>
  <c r="I2997" i="1"/>
  <c r="J2997" i="1"/>
  <c r="K2997" i="1"/>
  <c r="L2997" i="1"/>
  <c r="M2997" i="1"/>
  <c r="N2997" i="1"/>
  <c r="O2997" i="1"/>
  <c r="P2997" i="1"/>
  <c r="Q2997" i="1"/>
  <c r="R2997" i="1"/>
  <c r="S2997" i="1"/>
  <c r="T2997" i="1"/>
  <c r="U2997" i="1"/>
  <c r="V2997" i="1"/>
  <c r="W2997" i="1"/>
  <c r="X2997" i="1"/>
  <c r="Y2997" i="1"/>
  <c r="Z2997" i="1"/>
  <c r="AA2997" i="1"/>
  <c r="AB2997" i="1"/>
  <c r="AC2997" i="1"/>
  <c r="AD2997" i="1"/>
  <c r="AE2997" i="1"/>
  <c r="AF2997" i="1"/>
  <c r="AG2997" i="1"/>
  <c r="AH2997" i="1"/>
  <c r="AI2997" i="1"/>
  <c r="AJ2997" i="1"/>
  <c r="AK2997" i="1"/>
  <c r="AL2997" i="1"/>
  <c r="AM2997" i="1"/>
  <c r="A2998" i="1"/>
  <c r="B2998" i="1"/>
  <c r="C2998" i="1"/>
  <c r="D2998" i="1"/>
  <c r="E2998" i="1"/>
  <c r="F2998" i="1"/>
  <c r="G2998" i="1"/>
  <c r="H2998" i="1"/>
  <c r="I2998" i="1"/>
  <c r="J2998" i="1"/>
  <c r="K2998" i="1"/>
  <c r="L2998" i="1"/>
  <c r="M2998" i="1"/>
  <c r="N2998" i="1"/>
  <c r="O2998" i="1"/>
  <c r="P2998" i="1"/>
  <c r="Q2998" i="1"/>
  <c r="R2998" i="1"/>
  <c r="S2998" i="1"/>
  <c r="T2998" i="1"/>
  <c r="U2998" i="1"/>
  <c r="V2998" i="1"/>
  <c r="W2998" i="1"/>
  <c r="X2998" i="1"/>
  <c r="Y2998" i="1"/>
  <c r="Z2998" i="1"/>
  <c r="AA2998" i="1"/>
  <c r="AB2998" i="1"/>
  <c r="AC2998" i="1"/>
  <c r="AD2998" i="1"/>
  <c r="AE2998" i="1"/>
  <c r="AF2998" i="1"/>
  <c r="AG2998" i="1"/>
  <c r="AH2998" i="1"/>
  <c r="AI2998" i="1"/>
  <c r="AJ2998" i="1"/>
  <c r="AK2998" i="1"/>
  <c r="AL2998" i="1"/>
  <c r="AM2998" i="1"/>
  <c r="A2999" i="1"/>
  <c r="B2999" i="1"/>
  <c r="C2999" i="1"/>
  <c r="D2999" i="1"/>
  <c r="E2999" i="1"/>
  <c r="F2999" i="1"/>
  <c r="G2999" i="1"/>
  <c r="H2999" i="1"/>
  <c r="I2999" i="1"/>
  <c r="J2999" i="1"/>
  <c r="K2999" i="1"/>
  <c r="L2999" i="1"/>
  <c r="M2999" i="1"/>
  <c r="N2999" i="1"/>
  <c r="O2999" i="1"/>
  <c r="P2999" i="1"/>
  <c r="Q2999" i="1"/>
  <c r="R2999" i="1"/>
  <c r="S2999" i="1"/>
  <c r="T2999" i="1"/>
  <c r="U2999" i="1"/>
  <c r="V2999" i="1"/>
  <c r="W2999" i="1"/>
  <c r="X2999" i="1"/>
  <c r="Y2999" i="1"/>
  <c r="Z2999" i="1"/>
  <c r="AA2999" i="1"/>
  <c r="AB2999" i="1"/>
  <c r="AC2999" i="1"/>
  <c r="AD2999" i="1"/>
  <c r="AE2999" i="1"/>
  <c r="AF2999" i="1"/>
  <c r="AG2999" i="1"/>
  <c r="AH2999" i="1"/>
  <c r="AI2999" i="1"/>
  <c r="AJ2999" i="1"/>
  <c r="AK2999" i="1"/>
  <c r="AL2999" i="1"/>
  <c r="AM2999" i="1"/>
  <c r="A3000" i="1"/>
  <c r="B3000" i="1"/>
  <c r="C3000" i="1"/>
  <c r="D3000" i="1"/>
  <c r="E3000" i="1"/>
  <c r="F3000" i="1"/>
  <c r="G3000" i="1"/>
  <c r="H3000" i="1"/>
  <c r="I3000" i="1"/>
  <c r="J3000" i="1"/>
  <c r="K3000" i="1"/>
  <c r="L3000" i="1"/>
  <c r="M3000" i="1"/>
  <c r="N3000" i="1"/>
  <c r="O3000" i="1"/>
  <c r="P3000" i="1"/>
  <c r="Q3000" i="1"/>
  <c r="R3000" i="1"/>
  <c r="S3000" i="1"/>
  <c r="T3000" i="1"/>
  <c r="U3000" i="1"/>
  <c r="V3000" i="1"/>
  <c r="W3000" i="1"/>
  <c r="X3000" i="1"/>
  <c r="Y3000" i="1"/>
  <c r="Z3000" i="1"/>
  <c r="AA3000" i="1"/>
  <c r="AB3000" i="1"/>
  <c r="AC3000" i="1"/>
  <c r="AD3000" i="1"/>
  <c r="AE3000" i="1"/>
  <c r="AF3000" i="1"/>
  <c r="AG3000" i="1"/>
  <c r="AH3000" i="1"/>
  <c r="AI3000" i="1"/>
  <c r="AJ3000" i="1"/>
  <c r="AK3000" i="1"/>
  <c r="AL3000" i="1"/>
  <c r="AM3000" i="1"/>
  <c r="A3001" i="1"/>
  <c r="B3001" i="1"/>
  <c r="C3001" i="1"/>
  <c r="D3001" i="1"/>
  <c r="E3001" i="1"/>
  <c r="F3001" i="1"/>
  <c r="G3001" i="1"/>
  <c r="H3001" i="1"/>
  <c r="I3001" i="1"/>
  <c r="J3001" i="1"/>
  <c r="K3001" i="1"/>
  <c r="L3001" i="1"/>
  <c r="M3001" i="1"/>
  <c r="N3001" i="1"/>
  <c r="O3001" i="1"/>
  <c r="P3001" i="1"/>
  <c r="Q3001" i="1"/>
  <c r="R3001" i="1"/>
  <c r="S3001" i="1"/>
  <c r="T3001" i="1"/>
  <c r="U3001" i="1"/>
  <c r="V3001" i="1"/>
  <c r="W3001" i="1"/>
  <c r="X3001" i="1"/>
  <c r="Y3001" i="1"/>
  <c r="Z3001" i="1"/>
  <c r="AA3001" i="1"/>
  <c r="AB3001" i="1"/>
  <c r="AC3001" i="1"/>
  <c r="AD3001" i="1"/>
  <c r="AE3001" i="1"/>
  <c r="AF3001" i="1"/>
  <c r="AG3001" i="1"/>
  <c r="AH3001" i="1"/>
  <c r="AI3001" i="1"/>
  <c r="AJ3001" i="1"/>
  <c r="AK3001" i="1"/>
  <c r="AL3001" i="1"/>
  <c r="AM3001" i="1"/>
  <c r="A3002" i="1"/>
  <c r="B3002" i="1"/>
  <c r="C3002" i="1"/>
  <c r="D3002" i="1"/>
  <c r="E3002" i="1"/>
  <c r="F3002" i="1"/>
  <c r="G3002" i="1"/>
  <c r="H3002" i="1"/>
  <c r="I3002" i="1"/>
  <c r="J3002" i="1"/>
  <c r="K3002" i="1"/>
  <c r="L3002" i="1"/>
  <c r="M3002" i="1"/>
  <c r="N3002" i="1"/>
  <c r="O3002" i="1"/>
  <c r="P3002" i="1"/>
  <c r="Q3002" i="1"/>
  <c r="R3002" i="1"/>
  <c r="S3002" i="1"/>
  <c r="T3002" i="1"/>
  <c r="U3002" i="1"/>
  <c r="V3002" i="1"/>
  <c r="W3002" i="1"/>
  <c r="X3002" i="1"/>
  <c r="Y3002" i="1"/>
  <c r="Z3002" i="1"/>
  <c r="AA3002" i="1"/>
  <c r="AB3002" i="1"/>
  <c r="AC3002" i="1"/>
  <c r="AD3002" i="1"/>
  <c r="AE3002" i="1"/>
  <c r="AF3002" i="1"/>
  <c r="AG3002" i="1"/>
  <c r="AH3002" i="1"/>
  <c r="AI3002" i="1"/>
  <c r="AJ3002" i="1"/>
  <c r="AK3002" i="1"/>
  <c r="AL3002" i="1"/>
  <c r="AM3002" i="1"/>
  <c r="A3003" i="1"/>
  <c r="B3003" i="1"/>
  <c r="C3003" i="1"/>
  <c r="D3003" i="1"/>
  <c r="E3003" i="1"/>
  <c r="F3003" i="1"/>
  <c r="G3003" i="1"/>
  <c r="H3003" i="1"/>
  <c r="I3003" i="1"/>
  <c r="J3003" i="1"/>
  <c r="K3003" i="1"/>
  <c r="L3003" i="1"/>
  <c r="M3003" i="1"/>
  <c r="N3003" i="1"/>
  <c r="O3003" i="1"/>
  <c r="P3003" i="1"/>
  <c r="Q3003" i="1"/>
  <c r="R3003" i="1"/>
  <c r="S3003" i="1"/>
  <c r="T3003" i="1"/>
  <c r="U3003" i="1"/>
  <c r="V3003" i="1"/>
  <c r="W3003" i="1"/>
  <c r="X3003" i="1"/>
  <c r="Y3003" i="1"/>
  <c r="Z3003" i="1"/>
  <c r="AA3003" i="1"/>
  <c r="AB3003" i="1"/>
  <c r="AC3003" i="1"/>
  <c r="AD3003" i="1"/>
  <c r="AE3003" i="1"/>
  <c r="AF3003" i="1"/>
  <c r="AG3003" i="1"/>
  <c r="AH3003" i="1"/>
  <c r="AI3003" i="1"/>
  <c r="AJ3003" i="1"/>
  <c r="AK3003" i="1"/>
  <c r="AL3003" i="1"/>
  <c r="AM3003" i="1"/>
  <c r="A3004" i="1"/>
  <c r="B3004" i="1"/>
  <c r="C3004" i="1"/>
  <c r="D3004" i="1"/>
  <c r="E3004" i="1"/>
  <c r="F3004" i="1"/>
  <c r="G3004" i="1"/>
  <c r="H3004" i="1"/>
  <c r="I3004" i="1"/>
  <c r="J3004" i="1"/>
  <c r="K3004" i="1"/>
  <c r="L3004" i="1"/>
  <c r="M3004" i="1"/>
  <c r="N3004" i="1"/>
  <c r="O3004" i="1"/>
  <c r="P3004" i="1"/>
  <c r="Q3004" i="1"/>
  <c r="R3004" i="1"/>
  <c r="S3004" i="1"/>
  <c r="T3004" i="1"/>
  <c r="U3004" i="1"/>
  <c r="V3004" i="1"/>
  <c r="W3004" i="1"/>
  <c r="X3004" i="1"/>
  <c r="Y3004" i="1"/>
  <c r="Z3004" i="1"/>
  <c r="AA3004" i="1"/>
  <c r="AB3004" i="1"/>
  <c r="AC3004" i="1"/>
  <c r="AD3004" i="1"/>
  <c r="AE3004" i="1"/>
  <c r="AF3004" i="1"/>
  <c r="AG3004" i="1"/>
  <c r="AH3004" i="1"/>
  <c r="AI3004" i="1"/>
  <c r="AJ3004" i="1"/>
  <c r="AK3004" i="1"/>
  <c r="AL3004" i="1"/>
  <c r="AM3004" i="1"/>
  <c r="A3005" i="1"/>
  <c r="B3005" i="1"/>
  <c r="C3005" i="1"/>
  <c r="D3005" i="1"/>
  <c r="E3005" i="1"/>
  <c r="F3005" i="1"/>
  <c r="G3005" i="1"/>
  <c r="H3005" i="1"/>
  <c r="I3005" i="1"/>
  <c r="J3005" i="1"/>
  <c r="K3005" i="1"/>
  <c r="L3005" i="1"/>
  <c r="M3005" i="1"/>
  <c r="N3005" i="1"/>
  <c r="O3005" i="1"/>
  <c r="P3005" i="1"/>
  <c r="Q3005" i="1"/>
  <c r="R3005" i="1"/>
  <c r="S3005" i="1"/>
  <c r="T3005" i="1"/>
  <c r="U3005" i="1"/>
  <c r="V3005" i="1"/>
  <c r="W3005" i="1"/>
  <c r="X3005" i="1"/>
  <c r="Y3005" i="1"/>
  <c r="Z3005" i="1"/>
  <c r="AA3005" i="1"/>
  <c r="AB3005" i="1"/>
  <c r="AC3005" i="1"/>
  <c r="AD3005" i="1"/>
  <c r="AE3005" i="1"/>
  <c r="AF3005" i="1"/>
  <c r="AG3005" i="1"/>
  <c r="AH3005" i="1"/>
  <c r="AI3005" i="1"/>
  <c r="AJ3005" i="1"/>
  <c r="AK3005" i="1"/>
  <c r="AL3005" i="1"/>
  <c r="AM3005" i="1"/>
  <c r="A3006" i="1"/>
  <c r="B3006" i="1"/>
  <c r="C3006" i="1"/>
  <c r="D3006" i="1"/>
  <c r="E3006" i="1"/>
  <c r="F3006" i="1"/>
  <c r="G3006" i="1"/>
  <c r="H3006" i="1"/>
  <c r="I3006" i="1"/>
  <c r="J3006" i="1"/>
  <c r="K3006" i="1"/>
  <c r="L3006" i="1"/>
  <c r="M3006" i="1"/>
  <c r="N3006" i="1"/>
  <c r="O3006" i="1"/>
  <c r="P3006" i="1"/>
  <c r="Q3006" i="1"/>
  <c r="R3006" i="1"/>
  <c r="S3006" i="1"/>
  <c r="T3006" i="1"/>
  <c r="U3006" i="1"/>
  <c r="V3006" i="1"/>
  <c r="W3006" i="1"/>
  <c r="X3006" i="1"/>
  <c r="Y3006" i="1"/>
  <c r="Z3006" i="1"/>
  <c r="AA3006" i="1"/>
  <c r="AB3006" i="1"/>
  <c r="AC3006" i="1"/>
  <c r="AD3006" i="1"/>
  <c r="AE3006" i="1"/>
  <c r="AF3006" i="1"/>
  <c r="AG3006" i="1"/>
  <c r="AH3006" i="1"/>
  <c r="AI3006" i="1"/>
  <c r="AJ3006" i="1"/>
  <c r="AK3006" i="1"/>
  <c r="AL3006" i="1"/>
  <c r="AM3006" i="1"/>
  <c r="A3007" i="1"/>
  <c r="B3007" i="1"/>
  <c r="C3007" i="1"/>
  <c r="D3007" i="1"/>
  <c r="E3007" i="1"/>
  <c r="F3007" i="1"/>
  <c r="G3007" i="1"/>
  <c r="H3007" i="1"/>
  <c r="I3007" i="1"/>
  <c r="J3007" i="1"/>
  <c r="K3007" i="1"/>
  <c r="L3007" i="1"/>
  <c r="M3007" i="1"/>
  <c r="N3007" i="1"/>
  <c r="O3007" i="1"/>
  <c r="P3007" i="1"/>
  <c r="Q3007" i="1"/>
  <c r="R3007" i="1"/>
  <c r="S3007" i="1"/>
  <c r="T3007" i="1"/>
  <c r="U3007" i="1"/>
  <c r="V3007" i="1"/>
  <c r="W3007" i="1"/>
  <c r="X3007" i="1"/>
  <c r="Y3007" i="1"/>
  <c r="Z3007" i="1"/>
  <c r="AA3007" i="1"/>
  <c r="AB3007" i="1"/>
  <c r="AC3007" i="1"/>
  <c r="AD3007" i="1"/>
  <c r="AE3007" i="1"/>
  <c r="AF3007" i="1"/>
  <c r="AG3007" i="1"/>
  <c r="AH3007" i="1"/>
  <c r="AI3007" i="1"/>
  <c r="AJ3007" i="1"/>
  <c r="AK3007" i="1"/>
  <c r="AL3007" i="1"/>
  <c r="AM3007" i="1"/>
  <c r="A3008" i="1"/>
  <c r="B3008" i="1"/>
  <c r="C3008" i="1"/>
  <c r="D3008" i="1"/>
  <c r="E3008" i="1"/>
  <c r="F3008" i="1"/>
  <c r="G3008" i="1"/>
  <c r="H3008" i="1"/>
  <c r="I3008" i="1"/>
  <c r="J3008" i="1"/>
  <c r="K3008" i="1"/>
  <c r="L3008" i="1"/>
  <c r="M3008" i="1"/>
  <c r="N3008" i="1"/>
  <c r="O3008" i="1"/>
  <c r="P3008" i="1"/>
  <c r="Q3008" i="1"/>
  <c r="R3008" i="1"/>
  <c r="S3008" i="1"/>
  <c r="T3008" i="1"/>
  <c r="U3008" i="1"/>
  <c r="V3008" i="1"/>
  <c r="W3008" i="1"/>
  <c r="X3008" i="1"/>
  <c r="Y3008" i="1"/>
  <c r="Z3008" i="1"/>
  <c r="AA3008" i="1"/>
  <c r="AB3008" i="1"/>
  <c r="AC3008" i="1"/>
  <c r="AD3008" i="1"/>
  <c r="AE3008" i="1"/>
  <c r="AF3008" i="1"/>
  <c r="AG3008" i="1"/>
  <c r="AH3008" i="1"/>
  <c r="AI3008" i="1"/>
  <c r="AJ3008" i="1"/>
  <c r="AK3008" i="1"/>
  <c r="AL3008" i="1"/>
  <c r="AM3008" i="1"/>
  <c r="A3009" i="1"/>
  <c r="B3009" i="1"/>
  <c r="C3009" i="1"/>
  <c r="D3009" i="1"/>
  <c r="E3009" i="1"/>
  <c r="F3009" i="1"/>
  <c r="G3009" i="1"/>
  <c r="H3009" i="1"/>
  <c r="I3009" i="1"/>
  <c r="J3009" i="1"/>
  <c r="K3009" i="1"/>
  <c r="L3009" i="1"/>
  <c r="M3009" i="1"/>
  <c r="N3009" i="1"/>
  <c r="O3009" i="1"/>
  <c r="P3009" i="1"/>
  <c r="Q3009" i="1"/>
  <c r="R3009" i="1"/>
  <c r="S3009" i="1"/>
  <c r="T3009" i="1"/>
  <c r="U3009" i="1"/>
  <c r="V3009" i="1"/>
  <c r="W3009" i="1"/>
  <c r="X3009" i="1"/>
  <c r="Y3009" i="1"/>
  <c r="Z3009" i="1"/>
  <c r="AA3009" i="1"/>
  <c r="AB3009" i="1"/>
  <c r="AC3009" i="1"/>
  <c r="AD3009" i="1"/>
  <c r="AE3009" i="1"/>
  <c r="AF3009" i="1"/>
  <c r="AG3009" i="1"/>
  <c r="AH3009" i="1"/>
  <c r="AI3009" i="1"/>
  <c r="AJ3009" i="1"/>
  <c r="AK3009" i="1"/>
  <c r="AL3009" i="1"/>
  <c r="AM3009" i="1"/>
  <c r="A3010" i="1"/>
  <c r="B3010" i="1"/>
  <c r="C3010" i="1"/>
  <c r="D3010" i="1"/>
  <c r="E3010" i="1"/>
  <c r="F3010" i="1"/>
  <c r="G3010" i="1"/>
  <c r="H3010" i="1"/>
  <c r="I3010" i="1"/>
  <c r="J3010" i="1"/>
  <c r="K3010" i="1"/>
  <c r="L3010" i="1"/>
  <c r="M3010" i="1"/>
  <c r="N3010" i="1"/>
  <c r="O3010" i="1"/>
  <c r="P3010" i="1"/>
  <c r="Q3010" i="1"/>
  <c r="R3010" i="1"/>
  <c r="S3010" i="1"/>
  <c r="T3010" i="1"/>
  <c r="U3010" i="1"/>
  <c r="V3010" i="1"/>
  <c r="W3010" i="1"/>
  <c r="X3010" i="1"/>
  <c r="Y3010" i="1"/>
  <c r="Z3010" i="1"/>
  <c r="AA3010" i="1"/>
  <c r="AB3010" i="1"/>
  <c r="AC3010" i="1"/>
  <c r="AD3010" i="1"/>
  <c r="AE3010" i="1"/>
  <c r="AF3010" i="1"/>
  <c r="AG3010" i="1"/>
  <c r="AH3010" i="1"/>
  <c r="AI3010" i="1"/>
  <c r="AJ3010" i="1"/>
  <c r="AK3010" i="1"/>
  <c r="AL3010" i="1"/>
  <c r="AM3010" i="1"/>
  <c r="A3011" i="1"/>
  <c r="B3011" i="1"/>
  <c r="C3011" i="1"/>
  <c r="D3011" i="1"/>
  <c r="E3011" i="1"/>
  <c r="F3011" i="1"/>
  <c r="G3011" i="1"/>
  <c r="H3011" i="1"/>
  <c r="I3011" i="1"/>
  <c r="J3011" i="1"/>
  <c r="K3011" i="1"/>
  <c r="L3011" i="1"/>
  <c r="M3011" i="1"/>
  <c r="N3011" i="1"/>
  <c r="O3011" i="1"/>
  <c r="P3011" i="1"/>
  <c r="Q3011" i="1"/>
  <c r="R3011" i="1"/>
  <c r="S3011" i="1"/>
  <c r="T3011" i="1"/>
  <c r="U3011" i="1"/>
  <c r="V3011" i="1"/>
  <c r="W3011" i="1"/>
  <c r="X3011" i="1"/>
  <c r="Y3011" i="1"/>
  <c r="Z3011" i="1"/>
  <c r="AA3011" i="1"/>
  <c r="AB3011" i="1"/>
  <c r="AC3011" i="1"/>
  <c r="AD3011" i="1"/>
  <c r="AE3011" i="1"/>
  <c r="AF3011" i="1"/>
  <c r="AG3011" i="1"/>
  <c r="AH3011" i="1"/>
  <c r="AI3011" i="1"/>
  <c r="AJ3011" i="1"/>
  <c r="AK3011" i="1"/>
  <c r="AL3011" i="1"/>
  <c r="AM3011" i="1"/>
  <c r="A3012" i="1"/>
  <c r="B3012" i="1"/>
  <c r="C3012" i="1"/>
  <c r="D3012" i="1"/>
  <c r="E3012" i="1"/>
  <c r="F3012" i="1"/>
  <c r="G3012" i="1"/>
  <c r="H3012" i="1"/>
  <c r="I3012" i="1"/>
  <c r="J3012" i="1"/>
  <c r="K3012" i="1"/>
  <c r="L3012" i="1"/>
  <c r="M3012" i="1"/>
  <c r="N3012" i="1"/>
  <c r="O3012" i="1"/>
  <c r="P3012" i="1"/>
  <c r="Q3012" i="1"/>
  <c r="R3012" i="1"/>
  <c r="S3012" i="1"/>
  <c r="T3012" i="1"/>
  <c r="U3012" i="1"/>
  <c r="V3012" i="1"/>
  <c r="W3012" i="1"/>
  <c r="X3012" i="1"/>
  <c r="Y3012" i="1"/>
  <c r="Z3012" i="1"/>
  <c r="AA3012" i="1"/>
  <c r="AB3012" i="1"/>
  <c r="AC3012" i="1"/>
  <c r="AD3012" i="1"/>
  <c r="AE3012" i="1"/>
  <c r="AF3012" i="1"/>
  <c r="AG3012" i="1"/>
  <c r="AH3012" i="1"/>
  <c r="AI3012" i="1"/>
  <c r="AJ3012" i="1"/>
  <c r="AK3012" i="1"/>
  <c r="AL3012" i="1"/>
  <c r="AM3012" i="1"/>
  <c r="A3013" i="1"/>
  <c r="B3013" i="1"/>
  <c r="C3013" i="1"/>
  <c r="D3013" i="1"/>
  <c r="E3013" i="1"/>
  <c r="F3013" i="1"/>
  <c r="G3013" i="1"/>
  <c r="H3013" i="1"/>
  <c r="I3013" i="1"/>
  <c r="J3013" i="1"/>
  <c r="K3013" i="1"/>
  <c r="L3013" i="1"/>
  <c r="M3013" i="1"/>
  <c r="N3013" i="1"/>
  <c r="O3013" i="1"/>
  <c r="P3013" i="1"/>
  <c r="Q3013" i="1"/>
  <c r="R3013" i="1"/>
  <c r="S3013" i="1"/>
  <c r="T3013" i="1"/>
  <c r="U3013" i="1"/>
  <c r="V3013" i="1"/>
  <c r="W3013" i="1"/>
  <c r="X3013" i="1"/>
  <c r="Y3013" i="1"/>
  <c r="Z3013" i="1"/>
  <c r="AA3013" i="1"/>
  <c r="AB3013" i="1"/>
  <c r="AC3013" i="1"/>
  <c r="AD3013" i="1"/>
  <c r="AE3013" i="1"/>
  <c r="AF3013" i="1"/>
  <c r="AG3013" i="1"/>
  <c r="AH3013" i="1"/>
  <c r="AI3013" i="1"/>
  <c r="AJ3013" i="1"/>
  <c r="AK3013" i="1"/>
  <c r="AL3013" i="1"/>
  <c r="AM3013" i="1"/>
  <c r="A3014" i="1"/>
  <c r="B3014" i="1"/>
  <c r="C3014" i="1"/>
  <c r="D3014" i="1"/>
  <c r="E3014" i="1"/>
  <c r="F3014" i="1"/>
  <c r="G3014" i="1"/>
  <c r="H3014" i="1"/>
  <c r="I3014" i="1"/>
  <c r="J3014" i="1"/>
  <c r="K3014" i="1"/>
  <c r="L3014" i="1"/>
  <c r="M3014" i="1"/>
  <c r="N3014" i="1"/>
  <c r="O3014" i="1"/>
  <c r="P3014" i="1"/>
  <c r="Q3014" i="1"/>
  <c r="R3014" i="1"/>
  <c r="S3014" i="1"/>
  <c r="T3014" i="1"/>
  <c r="U3014" i="1"/>
  <c r="V3014" i="1"/>
  <c r="W3014" i="1"/>
  <c r="X3014" i="1"/>
  <c r="Y3014" i="1"/>
  <c r="Z3014" i="1"/>
  <c r="AA3014" i="1"/>
  <c r="AB3014" i="1"/>
  <c r="AC3014" i="1"/>
  <c r="AD3014" i="1"/>
  <c r="AE3014" i="1"/>
  <c r="AF3014" i="1"/>
  <c r="AG3014" i="1"/>
  <c r="AH3014" i="1"/>
  <c r="AI3014" i="1"/>
  <c r="AJ3014" i="1"/>
  <c r="AK3014" i="1"/>
  <c r="AL3014" i="1"/>
  <c r="AM3014" i="1"/>
  <c r="A3015" i="1"/>
  <c r="B3015" i="1"/>
  <c r="C3015" i="1"/>
  <c r="D3015" i="1"/>
  <c r="E3015" i="1"/>
  <c r="F3015" i="1"/>
  <c r="G3015" i="1"/>
  <c r="H3015" i="1"/>
  <c r="I3015" i="1"/>
  <c r="J3015" i="1"/>
  <c r="K3015" i="1"/>
  <c r="L3015" i="1"/>
  <c r="M3015" i="1"/>
  <c r="N3015" i="1"/>
  <c r="O3015" i="1"/>
  <c r="P3015" i="1"/>
  <c r="Q3015" i="1"/>
  <c r="R3015" i="1"/>
  <c r="S3015" i="1"/>
  <c r="T3015" i="1"/>
  <c r="U3015" i="1"/>
  <c r="V3015" i="1"/>
  <c r="W3015" i="1"/>
  <c r="X3015" i="1"/>
  <c r="Y3015" i="1"/>
  <c r="Z3015" i="1"/>
  <c r="AA3015" i="1"/>
  <c r="AB3015" i="1"/>
  <c r="AC3015" i="1"/>
  <c r="AD3015" i="1"/>
  <c r="AE3015" i="1"/>
  <c r="AF3015" i="1"/>
  <c r="AG3015" i="1"/>
  <c r="AH3015" i="1"/>
  <c r="AI3015" i="1"/>
  <c r="AJ3015" i="1"/>
  <c r="AK3015" i="1"/>
  <c r="AL3015" i="1"/>
  <c r="AM3015" i="1"/>
  <c r="A3016" i="1"/>
  <c r="B3016" i="1"/>
  <c r="C3016" i="1"/>
  <c r="D3016" i="1"/>
  <c r="E3016" i="1"/>
  <c r="F3016" i="1"/>
  <c r="G3016" i="1"/>
  <c r="H3016" i="1"/>
  <c r="I3016" i="1"/>
  <c r="J3016" i="1"/>
  <c r="K3016" i="1"/>
  <c r="L3016" i="1"/>
  <c r="M3016" i="1"/>
  <c r="N3016" i="1"/>
  <c r="O3016" i="1"/>
  <c r="P3016" i="1"/>
  <c r="Q3016" i="1"/>
  <c r="R3016" i="1"/>
  <c r="S3016" i="1"/>
  <c r="T3016" i="1"/>
  <c r="U3016" i="1"/>
  <c r="V3016" i="1"/>
  <c r="W3016" i="1"/>
  <c r="X3016" i="1"/>
  <c r="Y3016" i="1"/>
  <c r="Z3016" i="1"/>
  <c r="AA3016" i="1"/>
  <c r="AB3016" i="1"/>
  <c r="AC3016" i="1"/>
  <c r="AD3016" i="1"/>
  <c r="AE3016" i="1"/>
  <c r="AF3016" i="1"/>
  <c r="AG3016" i="1"/>
  <c r="AH3016" i="1"/>
  <c r="AI3016" i="1"/>
  <c r="AJ3016" i="1"/>
  <c r="AK3016" i="1"/>
  <c r="AL3016" i="1"/>
  <c r="AM3016" i="1"/>
  <c r="A3017" i="1"/>
  <c r="B3017" i="1"/>
  <c r="C3017" i="1"/>
  <c r="D3017" i="1"/>
  <c r="E3017" i="1"/>
  <c r="F3017" i="1"/>
  <c r="G3017" i="1"/>
  <c r="H3017" i="1"/>
  <c r="I3017" i="1"/>
  <c r="J3017" i="1"/>
  <c r="K3017" i="1"/>
  <c r="L3017" i="1"/>
  <c r="M3017" i="1"/>
  <c r="N3017" i="1"/>
  <c r="O3017" i="1"/>
  <c r="P3017" i="1"/>
  <c r="Q3017" i="1"/>
  <c r="R3017" i="1"/>
  <c r="S3017" i="1"/>
  <c r="T3017" i="1"/>
  <c r="U3017" i="1"/>
  <c r="V3017" i="1"/>
  <c r="W3017" i="1"/>
  <c r="X3017" i="1"/>
  <c r="Y3017" i="1"/>
  <c r="Z3017" i="1"/>
  <c r="AA3017" i="1"/>
  <c r="AB3017" i="1"/>
  <c r="AC3017" i="1"/>
  <c r="AD3017" i="1"/>
  <c r="AE3017" i="1"/>
  <c r="AF3017" i="1"/>
  <c r="AG3017" i="1"/>
  <c r="AH3017" i="1"/>
  <c r="AI3017" i="1"/>
  <c r="AJ3017" i="1"/>
  <c r="AK3017" i="1"/>
  <c r="AL3017" i="1"/>
  <c r="AM3017" i="1"/>
  <c r="A3018" i="1"/>
  <c r="B3018" i="1"/>
  <c r="C3018" i="1"/>
  <c r="D3018" i="1"/>
  <c r="E3018" i="1"/>
  <c r="F3018" i="1"/>
  <c r="G3018" i="1"/>
  <c r="H3018" i="1"/>
  <c r="I3018" i="1"/>
  <c r="J3018" i="1"/>
  <c r="K3018" i="1"/>
  <c r="L3018" i="1"/>
  <c r="M3018" i="1"/>
  <c r="N3018" i="1"/>
  <c r="O3018" i="1"/>
  <c r="P3018" i="1"/>
  <c r="Q3018" i="1"/>
  <c r="R3018" i="1"/>
  <c r="S3018" i="1"/>
  <c r="T3018" i="1"/>
  <c r="U3018" i="1"/>
  <c r="V3018" i="1"/>
  <c r="W3018" i="1"/>
  <c r="X3018" i="1"/>
  <c r="Y3018" i="1"/>
  <c r="Z3018" i="1"/>
  <c r="AA3018" i="1"/>
  <c r="AB3018" i="1"/>
  <c r="AC3018" i="1"/>
  <c r="AD3018" i="1"/>
  <c r="AE3018" i="1"/>
  <c r="AF3018" i="1"/>
  <c r="AG3018" i="1"/>
  <c r="AH3018" i="1"/>
  <c r="AI3018" i="1"/>
  <c r="AJ3018" i="1"/>
  <c r="AK3018" i="1"/>
  <c r="AL3018" i="1"/>
  <c r="AM3018" i="1"/>
  <c r="A3019" i="1"/>
  <c r="B3019" i="1"/>
  <c r="C3019" i="1"/>
  <c r="D3019" i="1"/>
  <c r="E3019" i="1"/>
  <c r="F3019" i="1"/>
  <c r="G3019" i="1"/>
  <c r="H3019" i="1"/>
  <c r="I3019" i="1"/>
  <c r="J3019" i="1"/>
  <c r="K3019" i="1"/>
  <c r="L3019" i="1"/>
  <c r="M3019" i="1"/>
  <c r="N3019" i="1"/>
  <c r="O3019" i="1"/>
  <c r="P3019" i="1"/>
  <c r="Q3019" i="1"/>
  <c r="R3019" i="1"/>
  <c r="S3019" i="1"/>
  <c r="T3019" i="1"/>
  <c r="U3019" i="1"/>
  <c r="V3019" i="1"/>
  <c r="W3019" i="1"/>
  <c r="X3019" i="1"/>
  <c r="Y3019" i="1"/>
  <c r="Z3019" i="1"/>
  <c r="AA3019" i="1"/>
  <c r="AB3019" i="1"/>
  <c r="AC3019" i="1"/>
  <c r="AD3019" i="1"/>
  <c r="AE3019" i="1"/>
  <c r="AF3019" i="1"/>
  <c r="AG3019" i="1"/>
  <c r="AH3019" i="1"/>
  <c r="AI3019" i="1"/>
  <c r="AJ3019" i="1"/>
  <c r="AK3019" i="1"/>
  <c r="AL3019" i="1"/>
  <c r="AM3019" i="1"/>
  <c r="A3020" i="1"/>
  <c r="B3020" i="1"/>
  <c r="C3020" i="1"/>
  <c r="D3020" i="1"/>
  <c r="E3020" i="1"/>
  <c r="F3020" i="1"/>
  <c r="G3020" i="1"/>
  <c r="H3020" i="1"/>
  <c r="I3020" i="1"/>
  <c r="J3020" i="1"/>
  <c r="K3020" i="1"/>
  <c r="L3020" i="1"/>
  <c r="M3020" i="1"/>
  <c r="N3020" i="1"/>
  <c r="O3020" i="1"/>
  <c r="P3020" i="1"/>
  <c r="Q3020" i="1"/>
  <c r="R3020" i="1"/>
  <c r="S3020" i="1"/>
  <c r="T3020" i="1"/>
  <c r="U3020" i="1"/>
  <c r="V3020" i="1"/>
  <c r="W3020" i="1"/>
  <c r="X3020" i="1"/>
  <c r="Y3020" i="1"/>
  <c r="Z3020" i="1"/>
  <c r="AA3020" i="1"/>
  <c r="AB3020" i="1"/>
  <c r="AC3020" i="1"/>
  <c r="AD3020" i="1"/>
  <c r="AE3020" i="1"/>
  <c r="AF3020" i="1"/>
  <c r="AG3020" i="1"/>
  <c r="AH3020" i="1"/>
  <c r="AI3020" i="1"/>
  <c r="AJ3020" i="1"/>
  <c r="AK3020" i="1"/>
  <c r="AL3020" i="1"/>
  <c r="AM3020" i="1"/>
  <c r="A3021" i="1"/>
  <c r="B3021" i="1"/>
  <c r="C3021" i="1"/>
  <c r="D3021" i="1"/>
  <c r="E3021" i="1"/>
  <c r="F3021" i="1"/>
  <c r="G3021" i="1"/>
  <c r="H3021" i="1"/>
  <c r="I3021" i="1"/>
  <c r="J3021" i="1"/>
  <c r="K3021" i="1"/>
  <c r="L3021" i="1"/>
  <c r="M3021" i="1"/>
  <c r="N3021" i="1"/>
  <c r="O3021" i="1"/>
  <c r="P3021" i="1"/>
  <c r="Q3021" i="1"/>
  <c r="R3021" i="1"/>
  <c r="S3021" i="1"/>
  <c r="T3021" i="1"/>
  <c r="U3021" i="1"/>
  <c r="V3021" i="1"/>
  <c r="W3021" i="1"/>
  <c r="X3021" i="1"/>
  <c r="Y3021" i="1"/>
  <c r="Z3021" i="1"/>
  <c r="AA3021" i="1"/>
  <c r="AB3021" i="1"/>
  <c r="AC3021" i="1"/>
  <c r="AD3021" i="1"/>
  <c r="AE3021" i="1"/>
  <c r="AF3021" i="1"/>
  <c r="AG3021" i="1"/>
  <c r="AH3021" i="1"/>
  <c r="AI3021" i="1"/>
  <c r="AJ3021" i="1"/>
  <c r="AK3021" i="1"/>
  <c r="AL3021" i="1"/>
  <c r="AM3021" i="1"/>
  <c r="A3022" i="1"/>
  <c r="B3022" i="1"/>
  <c r="C3022" i="1"/>
  <c r="D3022" i="1"/>
  <c r="E3022" i="1"/>
  <c r="F3022" i="1"/>
  <c r="G3022" i="1"/>
  <c r="H3022" i="1"/>
  <c r="I3022" i="1"/>
  <c r="J3022" i="1"/>
  <c r="K3022" i="1"/>
  <c r="L3022" i="1"/>
  <c r="M3022" i="1"/>
  <c r="N3022" i="1"/>
  <c r="O3022" i="1"/>
  <c r="P3022" i="1"/>
  <c r="Q3022" i="1"/>
  <c r="R3022" i="1"/>
  <c r="S3022" i="1"/>
  <c r="T3022" i="1"/>
  <c r="U3022" i="1"/>
  <c r="V3022" i="1"/>
  <c r="W3022" i="1"/>
  <c r="X3022" i="1"/>
  <c r="Y3022" i="1"/>
  <c r="Z3022" i="1"/>
  <c r="AA3022" i="1"/>
  <c r="AB3022" i="1"/>
  <c r="AC3022" i="1"/>
  <c r="AD3022" i="1"/>
  <c r="AE3022" i="1"/>
  <c r="AF3022" i="1"/>
  <c r="AG3022" i="1"/>
  <c r="AH3022" i="1"/>
  <c r="AI3022" i="1"/>
  <c r="AJ3022" i="1"/>
  <c r="AK3022" i="1"/>
  <c r="AL3022" i="1"/>
  <c r="AM3022" i="1"/>
  <c r="A3023" i="1"/>
  <c r="B3023" i="1"/>
  <c r="C3023" i="1"/>
  <c r="D3023" i="1"/>
  <c r="E3023" i="1"/>
  <c r="F3023" i="1"/>
  <c r="G3023" i="1"/>
  <c r="H3023" i="1"/>
  <c r="I3023" i="1"/>
  <c r="J3023" i="1"/>
  <c r="K3023" i="1"/>
  <c r="L3023" i="1"/>
  <c r="M3023" i="1"/>
  <c r="N3023" i="1"/>
  <c r="O3023" i="1"/>
  <c r="P3023" i="1"/>
  <c r="Q3023" i="1"/>
  <c r="R3023" i="1"/>
  <c r="S3023" i="1"/>
  <c r="T3023" i="1"/>
  <c r="U3023" i="1"/>
  <c r="V3023" i="1"/>
  <c r="W3023" i="1"/>
  <c r="X3023" i="1"/>
  <c r="Y3023" i="1"/>
  <c r="Z3023" i="1"/>
  <c r="AA3023" i="1"/>
  <c r="AB3023" i="1"/>
  <c r="AC3023" i="1"/>
  <c r="AD3023" i="1"/>
  <c r="AE3023" i="1"/>
  <c r="AF3023" i="1"/>
  <c r="AG3023" i="1"/>
  <c r="AH3023" i="1"/>
  <c r="AI3023" i="1"/>
  <c r="AJ3023" i="1"/>
  <c r="AK3023" i="1"/>
  <c r="AL3023" i="1"/>
  <c r="AM3023" i="1"/>
  <c r="A3024" i="1"/>
  <c r="B3024" i="1"/>
  <c r="C3024" i="1"/>
  <c r="D3024" i="1"/>
  <c r="E3024" i="1"/>
  <c r="F3024" i="1"/>
  <c r="G3024" i="1"/>
  <c r="H3024" i="1"/>
  <c r="I3024" i="1"/>
  <c r="J3024" i="1"/>
  <c r="K3024" i="1"/>
  <c r="L3024" i="1"/>
  <c r="M3024" i="1"/>
  <c r="N3024" i="1"/>
  <c r="O3024" i="1"/>
  <c r="P3024" i="1"/>
  <c r="Q3024" i="1"/>
  <c r="R3024" i="1"/>
  <c r="S3024" i="1"/>
  <c r="T3024" i="1"/>
  <c r="U3024" i="1"/>
  <c r="V3024" i="1"/>
  <c r="W3024" i="1"/>
  <c r="X3024" i="1"/>
  <c r="Y3024" i="1"/>
  <c r="Z3024" i="1"/>
  <c r="AA3024" i="1"/>
  <c r="AB3024" i="1"/>
  <c r="AC3024" i="1"/>
  <c r="AD3024" i="1"/>
  <c r="AE3024" i="1"/>
  <c r="AF3024" i="1"/>
  <c r="AG3024" i="1"/>
  <c r="AH3024" i="1"/>
  <c r="AI3024" i="1"/>
  <c r="AJ3024" i="1"/>
  <c r="AK3024" i="1"/>
  <c r="AL3024" i="1"/>
  <c r="AM3024" i="1"/>
  <c r="A3025" i="1"/>
  <c r="B3025" i="1"/>
  <c r="C3025" i="1"/>
  <c r="D3025" i="1"/>
  <c r="E3025" i="1"/>
  <c r="F3025" i="1"/>
  <c r="G3025" i="1"/>
  <c r="H3025" i="1"/>
  <c r="I3025" i="1"/>
  <c r="J3025" i="1"/>
  <c r="K3025" i="1"/>
  <c r="L3025" i="1"/>
  <c r="M3025" i="1"/>
  <c r="N3025" i="1"/>
  <c r="O3025" i="1"/>
  <c r="P3025" i="1"/>
  <c r="Q3025" i="1"/>
  <c r="R3025" i="1"/>
  <c r="S3025" i="1"/>
  <c r="T3025" i="1"/>
  <c r="U3025" i="1"/>
  <c r="V3025" i="1"/>
  <c r="W3025" i="1"/>
  <c r="X3025" i="1"/>
  <c r="Y3025" i="1"/>
  <c r="Z3025" i="1"/>
  <c r="AA3025" i="1"/>
  <c r="AB3025" i="1"/>
  <c r="AC3025" i="1"/>
  <c r="AD3025" i="1"/>
  <c r="AE3025" i="1"/>
  <c r="AF3025" i="1"/>
  <c r="AG3025" i="1"/>
  <c r="AH3025" i="1"/>
  <c r="AI3025" i="1"/>
  <c r="AJ3025" i="1"/>
  <c r="AK3025" i="1"/>
  <c r="AL3025" i="1"/>
  <c r="AM3025" i="1"/>
  <c r="A3026" i="1"/>
  <c r="B3026" i="1"/>
  <c r="C3026" i="1"/>
  <c r="D3026" i="1"/>
  <c r="E3026" i="1"/>
  <c r="F3026" i="1"/>
  <c r="G3026" i="1"/>
  <c r="H3026" i="1"/>
  <c r="I3026" i="1"/>
  <c r="J3026" i="1"/>
  <c r="K3026" i="1"/>
  <c r="L3026" i="1"/>
  <c r="M3026" i="1"/>
  <c r="N3026" i="1"/>
  <c r="O3026" i="1"/>
  <c r="P3026" i="1"/>
  <c r="Q3026" i="1"/>
  <c r="R3026" i="1"/>
  <c r="S3026" i="1"/>
  <c r="T3026" i="1"/>
  <c r="U3026" i="1"/>
  <c r="V3026" i="1"/>
  <c r="W3026" i="1"/>
  <c r="X3026" i="1"/>
  <c r="Y3026" i="1"/>
  <c r="Z3026" i="1"/>
  <c r="AA3026" i="1"/>
  <c r="AB3026" i="1"/>
  <c r="AC3026" i="1"/>
  <c r="AD3026" i="1"/>
  <c r="AE3026" i="1"/>
  <c r="AF3026" i="1"/>
  <c r="AG3026" i="1"/>
  <c r="AH3026" i="1"/>
  <c r="AI3026" i="1"/>
  <c r="AJ3026" i="1"/>
  <c r="AK3026" i="1"/>
  <c r="AL3026" i="1"/>
  <c r="AM3026" i="1"/>
</calcChain>
</file>

<file path=xl/sharedStrings.xml><?xml version="1.0" encoding="utf-8"?>
<sst xmlns="http://schemas.openxmlformats.org/spreadsheetml/2006/main" count="39" uniqueCount="39">
  <si>
    <t>Código</t>
  </si>
  <si>
    <t>Descripción</t>
  </si>
  <si>
    <t>Columna 1</t>
  </si>
  <si>
    <t>Columna 2</t>
  </si>
  <si>
    <t>Columna 3</t>
  </si>
  <si>
    <t>Columna 4</t>
  </si>
  <si>
    <t>Columna 5</t>
  </si>
  <si>
    <t>Columna 6</t>
  </si>
  <si>
    <t>Columna 7</t>
  </si>
  <si>
    <t>Columna 8</t>
  </si>
  <si>
    <t>Columna 9</t>
  </si>
  <si>
    <t>Columna 10</t>
  </si>
  <si>
    <t>Columna 11</t>
  </si>
  <si>
    <t>Columna 12</t>
  </si>
  <si>
    <t>Columna 13</t>
  </si>
  <si>
    <t>Columna 14</t>
  </si>
  <si>
    <t>Columna 15</t>
  </si>
  <si>
    <t>Columna 16</t>
  </si>
  <si>
    <t>Columna 17</t>
  </si>
  <si>
    <t>L 1</t>
  </si>
  <si>
    <t>L 2</t>
  </si>
  <si>
    <t>L 3</t>
  </si>
  <si>
    <t>L 4</t>
  </si>
  <si>
    <t>L 5</t>
  </si>
  <si>
    <t>L 6</t>
  </si>
  <si>
    <t>L 7</t>
  </si>
  <si>
    <t>L 8</t>
  </si>
  <si>
    <t>L 9</t>
  </si>
  <si>
    <t>L 10</t>
  </si>
  <si>
    <t>L 11</t>
  </si>
  <si>
    <t>L 12</t>
  </si>
  <si>
    <t>L 13</t>
  </si>
  <si>
    <t>L 14</t>
  </si>
  <si>
    <t>L 15</t>
  </si>
  <si>
    <t>L 16</t>
  </si>
  <si>
    <t>L 17</t>
  </si>
  <si>
    <t>Foto</t>
  </si>
  <si>
    <t>Descripcion Larga</t>
  </si>
  <si>
    <t>Descripcion Corta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</si>
</sst>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25D68-EAA1-4B87-A812-7191B24637A8}">
  <dimension ref="A1:AM3026"/>
  <sheetViews>
    <sheetView tabSelected="1" workbookViewId="0"/>
  </sheetViews>
  <sheetFormatPr baseColWidth="10" defaultRowHeight="15" x14ac:dyDescent="0.25"/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3" spans="1:39" x14ac:dyDescent="0.25">
      <c r="A3" t="str">
        <f>"T132C10"</f>
        <v>T132C10</v>
      </c>
      <c r="B3" t="str">
        <f>"10 FUSIBLES VIDRIO 25MM EN BLISTER 10 AMP."</f>
        <v>10 FUSIBLES VIDRIO 25MM EN BLISTER 10 AMP.</v>
      </c>
      <c r="C3" t="str">
        <f t="shared" ref="C3:G6" si="0">"$ 1678,73"</f>
        <v>$ 1678,73</v>
      </c>
      <c r="D3" t="str">
        <f t="shared" si="0"/>
        <v>$ 1678,73</v>
      </c>
      <c r="E3" t="str">
        <f t="shared" si="0"/>
        <v>$ 1678,73</v>
      </c>
      <c r="F3" t="str">
        <f t="shared" si="0"/>
        <v>$ 1678,73</v>
      </c>
      <c r="G3" t="str">
        <f t="shared" si="0"/>
        <v>$ 1678,73</v>
      </c>
      <c r="H3" t="str">
        <f t="shared" ref="H3:H66" si="1">"$ 0,00"</f>
        <v>$ 0,00</v>
      </c>
      <c r="I3" t="str">
        <f t="shared" ref="I3:I17" si="2">"FUSIBLES"</f>
        <v>FUSIBLES</v>
      </c>
      <c r="J3" t="str">
        <f t="shared" ref="J3:J66" si="3">"1"</f>
        <v>1</v>
      </c>
      <c r="K3" t="str">
        <f t="shared" ref="K3:K34" si="4">"0"</f>
        <v>0</v>
      </c>
      <c r="L3" t="str">
        <f>"0,000"</f>
        <v>0,000</v>
      </c>
      <c r="M3" t="str">
        <f t="shared" ref="M3:M66" si="5">" "</f>
        <v xml:space="preserve"> </v>
      </c>
      <c r="N3" t="str">
        <f t="shared" ref="N3:N17" si="6">"DIVAIO"</f>
        <v>DIVAIO</v>
      </c>
      <c r="O3" t="str">
        <f t="shared" ref="O3:O17" si="7">"FUSIBLES"</f>
        <v>FUSIBLES</v>
      </c>
      <c r="P3" t="str">
        <f t="shared" ref="P3:Q22" si="8">"0"</f>
        <v>0</v>
      </c>
      <c r="Q3" t="str">
        <f t="shared" si="8"/>
        <v>0</v>
      </c>
      <c r="R3" t="str">
        <f t="shared" ref="R3:S22" si="9">"0,00"</f>
        <v>0,00</v>
      </c>
      <c r="S3" t="str">
        <f t="shared" si="9"/>
        <v>0,00</v>
      </c>
      <c r="T3" t="str">
        <f t="shared" ref="T3:U22" si="10">" "</f>
        <v xml:space="preserve"> </v>
      </c>
      <c r="U3" t="str">
        <f t="shared" si="10"/>
        <v xml:space="preserve"> </v>
      </c>
      <c r="V3" t="str">
        <f>"0,000"</f>
        <v>0,000</v>
      </c>
      <c r="W3" t="str">
        <f t="shared" ref="W3:W66" si="11">"Lista 4"</f>
        <v>Lista 4</v>
      </c>
      <c r="X3" t="str">
        <f t="shared" ref="X3:X66" si="12">"Lista 5"</f>
        <v>Lista 5</v>
      </c>
      <c r="Y3" t="str">
        <f t="shared" ref="Y3:Y66" si="13">"Oferta Gral."</f>
        <v>Oferta Gral.</v>
      </c>
      <c r="Z3" t="str">
        <f t="shared" ref="Z3:Z66" si="14">"Rubro"</f>
        <v>Rubro</v>
      </c>
      <c r="AA3" t="str">
        <f t="shared" ref="AA3:AA66" si="15">"Cantidad por Bulto"</f>
        <v>Cantidad por Bulto</v>
      </c>
      <c r="AB3" t="str">
        <f t="shared" ref="AB3:AB66" si="16">"INNER"</f>
        <v>INNER</v>
      </c>
      <c r="AC3" t="str">
        <f t="shared" ref="AC3:AC66" si="17">"Stock en Bultos"</f>
        <v>Stock en Bultos</v>
      </c>
      <c r="AD3" t="str">
        <f t="shared" ref="AD3:AD66" si="18">"SubDepósito"</f>
        <v>SubDepósito</v>
      </c>
      <c r="AE3" t="str">
        <f t="shared" ref="AE3:AE66" si="19">"Marca"</f>
        <v>Marca</v>
      </c>
      <c r="AF3" t="str">
        <f t="shared" ref="AF3:AF66" si="20">"Super Rubro"</f>
        <v>Super Rubro</v>
      </c>
      <c r="AG3" t="str">
        <f t="shared" ref="AG3:AG66" si="21">"ComercioExterior"</f>
        <v>ComercioExterior</v>
      </c>
      <c r="AH3" t="str">
        <f t="shared" ref="AH3:AH66" si="22">"PrecioFOB"</f>
        <v>PrecioFOB</v>
      </c>
      <c r="AI3" t="str">
        <f t="shared" ref="AI3:AI66" si="23">"Monto II"</f>
        <v>Monto II</v>
      </c>
      <c r="AJ3" t="str">
        <f t="shared" ref="AJ3:AJ66" si="24">"Porcentaje II"</f>
        <v>Porcentaje II</v>
      </c>
      <c r="AK3" t="str">
        <f t="shared" ref="AK3:AK66" si="25">"Foto"</f>
        <v>Foto</v>
      </c>
      <c r="AL3" t="str">
        <f>"{\rtf1\ansi\ansicpg1252\deff0\deflang11274{\fonttbl{\f0\fnil\fcharset0 MS Sans Serif}} \viewkind4\uc1\pard\f0\fs16 10 FUSIBLES VIDRIO 25MM EN BLISTER 10 AMP.\par } "</f>
        <v xml:space="preserve">{\rtf1\ansi\ansicpg1252\deff0\deflang11274{\fonttbl{\f0\fnil\fcharset0 MS Sans Serif}} \viewkind4\uc1\pard\f0\fs16 10 FUSIBLES VIDRIO 25MM EN BLISTER 10 AMP.\par } </v>
      </c>
      <c r="AM3" t="str">
        <f t="shared" ref="AM3:AM17" si="26">"-"</f>
        <v>-</v>
      </c>
    </row>
    <row r="4" spans="1:39" x14ac:dyDescent="0.25">
      <c r="A4" t="str">
        <f>"T132C15"</f>
        <v>T132C15</v>
      </c>
      <c r="B4" t="str">
        <f>"10 FUSIBLES VIDRIO 25MM EN BLISTER 15 AMP."</f>
        <v>10 FUSIBLES VIDRIO 25MM EN BLISTER 15 AMP.</v>
      </c>
      <c r="C4" t="str">
        <f t="shared" si="0"/>
        <v>$ 1678,73</v>
      </c>
      <c r="D4" t="str">
        <f t="shared" si="0"/>
        <v>$ 1678,73</v>
      </c>
      <c r="E4" t="str">
        <f t="shared" si="0"/>
        <v>$ 1678,73</v>
      </c>
      <c r="F4" t="str">
        <f t="shared" si="0"/>
        <v>$ 1678,73</v>
      </c>
      <c r="G4" t="str">
        <f t="shared" si="0"/>
        <v>$ 1678,73</v>
      </c>
      <c r="H4" t="str">
        <f t="shared" si="1"/>
        <v>$ 0,00</v>
      </c>
      <c r="I4" t="str">
        <f t="shared" si="2"/>
        <v>FUSIBLES</v>
      </c>
      <c r="J4" t="str">
        <f t="shared" si="3"/>
        <v>1</v>
      </c>
      <c r="K4" t="str">
        <f t="shared" si="4"/>
        <v>0</v>
      </c>
      <c r="L4" t="str">
        <f>"-37,000"</f>
        <v>-37,000</v>
      </c>
      <c r="M4" t="str">
        <f t="shared" si="5"/>
        <v xml:space="preserve"> </v>
      </c>
      <c r="N4" t="str">
        <f t="shared" si="6"/>
        <v>DIVAIO</v>
      </c>
      <c r="O4" t="str">
        <f t="shared" si="7"/>
        <v>FUSIBLES</v>
      </c>
      <c r="P4" t="str">
        <f t="shared" si="8"/>
        <v>0</v>
      </c>
      <c r="Q4" t="str">
        <f t="shared" si="8"/>
        <v>0</v>
      </c>
      <c r="R4" t="str">
        <f t="shared" si="9"/>
        <v>0,00</v>
      </c>
      <c r="S4" t="str">
        <f t="shared" si="9"/>
        <v>0,00</v>
      </c>
      <c r="T4" t="str">
        <f t="shared" si="10"/>
        <v xml:space="preserve"> </v>
      </c>
      <c r="U4" t="str">
        <f t="shared" si="10"/>
        <v xml:space="preserve"> </v>
      </c>
      <c r="V4" t="str">
        <f>"-37,000"</f>
        <v>-37,000</v>
      </c>
      <c r="W4" t="str">
        <f t="shared" si="11"/>
        <v>Lista 4</v>
      </c>
      <c r="X4" t="str">
        <f t="shared" si="12"/>
        <v>Lista 5</v>
      </c>
      <c r="Y4" t="str">
        <f t="shared" si="13"/>
        <v>Oferta Gral.</v>
      </c>
      <c r="Z4" t="str">
        <f t="shared" si="14"/>
        <v>Rubro</v>
      </c>
      <c r="AA4" t="str">
        <f t="shared" si="15"/>
        <v>Cantidad por Bulto</v>
      </c>
      <c r="AB4" t="str">
        <f t="shared" si="16"/>
        <v>INNER</v>
      </c>
      <c r="AC4" t="str">
        <f t="shared" si="17"/>
        <v>Stock en Bultos</v>
      </c>
      <c r="AD4" t="str">
        <f t="shared" si="18"/>
        <v>SubDepósito</v>
      </c>
      <c r="AE4" t="str">
        <f t="shared" si="19"/>
        <v>Marca</v>
      </c>
      <c r="AF4" t="str">
        <f t="shared" si="20"/>
        <v>Super Rubro</v>
      </c>
      <c r="AG4" t="str">
        <f t="shared" si="21"/>
        <v>ComercioExterior</v>
      </c>
      <c r="AH4" t="str">
        <f t="shared" si="22"/>
        <v>PrecioFOB</v>
      </c>
      <c r="AI4" t="str">
        <f t="shared" si="23"/>
        <v>Monto II</v>
      </c>
      <c r="AJ4" t="str">
        <f t="shared" si="24"/>
        <v>Porcentaje II</v>
      </c>
      <c r="AK4" t="str">
        <f t="shared" si="25"/>
        <v>Foto</v>
      </c>
      <c r="AL4" t="str">
        <f>"{\rtf1\ansi\ansicpg1252\deff0\deflang11274{\fonttbl{\f0\fnil\fcharset0 MS Sans Serif}} \viewkind4\uc1\pard\f0\fs16 10 FUSIBLES VIDRIO 25MM EN BLISTER 15 AMP.\par } "</f>
        <v xml:space="preserve">{\rtf1\ansi\ansicpg1252\deff0\deflang11274{\fonttbl{\f0\fnil\fcharset0 MS Sans Serif}} \viewkind4\uc1\pard\f0\fs16 10 FUSIBLES VIDRIO 25MM EN BLISTER 15 AMP.\par } </v>
      </c>
      <c r="AM4" t="str">
        <f t="shared" si="26"/>
        <v>-</v>
      </c>
    </row>
    <row r="5" spans="1:39" x14ac:dyDescent="0.25">
      <c r="A5" t="str">
        <f>"T132C20"</f>
        <v>T132C20</v>
      </c>
      <c r="B5" t="str">
        <f>"10 FUSIBLES VIDRIO 25MM EN BLISTER 20 AMP."</f>
        <v>10 FUSIBLES VIDRIO 25MM EN BLISTER 20 AMP.</v>
      </c>
      <c r="C5" t="str">
        <f t="shared" si="0"/>
        <v>$ 1678,73</v>
      </c>
      <c r="D5" t="str">
        <f t="shared" si="0"/>
        <v>$ 1678,73</v>
      </c>
      <c r="E5" t="str">
        <f t="shared" si="0"/>
        <v>$ 1678,73</v>
      </c>
      <c r="F5" t="str">
        <f t="shared" si="0"/>
        <v>$ 1678,73</v>
      </c>
      <c r="G5" t="str">
        <f t="shared" si="0"/>
        <v>$ 1678,73</v>
      </c>
      <c r="H5" t="str">
        <f t="shared" si="1"/>
        <v>$ 0,00</v>
      </c>
      <c r="I5" t="str">
        <f t="shared" si="2"/>
        <v>FUSIBLES</v>
      </c>
      <c r="J5" t="str">
        <f t="shared" si="3"/>
        <v>1</v>
      </c>
      <c r="K5" t="str">
        <f t="shared" si="4"/>
        <v>0</v>
      </c>
      <c r="L5" t="str">
        <f>"17,000"</f>
        <v>17,000</v>
      </c>
      <c r="M5" t="str">
        <f t="shared" si="5"/>
        <v xml:space="preserve"> </v>
      </c>
      <c r="N5" t="str">
        <f t="shared" si="6"/>
        <v>DIVAIO</v>
      </c>
      <c r="O5" t="str">
        <f t="shared" si="7"/>
        <v>FUSIBLES</v>
      </c>
      <c r="P5" t="str">
        <f t="shared" si="8"/>
        <v>0</v>
      </c>
      <c r="Q5" t="str">
        <f t="shared" si="8"/>
        <v>0</v>
      </c>
      <c r="R5" t="str">
        <f t="shared" si="9"/>
        <v>0,00</v>
      </c>
      <c r="S5" t="str">
        <f t="shared" si="9"/>
        <v>0,00</v>
      </c>
      <c r="T5" t="str">
        <f t="shared" si="10"/>
        <v xml:space="preserve"> </v>
      </c>
      <c r="U5" t="str">
        <f t="shared" si="10"/>
        <v xml:space="preserve"> </v>
      </c>
      <c r="V5" t="str">
        <f>"17,000"</f>
        <v>17,000</v>
      </c>
      <c r="W5" t="str">
        <f t="shared" si="11"/>
        <v>Lista 4</v>
      </c>
      <c r="X5" t="str">
        <f t="shared" si="12"/>
        <v>Lista 5</v>
      </c>
      <c r="Y5" t="str">
        <f t="shared" si="13"/>
        <v>Oferta Gral.</v>
      </c>
      <c r="Z5" t="str">
        <f t="shared" si="14"/>
        <v>Rubro</v>
      </c>
      <c r="AA5" t="str">
        <f t="shared" si="15"/>
        <v>Cantidad por Bulto</v>
      </c>
      <c r="AB5" t="str">
        <f t="shared" si="16"/>
        <v>INNER</v>
      </c>
      <c r="AC5" t="str">
        <f t="shared" si="17"/>
        <v>Stock en Bultos</v>
      </c>
      <c r="AD5" t="str">
        <f t="shared" si="18"/>
        <v>SubDepósito</v>
      </c>
      <c r="AE5" t="str">
        <f t="shared" si="19"/>
        <v>Marca</v>
      </c>
      <c r="AF5" t="str">
        <f t="shared" si="20"/>
        <v>Super Rubro</v>
      </c>
      <c r="AG5" t="str">
        <f t="shared" si="21"/>
        <v>ComercioExterior</v>
      </c>
      <c r="AH5" t="str">
        <f t="shared" si="22"/>
        <v>PrecioFOB</v>
      </c>
      <c r="AI5" t="str">
        <f t="shared" si="23"/>
        <v>Monto II</v>
      </c>
      <c r="AJ5" t="str">
        <f t="shared" si="24"/>
        <v>Porcentaje II</v>
      </c>
      <c r="AK5" t="str">
        <f t="shared" si="25"/>
        <v>Foto</v>
      </c>
      <c r="AL5" t="str">
        <f>"{\rtf1\ansi\ansicpg1252\deff0\deflang11274{\fonttbl{\f0\fnil\fcharset0 MS Sans Serif}} \viewkind4\uc1\pard\f0\fs16 10 FUSIBLES VIDRIO 25MM EN BLISTER 20 AMP.\par } "</f>
        <v xml:space="preserve">{\rtf1\ansi\ansicpg1252\deff0\deflang11274{\fonttbl{\f0\fnil\fcharset0 MS Sans Serif}} \viewkind4\uc1\pard\f0\fs16 10 FUSIBLES VIDRIO 25MM EN BLISTER 20 AMP.\par } </v>
      </c>
      <c r="AM5" t="str">
        <f t="shared" si="26"/>
        <v>-</v>
      </c>
    </row>
    <row r="6" spans="1:39" x14ac:dyDescent="0.25">
      <c r="A6" t="str">
        <f>"T132C25"</f>
        <v>T132C25</v>
      </c>
      <c r="B6" t="str">
        <f>"10 FUSIBLES VIDRIO 25MM EN BLISTER 25 AMP."</f>
        <v>10 FUSIBLES VIDRIO 25MM EN BLISTER 25 AMP.</v>
      </c>
      <c r="C6" t="str">
        <f t="shared" si="0"/>
        <v>$ 1678,73</v>
      </c>
      <c r="D6" t="str">
        <f t="shared" si="0"/>
        <v>$ 1678,73</v>
      </c>
      <c r="E6" t="str">
        <f t="shared" si="0"/>
        <v>$ 1678,73</v>
      </c>
      <c r="F6" t="str">
        <f t="shared" si="0"/>
        <v>$ 1678,73</v>
      </c>
      <c r="G6" t="str">
        <f t="shared" si="0"/>
        <v>$ 1678,73</v>
      </c>
      <c r="H6" t="str">
        <f t="shared" si="1"/>
        <v>$ 0,00</v>
      </c>
      <c r="I6" t="str">
        <f t="shared" si="2"/>
        <v>FUSIBLES</v>
      </c>
      <c r="J6" t="str">
        <f t="shared" si="3"/>
        <v>1</v>
      </c>
      <c r="K6" t="str">
        <f t="shared" si="4"/>
        <v>0</v>
      </c>
      <c r="L6" t="str">
        <f>"17,000"</f>
        <v>17,000</v>
      </c>
      <c r="M6" t="str">
        <f t="shared" si="5"/>
        <v xml:space="preserve"> </v>
      </c>
      <c r="N6" t="str">
        <f t="shared" si="6"/>
        <v>DIVAIO</v>
      </c>
      <c r="O6" t="str">
        <f t="shared" si="7"/>
        <v>FUSIBLES</v>
      </c>
      <c r="P6" t="str">
        <f t="shared" si="8"/>
        <v>0</v>
      </c>
      <c r="Q6" t="str">
        <f t="shared" si="8"/>
        <v>0</v>
      </c>
      <c r="R6" t="str">
        <f t="shared" si="9"/>
        <v>0,00</v>
      </c>
      <c r="S6" t="str">
        <f t="shared" si="9"/>
        <v>0,00</v>
      </c>
      <c r="T6" t="str">
        <f t="shared" si="10"/>
        <v xml:space="preserve"> </v>
      </c>
      <c r="U6" t="str">
        <f t="shared" si="10"/>
        <v xml:space="preserve"> </v>
      </c>
      <c r="V6" t="str">
        <f>"17,000"</f>
        <v>17,000</v>
      </c>
      <c r="W6" t="str">
        <f t="shared" si="11"/>
        <v>Lista 4</v>
      </c>
      <c r="X6" t="str">
        <f t="shared" si="12"/>
        <v>Lista 5</v>
      </c>
      <c r="Y6" t="str">
        <f t="shared" si="13"/>
        <v>Oferta Gral.</v>
      </c>
      <c r="Z6" t="str">
        <f t="shared" si="14"/>
        <v>Rubro</v>
      </c>
      <c r="AA6" t="str">
        <f t="shared" si="15"/>
        <v>Cantidad por Bulto</v>
      </c>
      <c r="AB6" t="str">
        <f t="shared" si="16"/>
        <v>INNER</v>
      </c>
      <c r="AC6" t="str">
        <f t="shared" si="17"/>
        <v>Stock en Bultos</v>
      </c>
      <c r="AD6" t="str">
        <f t="shared" si="18"/>
        <v>SubDepósito</v>
      </c>
      <c r="AE6" t="str">
        <f t="shared" si="19"/>
        <v>Marca</v>
      </c>
      <c r="AF6" t="str">
        <f t="shared" si="20"/>
        <v>Super Rubro</v>
      </c>
      <c r="AG6" t="str">
        <f t="shared" si="21"/>
        <v>ComercioExterior</v>
      </c>
      <c r="AH6" t="str">
        <f t="shared" si="22"/>
        <v>PrecioFOB</v>
      </c>
      <c r="AI6" t="str">
        <f t="shared" si="23"/>
        <v>Monto II</v>
      </c>
      <c r="AJ6" t="str">
        <f t="shared" si="24"/>
        <v>Porcentaje II</v>
      </c>
      <c r="AK6" t="str">
        <f t="shared" si="25"/>
        <v>Foto</v>
      </c>
      <c r="AL6" t="str">
        <f>"{\rtf1\ansi\ansicpg1252\deff0\deflang11274{\fonttbl{\f0\fnil\fcharset0 MS Sans Serif}} \viewkind4\uc1\pard\f0\fs16 10 FUSIBLES VIDRIO 25MM EN BLISTER 25 AMP.\par } "</f>
        <v xml:space="preserve">{\rtf1\ansi\ansicpg1252\deff0\deflang11274{\fonttbl{\f0\fnil\fcharset0 MS Sans Serif}} \viewkind4\uc1\pard\f0\fs16 10 FUSIBLES VIDRIO 25MM EN BLISTER 25 AMP.\par } </v>
      </c>
      <c r="AM6" t="str">
        <f t="shared" si="26"/>
        <v>-</v>
      </c>
    </row>
    <row r="7" spans="1:39" x14ac:dyDescent="0.25">
      <c r="A7" t="str">
        <f>"T132L10"</f>
        <v>T132L10</v>
      </c>
      <c r="B7" t="str">
        <f>"10 FUSIBLES VIDRIO 32MM EN BLISTER 10 AMP."</f>
        <v>10 FUSIBLES VIDRIO 32MM EN BLISTER 10 AMP.</v>
      </c>
      <c r="C7" t="str">
        <f t="shared" ref="C7:G9" si="27">"$ 1657,60"</f>
        <v>$ 1657,60</v>
      </c>
      <c r="D7" t="str">
        <f t="shared" si="27"/>
        <v>$ 1657,60</v>
      </c>
      <c r="E7" t="str">
        <f t="shared" si="27"/>
        <v>$ 1657,60</v>
      </c>
      <c r="F7" t="str">
        <f t="shared" si="27"/>
        <v>$ 1657,60</v>
      </c>
      <c r="G7" t="str">
        <f t="shared" si="27"/>
        <v>$ 1657,60</v>
      </c>
      <c r="H7" t="str">
        <f t="shared" si="1"/>
        <v>$ 0,00</v>
      </c>
      <c r="I7" t="str">
        <f t="shared" si="2"/>
        <v>FUSIBLES</v>
      </c>
      <c r="J7" t="str">
        <f t="shared" si="3"/>
        <v>1</v>
      </c>
      <c r="K7" t="str">
        <f t="shared" si="4"/>
        <v>0</v>
      </c>
      <c r="L7" t="str">
        <f>"0,000"</f>
        <v>0,000</v>
      </c>
      <c r="M7" t="str">
        <f t="shared" si="5"/>
        <v xml:space="preserve"> </v>
      </c>
      <c r="N7" t="str">
        <f t="shared" si="6"/>
        <v>DIVAIO</v>
      </c>
      <c r="O7" t="str">
        <f t="shared" si="7"/>
        <v>FUSIBLES</v>
      </c>
      <c r="P7" t="str">
        <f t="shared" si="8"/>
        <v>0</v>
      </c>
      <c r="Q7" t="str">
        <f t="shared" si="8"/>
        <v>0</v>
      </c>
      <c r="R7" t="str">
        <f t="shared" si="9"/>
        <v>0,00</v>
      </c>
      <c r="S7" t="str">
        <f t="shared" si="9"/>
        <v>0,00</v>
      </c>
      <c r="T7" t="str">
        <f t="shared" si="10"/>
        <v xml:space="preserve"> </v>
      </c>
      <c r="U7" t="str">
        <f t="shared" si="10"/>
        <v xml:space="preserve"> </v>
      </c>
      <c r="V7" t="str">
        <f>"0,000"</f>
        <v>0,000</v>
      </c>
      <c r="W7" t="str">
        <f t="shared" si="11"/>
        <v>Lista 4</v>
      </c>
      <c r="X7" t="str">
        <f t="shared" si="12"/>
        <v>Lista 5</v>
      </c>
      <c r="Y7" t="str">
        <f t="shared" si="13"/>
        <v>Oferta Gral.</v>
      </c>
      <c r="Z7" t="str">
        <f t="shared" si="14"/>
        <v>Rubro</v>
      </c>
      <c r="AA7" t="str">
        <f t="shared" si="15"/>
        <v>Cantidad por Bulto</v>
      </c>
      <c r="AB7" t="str">
        <f t="shared" si="16"/>
        <v>INNER</v>
      </c>
      <c r="AC7" t="str">
        <f t="shared" si="17"/>
        <v>Stock en Bultos</v>
      </c>
      <c r="AD7" t="str">
        <f t="shared" si="18"/>
        <v>SubDepósito</v>
      </c>
      <c r="AE7" t="str">
        <f t="shared" si="19"/>
        <v>Marca</v>
      </c>
      <c r="AF7" t="str">
        <f t="shared" si="20"/>
        <v>Super Rubro</v>
      </c>
      <c r="AG7" t="str">
        <f t="shared" si="21"/>
        <v>ComercioExterior</v>
      </c>
      <c r="AH7" t="str">
        <f t="shared" si="22"/>
        <v>PrecioFOB</v>
      </c>
      <c r="AI7" t="str">
        <f t="shared" si="23"/>
        <v>Monto II</v>
      </c>
      <c r="AJ7" t="str">
        <f t="shared" si="24"/>
        <v>Porcentaje II</v>
      </c>
      <c r="AK7" t="str">
        <f t="shared" si="25"/>
        <v>Foto</v>
      </c>
      <c r="AL7" t="str">
        <f>"{\rtf1\ansi\ansicpg1252\deff0\deflang11274{\fonttbl{\f0\fnil\fcharset0 MS Sans Serif}} \viewkind4\uc1\pard\f0\fs16 10 FUSIBLES VIDRIO 32MM EN BLISTER 10 AMP.\par } "</f>
        <v xml:space="preserve">{\rtf1\ansi\ansicpg1252\deff0\deflang11274{\fonttbl{\f0\fnil\fcharset0 MS Sans Serif}} \viewkind4\uc1\pard\f0\fs16 10 FUSIBLES VIDRIO 32MM EN BLISTER 10 AMP.\par } </v>
      </c>
      <c r="AM7" t="str">
        <f t="shared" si="26"/>
        <v>-</v>
      </c>
    </row>
    <row r="8" spans="1:39" x14ac:dyDescent="0.25">
      <c r="A8" t="str">
        <f>"T132L15"</f>
        <v>T132L15</v>
      </c>
      <c r="B8" t="str">
        <f>"10 FUSIBLES VIDRIO 32MM EN BLISTER 15 AMP."</f>
        <v>10 FUSIBLES VIDRIO 32MM EN BLISTER 15 AMP.</v>
      </c>
      <c r="C8" t="str">
        <f t="shared" si="27"/>
        <v>$ 1657,60</v>
      </c>
      <c r="D8" t="str">
        <f t="shared" si="27"/>
        <v>$ 1657,60</v>
      </c>
      <c r="E8" t="str">
        <f t="shared" si="27"/>
        <v>$ 1657,60</v>
      </c>
      <c r="F8" t="str">
        <f t="shared" si="27"/>
        <v>$ 1657,60</v>
      </c>
      <c r="G8" t="str">
        <f t="shared" si="27"/>
        <v>$ 1657,60</v>
      </c>
      <c r="H8" t="str">
        <f t="shared" si="1"/>
        <v>$ 0,00</v>
      </c>
      <c r="I8" t="str">
        <f t="shared" si="2"/>
        <v>FUSIBLES</v>
      </c>
      <c r="J8" t="str">
        <f t="shared" si="3"/>
        <v>1</v>
      </c>
      <c r="K8" t="str">
        <f t="shared" si="4"/>
        <v>0</v>
      </c>
      <c r="L8" t="str">
        <f>"0,000"</f>
        <v>0,000</v>
      </c>
      <c r="M8" t="str">
        <f t="shared" si="5"/>
        <v xml:space="preserve"> </v>
      </c>
      <c r="N8" t="str">
        <f t="shared" si="6"/>
        <v>DIVAIO</v>
      </c>
      <c r="O8" t="str">
        <f t="shared" si="7"/>
        <v>FUSIBLES</v>
      </c>
      <c r="P8" t="str">
        <f t="shared" si="8"/>
        <v>0</v>
      </c>
      <c r="Q8" t="str">
        <f t="shared" si="8"/>
        <v>0</v>
      </c>
      <c r="R8" t="str">
        <f t="shared" si="9"/>
        <v>0,00</v>
      </c>
      <c r="S8" t="str">
        <f t="shared" si="9"/>
        <v>0,00</v>
      </c>
      <c r="T8" t="str">
        <f t="shared" si="10"/>
        <v xml:space="preserve"> </v>
      </c>
      <c r="U8" t="str">
        <f t="shared" si="10"/>
        <v xml:space="preserve"> </v>
      </c>
      <c r="V8" t="str">
        <f>"0,000"</f>
        <v>0,000</v>
      </c>
      <c r="W8" t="str">
        <f t="shared" si="11"/>
        <v>Lista 4</v>
      </c>
      <c r="X8" t="str">
        <f t="shared" si="12"/>
        <v>Lista 5</v>
      </c>
      <c r="Y8" t="str">
        <f t="shared" si="13"/>
        <v>Oferta Gral.</v>
      </c>
      <c r="Z8" t="str">
        <f t="shared" si="14"/>
        <v>Rubro</v>
      </c>
      <c r="AA8" t="str">
        <f t="shared" si="15"/>
        <v>Cantidad por Bulto</v>
      </c>
      <c r="AB8" t="str">
        <f t="shared" si="16"/>
        <v>INNER</v>
      </c>
      <c r="AC8" t="str">
        <f t="shared" si="17"/>
        <v>Stock en Bultos</v>
      </c>
      <c r="AD8" t="str">
        <f t="shared" si="18"/>
        <v>SubDepósito</v>
      </c>
      <c r="AE8" t="str">
        <f t="shared" si="19"/>
        <v>Marca</v>
      </c>
      <c r="AF8" t="str">
        <f t="shared" si="20"/>
        <v>Super Rubro</v>
      </c>
      <c r="AG8" t="str">
        <f t="shared" si="21"/>
        <v>ComercioExterior</v>
      </c>
      <c r="AH8" t="str">
        <f t="shared" si="22"/>
        <v>PrecioFOB</v>
      </c>
      <c r="AI8" t="str">
        <f t="shared" si="23"/>
        <v>Monto II</v>
      </c>
      <c r="AJ8" t="str">
        <f t="shared" si="24"/>
        <v>Porcentaje II</v>
      </c>
      <c r="AK8" t="str">
        <f t="shared" si="25"/>
        <v>Foto</v>
      </c>
      <c r="AL8" t="str">
        <f>"{\rtf1\ansi\ansicpg1252\deff0\deflang11274{\fonttbl{\f0\fnil\fcharset0 MS Sans Serif}} \viewkind4\uc1\pard\f0\fs16 10 FUSIBLES VIDRIO 32MM EN BLISTER 15 AMP.\par } "</f>
        <v xml:space="preserve">{\rtf1\ansi\ansicpg1252\deff0\deflang11274{\fonttbl{\f0\fnil\fcharset0 MS Sans Serif}} \viewkind4\uc1\pard\f0\fs16 10 FUSIBLES VIDRIO 32MM EN BLISTER 15 AMP.\par } </v>
      </c>
      <c r="AM8" t="str">
        <f t="shared" si="26"/>
        <v>-</v>
      </c>
    </row>
    <row r="9" spans="1:39" x14ac:dyDescent="0.25">
      <c r="A9" t="str">
        <f>"T132L5"</f>
        <v>T132L5</v>
      </c>
      <c r="B9" t="str">
        <f>"10 FUSIBLES VIDRIO 32MM EN BLISTER 5 AMP."</f>
        <v>10 FUSIBLES VIDRIO 32MM EN BLISTER 5 AMP.</v>
      </c>
      <c r="C9" t="str">
        <f t="shared" si="27"/>
        <v>$ 1657,60</v>
      </c>
      <c r="D9" t="str">
        <f t="shared" si="27"/>
        <v>$ 1657,60</v>
      </c>
      <c r="E9" t="str">
        <f t="shared" si="27"/>
        <v>$ 1657,60</v>
      </c>
      <c r="F9" t="str">
        <f t="shared" si="27"/>
        <v>$ 1657,60</v>
      </c>
      <c r="G9" t="str">
        <f t="shared" si="27"/>
        <v>$ 1657,60</v>
      </c>
      <c r="H9" t="str">
        <f t="shared" si="1"/>
        <v>$ 0,00</v>
      </c>
      <c r="I9" t="str">
        <f t="shared" si="2"/>
        <v>FUSIBLES</v>
      </c>
      <c r="J9" t="str">
        <f t="shared" si="3"/>
        <v>1</v>
      </c>
      <c r="K9" t="str">
        <f t="shared" si="4"/>
        <v>0</v>
      </c>
      <c r="L9" t="str">
        <f>"7,000"</f>
        <v>7,000</v>
      </c>
      <c r="M9" t="str">
        <f t="shared" si="5"/>
        <v xml:space="preserve"> </v>
      </c>
      <c r="N9" t="str">
        <f t="shared" si="6"/>
        <v>DIVAIO</v>
      </c>
      <c r="O9" t="str">
        <f t="shared" si="7"/>
        <v>FUSIBLES</v>
      </c>
      <c r="P9" t="str">
        <f t="shared" si="8"/>
        <v>0</v>
      </c>
      <c r="Q9" t="str">
        <f t="shared" si="8"/>
        <v>0</v>
      </c>
      <c r="R9" t="str">
        <f t="shared" si="9"/>
        <v>0,00</v>
      </c>
      <c r="S9" t="str">
        <f t="shared" si="9"/>
        <v>0,00</v>
      </c>
      <c r="T9" t="str">
        <f t="shared" si="10"/>
        <v xml:space="preserve"> </v>
      </c>
      <c r="U9" t="str">
        <f t="shared" si="10"/>
        <v xml:space="preserve"> </v>
      </c>
      <c r="V9" t="str">
        <f>"7,000"</f>
        <v>7,000</v>
      </c>
      <c r="W9" t="str">
        <f t="shared" si="11"/>
        <v>Lista 4</v>
      </c>
      <c r="X9" t="str">
        <f t="shared" si="12"/>
        <v>Lista 5</v>
      </c>
      <c r="Y9" t="str">
        <f t="shared" si="13"/>
        <v>Oferta Gral.</v>
      </c>
      <c r="Z9" t="str">
        <f t="shared" si="14"/>
        <v>Rubro</v>
      </c>
      <c r="AA9" t="str">
        <f t="shared" si="15"/>
        <v>Cantidad por Bulto</v>
      </c>
      <c r="AB9" t="str">
        <f t="shared" si="16"/>
        <v>INNER</v>
      </c>
      <c r="AC9" t="str">
        <f t="shared" si="17"/>
        <v>Stock en Bultos</v>
      </c>
      <c r="AD9" t="str">
        <f t="shared" si="18"/>
        <v>SubDepósito</v>
      </c>
      <c r="AE9" t="str">
        <f t="shared" si="19"/>
        <v>Marca</v>
      </c>
      <c r="AF9" t="str">
        <f t="shared" si="20"/>
        <v>Super Rubro</v>
      </c>
      <c r="AG9" t="str">
        <f t="shared" si="21"/>
        <v>ComercioExterior</v>
      </c>
      <c r="AH9" t="str">
        <f t="shared" si="22"/>
        <v>PrecioFOB</v>
      </c>
      <c r="AI9" t="str">
        <f t="shared" si="23"/>
        <v>Monto II</v>
      </c>
      <c r="AJ9" t="str">
        <f t="shared" si="24"/>
        <v>Porcentaje II</v>
      </c>
      <c r="AK9" t="str">
        <f t="shared" si="25"/>
        <v>Foto</v>
      </c>
      <c r="AL9" t="str">
        <f>"{\rtf1\ansi\ansicpg1252\deff0\deflang11274{\fonttbl{\f0\fnil\fcharset0 MS Sans Serif}} \viewkind4\uc1\pard\f0\fs16 10 FUSIBLES VIDRIO 32MM EN BLISTER 5 AMP.\par } "</f>
        <v xml:space="preserve">{\rtf1\ansi\ansicpg1252\deff0\deflang11274{\fonttbl{\f0\fnil\fcharset0 MS Sans Serif}} \viewkind4\uc1\pard\f0\fs16 10 FUSIBLES VIDRIO 32MM EN BLISTER 5 AMP.\par } </v>
      </c>
      <c r="AM9" t="str">
        <f t="shared" si="26"/>
        <v>-</v>
      </c>
    </row>
    <row r="10" spans="1:39" x14ac:dyDescent="0.25">
      <c r="A10" t="str">
        <f>"T114-100"</f>
        <v>T114-100</v>
      </c>
      <c r="B10" t="str">
        <f>"5 FUSIBLES MAXIFICHA EN BLISTER 100 AMP."</f>
        <v>5 FUSIBLES MAXIFICHA EN BLISTER 100 AMP.</v>
      </c>
      <c r="C10" t="str">
        <f t="shared" ref="C10:G17" si="28">"$ 3494,68"</f>
        <v>$ 3494,68</v>
      </c>
      <c r="D10" t="str">
        <f t="shared" si="28"/>
        <v>$ 3494,68</v>
      </c>
      <c r="E10" t="str">
        <f t="shared" si="28"/>
        <v>$ 3494,68</v>
      </c>
      <c r="F10" t="str">
        <f t="shared" si="28"/>
        <v>$ 3494,68</v>
      </c>
      <c r="G10" t="str">
        <f t="shared" si="28"/>
        <v>$ 3494,68</v>
      </c>
      <c r="H10" t="str">
        <f t="shared" si="1"/>
        <v>$ 0,00</v>
      </c>
      <c r="I10" t="str">
        <f t="shared" si="2"/>
        <v>FUSIBLES</v>
      </c>
      <c r="J10" t="str">
        <f t="shared" si="3"/>
        <v>1</v>
      </c>
      <c r="K10" t="str">
        <f t="shared" si="4"/>
        <v>0</v>
      </c>
      <c r="L10" t="str">
        <f>"3,000"</f>
        <v>3,000</v>
      </c>
      <c r="M10" t="str">
        <f t="shared" si="5"/>
        <v xml:space="preserve"> </v>
      </c>
      <c r="N10" t="str">
        <f t="shared" si="6"/>
        <v>DIVAIO</v>
      </c>
      <c r="O10" t="str">
        <f t="shared" si="7"/>
        <v>FUSIBLES</v>
      </c>
      <c r="P10" t="str">
        <f t="shared" si="8"/>
        <v>0</v>
      </c>
      <c r="Q10" t="str">
        <f t="shared" si="8"/>
        <v>0</v>
      </c>
      <c r="R10" t="str">
        <f t="shared" si="9"/>
        <v>0,00</v>
      </c>
      <c r="S10" t="str">
        <f t="shared" si="9"/>
        <v>0,00</v>
      </c>
      <c r="T10" t="str">
        <f t="shared" si="10"/>
        <v xml:space="preserve"> </v>
      </c>
      <c r="U10" t="str">
        <f t="shared" si="10"/>
        <v xml:space="preserve"> </v>
      </c>
      <c r="V10" t="str">
        <f>"3,000"</f>
        <v>3,000</v>
      </c>
      <c r="W10" t="str">
        <f t="shared" si="11"/>
        <v>Lista 4</v>
      </c>
      <c r="X10" t="str">
        <f t="shared" si="12"/>
        <v>Lista 5</v>
      </c>
      <c r="Y10" t="str">
        <f t="shared" si="13"/>
        <v>Oferta Gral.</v>
      </c>
      <c r="Z10" t="str">
        <f t="shared" si="14"/>
        <v>Rubro</v>
      </c>
      <c r="AA10" t="str">
        <f t="shared" si="15"/>
        <v>Cantidad por Bulto</v>
      </c>
      <c r="AB10" t="str">
        <f t="shared" si="16"/>
        <v>INNER</v>
      </c>
      <c r="AC10" t="str">
        <f t="shared" si="17"/>
        <v>Stock en Bultos</v>
      </c>
      <c r="AD10" t="str">
        <f t="shared" si="18"/>
        <v>SubDepósito</v>
      </c>
      <c r="AE10" t="str">
        <f t="shared" si="19"/>
        <v>Marca</v>
      </c>
      <c r="AF10" t="str">
        <f t="shared" si="20"/>
        <v>Super Rubro</v>
      </c>
      <c r="AG10" t="str">
        <f t="shared" si="21"/>
        <v>ComercioExterior</v>
      </c>
      <c r="AH10" t="str">
        <f t="shared" si="22"/>
        <v>PrecioFOB</v>
      </c>
      <c r="AI10" t="str">
        <f t="shared" si="23"/>
        <v>Monto II</v>
      </c>
      <c r="AJ10" t="str">
        <f t="shared" si="24"/>
        <v>Porcentaje II</v>
      </c>
      <c r="AK10" t="str">
        <f t="shared" si="25"/>
        <v>Foto</v>
      </c>
      <c r="AL10" t="str">
        <f>"{\rtf1\ansi\ansicpg1252\deff0\deflang11274{\fonttbl{\f0\fnil\fcharset0 MS Sans Serif}} \viewkind4\uc1\pard\f0\fs16 5 FUSIBLES MAXIFICHA EN BLISTER 100 AMP.\par } "</f>
        <v xml:space="preserve">{\rtf1\ansi\ansicpg1252\deff0\deflang11274{\fonttbl{\f0\fnil\fcharset0 MS Sans Serif}} \viewkind4\uc1\pard\f0\fs16 5 FUSIBLES MAXIFICHA EN BLISTER 100 AMP.\par } </v>
      </c>
      <c r="AM10" t="str">
        <f t="shared" si="26"/>
        <v>-</v>
      </c>
    </row>
    <row r="11" spans="1:39" x14ac:dyDescent="0.25">
      <c r="A11" t="str">
        <f>"T114-20"</f>
        <v>T114-20</v>
      </c>
      <c r="B11" t="str">
        <f>"5 FUSIBLES MAXIFICHA EN BLISTER 20 AMP."</f>
        <v>5 FUSIBLES MAXIFICHA EN BLISTER 20 AMP.</v>
      </c>
      <c r="C11" t="str">
        <f t="shared" si="28"/>
        <v>$ 3494,68</v>
      </c>
      <c r="D11" t="str">
        <f t="shared" si="28"/>
        <v>$ 3494,68</v>
      </c>
      <c r="E11" t="str">
        <f t="shared" si="28"/>
        <v>$ 3494,68</v>
      </c>
      <c r="F11" t="str">
        <f t="shared" si="28"/>
        <v>$ 3494,68</v>
      </c>
      <c r="G11" t="str">
        <f t="shared" si="28"/>
        <v>$ 3494,68</v>
      </c>
      <c r="H11" t="str">
        <f t="shared" si="1"/>
        <v>$ 0,00</v>
      </c>
      <c r="I11" t="str">
        <f t="shared" si="2"/>
        <v>FUSIBLES</v>
      </c>
      <c r="J11" t="str">
        <f t="shared" si="3"/>
        <v>1</v>
      </c>
      <c r="K11" t="str">
        <f t="shared" si="4"/>
        <v>0</v>
      </c>
      <c r="L11" t="str">
        <f>"1,000"</f>
        <v>1,000</v>
      </c>
      <c r="M11" t="str">
        <f t="shared" si="5"/>
        <v xml:space="preserve"> </v>
      </c>
      <c r="N11" t="str">
        <f t="shared" si="6"/>
        <v>DIVAIO</v>
      </c>
      <c r="O11" t="str">
        <f t="shared" si="7"/>
        <v>FUSIBLES</v>
      </c>
      <c r="P11" t="str">
        <f t="shared" si="8"/>
        <v>0</v>
      </c>
      <c r="Q11" t="str">
        <f t="shared" si="8"/>
        <v>0</v>
      </c>
      <c r="R11" t="str">
        <f t="shared" si="9"/>
        <v>0,00</v>
      </c>
      <c r="S11" t="str">
        <f t="shared" si="9"/>
        <v>0,00</v>
      </c>
      <c r="T11" t="str">
        <f t="shared" si="10"/>
        <v xml:space="preserve"> </v>
      </c>
      <c r="U11" t="str">
        <f t="shared" si="10"/>
        <v xml:space="preserve"> </v>
      </c>
      <c r="V11" t="str">
        <f>"1,000"</f>
        <v>1,000</v>
      </c>
      <c r="W11" t="str">
        <f t="shared" si="11"/>
        <v>Lista 4</v>
      </c>
      <c r="X11" t="str">
        <f t="shared" si="12"/>
        <v>Lista 5</v>
      </c>
      <c r="Y11" t="str">
        <f t="shared" si="13"/>
        <v>Oferta Gral.</v>
      </c>
      <c r="Z11" t="str">
        <f t="shared" si="14"/>
        <v>Rubro</v>
      </c>
      <c r="AA11" t="str">
        <f t="shared" si="15"/>
        <v>Cantidad por Bulto</v>
      </c>
      <c r="AB11" t="str">
        <f t="shared" si="16"/>
        <v>INNER</v>
      </c>
      <c r="AC11" t="str">
        <f t="shared" si="17"/>
        <v>Stock en Bultos</v>
      </c>
      <c r="AD11" t="str">
        <f t="shared" si="18"/>
        <v>SubDepósito</v>
      </c>
      <c r="AE11" t="str">
        <f t="shared" si="19"/>
        <v>Marca</v>
      </c>
      <c r="AF11" t="str">
        <f t="shared" si="20"/>
        <v>Super Rubro</v>
      </c>
      <c r="AG11" t="str">
        <f t="shared" si="21"/>
        <v>ComercioExterior</v>
      </c>
      <c r="AH11" t="str">
        <f t="shared" si="22"/>
        <v>PrecioFOB</v>
      </c>
      <c r="AI11" t="str">
        <f t="shared" si="23"/>
        <v>Monto II</v>
      </c>
      <c r="AJ11" t="str">
        <f t="shared" si="24"/>
        <v>Porcentaje II</v>
      </c>
      <c r="AK11" t="str">
        <f t="shared" si="25"/>
        <v>Foto</v>
      </c>
      <c r="AL11" t="str">
        <f>"{\rtf1\ansi\ansicpg1252\deff0\deflang11274{\fonttbl{\f0\fnil\fcharset0 MS Sans Serif}} \viewkind4\uc1\pard\f0\fs16 5 FUSIBLES MAXIFICHA EN BLISTER 20 AMP.\par } "</f>
        <v xml:space="preserve">{\rtf1\ansi\ansicpg1252\deff0\deflang11274{\fonttbl{\f0\fnil\fcharset0 MS Sans Serif}} \viewkind4\uc1\pard\f0\fs16 5 FUSIBLES MAXIFICHA EN BLISTER 20 AMP.\par } </v>
      </c>
      <c r="AM11" t="str">
        <f t="shared" si="26"/>
        <v>-</v>
      </c>
    </row>
    <row r="12" spans="1:39" x14ac:dyDescent="0.25">
      <c r="A12" t="str">
        <f>"T114-30"</f>
        <v>T114-30</v>
      </c>
      <c r="B12" t="str">
        <f>"5 FUSIBLES MAXIFICHA EN BLISTER 30 AMP."</f>
        <v>5 FUSIBLES MAXIFICHA EN BLISTER 30 AMP.</v>
      </c>
      <c r="C12" t="str">
        <f t="shared" si="28"/>
        <v>$ 3494,68</v>
      </c>
      <c r="D12" t="str">
        <f t="shared" si="28"/>
        <v>$ 3494,68</v>
      </c>
      <c r="E12" t="str">
        <f t="shared" si="28"/>
        <v>$ 3494,68</v>
      </c>
      <c r="F12" t="str">
        <f t="shared" si="28"/>
        <v>$ 3494,68</v>
      </c>
      <c r="G12" t="str">
        <f t="shared" si="28"/>
        <v>$ 3494,68</v>
      </c>
      <c r="H12" t="str">
        <f t="shared" si="1"/>
        <v>$ 0,00</v>
      </c>
      <c r="I12" t="str">
        <f t="shared" si="2"/>
        <v>FUSIBLES</v>
      </c>
      <c r="J12" t="str">
        <f t="shared" si="3"/>
        <v>1</v>
      </c>
      <c r="K12" t="str">
        <f t="shared" si="4"/>
        <v>0</v>
      </c>
      <c r="L12" t="str">
        <f>"1,000"</f>
        <v>1,000</v>
      </c>
      <c r="M12" t="str">
        <f t="shared" si="5"/>
        <v xml:space="preserve"> </v>
      </c>
      <c r="N12" t="str">
        <f t="shared" si="6"/>
        <v>DIVAIO</v>
      </c>
      <c r="O12" t="str">
        <f t="shared" si="7"/>
        <v>FUSIBLES</v>
      </c>
      <c r="P12" t="str">
        <f t="shared" si="8"/>
        <v>0</v>
      </c>
      <c r="Q12" t="str">
        <f t="shared" si="8"/>
        <v>0</v>
      </c>
      <c r="R12" t="str">
        <f t="shared" si="9"/>
        <v>0,00</v>
      </c>
      <c r="S12" t="str">
        <f t="shared" si="9"/>
        <v>0,00</v>
      </c>
      <c r="T12" t="str">
        <f t="shared" si="10"/>
        <v xml:space="preserve"> </v>
      </c>
      <c r="U12" t="str">
        <f t="shared" si="10"/>
        <v xml:space="preserve"> </v>
      </c>
      <c r="V12" t="str">
        <f>"1,000"</f>
        <v>1,000</v>
      </c>
      <c r="W12" t="str">
        <f t="shared" si="11"/>
        <v>Lista 4</v>
      </c>
      <c r="X12" t="str">
        <f t="shared" si="12"/>
        <v>Lista 5</v>
      </c>
      <c r="Y12" t="str">
        <f t="shared" si="13"/>
        <v>Oferta Gral.</v>
      </c>
      <c r="Z12" t="str">
        <f t="shared" si="14"/>
        <v>Rubro</v>
      </c>
      <c r="AA12" t="str">
        <f t="shared" si="15"/>
        <v>Cantidad por Bulto</v>
      </c>
      <c r="AB12" t="str">
        <f t="shared" si="16"/>
        <v>INNER</v>
      </c>
      <c r="AC12" t="str">
        <f t="shared" si="17"/>
        <v>Stock en Bultos</v>
      </c>
      <c r="AD12" t="str">
        <f t="shared" si="18"/>
        <v>SubDepósito</v>
      </c>
      <c r="AE12" t="str">
        <f t="shared" si="19"/>
        <v>Marca</v>
      </c>
      <c r="AF12" t="str">
        <f t="shared" si="20"/>
        <v>Super Rubro</v>
      </c>
      <c r="AG12" t="str">
        <f t="shared" si="21"/>
        <v>ComercioExterior</v>
      </c>
      <c r="AH12" t="str">
        <f t="shared" si="22"/>
        <v>PrecioFOB</v>
      </c>
      <c r="AI12" t="str">
        <f t="shared" si="23"/>
        <v>Monto II</v>
      </c>
      <c r="AJ12" t="str">
        <f t="shared" si="24"/>
        <v>Porcentaje II</v>
      </c>
      <c r="AK12" t="str">
        <f t="shared" si="25"/>
        <v>Foto</v>
      </c>
      <c r="AL12" t="str">
        <f>"{\rtf1\ansi\ansicpg1252\deff0\deflang11274{\fonttbl{\f0\fnil\fcharset0 MS Sans Serif}} \viewkind4\uc1\pard\f0\fs16 5 FUSIBLES MAXIFICHA EN BLISTER 30 AMP.\par } "</f>
        <v xml:space="preserve">{\rtf1\ansi\ansicpg1252\deff0\deflang11274{\fonttbl{\f0\fnil\fcharset0 MS Sans Serif}} \viewkind4\uc1\pard\f0\fs16 5 FUSIBLES MAXIFICHA EN BLISTER 30 AMP.\par } </v>
      </c>
      <c r="AM12" t="str">
        <f t="shared" si="26"/>
        <v>-</v>
      </c>
    </row>
    <row r="13" spans="1:39" x14ac:dyDescent="0.25">
      <c r="A13" t="str">
        <f>"T114-40"</f>
        <v>T114-40</v>
      </c>
      <c r="B13" t="str">
        <f>"5 FUSIBLES MAXIFICHA EN BLISTER 40 AMP."</f>
        <v>5 FUSIBLES MAXIFICHA EN BLISTER 40 AMP.</v>
      </c>
      <c r="C13" t="str">
        <f t="shared" si="28"/>
        <v>$ 3494,68</v>
      </c>
      <c r="D13" t="str">
        <f t="shared" si="28"/>
        <v>$ 3494,68</v>
      </c>
      <c r="E13" t="str">
        <f t="shared" si="28"/>
        <v>$ 3494,68</v>
      </c>
      <c r="F13" t="str">
        <f t="shared" si="28"/>
        <v>$ 3494,68</v>
      </c>
      <c r="G13" t="str">
        <f t="shared" si="28"/>
        <v>$ 3494,68</v>
      </c>
      <c r="H13" t="str">
        <f t="shared" si="1"/>
        <v>$ 0,00</v>
      </c>
      <c r="I13" t="str">
        <f t="shared" si="2"/>
        <v>FUSIBLES</v>
      </c>
      <c r="J13" t="str">
        <f t="shared" si="3"/>
        <v>1</v>
      </c>
      <c r="K13" t="str">
        <f t="shared" si="4"/>
        <v>0</v>
      </c>
      <c r="L13" t="str">
        <f>"0,000"</f>
        <v>0,000</v>
      </c>
      <c r="M13" t="str">
        <f t="shared" si="5"/>
        <v xml:space="preserve"> </v>
      </c>
      <c r="N13" t="str">
        <f t="shared" si="6"/>
        <v>DIVAIO</v>
      </c>
      <c r="O13" t="str">
        <f t="shared" si="7"/>
        <v>FUSIBLES</v>
      </c>
      <c r="P13" t="str">
        <f t="shared" si="8"/>
        <v>0</v>
      </c>
      <c r="Q13" t="str">
        <f t="shared" si="8"/>
        <v>0</v>
      </c>
      <c r="R13" t="str">
        <f t="shared" si="9"/>
        <v>0,00</v>
      </c>
      <c r="S13" t="str">
        <f t="shared" si="9"/>
        <v>0,00</v>
      </c>
      <c r="T13" t="str">
        <f t="shared" si="10"/>
        <v xml:space="preserve"> </v>
      </c>
      <c r="U13" t="str">
        <f t="shared" si="10"/>
        <v xml:space="preserve"> </v>
      </c>
      <c r="V13" t="str">
        <f>"0,000"</f>
        <v>0,000</v>
      </c>
      <c r="W13" t="str">
        <f t="shared" si="11"/>
        <v>Lista 4</v>
      </c>
      <c r="X13" t="str">
        <f t="shared" si="12"/>
        <v>Lista 5</v>
      </c>
      <c r="Y13" t="str">
        <f t="shared" si="13"/>
        <v>Oferta Gral.</v>
      </c>
      <c r="Z13" t="str">
        <f t="shared" si="14"/>
        <v>Rubro</v>
      </c>
      <c r="AA13" t="str">
        <f t="shared" si="15"/>
        <v>Cantidad por Bulto</v>
      </c>
      <c r="AB13" t="str">
        <f t="shared" si="16"/>
        <v>INNER</v>
      </c>
      <c r="AC13" t="str">
        <f t="shared" si="17"/>
        <v>Stock en Bultos</v>
      </c>
      <c r="AD13" t="str">
        <f t="shared" si="18"/>
        <v>SubDepósito</v>
      </c>
      <c r="AE13" t="str">
        <f t="shared" si="19"/>
        <v>Marca</v>
      </c>
      <c r="AF13" t="str">
        <f t="shared" si="20"/>
        <v>Super Rubro</v>
      </c>
      <c r="AG13" t="str">
        <f t="shared" si="21"/>
        <v>ComercioExterior</v>
      </c>
      <c r="AH13" t="str">
        <f t="shared" si="22"/>
        <v>PrecioFOB</v>
      </c>
      <c r="AI13" t="str">
        <f t="shared" si="23"/>
        <v>Monto II</v>
      </c>
      <c r="AJ13" t="str">
        <f t="shared" si="24"/>
        <v>Porcentaje II</v>
      </c>
      <c r="AK13" t="str">
        <f t="shared" si="25"/>
        <v>Foto</v>
      </c>
      <c r="AL13" t="str">
        <f>"{\rtf1\ansi\ansicpg1252\deff0\deflang11274{\fonttbl{\f0\fnil\fcharset0 MS Sans Serif}} \viewkind4\uc1\pard\f0\fs16 5 FUSIBLES MAXIFICHA EN BLISTER 40 AMP.\par } "</f>
        <v xml:space="preserve">{\rtf1\ansi\ansicpg1252\deff0\deflang11274{\fonttbl{\f0\fnil\fcharset0 MS Sans Serif}} \viewkind4\uc1\pard\f0\fs16 5 FUSIBLES MAXIFICHA EN BLISTER 40 AMP.\par } </v>
      </c>
      <c r="AM13" t="str">
        <f t="shared" si="26"/>
        <v>-</v>
      </c>
    </row>
    <row r="14" spans="1:39" x14ac:dyDescent="0.25">
      <c r="A14" t="str">
        <f>"T114-50"</f>
        <v>T114-50</v>
      </c>
      <c r="B14" t="str">
        <f>"5 FUSIBLES MAXIFICHA EN BLISTER 50 AMP."</f>
        <v>5 FUSIBLES MAXIFICHA EN BLISTER 50 AMP.</v>
      </c>
      <c r="C14" t="str">
        <f t="shared" si="28"/>
        <v>$ 3494,68</v>
      </c>
      <c r="D14" t="str">
        <f t="shared" si="28"/>
        <v>$ 3494,68</v>
      </c>
      <c r="E14" t="str">
        <f t="shared" si="28"/>
        <v>$ 3494,68</v>
      </c>
      <c r="F14" t="str">
        <f t="shared" si="28"/>
        <v>$ 3494,68</v>
      </c>
      <c r="G14" t="str">
        <f t="shared" si="28"/>
        <v>$ 3494,68</v>
      </c>
      <c r="H14" t="str">
        <f t="shared" si="1"/>
        <v>$ 0,00</v>
      </c>
      <c r="I14" t="str">
        <f t="shared" si="2"/>
        <v>FUSIBLES</v>
      </c>
      <c r="J14" t="str">
        <f t="shared" si="3"/>
        <v>1</v>
      </c>
      <c r="K14" t="str">
        <f t="shared" si="4"/>
        <v>0</v>
      </c>
      <c r="L14" t="str">
        <f>"2,000"</f>
        <v>2,000</v>
      </c>
      <c r="M14" t="str">
        <f t="shared" si="5"/>
        <v xml:space="preserve"> </v>
      </c>
      <c r="N14" t="str">
        <f t="shared" si="6"/>
        <v>DIVAIO</v>
      </c>
      <c r="O14" t="str">
        <f t="shared" si="7"/>
        <v>FUSIBLES</v>
      </c>
      <c r="P14" t="str">
        <f t="shared" si="8"/>
        <v>0</v>
      </c>
      <c r="Q14" t="str">
        <f t="shared" si="8"/>
        <v>0</v>
      </c>
      <c r="R14" t="str">
        <f t="shared" si="9"/>
        <v>0,00</v>
      </c>
      <c r="S14" t="str">
        <f t="shared" si="9"/>
        <v>0,00</v>
      </c>
      <c r="T14" t="str">
        <f t="shared" si="10"/>
        <v xml:space="preserve"> </v>
      </c>
      <c r="U14" t="str">
        <f t="shared" si="10"/>
        <v xml:space="preserve"> </v>
      </c>
      <c r="V14" t="str">
        <f>"2,000"</f>
        <v>2,000</v>
      </c>
      <c r="W14" t="str">
        <f t="shared" si="11"/>
        <v>Lista 4</v>
      </c>
      <c r="X14" t="str">
        <f t="shared" si="12"/>
        <v>Lista 5</v>
      </c>
      <c r="Y14" t="str">
        <f t="shared" si="13"/>
        <v>Oferta Gral.</v>
      </c>
      <c r="Z14" t="str">
        <f t="shared" si="14"/>
        <v>Rubro</v>
      </c>
      <c r="AA14" t="str">
        <f t="shared" si="15"/>
        <v>Cantidad por Bulto</v>
      </c>
      <c r="AB14" t="str">
        <f t="shared" si="16"/>
        <v>INNER</v>
      </c>
      <c r="AC14" t="str">
        <f t="shared" si="17"/>
        <v>Stock en Bultos</v>
      </c>
      <c r="AD14" t="str">
        <f t="shared" si="18"/>
        <v>SubDepósito</v>
      </c>
      <c r="AE14" t="str">
        <f t="shared" si="19"/>
        <v>Marca</v>
      </c>
      <c r="AF14" t="str">
        <f t="shared" si="20"/>
        <v>Super Rubro</v>
      </c>
      <c r="AG14" t="str">
        <f t="shared" si="21"/>
        <v>ComercioExterior</v>
      </c>
      <c r="AH14" t="str">
        <f t="shared" si="22"/>
        <v>PrecioFOB</v>
      </c>
      <c r="AI14" t="str">
        <f t="shared" si="23"/>
        <v>Monto II</v>
      </c>
      <c r="AJ14" t="str">
        <f t="shared" si="24"/>
        <v>Porcentaje II</v>
      </c>
      <c r="AK14" t="str">
        <f t="shared" si="25"/>
        <v>Foto</v>
      </c>
      <c r="AL14" t="str">
        <f>"{\rtf1\ansi\ansicpg1252\deff0\deflang11274{\fonttbl{\f0\fnil\fcharset0 MS Sans Serif}} \viewkind4\uc1\pard\f0\fs16 5 FUSIBLES MAXIFICHA EN BLISTER 50 AMP.\par } "</f>
        <v xml:space="preserve">{\rtf1\ansi\ansicpg1252\deff0\deflang11274{\fonttbl{\f0\fnil\fcharset0 MS Sans Serif}} \viewkind4\uc1\pard\f0\fs16 5 FUSIBLES MAXIFICHA EN BLISTER 50 AMP.\par } </v>
      </c>
      <c r="AM14" t="str">
        <f t="shared" si="26"/>
        <v>-</v>
      </c>
    </row>
    <row r="15" spans="1:39" x14ac:dyDescent="0.25">
      <c r="A15" t="str">
        <f>"T114-60"</f>
        <v>T114-60</v>
      </c>
      <c r="B15" t="str">
        <f>"5 FUSIBLES MAXIFICHA EN BLISTER 60 AMP."</f>
        <v>5 FUSIBLES MAXIFICHA EN BLISTER 60 AMP.</v>
      </c>
      <c r="C15" t="str">
        <f t="shared" si="28"/>
        <v>$ 3494,68</v>
      </c>
      <c r="D15" t="str">
        <f t="shared" si="28"/>
        <v>$ 3494,68</v>
      </c>
      <c r="E15" t="str">
        <f t="shared" si="28"/>
        <v>$ 3494,68</v>
      </c>
      <c r="F15" t="str">
        <f t="shared" si="28"/>
        <v>$ 3494,68</v>
      </c>
      <c r="G15" t="str">
        <f t="shared" si="28"/>
        <v>$ 3494,68</v>
      </c>
      <c r="H15" t="str">
        <f t="shared" si="1"/>
        <v>$ 0,00</v>
      </c>
      <c r="I15" t="str">
        <f t="shared" si="2"/>
        <v>FUSIBLES</v>
      </c>
      <c r="J15" t="str">
        <f t="shared" si="3"/>
        <v>1</v>
      </c>
      <c r="K15" t="str">
        <f t="shared" si="4"/>
        <v>0</v>
      </c>
      <c r="L15" t="str">
        <f>"1,000"</f>
        <v>1,000</v>
      </c>
      <c r="M15" t="str">
        <f t="shared" si="5"/>
        <v xml:space="preserve"> </v>
      </c>
      <c r="N15" t="str">
        <f t="shared" si="6"/>
        <v>DIVAIO</v>
      </c>
      <c r="O15" t="str">
        <f t="shared" si="7"/>
        <v>FUSIBLES</v>
      </c>
      <c r="P15" t="str">
        <f t="shared" si="8"/>
        <v>0</v>
      </c>
      <c r="Q15" t="str">
        <f t="shared" si="8"/>
        <v>0</v>
      </c>
      <c r="R15" t="str">
        <f t="shared" si="9"/>
        <v>0,00</v>
      </c>
      <c r="S15" t="str">
        <f t="shared" si="9"/>
        <v>0,00</v>
      </c>
      <c r="T15" t="str">
        <f t="shared" si="10"/>
        <v xml:space="preserve"> </v>
      </c>
      <c r="U15" t="str">
        <f t="shared" si="10"/>
        <v xml:space="preserve"> </v>
      </c>
      <c r="V15" t="str">
        <f>"1,000"</f>
        <v>1,000</v>
      </c>
      <c r="W15" t="str">
        <f t="shared" si="11"/>
        <v>Lista 4</v>
      </c>
      <c r="X15" t="str">
        <f t="shared" si="12"/>
        <v>Lista 5</v>
      </c>
      <c r="Y15" t="str">
        <f t="shared" si="13"/>
        <v>Oferta Gral.</v>
      </c>
      <c r="Z15" t="str">
        <f t="shared" si="14"/>
        <v>Rubro</v>
      </c>
      <c r="AA15" t="str">
        <f t="shared" si="15"/>
        <v>Cantidad por Bulto</v>
      </c>
      <c r="AB15" t="str">
        <f t="shared" si="16"/>
        <v>INNER</v>
      </c>
      <c r="AC15" t="str">
        <f t="shared" si="17"/>
        <v>Stock en Bultos</v>
      </c>
      <c r="AD15" t="str">
        <f t="shared" si="18"/>
        <v>SubDepósito</v>
      </c>
      <c r="AE15" t="str">
        <f t="shared" si="19"/>
        <v>Marca</v>
      </c>
      <c r="AF15" t="str">
        <f t="shared" si="20"/>
        <v>Super Rubro</v>
      </c>
      <c r="AG15" t="str">
        <f t="shared" si="21"/>
        <v>ComercioExterior</v>
      </c>
      <c r="AH15" t="str">
        <f t="shared" si="22"/>
        <v>PrecioFOB</v>
      </c>
      <c r="AI15" t="str">
        <f t="shared" si="23"/>
        <v>Monto II</v>
      </c>
      <c r="AJ15" t="str">
        <f t="shared" si="24"/>
        <v>Porcentaje II</v>
      </c>
      <c r="AK15" t="str">
        <f t="shared" si="25"/>
        <v>Foto</v>
      </c>
      <c r="AL15" t="str">
        <f>"{\rtf1\ansi\ansicpg1252\deff0\deflang11274{\fonttbl{\f0\fnil\fcharset0 MS Sans Serif}} \viewkind4\uc1\pard\f0\fs16 5 FUSIBLES MAXIFICHA EN BLISTER 60 AMP.\par } "</f>
        <v xml:space="preserve">{\rtf1\ansi\ansicpg1252\deff0\deflang11274{\fonttbl{\f0\fnil\fcharset0 MS Sans Serif}} \viewkind4\uc1\pard\f0\fs16 5 FUSIBLES MAXIFICHA EN BLISTER 60 AMP.\par } </v>
      </c>
      <c r="AM15" t="str">
        <f t="shared" si="26"/>
        <v>-</v>
      </c>
    </row>
    <row r="16" spans="1:39" x14ac:dyDescent="0.25">
      <c r="A16" t="str">
        <f>"T114-70"</f>
        <v>T114-70</v>
      </c>
      <c r="B16" t="str">
        <f>"5 FUSIBLES MAXIFICHA EN BLISTER 70 AMP."</f>
        <v>5 FUSIBLES MAXIFICHA EN BLISTER 70 AMP.</v>
      </c>
      <c r="C16" t="str">
        <f t="shared" si="28"/>
        <v>$ 3494,68</v>
      </c>
      <c r="D16" t="str">
        <f t="shared" si="28"/>
        <v>$ 3494,68</v>
      </c>
      <c r="E16" t="str">
        <f t="shared" si="28"/>
        <v>$ 3494,68</v>
      </c>
      <c r="F16" t="str">
        <f t="shared" si="28"/>
        <v>$ 3494,68</v>
      </c>
      <c r="G16" t="str">
        <f t="shared" si="28"/>
        <v>$ 3494,68</v>
      </c>
      <c r="H16" t="str">
        <f t="shared" si="1"/>
        <v>$ 0,00</v>
      </c>
      <c r="I16" t="str">
        <f t="shared" si="2"/>
        <v>FUSIBLES</v>
      </c>
      <c r="J16" t="str">
        <f t="shared" si="3"/>
        <v>1</v>
      </c>
      <c r="K16" t="str">
        <f t="shared" si="4"/>
        <v>0</v>
      </c>
      <c r="L16" t="str">
        <f>"3,000"</f>
        <v>3,000</v>
      </c>
      <c r="M16" t="str">
        <f t="shared" si="5"/>
        <v xml:space="preserve"> </v>
      </c>
      <c r="N16" t="str">
        <f t="shared" si="6"/>
        <v>DIVAIO</v>
      </c>
      <c r="O16" t="str">
        <f t="shared" si="7"/>
        <v>FUSIBLES</v>
      </c>
      <c r="P16" t="str">
        <f t="shared" si="8"/>
        <v>0</v>
      </c>
      <c r="Q16" t="str">
        <f t="shared" si="8"/>
        <v>0</v>
      </c>
      <c r="R16" t="str">
        <f t="shared" si="9"/>
        <v>0,00</v>
      </c>
      <c r="S16" t="str">
        <f t="shared" si="9"/>
        <v>0,00</v>
      </c>
      <c r="T16" t="str">
        <f t="shared" si="10"/>
        <v xml:space="preserve"> </v>
      </c>
      <c r="U16" t="str">
        <f t="shared" si="10"/>
        <v xml:space="preserve"> </v>
      </c>
      <c r="V16" t="str">
        <f>"3,000"</f>
        <v>3,000</v>
      </c>
      <c r="W16" t="str">
        <f t="shared" si="11"/>
        <v>Lista 4</v>
      </c>
      <c r="X16" t="str">
        <f t="shared" si="12"/>
        <v>Lista 5</v>
      </c>
      <c r="Y16" t="str">
        <f t="shared" si="13"/>
        <v>Oferta Gral.</v>
      </c>
      <c r="Z16" t="str">
        <f t="shared" si="14"/>
        <v>Rubro</v>
      </c>
      <c r="AA16" t="str">
        <f t="shared" si="15"/>
        <v>Cantidad por Bulto</v>
      </c>
      <c r="AB16" t="str">
        <f t="shared" si="16"/>
        <v>INNER</v>
      </c>
      <c r="AC16" t="str">
        <f t="shared" si="17"/>
        <v>Stock en Bultos</v>
      </c>
      <c r="AD16" t="str">
        <f t="shared" si="18"/>
        <v>SubDepósito</v>
      </c>
      <c r="AE16" t="str">
        <f t="shared" si="19"/>
        <v>Marca</v>
      </c>
      <c r="AF16" t="str">
        <f t="shared" si="20"/>
        <v>Super Rubro</v>
      </c>
      <c r="AG16" t="str">
        <f t="shared" si="21"/>
        <v>ComercioExterior</v>
      </c>
      <c r="AH16" t="str">
        <f t="shared" si="22"/>
        <v>PrecioFOB</v>
      </c>
      <c r="AI16" t="str">
        <f t="shared" si="23"/>
        <v>Monto II</v>
      </c>
      <c r="AJ16" t="str">
        <f t="shared" si="24"/>
        <v>Porcentaje II</v>
      </c>
      <c r="AK16" t="str">
        <f t="shared" si="25"/>
        <v>Foto</v>
      </c>
      <c r="AL16" t="str">
        <f>"{\rtf1\ansi\ansicpg1252\deff0\deflang11274{\fonttbl{\f0\fnil\fcharset0 MS Sans Serif}} \viewkind4\uc1\pard\f0\fs16 5 FUSIBLES MAXIFICHA EN BLISTER 70 AMP.\par } "</f>
        <v xml:space="preserve">{\rtf1\ansi\ansicpg1252\deff0\deflang11274{\fonttbl{\f0\fnil\fcharset0 MS Sans Serif}} \viewkind4\uc1\pard\f0\fs16 5 FUSIBLES MAXIFICHA EN BLISTER 70 AMP.\par } </v>
      </c>
      <c r="AM16" t="str">
        <f t="shared" si="26"/>
        <v>-</v>
      </c>
    </row>
    <row r="17" spans="1:39" x14ac:dyDescent="0.25">
      <c r="A17" t="str">
        <f>"T114-80"</f>
        <v>T114-80</v>
      </c>
      <c r="B17" t="str">
        <f>"5 FUSIBLES MAXIFICHA EN BLISTER 80 AMP."</f>
        <v>5 FUSIBLES MAXIFICHA EN BLISTER 80 AMP.</v>
      </c>
      <c r="C17" t="str">
        <f t="shared" si="28"/>
        <v>$ 3494,68</v>
      </c>
      <c r="D17" t="str">
        <f t="shared" si="28"/>
        <v>$ 3494,68</v>
      </c>
      <c r="E17" t="str">
        <f t="shared" si="28"/>
        <v>$ 3494,68</v>
      </c>
      <c r="F17" t="str">
        <f t="shared" si="28"/>
        <v>$ 3494,68</v>
      </c>
      <c r="G17" t="str">
        <f t="shared" si="28"/>
        <v>$ 3494,68</v>
      </c>
      <c r="H17" t="str">
        <f t="shared" si="1"/>
        <v>$ 0,00</v>
      </c>
      <c r="I17" t="str">
        <f t="shared" si="2"/>
        <v>FUSIBLES</v>
      </c>
      <c r="J17" t="str">
        <f t="shared" si="3"/>
        <v>1</v>
      </c>
      <c r="K17" t="str">
        <f t="shared" si="4"/>
        <v>0</v>
      </c>
      <c r="L17" t="str">
        <f>"2,000"</f>
        <v>2,000</v>
      </c>
      <c r="M17" t="str">
        <f t="shared" si="5"/>
        <v xml:space="preserve"> </v>
      </c>
      <c r="N17" t="str">
        <f t="shared" si="6"/>
        <v>DIVAIO</v>
      </c>
      <c r="O17" t="str">
        <f t="shared" si="7"/>
        <v>FUSIBLES</v>
      </c>
      <c r="P17" t="str">
        <f t="shared" si="8"/>
        <v>0</v>
      </c>
      <c r="Q17" t="str">
        <f t="shared" si="8"/>
        <v>0</v>
      </c>
      <c r="R17" t="str">
        <f t="shared" si="9"/>
        <v>0,00</v>
      </c>
      <c r="S17" t="str">
        <f t="shared" si="9"/>
        <v>0,00</v>
      </c>
      <c r="T17" t="str">
        <f t="shared" si="10"/>
        <v xml:space="preserve"> </v>
      </c>
      <c r="U17" t="str">
        <f t="shared" si="10"/>
        <v xml:space="preserve"> </v>
      </c>
      <c r="V17" t="str">
        <f>"2,000"</f>
        <v>2,000</v>
      </c>
      <c r="W17" t="str">
        <f t="shared" si="11"/>
        <v>Lista 4</v>
      </c>
      <c r="X17" t="str">
        <f t="shared" si="12"/>
        <v>Lista 5</v>
      </c>
      <c r="Y17" t="str">
        <f t="shared" si="13"/>
        <v>Oferta Gral.</v>
      </c>
      <c r="Z17" t="str">
        <f t="shared" si="14"/>
        <v>Rubro</v>
      </c>
      <c r="AA17" t="str">
        <f t="shared" si="15"/>
        <v>Cantidad por Bulto</v>
      </c>
      <c r="AB17" t="str">
        <f t="shared" si="16"/>
        <v>INNER</v>
      </c>
      <c r="AC17" t="str">
        <f t="shared" si="17"/>
        <v>Stock en Bultos</v>
      </c>
      <c r="AD17" t="str">
        <f t="shared" si="18"/>
        <v>SubDepósito</v>
      </c>
      <c r="AE17" t="str">
        <f t="shared" si="19"/>
        <v>Marca</v>
      </c>
      <c r="AF17" t="str">
        <f t="shared" si="20"/>
        <v>Super Rubro</v>
      </c>
      <c r="AG17" t="str">
        <f t="shared" si="21"/>
        <v>ComercioExterior</v>
      </c>
      <c r="AH17" t="str">
        <f t="shared" si="22"/>
        <v>PrecioFOB</v>
      </c>
      <c r="AI17" t="str">
        <f t="shared" si="23"/>
        <v>Monto II</v>
      </c>
      <c r="AJ17" t="str">
        <f t="shared" si="24"/>
        <v>Porcentaje II</v>
      </c>
      <c r="AK17" t="str">
        <f t="shared" si="25"/>
        <v>Foto</v>
      </c>
      <c r="AL17" t="str">
        <f>"{\rtf1\ansi\ansicpg1252\deff0\deflang11274{\fonttbl{\f0\fnil\fcharset0 MS Sans Serif}} \viewkind4\uc1\pard\f0\fs16 5 FUSIBLES MAXIFICHA EN BLISTER 80 AMP.\par } "</f>
        <v xml:space="preserve">{\rtf1\ansi\ansicpg1252\deff0\deflang11274{\fonttbl{\f0\fnil\fcharset0 MS Sans Serif}} \viewkind4\uc1\pard\f0\fs16 5 FUSIBLES MAXIFICHA EN BLISTER 80 AMP.\par } </v>
      </c>
      <c r="AM17" t="str">
        <f t="shared" si="26"/>
        <v>-</v>
      </c>
    </row>
    <row r="18" spans="1:39" x14ac:dyDescent="0.25">
      <c r="A18" t="str">
        <f>"ACU"</f>
        <v>ACU</v>
      </c>
      <c r="B18" t="str">
        <f>"ACTUADOR DE CIERRE CENTRALIZADO KUBE"</f>
        <v>ACTUADOR DE CIERRE CENTRALIZADO KUBE</v>
      </c>
      <c r="C18" t="str">
        <f>"$ 3571,62"</f>
        <v>$ 3571,62</v>
      </c>
      <c r="D18" t="str">
        <f>"$ 3571,62"</f>
        <v>$ 3571,62</v>
      </c>
      <c r="E18" t="str">
        <f>"$ 3571,62"</f>
        <v>$ 3571,62</v>
      </c>
      <c r="F18" t="str">
        <f>"$ 3571,62"</f>
        <v>$ 3571,62</v>
      </c>
      <c r="G18" t="str">
        <f>"$ 3571,62"</f>
        <v>$ 3571,62</v>
      </c>
      <c r="H18" t="str">
        <f t="shared" si="1"/>
        <v>$ 0,00</v>
      </c>
      <c r="I18" t="str">
        <f>"CIERRE CENTRALIZADO"</f>
        <v>CIERRE CENTRALIZADO</v>
      </c>
      <c r="J18" t="str">
        <f t="shared" si="3"/>
        <v>1</v>
      </c>
      <c r="K18" t="str">
        <f t="shared" si="4"/>
        <v>0</v>
      </c>
      <c r="L18" t="str">
        <f>"3,000"</f>
        <v>3,000</v>
      </c>
      <c r="M18" t="str">
        <f t="shared" si="5"/>
        <v xml:space="preserve"> </v>
      </c>
      <c r="N18" t="str">
        <f>"KUBE"</f>
        <v>KUBE</v>
      </c>
      <c r="O18" t="str">
        <f>"ALARMAS Y CIERRES CENTRALIZADOS"</f>
        <v>ALARMAS Y CIERRES CENTRALIZADOS</v>
      </c>
      <c r="P18" t="str">
        <f t="shared" si="8"/>
        <v>0</v>
      </c>
      <c r="Q18" t="str">
        <f t="shared" si="8"/>
        <v>0</v>
      </c>
      <c r="R18" t="str">
        <f t="shared" si="9"/>
        <v>0,00</v>
      </c>
      <c r="S18" t="str">
        <f t="shared" si="9"/>
        <v>0,00</v>
      </c>
      <c r="T18" t="str">
        <f t="shared" si="10"/>
        <v xml:space="preserve"> </v>
      </c>
      <c r="U18" t="str">
        <f t="shared" si="10"/>
        <v xml:space="preserve"> </v>
      </c>
      <c r="V18" t="str">
        <f>"3,000"</f>
        <v>3,000</v>
      </c>
      <c r="W18" t="str">
        <f t="shared" si="11"/>
        <v>Lista 4</v>
      </c>
      <c r="X18" t="str">
        <f t="shared" si="12"/>
        <v>Lista 5</v>
      </c>
      <c r="Y18" t="str">
        <f t="shared" si="13"/>
        <v>Oferta Gral.</v>
      </c>
      <c r="Z18" t="str">
        <f t="shared" si="14"/>
        <v>Rubro</v>
      </c>
      <c r="AA18" t="str">
        <f t="shared" si="15"/>
        <v>Cantidad por Bulto</v>
      </c>
      <c r="AB18" t="str">
        <f t="shared" si="16"/>
        <v>INNER</v>
      </c>
      <c r="AC18" t="str">
        <f t="shared" si="17"/>
        <v>Stock en Bultos</v>
      </c>
      <c r="AD18" t="str">
        <f t="shared" si="18"/>
        <v>SubDepósito</v>
      </c>
      <c r="AE18" t="str">
        <f t="shared" si="19"/>
        <v>Marca</v>
      </c>
      <c r="AF18" t="str">
        <f t="shared" si="20"/>
        <v>Super Rubro</v>
      </c>
      <c r="AG18" t="str">
        <f t="shared" si="21"/>
        <v>ComercioExterior</v>
      </c>
      <c r="AH18" t="str">
        <f t="shared" si="22"/>
        <v>PrecioFOB</v>
      </c>
      <c r="AI18" t="str">
        <f t="shared" si="23"/>
        <v>Monto II</v>
      </c>
      <c r="AJ18" t="str">
        <f t="shared" si="24"/>
        <v>Porcentaje II</v>
      </c>
      <c r="AK18" t="str">
        <f t="shared" si="25"/>
        <v>Foto</v>
      </c>
      <c r="AL18" t="str">
        <f>"{\rtf1\ansi\ansicpg1252\deff0\deflang11274{\fonttbl{\f0\fnil\fcharset0 MS Sans Serif}} \viewkind4\uc1\pard\f0\fs16 ACTUADOR DE CIERRE CENTRALIZADO KUBE\par } "</f>
        <v xml:space="preserve">{\rtf1\ansi\ansicpg1252\deff0\deflang11274{\fonttbl{\f0\fnil\fcharset0 MS Sans Serif}} \viewkind4\uc1\pard\f0\fs16 ACTUADOR DE CIERRE CENTRALIZADO KUBE\par } </v>
      </c>
      <c r="AM18" t="str">
        <f>" "</f>
        <v xml:space="preserve"> </v>
      </c>
    </row>
    <row r="19" spans="1:39" x14ac:dyDescent="0.25">
      <c r="A19" t="str">
        <f>"FI10034"</f>
        <v>FI10034</v>
      </c>
      <c r="B19" t="str">
        <f>"ACTUADOR DE RALENTI ESCORT/FIESTA/FOCUS REF ORIG XS6U-9F715AA"</f>
        <v>ACTUADOR DE RALENTI ESCORT/FIESTA/FOCUS REF ORIG XS6U-9F715AA</v>
      </c>
      <c r="C19" t="str">
        <f>"$ 77108,98"</f>
        <v>$ 77108,98</v>
      </c>
      <c r="D19" t="str">
        <f>"$ 77108,98"</f>
        <v>$ 77108,98</v>
      </c>
      <c r="E19" t="str">
        <f>"$ 77108,98"</f>
        <v>$ 77108,98</v>
      </c>
      <c r="F19" t="str">
        <f>"$ 77108,98"</f>
        <v>$ 77108,98</v>
      </c>
      <c r="G19" t="str">
        <f>"$ 77108,98"</f>
        <v>$ 77108,98</v>
      </c>
      <c r="H19" t="str">
        <f t="shared" si="1"/>
        <v>$ 0,00</v>
      </c>
      <c r="I19" t="str">
        <f>"ACTUADOR RALENTI"</f>
        <v>ACTUADOR RALENTI</v>
      </c>
      <c r="J19" t="str">
        <f t="shared" si="3"/>
        <v>1</v>
      </c>
      <c r="K19" t="str">
        <f t="shared" si="4"/>
        <v>0</v>
      </c>
      <c r="L19" t="str">
        <f>"7,000"</f>
        <v>7,000</v>
      </c>
      <c r="M19" t="str">
        <f t="shared" si="5"/>
        <v xml:space="preserve"> </v>
      </c>
      <c r="N19" t="str">
        <f t="shared" ref="N19:N24" si="29">"FISPA"</f>
        <v>FISPA</v>
      </c>
      <c r="O19" t="str">
        <f>"SENSORES"</f>
        <v>SENSORES</v>
      </c>
      <c r="P19" t="str">
        <f t="shared" si="8"/>
        <v>0</v>
      </c>
      <c r="Q19" t="str">
        <f t="shared" si="8"/>
        <v>0</v>
      </c>
      <c r="R19" t="str">
        <f t="shared" si="9"/>
        <v>0,00</v>
      </c>
      <c r="S19" t="str">
        <f t="shared" si="9"/>
        <v>0,00</v>
      </c>
      <c r="T19" t="str">
        <f t="shared" si="10"/>
        <v xml:space="preserve"> </v>
      </c>
      <c r="U19" t="str">
        <f t="shared" si="10"/>
        <v xml:space="preserve"> </v>
      </c>
      <c r="V19" t="str">
        <f>"7,000"</f>
        <v>7,000</v>
      </c>
      <c r="W19" t="str">
        <f t="shared" si="11"/>
        <v>Lista 4</v>
      </c>
      <c r="X19" t="str">
        <f t="shared" si="12"/>
        <v>Lista 5</v>
      </c>
      <c r="Y19" t="str">
        <f t="shared" si="13"/>
        <v>Oferta Gral.</v>
      </c>
      <c r="Z19" t="str">
        <f t="shared" si="14"/>
        <v>Rubro</v>
      </c>
      <c r="AA19" t="str">
        <f t="shared" si="15"/>
        <v>Cantidad por Bulto</v>
      </c>
      <c r="AB19" t="str">
        <f t="shared" si="16"/>
        <v>INNER</v>
      </c>
      <c r="AC19" t="str">
        <f t="shared" si="17"/>
        <v>Stock en Bultos</v>
      </c>
      <c r="AD19" t="str">
        <f t="shared" si="18"/>
        <v>SubDepósito</v>
      </c>
      <c r="AE19" t="str">
        <f t="shared" si="19"/>
        <v>Marca</v>
      </c>
      <c r="AF19" t="str">
        <f t="shared" si="20"/>
        <v>Super Rubro</v>
      </c>
      <c r="AG19" t="str">
        <f t="shared" si="21"/>
        <v>ComercioExterior</v>
      </c>
      <c r="AH19" t="str">
        <f t="shared" si="22"/>
        <v>PrecioFOB</v>
      </c>
      <c r="AI19" t="str">
        <f t="shared" si="23"/>
        <v>Monto II</v>
      </c>
      <c r="AJ19" t="str">
        <f t="shared" si="24"/>
        <v>Porcentaje II</v>
      </c>
      <c r="AK19" t="str">
        <f t="shared" si="25"/>
        <v>Foto</v>
      </c>
      <c r="AL19" t="str">
        <f>" "</f>
        <v xml:space="preserve"> </v>
      </c>
      <c r="AM19" t="str">
        <f>"-"</f>
        <v>-</v>
      </c>
    </row>
    <row r="20" spans="1:39" x14ac:dyDescent="0.25">
      <c r="A20" t="str">
        <f>"FI10055"</f>
        <v>FI10055</v>
      </c>
      <c r="B20" t="str">
        <f>"ACTUADOR DE RALENTI FIESTA/ECOSPORT/KA 2S6A9F715BA / 2S6A9F715BB"</f>
        <v>ACTUADOR DE RALENTI FIESTA/ECOSPORT/KA 2S6A9F715BA / 2S6A9F715BB</v>
      </c>
      <c r="C20" t="str">
        <f>"$ 36229,28"</f>
        <v>$ 36229,28</v>
      </c>
      <c r="D20" t="str">
        <f>"$ 36229,28"</f>
        <v>$ 36229,28</v>
      </c>
      <c r="E20" t="str">
        <f>"$ 36229,28"</f>
        <v>$ 36229,28</v>
      </c>
      <c r="F20" t="str">
        <f>"$ 36229,28"</f>
        <v>$ 36229,28</v>
      </c>
      <c r="G20" t="str">
        <f>"$ 36229,28"</f>
        <v>$ 36229,28</v>
      </c>
      <c r="H20" t="str">
        <f t="shared" si="1"/>
        <v>$ 0,00</v>
      </c>
      <c r="I20" t="str">
        <f>"ACTUADOR RALENTI"</f>
        <v>ACTUADOR RALENTI</v>
      </c>
      <c r="J20" t="str">
        <f t="shared" si="3"/>
        <v>1</v>
      </c>
      <c r="K20" t="str">
        <f t="shared" si="4"/>
        <v>0</v>
      </c>
      <c r="L20" t="str">
        <f>"4,000"</f>
        <v>4,000</v>
      </c>
      <c r="M20" t="str">
        <f t="shared" si="5"/>
        <v xml:space="preserve"> </v>
      </c>
      <c r="N20" t="str">
        <f t="shared" si="29"/>
        <v>FISPA</v>
      </c>
      <c r="O20" t="str">
        <f>"SENSORES"</f>
        <v>SENSORES</v>
      </c>
      <c r="P20" t="str">
        <f t="shared" si="8"/>
        <v>0</v>
      </c>
      <c r="Q20" t="str">
        <f t="shared" si="8"/>
        <v>0</v>
      </c>
      <c r="R20" t="str">
        <f t="shared" si="9"/>
        <v>0,00</v>
      </c>
      <c r="S20" t="str">
        <f t="shared" si="9"/>
        <v>0,00</v>
      </c>
      <c r="T20" t="str">
        <f t="shared" si="10"/>
        <v xml:space="preserve"> </v>
      </c>
      <c r="U20" t="str">
        <f t="shared" si="10"/>
        <v xml:space="preserve"> </v>
      </c>
      <c r="V20" t="str">
        <f>"4,000"</f>
        <v>4,000</v>
      </c>
      <c r="W20" t="str">
        <f t="shared" si="11"/>
        <v>Lista 4</v>
      </c>
      <c r="X20" t="str">
        <f t="shared" si="12"/>
        <v>Lista 5</v>
      </c>
      <c r="Y20" t="str">
        <f t="shared" si="13"/>
        <v>Oferta Gral.</v>
      </c>
      <c r="Z20" t="str">
        <f t="shared" si="14"/>
        <v>Rubro</v>
      </c>
      <c r="AA20" t="str">
        <f t="shared" si="15"/>
        <v>Cantidad por Bulto</v>
      </c>
      <c r="AB20" t="str">
        <f t="shared" si="16"/>
        <v>INNER</v>
      </c>
      <c r="AC20" t="str">
        <f t="shared" si="17"/>
        <v>Stock en Bultos</v>
      </c>
      <c r="AD20" t="str">
        <f t="shared" si="18"/>
        <v>SubDepósito</v>
      </c>
      <c r="AE20" t="str">
        <f t="shared" si="19"/>
        <v>Marca</v>
      </c>
      <c r="AF20" t="str">
        <f t="shared" si="20"/>
        <v>Super Rubro</v>
      </c>
      <c r="AG20" t="str">
        <f t="shared" si="21"/>
        <v>ComercioExterior</v>
      </c>
      <c r="AH20" t="str">
        <f t="shared" si="22"/>
        <v>PrecioFOB</v>
      </c>
      <c r="AI20" t="str">
        <f t="shared" si="23"/>
        <v>Monto II</v>
      </c>
      <c r="AJ20" t="str">
        <f t="shared" si="24"/>
        <v>Porcentaje II</v>
      </c>
      <c r="AK20" t="str">
        <f t="shared" si="25"/>
        <v>Foto</v>
      </c>
      <c r="AL20" t="str">
        <f>" "</f>
        <v xml:space="preserve"> </v>
      </c>
      <c r="AM20" t="str">
        <f>"-"</f>
        <v>-</v>
      </c>
    </row>
    <row r="21" spans="1:39" x14ac:dyDescent="0.25">
      <c r="A21" t="str">
        <f>"FI10046"</f>
        <v>FI10046</v>
      </c>
      <c r="B21" t="str">
        <f>"ACTUADOR DE RALENTI FIESTA/FOCUS/ESCORT REF ORIG XS4U-9F715DA"</f>
        <v>ACTUADOR DE RALENTI FIESTA/FOCUS/ESCORT REF ORIG XS4U-9F715DA</v>
      </c>
      <c r="C21" t="str">
        <f>"$ 75356,22"</f>
        <v>$ 75356,22</v>
      </c>
      <c r="D21" t="str">
        <f>"$ 75356,22"</f>
        <v>$ 75356,22</v>
      </c>
      <c r="E21" t="str">
        <f>"$ 75356,22"</f>
        <v>$ 75356,22</v>
      </c>
      <c r="F21" t="str">
        <f>"$ 75356,22"</f>
        <v>$ 75356,22</v>
      </c>
      <c r="G21" t="str">
        <f>"$ 75356,22"</f>
        <v>$ 75356,22</v>
      </c>
      <c r="H21" t="str">
        <f t="shared" si="1"/>
        <v>$ 0,00</v>
      </c>
      <c r="I21" t="str">
        <f>"ACTUADOR RALENTI"</f>
        <v>ACTUADOR RALENTI</v>
      </c>
      <c r="J21" t="str">
        <f t="shared" si="3"/>
        <v>1</v>
      </c>
      <c r="K21" t="str">
        <f t="shared" si="4"/>
        <v>0</v>
      </c>
      <c r="L21" t="str">
        <f>"5,000"</f>
        <v>5,000</v>
      </c>
      <c r="M21" t="str">
        <f t="shared" si="5"/>
        <v xml:space="preserve"> </v>
      </c>
      <c r="N21" t="str">
        <f t="shared" si="29"/>
        <v>FISPA</v>
      </c>
      <c r="O21" t="str">
        <f>"SENSORES"</f>
        <v>SENSORES</v>
      </c>
      <c r="P21" t="str">
        <f t="shared" si="8"/>
        <v>0</v>
      </c>
      <c r="Q21" t="str">
        <f t="shared" si="8"/>
        <v>0</v>
      </c>
      <c r="R21" t="str">
        <f t="shared" si="9"/>
        <v>0,00</v>
      </c>
      <c r="S21" t="str">
        <f t="shared" si="9"/>
        <v>0,00</v>
      </c>
      <c r="T21" t="str">
        <f t="shared" si="10"/>
        <v xml:space="preserve"> </v>
      </c>
      <c r="U21" t="str">
        <f t="shared" si="10"/>
        <v xml:space="preserve"> </v>
      </c>
      <c r="V21" t="str">
        <f>"5,000"</f>
        <v>5,000</v>
      </c>
      <c r="W21" t="str">
        <f t="shared" si="11"/>
        <v>Lista 4</v>
      </c>
      <c r="X21" t="str">
        <f t="shared" si="12"/>
        <v>Lista 5</v>
      </c>
      <c r="Y21" t="str">
        <f t="shared" si="13"/>
        <v>Oferta Gral.</v>
      </c>
      <c r="Z21" t="str">
        <f t="shared" si="14"/>
        <v>Rubro</v>
      </c>
      <c r="AA21" t="str">
        <f t="shared" si="15"/>
        <v>Cantidad por Bulto</v>
      </c>
      <c r="AB21" t="str">
        <f t="shared" si="16"/>
        <v>INNER</v>
      </c>
      <c r="AC21" t="str">
        <f t="shared" si="17"/>
        <v>Stock en Bultos</v>
      </c>
      <c r="AD21" t="str">
        <f t="shared" si="18"/>
        <v>SubDepósito</v>
      </c>
      <c r="AE21" t="str">
        <f t="shared" si="19"/>
        <v>Marca</v>
      </c>
      <c r="AF21" t="str">
        <f t="shared" si="20"/>
        <v>Super Rubro</v>
      </c>
      <c r="AG21" t="str">
        <f t="shared" si="21"/>
        <v>ComercioExterior</v>
      </c>
      <c r="AH21" t="str">
        <f t="shared" si="22"/>
        <v>PrecioFOB</v>
      </c>
      <c r="AI21" t="str">
        <f t="shared" si="23"/>
        <v>Monto II</v>
      </c>
      <c r="AJ21" t="str">
        <f t="shared" si="24"/>
        <v>Porcentaje II</v>
      </c>
      <c r="AK21" t="str">
        <f t="shared" si="25"/>
        <v>Foto</v>
      </c>
      <c r="AL21" t="str">
        <f>" "</f>
        <v xml:space="preserve"> </v>
      </c>
      <c r="AM21" t="str">
        <f>"-"</f>
        <v>-</v>
      </c>
    </row>
    <row r="22" spans="1:39" x14ac:dyDescent="0.25">
      <c r="A22" t="str">
        <f>"FI23155"</f>
        <v>FI23155</v>
      </c>
      <c r="B22" t="str">
        <f>"AFORADOR RENAULT KANGOO 1.6 16V 170111364R"</f>
        <v>AFORADOR RENAULT KANGOO 1.6 16V 170111364R</v>
      </c>
      <c r="C22" t="str">
        <f>"$ 179371,69"</f>
        <v>$ 179371,69</v>
      </c>
      <c r="D22" t="str">
        <f>"$ 179371,69"</f>
        <v>$ 179371,69</v>
      </c>
      <c r="E22" t="str">
        <f>"$ 179371,69"</f>
        <v>$ 179371,69</v>
      </c>
      <c r="F22" t="str">
        <f>"$ 179371,69"</f>
        <v>$ 179371,69</v>
      </c>
      <c r="G22" t="str">
        <f>"$ 179371,69"</f>
        <v>$ 179371,69</v>
      </c>
      <c r="H22" t="str">
        <f t="shared" si="1"/>
        <v>$ 0,00</v>
      </c>
      <c r="I22" t="str">
        <f>"SENSOR NIVEL COMBUSTIBLE "</f>
        <v xml:space="preserve">SENSOR NIVEL COMBUSTIBLE </v>
      </c>
      <c r="J22" t="str">
        <f t="shared" si="3"/>
        <v>1</v>
      </c>
      <c r="K22" t="str">
        <f t="shared" si="4"/>
        <v>0</v>
      </c>
      <c r="L22" t="str">
        <f>"2,000"</f>
        <v>2,000</v>
      </c>
      <c r="M22" t="str">
        <f t="shared" si="5"/>
        <v xml:space="preserve"> </v>
      </c>
      <c r="N22" t="str">
        <f t="shared" si="29"/>
        <v>FISPA</v>
      </c>
      <c r="O22" t="str">
        <f>"BOMBAS"</f>
        <v>BOMBAS</v>
      </c>
      <c r="P22" t="str">
        <f t="shared" si="8"/>
        <v>0</v>
      </c>
      <c r="Q22" t="str">
        <f t="shared" si="8"/>
        <v>0</v>
      </c>
      <c r="R22" t="str">
        <f t="shared" si="9"/>
        <v>0,00</v>
      </c>
      <c r="S22" t="str">
        <f t="shared" si="9"/>
        <v>0,00</v>
      </c>
      <c r="T22" t="str">
        <f t="shared" si="10"/>
        <v xml:space="preserve"> </v>
      </c>
      <c r="U22" t="str">
        <f t="shared" si="10"/>
        <v xml:space="preserve"> </v>
      </c>
      <c r="V22" t="str">
        <f>"2,000"</f>
        <v>2,000</v>
      </c>
      <c r="W22" t="str">
        <f t="shared" si="11"/>
        <v>Lista 4</v>
      </c>
      <c r="X22" t="str">
        <f t="shared" si="12"/>
        <v>Lista 5</v>
      </c>
      <c r="Y22" t="str">
        <f t="shared" si="13"/>
        <v>Oferta Gral.</v>
      </c>
      <c r="Z22" t="str">
        <f t="shared" si="14"/>
        <v>Rubro</v>
      </c>
      <c r="AA22" t="str">
        <f t="shared" si="15"/>
        <v>Cantidad por Bulto</v>
      </c>
      <c r="AB22" t="str">
        <f t="shared" si="16"/>
        <v>INNER</v>
      </c>
      <c r="AC22" t="str">
        <f t="shared" si="17"/>
        <v>Stock en Bultos</v>
      </c>
      <c r="AD22" t="str">
        <f t="shared" si="18"/>
        <v>SubDepósito</v>
      </c>
      <c r="AE22" t="str">
        <f t="shared" si="19"/>
        <v>Marca</v>
      </c>
      <c r="AF22" t="str">
        <f t="shared" si="20"/>
        <v>Super Rubro</v>
      </c>
      <c r="AG22" t="str">
        <f t="shared" si="21"/>
        <v>ComercioExterior</v>
      </c>
      <c r="AH22" t="str">
        <f t="shared" si="22"/>
        <v>PrecioFOB</v>
      </c>
      <c r="AI22" t="str">
        <f t="shared" si="23"/>
        <v>Monto II</v>
      </c>
      <c r="AJ22" t="str">
        <f t="shared" si="24"/>
        <v>Porcentaje II</v>
      </c>
      <c r="AK22" t="str">
        <f t="shared" si="25"/>
        <v>Foto</v>
      </c>
      <c r="AL22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2" t="str">
        <f>" "</f>
        <v xml:space="preserve"> </v>
      </c>
    </row>
    <row r="23" spans="1:39" x14ac:dyDescent="0.25">
      <c r="A23" t="str">
        <f>"FI23157"</f>
        <v>FI23157</v>
      </c>
      <c r="B23" t="str">
        <f>"AFORADOR RENAULT LOGAN SANDERO 2007-14 172025361R"</f>
        <v>AFORADOR RENAULT LOGAN SANDERO 2007-14 172025361R</v>
      </c>
      <c r="C23" t="str">
        <f>"$ 170136,77"</f>
        <v>$ 170136,77</v>
      </c>
      <c r="D23" t="str">
        <f>"$ 170136,77"</f>
        <v>$ 170136,77</v>
      </c>
      <c r="E23" t="str">
        <f>"$ 170136,77"</f>
        <v>$ 170136,77</v>
      </c>
      <c r="F23" t="str">
        <f>"$ 170136,77"</f>
        <v>$ 170136,77</v>
      </c>
      <c r="G23" t="str">
        <f>"$ 170136,77"</f>
        <v>$ 170136,77</v>
      </c>
      <c r="H23" t="str">
        <f t="shared" si="1"/>
        <v>$ 0,00</v>
      </c>
      <c r="I23" t="str">
        <f>"SENSOR NIVEL COMBUSTIBLE "</f>
        <v xml:space="preserve">SENSOR NIVEL COMBUSTIBLE </v>
      </c>
      <c r="J23" t="str">
        <f t="shared" si="3"/>
        <v>1</v>
      </c>
      <c r="K23" t="str">
        <f t="shared" si="4"/>
        <v>0</v>
      </c>
      <c r="L23" t="str">
        <f>"2,000"</f>
        <v>2,000</v>
      </c>
      <c r="M23" t="str">
        <f t="shared" si="5"/>
        <v xml:space="preserve"> </v>
      </c>
      <c r="N23" t="str">
        <f t="shared" si="29"/>
        <v>FISPA</v>
      </c>
      <c r="O23" t="str">
        <f>"BOMBAS"</f>
        <v>BOMBAS</v>
      </c>
      <c r="P23" t="str">
        <f t="shared" ref="P23:Q42" si="30">"0"</f>
        <v>0</v>
      </c>
      <c r="Q23" t="str">
        <f t="shared" si="30"/>
        <v>0</v>
      </c>
      <c r="R23" t="str">
        <f t="shared" ref="R23:S42" si="31">"0,00"</f>
        <v>0,00</v>
      </c>
      <c r="S23" t="str">
        <f t="shared" si="31"/>
        <v>0,00</v>
      </c>
      <c r="T23" t="str">
        <f t="shared" ref="T23:U42" si="32">" "</f>
        <v xml:space="preserve"> </v>
      </c>
      <c r="U23" t="str">
        <f t="shared" si="32"/>
        <v xml:space="preserve"> </v>
      </c>
      <c r="V23" t="str">
        <f>"2,000"</f>
        <v>2,000</v>
      </c>
      <c r="W23" t="str">
        <f t="shared" si="11"/>
        <v>Lista 4</v>
      </c>
      <c r="X23" t="str">
        <f t="shared" si="12"/>
        <v>Lista 5</v>
      </c>
      <c r="Y23" t="str">
        <f t="shared" si="13"/>
        <v>Oferta Gral.</v>
      </c>
      <c r="Z23" t="str">
        <f t="shared" si="14"/>
        <v>Rubro</v>
      </c>
      <c r="AA23" t="str">
        <f t="shared" si="15"/>
        <v>Cantidad por Bulto</v>
      </c>
      <c r="AB23" t="str">
        <f t="shared" si="16"/>
        <v>INNER</v>
      </c>
      <c r="AC23" t="str">
        <f t="shared" si="17"/>
        <v>Stock en Bultos</v>
      </c>
      <c r="AD23" t="str">
        <f t="shared" si="18"/>
        <v>SubDepósito</v>
      </c>
      <c r="AE23" t="str">
        <f t="shared" si="19"/>
        <v>Marca</v>
      </c>
      <c r="AF23" t="str">
        <f t="shared" si="20"/>
        <v>Super Rubro</v>
      </c>
      <c r="AG23" t="str">
        <f t="shared" si="21"/>
        <v>ComercioExterior</v>
      </c>
      <c r="AH23" t="str">
        <f t="shared" si="22"/>
        <v>PrecioFOB</v>
      </c>
      <c r="AI23" t="str">
        <f t="shared" si="23"/>
        <v>Monto II</v>
      </c>
      <c r="AJ23" t="str">
        <f t="shared" si="24"/>
        <v>Porcentaje II</v>
      </c>
      <c r="AK23" t="str">
        <f t="shared" si="25"/>
        <v>Foto</v>
      </c>
      <c r="AL2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" t="str">
        <f>" "</f>
        <v xml:space="preserve"> </v>
      </c>
    </row>
    <row r="24" spans="1:39" x14ac:dyDescent="0.25">
      <c r="A24" t="str">
        <f>"FI23113"</f>
        <v>FI23113</v>
      </c>
      <c r="B24" t="str">
        <f>"AFORADOR RENAULT SANDERO DUSTER LOGAN 8200307403 172024388R"</f>
        <v>AFORADOR RENAULT SANDERO DUSTER LOGAN 8200307403 172024388R</v>
      </c>
      <c r="C24" t="str">
        <f>"$ 165854,97"</f>
        <v>$ 165854,97</v>
      </c>
      <c r="D24" t="str">
        <f>"$ 165854,97"</f>
        <v>$ 165854,97</v>
      </c>
      <c r="E24" t="str">
        <f>"$ 165854,97"</f>
        <v>$ 165854,97</v>
      </c>
      <c r="F24" t="str">
        <f>"$ 165854,97"</f>
        <v>$ 165854,97</v>
      </c>
      <c r="G24" t="str">
        <f>"$ 165854,97"</f>
        <v>$ 165854,97</v>
      </c>
      <c r="H24" t="str">
        <f t="shared" si="1"/>
        <v>$ 0,00</v>
      </c>
      <c r="I24" t="str">
        <f>"SENSOR NIVEL COMBUSTIBLE "</f>
        <v xml:space="preserve">SENSOR NIVEL COMBUSTIBLE </v>
      </c>
      <c r="J24" t="str">
        <f t="shared" si="3"/>
        <v>1</v>
      </c>
      <c r="K24" t="str">
        <f t="shared" si="4"/>
        <v>0</v>
      </c>
      <c r="L24" t="str">
        <f>"2,000"</f>
        <v>2,000</v>
      </c>
      <c r="M24" t="str">
        <f t="shared" si="5"/>
        <v xml:space="preserve"> </v>
      </c>
      <c r="N24" t="str">
        <f t="shared" si="29"/>
        <v>FISPA</v>
      </c>
      <c r="O24" t="str">
        <f>"BOMBAS"</f>
        <v>BOMBAS</v>
      </c>
      <c r="P24" t="str">
        <f t="shared" si="30"/>
        <v>0</v>
      </c>
      <c r="Q24" t="str">
        <f t="shared" si="30"/>
        <v>0</v>
      </c>
      <c r="R24" t="str">
        <f t="shared" si="31"/>
        <v>0,00</v>
      </c>
      <c r="S24" t="str">
        <f t="shared" si="31"/>
        <v>0,00</v>
      </c>
      <c r="T24" t="str">
        <f t="shared" si="32"/>
        <v xml:space="preserve"> </v>
      </c>
      <c r="U24" t="str">
        <f t="shared" si="32"/>
        <v xml:space="preserve"> </v>
      </c>
      <c r="V24" t="str">
        <f>"2,000"</f>
        <v>2,000</v>
      </c>
      <c r="W24" t="str">
        <f t="shared" si="11"/>
        <v>Lista 4</v>
      </c>
      <c r="X24" t="str">
        <f t="shared" si="12"/>
        <v>Lista 5</v>
      </c>
      <c r="Y24" t="str">
        <f t="shared" si="13"/>
        <v>Oferta Gral.</v>
      </c>
      <c r="Z24" t="str">
        <f t="shared" si="14"/>
        <v>Rubro</v>
      </c>
      <c r="AA24" t="str">
        <f t="shared" si="15"/>
        <v>Cantidad por Bulto</v>
      </c>
      <c r="AB24" t="str">
        <f t="shared" si="16"/>
        <v>INNER</v>
      </c>
      <c r="AC24" t="str">
        <f t="shared" si="17"/>
        <v>Stock en Bultos</v>
      </c>
      <c r="AD24" t="str">
        <f t="shared" si="18"/>
        <v>SubDepósito</v>
      </c>
      <c r="AE24" t="str">
        <f t="shared" si="19"/>
        <v>Marca</v>
      </c>
      <c r="AF24" t="str">
        <f t="shared" si="20"/>
        <v>Super Rubro</v>
      </c>
      <c r="AG24" t="str">
        <f t="shared" si="21"/>
        <v>ComercioExterior</v>
      </c>
      <c r="AH24" t="str">
        <f t="shared" si="22"/>
        <v>PrecioFOB</v>
      </c>
      <c r="AI24" t="str">
        <f t="shared" si="23"/>
        <v>Monto II</v>
      </c>
      <c r="AJ24" t="str">
        <f t="shared" si="24"/>
        <v>Porcentaje II</v>
      </c>
      <c r="AK24" t="str">
        <f t="shared" si="25"/>
        <v>Foto</v>
      </c>
      <c r="AL2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" t="str">
        <f>" "</f>
        <v xml:space="preserve"> </v>
      </c>
    </row>
    <row r="25" spans="1:39" x14ac:dyDescent="0.25">
      <c r="A25" t="str">
        <f>"BARCURV120EPI"</f>
        <v>BARCURV120EPI</v>
      </c>
      <c r="B25" t="str">
        <f>"BARRA CURVA DE 40 LED 120W 63 CM LARGO"</f>
        <v>BARRA CURVA DE 40 LED 120W 63 CM LARGO</v>
      </c>
      <c r="C25" t="str">
        <f>"$ 65015,92"</f>
        <v>$ 65015,92</v>
      </c>
      <c r="D25" t="str">
        <f>"$ 65015,92"</f>
        <v>$ 65015,92</v>
      </c>
      <c r="E25" t="str">
        <f>"$ 65015,92"</f>
        <v>$ 65015,92</v>
      </c>
      <c r="F25" t="str">
        <f>"$ 65015,92"</f>
        <v>$ 65015,92</v>
      </c>
      <c r="G25" t="str">
        <f>"$ 65015,92"</f>
        <v>$ 65015,92</v>
      </c>
      <c r="H25" t="str">
        <f t="shared" si="1"/>
        <v>$ 0,00</v>
      </c>
      <c r="I25" t="str">
        <f t="shared" ref="I25:I38" si="33">"BARRAS DE LED"</f>
        <v>BARRAS DE LED</v>
      </c>
      <c r="J25" t="str">
        <f t="shared" si="3"/>
        <v>1</v>
      </c>
      <c r="K25" t="str">
        <f t="shared" si="4"/>
        <v>0</v>
      </c>
      <c r="L25" t="str">
        <f>"0,000"</f>
        <v>0,000</v>
      </c>
      <c r="M25" t="str">
        <f t="shared" si="5"/>
        <v xml:space="preserve"> </v>
      </c>
      <c r="N25" t="str">
        <f t="shared" ref="N25:N38" si="34">"LUX LED"</f>
        <v>LUX LED</v>
      </c>
      <c r="O25" t="str">
        <f t="shared" ref="O25:O38" si="35">"LAMPARAS"</f>
        <v>LAMPARAS</v>
      </c>
      <c r="P25" t="str">
        <f t="shared" si="30"/>
        <v>0</v>
      </c>
      <c r="Q25" t="str">
        <f t="shared" si="30"/>
        <v>0</v>
      </c>
      <c r="R25" t="str">
        <f t="shared" si="31"/>
        <v>0,00</v>
      </c>
      <c r="S25" t="str">
        <f t="shared" si="31"/>
        <v>0,00</v>
      </c>
      <c r="T25" t="str">
        <f t="shared" si="32"/>
        <v xml:space="preserve"> </v>
      </c>
      <c r="U25" t="str">
        <f t="shared" si="32"/>
        <v xml:space="preserve"> </v>
      </c>
      <c r="V25" t="str">
        <f>"0,000"</f>
        <v>0,000</v>
      </c>
      <c r="W25" t="str">
        <f t="shared" si="11"/>
        <v>Lista 4</v>
      </c>
      <c r="X25" t="str">
        <f t="shared" si="12"/>
        <v>Lista 5</v>
      </c>
      <c r="Y25" t="str">
        <f t="shared" si="13"/>
        <v>Oferta Gral.</v>
      </c>
      <c r="Z25" t="str">
        <f t="shared" si="14"/>
        <v>Rubro</v>
      </c>
      <c r="AA25" t="str">
        <f t="shared" si="15"/>
        <v>Cantidad por Bulto</v>
      </c>
      <c r="AB25" t="str">
        <f t="shared" si="16"/>
        <v>INNER</v>
      </c>
      <c r="AC25" t="str">
        <f t="shared" si="17"/>
        <v>Stock en Bultos</v>
      </c>
      <c r="AD25" t="str">
        <f t="shared" si="18"/>
        <v>SubDepósito</v>
      </c>
      <c r="AE25" t="str">
        <f t="shared" si="19"/>
        <v>Marca</v>
      </c>
      <c r="AF25" t="str">
        <f t="shared" si="20"/>
        <v>Super Rubro</v>
      </c>
      <c r="AG25" t="str">
        <f t="shared" si="21"/>
        <v>ComercioExterior</v>
      </c>
      <c r="AH25" t="str">
        <f t="shared" si="22"/>
        <v>PrecioFOB</v>
      </c>
      <c r="AI25" t="str">
        <f t="shared" si="23"/>
        <v>Monto II</v>
      </c>
      <c r="AJ25" t="str">
        <f t="shared" si="24"/>
        <v>Porcentaje II</v>
      </c>
      <c r="AK25" t="str">
        <f t="shared" si="25"/>
        <v>Foto</v>
      </c>
      <c r="AL25" t="str">
        <f>"{\rtf1\ansi\ansicpg1252\deff0\deflang11274{\fonttbl{\f0\fnil\fcharset0 MS Sans Serif}} \viewkind4\uc1\pard\f0\fs16 BARRA CURVA DE 40 LED 120W 63 CM LARGO\par } "</f>
        <v xml:space="preserve">{\rtf1\ansi\ansicpg1252\deff0\deflang11274{\fonttbl{\f0\fnil\fcharset0 MS Sans Serif}} \viewkind4\uc1\pard\f0\fs16 BARRA CURVA DE 40 LED 120W 63 CM LARGO\par } </v>
      </c>
      <c r="AM25" t="str">
        <f>" "</f>
        <v xml:space="preserve"> </v>
      </c>
    </row>
    <row r="26" spans="1:39" x14ac:dyDescent="0.25">
      <c r="A26" t="str">
        <f>"BARCURV180EPI"</f>
        <v>BARCURV180EPI</v>
      </c>
      <c r="B26" t="str">
        <f>"BARRA CURVA DE 60 LED 180W 89 CM LARGO"</f>
        <v>BARRA CURVA DE 60 LED 180W 89 CM LARGO</v>
      </c>
      <c r="C26" t="str">
        <f>"$ 99350,41"</f>
        <v>$ 99350,41</v>
      </c>
      <c r="D26" t="str">
        <f>"$ 99350,41"</f>
        <v>$ 99350,41</v>
      </c>
      <c r="E26" t="str">
        <f>"$ 99350,41"</f>
        <v>$ 99350,41</v>
      </c>
      <c r="F26" t="str">
        <f>"$ 99350,41"</f>
        <v>$ 99350,41</v>
      </c>
      <c r="G26" t="str">
        <f>"$ 99350,41"</f>
        <v>$ 99350,41</v>
      </c>
      <c r="H26" t="str">
        <f t="shared" si="1"/>
        <v>$ 0,00</v>
      </c>
      <c r="I26" t="str">
        <f t="shared" si="33"/>
        <v>BARRAS DE LED</v>
      </c>
      <c r="J26" t="str">
        <f t="shared" si="3"/>
        <v>1</v>
      </c>
      <c r="K26" t="str">
        <f t="shared" si="4"/>
        <v>0</v>
      </c>
      <c r="L26" t="str">
        <f>"0,000"</f>
        <v>0,000</v>
      </c>
      <c r="M26" t="str">
        <f t="shared" si="5"/>
        <v xml:space="preserve"> </v>
      </c>
      <c r="N26" t="str">
        <f t="shared" si="34"/>
        <v>LUX LED</v>
      </c>
      <c r="O26" t="str">
        <f t="shared" si="35"/>
        <v>LAMPARAS</v>
      </c>
      <c r="P26" t="str">
        <f t="shared" si="30"/>
        <v>0</v>
      </c>
      <c r="Q26" t="str">
        <f t="shared" si="30"/>
        <v>0</v>
      </c>
      <c r="R26" t="str">
        <f t="shared" si="31"/>
        <v>0,00</v>
      </c>
      <c r="S26" t="str">
        <f t="shared" si="31"/>
        <v>0,00</v>
      </c>
      <c r="T26" t="str">
        <f t="shared" si="32"/>
        <v xml:space="preserve"> </v>
      </c>
      <c r="U26" t="str">
        <f t="shared" si="32"/>
        <v xml:space="preserve"> </v>
      </c>
      <c r="V26" t="str">
        <f>"0,000"</f>
        <v>0,000</v>
      </c>
      <c r="W26" t="str">
        <f t="shared" si="11"/>
        <v>Lista 4</v>
      </c>
      <c r="X26" t="str">
        <f t="shared" si="12"/>
        <v>Lista 5</v>
      </c>
      <c r="Y26" t="str">
        <f t="shared" si="13"/>
        <v>Oferta Gral.</v>
      </c>
      <c r="Z26" t="str">
        <f t="shared" si="14"/>
        <v>Rubro</v>
      </c>
      <c r="AA26" t="str">
        <f t="shared" si="15"/>
        <v>Cantidad por Bulto</v>
      </c>
      <c r="AB26" t="str">
        <f t="shared" si="16"/>
        <v>INNER</v>
      </c>
      <c r="AC26" t="str">
        <f t="shared" si="17"/>
        <v>Stock en Bultos</v>
      </c>
      <c r="AD26" t="str">
        <f t="shared" si="18"/>
        <v>SubDepósito</v>
      </c>
      <c r="AE26" t="str">
        <f t="shared" si="19"/>
        <v>Marca</v>
      </c>
      <c r="AF26" t="str">
        <f t="shared" si="20"/>
        <v>Super Rubro</v>
      </c>
      <c r="AG26" t="str">
        <f t="shared" si="21"/>
        <v>ComercioExterior</v>
      </c>
      <c r="AH26" t="str">
        <f t="shared" si="22"/>
        <v>PrecioFOB</v>
      </c>
      <c r="AI26" t="str">
        <f t="shared" si="23"/>
        <v>Monto II</v>
      </c>
      <c r="AJ26" t="str">
        <f t="shared" si="24"/>
        <v>Porcentaje II</v>
      </c>
      <c r="AK26" t="str">
        <f t="shared" si="25"/>
        <v>Foto</v>
      </c>
      <c r="AL26" t="str">
        <f>"{\rtf1\ansi\ansicpg1252\deff0\deflang11274{\fonttbl{\f0\fnil\fcharset0 MS Sans Serif}} \viewkind4\uc1\pard\f0\fs16 BARRA CURVA DE 60 LED 180W 89 CM LARGO\par } "</f>
        <v xml:space="preserve">{\rtf1\ansi\ansicpg1252\deff0\deflang11274{\fonttbl{\f0\fnil\fcharset0 MS Sans Serif}} \viewkind4\uc1\pard\f0\fs16 BARRA CURVA DE 60 LED 180W 89 CM LARGO\par } </v>
      </c>
      <c r="AM26" t="str">
        <f>" "</f>
        <v xml:space="preserve"> </v>
      </c>
    </row>
    <row r="27" spans="1:39" x14ac:dyDescent="0.25">
      <c r="A27" t="str">
        <f>"BAR36EPIMA"</f>
        <v>BAR36EPIMA</v>
      </c>
      <c r="B27" t="str">
        <f>"BARRA DE 12 LED 36W EPISTAR 16,6 CM LARGO"</f>
        <v>BARRA DE 12 LED 36W EPISTAR 16,6 CM LARGO</v>
      </c>
      <c r="C27" t="str">
        <f>"$ 25370,78"</f>
        <v>$ 25370,78</v>
      </c>
      <c r="D27" t="str">
        <f>"$ 25370,78"</f>
        <v>$ 25370,78</v>
      </c>
      <c r="E27" t="str">
        <f>"$ 25370,78"</f>
        <v>$ 25370,78</v>
      </c>
      <c r="F27" t="str">
        <f>"$ 25370,78"</f>
        <v>$ 25370,78</v>
      </c>
      <c r="G27" t="str">
        <f>"$ 25370,78"</f>
        <v>$ 25370,78</v>
      </c>
      <c r="H27" t="str">
        <f t="shared" si="1"/>
        <v>$ 0,00</v>
      </c>
      <c r="I27" t="str">
        <f t="shared" si="33"/>
        <v>BARRAS DE LED</v>
      </c>
      <c r="J27" t="str">
        <f t="shared" si="3"/>
        <v>1</v>
      </c>
      <c r="K27" t="str">
        <f t="shared" si="4"/>
        <v>0</v>
      </c>
      <c r="L27" t="str">
        <f>"3,000"</f>
        <v>3,000</v>
      </c>
      <c r="M27" t="str">
        <f t="shared" si="5"/>
        <v xml:space="preserve"> </v>
      </c>
      <c r="N27" t="str">
        <f t="shared" si="34"/>
        <v>LUX LED</v>
      </c>
      <c r="O27" t="str">
        <f t="shared" si="35"/>
        <v>LAMPARAS</v>
      </c>
      <c r="P27" t="str">
        <f t="shared" si="30"/>
        <v>0</v>
      </c>
      <c r="Q27" t="str">
        <f t="shared" si="30"/>
        <v>0</v>
      </c>
      <c r="R27" t="str">
        <f t="shared" si="31"/>
        <v>0,00</v>
      </c>
      <c r="S27" t="str">
        <f t="shared" si="31"/>
        <v>0,00</v>
      </c>
      <c r="T27" t="str">
        <f t="shared" si="32"/>
        <v xml:space="preserve"> </v>
      </c>
      <c r="U27" t="str">
        <f t="shared" si="32"/>
        <v xml:space="preserve"> </v>
      </c>
      <c r="V27" t="str">
        <f>"3,000"</f>
        <v>3,000</v>
      </c>
      <c r="W27" t="str">
        <f t="shared" si="11"/>
        <v>Lista 4</v>
      </c>
      <c r="X27" t="str">
        <f t="shared" si="12"/>
        <v>Lista 5</v>
      </c>
      <c r="Y27" t="str">
        <f t="shared" si="13"/>
        <v>Oferta Gral.</v>
      </c>
      <c r="Z27" t="str">
        <f t="shared" si="14"/>
        <v>Rubro</v>
      </c>
      <c r="AA27" t="str">
        <f t="shared" si="15"/>
        <v>Cantidad por Bulto</v>
      </c>
      <c r="AB27" t="str">
        <f t="shared" si="16"/>
        <v>INNER</v>
      </c>
      <c r="AC27" t="str">
        <f t="shared" si="17"/>
        <v>Stock en Bultos</v>
      </c>
      <c r="AD27" t="str">
        <f t="shared" si="18"/>
        <v>SubDepósito</v>
      </c>
      <c r="AE27" t="str">
        <f t="shared" si="19"/>
        <v>Marca</v>
      </c>
      <c r="AF27" t="str">
        <f t="shared" si="20"/>
        <v>Super Rubro</v>
      </c>
      <c r="AG27" t="str">
        <f t="shared" si="21"/>
        <v>ComercioExterior</v>
      </c>
      <c r="AH27" t="str">
        <f t="shared" si="22"/>
        <v>PrecioFOB</v>
      </c>
      <c r="AI27" t="str">
        <f t="shared" si="23"/>
        <v>Monto II</v>
      </c>
      <c r="AJ27" t="str">
        <f t="shared" si="24"/>
        <v>Porcentaje II</v>
      </c>
      <c r="AK27" t="str">
        <f t="shared" si="25"/>
        <v>Foto</v>
      </c>
      <c r="AL27" t="str">
        <f>"{\rtf1\ansi\ansicpg1252\deff0\deflang11274{\fonttbl{\f0\fnil\fcharset0 MS Sans Serif}} \viewkind4\uc1\pard\f0\fs16 BARRA DE 12 LED 36W EPISTAR 16,6 CM LARGO\par } "</f>
        <v xml:space="preserve">{\rtf1\ansi\ansicpg1252\deff0\deflang11274{\fonttbl{\f0\fnil\fcharset0 MS Sans Serif}} \viewkind4\uc1\pard\f0\fs16 BARRA DE 12 LED 36W EPISTAR 16,6 CM LARGO\par } </v>
      </c>
      <c r="AM27" t="str">
        <f>"-"</f>
        <v>-</v>
      </c>
    </row>
    <row r="28" spans="1:39" x14ac:dyDescent="0.25">
      <c r="A28" t="str">
        <f>"BAR54EPIMA"</f>
        <v>BAR54EPIMA</v>
      </c>
      <c r="B28" t="str">
        <f>"BARRA DE 18 LED 54W 23,4 CM LARGO "</f>
        <v xml:space="preserve">BARRA DE 18 LED 54W 23,4 CM LARGO </v>
      </c>
      <c r="C28" t="str">
        <f>"$ 44470,14"</f>
        <v>$ 44470,14</v>
      </c>
      <c r="D28" t="str">
        <f>"$ 44470,14"</f>
        <v>$ 44470,14</v>
      </c>
      <c r="E28" t="str">
        <f>"$ 44470,14"</f>
        <v>$ 44470,14</v>
      </c>
      <c r="F28" t="str">
        <f>"$ 44470,14"</f>
        <v>$ 44470,14</v>
      </c>
      <c r="G28" t="str">
        <f>"$ 44470,14"</f>
        <v>$ 44470,14</v>
      </c>
      <c r="H28" t="str">
        <f t="shared" si="1"/>
        <v>$ 0,00</v>
      </c>
      <c r="I28" t="str">
        <f t="shared" si="33"/>
        <v>BARRAS DE LED</v>
      </c>
      <c r="J28" t="str">
        <f t="shared" si="3"/>
        <v>1</v>
      </c>
      <c r="K28" t="str">
        <f t="shared" si="4"/>
        <v>0</v>
      </c>
      <c r="L28" t="str">
        <f>"0,000"</f>
        <v>0,000</v>
      </c>
      <c r="M28" t="str">
        <f t="shared" si="5"/>
        <v xml:space="preserve"> </v>
      </c>
      <c r="N28" t="str">
        <f t="shared" si="34"/>
        <v>LUX LED</v>
      </c>
      <c r="O28" t="str">
        <f t="shared" si="35"/>
        <v>LAMPARAS</v>
      </c>
      <c r="P28" t="str">
        <f t="shared" si="30"/>
        <v>0</v>
      </c>
      <c r="Q28" t="str">
        <f t="shared" si="30"/>
        <v>0</v>
      </c>
      <c r="R28" t="str">
        <f t="shared" si="31"/>
        <v>0,00</v>
      </c>
      <c r="S28" t="str">
        <f t="shared" si="31"/>
        <v>0,00</v>
      </c>
      <c r="T28" t="str">
        <f t="shared" si="32"/>
        <v xml:space="preserve"> </v>
      </c>
      <c r="U28" t="str">
        <f t="shared" si="32"/>
        <v xml:space="preserve"> </v>
      </c>
      <c r="V28" t="str">
        <f>"0,000"</f>
        <v>0,000</v>
      </c>
      <c r="W28" t="str">
        <f t="shared" si="11"/>
        <v>Lista 4</v>
      </c>
      <c r="X28" t="str">
        <f t="shared" si="12"/>
        <v>Lista 5</v>
      </c>
      <c r="Y28" t="str">
        <f t="shared" si="13"/>
        <v>Oferta Gral.</v>
      </c>
      <c r="Z28" t="str">
        <f t="shared" si="14"/>
        <v>Rubro</v>
      </c>
      <c r="AA28" t="str">
        <f t="shared" si="15"/>
        <v>Cantidad por Bulto</v>
      </c>
      <c r="AB28" t="str">
        <f t="shared" si="16"/>
        <v>INNER</v>
      </c>
      <c r="AC28" t="str">
        <f t="shared" si="17"/>
        <v>Stock en Bultos</v>
      </c>
      <c r="AD28" t="str">
        <f t="shared" si="18"/>
        <v>SubDepósito</v>
      </c>
      <c r="AE28" t="str">
        <f t="shared" si="19"/>
        <v>Marca</v>
      </c>
      <c r="AF28" t="str">
        <f t="shared" si="20"/>
        <v>Super Rubro</v>
      </c>
      <c r="AG28" t="str">
        <f t="shared" si="21"/>
        <v>ComercioExterior</v>
      </c>
      <c r="AH28" t="str">
        <f t="shared" si="22"/>
        <v>PrecioFOB</v>
      </c>
      <c r="AI28" t="str">
        <f t="shared" si="23"/>
        <v>Monto II</v>
      </c>
      <c r="AJ28" t="str">
        <f t="shared" si="24"/>
        <v>Porcentaje II</v>
      </c>
      <c r="AK28" t="str">
        <f t="shared" si="25"/>
        <v>Foto</v>
      </c>
      <c r="AL28" t="str">
        <f>"{\rtf1\ansi\ansicpg1252\deff0\deflang11274{\fonttbl{\f0\fnil\fcharset0 MS Sans Serif}} \viewkind4\uc1\pard\f0\fs16 BARRA DE 18 LED 54W 23,4 CM LARGO \par } "</f>
        <v xml:space="preserve">{\rtf1\ansi\ansicpg1252\deff0\deflang11274{\fonttbl{\f0\fnil\fcharset0 MS Sans Serif}} \viewkind4\uc1\pard\f0\fs16 BARRA DE 18 LED 54W 23,4 CM LARGO \par } </v>
      </c>
      <c r="AM28" t="str">
        <f>" "</f>
        <v xml:space="preserve"> </v>
      </c>
    </row>
    <row r="29" spans="1:39" x14ac:dyDescent="0.25">
      <c r="A29" t="str">
        <f>"BAR72EPIMA"</f>
        <v>BAR72EPIMA</v>
      </c>
      <c r="B29" t="str">
        <f>"BARRA DE 24 LED 72W EPISTAR 30,2 CM LARGO"</f>
        <v>BARRA DE 24 LED 72W EPISTAR 30,2 CM LARGO</v>
      </c>
      <c r="C29" t="str">
        <f>"$ 40553,12"</f>
        <v>$ 40553,12</v>
      </c>
      <c r="D29" t="str">
        <f>"$ 40553,12"</f>
        <v>$ 40553,12</v>
      </c>
      <c r="E29" t="str">
        <f>"$ 40553,12"</f>
        <v>$ 40553,12</v>
      </c>
      <c r="F29" t="str">
        <f>"$ 40553,12"</f>
        <v>$ 40553,12</v>
      </c>
      <c r="G29" t="str">
        <f>"$ 40553,12"</f>
        <v>$ 40553,12</v>
      </c>
      <c r="H29" t="str">
        <f t="shared" si="1"/>
        <v>$ 0,00</v>
      </c>
      <c r="I29" t="str">
        <f t="shared" si="33"/>
        <v>BARRAS DE LED</v>
      </c>
      <c r="J29" t="str">
        <f t="shared" si="3"/>
        <v>1</v>
      </c>
      <c r="K29" t="str">
        <f t="shared" si="4"/>
        <v>0</v>
      </c>
      <c r="L29" t="str">
        <f>"2,000"</f>
        <v>2,000</v>
      </c>
      <c r="M29" t="str">
        <f t="shared" si="5"/>
        <v xml:space="preserve"> </v>
      </c>
      <c r="N29" t="str">
        <f t="shared" si="34"/>
        <v>LUX LED</v>
      </c>
      <c r="O29" t="str">
        <f t="shared" si="35"/>
        <v>LAMPARAS</v>
      </c>
      <c r="P29" t="str">
        <f t="shared" si="30"/>
        <v>0</v>
      </c>
      <c r="Q29" t="str">
        <f t="shared" si="30"/>
        <v>0</v>
      </c>
      <c r="R29" t="str">
        <f t="shared" si="31"/>
        <v>0,00</v>
      </c>
      <c r="S29" t="str">
        <f t="shared" si="31"/>
        <v>0,00</v>
      </c>
      <c r="T29" t="str">
        <f t="shared" si="32"/>
        <v xml:space="preserve"> </v>
      </c>
      <c r="U29" t="str">
        <f t="shared" si="32"/>
        <v xml:space="preserve"> </v>
      </c>
      <c r="V29" t="str">
        <f>"2,000"</f>
        <v>2,000</v>
      </c>
      <c r="W29" t="str">
        <f t="shared" si="11"/>
        <v>Lista 4</v>
      </c>
      <c r="X29" t="str">
        <f t="shared" si="12"/>
        <v>Lista 5</v>
      </c>
      <c r="Y29" t="str">
        <f t="shared" si="13"/>
        <v>Oferta Gral.</v>
      </c>
      <c r="Z29" t="str">
        <f t="shared" si="14"/>
        <v>Rubro</v>
      </c>
      <c r="AA29" t="str">
        <f t="shared" si="15"/>
        <v>Cantidad por Bulto</v>
      </c>
      <c r="AB29" t="str">
        <f t="shared" si="16"/>
        <v>INNER</v>
      </c>
      <c r="AC29" t="str">
        <f t="shared" si="17"/>
        <v>Stock en Bultos</v>
      </c>
      <c r="AD29" t="str">
        <f t="shared" si="18"/>
        <v>SubDepósito</v>
      </c>
      <c r="AE29" t="str">
        <f t="shared" si="19"/>
        <v>Marca</v>
      </c>
      <c r="AF29" t="str">
        <f t="shared" si="20"/>
        <v>Super Rubro</v>
      </c>
      <c r="AG29" t="str">
        <f t="shared" si="21"/>
        <v>ComercioExterior</v>
      </c>
      <c r="AH29" t="str">
        <f t="shared" si="22"/>
        <v>PrecioFOB</v>
      </c>
      <c r="AI29" t="str">
        <f t="shared" si="23"/>
        <v>Monto II</v>
      </c>
      <c r="AJ29" t="str">
        <f t="shared" si="24"/>
        <v>Porcentaje II</v>
      </c>
      <c r="AK29" t="str">
        <f t="shared" si="25"/>
        <v>Foto</v>
      </c>
      <c r="AL29" t="str">
        <f>"{\rtf1\ansi\ansicpg1252\deff0\deflang11274{\fonttbl{\f0\fnil\fcharset0 MS Sans Serif}} \viewkind4\uc1\pard\f0\fs16 BARRA DE 24 LED 72W EPISTAR 30,2 CM LARGO\par } "</f>
        <v xml:space="preserve">{\rtf1\ansi\ansicpg1252\deff0\deflang11274{\fonttbl{\f0\fnil\fcharset0 MS Sans Serif}} \viewkind4\uc1\pard\f0\fs16 BARRA DE 24 LED 72W EPISTAR 30,2 CM LARGO\par } </v>
      </c>
      <c r="AM29" t="str">
        <f>"-"</f>
        <v>-</v>
      </c>
    </row>
    <row r="30" spans="1:39" x14ac:dyDescent="0.25">
      <c r="A30" t="str">
        <f>"BAR90EPIMA"</f>
        <v>BAR90EPIMA</v>
      </c>
      <c r="B30" t="str">
        <f>"BARRA DE 30 LED 90W 37 CM LARGO "</f>
        <v xml:space="preserve">BARRA DE 30 LED 90W 37 CM LARGO </v>
      </c>
      <c r="C30" t="str">
        <f>"$ 55809,37"</f>
        <v>$ 55809,37</v>
      </c>
      <c r="D30" t="str">
        <f>"$ 55809,37"</f>
        <v>$ 55809,37</v>
      </c>
      <c r="E30" t="str">
        <f>"$ 55809,37"</f>
        <v>$ 55809,37</v>
      </c>
      <c r="F30" t="str">
        <f>"$ 55809,37"</f>
        <v>$ 55809,37</v>
      </c>
      <c r="G30" t="str">
        <f>"$ 55809,37"</f>
        <v>$ 55809,37</v>
      </c>
      <c r="H30" t="str">
        <f t="shared" si="1"/>
        <v>$ 0,00</v>
      </c>
      <c r="I30" t="str">
        <f t="shared" si="33"/>
        <v>BARRAS DE LED</v>
      </c>
      <c r="J30" t="str">
        <f t="shared" si="3"/>
        <v>1</v>
      </c>
      <c r="K30" t="str">
        <f t="shared" si="4"/>
        <v>0</v>
      </c>
      <c r="L30" t="str">
        <f>"2,000"</f>
        <v>2,000</v>
      </c>
      <c r="M30" t="str">
        <f t="shared" si="5"/>
        <v xml:space="preserve"> </v>
      </c>
      <c r="N30" t="str">
        <f t="shared" si="34"/>
        <v>LUX LED</v>
      </c>
      <c r="O30" t="str">
        <f t="shared" si="35"/>
        <v>LAMPARAS</v>
      </c>
      <c r="P30" t="str">
        <f t="shared" si="30"/>
        <v>0</v>
      </c>
      <c r="Q30" t="str">
        <f t="shared" si="30"/>
        <v>0</v>
      </c>
      <c r="R30" t="str">
        <f t="shared" si="31"/>
        <v>0,00</v>
      </c>
      <c r="S30" t="str">
        <f t="shared" si="31"/>
        <v>0,00</v>
      </c>
      <c r="T30" t="str">
        <f t="shared" si="32"/>
        <v xml:space="preserve"> </v>
      </c>
      <c r="U30" t="str">
        <f t="shared" si="32"/>
        <v xml:space="preserve"> </v>
      </c>
      <c r="V30" t="str">
        <f>"2,000"</f>
        <v>2,000</v>
      </c>
      <c r="W30" t="str">
        <f t="shared" si="11"/>
        <v>Lista 4</v>
      </c>
      <c r="X30" t="str">
        <f t="shared" si="12"/>
        <v>Lista 5</v>
      </c>
      <c r="Y30" t="str">
        <f t="shared" si="13"/>
        <v>Oferta Gral.</v>
      </c>
      <c r="Z30" t="str">
        <f t="shared" si="14"/>
        <v>Rubro</v>
      </c>
      <c r="AA30" t="str">
        <f t="shared" si="15"/>
        <v>Cantidad por Bulto</v>
      </c>
      <c r="AB30" t="str">
        <f t="shared" si="16"/>
        <v>INNER</v>
      </c>
      <c r="AC30" t="str">
        <f t="shared" si="17"/>
        <v>Stock en Bultos</v>
      </c>
      <c r="AD30" t="str">
        <f t="shared" si="18"/>
        <v>SubDepósito</v>
      </c>
      <c r="AE30" t="str">
        <f t="shared" si="19"/>
        <v>Marca</v>
      </c>
      <c r="AF30" t="str">
        <f t="shared" si="20"/>
        <v>Super Rubro</v>
      </c>
      <c r="AG30" t="str">
        <f t="shared" si="21"/>
        <v>ComercioExterior</v>
      </c>
      <c r="AH30" t="str">
        <f t="shared" si="22"/>
        <v>PrecioFOB</v>
      </c>
      <c r="AI30" t="str">
        <f t="shared" si="23"/>
        <v>Monto II</v>
      </c>
      <c r="AJ30" t="str">
        <f t="shared" si="24"/>
        <v>Porcentaje II</v>
      </c>
      <c r="AK30" t="str">
        <f t="shared" si="25"/>
        <v>Foto</v>
      </c>
      <c r="AL30" t="str">
        <f>"{\rtf1\ansi\ansicpg1252\deff0\deflang11274{\fonttbl{\f0\fnil\fcharset0 MS Sans Serif}} \viewkind4\uc1\pard\f0\fs16 BARRA DE 30 LED 90W 37 CM LARGO \par } "</f>
        <v xml:space="preserve">{\rtf1\ansi\ansicpg1252\deff0\deflang11274{\fonttbl{\f0\fnil\fcharset0 MS Sans Serif}} \viewkind4\uc1\pard\f0\fs16 BARRA DE 30 LED 90W 37 CM LARGO \par } </v>
      </c>
      <c r="AM30" t="str">
        <f>" "</f>
        <v xml:space="preserve"> </v>
      </c>
    </row>
    <row r="31" spans="1:39" x14ac:dyDescent="0.25">
      <c r="A31" t="str">
        <f>"BAR108EPIMA"</f>
        <v>BAR108EPIMA</v>
      </c>
      <c r="B31" t="str">
        <f>"BARRA DE 36 LED 108W EPISTAR 43,80 CM LARGO"</f>
        <v>BARRA DE 36 LED 108W EPISTAR 43,80 CM LARGO</v>
      </c>
      <c r="C31" t="str">
        <f>"$ 60613,25"</f>
        <v>$ 60613,25</v>
      </c>
      <c r="D31" t="str">
        <f>"$ 60613,25"</f>
        <v>$ 60613,25</v>
      </c>
      <c r="E31" t="str">
        <f>"$ 60613,25"</f>
        <v>$ 60613,25</v>
      </c>
      <c r="F31" t="str">
        <f>"$ 60613,25"</f>
        <v>$ 60613,25</v>
      </c>
      <c r="G31" t="str">
        <f>"$ 60613,25"</f>
        <v>$ 60613,25</v>
      </c>
      <c r="H31" t="str">
        <f t="shared" si="1"/>
        <v>$ 0,00</v>
      </c>
      <c r="I31" t="str">
        <f t="shared" si="33"/>
        <v>BARRAS DE LED</v>
      </c>
      <c r="J31" t="str">
        <f t="shared" si="3"/>
        <v>1</v>
      </c>
      <c r="K31" t="str">
        <f t="shared" si="4"/>
        <v>0</v>
      </c>
      <c r="L31" t="str">
        <f>"0,000"</f>
        <v>0,000</v>
      </c>
      <c r="M31" t="str">
        <f t="shared" si="5"/>
        <v xml:space="preserve"> </v>
      </c>
      <c r="N31" t="str">
        <f t="shared" si="34"/>
        <v>LUX LED</v>
      </c>
      <c r="O31" t="str">
        <f t="shared" si="35"/>
        <v>LAMPARAS</v>
      </c>
      <c r="P31" t="str">
        <f t="shared" si="30"/>
        <v>0</v>
      </c>
      <c r="Q31" t="str">
        <f t="shared" si="30"/>
        <v>0</v>
      </c>
      <c r="R31" t="str">
        <f t="shared" si="31"/>
        <v>0,00</v>
      </c>
      <c r="S31" t="str">
        <f t="shared" si="31"/>
        <v>0,00</v>
      </c>
      <c r="T31" t="str">
        <f t="shared" si="32"/>
        <v xml:space="preserve"> </v>
      </c>
      <c r="U31" t="str">
        <f t="shared" si="32"/>
        <v xml:space="preserve"> </v>
      </c>
      <c r="V31" t="str">
        <f>"0,000"</f>
        <v>0,000</v>
      </c>
      <c r="W31" t="str">
        <f t="shared" si="11"/>
        <v>Lista 4</v>
      </c>
      <c r="X31" t="str">
        <f t="shared" si="12"/>
        <v>Lista 5</v>
      </c>
      <c r="Y31" t="str">
        <f t="shared" si="13"/>
        <v>Oferta Gral.</v>
      </c>
      <c r="Z31" t="str">
        <f t="shared" si="14"/>
        <v>Rubro</v>
      </c>
      <c r="AA31" t="str">
        <f t="shared" si="15"/>
        <v>Cantidad por Bulto</v>
      </c>
      <c r="AB31" t="str">
        <f t="shared" si="16"/>
        <v>INNER</v>
      </c>
      <c r="AC31" t="str">
        <f t="shared" si="17"/>
        <v>Stock en Bultos</v>
      </c>
      <c r="AD31" t="str">
        <f t="shared" si="18"/>
        <v>SubDepósito</v>
      </c>
      <c r="AE31" t="str">
        <f t="shared" si="19"/>
        <v>Marca</v>
      </c>
      <c r="AF31" t="str">
        <f t="shared" si="20"/>
        <v>Super Rubro</v>
      </c>
      <c r="AG31" t="str">
        <f t="shared" si="21"/>
        <v>ComercioExterior</v>
      </c>
      <c r="AH31" t="str">
        <f t="shared" si="22"/>
        <v>PrecioFOB</v>
      </c>
      <c r="AI31" t="str">
        <f t="shared" si="23"/>
        <v>Monto II</v>
      </c>
      <c r="AJ31" t="str">
        <f t="shared" si="24"/>
        <v>Porcentaje II</v>
      </c>
      <c r="AK31" t="str">
        <f t="shared" si="25"/>
        <v>Foto</v>
      </c>
      <c r="AL31" t="str">
        <f>"{\rtf1\ansi\ansicpg1252\deff0\deflang11274{\fonttbl{\f0\fnil\fcharset0 MS Sans Serif}} \viewkind4\uc1\pard\f0\fs16 BARRA DE 36 LED 108W EPISTAR 43,80 CM LARGO\par } "</f>
        <v xml:space="preserve">{\rtf1\ansi\ansicpg1252\deff0\deflang11274{\fonttbl{\f0\fnil\fcharset0 MS Sans Serif}} \viewkind4\uc1\pard\f0\fs16 BARRA DE 36 LED 108W EPISTAR 43,80 CM LARGO\par } </v>
      </c>
      <c r="AM31" t="str">
        <f t="shared" ref="AM31:AM40" si="36">"-"</f>
        <v>-</v>
      </c>
    </row>
    <row r="32" spans="1:39" x14ac:dyDescent="0.25">
      <c r="A32" t="str">
        <f>"BAR126EPIMA"</f>
        <v>BAR126EPIMA</v>
      </c>
      <c r="B32" t="str">
        <f>"BARRA DE 42 LED 126W EPISTAR 50,6 CM LARGO"</f>
        <v>BARRA DE 42 LED 126W EPISTAR 50,6 CM LARGO</v>
      </c>
      <c r="C32" t="str">
        <f>"$ 60866,65"</f>
        <v>$ 60866,65</v>
      </c>
      <c r="D32" t="str">
        <f>"$ 60866,65"</f>
        <v>$ 60866,65</v>
      </c>
      <c r="E32" t="str">
        <f>"$ 60866,65"</f>
        <v>$ 60866,65</v>
      </c>
      <c r="F32" t="str">
        <f>"$ 60866,65"</f>
        <v>$ 60866,65</v>
      </c>
      <c r="G32" t="str">
        <f>"$ 60866,65"</f>
        <v>$ 60866,65</v>
      </c>
      <c r="H32" t="str">
        <f t="shared" si="1"/>
        <v>$ 0,00</v>
      </c>
      <c r="I32" t="str">
        <f t="shared" si="33"/>
        <v>BARRAS DE LED</v>
      </c>
      <c r="J32" t="str">
        <f t="shared" si="3"/>
        <v>1</v>
      </c>
      <c r="K32" t="str">
        <f t="shared" si="4"/>
        <v>0</v>
      </c>
      <c r="L32" t="str">
        <f>"0,000"</f>
        <v>0,000</v>
      </c>
      <c r="M32" t="str">
        <f t="shared" si="5"/>
        <v xml:space="preserve"> </v>
      </c>
      <c r="N32" t="str">
        <f t="shared" si="34"/>
        <v>LUX LED</v>
      </c>
      <c r="O32" t="str">
        <f t="shared" si="35"/>
        <v>LAMPARAS</v>
      </c>
      <c r="P32" t="str">
        <f t="shared" si="30"/>
        <v>0</v>
      </c>
      <c r="Q32" t="str">
        <f t="shared" si="30"/>
        <v>0</v>
      </c>
      <c r="R32" t="str">
        <f t="shared" si="31"/>
        <v>0,00</v>
      </c>
      <c r="S32" t="str">
        <f t="shared" si="31"/>
        <v>0,00</v>
      </c>
      <c r="T32" t="str">
        <f t="shared" si="32"/>
        <v xml:space="preserve"> </v>
      </c>
      <c r="U32" t="str">
        <f t="shared" si="32"/>
        <v xml:space="preserve"> </v>
      </c>
      <c r="V32" t="str">
        <f>"0,000"</f>
        <v>0,000</v>
      </c>
      <c r="W32" t="str">
        <f t="shared" si="11"/>
        <v>Lista 4</v>
      </c>
      <c r="X32" t="str">
        <f t="shared" si="12"/>
        <v>Lista 5</v>
      </c>
      <c r="Y32" t="str">
        <f t="shared" si="13"/>
        <v>Oferta Gral.</v>
      </c>
      <c r="Z32" t="str">
        <f t="shared" si="14"/>
        <v>Rubro</v>
      </c>
      <c r="AA32" t="str">
        <f t="shared" si="15"/>
        <v>Cantidad por Bulto</v>
      </c>
      <c r="AB32" t="str">
        <f t="shared" si="16"/>
        <v>INNER</v>
      </c>
      <c r="AC32" t="str">
        <f t="shared" si="17"/>
        <v>Stock en Bultos</v>
      </c>
      <c r="AD32" t="str">
        <f t="shared" si="18"/>
        <v>SubDepósito</v>
      </c>
      <c r="AE32" t="str">
        <f t="shared" si="19"/>
        <v>Marca</v>
      </c>
      <c r="AF32" t="str">
        <f t="shared" si="20"/>
        <v>Super Rubro</v>
      </c>
      <c r="AG32" t="str">
        <f t="shared" si="21"/>
        <v>ComercioExterior</v>
      </c>
      <c r="AH32" t="str">
        <f t="shared" si="22"/>
        <v>PrecioFOB</v>
      </c>
      <c r="AI32" t="str">
        <f t="shared" si="23"/>
        <v>Monto II</v>
      </c>
      <c r="AJ32" t="str">
        <f t="shared" si="24"/>
        <v>Porcentaje II</v>
      </c>
      <c r="AK32" t="str">
        <f t="shared" si="25"/>
        <v>Foto</v>
      </c>
      <c r="AL32" t="str">
        <f>"{\rtf1\ansi\ansicpg1252\deff0\deflang11274{\fonttbl{\f0\fnil\fcharset0 MS Sans Serif}} \viewkind4\uc1\pard\f0\fs16 BARRA DE 42 LED 126W EPISTAR 50,6 CM LARGO\par } "</f>
        <v xml:space="preserve">{\rtf1\ansi\ansicpg1252\deff0\deflang11274{\fonttbl{\f0\fnil\fcharset0 MS Sans Serif}} \viewkind4\uc1\pard\f0\fs16 BARRA DE 42 LED 126W EPISTAR 50,6 CM LARGO\par } </v>
      </c>
      <c r="AM32" t="str">
        <f t="shared" si="36"/>
        <v>-</v>
      </c>
    </row>
    <row r="33" spans="1:39" x14ac:dyDescent="0.25">
      <c r="A33" t="str">
        <f>"BAR180EPIMA"</f>
        <v>BAR180EPIMA</v>
      </c>
      <c r="B33" t="str">
        <f>"BARRA DE 48 LED 144W EPISTAR 71 CM LARGO"</f>
        <v>BARRA DE 48 LED 144W EPISTAR 71 CM LARGO</v>
      </c>
      <c r="C33" t="str">
        <f>"$ 74655,33"</f>
        <v>$ 74655,33</v>
      </c>
      <c r="D33" t="str">
        <f>"$ 74655,33"</f>
        <v>$ 74655,33</v>
      </c>
      <c r="E33" t="str">
        <f>"$ 74655,33"</f>
        <v>$ 74655,33</v>
      </c>
      <c r="F33" t="str">
        <f>"$ 74655,33"</f>
        <v>$ 74655,33</v>
      </c>
      <c r="G33" t="str">
        <f>"$ 74655,33"</f>
        <v>$ 74655,33</v>
      </c>
      <c r="H33" t="str">
        <f t="shared" si="1"/>
        <v>$ 0,00</v>
      </c>
      <c r="I33" t="str">
        <f t="shared" si="33"/>
        <v>BARRAS DE LED</v>
      </c>
      <c r="J33" t="str">
        <f t="shared" si="3"/>
        <v>1</v>
      </c>
      <c r="K33" t="str">
        <f t="shared" si="4"/>
        <v>0</v>
      </c>
      <c r="L33" t="str">
        <f>"2,000"</f>
        <v>2,000</v>
      </c>
      <c r="M33" t="str">
        <f t="shared" si="5"/>
        <v xml:space="preserve"> </v>
      </c>
      <c r="N33" t="str">
        <f t="shared" si="34"/>
        <v>LUX LED</v>
      </c>
      <c r="O33" t="str">
        <f t="shared" si="35"/>
        <v>LAMPARAS</v>
      </c>
      <c r="P33" t="str">
        <f t="shared" si="30"/>
        <v>0</v>
      </c>
      <c r="Q33" t="str">
        <f t="shared" si="30"/>
        <v>0</v>
      </c>
      <c r="R33" t="str">
        <f t="shared" si="31"/>
        <v>0,00</v>
      </c>
      <c r="S33" t="str">
        <f t="shared" si="31"/>
        <v>0,00</v>
      </c>
      <c r="T33" t="str">
        <f t="shared" si="32"/>
        <v xml:space="preserve"> </v>
      </c>
      <c r="U33" t="str">
        <f t="shared" si="32"/>
        <v xml:space="preserve"> </v>
      </c>
      <c r="V33" t="str">
        <f>"2,000"</f>
        <v>2,000</v>
      </c>
      <c r="W33" t="str">
        <f t="shared" si="11"/>
        <v>Lista 4</v>
      </c>
      <c r="X33" t="str">
        <f t="shared" si="12"/>
        <v>Lista 5</v>
      </c>
      <c r="Y33" t="str">
        <f t="shared" si="13"/>
        <v>Oferta Gral.</v>
      </c>
      <c r="Z33" t="str">
        <f t="shared" si="14"/>
        <v>Rubro</v>
      </c>
      <c r="AA33" t="str">
        <f t="shared" si="15"/>
        <v>Cantidad por Bulto</v>
      </c>
      <c r="AB33" t="str">
        <f t="shared" si="16"/>
        <v>INNER</v>
      </c>
      <c r="AC33" t="str">
        <f t="shared" si="17"/>
        <v>Stock en Bultos</v>
      </c>
      <c r="AD33" t="str">
        <f t="shared" si="18"/>
        <v>SubDepósito</v>
      </c>
      <c r="AE33" t="str">
        <f t="shared" si="19"/>
        <v>Marca</v>
      </c>
      <c r="AF33" t="str">
        <f t="shared" si="20"/>
        <v>Super Rubro</v>
      </c>
      <c r="AG33" t="str">
        <f t="shared" si="21"/>
        <v>ComercioExterior</v>
      </c>
      <c r="AH33" t="str">
        <f t="shared" si="22"/>
        <v>PrecioFOB</v>
      </c>
      <c r="AI33" t="str">
        <f t="shared" si="23"/>
        <v>Monto II</v>
      </c>
      <c r="AJ33" t="str">
        <f t="shared" si="24"/>
        <v>Porcentaje II</v>
      </c>
      <c r="AK33" t="str">
        <f t="shared" si="25"/>
        <v>Foto</v>
      </c>
      <c r="AL33" t="str">
        <f>"{\rtf1\ansi\ansicpg1252\deff0\deflang11274{\fonttbl{\f0\fnil\fcharset0 MS Sans Serif}} \viewkind4\uc1\pard\f0\fs16 BARRA DE 48 LED 144W EPISTAR 71 CM LARGO\par } "</f>
        <v xml:space="preserve">{\rtf1\ansi\ansicpg1252\deff0\deflang11274{\fonttbl{\f0\fnil\fcharset0 MS Sans Serif}} \viewkind4\uc1\pard\f0\fs16 BARRA DE 48 LED 144W EPISTAR 71 CM LARGO\par } </v>
      </c>
      <c r="AM33" t="str">
        <f t="shared" si="36"/>
        <v>-</v>
      </c>
    </row>
    <row r="34" spans="1:39" x14ac:dyDescent="0.25">
      <c r="A34" t="str">
        <f>"BAR18EPI"</f>
        <v>BAR18EPI</v>
      </c>
      <c r="B34" t="str">
        <f>"BARRA DE 6 LED 18W EPISTAR 9,8 CM DE LARGO"</f>
        <v>BARRA DE 6 LED 18W EPISTAR 9,8 CM DE LARGO</v>
      </c>
      <c r="C34" t="str">
        <f>"$ 13281,91"</f>
        <v>$ 13281,91</v>
      </c>
      <c r="D34" t="str">
        <f>"$ 13281,91"</f>
        <v>$ 13281,91</v>
      </c>
      <c r="E34" t="str">
        <f>"$ 13281,91"</f>
        <v>$ 13281,91</v>
      </c>
      <c r="F34" t="str">
        <f>"$ 13281,91"</f>
        <v>$ 13281,91</v>
      </c>
      <c r="G34" t="str">
        <f>"$ 13281,91"</f>
        <v>$ 13281,91</v>
      </c>
      <c r="H34" t="str">
        <f t="shared" si="1"/>
        <v>$ 0,00</v>
      </c>
      <c r="I34" t="str">
        <f t="shared" si="33"/>
        <v>BARRAS DE LED</v>
      </c>
      <c r="J34" t="str">
        <f t="shared" si="3"/>
        <v>1</v>
      </c>
      <c r="K34" t="str">
        <f t="shared" si="4"/>
        <v>0</v>
      </c>
      <c r="L34" t="str">
        <f>"3,000"</f>
        <v>3,000</v>
      </c>
      <c r="M34" t="str">
        <f t="shared" si="5"/>
        <v xml:space="preserve"> </v>
      </c>
      <c r="N34" t="str">
        <f t="shared" si="34"/>
        <v>LUX LED</v>
      </c>
      <c r="O34" t="str">
        <f t="shared" si="35"/>
        <v>LAMPARAS</v>
      </c>
      <c r="P34" t="str">
        <f t="shared" si="30"/>
        <v>0</v>
      </c>
      <c r="Q34" t="str">
        <f t="shared" si="30"/>
        <v>0</v>
      </c>
      <c r="R34" t="str">
        <f t="shared" si="31"/>
        <v>0,00</v>
      </c>
      <c r="S34" t="str">
        <f t="shared" si="31"/>
        <v>0,00</v>
      </c>
      <c r="T34" t="str">
        <f t="shared" si="32"/>
        <v xml:space="preserve"> </v>
      </c>
      <c r="U34" t="str">
        <f t="shared" si="32"/>
        <v xml:space="preserve"> </v>
      </c>
      <c r="V34" t="str">
        <f>"3,000"</f>
        <v>3,000</v>
      </c>
      <c r="W34" t="str">
        <f t="shared" si="11"/>
        <v>Lista 4</v>
      </c>
      <c r="X34" t="str">
        <f t="shared" si="12"/>
        <v>Lista 5</v>
      </c>
      <c r="Y34" t="str">
        <f t="shared" si="13"/>
        <v>Oferta Gral.</v>
      </c>
      <c r="Z34" t="str">
        <f t="shared" si="14"/>
        <v>Rubro</v>
      </c>
      <c r="AA34" t="str">
        <f t="shared" si="15"/>
        <v>Cantidad por Bulto</v>
      </c>
      <c r="AB34" t="str">
        <f t="shared" si="16"/>
        <v>INNER</v>
      </c>
      <c r="AC34" t="str">
        <f t="shared" si="17"/>
        <v>Stock en Bultos</v>
      </c>
      <c r="AD34" t="str">
        <f t="shared" si="18"/>
        <v>SubDepósito</v>
      </c>
      <c r="AE34" t="str">
        <f t="shared" si="19"/>
        <v>Marca</v>
      </c>
      <c r="AF34" t="str">
        <f t="shared" si="20"/>
        <v>Super Rubro</v>
      </c>
      <c r="AG34" t="str">
        <f t="shared" si="21"/>
        <v>ComercioExterior</v>
      </c>
      <c r="AH34" t="str">
        <f t="shared" si="22"/>
        <v>PrecioFOB</v>
      </c>
      <c r="AI34" t="str">
        <f t="shared" si="23"/>
        <v>Monto II</v>
      </c>
      <c r="AJ34" t="str">
        <f t="shared" si="24"/>
        <v>Porcentaje II</v>
      </c>
      <c r="AK34" t="str">
        <f t="shared" si="25"/>
        <v>Foto</v>
      </c>
      <c r="AL34" t="str">
        <f>"{\rtf1\ansi\ansicpg1252\deff0\deflang11274{\fonttbl{\f0\fnil\fcharset0 MS Sans Serif}} \viewkind4\uc1\pard\f0\fs16 BARRA DE 6 LED 18W EPISTAR 9,8 CM DE LARGO\par } "</f>
        <v xml:space="preserve">{\rtf1\ansi\ansicpg1252\deff0\deflang11274{\fonttbl{\f0\fnil\fcharset0 MS Sans Serif}} \viewkind4\uc1\pard\f0\fs16 BARRA DE 6 LED 18W EPISTAR 9,8 CM DE LARGO\par } </v>
      </c>
      <c r="AM34" t="str">
        <f t="shared" si="36"/>
        <v>-</v>
      </c>
    </row>
    <row r="35" spans="1:39" x14ac:dyDescent="0.25">
      <c r="A35" t="str">
        <f>"BAR18AMB"</f>
        <v>BAR18AMB</v>
      </c>
      <c r="B35" t="str">
        <f>"BARRA DE 6 LED AMBAR 18 WATT 9,8 CM DE LARGO"</f>
        <v>BARRA DE 6 LED AMBAR 18 WATT 9,8 CM DE LARGO</v>
      </c>
      <c r="C35" t="str">
        <f>"$ 15055,64"</f>
        <v>$ 15055,64</v>
      </c>
      <c r="D35" t="str">
        <f>"$ 15055,64"</f>
        <v>$ 15055,64</v>
      </c>
      <c r="E35" t="str">
        <f>"$ 15055,64"</f>
        <v>$ 15055,64</v>
      </c>
      <c r="F35" t="str">
        <f>"$ 15055,64"</f>
        <v>$ 15055,64</v>
      </c>
      <c r="G35" t="str">
        <f>"$ 15055,64"</f>
        <v>$ 15055,64</v>
      </c>
      <c r="H35" t="str">
        <f t="shared" si="1"/>
        <v>$ 0,00</v>
      </c>
      <c r="I35" t="str">
        <f t="shared" si="33"/>
        <v>BARRAS DE LED</v>
      </c>
      <c r="J35" t="str">
        <f t="shared" si="3"/>
        <v>1</v>
      </c>
      <c r="K35" t="str">
        <f t="shared" ref="K35:K66" si="37">"0"</f>
        <v>0</v>
      </c>
      <c r="L35" t="str">
        <f>"3,000"</f>
        <v>3,000</v>
      </c>
      <c r="M35" t="str">
        <f t="shared" si="5"/>
        <v xml:space="preserve"> </v>
      </c>
      <c r="N35" t="str">
        <f t="shared" si="34"/>
        <v>LUX LED</v>
      </c>
      <c r="O35" t="str">
        <f t="shared" si="35"/>
        <v>LAMPARAS</v>
      </c>
      <c r="P35" t="str">
        <f t="shared" si="30"/>
        <v>0</v>
      </c>
      <c r="Q35" t="str">
        <f t="shared" si="30"/>
        <v>0</v>
      </c>
      <c r="R35" t="str">
        <f t="shared" si="31"/>
        <v>0,00</v>
      </c>
      <c r="S35" t="str">
        <f t="shared" si="31"/>
        <v>0,00</v>
      </c>
      <c r="T35" t="str">
        <f t="shared" si="32"/>
        <v xml:space="preserve"> </v>
      </c>
      <c r="U35" t="str">
        <f t="shared" si="32"/>
        <v xml:space="preserve"> </v>
      </c>
      <c r="V35" t="str">
        <f>"3,000"</f>
        <v>3,000</v>
      </c>
      <c r="W35" t="str">
        <f t="shared" si="11"/>
        <v>Lista 4</v>
      </c>
      <c r="X35" t="str">
        <f t="shared" si="12"/>
        <v>Lista 5</v>
      </c>
      <c r="Y35" t="str">
        <f t="shared" si="13"/>
        <v>Oferta Gral.</v>
      </c>
      <c r="Z35" t="str">
        <f t="shared" si="14"/>
        <v>Rubro</v>
      </c>
      <c r="AA35" t="str">
        <f t="shared" si="15"/>
        <v>Cantidad por Bulto</v>
      </c>
      <c r="AB35" t="str">
        <f t="shared" si="16"/>
        <v>INNER</v>
      </c>
      <c r="AC35" t="str">
        <f t="shared" si="17"/>
        <v>Stock en Bultos</v>
      </c>
      <c r="AD35" t="str">
        <f t="shared" si="18"/>
        <v>SubDepósito</v>
      </c>
      <c r="AE35" t="str">
        <f t="shared" si="19"/>
        <v>Marca</v>
      </c>
      <c r="AF35" t="str">
        <f t="shared" si="20"/>
        <v>Super Rubro</v>
      </c>
      <c r="AG35" t="str">
        <f t="shared" si="21"/>
        <v>ComercioExterior</v>
      </c>
      <c r="AH35" t="str">
        <f t="shared" si="22"/>
        <v>PrecioFOB</v>
      </c>
      <c r="AI35" t="str">
        <f t="shared" si="23"/>
        <v>Monto II</v>
      </c>
      <c r="AJ35" t="str">
        <f t="shared" si="24"/>
        <v>Porcentaje II</v>
      </c>
      <c r="AK35" t="str">
        <f t="shared" si="25"/>
        <v>Foto</v>
      </c>
      <c r="AL35" t="str">
        <f>"{\rtf1\ansi\ansicpg1252\deff0\deflang11274{\fonttbl{\f0\fnil\fcharset0 MS Sans Serif}} \viewkind4\uc1\pard\f0\fs16 M\'d3DULO ENC. HONDA CIVIC/SHUTTLE/CRX-CONCERTO-ACCORD-ACURA/INTEGRA\par } "</f>
        <v xml:space="preserve">{\rtf1\ansi\ansicpg1252\deff0\deflang11274{\fonttbl{\f0\fnil\fcharset0 MS Sans Serif}} \viewkind4\uc1\pard\f0\fs16 M\'d3DULO ENC. HONDA CIVIC/SHUTTLE/CRX-CONCERTO-ACCORD-ACURA/INTEGRA\par } </v>
      </c>
      <c r="AM35" t="str">
        <f t="shared" si="36"/>
        <v>-</v>
      </c>
    </row>
    <row r="36" spans="1:39" x14ac:dyDescent="0.25">
      <c r="A36" t="str">
        <f>"BAR234EPIMA"</f>
        <v>BAR234EPIMA</v>
      </c>
      <c r="B36" t="str">
        <f>"BARRA DE 60 LED 180W EPISTAR 92 CM LARGO"</f>
        <v>BARRA DE 60 LED 180W EPISTAR 92 CM LARGO</v>
      </c>
      <c r="C36" t="str">
        <f>"$ 78973,55"</f>
        <v>$ 78973,55</v>
      </c>
      <c r="D36" t="str">
        <f>"$ 78973,55"</f>
        <v>$ 78973,55</v>
      </c>
      <c r="E36" t="str">
        <f>"$ 78973,55"</f>
        <v>$ 78973,55</v>
      </c>
      <c r="F36" t="str">
        <f>"$ 78973,55"</f>
        <v>$ 78973,55</v>
      </c>
      <c r="G36" t="str">
        <f>"$ 78973,55"</f>
        <v>$ 78973,55</v>
      </c>
      <c r="H36" t="str">
        <f t="shared" si="1"/>
        <v>$ 0,00</v>
      </c>
      <c r="I36" t="str">
        <f t="shared" si="33"/>
        <v>BARRAS DE LED</v>
      </c>
      <c r="J36" t="str">
        <f t="shared" si="3"/>
        <v>1</v>
      </c>
      <c r="K36" t="str">
        <f t="shared" si="37"/>
        <v>0</v>
      </c>
      <c r="L36" t="str">
        <f>"1,000"</f>
        <v>1,000</v>
      </c>
      <c r="M36" t="str">
        <f t="shared" si="5"/>
        <v xml:space="preserve"> </v>
      </c>
      <c r="N36" t="str">
        <f t="shared" si="34"/>
        <v>LUX LED</v>
      </c>
      <c r="O36" t="str">
        <f t="shared" si="35"/>
        <v>LAMPARAS</v>
      </c>
      <c r="P36" t="str">
        <f t="shared" si="30"/>
        <v>0</v>
      </c>
      <c r="Q36" t="str">
        <f t="shared" si="30"/>
        <v>0</v>
      </c>
      <c r="R36" t="str">
        <f t="shared" si="31"/>
        <v>0,00</v>
      </c>
      <c r="S36" t="str">
        <f t="shared" si="31"/>
        <v>0,00</v>
      </c>
      <c r="T36" t="str">
        <f t="shared" si="32"/>
        <v xml:space="preserve"> </v>
      </c>
      <c r="U36" t="str">
        <f t="shared" si="32"/>
        <v xml:space="preserve"> </v>
      </c>
      <c r="V36" t="str">
        <f>"1,000"</f>
        <v>1,000</v>
      </c>
      <c r="W36" t="str">
        <f t="shared" si="11"/>
        <v>Lista 4</v>
      </c>
      <c r="X36" t="str">
        <f t="shared" si="12"/>
        <v>Lista 5</v>
      </c>
      <c r="Y36" t="str">
        <f t="shared" si="13"/>
        <v>Oferta Gral.</v>
      </c>
      <c r="Z36" t="str">
        <f t="shared" si="14"/>
        <v>Rubro</v>
      </c>
      <c r="AA36" t="str">
        <f t="shared" si="15"/>
        <v>Cantidad por Bulto</v>
      </c>
      <c r="AB36" t="str">
        <f t="shared" si="16"/>
        <v>INNER</v>
      </c>
      <c r="AC36" t="str">
        <f t="shared" si="17"/>
        <v>Stock en Bultos</v>
      </c>
      <c r="AD36" t="str">
        <f t="shared" si="18"/>
        <v>SubDepósito</v>
      </c>
      <c r="AE36" t="str">
        <f t="shared" si="19"/>
        <v>Marca</v>
      </c>
      <c r="AF36" t="str">
        <f t="shared" si="20"/>
        <v>Super Rubro</v>
      </c>
      <c r="AG36" t="str">
        <f t="shared" si="21"/>
        <v>ComercioExterior</v>
      </c>
      <c r="AH36" t="str">
        <f t="shared" si="22"/>
        <v>PrecioFOB</v>
      </c>
      <c r="AI36" t="str">
        <f t="shared" si="23"/>
        <v>Monto II</v>
      </c>
      <c r="AJ36" t="str">
        <f t="shared" si="24"/>
        <v>Porcentaje II</v>
      </c>
      <c r="AK36" t="str">
        <f t="shared" si="25"/>
        <v>Foto</v>
      </c>
      <c r="AL36" t="str">
        <f>"{\rtf1\ansi\ansicpg1252\deff0\deflang11274{\fonttbl{\f0\fnil\fcharset0 MS Sans Serif}} \viewkind4\uc1\pard\f0\fs16 BARRA DE 60 LED 180W EPISTAR 92 CM LARGO\par } "</f>
        <v xml:space="preserve">{\rtf1\ansi\ansicpg1252\deff0\deflang11274{\fonttbl{\f0\fnil\fcharset0 MS Sans Serif}} \viewkind4\uc1\pard\f0\fs16 BARRA DE 60 LED 180W EPISTAR 92 CM LARGO\par } </v>
      </c>
      <c r="AM36" t="str">
        <f t="shared" si="36"/>
        <v>-</v>
      </c>
    </row>
    <row r="37" spans="1:39" x14ac:dyDescent="0.25">
      <c r="A37" t="str">
        <f>"BAR288EPIMA"</f>
        <v>BAR288EPIMA</v>
      </c>
      <c r="B37" t="str">
        <f>"BARRA DE 78 LED 234W EPISTAR 1,13 MTS DE LARGO"</f>
        <v>BARRA DE 78 LED 234W EPISTAR 1,13 MTS DE LARGO</v>
      </c>
      <c r="C37" t="str">
        <f>"$ 123306,44"</f>
        <v>$ 123306,44</v>
      </c>
      <c r="D37" t="str">
        <f>"$ 123306,44"</f>
        <v>$ 123306,44</v>
      </c>
      <c r="E37" t="str">
        <f>"$ 123306,44"</f>
        <v>$ 123306,44</v>
      </c>
      <c r="F37" t="str">
        <f>"$ 123306,44"</f>
        <v>$ 123306,44</v>
      </c>
      <c r="G37" t="str">
        <f>"$ 123306,44"</f>
        <v>$ 123306,44</v>
      </c>
      <c r="H37" t="str">
        <f t="shared" si="1"/>
        <v>$ 0,00</v>
      </c>
      <c r="I37" t="str">
        <f t="shared" si="33"/>
        <v>BARRAS DE LED</v>
      </c>
      <c r="J37" t="str">
        <f t="shared" si="3"/>
        <v>1</v>
      </c>
      <c r="K37" t="str">
        <f t="shared" si="37"/>
        <v>0</v>
      </c>
      <c r="L37" t="str">
        <f>"3,000"</f>
        <v>3,000</v>
      </c>
      <c r="M37" t="str">
        <f t="shared" si="5"/>
        <v xml:space="preserve"> </v>
      </c>
      <c r="N37" t="str">
        <f t="shared" si="34"/>
        <v>LUX LED</v>
      </c>
      <c r="O37" t="str">
        <f t="shared" si="35"/>
        <v>LAMPARAS</v>
      </c>
      <c r="P37" t="str">
        <f t="shared" si="30"/>
        <v>0</v>
      </c>
      <c r="Q37" t="str">
        <f t="shared" si="30"/>
        <v>0</v>
      </c>
      <c r="R37" t="str">
        <f t="shared" si="31"/>
        <v>0,00</v>
      </c>
      <c r="S37" t="str">
        <f t="shared" si="31"/>
        <v>0,00</v>
      </c>
      <c r="T37" t="str">
        <f t="shared" si="32"/>
        <v xml:space="preserve"> </v>
      </c>
      <c r="U37" t="str">
        <f t="shared" si="32"/>
        <v xml:space="preserve"> </v>
      </c>
      <c r="V37" t="str">
        <f>"3,000"</f>
        <v>3,000</v>
      </c>
      <c r="W37" t="str">
        <f t="shared" si="11"/>
        <v>Lista 4</v>
      </c>
      <c r="X37" t="str">
        <f t="shared" si="12"/>
        <v>Lista 5</v>
      </c>
      <c r="Y37" t="str">
        <f t="shared" si="13"/>
        <v>Oferta Gral.</v>
      </c>
      <c r="Z37" t="str">
        <f t="shared" si="14"/>
        <v>Rubro</v>
      </c>
      <c r="AA37" t="str">
        <f t="shared" si="15"/>
        <v>Cantidad por Bulto</v>
      </c>
      <c r="AB37" t="str">
        <f t="shared" si="16"/>
        <v>INNER</v>
      </c>
      <c r="AC37" t="str">
        <f t="shared" si="17"/>
        <v>Stock en Bultos</v>
      </c>
      <c r="AD37" t="str">
        <f t="shared" si="18"/>
        <v>SubDepósito</v>
      </c>
      <c r="AE37" t="str">
        <f t="shared" si="19"/>
        <v>Marca</v>
      </c>
      <c r="AF37" t="str">
        <f t="shared" si="20"/>
        <v>Super Rubro</v>
      </c>
      <c r="AG37" t="str">
        <f t="shared" si="21"/>
        <v>ComercioExterior</v>
      </c>
      <c r="AH37" t="str">
        <f t="shared" si="22"/>
        <v>PrecioFOB</v>
      </c>
      <c r="AI37" t="str">
        <f t="shared" si="23"/>
        <v>Monto II</v>
      </c>
      <c r="AJ37" t="str">
        <f t="shared" si="24"/>
        <v>Porcentaje II</v>
      </c>
      <c r="AK37" t="str">
        <f t="shared" si="25"/>
        <v>Foto</v>
      </c>
      <c r="AL37" t="str">
        <f>"{\rtf1\ansi\ansicpg1252\deff0\deflang11274{\fonttbl{\f0\fnil\fcharset0 MS Sans Serif}} \viewkind4\uc1\pard\f0\fs16 BARRA DE 78 LED 234W EPISTAR 1,13 MTS DE LARGO\par } "</f>
        <v xml:space="preserve">{\rtf1\ansi\ansicpg1252\deff0\deflang11274{\fonttbl{\f0\fnil\fcharset0 MS Sans Serif}} \viewkind4\uc1\pard\f0\fs16 BARRA DE 78 LED 234W EPISTAR 1,13 MTS DE LARGO\par } </v>
      </c>
      <c r="AM37" t="str">
        <f t="shared" si="36"/>
        <v>-</v>
      </c>
    </row>
    <row r="38" spans="1:39" x14ac:dyDescent="0.25">
      <c r="A38" t="str">
        <f>"BAR240"</f>
        <v>BAR240</v>
      </c>
      <c r="B38" t="str">
        <f>"BARRA DE 80 LED 240 WATT - EPISTAR 1,13 MTS DE LARGO- CARCAZA DE ALUMINIO"</f>
        <v>BARRA DE 80 LED 240 WATT - EPISTAR 1,13 MTS DE LARGO- CARCAZA DE ALUMINIO</v>
      </c>
      <c r="C38" t="str">
        <f>"$ 108863,13"</f>
        <v>$ 108863,13</v>
      </c>
      <c r="D38" t="str">
        <f>"$ 108863,13"</f>
        <v>$ 108863,13</v>
      </c>
      <c r="E38" t="str">
        <f>"$ 108863,13"</f>
        <v>$ 108863,13</v>
      </c>
      <c r="F38" t="str">
        <f>"$ 108863,13"</f>
        <v>$ 108863,13</v>
      </c>
      <c r="G38" t="str">
        <f>"$ 108863,13"</f>
        <v>$ 108863,13</v>
      </c>
      <c r="H38" t="str">
        <f t="shared" si="1"/>
        <v>$ 0,00</v>
      </c>
      <c r="I38" t="str">
        <f t="shared" si="33"/>
        <v>BARRAS DE LED</v>
      </c>
      <c r="J38" t="str">
        <f t="shared" si="3"/>
        <v>1</v>
      </c>
      <c r="K38" t="str">
        <f t="shared" si="37"/>
        <v>0</v>
      </c>
      <c r="L38" t="str">
        <f>"2,000"</f>
        <v>2,000</v>
      </c>
      <c r="M38" t="str">
        <f t="shared" si="5"/>
        <v xml:space="preserve"> </v>
      </c>
      <c r="N38" t="str">
        <f t="shared" si="34"/>
        <v>LUX LED</v>
      </c>
      <c r="O38" t="str">
        <f t="shared" si="35"/>
        <v>LAMPARAS</v>
      </c>
      <c r="P38" t="str">
        <f t="shared" si="30"/>
        <v>0</v>
      </c>
      <c r="Q38" t="str">
        <f t="shared" si="30"/>
        <v>0</v>
      </c>
      <c r="R38" t="str">
        <f t="shared" si="31"/>
        <v>0,00</v>
      </c>
      <c r="S38" t="str">
        <f t="shared" si="31"/>
        <v>0,00</v>
      </c>
      <c r="T38" t="str">
        <f t="shared" si="32"/>
        <v xml:space="preserve"> </v>
      </c>
      <c r="U38" t="str">
        <f t="shared" si="32"/>
        <v xml:space="preserve"> </v>
      </c>
      <c r="V38" t="str">
        <f>"2,000"</f>
        <v>2,000</v>
      </c>
      <c r="W38" t="str">
        <f t="shared" si="11"/>
        <v>Lista 4</v>
      </c>
      <c r="X38" t="str">
        <f t="shared" si="12"/>
        <v>Lista 5</v>
      </c>
      <c r="Y38" t="str">
        <f t="shared" si="13"/>
        <v>Oferta Gral.</v>
      </c>
      <c r="Z38" t="str">
        <f t="shared" si="14"/>
        <v>Rubro</v>
      </c>
      <c r="AA38" t="str">
        <f t="shared" si="15"/>
        <v>Cantidad por Bulto</v>
      </c>
      <c r="AB38" t="str">
        <f t="shared" si="16"/>
        <v>INNER</v>
      </c>
      <c r="AC38" t="str">
        <f t="shared" si="17"/>
        <v>Stock en Bultos</v>
      </c>
      <c r="AD38" t="str">
        <f t="shared" si="18"/>
        <v>SubDepósito</v>
      </c>
      <c r="AE38" t="str">
        <f t="shared" si="19"/>
        <v>Marca</v>
      </c>
      <c r="AF38" t="str">
        <f t="shared" si="20"/>
        <v>Super Rubro</v>
      </c>
      <c r="AG38" t="str">
        <f t="shared" si="21"/>
        <v>ComercioExterior</v>
      </c>
      <c r="AH38" t="str">
        <f t="shared" si="22"/>
        <v>PrecioFOB</v>
      </c>
      <c r="AI38" t="str">
        <f t="shared" si="23"/>
        <v>Monto II</v>
      </c>
      <c r="AJ38" t="str">
        <f t="shared" si="24"/>
        <v>Porcentaje II</v>
      </c>
      <c r="AK38" t="str">
        <f t="shared" si="25"/>
        <v>Foto</v>
      </c>
      <c r="AL38" t="str">
        <f>"{\rtf1\ansi\ansicpg1252\deff0\deflang11274{\fonttbl{\f0\fnil\fcharset0 MS Sans Serif}} \viewkind4\uc1\pard\f0\fs16 M\'d3DULO ENC. RENAULT 9/11/12/18/21FUEGOGTA TRAFIC-RODEO FIAT 147/FIORINO/UNO/REGATTA\par } "</f>
        <v xml:space="preserve">{\rtf1\ansi\ansicpg1252\deff0\deflang11274{\fonttbl{\f0\fnil\fcharset0 MS Sans Serif}} \viewkind4\uc1\pard\f0\fs16 M\'d3DULO ENC. RENAULT 9/11/12/18/21FUEGOGTA TRAFIC-RODEO FIAT 147/FIORINO/UNO/REGATTA\par } </v>
      </c>
      <c r="AM38" t="str">
        <f t="shared" si="36"/>
        <v>-</v>
      </c>
    </row>
    <row r="39" spans="1:39" x14ac:dyDescent="0.25">
      <c r="A39" t="str">
        <f>"PF50"</f>
        <v>PF50</v>
      </c>
      <c r="B39" t="str">
        <f>"BATERIA PLACORD FREE WATER 12V 50 AMP DER 20 X 17 X 17"</f>
        <v>BATERIA PLACORD FREE WATER 12V 50 AMP DER 20 X 17 X 17</v>
      </c>
      <c r="C39" t="str">
        <f>"$ 131415,62"</f>
        <v>$ 131415,62</v>
      </c>
      <c r="D39" t="str">
        <f>"$ 131415,62"</f>
        <v>$ 131415,62</v>
      </c>
      <c r="E39" t="str">
        <f>"$ 131415,62"</f>
        <v>$ 131415,62</v>
      </c>
      <c r="F39" t="str">
        <f>"$ 140801,68"</f>
        <v>$ 140801,68</v>
      </c>
      <c r="G39" t="str">
        <f>"$ 140801,68"</f>
        <v>$ 140801,68</v>
      </c>
      <c r="H39" t="str">
        <f t="shared" si="1"/>
        <v>$ 0,00</v>
      </c>
      <c r="I39" t="str">
        <f>"BATERIA"</f>
        <v>BATERIA</v>
      </c>
      <c r="J39" t="str">
        <f t="shared" si="3"/>
        <v>1</v>
      </c>
      <c r="K39" t="str">
        <f t="shared" si="37"/>
        <v>0</v>
      </c>
      <c r="L39" t="str">
        <f>"1,000"</f>
        <v>1,000</v>
      </c>
      <c r="M39" t="str">
        <f t="shared" si="5"/>
        <v xml:space="preserve"> </v>
      </c>
      <c r="N39" t="str">
        <f>"PLACORD"</f>
        <v>PLACORD</v>
      </c>
      <c r="O39" t="str">
        <f>"BATERIAS"</f>
        <v>BATERIAS</v>
      </c>
      <c r="P39" t="str">
        <f t="shared" si="30"/>
        <v>0</v>
      </c>
      <c r="Q39" t="str">
        <f t="shared" si="30"/>
        <v>0</v>
      </c>
      <c r="R39" t="str">
        <f t="shared" si="31"/>
        <v>0,00</v>
      </c>
      <c r="S39" t="str">
        <f t="shared" si="31"/>
        <v>0,00</v>
      </c>
      <c r="T39" t="str">
        <f t="shared" si="32"/>
        <v xml:space="preserve"> </v>
      </c>
      <c r="U39" t="str">
        <f t="shared" si="32"/>
        <v xml:space="preserve"> </v>
      </c>
      <c r="V39" t="str">
        <f>"1,000"</f>
        <v>1,000</v>
      </c>
      <c r="W39" t="str">
        <f t="shared" si="11"/>
        <v>Lista 4</v>
      </c>
      <c r="X39" t="str">
        <f t="shared" si="12"/>
        <v>Lista 5</v>
      </c>
      <c r="Y39" t="str">
        <f t="shared" si="13"/>
        <v>Oferta Gral.</v>
      </c>
      <c r="Z39" t="str">
        <f t="shared" si="14"/>
        <v>Rubro</v>
      </c>
      <c r="AA39" t="str">
        <f t="shared" si="15"/>
        <v>Cantidad por Bulto</v>
      </c>
      <c r="AB39" t="str">
        <f t="shared" si="16"/>
        <v>INNER</v>
      </c>
      <c r="AC39" t="str">
        <f t="shared" si="17"/>
        <v>Stock en Bultos</v>
      </c>
      <c r="AD39" t="str">
        <f t="shared" si="18"/>
        <v>SubDepósito</v>
      </c>
      <c r="AE39" t="str">
        <f t="shared" si="19"/>
        <v>Marca</v>
      </c>
      <c r="AF39" t="str">
        <f t="shared" si="20"/>
        <v>Super Rubro</v>
      </c>
      <c r="AG39" t="str">
        <f t="shared" si="21"/>
        <v>ComercioExterior</v>
      </c>
      <c r="AH39" t="str">
        <f t="shared" si="22"/>
        <v>PrecioFOB</v>
      </c>
      <c r="AI39" t="str">
        <f t="shared" si="23"/>
        <v>Monto II</v>
      </c>
      <c r="AJ39" t="str">
        <f t="shared" si="24"/>
        <v>Porcentaje II</v>
      </c>
      <c r="AK39" t="str">
        <f t="shared" si="25"/>
        <v>Foto</v>
      </c>
      <c r="AL39" t="str">
        <f>"{\rtf1\ansi\ansicpg1252\deff0\deflang11274{\fonttbl{\f0\fnil\fcharset0 MS Sans Serif}} \viewkind4\uc1\pard\f0\fs16 BATERIA PLACORD FREE WATER 12V 50 AMP DER 20 X 17 X 17\par } "</f>
        <v xml:space="preserve">{\rtf1\ansi\ansicpg1252\deff0\deflang11274{\fonttbl{\f0\fnil\fcharset0 MS Sans Serif}} \viewkind4\uc1\pard\f0\fs16 BATERIA PLACORD FREE WATER 12V 50 AMP DER 20 X 17 X 17\par } </v>
      </c>
      <c r="AM39" t="str">
        <f t="shared" si="36"/>
        <v>-</v>
      </c>
    </row>
    <row r="40" spans="1:39" x14ac:dyDescent="0.25">
      <c r="A40" t="str">
        <f>"PF55"</f>
        <v>PF55</v>
      </c>
      <c r="B40" t="str">
        <f>"BATERIA PLACORD FREE WATER 12V 55 AMP DER 20 X 17 X 19"</f>
        <v>BATERIA PLACORD FREE WATER 12V 55 AMP DER 20 X 17 X 19</v>
      </c>
      <c r="C40" t="str">
        <f>"$ 145686,08"</f>
        <v>$ 145686,08</v>
      </c>
      <c r="D40" t="str">
        <f>"$ 145686,08"</f>
        <v>$ 145686,08</v>
      </c>
      <c r="E40" t="str">
        <f>"$ 145686,08"</f>
        <v>$ 145686,08</v>
      </c>
      <c r="F40" t="str">
        <f>"$ 156091,37"</f>
        <v>$ 156091,37</v>
      </c>
      <c r="G40" t="str">
        <f>"$ 156091,37"</f>
        <v>$ 156091,37</v>
      </c>
      <c r="H40" t="str">
        <f t="shared" si="1"/>
        <v>$ 0,00</v>
      </c>
      <c r="I40" t="str">
        <f>"BATERIA"</f>
        <v>BATERIA</v>
      </c>
      <c r="J40" t="str">
        <f t="shared" si="3"/>
        <v>1</v>
      </c>
      <c r="K40" t="str">
        <f t="shared" si="37"/>
        <v>0</v>
      </c>
      <c r="L40" t="str">
        <f>"0,000"</f>
        <v>0,000</v>
      </c>
      <c r="M40" t="str">
        <f t="shared" si="5"/>
        <v xml:space="preserve"> </v>
      </c>
      <c r="N40" t="str">
        <f>"PLACORD"</f>
        <v>PLACORD</v>
      </c>
      <c r="O40" t="str">
        <f>"BATERIAS"</f>
        <v>BATERIAS</v>
      </c>
      <c r="P40" t="str">
        <f t="shared" si="30"/>
        <v>0</v>
      </c>
      <c r="Q40" t="str">
        <f t="shared" si="30"/>
        <v>0</v>
      </c>
      <c r="R40" t="str">
        <f t="shared" si="31"/>
        <v>0,00</v>
      </c>
      <c r="S40" t="str">
        <f t="shared" si="31"/>
        <v>0,00</v>
      </c>
      <c r="T40" t="str">
        <f t="shared" si="32"/>
        <v xml:space="preserve"> </v>
      </c>
      <c r="U40" t="str">
        <f t="shared" si="32"/>
        <v xml:space="preserve"> </v>
      </c>
      <c r="V40" t="str">
        <f>"0,000"</f>
        <v>0,000</v>
      </c>
      <c r="W40" t="str">
        <f t="shared" si="11"/>
        <v>Lista 4</v>
      </c>
      <c r="X40" t="str">
        <f t="shared" si="12"/>
        <v>Lista 5</v>
      </c>
      <c r="Y40" t="str">
        <f t="shared" si="13"/>
        <v>Oferta Gral.</v>
      </c>
      <c r="Z40" t="str">
        <f t="shared" si="14"/>
        <v>Rubro</v>
      </c>
      <c r="AA40" t="str">
        <f t="shared" si="15"/>
        <v>Cantidad por Bulto</v>
      </c>
      <c r="AB40" t="str">
        <f t="shared" si="16"/>
        <v>INNER</v>
      </c>
      <c r="AC40" t="str">
        <f t="shared" si="17"/>
        <v>Stock en Bultos</v>
      </c>
      <c r="AD40" t="str">
        <f t="shared" si="18"/>
        <v>SubDepósito</v>
      </c>
      <c r="AE40" t="str">
        <f t="shared" si="19"/>
        <v>Marca</v>
      </c>
      <c r="AF40" t="str">
        <f t="shared" si="20"/>
        <v>Super Rubro</v>
      </c>
      <c r="AG40" t="str">
        <f t="shared" si="21"/>
        <v>ComercioExterior</v>
      </c>
      <c r="AH40" t="str">
        <f t="shared" si="22"/>
        <v>PrecioFOB</v>
      </c>
      <c r="AI40" t="str">
        <f t="shared" si="23"/>
        <v>Monto II</v>
      </c>
      <c r="AJ40" t="str">
        <f t="shared" si="24"/>
        <v>Porcentaje II</v>
      </c>
      <c r="AK40" t="str">
        <f t="shared" si="25"/>
        <v>Foto</v>
      </c>
      <c r="AL40" t="str">
        <f>"{\rtf1\ansi\ansicpg1252\deff0\deflang11274{\fonttbl{\f0\fnil\fcharset0 MS Sans Serif}} \viewkind4\uc1\pard\f0\fs16 BATERIA PLACORD FREE WATER 12V 55 AMP DER 20 X 17 X 19\par } "</f>
        <v xml:space="preserve">{\rtf1\ansi\ansicpg1252\deff0\deflang11274{\fonttbl{\f0\fnil\fcharset0 MS Sans Serif}} \viewkind4\uc1\pard\f0\fs16 BATERIA PLACORD FREE WATER 12V 55 AMP DER 20 X 17 X 19\par } </v>
      </c>
      <c r="AM40" t="str">
        <f t="shared" si="36"/>
        <v>-</v>
      </c>
    </row>
    <row r="41" spans="1:39" x14ac:dyDescent="0.25">
      <c r="A41" t="str">
        <f>"PH6502"</f>
        <v>PH6502</v>
      </c>
      <c r="B41" t="str">
        <f>"BATERIA PLACORD FREE WATER 12V 65 AMP DER 24 X 17 X 17"</f>
        <v>BATERIA PLACORD FREE WATER 12V 65 AMP DER 24 X 17 X 17</v>
      </c>
      <c r="C41" t="str">
        <f>"$ 140432,01"</f>
        <v>$ 140432,01</v>
      </c>
      <c r="D41" t="str">
        <f>"$ 140432,01"</f>
        <v>$ 140432,01</v>
      </c>
      <c r="E41" t="str">
        <f>"$ 140432,01"</f>
        <v>$ 140432,01</v>
      </c>
      <c r="F41" t="str">
        <f>"$ 150462,04"</f>
        <v>$ 150462,04</v>
      </c>
      <c r="G41" t="str">
        <f>"$ 150462,04"</f>
        <v>$ 150462,04</v>
      </c>
      <c r="H41" t="str">
        <f t="shared" si="1"/>
        <v>$ 0,00</v>
      </c>
      <c r="I41" t="str">
        <f>"BATERIA"</f>
        <v>BATERIA</v>
      </c>
      <c r="J41" t="str">
        <f t="shared" si="3"/>
        <v>1</v>
      </c>
      <c r="K41" t="str">
        <f t="shared" si="37"/>
        <v>0</v>
      </c>
      <c r="L41" t="str">
        <f>"1,000"</f>
        <v>1,000</v>
      </c>
      <c r="M41" t="str">
        <f t="shared" si="5"/>
        <v xml:space="preserve"> </v>
      </c>
      <c r="N41" t="str">
        <f>"PLACORD"</f>
        <v>PLACORD</v>
      </c>
      <c r="O41" t="str">
        <f>"BATERIAS"</f>
        <v>BATERIAS</v>
      </c>
      <c r="P41" t="str">
        <f t="shared" si="30"/>
        <v>0</v>
      </c>
      <c r="Q41" t="str">
        <f t="shared" si="30"/>
        <v>0</v>
      </c>
      <c r="R41" t="str">
        <f t="shared" si="31"/>
        <v>0,00</v>
      </c>
      <c r="S41" t="str">
        <f t="shared" si="31"/>
        <v>0,00</v>
      </c>
      <c r="T41" t="str">
        <f t="shared" si="32"/>
        <v xml:space="preserve"> </v>
      </c>
      <c r="U41" t="str">
        <f t="shared" si="32"/>
        <v xml:space="preserve"> </v>
      </c>
      <c r="V41" t="str">
        <f>"1,000"</f>
        <v>1,000</v>
      </c>
      <c r="W41" t="str">
        <f t="shared" si="11"/>
        <v>Lista 4</v>
      </c>
      <c r="X41" t="str">
        <f t="shared" si="12"/>
        <v>Lista 5</v>
      </c>
      <c r="Y41" t="str">
        <f t="shared" si="13"/>
        <v>Oferta Gral.</v>
      </c>
      <c r="Z41" t="str">
        <f t="shared" si="14"/>
        <v>Rubro</v>
      </c>
      <c r="AA41" t="str">
        <f t="shared" si="15"/>
        <v>Cantidad por Bulto</v>
      </c>
      <c r="AB41" t="str">
        <f t="shared" si="16"/>
        <v>INNER</v>
      </c>
      <c r="AC41" t="str">
        <f t="shared" si="17"/>
        <v>Stock en Bultos</v>
      </c>
      <c r="AD41" t="str">
        <f t="shared" si="18"/>
        <v>SubDepósito</v>
      </c>
      <c r="AE41" t="str">
        <f t="shared" si="19"/>
        <v>Marca</v>
      </c>
      <c r="AF41" t="str">
        <f t="shared" si="20"/>
        <v>Super Rubro</v>
      </c>
      <c r="AG41" t="str">
        <f t="shared" si="21"/>
        <v>ComercioExterior</v>
      </c>
      <c r="AH41" t="str">
        <f t="shared" si="22"/>
        <v>PrecioFOB</v>
      </c>
      <c r="AI41" t="str">
        <f t="shared" si="23"/>
        <v>Monto II</v>
      </c>
      <c r="AJ41" t="str">
        <f t="shared" si="24"/>
        <v>Porcentaje II</v>
      </c>
      <c r="AK41" t="str">
        <f t="shared" si="25"/>
        <v>Foto</v>
      </c>
      <c r="AL41" t="str">
        <f>"{\rtf1\ansi\ansicpg1252\deff0\deflang11274{\fonttbl{\f0\fnil\fcharset0 MS Sans Serif}} \viewkind4\uc1\pard\f0\fs16 BATERIA PLACORD FREE WATER 12V 65 AMP DER 24 X 17 X 17\par } "</f>
        <v xml:space="preserve">{\rtf1\ansi\ansicpg1252\deff0\deflang11274{\fonttbl{\f0\fnil\fcharset0 MS Sans Serif}} \viewkind4\uc1\pard\f0\fs16 BATERIA PLACORD FREE WATER 12V 65 AMP DER 24 X 17 X 17\par } </v>
      </c>
      <c r="AM41" t="str">
        <f>" "</f>
        <v xml:space="preserve"> </v>
      </c>
    </row>
    <row r="42" spans="1:39" x14ac:dyDescent="0.25">
      <c r="A42" t="str">
        <f>"PH7502"</f>
        <v>PH7502</v>
      </c>
      <c r="B42" t="str">
        <f>"BATERIA PLACORD FREE WATER 12V 75 AMP DER 27 X 17 X 17"</f>
        <v>BATERIA PLACORD FREE WATER 12V 75 AMP DER 27 X 17 X 17</v>
      </c>
      <c r="C42" t="str">
        <f>"$ 162179,75"</f>
        <v>$ 162179,75</v>
      </c>
      <c r="D42" t="str">
        <f>"$ 162179,75"</f>
        <v>$ 162179,75</v>
      </c>
      <c r="E42" t="str">
        <f>"$ 162179,75"</f>
        <v>$ 162179,75</v>
      </c>
      <c r="F42" t="str">
        <f>"$ 173763,05"</f>
        <v>$ 173763,05</v>
      </c>
      <c r="G42" t="str">
        <f>"$ 173763,05"</f>
        <v>$ 173763,05</v>
      </c>
      <c r="H42" t="str">
        <f t="shared" si="1"/>
        <v>$ 0,00</v>
      </c>
      <c r="I42" t="str">
        <f>"BATERIA"</f>
        <v>BATERIA</v>
      </c>
      <c r="J42" t="str">
        <f t="shared" si="3"/>
        <v>1</v>
      </c>
      <c r="K42" t="str">
        <f t="shared" si="37"/>
        <v>0</v>
      </c>
      <c r="L42" t="str">
        <f>"0,000"</f>
        <v>0,000</v>
      </c>
      <c r="M42" t="str">
        <f t="shared" si="5"/>
        <v xml:space="preserve"> </v>
      </c>
      <c r="N42" t="str">
        <f>"PLACORD"</f>
        <v>PLACORD</v>
      </c>
      <c r="O42" t="str">
        <f>"BATERIAS"</f>
        <v>BATERIAS</v>
      </c>
      <c r="P42" t="str">
        <f t="shared" si="30"/>
        <v>0</v>
      </c>
      <c r="Q42" t="str">
        <f t="shared" si="30"/>
        <v>0</v>
      </c>
      <c r="R42" t="str">
        <f t="shared" si="31"/>
        <v>0,00</v>
      </c>
      <c r="S42" t="str">
        <f t="shared" si="31"/>
        <v>0,00</v>
      </c>
      <c r="T42" t="str">
        <f t="shared" si="32"/>
        <v xml:space="preserve"> </v>
      </c>
      <c r="U42" t="str">
        <f t="shared" si="32"/>
        <v xml:space="preserve"> </v>
      </c>
      <c r="V42" t="str">
        <f>"0,000"</f>
        <v>0,000</v>
      </c>
      <c r="W42" t="str">
        <f t="shared" si="11"/>
        <v>Lista 4</v>
      </c>
      <c r="X42" t="str">
        <f t="shared" si="12"/>
        <v>Lista 5</v>
      </c>
      <c r="Y42" t="str">
        <f t="shared" si="13"/>
        <v>Oferta Gral.</v>
      </c>
      <c r="Z42" t="str">
        <f t="shared" si="14"/>
        <v>Rubro</v>
      </c>
      <c r="AA42" t="str">
        <f t="shared" si="15"/>
        <v>Cantidad por Bulto</v>
      </c>
      <c r="AB42" t="str">
        <f t="shared" si="16"/>
        <v>INNER</v>
      </c>
      <c r="AC42" t="str">
        <f t="shared" si="17"/>
        <v>Stock en Bultos</v>
      </c>
      <c r="AD42" t="str">
        <f t="shared" si="18"/>
        <v>SubDepósito</v>
      </c>
      <c r="AE42" t="str">
        <f t="shared" si="19"/>
        <v>Marca</v>
      </c>
      <c r="AF42" t="str">
        <f t="shared" si="20"/>
        <v>Super Rubro</v>
      </c>
      <c r="AG42" t="str">
        <f t="shared" si="21"/>
        <v>ComercioExterior</v>
      </c>
      <c r="AH42" t="str">
        <f t="shared" si="22"/>
        <v>PrecioFOB</v>
      </c>
      <c r="AI42" t="str">
        <f t="shared" si="23"/>
        <v>Monto II</v>
      </c>
      <c r="AJ42" t="str">
        <f t="shared" si="24"/>
        <v>Porcentaje II</v>
      </c>
      <c r="AK42" t="str">
        <f t="shared" si="25"/>
        <v>Foto</v>
      </c>
      <c r="AL42" t="str">
        <f>"{\rtf1\ansi\ansicpg1252\deff0\deflang11274{\fonttbl{\f0\fnil\fcharset0 MS Sans Serif}} \viewkind4\uc1\pard\f0\fs16 BATERIA PLACORD FREE WATER 12V 75 AMP DER 27 X 17 X 17\par } "</f>
        <v xml:space="preserve">{\rtf1\ansi\ansicpg1252\deff0\deflang11274{\fonttbl{\f0\fnil\fcharset0 MS Sans Serif}} \viewkind4\uc1\pard\f0\fs16 BATERIA PLACORD FREE WATER 12V 75 AMP DER 27 X 17 X 17\par } </v>
      </c>
      <c r="AM42" t="str">
        <f>"-"</f>
        <v>-</v>
      </c>
    </row>
    <row r="43" spans="1:39" x14ac:dyDescent="0.25">
      <c r="A43" t="str">
        <f>"VK210MM"</f>
        <v>VK210MM</v>
      </c>
      <c r="B43" t="str">
        <f>"BBA COMBUSTIBLE MARELLI MULTIPUNTO 3 BAR"</f>
        <v>BBA COMBUSTIBLE MARELLI MULTIPUNTO 3 BAR</v>
      </c>
      <c r="C43" t="str">
        <f>"$ 41109,26"</f>
        <v>$ 41109,26</v>
      </c>
      <c r="D43" t="str">
        <f>"$ 41109,26"</f>
        <v>$ 41109,26</v>
      </c>
      <c r="E43" t="str">
        <f>"$ 41109,26"</f>
        <v>$ 41109,26</v>
      </c>
      <c r="F43" t="str">
        <f>"$ 41109,26"</f>
        <v>$ 41109,26</v>
      </c>
      <c r="G43" t="str">
        <f>"$ 41109,26"</f>
        <v>$ 41109,26</v>
      </c>
      <c r="H43" t="str">
        <f t="shared" si="1"/>
        <v>$ 0,00</v>
      </c>
      <c r="I43" t="str">
        <f>"BOMBA COMBUSTIBLE ELECTRICA"</f>
        <v>BOMBA COMBUSTIBLE ELECTRICA</v>
      </c>
      <c r="J43" t="str">
        <f t="shared" si="3"/>
        <v>1</v>
      </c>
      <c r="K43" t="str">
        <f t="shared" si="37"/>
        <v>0</v>
      </c>
      <c r="L43" t="str">
        <f>"50,000"</f>
        <v>50,000</v>
      </c>
      <c r="M43" t="str">
        <f t="shared" si="5"/>
        <v xml:space="preserve"> </v>
      </c>
      <c r="N43" t="str">
        <f>"MARELLI"</f>
        <v>MARELLI</v>
      </c>
      <c r="O43" t="str">
        <f t="shared" ref="O43:O59" si="38">"BOMBAS"</f>
        <v>BOMBAS</v>
      </c>
      <c r="P43" t="str">
        <f t="shared" ref="P43:Q62" si="39">"0"</f>
        <v>0</v>
      </c>
      <c r="Q43" t="str">
        <f t="shared" si="39"/>
        <v>0</v>
      </c>
      <c r="R43" t="str">
        <f t="shared" ref="R43:S62" si="40">"0,00"</f>
        <v>0,00</v>
      </c>
      <c r="S43" t="str">
        <f t="shared" si="40"/>
        <v>0,00</v>
      </c>
      <c r="T43" t="str">
        <f t="shared" ref="T43:U62" si="41">" "</f>
        <v xml:space="preserve"> </v>
      </c>
      <c r="U43" t="str">
        <f t="shared" si="41"/>
        <v xml:space="preserve"> </v>
      </c>
      <c r="V43" t="str">
        <f>"50,000"</f>
        <v>50,000</v>
      </c>
      <c r="W43" t="str">
        <f t="shared" si="11"/>
        <v>Lista 4</v>
      </c>
      <c r="X43" t="str">
        <f t="shared" si="12"/>
        <v>Lista 5</v>
      </c>
      <c r="Y43" t="str">
        <f t="shared" si="13"/>
        <v>Oferta Gral.</v>
      </c>
      <c r="Z43" t="str">
        <f t="shared" si="14"/>
        <v>Rubro</v>
      </c>
      <c r="AA43" t="str">
        <f t="shared" si="15"/>
        <v>Cantidad por Bulto</v>
      </c>
      <c r="AB43" t="str">
        <f t="shared" si="16"/>
        <v>INNER</v>
      </c>
      <c r="AC43" t="str">
        <f t="shared" si="17"/>
        <v>Stock en Bultos</v>
      </c>
      <c r="AD43" t="str">
        <f t="shared" si="18"/>
        <v>SubDepósito</v>
      </c>
      <c r="AE43" t="str">
        <f t="shared" si="19"/>
        <v>Marca</v>
      </c>
      <c r="AF43" t="str">
        <f t="shared" si="20"/>
        <v>Super Rubro</v>
      </c>
      <c r="AG43" t="str">
        <f t="shared" si="21"/>
        <v>ComercioExterior</v>
      </c>
      <c r="AH43" t="str">
        <f t="shared" si="22"/>
        <v>PrecioFOB</v>
      </c>
      <c r="AI43" t="str">
        <f t="shared" si="23"/>
        <v>Monto II</v>
      </c>
      <c r="AJ43" t="str">
        <f t="shared" si="24"/>
        <v>Porcentaje II</v>
      </c>
      <c r="AK43" t="str">
        <f t="shared" si="25"/>
        <v>Foto</v>
      </c>
      <c r="AL43" t="str">
        <f>"{\rtf1\ansi\ansicpg1252\deff0\deflang11274{\fonttbl{\f0\fnil\fcharset0 MS Sans Serif}} \viewkind4\uc1\pard\f0\fs16 BBA COMBUSTIBLE MARELLI MULTIPUNTO 3 BAR\par } "</f>
        <v xml:space="preserve">{\rtf1\ansi\ansicpg1252\deff0\deflang11274{\fonttbl{\f0\fnil\fcharset0 MS Sans Serif}} \viewkind4\uc1\pard\f0\fs16 BBA COMBUSTIBLE MARELLI MULTIPUNTO 3 BAR\par } </v>
      </c>
      <c r="AM43" t="str">
        <f>" "</f>
        <v xml:space="preserve"> </v>
      </c>
    </row>
    <row r="44" spans="1:39" x14ac:dyDescent="0.25">
      <c r="A44" t="str">
        <f>"VK210KTS"</f>
        <v>VK210KTS</v>
      </c>
      <c r="B44" t="str">
        <f>"BBA DE COMBUSTIBLE VK-210 KIT APLICACION"</f>
        <v>BBA DE COMBUSTIBLE VK-210 KIT APLICACION</v>
      </c>
      <c r="C44" t="str">
        <f>"$ 244,24"</f>
        <v>$ 244,24</v>
      </c>
      <c r="D44" t="str">
        <f>"$ 218,60"</f>
        <v>$ 218,60</v>
      </c>
      <c r="E44" t="str">
        <f>"$ 244,24"</f>
        <v>$ 244,24</v>
      </c>
      <c r="F44" t="str">
        <f>"$ 0,00"</f>
        <v>$ 0,00</v>
      </c>
      <c r="G44" t="str">
        <f>"$ 0,00"</f>
        <v>$ 0,00</v>
      </c>
      <c r="H44" t="str">
        <f t="shared" si="1"/>
        <v>$ 0,00</v>
      </c>
      <c r="I44" t="str">
        <f>"KIT REPARACIÓN BOMBA COMBUSTIBLE"</f>
        <v>KIT REPARACIÓN BOMBA COMBUSTIBLE</v>
      </c>
      <c r="J44" t="str">
        <f t="shared" si="3"/>
        <v>1</v>
      </c>
      <c r="K44" t="str">
        <f t="shared" si="37"/>
        <v>0</v>
      </c>
      <c r="L44" t="str">
        <f>"1,000"</f>
        <v>1,000</v>
      </c>
      <c r="M44" t="str">
        <f t="shared" si="5"/>
        <v xml:space="preserve"> </v>
      </c>
      <c r="N44" t="str">
        <f>"VERKEHR"</f>
        <v>VERKEHR</v>
      </c>
      <c r="O44" t="str">
        <f t="shared" si="38"/>
        <v>BOMBAS</v>
      </c>
      <c r="P44" t="str">
        <f t="shared" si="39"/>
        <v>0</v>
      </c>
      <c r="Q44" t="str">
        <f t="shared" si="39"/>
        <v>0</v>
      </c>
      <c r="R44" t="str">
        <f t="shared" si="40"/>
        <v>0,00</v>
      </c>
      <c r="S44" t="str">
        <f t="shared" si="40"/>
        <v>0,00</v>
      </c>
      <c r="T44" t="str">
        <f t="shared" si="41"/>
        <v xml:space="preserve"> </v>
      </c>
      <c r="U44" t="str">
        <f t="shared" si="41"/>
        <v xml:space="preserve"> </v>
      </c>
      <c r="V44" t="str">
        <f>"1,000"</f>
        <v>1,000</v>
      </c>
      <c r="W44" t="str">
        <f t="shared" si="11"/>
        <v>Lista 4</v>
      </c>
      <c r="X44" t="str">
        <f t="shared" si="12"/>
        <v>Lista 5</v>
      </c>
      <c r="Y44" t="str">
        <f t="shared" si="13"/>
        <v>Oferta Gral.</v>
      </c>
      <c r="Z44" t="str">
        <f t="shared" si="14"/>
        <v>Rubro</v>
      </c>
      <c r="AA44" t="str">
        <f t="shared" si="15"/>
        <v>Cantidad por Bulto</v>
      </c>
      <c r="AB44" t="str">
        <f t="shared" si="16"/>
        <v>INNER</v>
      </c>
      <c r="AC44" t="str">
        <f t="shared" si="17"/>
        <v>Stock en Bultos</v>
      </c>
      <c r="AD44" t="str">
        <f t="shared" si="18"/>
        <v>SubDepósito</v>
      </c>
      <c r="AE44" t="str">
        <f t="shared" si="19"/>
        <v>Marca</v>
      </c>
      <c r="AF44" t="str">
        <f t="shared" si="20"/>
        <v>Super Rubro</v>
      </c>
      <c r="AG44" t="str">
        <f t="shared" si="21"/>
        <v>ComercioExterior</v>
      </c>
      <c r="AH44" t="str">
        <f t="shared" si="22"/>
        <v>PrecioFOB</v>
      </c>
      <c r="AI44" t="str">
        <f t="shared" si="23"/>
        <v>Monto II</v>
      </c>
      <c r="AJ44" t="str">
        <f t="shared" si="24"/>
        <v>Porcentaje II</v>
      </c>
      <c r="AK44" t="str">
        <f t="shared" si="25"/>
        <v>Foto</v>
      </c>
      <c r="AL4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4" t="str">
        <f>"-"</f>
        <v>-</v>
      </c>
    </row>
    <row r="45" spans="1:39" x14ac:dyDescent="0.25">
      <c r="A45" t="str">
        <f>"VK477KTS"</f>
        <v>VK477KTS</v>
      </c>
      <c r="B45" t="str">
        <f>"BBA DE COMBUSTIBLE VK-477 KIT DE APLICACION"</f>
        <v>BBA DE COMBUSTIBLE VK-477 KIT DE APLICACION</v>
      </c>
      <c r="C45" t="str">
        <f>"$ 6028,59"</f>
        <v>$ 6028,59</v>
      </c>
      <c r="D45" t="str">
        <f>"$ 6028,59"</f>
        <v>$ 6028,59</v>
      </c>
      <c r="E45" t="str">
        <f>"$ 6028,59"</f>
        <v>$ 6028,59</v>
      </c>
      <c r="F45" t="str">
        <f>"$ 0,00"</f>
        <v>$ 0,00</v>
      </c>
      <c r="G45" t="str">
        <f>"$ 0,00"</f>
        <v>$ 0,00</v>
      </c>
      <c r="H45" t="str">
        <f t="shared" si="1"/>
        <v>$ 0,00</v>
      </c>
      <c r="I45" t="str">
        <f>"KIT REPARACIÓN BOMBA COMBUSTIBLE"</f>
        <v>KIT REPARACIÓN BOMBA COMBUSTIBLE</v>
      </c>
      <c r="J45" t="str">
        <f t="shared" si="3"/>
        <v>1</v>
      </c>
      <c r="K45" t="str">
        <f t="shared" si="37"/>
        <v>0</v>
      </c>
      <c r="L45" t="str">
        <f>"67,000"</f>
        <v>67,000</v>
      </c>
      <c r="M45" t="str">
        <f t="shared" si="5"/>
        <v xml:space="preserve"> </v>
      </c>
      <c r="N45" t="str">
        <f>"VERKEHR"</f>
        <v>VERKEHR</v>
      </c>
      <c r="O45" t="str">
        <f t="shared" si="38"/>
        <v>BOMBAS</v>
      </c>
      <c r="P45" t="str">
        <f t="shared" si="39"/>
        <v>0</v>
      </c>
      <c r="Q45" t="str">
        <f t="shared" si="39"/>
        <v>0</v>
      </c>
      <c r="R45" t="str">
        <f t="shared" si="40"/>
        <v>0,00</v>
      </c>
      <c r="S45" t="str">
        <f t="shared" si="40"/>
        <v>0,00</v>
      </c>
      <c r="T45" t="str">
        <f t="shared" si="41"/>
        <v xml:space="preserve"> </v>
      </c>
      <c r="U45" t="str">
        <f t="shared" si="41"/>
        <v xml:space="preserve"> </v>
      </c>
      <c r="V45" t="str">
        <f>"67,000"</f>
        <v>67,000</v>
      </c>
      <c r="W45" t="str">
        <f t="shared" si="11"/>
        <v>Lista 4</v>
      </c>
      <c r="X45" t="str">
        <f t="shared" si="12"/>
        <v>Lista 5</v>
      </c>
      <c r="Y45" t="str">
        <f t="shared" si="13"/>
        <v>Oferta Gral.</v>
      </c>
      <c r="Z45" t="str">
        <f t="shared" si="14"/>
        <v>Rubro</v>
      </c>
      <c r="AA45" t="str">
        <f t="shared" si="15"/>
        <v>Cantidad por Bulto</v>
      </c>
      <c r="AB45" t="str">
        <f t="shared" si="16"/>
        <v>INNER</v>
      </c>
      <c r="AC45" t="str">
        <f t="shared" si="17"/>
        <v>Stock en Bultos</v>
      </c>
      <c r="AD45" t="str">
        <f t="shared" si="18"/>
        <v>SubDepósito</v>
      </c>
      <c r="AE45" t="str">
        <f t="shared" si="19"/>
        <v>Marca</v>
      </c>
      <c r="AF45" t="str">
        <f t="shared" si="20"/>
        <v>Super Rubro</v>
      </c>
      <c r="AG45" t="str">
        <f t="shared" si="21"/>
        <v>ComercioExterior</v>
      </c>
      <c r="AH45" t="str">
        <f t="shared" si="22"/>
        <v>PrecioFOB</v>
      </c>
      <c r="AI45" t="str">
        <f t="shared" si="23"/>
        <v>Monto II</v>
      </c>
      <c r="AJ45" t="str">
        <f t="shared" si="24"/>
        <v>Porcentaje II</v>
      </c>
      <c r="AK45" t="str">
        <f t="shared" si="25"/>
        <v>Foto</v>
      </c>
      <c r="AL45" t="str">
        <f>"{\rtf1\ansi\ansicpg1252\deff0\deflang2058{\fonttbl{\f0\fnil\fcharset0 MS Sans Serif}} \viewkind4\uc1\pard\f0\fs16 BBA DE COMBUSTIBLE VK-477 KIT DE APLICACION\par } "</f>
        <v xml:space="preserve">{\rtf1\ansi\ansicpg1252\deff0\deflang2058{\fonttbl{\f0\fnil\fcharset0 MS Sans Serif}} \viewkind4\uc1\pard\f0\fs16 BBA DE COMBUSTIBLE VK-477 KIT DE APLICACION\par } </v>
      </c>
      <c r="AM45" t="str">
        <f>"-"</f>
        <v>-</v>
      </c>
    </row>
    <row r="46" spans="1:39" x14ac:dyDescent="0.25">
      <c r="A46" t="str">
        <f>"RGUE8012S"</f>
        <v>RGUE8012S</v>
      </c>
      <c r="B46" t="str">
        <f>"BBA NAFTA ELECTRICA UNIVERSAL  USO EXTERNO TIPO AIRTEX"</f>
        <v>BBA NAFTA ELECTRICA UNIVERSAL  USO EXTERNO TIPO AIRTEX</v>
      </c>
      <c r="C46" t="str">
        <f>"$ 33109,76"</f>
        <v>$ 33109,76</v>
      </c>
      <c r="D46" t="str">
        <f>"$ 33109,76"</f>
        <v>$ 33109,76</v>
      </c>
      <c r="E46" t="str">
        <f>"$ 33109,76"</f>
        <v>$ 33109,76</v>
      </c>
      <c r="F46" t="str">
        <f>"$ 33109,76"</f>
        <v>$ 33109,76</v>
      </c>
      <c r="G46" t="str">
        <f>"$ 33109,76"</f>
        <v>$ 33109,76</v>
      </c>
      <c r="H46" t="str">
        <f t="shared" si="1"/>
        <v>$ 0,00</v>
      </c>
      <c r="I46" t="str">
        <f t="shared" ref="I46:I59" si="42">"BOMBA COMBUSTIBLE ELECTRICA"</f>
        <v>BOMBA COMBUSTIBLE ELECTRICA</v>
      </c>
      <c r="J46" t="str">
        <f t="shared" si="3"/>
        <v>1</v>
      </c>
      <c r="K46" t="str">
        <f t="shared" si="37"/>
        <v>0</v>
      </c>
      <c r="L46" t="str">
        <f>"18,000"</f>
        <v>18,000</v>
      </c>
      <c r="M46" t="str">
        <f t="shared" si="5"/>
        <v xml:space="preserve"> </v>
      </c>
      <c r="N46" t="str">
        <f t="shared" ref="N46:N58" si="43">"REGITAR"</f>
        <v>REGITAR</v>
      </c>
      <c r="O46" t="str">
        <f t="shared" si="38"/>
        <v>BOMBAS</v>
      </c>
      <c r="P46" t="str">
        <f t="shared" si="39"/>
        <v>0</v>
      </c>
      <c r="Q46" t="str">
        <f t="shared" si="39"/>
        <v>0</v>
      </c>
      <c r="R46" t="str">
        <f t="shared" si="40"/>
        <v>0,00</v>
      </c>
      <c r="S46" t="str">
        <f t="shared" si="40"/>
        <v>0,00</v>
      </c>
      <c r="T46" t="str">
        <f t="shared" si="41"/>
        <v xml:space="preserve"> </v>
      </c>
      <c r="U46" t="str">
        <f t="shared" si="41"/>
        <v xml:space="preserve"> </v>
      </c>
      <c r="V46" t="str">
        <f>"18,000"</f>
        <v>18,000</v>
      </c>
      <c r="W46" t="str">
        <f t="shared" si="11"/>
        <v>Lista 4</v>
      </c>
      <c r="X46" t="str">
        <f t="shared" si="12"/>
        <v>Lista 5</v>
      </c>
      <c r="Y46" t="str">
        <f t="shared" si="13"/>
        <v>Oferta Gral.</v>
      </c>
      <c r="Z46" t="str">
        <f t="shared" si="14"/>
        <v>Rubro</v>
      </c>
      <c r="AA46" t="str">
        <f t="shared" si="15"/>
        <v>Cantidad por Bulto</v>
      </c>
      <c r="AB46" t="str">
        <f t="shared" si="16"/>
        <v>INNER</v>
      </c>
      <c r="AC46" t="str">
        <f t="shared" si="17"/>
        <v>Stock en Bultos</v>
      </c>
      <c r="AD46" t="str">
        <f t="shared" si="18"/>
        <v>SubDepósito</v>
      </c>
      <c r="AE46" t="str">
        <f t="shared" si="19"/>
        <v>Marca</v>
      </c>
      <c r="AF46" t="str">
        <f t="shared" si="20"/>
        <v>Super Rubro</v>
      </c>
      <c r="AG46" t="str">
        <f t="shared" si="21"/>
        <v>ComercioExterior</v>
      </c>
      <c r="AH46" t="str">
        <f t="shared" si="22"/>
        <v>PrecioFOB</v>
      </c>
      <c r="AI46" t="str">
        <f t="shared" si="23"/>
        <v>Monto II</v>
      </c>
      <c r="AJ46" t="str">
        <f t="shared" si="24"/>
        <v>Porcentaje II</v>
      </c>
      <c r="AK46" t="str">
        <f t="shared" si="25"/>
        <v>Foto</v>
      </c>
      <c r="AL46" t="str">
        <f>"{\rtf1\ansi\ansicpg1252\deff0\deflang11274{\fonttbl{\f0\fnil\fcharset0 MS Sans Serif}} \viewkind4\uc1\pard\f0\fs16 BBA NAFTA ELECTRICA UNIVERSAL  USO EXTERNO TIPO AIRTEX\par } "</f>
        <v xml:space="preserve">{\rtf1\ansi\ansicpg1252\deff0\deflang11274{\fonttbl{\f0\fnil\fcharset0 MS Sans Serif}} \viewkind4\uc1\pard\f0\fs16 BBA NAFTA ELECTRICA UNIVERSAL  USO EXTERNO TIPO AIRTEX\par } </v>
      </c>
      <c r="AM46" t="str">
        <f>" "</f>
        <v xml:space="preserve"> </v>
      </c>
    </row>
    <row r="47" spans="1:39" x14ac:dyDescent="0.25">
      <c r="A47" t="str">
        <f>"RGU290"</f>
        <v>RGU290</v>
      </c>
      <c r="B47" t="str">
        <f>"BBA. NAFTA ELECTR. FIAT PALIO, SIENA, RENAULT MEGANE, 19, PEUGEOT, FORD 3,5 BAR. 12V."</f>
        <v>BBA. NAFTA ELECTR. FIAT PALIO, SIENA, RENAULT MEGANE, 19, PEUGEOT, FORD 3,5 BAR. 12V.</v>
      </c>
      <c r="C47" t="str">
        <f>"$ 33479,29"</f>
        <v>$ 33479,29</v>
      </c>
      <c r="D47" t="str">
        <f>"$ 33479,29"</f>
        <v>$ 33479,29</v>
      </c>
      <c r="E47" t="str">
        <f>"$ 33479,29"</f>
        <v>$ 33479,29</v>
      </c>
      <c r="F47" t="str">
        <f>"$ 33479,29"</f>
        <v>$ 33479,29</v>
      </c>
      <c r="G47" t="str">
        <f>"$ 33479,29"</f>
        <v>$ 33479,29</v>
      </c>
      <c r="H47" t="str">
        <f t="shared" si="1"/>
        <v>$ 0,00</v>
      </c>
      <c r="I47" t="str">
        <f t="shared" si="42"/>
        <v>BOMBA COMBUSTIBLE ELECTRICA</v>
      </c>
      <c r="J47" t="str">
        <f t="shared" si="3"/>
        <v>1</v>
      </c>
      <c r="K47" t="str">
        <f t="shared" si="37"/>
        <v>0</v>
      </c>
      <c r="L47" t="str">
        <f>"7,000"</f>
        <v>7,000</v>
      </c>
      <c r="M47" t="str">
        <f t="shared" si="5"/>
        <v xml:space="preserve"> </v>
      </c>
      <c r="N47" t="str">
        <f t="shared" si="43"/>
        <v>REGITAR</v>
      </c>
      <c r="O47" t="str">
        <f t="shared" si="38"/>
        <v>BOMBAS</v>
      </c>
      <c r="P47" t="str">
        <f t="shared" si="39"/>
        <v>0</v>
      </c>
      <c r="Q47" t="str">
        <f t="shared" si="39"/>
        <v>0</v>
      </c>
      <c r="R47" t="str">
        <f t="shared" si="40"/>
        <v>0,00</v>
      </c>
      <c r="S47" t="str">
        <f t="shared" si="40"/>
        <v>0,00</v>
      </c>
      <c r="T47" t="str">
        <f t="shared" si="41"/>
        <v xml:space="preserve"> </v>
      </c>
      <c r="U47" t="str">
        <f t="shared" si="41"/>
        <v xml:space="preserve"> </v>
      </c>
      <c r="V47" t="str">
        <f>"7,000"</f>
        <v>7,000</v>
      </c>
      <c r="W47" t="str">
        <f t="shared" si="11"/>
        <v>Lista 4</v>
      </c>
      <c r="X47" t="str">
        <f t="shared" si="12"/>
        <v>Lista 5</v>
      </c>
      <c r="Y47" t="str">
        <f t="shared" si="13"/>
        <v>Oferta Gral.</v>
      </c>
      <c r="Z47" t="str">
        <f t="shared" si="14"/>
        <v>Rubro</v>
      </c>
      <c r="AA47" t="str">
        <f t="shared" si="15"/>
        <v>Cantidad por Bulto</v>
      </c>
      <c r="AB47" t="str">
        <f t="shared" si="16"/>
        <v>INNER</v>
      </c>
      <c r="AC47" t="str">
        <f t="shared" si="17"/>
        <v>Stock en Bultos</v>
      </c>
      <c r="AD47" t="str">
        <f t="shared" si="18"/>
        <v>SubDepósito</v>
      </c>
      <c r="AE47" t="str">
        <f t="shared" si="19"/>
        <v>Marca</v>
      </c>
      <c r="AF47" t="str">
        <f t="shared" si="20"/>
        <v>Super Rubro</v>
      </c>
      <c r="AG47" t="str">
        <f t="shared" si="21"/>
        <v>ComercioExterior</v>
      </c>
      <c r="AH47" t="str">
        <f t="shared" si="22"/>
        <v>PrecioFOB</v>
      </c>
      <c r="AI47" t="str">
        <f t="shared" si="23"/>
        <v>Monto II</v>
      </c>
      <c r="AJ47" t="str">
        <f t="shared" si="24"/>
        <v>Porcentaje II</v>
      </c>
      <c r="AK47" t="str">
        <f t="shared" si="25"/>
        <v>Foto</v>
      </c>
      <c r="AL47" t="str">
        <f>"{\rtf1\ansi\ansicpg1252\deff0\deflang11274{\fonttbl{\f0\fnil\fcharset0 MS Sans Serif}} \viewkind4\uc1\pard\f0\fs16 BBA. NAFTA ELECTR. FIAT PALIO, SIENA, RENAULT MEGANE, 19, PEUGEOT, FORD 3,5 BAR. 12V.\par } "</f>
        <v xml:space="preserve">{\rtf1\ansi\ansicpg1252\deff0\deflang11274{\fonttbl{\f0\fnil\fcharset0 MS Sans Serif}} \viewkind4\uc1\pard\f0\fs16 BBA. NAFTA ELECTR. FIAT PALIO, SIENA, RENAULT MEGANE, 19, PEUGEOT, FORD 3,5 BAR. 12V.\par } </v>
      </c>
      <c r="AM47" t="str">
        <f t="shared" ref="AM47:AM58" si="44">"-"</f>
        <v>-</v>
      </c>
    </row>
    <row r="48" spans="1:39" x14ac:dyDescent="0.25">
      <c r="A48" t="str">
        <f>"RGU477"</f>
        <v>RGU477</v>
      </c>
      <c r="B48" t="str">
        <f>"BBA. NAFTA ELECTR. FIAT, FORD, RENAULT, CHEVRLOET. MULTIPUNTO. 3 BAR. 12V."</f>
        <v>BBA. NAFTA ELECTR. FIAT, FORD, RENAULT, CHEVRLOET. MULTIPUNTO. 3 BAR. 12V.</v>
      </c>
      <c r="C48" t="str">
        <f>"$ 21313,85"</f>
        <v>$ 21313,85</v>
      </c>
      <c r="D48" t="str">
        <f>"$ 21313,85"</f>
        <v>$ 21313,85</v>
      </c>
      <c r="E48" t="str">
        <f>"$ 21313,85"</f>
        <v>$ 21313,85</v>
      </c>
      <c r="F48" t="str">
        <f>"$ 21313,85"</f>
        <v>$ 21313,85</v>
      </c>
      <c r="G48" t="str">
        <f>"$ 21313,85"</f>
        <v>$ 21313,85</v>
      </c>
      <c r="H48" t="str">
        <f t="shared" si="1"/>
        <v>$ 0,00</v>
      </c>
      <c r="I48" t="str">
        <f t="shared" si="42"/>
        <v>BOMBA COMBUSTIBLE ELECTRICA</v>
      </c>
      <c r="J48" t="str">
        <f t="shared" si="3"/>
        <v>1</v>
      </c>
      <c r="K48" t="str">
        <f t="shared" si="37"/>
        <v>0</v>
      </c>
      <c r="L48" t="str">
        <f>"310,000"</f>
        <v>310,000</v>
      </c>
      <c r="M48" t="str">
        <f t="shared" si="5"/>
        <v xml:space="preserve"> </v>
      </c>
      <c r="N48" t="str">
        <f t="shared" si="43"/>
        <v>REGITAR</v>
      </c>
      <c r="O48" t="str">
        <f t="shared" si="38"/>
        <v>BOMBAS</v>
      </c>
      <c r="P48" t="str">
        <f t="shared" si="39"/>
        <v>0</v>
      </c>
      <c r="Q48" t="str">
        <f t="shared" si="39"/>
        <v>0</v>
      </c>
      <c r="R48" t="str">
        <f t="shared" si="40"/>
        <v>0,00</v>
      </c>
      <c r="S48" t="str">
        <f t="shared" si="40"/>
        <v>0,00</v>
      </c>
      <c r="T48" t="str">
        <f t="shared" si="41"/>
        <v xml:space="preserve"> </v>
      </c>
      <c r="U48" t="str">
        <f t="shared" si="41"/>
        <v xml:space="preserve"> </v>
      </c>
      <c r="V48" t="str">
        <f>"310,000"</f>
        <v>310,000</v>
      </c>
      <c r="W48" t="str">
        <f t="shared" si="11"/>
        <v>Lista 4</v>
      </c>
      <c r="X48" t="str">
        <f t="shared" si="12"/>
        <v>Lista 5</v>
      </c>
      <c r="Y48" t="str">
        <f t="shared" si="13"/>
        <v>Oferta Gral.</v>
      </c>
      <c r="Z48" t="str">
        <f t="shared" si="14"/>
        <v>Rubro</v>
      </c>
      <c r="AA48" t="str">
        <f t="shared" si="15"/>
        <v>Cantidad por Bulto</v>
      </c>
      <c r="AB48" t="str">
        <f t="shared" si="16"/>
        <v>INNER</v>
      </c>
      <c r="AC48" t="str">
        <f t="shared" si="17"/>
        <v>Stock en Bultos</v>
      </c>
      <c r="AD48" t="str">
        <f t="shared" si="18"/>
        <v>SubDepósito</v>
      </c>
      <c r="AE48" t="str">
        <f t="shared" si="19"/>
        <v>Marca</v>
      </c>
      <c r="AF48" t="str">
        <f t="shared" si="20"/>
        <v>Super Rubro</v>
      </c>
      <c r="AG48" t="str">
        <f t="shared" si="21"/>
        <v>ComercioExterior</v>
      </c>
      <c r="AH48" t="str">
        <f t="shared" si="22"/>
        <v>PrecioFOB</v>
      </c>
      <c r="AI48" t="str">
        <f t="shared" si="23"/>
        <v>Monto II</v>
      </c>
      <c r="AJ48" t="str">
        <f t="shared" si="24"/>
        <v>Porcentaje II</v>
      </c>
      <c r="AK48" t="str">
        <f t="shared" si="25"/>
        <v>Foto</v>
      </c>
      <c r="AL48" t="str">
        <f>"{\rtf1\ansi\ansicpg1252\deff0\deflang11274{\fonttbl{\f0\fnil\fcharset0 MS Sans Serif}} \viewkind4\uc1\pard\f0\fs16 BBA. NAFTA ELECTR. FIAT, FORD, RENAULT, CHEVRLOET. MULTIPUNTO. 3 BAR. 12V.\par } "</f>
        <v xml:space="preserve">{\rtf1\ansi\ansicpg1252\deff0\deflang11274{\fonttbl{\f0\fnil\fcharset0 MS Sans Serif}} \viewkind4\uc1\pard\f0\fs16 BBA. NAFTA ELECTR. FIAT, FORD, RENAULT, CHEVRLOET. MULTIPUNTO. 3 BAR. 12V.\par } </v>
      </c>
      <c r="AM48" t="str">
        <f t="shared" si="44"/>
        <v>-</v>
      </c>
    </row>
    <row r="49" spans="1:39" x14ac:dyDescent="0.25">
      <c r="A49" t="str">
        <f>"RGU209"</f>
        <v>RGU209</v>
      </c>
      <c r="B49" t="str">
        <f>"BBA. NAFTA ELECTR. FIAT, FORD, RENAULT, VOLKSWAGEN.PICO VERDE MONOPUNTO. 1,5 BAR. 12V."</f>
        <v>BBA. NAFTA ELECTR. FIAT, FORD, RENAULT, VOLKSWAGEN.PICO VERDE MONOPUNTO. 1,5 BAR. 12V.</v>
      </c>
      <c r="C49" t="str">
        <f>"$ 35854,83"</f>
        <v>$ 35854,83</v>
      </c>
      <c r="D49" t="str">
        <f>"$ 35854,83"</f>
        <v>$ 35854,83</v>
      </c>
      <c r="E49" t="str">
        <f>"$ 35854,83"</f>
        <v>$ 35854,83</v>
      </c>
      <c r="F49" t="str">
        <f>"$ 35854,83"</f>
        <v>$ 35854,83</v>
      </c>
      <c r="G49" t="str">
        <f>"$ 35854,83"</f>
        <v>$ 35854,83</v>
      </c>
      <c r="H49" t="str">
        <f t="shared" si="1"/>
        <v>$ 0,00</v>
      </c>
      <c r="I49" t="str">
        <f t="shared" si="42"/>
        <v>BOMBA COMBUSTIBLE ELECTRICA</v>
      </c>
      <c r="J49" t="str">
        <f t="shared" si="3"/>
        <v>1</v>
      </c>
      <c r="K49" t="str">
        <f t="shared" si="37"/>
        <v>0</v>
      </c>
      <c r="L49" t="str">
        <f>"4,000"</f>
        <v>4,000</v>
      </c>
      <c r="M49" t="str">
        <f t="shared" si="5"/>
        <v xml:space="preserve"> </v>
      </c>
      <c r="N49" t="str">
        <f t="shared" si="43"/>
        <v>REGITAR</v>
      </c>
      <c r="O49" t="str">
        <f t="shared" si="38"/>
        <v>BOMBAS</v>
      </c>
      <c r="P49" t="str">
        <f t="shared" si="39"/>
        <v>0</v>
      </c>
      <c r="Q49" t="str">
        <f t="shared" si="39"/>
        <v>0</v>
      </c>
      <c r="R49" t="str">
        <f t="shared" si="40"/>
        <v>0,00</v>
      </c>
      <c r="S49" t="str">
        <f t="shared" si="40"/>
        <v>0,00</v>
      </c>
      <c r="T49" t="str">
        <f t="shared" si="41"/>
        <v xml:space="preserve"> </v>
      </c>
      <c r="U49" t="str">
        <f t="shared" si="41"/>
        <v xml:space="preserve"> </v>
      </c>
      <c r="V49" t="str">
        <f>"4,000"</f>
        <v>4,000</v>
      </c>
      <c r="W49" t="str">
        <f t="shared" si="11"/>
        <v>Lista 4</v>
      </c>
      <c r="X49" t="str">
        <f t="shared" si="12"/>
        <v>Lista 5</v>
      </c>
      <c r="Y49" t="str">
        <f t="shared" si="13"/>
        <v>Oferta Gral.</v>
      </c>
      <c r="Z49" t="str">
        <f t="shared" si="14"/>
        <v>Rubro</v>
      </c>
      <c r="AA49" t="str">
        <f t="shared" si="15"/>
        <v>Cantidad por Bulto</v>
      </c>
      <c r="AB49" t="str">
        <f t="shared" si="16"/>
        <v>INNER</v>
      </c>
      <c r="AC49" t="str">
        <f t="shared" si="17"/>
        <v>Stock en Bultos</v>
      </c>
      <c r="AD49" t="str">
        <f t="shared" si="18"/>
        <v>SubDepósito</v>
      </c>
      <c r="AE49" t="str">
        <f t="shared" si="19"/>
        <v>Marca</v>
      </c>
      <c r="AF49" t="str">
        <f t="shared" si="20"/>
        <v>Super Rubro</v>
      </c>
      <c r="AG49" t="str">
        <f t="shared" si="21"/>
        <v>ComercioExterior</v>
      </c>
      <c r="AH49" t="str">
        <f t="shared" si="22"/>
        <v>PrecioFOB</v>
      </c>
      <c r="AI49" t="str">
        <f t="shared" si="23"/>
        <v>Monto II</v>
      </c>
      <c r="AJ49" t="str">
        <f t="shared" si="24"/>
        <v>Porcentaje II</v>
      </c>
      <c r="AK49" t="str">
        <f t="shared" si="25"/>
        <v>Foto</v>
      </c>
      <c r="AL49" t="str">
        <f>"{\rtf1\ansi\ansicpg1252\deff0\deflang11274{\fonttbl{\f0\fnil\fcharset0 MS Sans Serif}} \viewkind4\uc1\pard\f0\fs16 BBA. NAFTA ELECTR. FIAT, FORD, RENAULT, VOLKSWAGEN.PICO VERDE MONOPUNTO. 1,5 BAR. 12V.\par } "</f>
        <v xml:space="preserve">{\rtf1\ansi\ansicpg1252\deff0\deflang11274{\fonttbl{\f0\fnil\fcharset0 MS Sans Serif}} \viewkind4\uc1\pard\f0\fs16 BBA. NAFTA ELECTR. FIAT, FORD, RENAULT, VOLKSWAGEN.PICO VERDE MONOPUNTO. 1,5 BAR. 12V.\par } </v>
      </c>
      <c r="AM49" t="str">
        <f t="shared" si="44"/>
        <v>-</v>
      </c>
    </row>
    <row r="50" spans="1:39" x14ac:dyDescent="0.25">
      <c r="A50" t="str">
        <f>"RGU210"</f>
        <v>RGU210</v>
      </c>
      <c r="B50" t="str">
        <f>"BBA. NAFTA ELECTR. FIAT, FORD, RENAULT, VOLKSWAGEN.PICO VERDE MULTIPUNTO. 3 BAR. 12V."</f>
        <v>BBA. NAFTA ELECTR. FIAT, FORD, RENAULT, VOLKSWAGEN.PICO VERDE MULTIPUNTO. 3 BAR. 12V.</v>
      </c>
      <c r="C50" t="str">
        <f>"$ 35970,98"</f>
        <v>$ 35970,98</v>
      </c>
      <c r="D50" t="str">
        <f>"$ 35970,98"</f>
        <v>$ 35970,98</v>
      </c>
      <c r="E50" t="str">
        <f>"$ 35970,98"</f>
        <v>$ 35970,98</v>
      </c>
      <c r="F50" t="str">
        <f>"$ 35970,98"</f>
        <v>$ 35970,98</v>
      </c>
      <c r="G50" t="str">
        <f>"$ 35970,98"</f>
        <v>$ 35970,98</v>
      </c>
      <c r="H50" t="str">
        <f t="shared" si="1"/>
        <v>$ 0,00</v>
      </c>
      <c r="I50" t="str">
        <f t="shared" si="42"/>
        <v>BOMBA COMBUSTIBLE ELECTRICA</v>
      </c>
      <c r="J50" t="str">
        <f t="shared" si="3"/>
        <v>1</v>
      </c>
      <c r="K50" t="str">
        <f t="shared" si="37"/>
        <v>0</v>
      </c>
      <c r="L50" t="str">
        <f>"12,000"</f>
        <v>12,000</v>
      </c>
      <c r="M50" t="str">
        <f t="shared" si="5"/>
        <v xml:space="preserve"> </v>
      </c>
      <c r="N50" t="str">
        <f t="shared" si="43"/>
        <v>REGITAR</v>
      </c>
      <c r="O50" t="str">
        <f t="shared" si="38"/>
        <v>BOMBAS</v>
      </c>
      <c r="P50" t="str">
        <f t="shared" si="39"/>
        <v>0</v>
      </c>
      <c r="Q50" t="str">
        <f t="shared" si="39"/>
        <v>0</v>
      </c>
      <c r="R50" t="str">
        <f t="shared" si="40"/>
        <v>0,00</v>
      </c>
      <c r="S50" t="str">
        <f t="shared" si="40"/>
        <v>0,00</v>
      </c>
      <c r="T50" t="str">
        <f t="shared" si="41"/>
        <v xml:space="preserve"> </v>
      </c>
      <c r="U50" t="str">
        <f t="shared" si="41"/>
        <v xml:space="preserve"> </v>
      </c>
      <c r="V50" t="str">
        <f>"12,000"</f>
        <v>12,000</v>
      </c>
      <c r="W50" t="str">
        <f t="shared" si="11"/>
        <v>Lista 4</v>
      </c>
      <c r="X50" t="str">
        <f t="shared" si="12"/>
        <v>Lista 5</v>
      </c>
      <c r="Y50" t="str">
        <f t="shared" si="13"/>
        <v>Oferta Gral.</v>
      </c>
      <c r="Z50" t="str">
        <f t="shared" si="14"/>
        <v>Rubro</v>
      </c>
      <c r="AA50" t="str">
        <f t="shared" si="15"/>
        <v>Cantidad por Bulto</v>
      </c>
      <c r="AB50" t="str">
        <f t="shared" si="16"/>
        <v>INNER</v>
      </c>
      <c r="AC50" t="str">
        <f t="shared" si="17"/>
        <v>Stock en Bultos</v>
      </c>
      <c r="AD50" t="str">
        <f t="shared" si="18"/>
        <v>SubDepósito</v>
      </c>
      <c r="AE50" t="str">
        <f t="shared" si="19"/>
        <v>Marca</v>
      </c>
      <c r="AF50" t="str">
        <f t="shared" si="20"/>
        <v>Super Rubro</v>
      </c>
      <c r="AG50" t="str">
        <f t="shared" si="21"/>
        <v>ComercioExterior</v>
      </c>
      <c r="AH50" t="str">
        <f t="shared" si="22"/>
        <v>PrecioFOB</v>
      </c>
      <c r="AI50" t="str">
        <f t="shared" si="23"/>
        <v>Monto II</v>
      </c>
      <c r="AJ50" t="str">
        <f t="shared" si="24"/>
        <v>Porcentaje II</v>
      </c>
      <c r="AK50" t="str">
        <f t="shared" si="25"/>
        <v>Foto</v>
      </c>
      <c r="AL50" t="str">
        <f>"{\rtf1\ansi\ansicpg1252\deff0\deflang11274{\fonttbl{\f0\fnil\fcharset0 MS Sans Serif}} \viewkind4\uc1\pard\f0\fs16 BBA. NAFTA ELECTR. FIAT, FORD, RENAULT, VOLKSWAGEN.PICO VERDE MULTIPUNTO. 3 BAR. 12V.\par } "</f>
        <v xml:space="preserve">{\rtf1\ansi\ansicpg1252\deff0\deflang11274{\fonttbl{\f0\fnil\fcharset0 MS Sans Serif}} \viewkind4\uc1\pard\f0\fs16 BBA. NAFTA ELECTR. FIAT, FORD, RENAULT, VOLKSWAGEN.PICO VERDE MULTIPUNTO. 3 BAR. 12V.\par } </v>
      </c>
      <c r="AM50" t="str">
        <f t="shared" si="44"/>
        <v>-</v>
      </c>
    </row>
    <row r="51" spans="1:39" x14ac:dyDescent="0.25">
      <c r="A51" t="str">
        <f>"RGUD226"</f>
        <v>RGUD226</v>
      </c>
      <c r="B51" t="str">
        <f>"BBA. NAFTA ELECTR. FORD FOCUS, FIESTA, KA, MONDEO, TRANSIT.3 BAR. 12V."</f>
        <v>BBA. NAFTA ELECTR. FORD FOCUS, FIESTA, KA, MONDEO, TRANSIT.3 BAR. 12V.</v>
      </c>
      <c r="C51" t="str">
        <f>"$ 31388,81"</f>
        <v>$ 31388,81</v>
      </c>
      <c r="D51" t="str">
        <f>"$ 31388,81"</f>
        <v>$ 31388,81</v>
      </c>
      <c r="E51" t="str">
        <f>"$ 31388,81"</f>
        <v>$ 31388,81</v>
      </c>
      <c r="F51" t="str">
        <f>"$ 31388,81"</f>
        <v>$ 31388,81</v>
      </c>
      <c r="G51" t="str">
        <f>"$ 31388,81"</f>
        <v>$ 31388,81</v>
      </c>
      <c r="H51" t="str">
        <f t="shared" si="1"/>
        <v>$ 0,00</v>
      </c>
      <c r="I51" t="str">
        <f t="shared" si="42"/>
        <v>BOMBA COMBUSTIBLE ELECTRICA</v>
      </c>
      <c r="J51" t="str">
        <f t="shared" si="3"/>
        <v>1</v>
      </c>
      <c r="K51" t="str">
        <f t="shared" si="37"/>
        <v>0</v>
      </c>
      <c r="L51" t="str">
        <f>"4,000"</f>
        <v>4,000</v>
      </c>
      <c r="M51" t="str">
        <f t="shared" si="5"/>
        <v xml:space="preserve"> </v>
      </c>
      <c r="N51" t="str">
        <f t="shared" si="43"/>
        <v>REGITAR</v>
      </c>
      <c r="O51" t="str">
        <f t="shared" si="38"/>
        <v>BOMBAS</v>
      </c>
      <c r="P51" t="str">
        <f t="shared" si="39"/>
        <v>0</v>
      </c>
      <c r="Q51" t="str">
        <f t="shared" si="39"/>
        <v>0</v>
      </c>
      <c r="R51" t="str">
        <f t="shared" si="40"/>
        <v>0,00</v>
      </c>
      <c r="S51" t="str">
        <f t="shared" si="40"/>
        <v>0,00</v>
      </c>
      <c r="T51" t="str">
        <f t="shared" si="41"/>
        <v xml:space="preserve"> </v>
      </c>
      <c r="U51" t="str">
        <f t="shared" si="41"/>
        <v xml:space="preserve"> </v>
      </c>
      <c r="V51" t="str">
        <f>"4,000"</f>
        <v>4,000</v>
      </c>
      <c r="W51" t="str">
        <f t="shared" si="11"/>
        <v>Lista 4</v>
      </c>
      <c r="X51" t="str">
        <f t="shared" si="12"/>
        <v>Lista 5</v>
      </c>
      <c r="Y51" t="str">
        <f t="shared" si="13"/>
        <v>Oferta Gral.</v>
      </c>
      <c r="Z51" t="str">
        <f t="shared" si="14"/>
        <v>Rubro</v>
      </c>
      <c r="AA51" t="str">
        <f t="shared" si="15"/>
        <v>Cantidad por Bulto</v>
      </c>
      <c r="AB51" t="str">
        <f t="shared" si="16"/>
        <v>INNER</v>
      </c>
      <c r="AC51" t="str">
        <f t="shared" si="17"/>
        <v>Stock en Bultos</v>
      </c>
      <c r="AD51" t="str">
        <f t="shared" si="18"/>
        <v>SubDepósito</v>
      </c>
      <c r="AE51" t="str">
        <f t="shared" si="19"/>
        <v>Marca</v>
      </c>
      <c r="AF51" t="str">
        <f t="shared" si="20"/>
        <v>Super Rubro</v>
      </c>
      <c r="AG51" t="str">
        <f t="shared" si="21"/>
        <v>ComercioExterior</v>
      </c>
      <c r="AH51" t="str">
        <f t="shared" si="22"/>
        <v>PrecioFOB</v>
      </c>
      <c r="AI51" t="str">
        <f t="shared" si="23"/>
        <v>Monto II</v>
      </c>
      <c r="AJ51" t="str">
        <f t="shared" si="24"/>
        <v>Porcentaje II</v>
      </c>
      <c r="AK51" t="str">
        <f t="shared" si="25"/>
        <v>Foto</v>
      </c>
      <c r="AL51" t="str">
        <f>"{\rtf1\ansi\ansicpg1252\deff0\deflang11274{\fonttbl{\f0\fnil\fcharset0 MS Sans Serif}} \viewkind4\uc1\pard\f0\fs16 BBA. NAFTA ELECTR. FORD FOCUS, FIESTA, KA, MONDEO, TRANSIT.3 BAR. 12V.\par } "</f>
        <v xml:space="preserve">{\rtf1\ansi\ansicpg1252\deff0\deflang11274{\fonttbl{\f0\fnil\fcharset0 MS Sans Serif}} \viewkind4\uc1\pard\f0\fs16 BBA. NAFTA ELECTR. FORD FOCUS, FIESTA, KA, MONDEO, TRANSIT.3 BAR. 12V.\par } </v>
      </c>
      <c r="AM51" t="str">
        <f t="shared" si="44"/>
        <v>-</v>
      </c>
    </row>
    <row r="52" spans="1:39" x14ac:dyDescent="0.25">
      <c r="A52" t="str">
        <f>"RGU481"</f>
        <v>RGU481</v>
      </c>
      <c r="B52" t="str">
        <f>"BBA. NAFTA ELECTR. FORD RANGER 4,0 - 4 BAR - 12V - 95 L/H"</f>
        <v>BBA. NAFTA ELECTR. FORD RANGER 4,0 - 4 BAR - 12V - 95 L/H</v>
      </c>
      <c r="C52" t="str">
        <f>"$ 30839,80"</f>
        <v>$ 30839,80</v>
      </c>
      <c r="D52" t="str">
        <f>"$ 30839,80"</f>
        <v>$ 30839,80</v>
      </c>
      <c r="E52" t="str">
        <f>"$ 30839,80"</f>
        <v>$ 30839,80</v>
      </c>
      <c r="F52" t="str">
        <f>"$ 30839,80"</f>
        <v>$ 30839,80</v>
      </c>
      <c r="G52" t="str">
        <f>"$ 30839,80"</f>
        <v>$ 30839,80</v>
      </c>
      <c r="H52" t="str">
        <f t="shared" si="1"/>
        <v>$ 0,00</v>
      </c>
      <c r="I52" t="str">
        <f t="shared" si="42"/>
        <v>BOMBA COMBUSTIBLE ELECTRICA</v>
      </c>
      <c r="J52" t="str">
        <f t="shared" si="3"/>
        <v>1</v>
      </c>
      <c r="K52" t="str">
        <f t="shared" si="37"/>
        <v>0</v>
      </c>
      <c r="L52" t="str">
        <f>"9,000"</f>
        <v>9,000</v>
      </c>
      <c r="M52" t="str">
        <f t="shared" si="5"/>
        <v xml:space="preserve"> </v>
      </c>
      <c r="N52" t="str">
        <f t="shared" si="43"/>
        <v>REGITAR</v>
      </c>
      <c r="O52" t="str">
        <f t="shared" si="38"/>
        <v>BOMBAS</v>
      </c>
      <c r="P52" t="str">
        <f t="shared" si="39"/>
        <v>0</v>
      </c>
      <c r="Q52" t="str">
        <f t="shared" si="39"/>
        <v>0</v>
      </c>
      <c r="R52" t="str">
        <f t="shared" si="40"/>
        <v>0,00</v>
      </c>
      <c r="S52" t="str">
        <f t="shared" si="40"/>
        <v>0,00</v>
      </c>
      <c r="T52" t="str">
        <f t="shared" si="41"/>
        <v xml:space="preserve"> </v>
      </c>
      <c r="U52" t="str">
        <f t="shared" si="41"/>
        <v xml:space="preserve"> </v>
      </c>
      <c r="V52" t="str">
        <f>"9,000"</f>
        <v>9,000</v>
      </c>
      <c r="W52" t="str">
        <f t="shared" si="11"/>
        <v>Lista 4</v>
      </c>
      <c r="X52" t="str">
        <f t="shared" si="12"/>
        <v>Lista 5</v>
      </c>
      <c r="Y52" t="str">
        <f t="shared" si="13"/>
        <v>Oferta Gral.</v>
      </c>
      <c r="Z52" t="str">
        <f t="shared" si="14"/>
        <v>Rubro</v>
      </c>
      <c r="AA52" t="str">
        <f t="shared" si="15"/>
        <v>Cantidad por Bulto</v>
      </c>
      <c r="AB52" t="str">
        <f t="shared" si="16"/>
        <v>INNER</v>
      </c>
      <c r="AC52" t="str">
        <f t="shared" si="17"/>
        <v>Stock en Bultos</v>
      </c>
      <c r="AD52" t="str">
        <f t="shared" si="18"/>
        <v>SubDepósito</v>
      </c>
      <c r="AE52" t="str">
        <f t="shared" si="19"/>
        <v>Marca</v>
      </c>
      <c r="AF52" t="str">
        <f t="shared" si="20"/>
        <v>Super Rubro</v>
      </c>
      <c r="AG52" t="str">
        <f t="shared" si="21"/>
        <v>ComercioExterior</v>
      </c>
      <c r="AH52" t="str">
        <f t="shared" si="22"/>
        <v>PrecioFOB</v>
      </c>
      <c r="AI52" t="str">
        <f t="shared" si="23"/>
        <v>Monto II</v>
      </c>
      <c r="AJ52" t="str">
        <f t="shared" si="24"/>
        <v>Porcentaje II</v>
      </c>
      <c r="AK52" t="str">
        <f t="shared" si="25"/>
        <v>Foto</v>
      </c>
      <c r="AL52" t="str">
        <f>"{\rtf1\ansi\ansicpg1252\deff0\deflang11274{\fonttbl{\f0\fnil\fcharset0 MS Sans Serif}} \viewkind4\uc1\pard\f0\fs16 BBA. NAFTA ELECTR. FORD RANGER 4,0 - 4 BAR - 12V - 95 L/H\par } "</f>
        <v xml:space="preserve">{\rtf1\ansi\ansicpg1252\deff0\deflang11274{\fonttbl{\f0\fnil\fcharset0 MS Sans Serif}} \viewkind4\uc1\pard\f0\fs16 BBA. NAFTA ELECTR. FORD RANGER 4,0 - 4 BAR - 12V - 95 L/H\par } </v>
      </c>
      <c r="AM52" t="str">
        <f t="shared" si="44"/>
        <v>-</v>
      </c>
    </row>
    <row r="53" spans="1:39" x14ac:dyDescent="0.25">
      <c r="A53" t="str">
        <f>"RGU070"</f>
        <v>RGU070</v>
      </c>
      <c r="B53" t="str">
        <f>"BBA. NAFTA ELECTR. PEUGEOT 405, 505, RENAULT 21, FORD GALAXY. USO EXTERNO.3 BAR. 12V.160L-H"</f>
        <v>BBA. NAFTA ELECTR. PEUGEOT 405, 505, RENAULT 21, FORD GALAXY. USO EXTERNO.3 BAR. 12V.160L-H</v>
      </c>
      <c r="C53" t="str">
        <f>"$ 59831,97"</f>
        <v>$ 59831,97</v>
      </c>
      <c r="D53" t="str">
        <f>"$ 59831,97"</f>
        <v>$ 59831,97</v>
      </c>
      <c r="E53" t="str">
        <f>"$ 59831,97"</f>
        <v>$ 59831,97</v>
      </c>
      <c r="F53" t="str">
        <f>"$ 59831,97"</f>
        <v>$ 59831,97</v>
      </c>
      <c r="G53" t="str">
        <f>"$ 59831,97"</f>
        <v>$ 59831,97</v>
      </c>
      <c r="H53" t="str">
        <f t="shared" si="1"/>
        <v>$ 0,00</v>
      </c>
      <c r="I53" t="str">
        <f t="shared" si="42"/>
        <v>BOMBA COMBUSTIBLE ELECTRICA</v>
      </c>
      <c r="J53" t="str">
        <f t="shared" si="3"/>
        <v>1</v>
      </c>
      <c r="K53" t="str">
        <f t="shared" si="37"/>
        <v>0</v>
      </c>
      <c r="L53" t="str">
        <f>"4,000"</f>
        <v>4,000</v>
      </c>
      <c r="M53" t="str">
        <f t="shared" si="5"/>
        <v xml:space="preserve"> </v>
      </c>
      <c r="N53" t="str">
        <f t="shared" si="43"/>
        <v>REGITAR</v>
      </c>
      <c r="O53" t="str">
        <f t="shared" si="38"/>
        <v>BOMBAS</v>
      </c>
      <c r="P53" t="str">
        <f t="shared" si="39"/>
        <v>0</v>
      </c>
      <c r="Q53" t="str">
        <f t="shared" si="39"/>
        <v>0</v>
      </c>
      <c r="R53" t="str">
        <f t="shared" si="40"/>
        <v>0,00</v>
      </c>
      <c r="S53" t="str">
        <f t="shared" si="40"/>
        <v>0,00</v>
      </c>
      <c r="T53" t="str">
        <f t="shared" si="41"/>
        <v xml:space="preserve"> </v>
      </c>
      <c r="U53" t="str">
        <f t="shared" si="41"/>
        <v xml:space="preserve"> </v>
      </c>
      <c r="V53" t="str">
        <f>"4,000"</f>
        <v>4,000</v>
      </c>
      <c r="W53" t="str">
        <f t="shared" si="11"/>
        <v>Lista 4</v>
      </c>
      <c r="X53" t="str">
        <f t="shared" si="12"/>
        <v>Lista 5</v>
      </c>
      <c r="Y53" t="str">
        <f t="shared" si="13"/>
        <v>Oferta Gral.</v>
      </c>
      <c r="Z53" t="str">
        <f t="shared" si="14"/>
        <v>Rubro</v>
      </c>
      <c r="AA53" t="str">
        <f t="shared" si="15"/>
        <v>Cantidad por Bulto</v>
      </c>
      <c r="AB53" t="str">
        <f t="shared" si="16"/>
        <v>INNER</v>
      </c>
      <c r="AC53" t="str">
        <f t="shared" si="17"/>
        <v>Stock en Bultos</v>
      </c>
      <c r="AD53" t="str">
        <f t="shared" si="18"/>
        <v>SubDepósito</v>
      </c>
      <c r="AE53" t="str">
        <f t="shared" si="19"/>
        <v>Marca</v>
      </c>
      <c r="AF53" t="str">
        <f t="shared" si="20"/>
        <v>Super Rubro</v>
      </c>
      <c r="AG53" t="str">
        <f t="shared" si="21"/>
        <v>ComercioExterior</v>
      </c>
      <c r="AH53" t="str">
        <f t="shared" si="22"/>
        <v>PrecioFOB</v>
      </c>
      <c r="AI53" t="str">
        <f t="shared" si="23"/>
        <v>Monto II</v>
      </c>
      <c r="AJ53" t="str">
        <f t="shared" si="24"/>
        <v>Porcentaje II</v>
      </c>
      <c r="AK53" t="str">
        <f t="shared" si="25"/>
        <v>Foto</v>
      </c>
      <c r="AL53" t="str">
        <f>"{\rtf1\ansi\ansicpg1252\deff0\deflang11274{\fonttbl{\f0\fnil\fcharset0 MS Sans Serif}} \viewkind4\uc1\pard\f0\fs16 BBA. NAFTA ELECTR. PEUGEOT 405, 505, RENAULT 21, FORD GALAXY. USO EXTERNO.3 BAR. 12V.160L-H\par } "</f>
        <v xml:space="preserve">{\rtf1\ansi\ansicpg1252\deff0\deflang11274{\fonttbl{\f0\fnil\fcharset0 MS Sans Serif}} \viewkind4\uc1\pard\f0\fs16 BBA. NAFTA ELECTR. PEUGEOT 405, 505, RENAULT 21, FORD GALAXY. USO EXTERNO.3 BAR. 12V.160L-H\par } </v>
      </c>
      <c r="AM53" t="str">
        <f t="shared" si="44"/>
        <v>-</v>
      </c>
    </row>
    <row r="54" spans="1:39" x14ac:dyDescent="0.25">
      <c r="A54" t="str">
        <f>"RGU214MPI"</f>
        <v>RGU214MPI</v>
      </c>
      <c r="B54" t="str">
        <f>"BBA. NAFTA ELECTR. RENAULT 19 - 1,6 SPI - TWINGO  1,2 SPI - 1 BAR - 12V - 90 L/H"</f>
        <v>BBA. NAFTA ELECTR. RENAULT 19 - 1,6 SPI - TWINGO  1,2 SPI - 1 BAR - 12V - 90 L/H</v>
      </c>
      <c r="C54" t="str">
        <f>"$ 37427,97"</f>
        <v>$ 37427,97</v>
      </c>
      <c r="D54" t="str">
        <f>"$ 37427,97"</f>
        <v>$ 37427,97</v>
      </c>
      <c r="E54" t="str">
        <f>"$ 37427,97"</f>
        <v>$ 37427,97</v>
      </c>
      <c r="F54" t="str">
        <f>"$ 37427,97"</f>
        <v>$ 37427,97</v>
      </c>
      <c r="G54" t="str">
        <f>"$ 37427,97"</f>
        <v>$ 37427,97</v>
      </c>
      <c r="H54" t="str">
        <f t="shared" si="1"/>
        <v>$ 0,00</v>
      </c>
      <c r="I54" t="str">
        <f t="shared" si="42"/>
        <v>BOMBA COMBUSTIBLE ELECTRICA</v>
      </c>
      <c r="J54" t="str">
        <f t="shared" si="3"/>
        <v>1</v>
      </c>
      <c r="K54" t="str">
        <f t="shared" si="37"/>
        <v>0</v>
      </c>
      <c r="L54" t="str">
        <f>"4,000"</f>
        <v>4,000</v>
      </c>
      <c r="M54" t="str">
        <f t="shared" si="5"/>
        <v xml:space="preserve"> </v>
      </c>
      <c r="N54" t="str">
        <f t="shared" si="43"/>
        <v>REGITAR</v>
      </c>
      <c r="O54" t="str">
        <f t="shared" si="38"/>
        <v>BOMBAS</v>
      </c>
      <c r="P54" t="str">
        <f t="shared" si="39"/>
        <v>0</v>
      </c>
      <c r="Q54" t="str">
        <f t="shared" si="39"/>
        <v>0</v>
      </c>
      <c r="R54" t="str">
        <f t="shared" si="40"/>
        <v>0,00</v>
      </c>
      <c r="S54" t="str">
        <f t="shared" si="40"/>
        <v>0,00</v>
      </c>
      <c r="T54" t="str">
        <f t="shared" si="41"/>
        <v xml:space="preserve"> </v>
      </c>
      <c r="U54" t="str">
        <f t="shared" si="41"/>
        <v xml:space="preserve"> </v>
      </c>
      <c r="V54" t="str">
        <f>"4,000"</f>
        <v>4,000</v>
      </c>
      <c r="W54" t="str">
        <f t="shared" si="11"/>
        <v>Lista 4</v>
      </c>
      <c r="X54" t="str">
        <f t="shared" si="12"/>
        <v>Lista 5</v>
      </c>
      <c r="Y54" t="str">
        <f t="shared" si="13"/>
        <v>Oferta Gral.</v>
      </c>
      <c r="Z54" t="str">
        <f t="shared" si="14"/>
        <v>Rubro</v>
      </c>
      <c r="AA54" t="str">
        <f t="shared" si="15"/>
        <v>Cantidad por Bulto</v>
      </c>
      <c r="AB54" t="str">
        <f t="shared" si="16"/>
        <v>INNER</v>
      </c>
      <c r="AC54" t="str">
        <f t="shared" si="17"/>
        <v>Stock en Bultos</v>
      </c>
      <c r="AD54" t="str">
        <f t="shared" si="18"/>
        <v>SubDepósito</v>
      </c>
      <c r="AE54" t="str">
        <f t="shared" si="19"/>
        <v>Marca</v>
      </c>
      <c r="AF54" t="str">
        <f t="shared" si="20"/>
        <v>Super Rubro</v>
      </c>
      <c r="AG54" t="str">
        <f t="shared" si="21"/>
        <v>ComercioExterior</v>
      </c>
      <c r="AH54" t="str">
        <f t="shared" si="22"/>
        <v>PrecioFOB</v>
      </c>
      <c r="AI54" t="str">
        <f t="shared" si="23"/>
        <v>Monto II</v>
      </c>
      <c r="AJ54" t="str">
        <f t="shared" si="24"/>
        <v>Porcentaje II</v>
      </c>
      <c r="AK54" t="str">
        <f t="shared" si="25"/>
        <v>Foto</v>
      </c>
      <c r="AL54" t="str">
        <f>"{\rtf1\ansi\ansicpg1252\deff0\deflang11274{\fonttbl{\f0\fnil\fcharset0 MS Sans Serif}} \viewkind4\uc1\pard\f0\fs16 BBA. NAFTA ELECTR. RENAULT 19 - 1,6 SPI - TWINGO  1,2 SPI - 1 BAR - 12V - 90 L/H\par } "</f>
        <v xml:space="preserve">{\rtf1\ansi\ansicpg1252\deff0\deflang11274{\fonttbl{\f0\fnil\fcharset0 MS Sans Serif}} \viewkind4\uc1\pard\f0\fs16 BBA. NAFTA ELECTR. RENAULT 19 - 1,6 SPI - TWINGO  1,2 SPI - 1 BAR - 12V - 90 L/H\par } </v>
      </c>
      <c r="AM54" t="str">
        <f t="shared" si="44"/>
        <v>-</v>
      </c>
    </row>
    <row r="55" spans="1:39" x14ac:dyDescent="0.25">
      <c r="A55" t="str">
        <f>"RGU214"</f>
        <v>RGU214</v>
      </c>
      <c r="B55" t="str">
        <f>"BBA. NAFTA ELECTR. RENAULT 19 - CLIO - MEGANE - MPFI - 3 BAR - 12V- 90 L/H"</f>
        <v>BBA. NAFTA ELECTR. RENAULT 19 - CLIO - MEGANE - MPFI - 3 BAR - 12V- 90 L/H</v>
      </c>
      <c r="C55" t="str">
        <f>"$ 37248,48"</f>
        <v>$ 37248,48</v>
      </c>
      <c r="D55" t="str">
        <f>"$ 37248,48"</f>
        <v>$ 37248,48</v>
      </c>
      <c r="E55" t="str">
        <f>"$ 37248,48"</f>
        <v>$ 37248,48</v>
      </c>
      <c r="F55" t="str">
        <f>"$ 37248,48"</f>
        <v>$ 37248,48</v>
      </c>
      <c r="G55" t="str">
        <f>"$ 37248,48"</f>
        <v>$ 37248,48</v>
      </c>
      <c r="H55" t="str">
        <f t="shared" si="1"/>
        <v>$ 0,00</v>
      </c>
      <c r="I55" t="str">
        <f t="shared" si="42"/>
        <v>BOMBA COMBUSTIBLE ELECTRICA</v>
      </c>
      <c r="J55" t="str">
        <f t="shared" si="3"/>
        <v>1</v>
      </c>
      <c r="K55" t="str">
        <f t="shared" si="37"/>
        <v>0</v>
      </c>
      <c r="L55" t="str">
        <f>"6,000"</f>
        <v>6,000</v>
      </c>
      <c r="M55" t="str">
        <f t="shared" si="5"/>
        <v xml:space="preserve"> </v>
      </c>
      <c r="N55" t="str">
        <f t="shared" si="43"/>
        <v>REGITAR</v>
      </c>
      <c r="O55" t="str">
        <f t="shared" si="38"/>
        <v>BOMBAS</v>
      </c>
      <c r="P55" t="str">
        <f t="shared" si="39"/>
        <v>0</v>
      </c>
      <c r="Q55" t="str">
        <f t="shared" si="39"/>
        <v>0</v>
      </c>
      <c r="R55" t="str">
        <f t="shared" si="40"/>
        <v>0,00</v>
      </c>
      <c r="S55" t="str">
        <f t="shared" si="40"/>
        <v>0,00</v>
      </c>
      <c r="T55" t="str">
        <f t="shared" si="41"/>
        <v xml:space="preserve"> </v>
      </c>
      <c r="U55" t="str">
        <f t="shared" si="41"/>
        <v xml:space="preserve"> </v>
      </c>
      <c r="V55" t="str">
        <f>"6,000"</f>
        <v>6,000</v>
      </c>
      <c r="W55" t="str">
        <f t="shared" si="11"/>
        <v>Lista 4</v>
      </c>
      <c r="X55" t="str">
        <f t="shared" si="12"/>
        <v>Lista 5</v>
      </c>
      <c r="Y55" t="str">
        <f t="shared" si="13"/>
        <v>Oferta Gral.</v>
      </c>
      <c r="Z55" t="str">
        <f t="shared" si="14"/>
        <v>Rubro</v>
      </c>
      <c r="AA55" t="str">
        <f t="shared" si="15"/>
        <v>Cantidad por Bulto</v>
      </c>
      <c r="AB55" t="str">
        <f t="shared" si="16"/>
        <v>INNER</v>
      </c>
      <c r="AC55" t="str">
        <f t="shared" si="17"/>
        <v>Stock en Bultos</v>
      </c>
      <c r="AD55" t="str">
        <f t="shared" si="18"/>
        <v>SubDepósito</v>
      </c>
      <c r="AE55" t="str">
        <f t="shared" si="19"/>
        <v>Marca</v>
      </c>
      <c r="AF55" t="str">
        <f t="shared" si="20"/>
        <v>Super Rubro</v>
      </c>
      <c r="AG55" t="str">
        <f t="shared" si="21"/>
        <v>ComercioExterior</v>
      </c>
      <c r="AH55" t="str">
        <f t="shared" si="22"/>
        <v>PrecioFOB</v>
      </c>
      <c r="AI55" t="str">
        <f t="shared" si="23"/>
        <v>Monto II</v>
      </c>
      <c r="AJ55" t="str">
        <f t="shared" si="24"/>
        <v>Porcentaje II</v>
      </c>
      <c r="AK55" t="str">
        <f t="shared" si="25"/>
        <v>Foto</v>
      </c>
      <c r="AL55" t="str">
        <f>"{\rtf1\ansi\ansicpg1252\deff0\deflang11274{\fonttbl{\f0\fnil\fcharset0 MS Sans Serif}} \viewkind4\uc1\pard\f0\fs16 BBA. NAFTA ELECTR. RENAULT 19 - CLIO - MEGANE - MPFI - 3 BAR - 12V- 90 L/H\par } "</f>
        <v xml:space="preserve">{\rtf1\ansi\ansicpg1252\deff0\deflang11274{\fonttbl{\f0\fnil\fcharset0 MS Sans Serif}} \viewkind4\uc1\pard\f0\fs16 BBA. NAFTA ELECTR. RENAULT 19 - CLIO - MEGANE - MPFI - 3 BAR - 12V- 90 L/H\par } </v>
      </c>
      <c r="AM55" t="str">
        <f t="shared" si="44"/>
        <v>-</v>
      </c>
    </row>
    <row r="56" spans="1:39" x14ac:dyDescent="0.25">
      <c r="A56" t="str">
        <f>"RGU40106"</f>
        <v>RGU40106</v>
      </c>
      <c r="B56" t="str">
        <f>"BBA. NAFTA ELECTR. UNIVERSAL PARA USO EXTERNO TIPO FACET"</f>
        <v>BBA. NAFTA ELECTR. UNIVERSAL PARA USO EXTERNO TIPO FACET</v>
      </c>
      <c r="C56" t="str">
        <f>"$ 33320,92"</f>
        <v>$ 33320,92</v>
      </c>
      <c r="D56" t="str">
        <f>"$ 33320,92"</f>
        <v>$ 33320,92</v>
      </c>
      <c r="E56" t="str">
        <f>"$ 33320,92"</f>
        <v>$ 33320,92</v>
      </c>
      <c r="F56" t="str">
        <f>"$ 33320,92"</f>
        <v>$ 33320,92</v>
      </c>
      <c r="G56" t="str">
        <f>"$ 33320,92"</f>
        <v>$ 33320,92</v>
      </c>
      <c r="H56" t="str">
        <f t="shared" si="1"/>
        <v>$ 0,00</v>
      </c>
      <c r="I56" t="str">
        <f t="shared" si="42"/>
        <v>BOMBA COMBUSTIBLE ELECTRICA</v>
      </c>
      <c r="J56" t="str">
        <f t="shared" si="3"/>
        <v>1</v>
      </c>
      <c r="K56" t="str">
        <f t="shared" si="37"/>
        <v>0</v>
      </c>
      <c r="L56" t="str">
        <f>"18,000"</f>
        <v>18,000</v>
      </c>
      <c r="M56" t="str">
        <f t="shared" si="5"/>
        <v xml:space="preserve"> </v>
      </c>
      <c r="N56" t="str">
        <f t="shared" si="43"/>
        <v>REGITAR</v>
      </c>
      <c r="O56" t="str">
        <f t="shared" si="38"/>
        <v>BOMBAS</v>
      </c>
      <c r="P56" t="str">
        <f t="shared" si="39"/>
        <v>0</v>
      </c>
      <c r="Q56" t="str">
        <f t="shared" si="39"/>
        <v>0</v>
      </c>
      <c r="R56" t="str">
        <f t="shared" si="40"/>
        <v>0,00</v>
      </c>
      <c r="S56" t="str">
        <f t="shared" si="40"/>
        <v>0,00</v>
      </c>
      <c r="T56" t="str">
        <f t="shared" si="41"/>
        <v xml:space="preserve"> </v>
      </c>
      <c r="U56" t="str">
        <f t="shared" si="41"/>
        <v xml:space="preserve"> </v>
      </c>
      <c r="V56" t="str">
        <f>"18,000"</f>
        <v>18,000</v>
      </c>
      <c r="W56" t="str">
        <f t="shared" si="11"/>
        <v>Lista 4</v>
      </c>
      <c r="X56" t="str">
        <f t="shared" si="12"/>
        <v>Lista 5</v>
      </c>
      <c r="Y56" t="str">
        <f t="shared" si="13"/>
        <v>Oferta Gral.</v>
      </c>
      <c r="Z56" t="str">
        <f t="shared" si="14"/>
        <v>Rubro</v>
      </c>
      <c r="AA56" t="str">
        <f t="shared" si="15"/>
        <v>Cantidad por Bulto</v>
      </c>
      <c r="AB56" t="str">
        <f t="shared" si="16"/>
        <v>INNER</v>
      </c>
      <c r="AC56" t="str">
        <f t="shared" si="17"/>
        <v>Stock en Bultos</v>
      </c>
      <c r="AD56" t="str">
        <f t="shared" si="18"/>
        <v>SubDepósito</v>
      </c>
      <c r="AE56" t="str">
        <f t="shared" si="19"/>
        <v>Marca</v>
      </c>
      <c r="AF56" t="str">
        <f t="shared" si="20"/>
        <v>Super Rubro</v>
      </c>
      <c r="AG56" t="str">
        <f t="shared" si="21"/>
        <v>ComercioExterior</v>
      </c>
      <c r="AH56" t="str">
        <f t="shared" si="22"/>
        <v>PrecioFOB</v>
      </c>
      <c r="AI56" t="str">
        <f t="shared" si="23"/>
        <v>Monto II</v>
      </c>
      <c r="AJ56" t="str">
        <f t="shared" si="24"/>
        <v>Porcentaje II</v>
      </c>
      <c r="AK56" t="str">
        <f t="shared" si="25"/>
        <v>Foto</v>
      </c>
      <c r="AL56" t="str">
        <f>"{\rtf1\ansi\ansicpg1252\deff0\deflang11274{\fonttbl{\f0\fnil\fcharset0 MS Sans Serif}} \viewkind4\uc1\pard\f0\fs16 BBA. NAFTA ELECTR. UNIVERSAL PARA USO EXTERNO TIPO FACET\par } "</f>
        <v xml:space="preserve">{\rtf1\ansi\ansicpg1252\deff0\deflang11274{\fonttbl{\f0\fnil\fcharset0 MS Sans Serif}} \viewkind4\uc1\pard\f0\fs16 BBA. NAFTA ELECTR. UNIVERSAL PARA USO EXTERNO TIPO FACET\par } </v>
      </c>
      <c r="AM56" t="str">
        <f t="shared" si="44"/>
        <v>-</v>
      </c>
    </row>
    <row r="57" spans="1:39" x14ac:dyDescent="0.25">
      <c r="A57" t="str">
        <f>"RGU6091"</f>
        <v>RGU6091</v>
      </c>
      <c r="B57" t="str">
        <f>"BBA. NAFTA ELECTR. VW POLO (1995-1998), VW GOLF III 1.8/2.0    3 BAR. 12V"</f>
        <v>BBA. NAFTA ELECTR. VW POLO (1995-1998), VW GOLF III 1.8/2.0    3 BAR. 12V</v>
      </c>
      <c r="C57" t="str">
        <f>"$ 54394,62"</f>
        <v>$ 54394,62</v>
      </c>
      <c r="D57" t="str">
        <f>"$ 54394,62"</f>
        <v>$ 54394,62</v>
      </c>
      <c r="E57" t="str">
        <f>"$ 54394,62"</f>
        <v>$ 54394,62</v>
      </c>
      <c r="F57" t="str">
        <f>"$ 54394,62"</f>
        <v>$ 54394,62</v>
      </c>
      <c r="G57" t="str">
        <f>"$ 54394,62"</f>
        <v>$ 54394,62</v>
      </c>
      <c r="H57" t="str">
        <f t="shared" si="1"/>
        <v>$ 0,00</v>
      </c>
      <c r="I57" t="str">
        <f t="shared" si="42"/>
        <v>BOMBA COMBUSTIBLE ELECTRICA</v>
      </c>
      <c r="J57" t="str">
        <f t="shared" si="3"/>
        <v>1</v>
      </c>
      <c r="K57" t="str">
        <f t="shared" si="37"/>
        <v>0</v>
      </c>
      <c r="L57" t="str">
        <f>"7,000"</f>
        <v>7,000</v>
      </c>
      <c r="M57" t="str">
        <f t="shared" si="5"/>
        <v xml:space="preserve"> </v>
      </c>
      <c r="N57" t="str">
        <f t="shared" si="43"/>
        <v>REGITAR</v>
      </c>
      <c r="O57" t="str">
        <f t="shared" si="38"/>
        <v>BOMBAS</v>
      </c>
      <c r="P57" t="str">
        <f t="shared" si="39"/>
        <v>0</v>
      </c>
      <c r="Q57" t="str">
        <f t="shared" si="39"/>
        <v>0</v>
      </c>
      <c r="R57" t="str">
        <f t="shared" si="40"/>
        <v>0,00</v>
      </c>
      <c r="S57" t="str">
        <f t="shared" si="40"/>
        <v>0,00</v>
      </c>
      <c r="T57" t="str">
        <f t="shared" si="41"/>
        <v xml:space="preserve"> </v>
      </c>
      <c r="U57" t="str">
        <f t="shared" si="41"/>
        <v xml:space="preserve"> </v>
      </c>
      <c r="V57" t="str">
        <f>"7,000"</f>
        <v>7,000</v>
      </c>
      <c r="W57" t="str">
        <f t="shared" si="11"/>
        <v>Lista 4</v>
      </c>
      <c r="X57" t="str">
        <f t="shared" si="12"/>
        <v>Lista 5</v>
      </c>
      <c r="Y57" t="str">
        <f t="shared" si="13"/>
        <v>Oferta Gral.</v>
      </c>
      <c r="Z57" t="str">
        <f t="shared" si="14"/>
        <v>Rubro</v>
      </c>
      <c r="AA57" t="str">
        <f t="shared" si="15"/>
        <v>Cantidad por Bulto</v>
      </c>
      <c r="AB57" t="str">
        <f t="shared" si="16"/>
        <v>INNER</v>
      </c>
      <c r="AC57" t="str">
        <f t="shared" si="17"/>
        <v>Stock en Bultos</v>
      </c>
      <c r="AD57" t="str">
        <f t="shared" si="18"/>
        <v>SubDepósito</v>
      </c>
      <c r="AE57" t="str">
        <f t="shared" si="19"/>
        <v>Marca</v>
      </c>
      <c r="AF57" t="str">
        <f t="shared" si="20"/>
        <v>Super Rubro</v>
      </c>
      <c r="AG57" t="str">
        <f t="shared" si="21"/>
        <v>ComercioExterior</v>
      </c>
      <c r="AH57" t="str">
        <f t="shared" si="22"/>
        <v>PrecioFOB</v>
      </c>
      <c r="AI57" t="str">
        <f t="shared" si="23"/>
        <v>Monto II</v>
      </c>
      <c r="AJ57" t="str">
        <f t="shared" si="24"/>
        <v>Porcentaje II</v>
      </c>
      <c r="AK57" t="str">
        <f t="shared" si="25"/>
        <v>Foto</v>
      </c>
      <c r="AL57" t="str">
        <f>"{\rtf1\ansi\ansicpg1252\deff0\deflang11274{\fonttbl{\f0\fnil\fcharset0 MS Sans Serif}} \viewkind4\uc1\pard\f0\fs16 BBA. NAFTA ELECTR. VW POLO (1995-1998), VW GOLF III 1.8/2.0    3 BAR. 12V\par } "</f>
        <v xml:space="preserve">{\rtf1\ansi\ansicpg1252\deff0\deflang11274{\fonttbl{\f0\fnil\fcharset0 MS Sans Serif}} \viewkind4\uc1\pard\f0\fs16 BBA. NAFTA ELECTR. VW POLO (1995-1998), VW GOLF III 1.8/2.0    3 BAR. 12V\par } </v>
      </c>
      <c r="AM57" t="str">
        <f t="shared" si="44"/>
        <v>-</v>
      </c>
    </row>
    <row r="58" spans="1:39" x14ac:dyDescent="0.25">
      <c r="A58" t="str">
        <f>"RGU9051"</f>
        <v>RGU9051</v>
      </c>
      <c r="B58" t="str">
        <f>"BBA. NAFTA ELECTR. VW POLO (1999-2005)  4 BAR. 12V."</f>
        <v>BBA. NAFTA ELECTR. VW POLO (1999-2005)  4 BAR. 12V.</v>
      </c>
      <c r="C58" t="str">
        <f>"$ 49115,64"</f>
        <v>$ 49115,64</v>
      </c>
      <c r="D58" t="str">
        <f>"$ 49115,64"</f>
        <v>$ 49115,64</v>
      </c>
      <c r="E58" t="str">
        <f>"$ 49115,64"</f>
        <v>$ 49115,64</v>
      </c>
      <c r="F58" t="str">
        <f>"$ 49115,64"</f>
        <v>$ 49115,64</v>
      </c>
      <c r="G58" t="str">
        <f>"$ 49115,64"</f>
        <v>$ 49115,64</v>
      </c>
      <c r="H58" t="str">
        <f t="shared" si="1"/>
        <v>$ 0,00</v>
      </c>
      <c r="I58" t="str">
        <f t="shared" si="42"/>
        <v>BOMBA COMBUSTIBLE ELECTRICA</v>
      </c>
      <c r="J58" t="str">
        <f t="shared" si="3"/>
        <v>1</v>
      </c>
      <c r="K58" t="str">
        <f t="shared" si="37"/>
        <v>0</v>
      </c>
      <c r="L58" t="str">
        <f>"6,000"</f>
        <v>6,000</v>
      </c>
      <c r="M58" t="str">
        <f t="shared" si="5"/>
        <v xml:space="preserve"> </v>
      </c>
      <c r="N58" t="str">
        <f t="shared" si="43"/>
        <v>REGITAR</v>
      </c>
      <c r="O58" t="str">
        <f t="shared" si="38"/>
        <v>BOMBAS</v>
      </c>
      <c r="P58" t="str">
        <f t="shared" si="39"/>
        <v>0</v>
      </c>
      <c r="Q58" t="str">
        <f t="shared" si="39"/>
        <v>0</v>
      </c>
      <c r="R58" t="str">
        <f t="shared" si="40"/>
        <v>0,00</v>
      </c>
      <c r="S58" t="str">
        <f t="shared" si="40"/>
        <v>0,00</v>
      </c>
      <c r="T58" t="str">
        <f t="shared" si="41"/>
        <v xml:space="preserve"> </v>
      </c>
      <c r="U58" t="str">
        <f t="shared" si="41"/>
        <v xml:space="preserve"> </v>
      </c>
      <c r="V58" t="str">
        <f>"6,000"</f>
        <v>6,000</v>
      </c>
      <c r="W58" t="str">
        <f t="shared" si="11"/>
        <v>Lista 4</v>
      </c>
      <c r="X58" t="str">
        <f t="shared" si="12"/>
        <v>Lista 5</v>
      </c>
      <c r="Y58" t="str">
        <f t="shared" si="13"/>
        <v>Oferta Gral.</v>
      </c>
      <c r="Z58" t="str">
        <f t="shared" si="14"/>
        <v>Rubro</v>
      </c>
      <c r="AA58" t="str">
        <f t="shared" si="15"/>
        <v>Cantidad por Bulto</v>
      </c>
      <c r="AB58" t="str">
        <f t="shared" si="16"/>
        <v>INNER</v>
      </c>
      <c r="AC58" t="str">
        <f t="shared" si="17"/>
        <v>Stock en Bultos</v>
      </c>
      <c r="AD58" t="str">
        <f t="shared" si="18"/>
        <v>SubDepósito</v>
      </c>
      <c r="AE58" t="str">
        <f t="shared" si="19"/>
        <v>Marca</v>
      </c>
      <c r="AF58" t="str">
        <f t="shared" si="20"/>
        <v>Super Rubro</v>
      </c>
      <c r="AG58" t="str">
        <f t="shared" si="21"/>
        <v>ComercioExterior</v>
      </c>
      <c r="AH58" t="str">
        <f t="shared" si="22"/>
        <v>PrecioFOB</v>
      </c>
      <c r="AI58" t="str">
        <f t="shared" si="23"/>
        <v>Monto II</v>
      </c>
      <c r="AJ58" t="str">
        <f t="shared" si="24"/>
        <v>Porcentaje II</v>
      </c>
      <c r="AK58" t="str">
        <f t="shared" si="25"/>
        <v>Foto</v>
      </c>
      <c r="AL58" t="str">
        <f>"{\rtf1\ansi\ansicpg1252\deff0\deflang11274{\fonttbl{\f0\fnil\fcharset0 MS Sans Serif}} \viewkind4\uc1\pard\f0\fs16 BBA. NAFTA ELECTR. VW POLO (1999-2005)  4 BAR. 12V.\par } "</f>
        <v xml:space="preserve">{\rtf1\ansi\ansicpg1252\deff0\deflang11274{\fonttbl{\f0\fnil\fcharset0 MS Sans Serif}} \viewkind4\uc1\pard\f0\fs16 BBA. NAFTA ELECTR. VW POLO (1999-2005)  4 BAR. 12V.\par } </v>
      </c>
      <c r="AM58" t="str">
        <f t="shared" si="44"/>
        <v>-</v>
      </c>
    </row>
    <row r="59" spans="1:39" x14ac:dyDescent="0.25">
      <c r="A59" t="str">
        <f>"VK477B"</f>
        <v>VK477B</v>
      </c>
      <c r="B59" t="str">
        <f>"BBA. NAFTA ELECTRICA FIAT FORD RENAULT CHEVR."</f>
        <v>BBA. NAFTA ELECTRICA FIAT FORD RENAULT CHEVR.</v>
      </c>
      <c r="C59" t="str">
        <f>"$ 37399,50"</f>
        <v>$ 37399,50</v>
      </c>
      <c r="D59" t="str">
        <f>"$ 37399,50"</f>
        <v>$ 37399,50</v>
      </c>
      <c r="E59" t="str">
        <f>"$ 37399,50"</f>
        <v>$ 37399,50</v>
      </c>
      <c r="F59" t="str">
        <f>"$ 0,00"</f>
        <v>$ 0,00</v>
      </c>
      <c r="G59" t="str">
        <f>"$ 0,00"</f>
        <v>$ 0,00</v>
      </c>
      <c r="H59" t="str">
        <f t="shared" si="1"/>
        <v>$ 0,00</v>
      </c>
      <c r="I59" t="str">
        <f t="shared" si="42"/>
        <v>BOMBA COMBUSTIBLE ELECTRICA</v>
      </c>
      <c r="J59" t="str">
        <f t="shared" si="3"/>
        <v>1</v>
      </c>
      <c r="K59" t="str">
        <f t="shared" si="37"/>
        <v>0</v>
      </c>
      <c r="L59" t="str">
        <f>"663,000"</f>
        <v>663,000</v>
      </c>
      <c r="M59" t="str">
        <f t="shared" si="5"/>
        <v xml:space="preserve"> </v>
      </c>
      <c r="N59" t="str">
        <f>"BOSCH"</f>
        <v>BOSCH</v>
      </c>
      <c r="O59" t="str">
        <f t="shared" si="38"/>
        <v>BOMBAS</v>
      </c>
      <c r="P59" t="str">
        <f t="shared" si="39"/>
        <v>0</v>
      </c>
      <c r="Q59" t="str">
        <f t="shared" si="39"/>
        <v>0</v>
      </c>
      <c r="R59" t="str">
        <f t="shared" si="40"/>
        <v>0,00</v>
      </c>
      <c r="S59" t="str">
        <f t="shared" si="40"/>
        <v>0,00</v>
      </c>
      <c r="T59" t="str">
        <f t="shared" si="41"/>
        <v xml:space="preserve"> </v>
      </c>
      <c r="U59" t="str">
        <f t="shared" si="41"/>
        <v xml:space="preserve"> </v>
      </c>
      <c r="V59" t="str">
        <f>"663,000"</f>
        <v>663,000</v>
      </c>
      <c r="W59" t="str">
        <f t="shared" si="11"/>
        <v>Lista 4</v>
      </c>
      <c r="X59" t="str">
        <f t="shared" si="12"/>
        <v>Lista 5</v>
      </c>
      <c r="Y59" t="str">
        <f t="shared" si="13"/>
        <v>Oferta Gral.</v>
      </c>
      <c r="Z59" t="str">
        <f t="shared" si="14"/>
        <v>Rubro</v>
      </c>
      <c r="AA59" t="str">
        <f t="shared" si="15"/>
        <v>Cantidad por Bulto</v>
      </c>
      <c r="AB59" t="str">
        <f t="shared" si="16"/>
        <v>INNER</v>
      </c>
      <c r="AC59" t="str">
        <f t="shared" si="17"/>
        <v>Stock en Bultos</v>
      </c>
      <c r="AD59" t="str">
        <f t="shared" si="18"/>
        <v>SubDepósito</v>
      </c>
      <c r="AE59" t="str">
        <f t="shared" si="19"/>
        <v>Marca</v>
      </c>
      <c r="AF59" t="str">
        <f t="shared" si="20"/>
        <v>Super Rubro</v>
      </c>
      <c r="AG59" t="str">
        <f t="shared" si="21"/>
        <v>ComercioExterior</v>
      </c>
      <c r="AH59" t="str">
        <f t="shared" si="22"/>
        <v>PrecioFOB</v>
      </c>
      <c r="AI59" t="str">
        <f t="shared" si="23"/>
        <v>Monto II</v>
      </c>
      <c r="AJ59" t="str">
        <f t="shared" si="24"/>
        <v>Porcentaje II</v>
      </c>
      <c r="AK59" t="str">
        <f t="shared" si="25"/>
        <v>Foto</v>
      </c>
      <c r="AL59" t="str">
        <f>"{\rtf1\ansi\ansicpg1252\deff0\deflang11274{\fonttbl{\f0\fnil\fcharset0 MS Sans Serif}} \viewkind4\uc1\pard\f0\fs16 BBA. NAFTA ELECTRICA FIAT FORD RENAULT CHEVR.\par } "</f>
        <v xml:space="preserve">{\rtf1\ansi\ansicpg1252\deff0\deflang11274{\fonttbl{\f0\fnil\fcharset0 MS Sans Serif}} \viewkind4\uc1\pard\f0\fs16 BBA. NAFTA ELECTRICA FIAT FORD RENAULT CHEVR.\par } </v>
      </c>
      <c r="AM59" t="str">
        <f>" "</f>
        <v xml:space="preserve"> </v>
      </c>
    </row>
    <row r="60" spans="1:39" x14ac:dyDescent="0.25">
      <c r="A60" t="str">
        <f>"M1015"</f>
        <v>M1015</v>
      </c>
      <c r="B60" t="str">
        <f>"BLAZER S-10"</f>
        <v>BLAZER S-10</v>
      </c>
      <c r="C60" t="str">
        <f>"$ 22235,32"</f>
        <v>$ 22235,32</v>
      </c>
      <c r="D60" t="str">
        <f>"$ 22235,32"</f>
        <v>$ 22235,32</v>
      </c>
      <c r="E60" t="str">
        <f>"$ 22235,32"</f>
        <v>$ 22235,32</v>
      </c>
      <c r="F60" t="str">
        <f>"$ 22235,32"</f>
        <v>$ 22235,32</v>
      </c>
      <c r="G60" t="str">
        <f>"$ 22235,32"</f>
        <v>$ 22235,32</v>
      </c>
      <c r="H60" t="str">
        <f t="shared" si="1"/>
        <v>$ 0,00</v>
      </c>
      <c r="I60" t="str">
        <f>"SENSOR MARIPOSA TPS"</f>
        <v>SENSOR MARIPOSA TPS</v>
      </c>
      <c r="J60" t="str">
        <f t="shared" si="3"/>
        <v>1</v>
      </c>
      <c r="K60" t="str">
        <f t="shared" si="37"/>
        <v>0</v>
      </c>
      <c r="L60" t="str">
        <f>"0,000"</f>
        <v>0,000</v>
      </c>
      <c r="M60" t="str">
        <f t="shared" si="5"/>
        <v xml:space="preserve"> </v>
      </c>
      <c r="N60" t="str">
        <f>"FISPA"</f>
        <v>FISPA</v>
      </c>
      <c r="O60" t="str">
        <f>"SENSORES"</f>
        <v>SENSORES</v>
      </c>
      <c r="P60" t="str">
        <f t="shared" si="39"/>
        <v>0</v>
      </c>
      <c r="Q60" t="str">
        <f t="shared" si="39"/>
        <v>0</v>
      </c>
      <c r="R60" t="str">
        <f t="shared" si="40"/>
        <v>0,00</v>
      </c>
      <c r="S60" t="str">
        <f t="shared" si="40"/>
        <v>0,00</v>
      </c>
      <c r="T60" t="str">
        <f t="shared" si="41"/>
        <v xml:space="preserve"> </v>
      </c>
      <c r="U60" t="str">
        <f t="shared" si="41"/>
        <v xml:space="preserve"> </v>
      </c>
      <c r="V60" t="str">
        <f>"0,000"</f>
        <v>0,000</v>
      </c>
      <c r="W60" t="str">
        <f t="shared" si="11"/>
        <v>Lista 4</v>
      </c>
      <c r="X60" t="str">
        <f t="shared" si="12"/>
        <v>Lista 5</v>
      </c>
      <c r="Y60" t="str">
        <f t="shared" si="13"/>
        <v>Oferta Gral.</v>
      </c>
      <c r="Z60" t="str">
        <f t="shared" si="14"/>
        <v>Rubro</v>
      </c>
      <c r="AA60" t="str">
        <f t="shared" si="15"/>
        <v>Cantidad por Bulto</v>
      </c>
      <c r="AB60" t="str">
        <f t="shared" si="16"/>
        <v>INNER</v>
      </c>
      <c r="AC60" t="str">
        <f t="shared" si="17"/>
        <v>Stock en Bultos</v>
      </c>
      <c r="AD60" t="str">
        <f t="shared" si="18"/>
        <v>SubDepósito</v>
      </c>
      <c r="AE60" t="str">
        <f t="shared" si="19"/>
        <v>Marca</v>
      </c>
      <c r="AF60" t="str">
        <f t="shared" si="20"/>
        <v>Super Rubro</v>
      </c>
      <c r="AG60" t="str">
        <f t="shared" si="21"/>
        <v>ComercioExterior</v>
      </c>
      <c r="AH60" t="str">
        <f t="shared" si="22"/>
        <v>PrecioFOB</v>
      </c>
      <c r="AI60" t="str">
        <f t="shared" si="23"/>
        <v>Monto II</v>
      </c>
      <c r="AJ60" t="str">
        <f t="shared" si="24"/>
        <v>Porcentaje II</v>
      </c>
      <c r="AK60" t="str">
        <f t="shared" si="25"/>
        <v>Foto</v>
      </c>
      <c r="AL60" t="str">
        <f>" "</f>
        <v xml:space="preserve"> </v>
      </c>
      <c r="AM60" t="str">
        <f>"-"</f>
        <v>-</v>
      </c>
    </row>
    <row r="61" spans="1:39" x14ac:dyDescent="0.25">
      <c r="A61" t="str">
        <f>"12961MULTI5"</f>
        <v>12961MULTI5</v>
      </c>
      <c r="B61" t="str">
        <f>"BLISTER 2 LAMPARAS MUELITAS  MULTILED 5 PUNTAS 12V."</f>
        <v>BLISTER 2 LAMPARAS MUELITAS  MULTILED 5 PUNTAS 12V.</v>
      </c>
      <c r="C61" t="str">
        <f>"$ 1309,20"</f>
        <v>$ 1309,20</v>
      </c>
      <c r="D61" t="str">
        <f>"$ 1309,20"</f>
        <v>$ 1309,20</v>
      </c>
      <c r="E61" t="str">
        <f>"$ 1309,20"</f>
        <v>$ 1309,20</v>
      </c>
      <c r="F61" t="str">
        <f>"$ 1309,20"</f>
        <v>$ 1309,20</v>
      </c>
      <c r="G61" t="str">
        <f>"$ 1309,20"</f>
        <v>$ 1309,20</v>
      </c>
      <c r="H61" t="str">
        <f t="shared" si="1"/>
        <v>$ 0,00</v>
      </c>
      <c r="I61" t="str">
        <f>"LED"</f>
        <v>LED</v>
      </c>
      <c r="J61" t="str">
        <f t="shared" si="3"/>
        <v>1</v>
      </c>
      <c r="K61" t="str">
        <f t="shared" si="37"/>
        <v>0</v>
      </c>
      <c r="L61" t="str">
        <f>"65,000"</f>
        <v>65,000</v>
      </c>
      <c r="M61" t="str">
        <f t="shared" si="5"/>
        <v xml:space="preserve"> </v>
      </c>
      <c r="N61" t="str">
        <f>"KOBO"</f>
        <v>KOBO</v>
      </c>
      <c r="O61" t="str">
        <f>"LAMPARAS"</f>
        <v>LAMPARAS</v>
      </c>
      <c r="P61" t="str">
        <f t="shared" si="39"/>
        <v>0</v>
      </c>
      <c r="Q61" t="str">
        <f t="shared" si="39"/>
        <v>0</v>
      </c>
      <c r="R61" t="str">
        <f t="shared" si="40"/>
        <v>0,00</v>
      </c>
      <c r="S61" t="str">
        <f t="shared" si="40"/>
        <v>0,00</v>
      </c>
      <c r="T61" t="str">
        <f t="shared" si="41"/>
        <v xml:space="preserve"> </v>
      </c>
      <c r="U61" t="str">
        <f t="shared" si="41"/>
        <v xml:space="preserve"> </v>
      </c>
      <c r="V61" t="str">
        <f>"65,000"</f>
        <v>65,000</v>
      </c>
      <c r="W61" t="str">
        <f t="shared" si="11"/>
        <v>Lista 4</v>
      </c>
      <c r="X61" t="str">
        <f t="shared" si="12"/>
        <v>Lista 5</v>
      </c>
      <c r="Y61" t="str">
        <f t="shared" si="13"/>
        <v>Oferta Gral.</v>
      </c>
      <c r="Z61" t="str">
        <f t="shared" si="14"/>
        <v>Rubro</v>
      </c>
      <c r="AA61" t="str">
        <f t="shared" si="15"/>
        <v>Cantidad por Bulto</v>
      </c>
      <c r="AB61" t="str">
        <f t="shared" si="16"/>
        <v>INNER</v>
      </c>
      <c r="AC61" t="str">
        <f t="shared" si="17"/>
        <v>Stock en Bultos</v>
      </c>
      <c r="AD61" t="str">
        <f t="shared" si="18"/>
        <v>SubDepósito</v>
      </c>
      <c r="AE61" t="str">
        <f t="shared" si="19"/>
        <v>Marca</v>
      </c>
      <c r="AF61" t="str">
        <f t="shared" si="20"/>
        <v>Super Rubro</v>
      </c>
      <c r="AG61" t="str">
        <f t="shared" si="21"/>
        <v>ComercioExterior</v>
      </c>
      <c r="AH61" t="str">
        <f t="shared" si="22"/>
        <v>PrecioFOB</v>
      </c>
      <c r="AI61" t="str">
        <f t="shared" si="23"/>
        <v>Monto II</v>
      </c>
      <c r="AJ61" t="str">
        <f t="shared" si="24"/>
        <v>Porcentaje II</v>
      </c>
      <c r="AK61" t="str">
        <f t="shared" si="25"/>
        <v>Foto</v>
      </c>
      <c r="AL61" t="str">
        <f>"{\rtf1\ansi\ansicpg1252\deff0\deflang11274{\fonttbl{\f0\fnil\fcharset0 MS Sans Serif}} \viewkind4\uc1\pard\f0\fs16 BLISTER 2 LAMPARAS MUELITAS  MULTILED 5 PUNTAS 12V.\par } "</f>
        <v xml:space="preserve">{\rtf1\ansi\ansicpg1252\deff0\deflang11274{\fonttbl{\f0\fnil\fcharset0 MS Sans Serif}} \viewkind4\uc1\pard\f0\fs16 BLISTER 2 LAMPARAS MUELITAS  MULTILED 5 PUNTAS 12V.\par } </v>
      </c>
      <c r="AM61" t="str">
        <f>" "</f>
        <v xml:space="preserve"> </v>
      </c>
    </row>
    <row r="62" spans="1:39" x14ac:dyDescent="0.25">
      <c r="A62" t="str">
        <f>"12961SILBLA"</f>
        <v>12961SILBLA</v>
      </c>
      <c r="B62" t="str">
        <f>"BLISTER 2 LAMPARAS MUELITAS LED SILICA 12V BLANCA"</f>
        <v>BLISTER 2 LAMPARAS MUELITAS LED SILICA 12V BLANCA</v>
      </c>
      <c r="C62" t="str">
        <f>"$ 1319,75"</f>
        <v>$ 1319,75</v>
      </c>
      <c r="D62" t="str">
        <f>"$ 1319,75"</f>
        <v>$ 1319,75</v>
      </c>
      <c r="E62" t="str">
        <f>"$ 1319,75"</f>
        <v>$ 1319,75</v>
      </c>
      <c r="F62" t="str">
        <f>"$ 1319,75"</f>
        <v>$ 1319,75</v>
      </c>
      <c r="G62" t="str">
        <f>"$ 1319,75"</f>
        <v>$ 1319,75</v>
      </c>
      <c r="H62" t="str">
        <f t="shared" si="1"/>
        <v>$ 0,00</v>
      </c>
      <c r="I62" t="str">
        <f>"LED"</f>
        <v>LED</v>
      </c>
      <c r="J62" t="str">
        <f t="shared" si="3"/>
        <v>1</v>
      </c>
      <c r="K62" t="str">
        <f t="shared" si="37"/>
        <v>0</v>
      </c>
      <c r="L62" t="str">
        <f>"81,000"</f>
        <v>81,000</v>
      </c>
      <c r="M62" t="str">
        <f t="shared" si="5"/>
        <v xml:space="preserve"> </v>
      </c>
      <c r="N62" t="str">
        <f>"KOBO"</f>
        <v>KOBO</v>
      </c>
      <c r="O62" t="str">
        <f>"LAMPARAS"</f>
        <v>LAMPARAS</v>
      </c>
      <c r="P62" t="str">
        <f t="shared" si="39"/>
        <v>0</v>
      </c>
      <c r="Q62" t="str">
        <f t="shared" si="39"/>
        <v>0</v>
      </c>
      <c r="R62" t="str">
        <f t="shared" si="40"/>
        <v>0,00</v>
      </c>
      <c r="S62" t="str">
        <f t="shared" si="40"/>
        <v>0,00</v>
      </c>
      <c r="T62" t="str">
        <f t="shared" si="41"/>
        <v xml:space="preserve"> </v>
      </c>
      <c r="U62" t="str">
        <f t="shared" si="41"/>
        <v xml:space="preserve"> </v>
      </c>
      <c r="V62" t="str">
        <f>"81,000"</f>
        <v>81,000</v>
      </c>
      <c r="W62" t="str">
        <f t="shared" si="11"/>
        <v>Lista 4</v>
      </c>
      <c r="X62" t="str">
        <f t="shared" si="12"/>
        <v>Lista 5</v>
      </c>
      <c r="Y62" t="str">
        <f t="shared" si="13"/>
        <v>Oferta Gral.</v>
      </c>
      <c r="Z62" t="str">
        <f t="shared" si="14"/>
        <v>Rubro</v>
      </c>
      <c r="AA62" t="str">
        <f t="shared" si="15"/>
        <v>Cantidad por Bulto</v>
      </c>
      <c r="AB62" t="str">
        <f t="shared" si="16"/>
        <v>INNER</v>
      </c>
      <c r="AC62" t="str">
        <f t="shared" si="17"/>
        <v>Stock en Bultos</v>
      </c>
      <c r="AD62" t="str">
        <f t="shared" si="18"/>
        <v>SubDepósito</v>
      </c>
      <c r="AE62" t="str">
        <f t="shared" si="19"/>
        <v>Marca</v>
      </c>
      <c r="AF62" t="str">
        <f t="shared" si="20"/>
        <v>Super Rubro</v>
      </c>
      <c r="AG62" t="str">
        <f t="shared" si="21"/>
        <v>ComercioExterior</v>
      </c>
      <c r="AH62" t="str">
        <f t="shared" si="22"/>
        <v>PrecioFOB</v>
      </c>
      <c r="AI62" t="str">
        <f t="shared" si="23"/>
        <v>Monto II</v>
      </c>
      <c r="AJ62" t="str">
        <f t="shared" si="24"/>
        <v>Porcentaje II</v>
      </c>
      <c r="AK62" t="str">
        <f t="shared" si="25"/>
        <v>Foto</v>
      </c>
      <c r="AL62" t="str">
        <f>"{\rtf1\ansi\ansicpg1252\deff0\deflang11274{\fonttbl{\f0\fnil\fcharset0 MS Sans Serif}} \viewkind4\uc1\pard\f0\fs16 BLISTER 2 LAMPARAS MUELITAS LED SILICA 12V BLANCA\par } "</f>
        <v xml:space="preserve">{\rtf1\ansi\ansicpg1252\deff0\deflang11274{\fonttbl{\f0\fnil\fcharset0 MS Sans Serif}} \viewkind4\uc1\pard\f0\fs16 BLISTER 2 LAMPARAS MUELITAS LED SILICA 12V BLANCA\par } </v>
      </c>
      <c r="AM62" t="str">
        <f>"-"</f>
        <v>-</v>
      </c>
    </row>
    <row r="63" spans="1:39" x14ac:dyDescent="0.25">
      <c r="A63" t="str">
        <f>"12961MULTI9"</f>
        <v>12961MULTI9</v>
      </c>
      <c r="B63" t="str">
        <f>"BLISTER 2 LAMPARAS MUELITAS MULTILED 9 PUNTAS 12V"</f>
        <v>BLISTER 2 LAMPARAS MUELITAS MULTILED 9 PUNTAS 12V</v>
      </c>
      <c r="C63" t="str">
        <f>"$ 1573,15"</f>
        <v>$ 1573,15</v>
      </c>
      <c r="D63" t="str">
        <f>"$ 1573,15"</f>
        <v>$ 1573,15</v>
      </c>
      <c r="E63" t="str">
        <f>"$ 1573,15"</f>
        <v>$ 1573,15</v>
      </c>
      <c r="F63" t="str">
        <f>"$ 1573,15"</f>
        <v>$ 1573,15</v>
      </c>
      <c r="G63" t="str">
        <f>"$ 1573,15"</f>
        <v>$ 1573,15</v>
      </c>
      <c r="H63" t="str">
        <f t="shared" si="1"/>
        <v>$ 0,00</v>
      </c>
      <c r="I63" t="str">
        <f>"LED"</f>
        <v>LED</v>
      </c>
      <c r="J63" t="str">
        <f t="shared" si="3"/>
        <v>1</v>
      </c>
      <c r="K63" t="str">
        <f t="shared" si="37"/>
        <v>0</v>
      </c>
      <c r="L63" t="str">
        <f>"232,000"</f>
        <v>232,000</v>
      </c>
      <c r="M63" t="str">
        <f t="shared" si="5"/>
        <v xml:space="preserve"> </v>
      </c>
      <c r="N63" t="str">
        <f>"KOBO"</f>
        <v>KOBO</v>
      </c>
      <c r="O63" t="str">
        <f>"LAMPARAS"</f>
        <v>LAMPARAS</v>
      </c>
      <c r="P63" t="str">
        <f t="shared" ref="P63:Q82" si="45">"0"</f>
        <v>0</v>
      </c>
      <c r="Q63" t="str">
        <f t="shared" si="45"/>
        <v>0</v>
      </c>
      <c r="R63" t="str">
        <f t="shared" ref="R63:S82" si="46">"0,00"</f>
        <v>0,00</v>
      </c>
      <c r="S63" t="str">
        <f t="shared" si="46"/>
        <v>0,00</v>
      </c>
      <c r="T63" t="str">
        <f t="shared" ref="T63:U82" si="47">" "</f>
        <v xml:space="preserve"> </v>
      </c>
      <c r="U63" t="str">
        <f t="shared" si="47"/>
        <v xml:space="preserve"> </v>
      </c>
      <c r="V63" t="str">
        <f>"232,000"</f>
        <v>232,000</v>
      </c>
      <c r="W63" t="str">
        <f t="shared" si="11"/>
        <v>Lista 4</v>
      </c>
      <c r="X63" t="str">
        <f t="shared" si="12"/>
        <v>Lista 5</v>
      </c>
      <c r="Y63" t="str">
        <f t="shared" si="13"/>
        <v>Oferta Gral.</v>
      </c>
      <c r="Z63" t="str">
        <f t="shared" si="14"/>
        <v>Rubro</v>
      </c>
      <c r="AA63" t="str">
        <f t="shared" si="15"/>
        <v>Cantidad por Bulto</v>
      </c>
      <c r="AB63" t="str">
        <f t="shared" si="16"/>
        <v>INNER</v>
      </c>
      <c r="AC63" t="str">
        <f t="shared" si="17"/>
        <v>Stock en Bultos</v>
      </c>
      <c r="AD63" t="str">
        <f t="shared" si="18"/>
        <v>SubDepósito</v>
      </c>
      <c r="AE63" t="str">
        <f t="shared" si="19"/>
        <v>Marca</v>
      </c>
      <c r="AF63" t="str">
        <f t="shared" si="20"/>
        <v>Super Rubro</v>
      </c>
      <c r="AG63" t="str">
        <f t="shared" si="21"/>
        <v>ComercioExterior</v>
      </c>
      <c r="AH63" t="str">
        <f t="shared" si="22"/>
        <v>PrecioFOB</v>
      </c>
      <c r="AI63" t="str">
        <f t="shared" si="23"/>
        <v>Monto II</v>
      </c>
      <c r="AJ63" t="str">
        <f t="shared" si="24"/>
        <v>Porcentaje II</v>
      </c>
      <c r="AK63" t="str">
        <f t="shared" si="25"/>
        <v>Foto</v>
      </c>
      <c r="AL63" t="str">
        <f>"{\rtf1\ansi\ansicpg1252\deff0\deflang11274{\fonttbl{\f0\fnil\fcharset0 MS Sans Serif}} \viewkind4\uc1\pard\f0\fs16 BLISTER 2 LAMPARAS MUELITAS MULTILED 9 PUNTAS 12V\par } "</f>
        <v xml:space="preserve">{\rtf1\ansi\ansicpg1252\deff0\deflang11274{\fonttbl{\f0\fnil\fcharset0 MS Sans Serif}} \viewkind4\uc1\pard\f0\fs16 BLISTER 2 LAMPARAS MUELITAS MULTILED 9 PUNTAS 12V\par } </v>
      </c>
      <c r="AM63" t="str">
        <f>" "</f>
        <v xml:space="preserve"> </v>
      </c>
    </row>
    <row r="64" spans="1:39" x14ac:dyDescent="0.25">
      <c r="A64" t="str">
        <f>"KD8065D"</f>
        <v>KD8065D</v>
      </c>
      <c r="B64" t="str">
        <f>"BOBINA CHEVROLET CRUZE"</f>
        <v>BOBINA CHEVROLET CRUZE</v>
      </c>
      <c r="C64" t="str">
        <f>"$ 166491,21"</f>
        <v>$ 166491,21</v>
      </c>
      <c r="D64" t="str">
        <f>"$ 166491,21"</f>
        <v>$ 166491,21</v>
      </c>
      <c r="E64" t="str">
        <f>"$ 166491,21"</f>
        <v>$ 166491,21</v>
      </c>
      <c r="F64" t="str">
        <f>"$ 166491,21"</f>
        <v>$ 166491,21</v>
      </c>
      <c r="G64" t="str">
        <f>"$ 166491,21"</f>
        <v>$ 166491,21</v>
      </c>
      <c r="H64" t="str">
        <f t="shared" si="1"/>
        <v>$ 0,00</v>
      </c>
      <c r="I64" t="str">
        <f t="shared" ref="I64:I95" si="48">"BOBINAS DE ENCENDIDO"</f>
        <v>BOBINAS DE ENCENDIDO</v>
      </c>
      <c r="J64" t="str">
        <f t="shared" si="3"/>
        <v>1</v>
      </c>
      <c r="K64" t="str">
        <f t="shared" si="37"/>
        <v>0</v>
      </c>
      <c r="L64" t="str">
        <f>"0,000"</f>
        <v>0,000</v>
      </c>
      <c r="M64" t="str">
        <f t="shared" si="5"/>
        <v xml:space="preserve"> </v>
      </c>
      <c r="N64" t="str">
        <f>"CADIC"</f>
        <v>CADIC</v>
      </c>
      <c r="O64" t="str">
        <f t="shared" ref="O64:O95" si="49">"BOBINAS"</f>
        <v>BOBINAS</v>
      </c>
      <c r="P64" t="str">
        <f t="shared" si="45"/>
        <v>0</v>
      </c>
      <c r="Q64" t="str">
        <f t="shared" si="45"/>
        <v>0</v>
      </c>
      <c r="R64" t="str">
        <f t="shared" si="46"/>
        <v>0,00</v>
      </c>
      <c r="S64" t="str">
        <f t="shared" si="46"/>
        <v>0,00</v>
      </c>
      <c r="T64" t="str">
        <f t="shared" si="47"/>
        <v xml:space="preserve"> </v>
      </c>
      <c r="U64" t="str">
        <f t="shared" si="47"/>
        <v xml:space="preserve"> </v>
      </c>
      <c r="V64" t="str">
        <f>"0,000"</f>
        <v>0,000</v>
      </c>
      <c r="W64" t="str">
        <f t="shared" si="11"/>
        <v>Lista 4</v>
      </c>
      <c r="X64" t="str">
        <f t="shared" si="12"/>
        <v>Lista 5</v>
      </c>
      <c r="Y64" t="str">
        <f t="shared" si="13"/>
        <v>Oferta Gral.</v>
      </c>
      <c r="Z64" t="str">
        <f t="shared" si="14"/>
        <v>Rubro</v>
      </c>
      <c r="AA64" t="str">
        <f t="shared" si="15"/>
        <v>Cantidad por Bulto</v>
      </c>
      <c r="AB64" t="str">
        <f t="shared" si="16"/>
        <v>INNER</v>
      </c>
      <c r="AC64" t="str">
        <f t="shared" si="17"/>
        <v>Stock en Bultos</v>
      </c>
      <c r="AD64" t="str">
        <f t="shared" si="18"/>
        <v>SubDepósito</v>
      </c>
      <c r="AE64" t="str">
        <f t="shared" si="19"/>
        <v>Marca</v>
      </c>
      <c r="AF64" t="str">
        <f t="shared" si="20"/>
        <v>Super Rubro</v>
      </c>
      <c r="AG64" t="str">
        <f t="shared" si="21"/>
        <v>ComercioExterior</v>
      </c>
      <c r="AH64" t="str">
        <f t="shared" si="22"/>
        <v>PrecioFOB</v>
      </c>
      <c r="AI64" t="str">
        <f t="shared" si="23"/>
        <v>Monto II</v>
      </c>
      <c r="AJ64" t="str">
        <f t="shared" si="24"/>
        <v>Porcentaje II</v>
      </c>
      <c r="AK64" t="str">
        <f t="shared" si="25"/>
        <v>Foto</v>
      </c>
      <c r="AL64" t="str">
        <f>"{\rtf1\ansi\ansicpg1252\deff0\deflang11274{\fonttbl{\f0\fnil\fcharset0 MS Sans Serif}} \viewkind4\uc1\pard\f0\fs16 BOBINA CHEVROLET CRUZE\par } "</f>
        <v xml:space="preserve">{\rtf1\ansi\ansicpg1252\deff0\deflang11274{\fonttbl{\f0\fnil\fcharset0 MS Sans Serif}} \viewkind4\uc1\pard\f0\fs16 BOBINA CHEVROLET CRUZE\par } </v>
      </c>
      <c r="AM64" t="str">
        <f>" "</f>
        <v xml:space="preserve"> </v>
      </c>
    </row>
    <row r="65" spans="1:39" x14ac:dyDescent="0.25">
      <c r="A65" t="str">
        <f>"KD5017"</f>
        <v>KD5017</v>
      </c>
      <c r="B65" t="str">
        <f>"BOBINA CHEVROLET ONIX/PRISMA/SONIC"</f>
        <v>BOBINA CHEVROLET ONIX/PRISMA/SONIC</v>
      </c>
      <c r="C65" t="str">
        <f>"$ 49582,59"</f>
        <v>$ 49582,59</v>
      </c>
      <c r="D65" t="str">
        <f>"$ 49582,59"</f>
        <v>$ 49582,59</v>
      </c>
      <c r="E65" t="str">
        <f>"$ 49582,59"</f>
        <v>$ 49582,59</v>
      </c>
      <c r="F65" t="str">
        <f>"$ 49582,59"</f>
        <v>$ 49582,59</v>
      </c>
      <c r="G65" t="str">
        <f>"$ 49582,59"</f>
        <v>$ 49582,59</v>
      </c>
      <c r="H65" t="str">
        <f t="shared" si="1"/>
        <v>$ 0,00</v>
      </c>
      <c r="I65" t="str">
        <f t="shared" si="48"/>
        <v>BOBINAS DE ENCENDIDO</v>
      </c>
      <c r="J65" t="str">
        <f t="shared" si="3"/>
        <v>1</v>
      </c>
      <c r="K65" t="str">
        <f t="shared" si="37"/>
        <v>0</v>
      </c>
      <c r="L65" t="str">
        <f>"2,000"</f>
        <v>2,000</v>
      </c>
      <c r="M65" t="str">
        <f t="shared" si="5"/>
        <v xml:space="preserve"> </v>
      </c>
      <c r="N65" t="str">
        <f>"CADIC"</f>
        <v>CADIC</v>
      </c>
      <c r="O65" t="str">
        <f t="shared" si="49"/>
        <v>BOBINAS</v>
      </c>
      <c r="P65" t="str">
        <f t="shared" si="45"/>
        <v>0</v>
      </c>
      <c r="Q65" t="str">
        <f t="shared" si="45"/>
        <v>0</v>
      </c>
      <c r="R65" t="str">
        <f t="shared" si="46"/>
        <v>0,00</v>
      </c>
      <c r="S65" t="str">
        <f t="shared" si="46"/>
        <v>0,00</v>
      </c>
      <c r="T65" t="str">
        <f t="shared" si="47"/>
        <v xml:space="preserve"> </v>
      </c>
      <c r="U65" t="str">
        <f t="shared" si="47"/>
        <v xml:space="preserve"> </v>
      </c>
      <c r="V65" t="str">
        <f>"2,000"</f>
        <v>2,000</v>
      </c>
      <c r="W65" t="str">
        <f t="shared" si="11"/>
        <v>Lista 4</v>
      </c>
      <c r="X65" t="str">
        <f t="shared" si="12"/>
        <v>Lista 5</v>
      </c>
      <c r="Y65" t="str">
        <f t="shared" si="13"/>
        <v>Oferta Gral.</v>
      </c>
      <c r="Z65" t="str">
        <f t="shared" si="14"/>
        <v>Rubro</v>
      </c>
      <c r="AA65" t="str">
        <f t="shared" si="15"/>
        <v>Cantidad por Bulto</v>
      </c>
      <c r="AB65" t="str">
        <f t="shared" si="16"/>
        <v>INNER</v>
      </c>
      <c r="AC65" t="str">
        <f t="shared" si="17"/>
        <v>Stock en Bultos</v>
      </c>
      <c r="AD65" t="str">
        <f t="shared" si="18"/>
        <v>SubDepósito</v>
      </c>
      <c r="AE65" t="str">
        <f t="shared" si="19"/>
        <v>Marca</v>
      </c>
      <c r="AF65" t="str">
        <f t="shared" si="20"/>
        <v>Super Rubro</v>
      </c>
      <c r="AG65" t="str">
        <f t="shared" si="21"/>
        <v>ComercioExterior</v>
      </c>
      <c r="AH65" t="str">
        <f t="shared" si="22"/>
        <v>PrecioFOB</v>
      </c>
      <c r="AI65" t="str">
        <f t="shared" si="23"/>
        <v>Monto II</v>
      </c>
      <c r="AJ65" t="str">
        <f t="shared" si="24"/>
        <v>Porcentaje II</v>
      </c>
      <c r="AK65" t="str">
        <f t="shared" si="25"/>
        <v>Foto</v>
      </c>
      <c r="AL65" t="str">
        <f>"{\rtf1\ansi\ansicpg1252\deff0\deflang11274{\fonttbl{\f0\fnil\fcharset0 MS Sans Serif}} \viewkind4\uc1\pard\f0\fs16 BOBINA CHEVROLET ONIX/PRISMA/SONIC\par } "</f>
        <v xml:space="preserve">{\rtf1\ansi\ansicpg1252\deff0\deflang11274{\fonttbl{\f0\fnil\fcharset0 MS Sans Serif}} \viewkind4\uc1\pard\f0\fs16 BOBINA CHEVROLET ONIX/PRISMA/SONIC\par } </v>
      </c>
      <c r="AM65" t="str">
        <f>" "</f>
        <v xml:space="preserve"> </v>
      </c>
    </row>
    <row r="66" spans="1:39" x14ac:dyDescent="0.25">
      <c r="A66" t="str">
        <f>"FI70121"</f>
        <v>FI70121</v>
      </c>
      <c r="B66" t="str">
        <f>"BOBINA DE ENCENDIDO CHEVROLET CRUZE 2010 DESDE 1.8 96476979"</f>
        <v>BOBINA DE ENCENDIDO CHEVROLET CRUZE 2010 DESDE 1.8 96476979</v>
      </c>
      <c r="C66" t="str">
        <f>"$ 133630,16"</f>
        <v>$ 133630,16</v>
      </c>
      <c r="D66" t="str">
        <f>"$ 133630,16"</f>
        <v>$ 133630,16</v>
      </c>
      <c r="E66" t="str">
        <f>"$ 133630,16"</f>
        <v>$ 133630,16</v>
      </c>
      <c r="F66" t="str">
        <f>"$ 133630,16"</f>
        <v>$ 133630,16</v>
      </c>
      <c r="G66" t="str">
        <f>"$ 133630,16"</f>
        <v>$ 133630,16</v>
      </c>
      <c r="H66" t="str">
        <f t="shared" si="1"/>
        <v>$ 0,00</v>
      </c>
      <c r="I66" t="str">
        <f t="shared" si="48"/>
        <v>BOBINAS DE ENCENDIDO</v>
      </c>
      <c r="J66" t="str">
        <f t="shared" si="3"/>
        <v>1</v>
      </c>
      <c r="K66" t="str">
        <f t="shared" si="37"/>
        <v>0</v>
      </c>
      <c r="L66" t="str">
        <f>"3,000"</f>
        <v>3,000</v>
      </c>
      <c r="M66" t="str">
        <f t="shared" si="5"/>
        <v xml:space="preserve"> </v>
      </c>
      <c r="N66" t="str">
        <f>"FISPA"</f>
        <v>FISPA</v>
      </c>
      <c r="O66" t="str">
        <f t="shared" si="49"/>
        <v>BOBINAS</v>
      </c>
      <c r="P66" t="str">
        <f t="shared" si="45"/>
        <v>0</v>
      </c>
      <c r="Q66" t="str">
        <f t="shared" si="45"/>
        <v>0</v>
      </c>
      <c r="R66" t="str">
        <f t="shared" si="46"/>
        <v>0,00</v>
      </c>
      <c r="S66" t="str">
        <f t="shared" si="46"/>
        <v>0,00</v>
      </c>
      <c r="T66" t="str">
        <f t="shared" si="47"/>
        <v xml:space="preserve"> </v>
      </c>
      <c r="U66" t="str">
        <f t="shared" si="47"/>
        <v xml:space="preserve"> </v>
      </c>
      <c r="V66" t="str">
        <f>"3,000"</f>
        <v>3,000</v>
      </c>
      <c r="W66" t="str">
        <f t="shared" si="11"/>
        <v>Lista 4</v>
      </c>
      <c r="X66" t="str">
        <f t="shared" si="12"/>
        <v>Lista 5</v>
      </c>
      <c r="Y66" t="str">
        <f t="shared" si="13"/>
        <v>Oferta Gral.</v>
      </c>
      <c r="Z66" t="str">
        <f t="shared" si="14"/>
        <v>Rubro</v>
      </c>
      <c r="AA66" t="str">
        <f t="shared" si="15"/>
        <v>Cantidad por Bulto</v>
      </c>
      <c r="AB66" t="str">
        <f t="shared" si="16"/>
        <v>INNER</v>
      </c>
      <c r="AC66" t="str">
        <f t="shared" si="17"/>
        <v>Stock en Bultos</v>
      </c>
      <c r="AD66" t="str">
        <f t="shared" si="18"/>
        <v>SubDepósito</v>
      </c>
      <c r="AE66" t="str">
        <f t="shared" si="19"/>
        <v>Marca</v>
      </c>
      <c r="AF66" t="str">
        <f t="shared" si="20"/>
        <v>Super Rubro</v>
      </c>
      <c r="AG66" t="str">
        <f t="shared" si="21"/>
        <v>ComercioExterior</v>
      </c>
      <c r="AH66" t="str">
        <f t="shared" si="22"/>
        <v>PrecioFOB</v>
      </c>
      <c r="AI66" t="str">
        <f t="shared" si="23"/>
        <v>Monto II</v>
      </c>
      <c r="AJ66" t="str">
        <f t="shared" si="24"/>
        <v>Porcentaje II</v>
      </c>
      <c r="AK66" t="str">
        <f t="shared" si="25"/>
        <v>Foto</v>
      </c>
      <c r="AL6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6" t="str">
        <f>"-"</f>
        <v>-</v>
      </c>
    </row>
    <row r="67" spans="1:39" x14ac:dyDescent="0.25">
      <c r="A67" t="str">
        <f>"FI70152"</f>
        <v>FI70152</v>
      </c>
      <c r="B67" t="str">
        <f>"BOBINA DE ENCENDIDO CHEVROLET TRACKER SONIC 7 PINES CON MODULO 25186687"</f>
        <v>BOBINA DE ENCENDIDO CHEVROLET TRACKER SONIC 7 PINES CON MODULO 25186687</v>
      </c>
      <c r="C67" t="str">
        <f>"$ 136136,44"</f>
        <v>$ 136136,44</v>
      </c>
      <c r="D67" t="str">
        <f>"$ 136136,44"</f>
        <v>$ 136136,44</v>
      </c>
      <c r="E67" t="str">
        <f>"$ 136136,44"</f>
        <v>$ 136136,44</v>
      </c>
      <c r="F67" t="str">
        <f>"$ 136136,44"</f>
        <v>$ 136136,44</v>
      </c>
      <c r="G67" t="str">
        <f>"$ 136136,44"</f>
        <v>$ 136136,44</v>
      </c>
      <c r="H67" t="str">
        <f t="shared" ref="H67:H130" si="50">"$ 0,00"</f>
        <v>$ 0,00</v>
      </c>
      <c r="I67" t="str">
        <f t="shared" si="48"/>
        <v>BOBINAS DE ENCENDIDO</v>
      </c>
      <c r="J67" t="str">
        <f t="shared" ref="J67:J130" si="51">"1"</f>
        <v>1</v>
      </c>
      <c r="K67" t="str">
        <f t="shared" ref="K67:K98" si="52">"0"</f>
        <v>0</v>
      </c>
      <c r="L67" t="str">
        <f>"5,000"</f>
        <v>5,000</v>
      </c>
      <c r="M67" t="str">
        <f t="shared" ref="M67:M130" si="53">" "</f>
        <v xml:space="preserve"> </v>
      </c>
      <c r="N67" t="str">
        <f>"FISPA"</f>
        <v>FISPA</v>
      </c>
      <c r="O67" t="str">
        <f t="shared" si="49"/>
        <v>BOBINAS</v>
      </c>
      <c r="P67" t="str">
        <f t="shared" si="45"/>
        <v>0</v>
      </c>
      <c r="Q67" t="str">
        <f t="shared" si="45"/>
        <v>0</v>
      </c>
      <c r="R67" t="str">
        <f t="shared" si="46"/>
        <v>0,00</v>
      </c>
      <c r="S67" t="str">
        <f t="shared" si="46"/>
        <v>0,00</v>
      </c>
      <c r="T67" t="str">
        <f t="shared" si="47"/>
        <v xml:space="preserve"> </v>
      </c>
      <c r="U67" t="str">
        <f t="shared" si="47"/>
        <v xml:space="preserve"> </v>
      </c>
      <c r="V67" t="str">
        <f>"5,000"</f>
        <v>5,000</v>
      </c>
      <c r="W67" t="str">
        <f t="shared" ref="W67:W130" si="54">"Lista 4"</f>
        <v>Lista 4</v>
      </c>
      <c r="X67" t="str">
        <f t="shared" ref="X67:X130" si="55">"Lista 5"</f>
        <v>Lista 5</v>
      </c>
      <c r="Y67" t="str">
        <f t="shared" ref="Y67:Y130" si="56">"Oferta Gral."</f>
        <v>Oferta Gral.</v>
      </c>
      <c r="Z67" t="str">
        <f t="shared" ref="Z67:Z130" si="57">"Rubro"</f>
        <v>Rubro</v>
      </c>
      <c r="AA67" t="str">
        <f t="shared" ref="AA67:AA130" si="58">"Cantidad por Bulto"</f>
        <v>Cantidad por Bulto</v>
      </c>
      <c r="AB67" t="str">
        <f t="shared" ref="AB67:AB130" si="59">"INNER"</f>
        <v>INNER</v>
      </c>
      <c r="AC67" t="str">
        <f t="shared" ref="AC67:AC130" si="60">"Stock en Bultos"</f>
        <v>Stock en Bultos</v>
      </c>
      <c r="AD67" t="str">
        <f t="shared" ref="AD67:AD130" si="61">"SubDepósito"</f>
        <v>SubDepósito</v>
      </c>
      <c r="AE67" t="str">
        <f t="shared" ref="AE67:AE130" si="62">"Marca"</f>
        <v>Marca</v>
      </c>
      <c r="AF67" t="str">
        <f t="shared" ref="AF67:AF130" si="63">"Super Rubro"</f>
        <v>Super Rubro</v>
      </c>
      <c r="AG67" t="str">
        <f t="shared" ref="AG67:AG130" si="64">"ComercioExterior"</f>
        <v>ComercioExterior</v>
      </c>
      <c r="AH67" t="str">
        <f t="shared" ref="AH67:AH130" si="65">"PrecioFOB"</f>
        <v>PrecioFOB</v>
      </c>
      <c r="AI67" t="str">
        <f t="shared" ref="AI67:AI130" si="66">"Monto II"</f>
        <v>Monto II</v>
      </c>
      <c r="AJ67" t="str">
        <f t="shared" ref="AJ67:AJ130" si="67">"Porcentaje II"</f>
        <v>Porcentaje II</v>
      </c>
      <c r="AK67" t="str">
        <f t="shared" ref="AK67:AK130" si="68">"Foto"</f>
        <v>Foto</v>
      </c>
      <c r="AL6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67" t="str">
        <f>" "</f>
        <v xml:space="preserve"> </v>
      </c>
    </row>
    <row r="68" spans="1:39" x14ac:dyDescent="0.25">
      <c r="A68" t="str">
        <f>"FI70014"</f>
        <v>FI70014</v>
      </c>
      <c r="B68" t="str">
        <f>"BOBINA DE ENCENDIDO CORSA MULTIUPUNTO 98/98"</f>
        <v>BOBINA DE ENCENDIDO CORSA MULTIUPUNTO 98/98</v>
      </c>
      <c r="C68" t="str">
        <f>"$ 72103,77"</f>
        <v>$ 72103,77</v>
      </c>
      <c r="D68" t="str">
        <f>"$ 72103,77"</f>
        <v>$ 72103,77</v>
      </c>
      <c r="E68" t="str">
        <f>"$ 72103,77"</f>
        <v>$ 72103,77</v>
      </c>
      <c r="F68" t="str">
        <f>"$ 72103,77"</f>
        <v>$ 72103,77</v>
      </c>
      <c r="G68" t="str">
        <f>"$ 72103,77"</f>
        <v>$ 72103,77</v>
      </c>
      <c r="H68" t="str">
        <f t="shared" si="50"/>
        <v>$ 0,00</v>
      </c>
      <c r="I68" t="str">
        <f t="shared" si="48"/>
        <v>BOBINAS DE ENCENDIDO</v>
      </c>
      <c r="J68" t="str">
        <f t="shared" si="51"/>
        <v>1</v>
      </c>
      <c r="K68" t="str">
        <f t="shared" si="52"/>
        <v>0</v>
      </c>
      <c r="L68" t="str">
        <f>"3,000"</f>
        <v>3,000</v>
      </c>
      <c r="M68" t="str">
        <f t="shared" si="53"/>
        <v xml:space="preserve"> </v>
      </c>
      <c r="N68" t="str">
        <f>"FISPA"</f>
        <v>FISPA</v>
      </c>
      <c r="O68" t="str">
        <f t="shared" si="49"/>
        <v>BOBINAS</v>
      </c>
      <c r="P68" t="str">
        <f t="shared" si="45"/>
        <v>0</v>
      </c>
      <c r="Q68" t="str">
        <f t="shared" si="45"/>
        <v>0</v>
      </c>
      <c r="R68" t="str">
        <f t="shared" si="46"/>
        <v>0,00</v>
      </c>
      <c r="S68" t="str">
        <f t="shared" si="46"/>
        <v>0,00</v>
      </c>
      <c r="T68" t="str">
        <f t="shared" si="47"/>
        <v xml:space="preserve"> </v>
      </c>
      <c r="U68" t="str">
        <f t="shared" si="47"/>
        <v xml:space="preserve"> </v>
      </c>
      <c r="V68" t="str">
        <f>"3,000"</f>
        <v>3,000</v>
      </c>
      <c r="W68" t="str">
        <f t="shared" si="54"/>
        <v>Lista 4</v>
      </c>
      <c r="X68" t="str">
        <f t="shared" si="55"/>
        <v>Lista 5</v>
      </c>
      <c r="Y68" t="str">
        <f t="shared" si="56"/>
        <v>Oferta Gral.</v>
      </c>
      <c r="Z68" t="str">
        <f t="shared" si="57"/>
        <v>Rubro</v>
      </c>
      <c r="AA68" t="str">
        <f t="shared" si="58"/>
        <v>Cantidad por Bulto</v>
      </c>
      <c r="AB68" t="str">
        <f t="shared" si="59"/>
        <v>INNER</v>
      </c>
      <c r="AC68" t="str">
        <f t="shared" si="60"/>
        <v>Stock en Bultos</v>
      </c>
      <c r="AD68" t="str">
        <f t="shared" si="61"/>
        <v>SubDepósito</v>
      </c>
      <c r="AE68" t="str">
        <f t="shared" si="62"/>
        <v>Marca</v>
      </c>
      <c r="AF68" t="str">
        <f t="shared" si="63"/>
        <v>Super Rubro</v>
      </c>
      <c r="AG68" t="str">
        <f t="shared" si="64"/>
        <v>ComercioExterior</v>
      </c>
      <c r="AH68" t="str">
        <f t="shared" si="65"/>
        <v>PrecioFOB</v>
      </c>
      <c r="AI68" t="str">
        <f t="shared" si="66"/>
        <v>Monto II</v>
      </c>
      <c r="AJ68" t="str">
        <f t="shared" si="67"/>
        <v>Porcentaje II</v>
      </c>
      <c r="AK68" t="str">
        <f t="shared" si="68"/>
        <v>Foto</v>
      </c>
      <c r="AL6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8" t="str">
        <f>"-"</f>
        <v>-</v>
      </c>
    </row>
    <row r="69" spans="1:39" x14ac:dyDescent="0.25">
      <c r="A69" t="str">
        <f>"FI70172"</f>
        <v>FI70172</v>
      </c>
      <c r="B69" t="str">
        <f>"BOBINA DE ENCENDIDO NISSAN TIIDA 1.6/1.8"</f>
        <v>BOBINA DE ENCENDIDO NISSAN TIIDA 1.6/1.8</v>
      </c>
      <c r="C69" t="str">
        <f>"$ 59659,06"</f>
        <v>$ 59659,06</v>
      </c>
      <c r="D69" t="str">
        <f>"$ 59659,06"</f>
        <v>$ 59659,06</v>
      </c>
      <c r="E69" t="str">
        <f>"$ 59659,06"</f>
        <v>$ 59659,06</v>
      </c>
      <c r="F69" t="str">
        <f>"$ 59659,06"</f>
        <v>$ 59659,06</v>
      </c>
      <c r="G69" t="str">
        <f>"$ 59659,06"</f>
        <v>$ 59659,06</v>
      </c>
      <c r="H69" t="str">
        <f t="shared" si="50"/>
        <v>$ 0,00</v>
      </c>
      <c r="I69" t="str">
        <f t="shared" si="48"/>
        <v>BOBINAS DE ENCENDIDO</v>
      </c>
      <c r="J69" t="str">
        <f t="shared" si="51"/>
        <v>1</v>
      </c>
      <c r="K69" t="str">
        <f t="shared" si="52"/>
        <v>0</v>
      </c>
      <c r="L69" t="str">
        <f>"2,000"</f>
        <v>2,000</v>
      </c>
      <c r="M69" t="str">
        <f t="shared" si="53"/>
        <v xml:space="preserve"> </v>
      </c>
      <c r="N69" t="str">
        <f>"FISPA"</f>
        <v>FISPA</v>
      </c>
      <c r="O69" t="str">
        <f t="shared" si="49"/>
        <v>BOBINAS</v>
      </c>
      <c r="P69" t="str">
        <f t="shared" si="45"/>
        <v>0</v>
      </c>
      <c r="Q69" t="str">
        <f t="shared" si="45"/>
        <v>0</v>
      </c>
      <c r="R69" t="str">
        <f t="shared" si="46"/>
        <v>0,00</v>
      </c>
      <c r="S69" t="str">
        <f t="shared" si="46"/>
        <v>0,00</v>
      </c>
      <c r="T69" t="str">
        <f t="shared" si="47"/>
        <v xml:space="preserve"> </v>
      </c>
      <c r="U69" t="str">
        <f t="shared" si="47"/>
        <v xml:space="preserve"> </v>
      </c>
      <c r="V69" t="str">
        <f>"2,000"</f>
        <v>2,000</v>
      </c>
      <c r="W69" t="str">
        <f t="shared" si="54"/>
        <v>Lista 4</v>
      </c>
      <c r="X69" t="str">
        <f t="shared" si="55"/>
        <v>Lista 5</v>
      </c>
      <c r="Y69" t="str">
        <f t="shared" si="56"/>
        <v>Oferta Gral.</v>
      </c>
      <c r="Z69" t="str">
        <f t="shared" si="57"/>
        <v>Rubro</v>
      </c>
      <c r="AA69" t="str">
        <f t="shared" si="58"/>
        <v>Cantidad por Bulto</v>
      </c>
      <c r="AB69" t="str">
        <f t="shared" si="59"/>
        <v>INNER</v>
      </c>
      <c r="AC69" t="str">
        <f t="shared" si="60"/>
        <v>Stock en Bultos</v>
      </c>
      <c r="AD69" t="str">
        <f t="shared" si="61"/>
        <v>SubDepósito</v>
      </c>
      <c r="AE69" t="str">
        <f t="shared" si="62"/>
        <v>Marca</v>
      </c>
      <c r="AF69" t="str">
        <f t="shared" si="63"/>
        <v>Super Rubro</v>
      </c>
      <c r="AG69" t="str">
        <f t="shared" si="64"/>
        <v>ComercioExterior</v>
      </c>
      <c r="AH69" t="str">
        <f t="shared" si="65"/>
        <v>PrecioFOB</v>
      </c>
      <c r="AI69" t="str">
        <f t="shared" si="66"/>
        <v>Monto II</v>
      </c>
      <c r="AJ69" t="str">
        <f t="shared" si="67"/>
        <v>Porcentaje II</v>
      </c>
      <c r="AK69" t="str">
        <f t="shared" si="68"/>
        <v>Foto</v>
      </c>
      <c r="AL6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69" t="str">
        <f>"-"</f>
        <v>-</v>
      </c>
    </row>
    <row r="70" spans="1:39" x14ac:dyDescent="0.25">
      <c r="A70" t="str">
        <f>"FI70013"</f>
        <v>FI70013</v>
      </c>
      <c r="B70" t="str">
        <f>"BOBINA DE ENCENDIDO POLO, GOLF 1.6/1.8/2.0 905104"</f>
        <v>BOBINA DE ENCENDIDO POLO, GOLF 1.6/1.8/2.0 905104</v>
      </c>
      <c r="C70" t="str">
        <f>"$ 39120,96"</f>
        <v>$ 39120,96</v>
      </c>
      <c r="D70" t="str">
        <f>"$ 39120,96"</f>
        <v>$ 39120,96</v>
      </c>
      <c r="E70" t="str">
        <f>"$ 39120,96"</f>
        <v>$ 39120,96</v>
      </c>
      <c r="F70" t="str">
        <f>"$ 39120,96"</f>
        <v>$ 39120,96</v>
      </c>
      <c r="G70" t="str">
        <f>"$ 39120,96"</f>
        <v>$ 39120,96</v>
      </c>
      <c r="H70" t="str">
        <f t="shared" si="50"/>
        <v>$ 0,00</v>
      </c>
      <c r="I70" t="str">
        <f t="shared" si="48"/>
        <v>BOBINAS DE ENCENDIDO</v>
      </c>
      <c r="J70" t="str">
        <f t="shared" si="51"/>
        <v>1</v>
      </c>
      <c r="K70" t="str">
        <f t="shared" si="52"/>
        <v>0</v>
      </c>
      <c r="L70" t="str">
        <f>"0,000"</f>
        <v>0,000</v>
      </c>
      <c r="M70" t="str">
        <f t="shared" si="53"/>
        <v xml:space="preserve"> </v>
      </c>
      <c r="N70" t="str">
        <f>"FISPA"</f>
        <v>FISPA</v>
      </c>
      <c r="O70" t="str">
        <f t="shared" si="49"/>
        <v>BOBINAS</v>
      </c>
      <c r="P70" t="str">
        <f t="shared" si="45"/>
        <v>0</v>
      </c>
      <c r="Q70" t="str">
        <f t="shared" si="45"/>
        <v>0</v>
      </c>
      <c r="R70" t="str">
        <f t="shared" si="46"/>
        <v>0,00</v>
      </c>
      <c r="S70" t="str">
        <f t="shared" si="46"/>
        <v>0,00</v>
      </c>
      <c r="T70" t="str">
        <f t="shared" si="47"/>
        <v xml:space="preserve"> </v>
      </c>
      <c r="U70" t="str">
        <f t="shared" si="47"/>
        <v xml:space="preserve"> </v>
      </c>
      <c r="V70" t="str">
        <f>"0,000"</f>
        <v>0,000</v>
      </c>
      <c r="W70" t="str">
        <f t="shared" si="54"/>
        <v>Lista 4</v>
      </c>
      <c r="X70" t="str">
        <f t="shared" si="55"/>
        <v>Lista 5</v>
      </c>
      <c r="Y70" t="str">
        <f t="shared" si="56"/>
        <v>Oferta Gral.</v>
      </c>
      <c r="Z70" t="str">
        <f t="shared" si="57"/>
        <v>Rubro</v>
      </c>
      <c r="AA70" t="str">
        <f t="shared" si="58"/>
        <v>Cantidad por Bulto</v>
      </c>
      <c r="AB70" t="str">
        <f t="shared" si="59"/>
        <v>INNER</v>
      </c>
      <c r="AC70" t="str">
        <f t="shared" si="60"/>
        <v>Stock en Bultos</v>
      </c>
      <c r="AD70" t="str">
        <f t="shared" si="61"/>
        <v>SubDepósito</v>
      </c>
      <c r="AE70" t="str">
        <f t="shared" si="62"/>
        <v>Marca</v>
      </c>
      <c r="AF70" t="str">
        <f t="shared" si="63"/>
        <v>Super Rubro</v>
      </c>
      <c r="AG70" t="str">
        <f t="shared" si="64"/>
        <v>ComercioExterior</v>
      </c>
      <c r="AH70" t="str">
        <f t="shared" si="65"/>
        <v>PrecioFOB</v>
      </c>
      <c r="AI70" t="str">
        <f t="shared" si="66"/>
        <v>Monto II</v>
      </c>
      <c r="AJ70" t="str">
        <f t="shared" si="67"/>
        <v>Porcentaje II</v>
      </c>
      <c r="AK70" t="str">
        <f t="shared" si="68"/>
        <v>Foto</v>
      </c>
      <c r="AL7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70" t="str">
        <f>"-"</f>
        <v>-</v>
      </c>
    </row>
    <row r="71" spans="1:39" x14ac:dyDescent="0.25">
      <c r="A71" t="str">
        <f>"KD9120H"</f>
        <v>KD9120H</v>
      </c>
      <c r="B71" t="str">
        <f>"BOBINA DE ENCENDIDO RENAULT KOLEOS 2.5 NISSAN TIIDA"</f>
        <v>BOBINA DE ENCENDIDO RENAULT KOLEOS 2.5 NISSAN TIIDA</v>
      </c>
      <c r="C71" t="str">
        <f>"$ 60368,48"</f>
        <v>$ 60368,48</v>
      </c>
      <c r="D71" t="str">
        <f>"$ 60368,48"</f>
        <v>$ 60368,48</v>
      </c>
      <c r="E71" t="str">
        <f>"$ 60368,48"</f>
        <v>$ 60368,48</v>
      </c>
      <c r="F71" t="str">
        <f>"$ 60368,48"</f>
        <v>$ 60368,48</v>
      </c>
      <c r="G71" t="str">
        <f>"$ 60368,48"</f>
        <v>$ 60368,48</v>
      </c>
      <c r="H71" t="str">
        <f t="shared" si="50"/>
        <v>$ 0,00</v>
      </c>
      <c r="I71" t="str">
        <f t="shared" si="48"/>
        <v>BOBINAS DE ENCENDIDO</v>
      </c>
      <c r="J71" t="str">
        <f t="shared" si="51"/>
        <v>1</v>
      </c>
      <c r="K71" t="str">
        <f t="shared" si="52"/>
        <v>0</v>
      </c>
      <c r="L71" t="str">
        <f>"0,000"</f>
        <v>0,000</v>
      </c>
      <c r="M71" t="str">
        <f t="shared" si="53"/>
        <v xml:space="preserve"> </v>
      </c>
      <c r="N71" t="str">
        <f>"CADIC"</f>
        <v>CADIC</v>
      </c>
      <c r="O71" t="str">
        <f t="shared" si="49"/>
        <v>BOBINAS</v>
      </c>
      <c r="P71" t="str">
        <f t="shared" si="45"/>
        <v>0</v>
      </c>
      <c r="Q71" t="str">
        <f t="shared" si="45"/>
        <v>0</v>
      </c>
      <c r="R71" t="str">
        <f t="shared" si="46"/>
        <v>0,00</v>
      </c>
      <c r="S71" t="str">
        <f t="shared" si="46"/>
        <v>0,00</v>
      </c>
      <c r="T71" t="str">
        <f t="shared" si="47"/>
        <v xml:space="preserve"> </v>
      </c>
      <c r="U71" t="str">
        <f t="shared" si="47"/>
        <v xml:space="preserve"> </v>
      </c>
      <c r="V71" t="str">
        <f>"0,000"</f>
        <v>0,000</v>
      </c>
      <c r="W71" t="str">
        <f t="shared" si="54"/>
        <v>Lista 4</v>
      </c>
      <c r="X71" t="str">
        <f t="shared" si="55"/>
        <v>Lista 5</v>
      </c>
      <c r="Y71" t="str">
        <f t="shared" si="56"/>
        <v>Oferta Gral.</v>
      </c>
      <c r="Z71" t="str">
        <f t="shared" si="57"/>
        <v>Rubro</v>
      </c>
      <c r="AA71" t="str">
        <f t="shared" si="58"/>
        <v>Cantidad por Bulto</v>
      </c>
      <c r="AB71" t="str">
        <f t="shared" si="59"/>
        <v>INNER</v>
      </c>
      <c r="AC71" t="str">
        <f t="shared" si="60"/>
        <v>Stock en Bultos</v>
      </c>
      <c r="AD71" t="str">
        <f t="shared" si="61"/>
        <v>SubDepósito</v>
      </c>
      <c r="AE71" t="str">
        <f t="shared" si="62"/>
        <v>Marca</v>
      </c>
      <c r="AF71" t="str">
        <f t="shared" si="63"/>
        <v>Super Rubro</v>
      </c>
      <c r="AG71" t="str">
        <f t="shared" si="64"/>
        <v>ComercioExterior</v>
      </c>
      <c r="AH71" t="str">
        <f t="shared" si="65"/>
        <v>PrecioFOB</v>
      </c>
      <c r="AI71" t="str">
        <f t="shared" si="66"/>
        <v>Monto II</v>
      </c>
      <c r="AJ71" t="str">
        <f t="shared" si="67"/>
        <v>Porcentaje II</v>
      </c>
      <c r="AK71" t="str">
        <f t="shared" si="68"/>
        <v>Foto</v>
      </c>
      <c r="AL71" t="str">
        <f>"{\rtf1\ansi\ansicpg1252\deff0\deflang11274{\fonttbl{\f0\fnil\fcharset0 MS Sans Serif}} \viewkind4\uc1\pard\f0\fs16 BOBINA DE ENCENDIDO RENAULT KOLEOS 2.5 NISSAN TIIDA\par } "</f>
        <v xml:space="preserve">{\rtf1\ansi\ansicpg1252\deff0\deflang11274{\fonttbl{\f0\fnil\fcharset0 MS Sans Serif}} \viewkind4\uc1\pard\f0\fs16 BOBINA DE ENCENDIDO RENAULT KOLEOS 2.5 NISSAN TIIDA\par } </v>
      </c>
      <c r="AM71" t="str">
        <f>" "</f>
        <v xml:space="preserve"> </v>
      </c>
    </row>
    <row r="72" spans="1:39" x14ac:dyDescent="0.25">
      <c r="A72" t="str">
        <f>"RGU11502"</f>
        <v>RGU11502</v>
      </c>
      <c r="B72" t="str">
        <f>"BOBINA DE IGNICION FORD ECOSPORT/FOCUS DURATEC"</f>
        <v>BOBINA DE IGNICION FORD ECOSPORT/FOCUS DURATEC</v>
      </c>
      <c r="C72" t="str">
        <f>"$ 33183,67"</f>
        <v>$ 33183,67</v>
      </c>
      <c r="D72" t="str">
        <f>"$ 33183,67"</f>
        <v>$ 33183,67</v>
      </c>
      <c r="E72" t="str">
        <f>"$ 33183,67"</f>
        <v>$ 33183,67</v>
      </c>
      <c r="F72" t="str">
        <f>"$ 33183,67"</f>
        <v>$ 33183,67</v>
      </c>
      <c r="G72" t="str">
        <f>"$ 33183,67"</f>
        <v>$ 33183,67</v>
      </c>
      <c r="H72" t="str">
        <f t="shared" si="50"/>
        <v>$ 0,00</v>
      </c>
      <c r="I72" t="str">
        <f t="shared" si="48"/>
        <v>BOBINAS DE ENCENDIDO</v>
      </c>
      <c r="J72" t="str">
        <f t="shared" si="51"/>
        <v>1</v>
      </c>
      <c r="K72" t="str">
        <f t="shared" si="52"/>
        <v>0</v>
      </c>
      <c r="L72" t="str">
        <f>"0,000"</f>
        <v>0,000</v>
      </c>
      <c r="M72" t="str">
        <f t="shared" si="53"/>
        <v xml:space="preserve"> </v>
      </c>
      <c r="N72" t="str">
        <f>"REGITAR"</f>
        <v>REGITAR</v>
      </c>
      <c r="O72" t="str">
        <f t="shared" si="49"/>
        <v>BOBINAS</v>
      </c>
      <c r="P72" t="str">
        <f t="shared" si="45"/>
        <v>0</v>
      </c>
      <c r="Q72" t="str">
        <f t="shared" si="45"/>
        <v>0</v>
      </c>
      <c r="R72" t="str">
        <f t="shared" si="46"/>
        <v>0,00</v>
      </c>
      <c r="S72" t="str">
        <f t="shared" si="46"/>
        <v>0,00</v>
      </c>
      <c r="T72" t="str">
        <f t="shared" si="47"/>
        <v xml:space="preserve"> </v>
      </c>
      <c r="U72" t="str">
        <f t="shared" si="47"/>
        <v xml:space="preserve"> </v>
      </c>
      <c r="V72" t="str">
        <f>"0,000"</f>
        <v>0,000</v>
      </c>
      <c r="W72" t="str">
        <f t="shared" si="54"/>
        <v>Lista 4</v>
      </c>
      <c r="X72" t="str">
        <f t="shared" si="55"/>
        <v>Lista 5</v>
      </c>
      <c r="Y72" t="str">
        <f t="shared" si="56"/>
        <v>Oferta Gral.</v>
      </c>
      <c r="Z72" t="str">
        <f t="shared" si="57"/>
        <v>Rubro</v>
      </c>
      <c r="AA72" t="str">
        <f t="shared" si="58"/>
        <v>Cantidad por Bulto</v>
      </c>
      <c r="AB72" t="str">
        <f t="shared" si="59"/>
        <v>INNER</v>
      </c>
      <c r="AC72" t="str">
        <f t="shared" si="60"/>
        <v>Stock en Bultos</v>
      </c>
      <c r="AD72" t="str">
        <f t="shared" si="61"/>
        <v>SubDepósito</v>
      </c>
      <c r="AE72" t="str">
        <f t="shared" si="62"/>
        <v>Marca</v>
      </c>
      <c r="AF72" t="str">
        <f t="shared" si="63"/>
        <v>Super Rubro</v>
      </c>
      <c r="AG72" t="str">
        <f t="shared" si="64"/>
        <v>ComercioExterior</v>
      </c>
      <c r="AH72" t="str">
        <f t="shared" si="65"/>
        <v>PrecioFOB</v>
      </c>
      <c r="AI72" t="str">
        <f t="shared" si="66"/>
        <v>Monto II</v>
      </c>
      <c r="AJ72" t="str">
        <f t="shared" si="67"/>
        <v>Porcentaje II</v>
      </c>
      <c r="AK72" t="str">
        <f t="shared" si="68"/>
        <v>Foto</v>
      </c>
      <c r="AL72" t="str">
        <f>"{\rtf1\ansi\ansicpg1252\deff0\deflang11274{\fonttbl{\f0\fnil\fcharset0 MS Sans Serif}} \viewkind4\uc1\pard\f0\fs16 BOBINA DE IGNICION FORD ECOSPORT/FOCUS DURATEC\par } "</f>
        <v xml:space="preserve">{\rtf1\ansi\ansicpg1252\deff0\deflang11274{\fonttbl{\f0\fnil\fcharset0 MS Sans Serif}} \viewkind4\uc1\pard\f0\fs16 BOBINA DE IGNICION FORD ECOSPORT/FOCUS DURATEC\par } </v>
      </c>
      <c r="AM72" t="str">
        <f>" "</f>
        <v xml:space="preserve"> </v>
      </c>
    </row>
    <row r="73" spans="1:39" x14ac:dyDescent="0.25">
      <c r="A73" t="str">
        <f>"RGU11479"</f>
        <v>RGU11479</v>
      </c>
      <c r="B73" t="str">
        <f>"BOBINA DE IGNICION NISSAN TIIDA"</f>
        <v>BOBINA DE IGNICION NISSAN TIIDA</v>
      </c>
      <c r="C73" t="str">
        <f>"$ 50699,33"</f>
        <v>$ 50699,33</v>
      </c>
      <c r="D73" t="str">
        <f>"$ 50699,33"</f>
        <v>$ 50699,33</v>
      </c>
      <c r="E73" t="str">
        <f>"$ 50699,33"</f>
        <v>$ 50699,33</v>
      </c>
      <c r="F73" t="str">
        <f>"$ 50699,33"</f>
        <v>$ 50699,33</v>
      </c>
      <c r="G73" t="str">
        <f>"$ 50699,33"</f>
        <v>$ 50699,33</v>
      </c>
      <c r="H73" t="str">
        <f t="shared" si="50"/>
        <v>$ 0,00</v>
      </c>
      <c r="I73" t="str">
        <f t="shared" si="48"/>
        <v>BOBINAS DE ENCENDIDO</v>
      </c>
      <c r="J73" t="str">
        <f t="shared" si="51"/>
        <v>1</v>
      </c>
      <c r="K73" t="str">
        <f t="shared" si="52"/>
        <v>0</v>
      </c>
      <c r="L73" t="str">
        <f>"0,000"</f>
        <v>0,000</v>
      </c>
      <c r="M73" t="str">
        <f t="shared" si="53"/>
        <v xml:space="preserve"> </v>
      </c>
      <c r="N73" t="str">
        <f>"REGITAR"</f>
        <v>REGITAR</v>
      </c>
      <c r="O73" t="str">
        <f t="shared" si="49"/>
        <v>BOBINAS</v>
      </c>
      <c r="P73" t="str">
        <f t="shared" si="45"/>
        <v>0</v>
      </c>
      <c r="Q73" t="str">
        <f t="shared" si="45"/>
        <v>0</v>
      </c>
      <c r="R73" t="str">
        <f t="shared" si="46"/>
        <v>0,00</v>
      </c>
      <c r="S73" t="str">
        <f t="shared" si="46"/>
        <v>0,00</v>
      </c>
      <c r="T73" t="str">
        <f t="shared" si="47"/>
        <v xml:space="preserve"> </v>
      </c>
      <c r="U73" t="str">
        <f t="shared" si="47"/>
        <v xml:space="preserve"> </v>
      </c>
      <c r="V73" t="str">
        <f>"0,000"</f>
        <v>0,000</v>
      </c>
      <c r="W73" t="str">
        <f t="shared" si="54"/>
        <v>Lista 4</v>
      </c>
      <c r="X73" t="str">
        <f t="shared" si="55"/>
        <v>Lista 5</v>
      </c>
      <c r="Y73" t="str">
        <f t="shared" si="56"/>
        <v>Oferta Gral.</v>
      </c>
      <c r="Z73" t="str">
        <f t="shared" si="57"/>
        <v>Rubro</v>
      </c>
      <c r="AA73" t="str">
        <f t="shared" si="58"/>
        <v>Cantidad por Bulto</v>
      </c>
      <c r="AB73" t="str">
        <f t="shared" si="59"/>
        <v>INNER</v>
      </c>
      <c r="AC73" t="str">
        <f t="shared" si="60"/>
        <v>Stock en Bultos</v>
      </c>
      <c r="AD73" t="str">
        <f t="shared" si="61"/>
        <v>SubDepósito</v>
      </c>
      <c r="AE73" t="str">
        <f t="shared" si="62"/>
        <v>Marca</v>
      </c>
      <c r="AF73" t="str">
        <f t="shared" si="63"/>
        <v>Super Rubro</v>
      </c>
      <c r="AG73" t="str">
        <f t="shared" si="64"/>
        <v>ComercioExterior</v>
      </c>
      <c r="AH73" t="str">
        <f t="shared" si="65"/>
        <v>PrecioFOB</v>
      </c>
      <c r="AI73" t="str">
        <f t="shared" si="66"/>
        <v>Monto II</v>
      </c>
      <c r="AJ73" t="str">
        <f t="shared" si="67"/>
        <v>Porcentaje II</v>
      </c>
      <c r="AK73" t="str">
        <f t="shared" si="68"/>
        <v>Foto</v>
      </c>
      <c r="AL73" t="str">
        <f>"{\rtf1\ansi\ansicpg1252\deff0\deflang11274{\fonttbl{\f0\fnil\fcharset0 MS Sans Serif}} \viewkind4\uc1\pard\f0\fs16 BOBINA DE IGNICION NISSAN TIIDA\par } "</f>
        <v xml:space="preserve">{\rtf1\ansi\ansicpg1252\deff0\deflang11274{\fonttbl{\f0\fnil\fcharset0 MS Sans Serif}} \viewkind4\uc1\pard\f0\fs16 BOBINA DE IGNICION NISSAN TIIDA\par } </v>
      </c>
      <c r="AM73" t="str">
        <f>" "</f>
        <v xml:space="preserve"> </v>
      </c>
    </row>
    <row r="74" spans="1:39" x14ac:dyDescent="0.25">
      <c r="A74" t="str">
        <f>"154301"</f>
        <v>154301</v>
      </c>
      <c r="B74" t="str">
        <f>"BOBINA ELECTRONICA PEUGEOT 106 – 206  FICHA NEGRA"</f>
        <v>BOBINA ELECTRONICA PEUGEOT 106 – 206  FICHA NEGRA</v>
      </c>
      <c r="C74" t="str">
        <f>"$ 90380,48"</f>
        <v>$ 90380,48</v>
      </c>
      <c r="D74" t="str">
        <f>"$ 90380,48"</f>
        <v>$ 90380,48</v>
      </c>
      <c r="E74" t="str">
        <f>"$ 90380,48"</f>
        <v>$ 90380,48</v>
      </c>
      <c r="F74" t="str">
        <f>"$ 90380,48"</f>
        <v>$ 90380,48</v>
      </c>
      <c r="G74" t="str">
        <f>"$ 90380,48"</f>
        <v>$ 90380,48</v>
      </c>
      <c r="H74" t="str">
        <f t="shared" si="50"/>
        <v>$ 0,00</v>
      </c>
      <c r="I74" t="str">
        <f t="shared" si="48"/>
        <v>BOBINAS DE ENCENDIDO</v>
      </c>
      <c r="J74" t="str">
        <f t="shared" si="51"/>
        <v>1</v>
      </c>
      <c r="K74" t="str">
        <f t="shared" si="52"/>
        <v>0</v>
      </c>
      <c r="L74" t="str">
        <f>"1,000"</f>
        <v>1,000</v>
      </c>
      <c r="M74" t="str">
        <f t="shared" si="53"/>
        <v xml:space="preserve"> </v>
      </c>
      <c r="N74" t="str">
        <f>"BOUGICORD"</f>
        <v>BOUGICORD</v>
      </c>
      <c r="O74" t="str">
        <f t="shared" si="49"/>
        <v>BOBINAS</v>
      </c>
      <c r="P74" t="str">
        <f t="shared" si="45"/>
        <v>0</v>
      </c>
      <c r="Q74" t="str">
        <f t="shared" si="45"/>
        <v>0</v>
      </c>
      <c r="R74" t="str">
        <f t="shared" si="46"/>
        <v>0,00</v>
      </c>
      <c r="S74" t="str">
        <f t="shared" si="46"/>
        <v>0,00</v>
      </c>
      <c r="T74" t="str">
        <f t="shared" si="47"/>
        <v xml:space="preserve"> </v>
      </c>
      <c r="U74" t="str">
        <f t="shared" si="47"/>
        <v xml:space="preserve"> </v>
      </c>
      <c r="V74" t="str">
        <f>"1,000"</f>
        <v>1,000</v>
      </c>
      <c r="W74" t="str">
        <f t="shared" si="54"/>
        <v>Lista 4</v>
      </c>
      <c r="X74" t="str">
        <f t="shared" si="55"/>
        <v>Lista 5</v>
      </c>
      <c r="Y74" t="str">
        <f t="shared" si="56"/>
        <v>Oferta Gral.</v>
      </c>
      <c r="Z74" t="str">
        <f t="shared" si="57"/>
        <v>Rubro</v>
      </c>
      <c r="AA74" t="str">
        <f t="shared" si="58"/>
        <v>Cantidad por Bulto</v>
      </c>
      <c r="AB74" t="str">
        <f t="shared" si="59"/>
        <v>INNER</v>
      </c>
      <c r="AC74" t="str">
        <f t="shared" si="60"/>
        <v>Stock en Bultos</v>
      </c>
      <c r="AD74" t="str">
        <f t="shared" si="61"/>
        <v>SubDepósito</v>
      </c>
      <c r="AE74" t="str">
        <f t="shared" si="62"/>
        <v>Marca</v>
      </c>
      <c r="AF74" t="str">
        <f t="shared" si="63"/>
        <v>Super Rubro</v>
      </c>
      <c r="AG74" t="str">
        <f t="shared" si="64"/>
        <v>ComercioExterior</v>
      </c>
      <c r="AH74" t="str">
        <f t="shared" si="65"/>
        <v>PrecioFOB</v>
      </c>
      <c r="AI74" t="str">
        <f t="shared" si="66"/>
        <v>Monto II</v>
      </c>
      <c r="AJ74" t="str">
        <f t="shared" si="67"/>
        <v>Porcentaje II</v>
      </c>
      <c r="AK74" t="str">
        <f t="shared" si="68"/>
        <v>Foto</v>
      </c>
      <c r="AL74" t="str">
        <f>"{\rtf1\ansi\ansicpg1252\deff0\deflang11274{\fonttbl{\f0\fnil\fcharset0 MS Sans Serif}} \viewkind4\uc1\pard\f0\fs16 BOBINA ELECTRONICA PEUGEOT 106 \endash  206  FICHA NEGRA\par } "</f>
        <v xml:space="preserve">{\rtf1\ansi\ansicpg1252\deff0\deflang11274{\fonttbl{\f0\fnil\fcharset0 MS Sans Serif}} \viewkind4\uc1\pard\f0\fs16 BOBINA ELECTRONICA PEUGEOT 106 \endash  206  FICHA NEGRA\par } </v>
      </c>
      <c r="AM74" t="str">
        <f t="shared" ref="AM74:AM83" si="69">"-"</f>
        <v>-</v>
      </c>
    </row>
    <row r="75" spans="1:39" x14ac:dyDescent="0.25">
      <c r="A75" t="str">
        <f>"KD8051A"</f>
        <v>KD8051A</v>
      </c>
      <c r="B75" t="str">
        <f>"BOBINA ENC. 106 / 206 CON MODULO FICHA GRIS"</f>
        <v>BOBINA ENC. 106 / 206 CON MODULO FICHA GRIS</v>
      </c>
      <c r="C75" t="str">
        <f t="shared" ref="C75:G76" si="70">"$ 85637,45"</f>
        <v>$ 85637,45</v>
      </c>
      <c r="D75" t="str">
        <f t="shared" si="70"/>
        <v>$ 85637,45</v>
      </c>
      <c r="E75" t="str">
        <f t="shared" si="70"/>
        <v>$ 85637,45</v>
      </c>
      <c r="F75" t="str">
        <f t="shared" si="70"/>
        <v>$ 85637,45</v>
      </c>
      <c r="G75" t="str">
        <f t="shared" si="70"/>
        <v>$ 85637,45</v>
      </c>
      <c r="H75" t="str">
        <f t="shared" si="50"/>
        <v>$ 0,00</v>
      </c>
      <c r="I75" t="str">
        <f t="shared" si="48"/>
        <v>BOBINAS DE ENCENDIDO</v>
      </c>
      <c r="J75" t="str">
        <f t="shared" si="51"/>
        <v>1</v>
      </c>
      <c r="K75" t="str">
        <f t="shared" si="52"/>
        <v>0</v>
      </c>
      <c r="L75" t="str">
        <f>"1,000"</f>
        <v>1,000</v>
      </c>
      <c r="M75" t="str">
        <f t="shared" si="53"/>
        <v xml:space="preserve"> </v>
      </c>
      <c r="N75" t="str">
        <f t="shared" ref="N75:N82" si="71">"CADIC"</f>
        <v>CADIC</v>
      </c>
      <c r="O75" t="str">
        <f t="shared" si="49"/>
        <v>BOBINAS</v>
      </c>
      <c r="P75" t="str">
        <f t="shared" si="45"/>
        <v>0</v>
      </c>
      <c r="Q75" t="str">
        <f t="shared" si="45"/>
        <v>0</v>
      </c>
      <c r="R75" t="str">
        <f t="shared" si="46"/>
        <v>0,00</v>
      </c>
      <c r="S75" t="str">
        <f t="shared" si="46"/>
        <v>0,00</v>
      </c>
      <c r="T75" t="str">
        <f t="shared" si="47"/>
        <v xml:space="preserve"> </v>
      </c>
      <c r="U75" t="str">
        <f t="shared" si="47"/>
        <v xml:space="preserve"> </v>
      </c>
      <c r="V75" t="str">
        <f>"1,000"</f>
        <v>1,000</v>
      </c>
      <c r="W75" t="str">
        <f t="shared" si="54"/>
        <v>Lista 4</v>
      </c>
      <c r="X75" t="str">
        <f t="shared" si="55"/>
        <v>Lista 5</v>
      </c>
      <c r="Y75" t="str">
        <f t="shared" si="56"/>
        <v>Oferta Gral.</v>
      </c>
      <c r="Z75" t="str">
        <f t="shared" si="57"/>
        <v>Rubro</v>
      </c>
      <c r="AA75" t="str">
        <f t="shared" si="58"/>
        <v>Cantidad por Bulto</v>
      </c>
      <c r="AB75" t="str">
        <f t="shared" si="59"/>
        <v>INNER</v>
      </c>
      <c r="AC75" t="str">
        <f t="shared" si="60"/>
        <v>Stock en Bultos</v>
      </c>
      <c r="AD75" t="str">
        <f t="shared" si="61"/>
        <v>SubDepósito</v>
      </c>
      <c r="AE75" t="str">
        <f t="shared" si="62"/>
        <v>Marca</v>
      </c>
      <c r="AF75" t="str">
        <f t="shared" si="63"/>
        <v>Super Rubro</v>
      </c>
      <c r="AG75" t="str">
        <f t="shared" si="64"/>
        <v>ComercioExterior</v>
      </c>
      <c r="AH75" t="str">
        <f t="shared" si="65"/>
        <v>PrecioFOB</v>
      </c>
      <c r="AI75" t="str">
        <f t="shared" si="66"/>
        <v>Monto II</v>
      </c>
      <c r="AJ75" t="str">
        <f t="shared" si="67"/>
        <v>Porcentaje II</v>
      </c>
      <c r="AK75" t="str">
        <f t="shared" si="68"/>
        <v>Foto</v>
      </c>
      <c r="AL75" t="str">
        <f>"{\rtf1\ansi\ansicpg1252\deff0\deflang11274{\fonttbl{\f0\fnil\fcharset0 MS Sans Serif}} \viewkind4\uc1\pard\f0\fs16 BOBINA ENC. 106 / 206 CON MODULO FICHA GRIS\par } "</f>
        <v xml:space="preserve">{\rtf1\ansi\ansicpg1252\deff0\deflang11274{\fonttbl{\f0\fnil\fcharset0 MS Sans Serif}} \viewkind4\uc1\pard\f0\fs16 BOBINA ENC. 106 / 206 CON MODULO FICHA GRIS\par } </v>
      </c>
      <c r="AM75" t="str">
        <f t="shared" si="69"/>
        <v>-</v>
      </c>
    </row>
    <row r="76" spans="1:39" x14ac:dyDescent="0.25">
      <c r="A76" t="str">
        <f>"KD8051"</f>
        <v>KD8051</v>
      </c>
      <c r="B76" t="str">
        <f>"BOBINA ENC. 106 / 206 CON MODULO FICHA NEGRA"</f>
        <v>BOBINA ENC. 106 / 206 CON MODULO FICHA NEGRA</v>
      </c>
      <c r="C76" t="str">
        <f t="shared" si="70"/>
        <v>$ 85637,45</v>
      </c>
      <c r="D76" t="str">
        <f t="shared" si="70"/>
        <v>$ 85637,45</v>
      </c>
      <c r="E76" t="str">
        <f t="shared" si="70"/>
        <v>$ 85637,45</v>
      </c>
      <c r="F76" t="str">
        <f t="shared" si="70"/>
        <v>$ 85637,45</v>
      </c>
      <c r="G76" t="str">
        <f t="shared" si="70"/>
        <v>$ 85637,45</v>
      </c>
      <c r="H76" t="str">
        <f t="shared" si="50"/>
        <v>$ 0,00</v>
      </c>
      <c r="I76" t="str">
        <f t="shared" si="48"/>
        <v>BOBINAS DE ENCENDIDO</v>
      </c>
      <c r="J76" t="str">
        <f t="shared" si="51"/>
        <v>1</v>
      </c>
      <c r="K76" t="str">
        <f t="shared" si="52"/>
        <v>0</v>
      </c>
      <c r="L76" t="str">
        <f>"3,000"</f>
        <v>3,000</v>
      </c>
      <c r="M76" t="str">
        <f t="shared" si="53"/>
        <v xml:space="preserve"> </v>
      </c>
      <c r="N76" t="str">
        <f t="shared" si="71"/>
        <v>CADIC</v>
      </c>
      <c r="O76" t="str">
        <f t="shared" si="49"/>
        <v>BOBINAS</v>
      </c>
      <c r="P76" t="str">
        <f t="shared" si="45"/>
        <v>0</v>
      </c>
      <c r="Q76" t="str">
        <f t="shared" si="45"/>
        <v>0</v>
      </c>
      <c r="R76" t="str">
        <f t="shared" si="46"/>
        <v>0,00</v>
      </c>
      <c r="S76" t="str">
        <f t="shared" si="46"/>
        <v>0,00</v>
      </c>
      <c r="T76" t="str">
        <f t="shared" si="47"/>
        <v xml:space="preserve"> </v>
      </c>
      <c r="U76" t="str">
        <f t="shared" si="47"/>
        <v xml:space="preserve"> </v>
      </c>
      <c r="V76" t="str">
        <f>"3,000"</f>
        <v>3,000</v>
      </c>
      <c r="W76" t="str">
        <f t="shared" si="54"/>
        <v>Lista 4</v>
      </c>
      <c r="X76" t="str">
        <f t="shared" si="55"/>
        <v>Lista 5</v>
      </c>
      <c r="Y76" t="str">
        <f t="shared" si="56"/>
        <v>Oferta Gral.</v>
      </c>
      <c r="Z76" t="str">
        <f t="shared" si="57"/>
        <v>Rubro</v>
      </c>
      <c r="AA76" t="str">
        <f t="shared" si="58"/>
        <v>Cantidad por Bulto</v>
      </c>
      <c r="AB76" t="str">
        <f t="shared" si="59"/>
        <v>INNER</v>
      </c>
      <c r="AC76" t="str">
        <f t="shared" si="60"/>
        <v>Stock en Bultos</v>
      </c>
      <c r="AD76" t="str">
        <f t="shared" si="61"/>
        <v>SubDepósito</v>
      </c>
      <c r="AE76" t="str">
        <f t="shared" si="62"/>
        <v>Marca</v>
      </c>
      <c r="AF76" t="str">
        <f t="shared" si="63"/>
        <v>Super Rubro</v>
      </c>
      <c r="AG76" t="str">
        <f t="shared" si="64"/>
        <v>ComercioExterior</v>
      </c>
      <c r="AH76" t="str">
        <f t="shared" si="65"/>
        <v>PrecioFOB</v>
      </c>
      <c r="AI76" t="str">
        <f t="shared" si="66"/>
        <v>Monto II</v>
      </c>
      <c r="AJ76" t="str">
        <f t="shared" si="67"/>
        <v>Porcentaje II</v>
      </c>
      <c r="AK76" t="str">
        <f t="shared" si="68"/>
        <v>Foto</v>
      </c>
      <c r="AL76" t="str">
        <f>"{\rtf1\ansi\ansicpg1252\deff0\deflang11274{\fonttbl{\f0\fnil\fcharset0 MS Sans Serif}} \viewkind4\uc1\pard\f0\fs16 BOBINA ENC. 106 / 206 CON MODULO FICHA NEGRA\par } "</f>
        <v xml:space="preserve">{\rtf1\ansi\ansicpg1252\deff0\deflang11274{\fonttbl{\f0\fnil\fcharset0 MS Sans Serif}} \viewkind4\uc1\pard\f0\fs16 BOBINA ENC. 106 / 206 CON MODULO FICHA NEGRA\par } </v>
      </c>
      <c r="AM76" t="str">
        <f t="shared" si="69"/>
        <v>-</v>
      </c>
    </row>
    <row r="77" spans="1:39" x14ac:dyDescent="0.25">
      <c r="A77" t="str">
        <f>"KD2806"</f>
        <v>KD2806</v>
      </c>
      <c r="B77" t="str">
        <f>"BOBINA ENC. 205 TODOS"</f>
        <v>BOBINA ENC. 205 TODOS</v>
      </c>
      <c r="C77" t="str">
        <f>"$ 27113,92"</f>
        <v>$ 27113,92</v>
      </c>
      <c r="D77" t="str">
        <f>"$ 27113,92"</f>
        <v>$ 27113,92</v>
      </c>
      <c r="E77" t="str">
        <f>"$ 27113,92"</f>
        <v>$ 27113,92</v>
      </c>
      <c r="F77" t="str">
        <f>"$ 27113,92"</f>
        <v>$ 27113,92</v>
      </c>
      <c r="G77" t="str">
        <f>"$ 27113,92"</f>
        <v>$ 27113,92</v>
      </c>
      <c r="H77" t="str">
        <f t="shared" si="50"/>
        <v>$ 0,00</v>
      </c>
      <c r="I77" t="str">
        <f t="shared" si="48"/>
        <v>BOBINAS DE ENCENDIDO</v>
      </c>
      <c r="J77" t="str">
        <f t="shared" si="51"/>
        <v>1</v>
      </c>
      <c r="K77" t="str">
        <f t="shared" si="52"/>
        <v>0</v>
      </c>
      <c r="L77" t="str">
        <f>"0,000"</f>
        <v>0,000</v>
      </c>
      <c r="M77" t="str">
        <f t="shared" si="53"/>
        <v xml:space="preserve"> </v>
      </c>
      <c r="N77" t="str">
        <f t="shared" si="71"/>
        <v>CADIC</v>
      </c>
      <c r="O77" t="str">
        <f t="shared" si="49"/>
        <v>BOBINAS</v>
      </c>
      <c r="P77" t="str">
        <f t="shared" si="45"/>
        <v>0</v>
      </c>
      <c r="Q77" t="str">
        <f t="shared" si="45"/>
        <v>0</v>
      </c>
      <c r="R77" t="str">
        <f t="shared" si="46"/>
        <v>0,00</v>
      </c>
      <c r="S77" t="str">
        <f t="shared" si="46"/>
        <v>0,00</v>
      </c>
      <c r="T77" t="str">
        <f t="shared" si="47"/>
        <v xml:space="preserve"> </v>
      </c>
      <c r="U77" t="str">
        <f t="shared" si="47"/>
        <v xml:space="preserve"> </v>
      </c>
      <c r="V77" t="str">
        <f>"0,000"</f>
        <v>0,000</v>
      </c>
      <c r="W77" t="str">
        <f t="shared" si="54"/>
        <v>Lista 4</v>
      </c>
      <c r="X77" t="str">
        <f t="shared" si="55"/>
        <v>Lista 5</v>
      </c>
      <c r="Y77" t="str">
        <f t="shared" si="56"/>
        <v>Oferta Gral.</v>
      </c>
      <c r="Z77" t="str">
        <f t="shared" si="57"/>
        <v>Rubro</v>
      </c>
      <c r="AA77" t="str">
        <f t="shared" si="58"/>
        <v>Cantidad por Bulto</v>
      </c>
      <c r="AB77" t="str">
        <f t="shared" si="59"/>
        <v>INNER</v>
      </c>
      <c r="AC77" t="str">
        <f t="shared" si="60"/>
        <v>Stock en Bultos</v>
      </c>
      <c r="AD77" t="str">
        <f t="shared" si="61"/>
        <v>SubDepósito</v>
      </c>
      <c r="AE77" t="str">
        <f t="shared" si="62"/>
        <v>Marca</v>
      </c>
      <c r="AF77" t="str">
        <f t="shared" si="63"/>
        <v>Super Rubro</v>
      </c>
      <c r="AG77" t="str">
        <f t="shared" si="64"/>
        <v>ComercioExterior</v>
      </c>
      <c r="AH77" t="str">
        <f t="shared" si="65"/>
        <v>PrecioFOB</v>
      </c>
      <c r="AI77" t="str">
        <f t="shared" si="66"/>
        <v>Monto II</v>
      </c>
      <c r="AJ77" t="str">
        <f t="shared" si="67"/>
        <v>Porcentaje II</v>
      </c>
      <c r="AK77" t="str">
        <f t="shared" si="68"/>
        <v>Foto</v>
      </c>
      <c r="AL77" t="str">
        <f>"{\rtf1\ansi\ansicpg1252\deff0\deflang11274{\fonttbl{\f0\fnil\fcharset0 MS Sans Serif}} \viewkind4\uc1\pard\f0\fs16 BOBINA ENC. 205 TODOS\par } "</f>
        <v xml:space="preserve">{\rtf1\ansi\ansicpg1252\deff0\deflang11274{\fonttbl{\f0\fnil\fcharset0 MS Sans Serif}} \viewkind4\uc1\pard\f0\fs16 BOBINA ENC. 205 TODOS\par } </v>
      </c>
      <c r="AM77" t="str">
        <f t="shared" si="69"/>
        <v>-</v>
      </c>
    </row>
    <row r="78" spans="1:39" x14ac:dyDescent="0.25">
      <c r="A78" t="str">
        <f>"KD8057"</f>
        <v>KD8057</v>
      </c>
      <c r="B78" t="str">
        <f>"BOBINA ENC. 306 16V"</f>
        <v>BOBINA ENC. 306 16V</v>
      </c>
      <c r="C78" t="str">
        <f>"$ 181907,06"</f>
        <v>$ 181907,06</v>
      </c>
      <c r="D78" t="str">
        <f>"$ 181907,06"</f>
        <v>$ 181907,06</v>
      </c>
      <c r="E78" t="str">
        <f>"$ 181907,06"</f>
        <v>$ 181907,06</v>
      </c>
      <c r="F78" t="str">
        <f>"$ 181907,06"</f>
        <v>$ 181907,06</v>
      </c>
      <c r="G78" t="str">
        <f>"$ 181907,06"</f>
        <v>$ 181907,06</v>
      </c>
      <c r="H78" t="str">
        <f t="shared" si="50"/>
        <v>$ 0,00</v>
      </c>
      <c r="I78" t="str">
        <f t="shared" si="48"/>
        <v>BOBINAS DE ENCENDIDO</v>
      </c>
      <c r="J78" t="str">
        <f t="shared" si="51"/>
        <v>1</v>
      </c>
      <c r="K78" t="str">
        <f t="shared" si="52"/>
        <v>0</v>
      </c>
      <c r="L78" t="str">
        <f>"0,000"</f>
        <v>0,000</v>
      </c>
      <c r="M78" t="str">
        <f t="shared" si="53"/>
        <v xml:space="preserve"> </v>
      </c>
      <c r="N78" t="str">
        <f t="shared" si="71"/>
        <v>CADIC</v>
      </c>
      <c r="O78" t="str">
        <f t="shared" si="49"/>
        <v>BOBINAS</v>
      </c>
      <c r="P78" t="str">
        <f t="shared" si="45"/>
        <v>0</v>
      </c>
      <c r="Q78" t="str">
        <f t="shared" si="45"/>
        <v>0</v>
      </c>
      <c r="R78" t="str">
        <f t="shared" si="46"/>
        <v>0,00</v>
      </c>
      <c r="S78" t="str">
        <f t="shared" si="46"/>
        <v>0,00</v>
      </c>
      <c r="T78" t="str">
        <f t="shared" si="47"/>
        <v xml:space="preserve"> </v>
      </c>
      <c r="U78" t="str">
        <f t="shared" si="47"/>
        <v xml:space="preserve"> </v>
      </c>
      <c r="V78" t="str">
        <f>"0,000"</f>
        <v>0,000</v>
      </c>
      <c r="W78" t="str">
        <f t="shared" si="54"/>
        <v>Lista 4</v>
      </c>
      <c r="X78" t="str">
        <f t="shared" si="55"/>
        <v>Lista 5</v>
      </c>
      <c r="Y78" t="str">
        <f t="shared" si="56"/>
        <v>Oferta Gral.</v>
      </c>
      <c r="Z78" t="str">
        <f t="shared" si="57"/>
        <v>Rubro</v>
      </c>
      <c r="AA78" t="str">
        <f t="shared" si="58"/>
        <v>Cantidad por Bulto</v>
      </c>
      <c r="AB78" t="str">
        <f t="shared" si="59"/>
        <v>INNER</v>
      </c>
      <c r="AC78" t="str">
        <f t="shared" si="60"/>
        <v>Stock en Bultos</v>
      </c>
      <c r="AD78" t="str">
        <f t="shared" si="61"/>
        <v>SubDepósito</v>
      </c>
      <c r="AE78" t="str">
        <f t="shared" si="62"/>
        <v>Marca</v>
      </c>
      <c r="AF78" t="str">
        <f t="shared" si="63"/>
        <v>Super Rubro</v>
      </c>
      <c r="AG78" t="str">
        <f t="shared" si="64"/>
        <v>ComercioExterior</v>
      </c>
      <c r="AH78" t="str">
        <f t="shared" si="65"/>
        <v>PrecioFOB</v>
      </c>
      <c r="AI78" t="str">
        <f t="shared" si="66"/>
        <v>Monto II</v>
      </c>
      <c r="AJ78" t="str">
        <f t="shared" si="67"/>
        <v>Porcentaje II</v>
      </c>
      <c r="AK78" t="str">
        <f t="shared" si="68"/>
        <v>Foto</v>
      </c>
      <c r="AL78" t="str">
        <f>"{\rtf1\ansi\ansicpg1252\deff0\deflang11274{\fonttbl{\f0\fnil\fcharset0 MS Sans Serif}} \viewkind4\uc1\pard\f0\fs16 BOBINA ENC. 306 16V\par } "</f>
        <v xml:space="preserve">{\rtf1\ansi\ansicpg1252\deff0\deflang11274{\fonttbl{\f0\fnil\fcharset0 MS Sans Serif}} \viewkind4\uc1\pard\f0\fs16 BOBINA ENC. 306 16V\par } </v>
      </c>
      <c r="AM78" t="str">
        <f t="shared" si="69"/>
        <v>-</v>
      </c>
    </row>
    <row r="79" spans="1:39" x14ac:dyDescent="0.25">
      <c r="A79" t="str">
        <f>"KD8055A"</f>
        <v>KD8055A</v>
      </c>
      <c r="B79" t="str">
        <f>"BOBINA ENC. 307 1.6L 16V"</f>
        <v>BOBINA ENC. 307 1.6L 16V</v>
      </c>
      <c r="C79" t="str">
        <f>"$ 103177,65"</f>
        <v>$ 103177,65</v>
      </c>
      <c r="D79" t="str">
        <f>"$ 103177,65"</f>
        <v>$ 103177,65</v>
      </c>
      <c r="E79" t="str">
        <f>"$ 103177,65"</f>
        <v>$ 103177,65</v>
      </c>
      <c r="F79" t="str">
        <f>"$ 103177,65"</f>
        <v>$ 103177,65</v>
      </c>
      <c r="G79" t="str">
        <f>"$ 103177,65"</f>
        <v>$ 103177,65</v>
      </c>
      <c r="H79" t="str">
        <f t="shared" si="50"/>
        <v>$ 0,00</v>
      </c>
      <c r="I79" t="str">
        <f t="shared" si="48"/>
        <v>BOBINAS DE ENCENDIDO</v>
      </c>
      <c r="J79" t="str">
        <f t="shared" si="51"/>
        <v>1</v>
      </c>
      <c r="K79" t="str">
        <f t="shared" si="52"/>
        <v>0</v>
      </c>
      <c r="L79" t="str">
        <f>"0,000"</f>
        <v>0,000</v>
      </c>
      <c r="M79" t="str">
        <f t="shared" si="53"/>
        <v xml:space="preserve"> </v>
      </c>
      <c r="N79" t="str">
        <f t="shared" si="71"/>
        <v>CADIC</v>
      </c>
      <c r="O79" t="str">
        <f t="shared" si="49"/>
        <v>BOBINAS</v>
      </c>
      <c r="P79" t="str">
        <f t="shared" si="45"/>
        <v>0</v>
      </c>
      <c r="Q79" t="str">
        <f t="shared" si="45"/>
        <v>0</v>
      </c>
      <c r="R79" t="str">
        <f t="shared" si="46"/>
        <v>0,00</v>
      </c>
      <c r="S79" t="str">
        <f t="shared" si="46"/>
        <v>0,00</v>
      </c>
      <c r="T79" t="str">
        <f t="shared" si="47"/>
        <v xml:space="preserve"> </v>
      </c>
      <c r="U79" t="str">
        <f t="shared" si="47"/>
        <v xml:space="preserve"> </v>
      </c>
      <c r="V79" t="str">
        <f>"0,000"</f>
        <v>0,000</v>
      </c>
      <c r="W79" t="str">
        <f t="shared" si="54"/>
        <v>Lista 4</v>
      </c>
      <c r="X79" t="str">
        <f t="shared" si="55"/>
        <v>Lista 5</v>
      </c>
      <c r="Y79" t="str">
        <f t="shared" si="56"/>
        <v>Oferta Gral.</v>
      </c>
      <c r="Z79" t="str">
        <f t="shared" si="57"/>
        <v>Rubro</v>
      </c>
      <c r="AA79" t="str">
        <f t="shared" si="58"/>
        <v>Cantidad por Bulto</v>
      </c>
      <c r="AB79" t="str">
        <f t="shared" si="59"/>
        <v>INNER</v>
      </c>
      <c r="AC79" t="str">
        <f t="shared" si="60"/>
        <v>Stock en Bultos</v>
      </c>
      <c r="AD79" t="str">
        <f t="shared" si="61"/>
        <v>SubDepósito</v>
      </c>
      <c r="AE79" t="str">
        <f t="shared" si="62"/>
        <v>Marca</v>
      </c>
      <c r="AF79" t="str">
        <f t="shared" si="63"/>
        <v>Super Rubro</v>
      </c>
      <c r="AG79" t="str">
        <f t="shared" si="64"/>
        <v>ComercioExterior</v>
      </c>
      <c r="AH79" t="str">
        <f t="shared" si="65"/>
        <v>PrecioFOB</v>
      </c>
      <c r="AI79" t="str">
        <f t="shared" si="66"/>
        <v>Monto II</v>
      </c>
      <c r="AJ79" t="str">
        <f t="shared" si="67"/>
        <v>Porcentaje II</v>
      </c>
      <c r="AK79" t="str">
        <f t="shared" si="68"/>
        <v>Foto</v>
      </c>
      <c r="AL79" t="str">
        <f>"{\rtf1\ansi\ansicpg1252\deff0\deflang11274{\fonttbl{\f0\fnil\fcharset0 MS Sans Serif}} \viewkind4\uc1\pard\f0\fs16 BOBINA ENC. 307 1.6L 16V\par \par } "</f>
        <v xml:space="preserve">{\rtf1\ansi\ansicpg1252\deff0\deflang11274{\fonttbl{\f0\fnil\fcharset0 MS Sans Serif}} \viewkind4\uc1\pard\f0\fs16 BOBINA ENC. 307 1.6L 16V\par \par } </v>
      </c>
      <c r="AM79" t="str">
        <f t="shared" si="69"/>
        <v>-</v>
      </c>
    </row>
    <row r="80" spans="1:39" x14ac:dyDescent="0.25">
      <c r="A80" t="str">
        <f>"KD2806A"</f>
        <v>KD2806A</v>
      </c>
      <c r="B80" t="str">
        <f>"BOBINA ENC. 405 CARBURADOR"</f>
        <v>BOBINA ENC. 405 CARBURADOR</v>
      </c>
      <c r="C80" t="str">
        <f>"$ 28825,00"</f>
        <v>$ 28825,00</v>
      </c>
      <c r="D80" t="str">
        <f>"$ 28825,00"</f>
        <v>$ 28825,00</v>
      </c>
      <c r="E80" t="str">
        <f>"$ 28825,00"</f>
        <v>$ 28825,00</v>
      </c>
      <c r="F80" t="str">
        <f>"$ 28825,00"</f>
        <v>$ 28825,00</v>
      </c>
      <c r="G80" t="str">
        <f>"$ 28825,00"</f>
        <v>$ 28825,00</v>
      </c>
      <c r="H80" t="str">
        <f t="shared" si="50"/>
        <v>$ 0,00</v>
      </c>
      <c r="I80" t="str">
        <f t="shared" si="48"/>
        <v>BOBINAS DE ENCENDIDO</v>
      </c>
      <c r="J80" t="str">
        <f t="shared" si="51"/>
        <v>1</v>
      </c>
      <c r="K80" t="str">
        <f t="shared" si="52"/>
        <v>0</v>
      </c>
      <c r="L80" t="str">
        <f>"0,000"</f>
        <v>0,000</v>
      </c>
      <c r="M80" t="str">
        <f t="shared" si="53"/>
        <v xml:space="preserve"> </v>
      </c>
      <c r="N80" t="str">
        <f t="shared" si="71"/>
        <v>CADIC</v>
      </c>
      <c r="O80" t="str">
        <f t="shared" si="49"/>
        <v>BOBINAS</v>
      </c>
      <c r="P80" t="str">
        <f t="shared" si="45"/>
        <v>0</v>
      </c>
      <c r="Q80" t="str">
        <f t="shared" si="45"/>
        <v>0</v>
      </c>
      <c r="R80" t="str">
        <f t="shared" si="46"/>
        <v>0,00</v>
      </c>
      <c r="S80" t="str">
        <f t="shared" si="46"/>
        <v>0,00</v>
      </c>
      <c r="T80" t="str">
        <f t="shared" si="47"/>
        <v xml:space="preserve"> </v>
      </c>
      <c r="U80" t="str">
        <f t="shared" si="47"/>
        <v xml:space="preserve"> </v>
      </c>
      <c r="V80" t="str">
        <f>"0,000"</f>
        <v>0,000</v>
      </c>
      <c r="W80" t="str">
        <f t="shared" si="54"/>
        <v>Lista 4</v>
      </c>
      <c r="X80" t="str">
        <f t="shared" si="55"/>
        <v>Lista 5</v>
      </c>
      <c r="Y80" t="str">
        <f t="shared" si="56"/>
        <v>Oferta Gral.</v>
      </c>
      <c r="Z80" t="str">
        <f t="shared" si="57"/>
        <v>Rubro</v>
      </c>
      <c r="AA80" t="str">
        <f t="shared" si="58"/>
        <v>Cantidad por Bulto</v>
      </c>
      <c r="AB80" t="str">
        <f t="shared" si="59"/>
        <v>INNER</v>
      </c>
      <c r="AC80" t="str">
        <f t="shared" si="60"/>
        <v>Stock en Bultos</v>
      </c>
      <c r="AD80" t="str">
        <f t="shared" si="61"/>
        <v>SubDepósito</v>
      </c>
      <c r="AE80" t="str">
        <f t="shared" si="62"/>
        <v>Marca</v>
      </c>
      <c r="AF80" t="str">
        <f t="shared" si="63"/>
        <v>Super Rubro</v>
      </c>
      <c r="AG80" t="str">
        <f t="shared" si="64"/>
        <v>ComercioExterior</v>
      </c>
      <c r="AH80" t="str">
        <f t="shared" si="65"/>
        <v>PrecioFOB</v>
      </c>
      <c r="AI80" t="str">
        <f t="shared" si="66"/>
        <v>Monto II</v>
      </c>
      <c r="AJ80" t="str">
        <f t="shared" si="67"/>
        <v>Porcentaje II</v>
      </c>
      <c r="AK80" t="str">
        <f t="shared" si="68"/>
        <v>Foto</v>
      </c>
      <c r="AL80" t="str">
        <f>"{\rtf1\ansi\ansicpg1252\deff0\deflang11274{\fonttbl{\f0\fnil\fcharset0 MS Sans Serif}} \viewkind4\uc1\pard\f0\fs16 BOBINA ENC. 405 CARBURADOR\par } "</f>
        <v xml:space="preserve">{\rtf1\ansi\ansicpg1252\deff0\deflang11274{\fonttbl{\f0\fnil\fcharset0 MS Sans Serif}} \viewkind4\uc1\pard\f0\fs16 BOBINA ENC. 405 CARBURADOR\par } </v>
      </c>
      <c r="AM80" t="str">
        <f t="shared" si="69"/>
        <v>-</v>
      </c>
    </row>
    <row r="81" spans="1:39" x14ac:dyDescent="0.25">
      <c r="A81" t="str">
        <f>"KD8040"</f>
        <v>KD8040</v>
      </c>
      <c r="B81" t="str">
        <f>"BOBINA ENC. 405 SRI"</f>
        <v>BOBINA ENC. 405 SRI</v>
      </c>
      <c r="C81" t="str">
        <f>"$ 54017,15"</f>
        <v>$ 54017,15</v>
      </c>
      <c r="D81" t="str">
        <f>"$ 54017,15"</f>
        <v>$ 54017,15</v>
      </c>
      <c r="E81" t="str">
        <f>"$ 54017,15"</f>
        <v>$ 54017,15</v>
      </c>
      <c r="F81" t="str">
        <f>"$ 54017,15"</f>
        <v>$ 54017,15</v>
      </c>
      <c r="G81" t="str">
        <f>"$ 54017,15"</f>
        <v>$ 54017,15</v>
      </c>
      <c r="H81" t="str">
        <f t="shared" si="50"/>
        <v>$ 0,00</v>
      </c>
      <c r="I81" t="str">
        <f t="shared" si="48"/>
        <v>BOBINAS DE ENCENDIDO</v>
      </c>
      <c r="J81" t="str">
        <f t="shared" si="51"/>
        <v>1</v>
      </c>
      <c r="K81" t="str">
        <f t="shared" si="52"/>
        <v>0</v>
      </c>
      <c r="L81" t="str">
        <f>"1,000"</f>
        <v>1,000</v>
      </c>
      <c r="M81" t="str">
        <f t="shared" si="53"/>
        <v xml:space="preserve"> </v>
      </c>
      <c r="N81" t="str">
        <f t="shared" si="71"/>
        <v>CADIC</v>
      </c>
      <c r="O81" t="str">
        <f t="shared" si="49"/>
        <v>BOBINAS</v>
      </c>
      <c r="P81" t="str">
        <f t="shared" si="45"/>
        <v>0</v>
      </c>
      <c r="Q81" t="str">
        <f t="shared" si="45"/>
        <v>0</v>
      </c>
      <c r="R81" t="str">
        <f t="shared" si="46"/>
        <v>0,00</v>
      </c>
      <c r="S81" t="str">
        <f t="shared" si="46"/>
        <v>0,00</v>
      </c>
      <c r="T81" t="str">
        <f t="shared" si="47"/>
        <v xml:space="preserve"> </v>
      </c>
      <c r="U81" t="str">
        <f t="shared" si="47"/>
        <v xml:space="preserve"> </v>
      </c>
      <c r="V81" t="str">
        <f>"1,000"</f>
        <v>1,000</v>
      </c>
      <c r="W81" t="str">
        <f t="shared" si="54"/>
        <v>Lista 4</v>
      </c>
      <c r="X81" t="str">
        <f t="shared" si="55"/>
        <v>Lista 5</v>
      </c>
      <c r="Y81" t="str">
        <f t="shared" si="56"/>
        <v>Oferta Gral.</v>
      </c>
      <c r="Z81" t="str">
        <f t="shared" si="57"/>
        <v>Rubro</v>
      </c>
      <c r="AA81" t="str">
        <f t="shared" si="58"/>
        <v>Cantidad por Bulto</v>
      </c>
      <c r="AB81" t="str">
        <f t="shared" si="59"/>
        <v>INNER</v>
      </c>
      <c r="AC81" t="str">
        <f t="shared" si="60"/>
        <v>Stock en Bultos</v>
      </c>
      <c r="AD81" t="str">
        <f t="shared" si="61"/>
        <v>SubDepósito</v>
      </c>
      <c r="AE81" t="str">
        <f t="shared" si="62"/>
        <v>Marca</v>
      </c>
      <c r="AF81" t="str">
        <f t="shared" si="63"/>
        <v>Super Rubro</v>
      </c>
      <c r="AG81" t="str">
        <f t="shared" si="64"/>
        <v>ComercioExterior</v>
      </c>
      <c r="AH81" t="str">
        <f t="shared" si="65"/>
        <v>PrecioFOB</v>
      </c>
      <c r="AI81" t="str">
        <f t="shared" si="66"/>
        <v>Monto II</v>
      </c>
      <c r="AJ81" t="str">
        <f t="shared" si="67"/>
        <v>Porcentaje II</v>
      </c>
      <c r="AK81" t="str">
        <f t="shared" si="68"/>
        <v>Foto</v>
      </c>
      <c r="AL81" t="str">
        <f>"{\rtf1\ansi\ansicpg1252\deff0\deflang11274{\fonttbl{\f0\fnil\fcharset0 MS Sans Serif}} \viewkind4\uc1\pard\f0\fs16 BOBINA ENC. 405 SRI\par } "</f>
        <v xml:space="preserve">{\rtf1\ansi\ansicpg1252\deff0\deflang11274{\fonttbl{\f0\fnil\fcharset0 MS Sans Serif}} \viewkind4\uc1\pard\f0\fs16 BOBINA ENC. 405 SRI\par } </v>
      </c>
      <c r="AM81" t="str">
        <f t="shared" si="69"/>
        <v>-</v>
      </c>
    </row>
    <row r="82" spans="1:39" x14ac:dyDescent="0.25">
      <c r="A82" t="str">
        <f>"KD8002A"</f>
        <v>KD8002A</v>
      </c>
      <c r="B82" t="str">
        <f>"BOBINA ENC. ASTRA, VECTRA"</f>
        <v>BOBINA ENC. ASTRA, VECTRA</v>
      </c>
      <c r="C82" t="str">
        <f>"$ 52105,58"</f>
        <v>$ 52105,58</v>
      </c>
      <c r="D82" t="str">
        <f>"$ 52105,58"</f>
        <v>$ 52105,58</v>
      </c>
      <c r="E82" t="str">
        <f>"$ 52105,58"</f>
        <v>$ 52105,58</v>
      </c>
      <c r="F82" t="str">
        <f>"$ 52105,58"</f>
        <v>$ 52105,58</v>
      </c>
      <c r="G82" t="str">
        <f>"$ 52105,58"</f>
        <v>$ 52105,58</v>
      </c>
      <c r="H82" t="str">
        <f t="shared" si="50"/>
        <v>$ 0,00</v>
      </c>
      <c r="I82" t="str">
        <f t="shared" si="48"/>
        <v>BOBINAS DE ENCENDIDO</v>
      </c>
      <c r="J82" t="str">
        <f t="shared" si="51"/>
        <v>1</v>
      </c>
      <c r="K82" t="str">
        <f t="shared" si="52"/>
        <v>0</v>
      </c>
      <c r="L82" t="str">
        <f>"3,000"</f>
        <v>3,000</v>
      </c>
      <c r="M82" t="str">
        <f t="shared" si="53"/>
        <v xml:space="preserve"> </v>
      </c>
      <c r="N82" t="str">
        <f t="shared" si="71"/>
        <v>CADIC</v>
      </c>
      <c r="O82" t="str">
        <f t="shared" si="49"/>
        <v>BOBINAS</v>
      </c>
      <c r="P82" t="str">
        <f t="shared" si="45"/>
        <v>0</v>
      </c>
      <c r="Q82" t="str">
        <f t="shared" si="45"/>
        <v>0</v>
      </c>
      <c r="R82" t="str">
        <f t="shared" si="46"/>
        <v>0,00</v>
      </c>
      <c r="S82" t="str">
        <f t="shared" si="46"/>
        <v>0,00</v>
      </c>
      <c r="T82" t="str">
        <f t="shared" si="47"/>
        <v xml:space="preserve"> </v>
      </c>
      <c r="U82" t="str">
        <f t="shared" si="47"/>
        <v xml:space="preserve"> </v>
      </c>
      <c r="V82" t="str">
        <f>"3,000"</f>
        <v>3,000</v>
      </c>
      <c r="W82" t="str">
        <f t="shared" si="54"/>
        <v>Lista 4</v>
      </c>
      <c r="X82" t="str">
        <f t="shared" si="55"/>
        <v>Lista 5</v>
      </c>
      <c r="Y82" t="str">
        <f t="shared" si="56"/>
        <v>Oferta Gral.</v>
      </c>
      <c r="Z82" t="str">
        <f t="shared" si="57"/>
        <v>Rubro</v>
      </c>
      <c r="AA82" t="str">
        <f t="shared" si="58"/>
        <v>Cantidad por Bulto</v>
      </c>
      <c r="AB82" t="str">
        <f t="shared" si="59"/>
        <v>INNER</v>
      </c>
      <c r="AC82" t="str">
        <f t="shared" si="60"/>
        <v>Stock en Bultos</v>
      </c>
      <c r="AD82" t="str">
        <f t="shared" si="61"/>
        <v>SubDepósito</v>
      </c>
      <c r="AE82" t="str">
        <f t="shared" si="62"/>
        <v>Marca</v>
      </c>
      <c r="AF82" t="str">
        <f t="shared" si="63"/>
        <v>Super Rubro</v>
      </c>
      <c r="AG82" t="str">
        <f t="shared" si="64"/>
        <v>ComercioExterior</v>
      </c>
      <c r="AH82" t="str">
        <f t="shared" si="65"/>
        <v>PrecioFOB</v>
      </c>
      <c r="AI82" t="str">
        <f t="shared" si="66"/>
        <v>Monto II</v>
      </c>
      <c r="AJ82" t="str">
        <f t="shared" si="67"/>
        <v>Porcentaje II</v>
      </c>
      <c r="AK82" t="str">
        <f t="shared" si="68"/>
        <v>Foto</v>
      </c>
      <c r="AL82" t="str">
        <f>"{\rtf1\ansi\ansicpg1252\deff0\deflang11274{\fonttbl{\f0\fnil\fcharset0 MS Sans Serif}} \viewkind4\uc1\pard\f0\fs16 BOBINA ENC. ASTRA, VECTRA\par } "</f>
        <v xml:space="preserve">{\rtf1\ansi\ansicpg1252\deff0\deflang11274{\fonttbl{\f0\fnil\fcharset0 MS Sans Serif}} \viewkind4\uc1\pard\f0\fs16 BOBINA ENC. ASTRA, VECTRA\par } </v>
      </c>
      <c r="AM82" t="str">
        <f t="shared" si="69"/>
        <v>-</v>
      </c>
    </row>
    <row r="83" spans="1:39" x14ac:dyDescent="0.25">
      <c r="A83" t="str">
        <f>"RGU11453"</f>
        <v>RGU11453</v>
      </c>
      <c r="B83" t="str">
        <f>"BOBINA ENC. CHEVROLET CORSA 1,8 8V -MERIVA -1,8"</f>
        <v>BOBINA ENC. CHEVROLET CORSA 1,8 8V -MERIVA -1,8</v>
      </c>
      <c r="C83" t="str">
        <f>"$ 48271,00"</f>
        <v>$ 48271,00</v>
      </c>
      <c r="D83" t="str">
        <f>"$ 48271,00"</f>
        <v>$ 48271,00</v>
      </c>
      <c r="E83" t="str">
        <f>"$ 48271,00"</f>
        <v>$ 48271,00</v>
      </c>
      <c r="F83" t="str">
        <f>"$ 48271,00"</f>
        <v>$ 48271,00</v>
      </c>
      <c r="G83" t="str">
        <f>"$ 48271,00"</f>
        <v>$ 48271,00</v>
      </c>
      <c r="H83" t="str">
        <f t="shared" si="50"/>
        <v>$ 0,00</v>
      </c>
      <c r="I83" t="str">
        <f t="shared" si="48"/>
        <v>BOBINAS DE ENCENDIDO</v>
      </c>
      <c r="J83" t="str">
        <f t="shared" si="51"/>
        <v>1</v>
      </c>
      <c r="K83" t="str">
        <f t="shared" si="52"/>
        <v>0</v>
      </c>
      <c r="L83" t="str">
        <f>"10,000"</f>
        <v>10,000</v>
      </c>
      <c r="M83" t="str">
        <f t="shared" si="53"/>
        <v xml:space="preserve"> </v>
      </c>
      <c r="N83" t="str">
        <f>"REGITAR"</f>
        <v>REGITAR</v>
      </c>
      <c r="O83" t="str">
        <f t="shared" si="49"/>
        <v>BOBINAS</v>
      </c>
      <c r="P83" t="str">
        <f t="shared" ref="P83:Q102" si="72">"0"</f>
        <v>0</v>
      </c>
      <c r="Q83" t="str">
        <f t="shared" si="72"/>
        <v>0</v>
      </c>
      <c r="R83" t="str">
        <f t="shared" ref="R83:S102" si="73">"0,00"</f>
        <v>0,00</v>
      </c>
      <c r="S83" t="str">
        <f t="shared" si="73"/>
        <v>0,00</v>
      </c>
      <c r="T83" t="str">
        <f t="shared" ref="T83:U102" si="74">" "</f>
        <v xml:space="preserve"> </v>
      </c>
      <c r="U83" t="str">
        <f t="shared" si="74"/>
        <v xml:space="preserve"> </v>
      </c>
      <c r="V83" t="str">
        <f>"10,000"</f>
        <v>10,000</v>
      </c>
      <c r="W83" t="str">
        <f t="shared" si="54"/>
        <v>Lista 4</v>
      </c>
      <c r="X83" t="str">
        <f t="shared" si="55"/>
        <v>Lista 5</v>
      </c>
      <c r="Y83" t="str">
        <f t="shared" si="56"/>
        <v>Oferta Gral.</v>
      </c>
      <c r="Z83" t="str">
        <f t="shared" si="57"/>
        <v>Rubro</v>
      </c>
      <c r="AA83" t="str">
        <f t="shared" si="58"/>
        <v>Cantidad por Bulto</v>
      </c>
      <c r="AB83" t="str">
        <f t="shared" si="59"/>
        <v>INNER</v>
      </c>
      <c r="AC83" t="str">
        <f t="shared" si="60"/>
        <v>Stock en Bultos</v>
      </c>
      <c r="AD83" t="str">
        <f t="shared" si="61"/>
        <v>SubDepósito</v>
      </c>
      <c r="AE83" t="str">
        <f t="shared" si="62"/>
        <v>Marca</v>
      </c>
      <c r="AF83" t="str">
        <f t="shared" si="63"/>
        <v>Super Rubro</v>
      </c>
      <c r="AG83" t="str">
        <f t="shared" si="64"/>
        <v>ComercioExterior</v>
      </c>
      <c r="AH83" t="str">
        <f t="shared" si="65"/>
        <v>PrecioFOB</v>
      </c>
      <c r="AI83" t="str">
        <f t="shared" si="66"/>
        <v>Monto II</v>
      </c>
      <c r="AJ83" t="str">
        <f t="shared" si="67"/>
        <v>Porcentaje II</v>
      </c>
      <c r="AK83" t="str">
        <f t="shared" si="68"/>
        <v>Foto</v>
      </c>
      <c r="AL83" t="str">
        <f>"{\rtf1\ansi\ansicpg1252\deff0\deflang11274{\fonttbl{\f0\fnil\fcharset0 MS Sans Serif}} \viewkind4\uc1\pard\f0\fs16 BOBINA ENC. CHEVROLET CORSA 1,8 8V -MERIVA -1,8\par } "</f>
        <v xml:space="preserve">{\rtf1\ansi\ansicpg1252\deff0\deflang11274{\fonttbl{\f0\fnil\fcharset0 MS Sans Serif}} \viewkind4\uc1\pard\f0\fs16 BOBINA ENC. CHEVROLET CORSA 1,8 8V -MERIVA -1,8\par } </v>
      </c>
      <c r="AM83" t="str">
        <f t="shared" si="69"/>
        <v>-</v>
      </c>
    </row>
    <row r="84" spans="1:39" x14ac:dyDescent="0.25">
      <c r="A84" t="str">
        <f>"KD8065"</f>
        <v>KD8065</v>
      </c>
      <c r="B84" t="str">
        <f>"BOBINA ENC. CHEVROLET CRUZE"</f>
        <v>BOBINA ENC. CHEVROLET CRUZE</v>
      </c>
      <c r="C84" t="str">
        <f>"$ 126409,99"</f>
        <v>$ 126409,99</v>
      </c>
      <c r="D84" t="str">
        <f>"$ 126409,99"</f>
        <v>$ 126409,99</v>
      </c>
      <c r="E84" t="str">
        <f>"$ 126409,99"</f>
        <v>$ 126409,99</v>
      </c>
      <c r="F84" t="str">
        <f>"$ 126409,99"</f>
        <v>$ 126409,99</v>
      </c>
      <c r="G84" t="str">
        <f>"$ 126409,99"</f>
        <v>$ 126409,99</v>
      </c>
      <c r="H84" t="str">
        <f t="shared" si="50"/>
        <v>$ 0,00</v>
      </c>
      <c r="I84" t="str">
        <f t="shared" si="48"/>
        <v>BOBINAS DE ENCENDIDO</v>
      </c>
      <c r="J84" t="str">
        <f t="shared" si="51"/>
        <v>1</v>
      </c>
      <c r="K84" t="str">
        <f t="shared" si="52"/>
        <v>0</v>
      </c>
      <c r="L84" t="str">
        <f>"3,000"</f>
        <v>3,000</v>
      </c>
      <c r="M84" t="str">
        <f t="shared" si="53"/>
        <v xml:space="preserve"> </v>
      </c>
      <c r="N84" t="str">
        <f>"CADIC"</f>
        <v>CADIC</v>
      </c>
      <c r="O84" t="str">
        <f t="shared" si="49"/>
        <v>BOBINAS</v>
      </c>
      <c r="P84" t="str">
        <f t="shared" si="72"/>
        <v>0</v>
      </c>
      <c r="Q84" t="str">
        <f t="shared" si="72"/>
        <v>0</v>
      </c>
      <c r="R84" t="str">
        <f t="shared" si="73"/>
        <v>0,00</v>
      </c>
      <c r="S84" t="str">
        <f t="shared" si="73"/>
        <v>0,00</v>
      </c>
      <c r="T84" t="str">
        <f t="shared" si="74"/>
        <v xml:space="preserve"> </v>
      </c>
      <c r="U84" t="str">
        <f t="shared" si="74"/>
        <v xml:space="preserve"> </v>
      </c>
      <c r="V84" t="str">
        <f>"3,000"</f>
        <v>3,000</v>
      </c>
      <c r="W84" t="str">
        <f t="shared" si="54"/>
        <v>Lista 4</v>
      </c>
      <c r="X84" t="str">
        <f t="shared" si="55"/>
        <v>Lista 5</v>
      </c>
      <c r="Y84" t="str">
        <f t="shared" si="56"/>
        <v>Oferta Gral.</v>
      </c>
      <c r="Z84" t="str">
        <f t="shared" si="57"/>
        <v>Rubro</v>
      </c>
      <c r="AA84" t="str">
        <f t="shared" si="58"/>
        <v>Cantidad por Bulto</v>
      </c>
      <c r="AB84" t="str">
        <f t="shared" si="59"/>
        <v>INNER</v>
      </c>
      <c r="AC84" t="str">
        <f t="shared" si="60"/>
        <v>Stock en Bultos</v>
      </c>
      <c r="AD84" t="str">
        <f t="shared" si="61"/>
        <v>SubDepósito</v>
      </c>
      <c r="AE84" t="str">
        <f t="shared" si="62"/>
        <v>Marca</v>
      </c>
      <c r="AF84" t="str">
        <f t="shared" si="63"/>
        <v>Super Rubro</v>
      </c>
      <c r="AG84" t="str">
        <f t="shared" si="64"/>
        <v>ComercioExterior</v>
      </c>
      <c r="AH84" t="str">
        <f t="shared" si="65"/>
        <v>PrecioFOB</v>
      </c>
      <c r="AI84" t="str">
        <f t="shared" si="66"/>
        <v>Monto II</v>
      </c>
      <c r="AJ84" t="str">
        <f t="shared" si="67"/>
        <v>Porcentaje II</v>
      </c>
      <c r="AK84" t="str">
        <f t="shared" si="68"/>
        <v>Foto</v>
      </c>
      <c r="AL84" t="str">
        <f>"{\rtf1\ansi\ansicpg1252\deff0\deflang11274{\fonttbl{\f0\fnil\fcharset0 MS Sans Serif}} \viewkind4\uc1\pard\f0\fs16 BOBINA ENC. CHEVROLET CRUZE\par } "</f>
        <v xml:space="preserve">{\rtf1\ansi\ansicpg1252\deff0\deflang11274{\fonttbl{\f0\fnil\fcharset0 MS Sans Serif}} \viewkind4\uc1\pard\f0\fs16 BOBINA ENC. CHEVROLET CRUZE\par } </v>
      </c>
      <c r="AM84" t="str">
        <f>" "</f>
        <v xml:space="preserve"> </v>
      </c>
    </row>
    <row r="85" spans="1:39" x14ac:dyDescent="0.25">
      <c r="A85" t="str">
        <f>"RGU11412"</f>
        <v>RGU11412</v>
      </c>
      <c r="B85" t="str">
        <f>"BOBINA ENC. CHEVROLET OPEL ASTRA-CORSA-TIGRA-VECTRA"</f>
        <v>BOBINA ENC. CHEVROLET OPEL ASTRA-CORSA-TIGRA-VECTRA</v>
      </c>
      <c r="C85" t="str">
        <f>"$ 86892,02"</f>
        <v>$ 86892,02</v>
      </c>
      <c r="D85" t="str">
        <f>"$ 86892,02"</f>
        <v>$ 86892,02</v>
      </c>
      <c r="E85" t="str">
        <f>"$ 86892,02"</f>
        <v>$ 86892,02</v>
      </c>
      <c r="F85" t="str">
        <f>"$ 86892,02"</f>
        <v>$ 86892,02</v>
      </c>
      <c r="G85" t="str">
        <f>"$ 86892,02"</f>
        <v>$ 86892,02</v>
      </c>
      <c r="H85" t="str">
        <f t="shared" si="50"/>
        <v>$ 0,00</v>
      </c>
      <c r="I85" t="str">
        <f t="shared" si="48"/>
        <v>BOBINAS DE ENCENDIDO</v>
      </c>
      <c r="J85" t="str">
        <f t="shared" si="51"/>
        <v>1</v>
      </c>
      <c r="K85" t="str">
        <f t="shared" si="52"/>
        <v>0</v>
      </c>
      <c r="L85" t="str">
        <f>"0,000"</f>
        <v>0,000</v>
      </c>
      <c r="M85" t="str">
        <f t="shared" si="53"/>
        <v xml:space="preserve"> </v>
      </c>
      <c r="N85" t="str">
        <f>"REGITAR"</f>
        <v>REGITAR</v>
      </c>
      <c r="O85" t="str">
        <f t="shared" si="49"/>
        <v>BOBINAS</v>
      </c>
      <c r="P85" t="str">
        <f t="shared" si="72"/>
        <v>0</v>
      </c>
      <c r="Q85" t="str">
        <f t="shared" si="72"/>
        <v>0</v>
      </c>
      <c r="R85" t="str">
        <f t="shared" si="73"/>
        <v>0,00</v>
      </c>
      <c r="S85" t="str">
        <f t="shared" si="73"/>
        <v>0,00</v>
      </c>
      <c r="T85" t="str">
        <f t="shared" si="74"/>
        <v xml:space="preserve"> </v>
      </c>
      <c r="U85" t="str">
        <f t="shared" si="74"/>
        <v xml:space="preserve"> </v>
      </c>
      <c r="V85" t="str">
        <f>"0,000"</f>
        <v>0,000</v>
      </c>
      <c r="W85" t="str">
        <f t="shared" si="54"/>
        <v>Lista 4</v>
      </c>
      <c r="X85" t="str">
        <f t="shared" si="55"/>
        <v>Lista 5</v>
      </c>
      <c r="Y85" t="str">
        <f t="shared" si="56"/>
        <v>Oferta Gral.</v>
      </c>
      <c r="Z85" t="str">
        <f t="shared" si="57"/>
        <v>Rubro</v>
      </c>
      <c r="AA85" t="str">
        <f t="shared" si="58"/>
        <v>Cantidad por Bulto</v>
      </c>
      <c r="AB85" t="str">
        <f t="shared" si="59"/>
        <v>INNER</v>
      </c>
      <c r="AC85" t="str">
        <f t="shared" si="60"/>
        <v>Stock en Bultos</v>
      </c>
      <c r="AD85" t="str">
        <f t="shared" si="61"/>
        <v>SubDepósito</v>
      </c>
      <c r="AE85" t="str">
        <f t="shared" si="62"/>
        <v>Marca</v>
      </c>
      <c r="AF85" t="str">
        <f t="shared" si="63"/>
        <v>Super Rubro</v>
      </c>
      <c r="AG85" t="str">
        <f t="shared" si="64"/>
        <v>ComercioExterior</v>
      </c>
      <c r="AH85" t="str">
        <f t="shared" si="65"/>
        <v>PrecioFOB</v>
      </c>
      <c r="AI85" t="str">
        <f t="shared" si="66"/>
        <v>Monto II</v>
      </c>
      <c r="AJ85" t="str">
        <f t="shared" si="67"/>
        <v>Porcentaje II</v>
      </c>
      <c r="AK85" t="str">
        <f t="shared" si="68"/>
        <v>Foto</v>
      </c>
      <c r="AL85" t="str">
        <f>"{\rtf1\ansi\ansicpg1252\deff0\deflang11274{\fonttbl{\f0\fnil\fcharset0 MS Sans Serif}} \viewkind4\uc1\pard\f0\fs16 BOBINA ENC. CHEVROLET OPEL ASTRA-CORSA-TIGRA-VECTRA\par } "</f>
        <v xml:space="preserve">{\rtf1\ansi\ansicpg1252\deff0\deflang11274{\fonttbl{\f0\fnil\fcharset0 MS Sans Serif}} \viewkind4\uc1\pard\f0\fs16 BOBINA ENC. CHEVROLET OPEL ASTRA-CORSA-TIGRA-VECTRA\par } </v>
      </c>
      <c r="AM85" t="str">
        <f>"-"</f>
        <v>-</v>
      </c>
    </row>
    <row r="86" spans="1:39" x14ac:dyDescent="0.25">
      <c r="A86" t="str">
        <f>"RGU11420"</f>
        <v>RGU11420</v>
      </c>
      <c r="B86" t="str">
        <f>"BOBINA ENC. CHVROLET CORSA 1.6 / 1.8 / DAEWOO LANOS, ESPERO"</f>
        <v>BOBINA ENC. CHVROLET CORSA 1.6 / 1.8 / DAEWOO LANOS, ESPERO</v>
      </c>
      <c r="C86" t="str">
        <f>"$ 60349,30"</f>
        <v>$ 60349,30</v>
      </c>
      <c r="D86" t="str">
        <f>"$ 60349,30"</f>
        <v>$ 60349,30</v>
      </c>
      <c r="E86" t="str">
        <f>"$ 60349,30"</f>
        <v>$ 60349,30</v>
      </c>
      <c r="F86" t="str">
        <f>"$ 60349,30"</f>
        <v>$ 60349,30</v>
      </c>
      <c r="G86" t="str">
        <f>"$ 60349,30"</f>
        <v>$ 60349,30</v>
      </c>
      <c r="H86" t="str">
        <f t="shared" si="50"/>
        <v>$ 0,00</v>
      </c>
      <c r="I86" t="str">
        <f t="shared" si="48"/>
        <v>BOBINAS DE ENCENDIDO</v>
      </c>
      <c r="J86" t="str">
        <f t="shared" si="51"/>
        <v>1</v>
      </c>
      <c r="K86" t="str">
        <f t="shared" si="52"/>
        <v>0</v>
      </c>
      <c r="L86" t="str">
        <f>"14,000"</f>
        <v>14,000</v>
      </c>
      <c r="M86" t="str">
        <f t="shared" si="53"/>
        <v xml:space="preserve"> </v>
      </c>
      <c r="N86" t="str">
        <f>"REGITAR"</f>
        <v>REGITAR</v>
      </c>
      <c r="O86" t="str">
        <f t="shared" si="49"/>
        <v>BOBINAS</v>
      </c>
      <c r="P86" t="str">
        <f t="shared" si="72"/>
        <v>0</v>
      </c>
      <c r="Q86" t="str">
        <f t="shared" si="72"/>
        <v>0</v>
      </c>
      <c r="R86" t="str">
        <f t="shared" si="73"/>
        <v>0,00</v>
      </c>
      <c r="S86" t="str">
        <f t="shared" si="73"/>
        <v>0,00</v>
      </c>
      <c r="T86" t="str">
        <f t="shared" si="74"/>
        <v xml:space="preserve"> </v>
      </c>
      <c r="U86" t="str">
        <f t="shared" si="74"/>
        <v xml:space="preserve"> </v>
      </c>
      <c r="V86" t="str">
        <f>"14,000"</f>
        <v>14,000</v>
      </c>
      <c r="W86" t="str">
        <f t="shared" si="54"/>
        <v>Lista 4</v>
      </c>
      <c r="X86" t="str">
        <f t="shared" si="55"/>
        <v>Lista 5</v>
      </c>
      <c r="Y86" t="str">
        <f t="shared" si="56"/>
        <v>Oferta Gral.</v>
      </c>
      <c r="Z86" t="str">
        <f t="shared" si="57"/>
        <v>Rubro</v>
      </c>
      <c r="AA86" t="str">
        <f t="shared" si="58"/>
        <v>Cantidad por Bulto</v>
      </c>
      <c r="AB86" t="str">
        <f t="shared" si="59"/>
        <v>INNER</v>
      </c>
      <c r="AC86" t="str">
        <f t="shared" si="60"/>
        <v>Stock en Bultos</v>
      </c>
      <c r="AD86" t="str">
        <f t="shared" si="61"/>
        <v>SubDepósito</v>
      </c>
      <c r="AE86" t="str">
        <f t="shared" si="62"/>
        <v>Marca</v>
      </c>
      <c r="AF86" t="str">
        <f t="shared" si="63"/>
        <v>Super Rubro</v>
      </c>
      <c r="AG86" t="str">
        <f t="shared" si="64"/>
        <v>ComercioExterior</v>
      </c>
      <c r="AH86" t="str">
        <f t="shared" si="65"/>
        <v>PrecioFOB</v>
      </c>
      <c r="AI86" t="str">
        <f t="shared" si="66"/>
        <v>Monto II</v>
      </c>
      <c r="AJ86" t="str">
        <f t="shared" si="67"/>
        <v>Porcentaje II</v>
      </c>
      <c r="AK86" t="str">
        <f t="shared" si="68"/>
        <v>Foto</v>
      </c>
      <c r="AL86" t="str">
        <f>"{\rtf1\ansi\ansicpg1252\deff0\deflang11274{\fonttbl{\f0\fnil\fcharset0 MS Sans Serif}} \viewkind4\uc1\pard\f0\fs16 BOBINA ENC. CHVROLET CORSA 1.6 / 1.8 / DAEWOO LANOS, ESPERO\par } "</f>
        <v xml:space="preserve">{\rtf1\ansi\ansicpg1252\deff0\deflang11274{\fonttbl{\f0\fnil\fcharset0 MS Sans Serif}} \viewkind4\uc1\pard\f0\fs16 BOBINA ENC. CHVROLET CORSA 1.6 / 1.8 / DAEWOO LANOS, ESPERO\par } </v>
      </c>
      <c r="AM86" t="str">
        <f>"-"</f>
        <v>-</v>
      </c>
    </row>
    <row r="87" spans="1:39" x14ac:dyDescent="0.25">
      <c r="A87" t="str">
        <f>"KD8056"</f>
        <v>KD8056</v>
      </c>
      <c r="B87" t="str">
        <f>"BOBINA ENC. CITROEN C4/PEUGEOT 307 2.0 "</f>
        <v xml:space="preserve">BOBINA ENC. CITROEN C4/PEUGEOT 307 2.0 </v>
      </c>
      <c r="C87" t="str">
        <f>"$ 132576,34"</f>
        <v>$ 132576,34</v>
      </c>
      <c r="D87" t="str">
        <f>"$ 132576,34"</f>
        <v>$ 132576,34</v>
      </c>
      <c r="E87" t="str">
        <f>"$ 132576,34"</f>
        <v>$ 132576,34</v>
      </c>
      <c r="F87" t="str">
        <f>"$ 132576,34"</f>
        <v>$ 132576,34</v>
      </c>
      <c r="G87" t="str">
        <f>"$ 132576,34"</f>
        <v>$ 132576,34</v>
      </c>
      <c r="H87" t="str">
        <f t="shared" si="50"/>
        <v>$ 0,00</v>
      </c>
      <c r="I87" t="str">
        <f t="shared" si="48"/>
        <v>BOBINAS DE ENCENDIDO</v>
      </c>
      <c r="J87" t="str">
        <f t="shared" si="51"/>
        <v>1</v>
      </c>
      <c r="K87" t="str">
        <f t="shared" si="52"/>
        <v>0</v>
      </c>
      <c r="L87" t="str">
        <f>"0,000"</f>
        <v>0,000</v>
      </c>
      <c r="M87" t="str">
        <f t="shared" si="53"/>
        <v xml:space="preserve"> </v>
      </c>
      <c r="N87" t="str">
        <f t="shared" ref="N87:N96" si="75">"CADIC"</f>
        <v>CADIC</v>
      </c>
      <c r="O87" t="str">
        <f t="shared" si="49"/>
        <v>BOBINAS</v>
      </c>
      <c r="P87" t="str">
        <f t="shared" si="72"/>
        <v>0</v>
      </c>
      <c r="Q87" t="str">
        <f t="shared" si="72"/>
        <v>0</v>
      </c>
      <c r="R87" t="str">
        <f t="shared" si="73"/>
        <v>0,00</v>
      </c>
      <c r="S87" t="str">
        <f t="shared" si="73"/>
        <v>0,00</v>
      </c>
      <c r="T87" t="str">
        <f t="shared" si="74"/>
        <v xml:space="preserve"> </v>
      </c>
      <c r="U87" t="str">
        <f t="shared" si="74"/>
        <v xml:space="preserve"> </v>
      </c>
      <c r="V87" t="str">
        <f>"0,000"</f>
        <v>0,000</v>
      </c>
      <c r="W87" t="str">
        <f t="shared" si="54"/>
        <v>Lista 4</v>
      </c>
      <c r="X87" t="str">
        <f t="shared" si="55"/>
        <v>Lista 5</v>
      </c>
      <c r="Y87" t="str">
        <f t="shared" si="56"/>
        <v>Oferta Gral.</v>
      </c>
      <c r="Z87" t="str">
        <f t="shared" si="57"/>
        <v>Rubro</v>
      </c>
      <c r="AA87" t="str">
        <f t="shared" si="58"/>
        <v>Cantidad por Bulto</v>
      </c>
      <c r="AB87" t="str">
        <f t="shared" si="59"/>
        <v>INNER</v>
      </c>
      <c r="AC87" t="str">
        <f t="shared" si="60"/>
        <v>Stock en Bultos</v>
      </c>
      <c r="AD87" t="str">
        <f t="shared" si="61"/>
        <v>SubDepósito</v>
      </c>
      <c r="AE87" t="str">
        <f t="shared" si="62"/>
        <v>Marca</v>
      </c>
      <c r="AF87" t="str">
        <f t="shared" si="63"/>
        <v>Super Rubro</v>
      </c>
      <c r="AG87" t="str">
        <f t="shared" si="64"/>
        <v>ComercioExterior</v>
      </c>
      <c r="AH87" t="str">
        <f t="shared" si="65"/>
        <v>PrecioFOB</v>
      </c>
      <c r="AI87" t="str">
        <f t="shared" si="66"/>
        <v>Monto II</v>
      </c>
      <c r="AJ87" t="str">
        <f t="shared" si="67"/>
        <v>Porcentaje II</v>
      </c>
      <c r="AK87" t="str">
        <f t="shared" si="68"/>
        <v>Foto</v>
      </c>
      <c r="AL87" t="str">
        <f>"{\rtf1\ansi\ansicpg1252\deff0\deflang11274{\fonttbl{\f0\fnil\fcharset0 MS Sans Serif}} \viewkind4\uc1\pard\f0\fs16 BOBINA ENC. CITROEN C4/PEUGEOT 307 2.0 \par } "</f>
        <v xml:space="preserve">{\rtf1\ansi\ansicpg1252\deff0\deflang11274{\fonttbl{\f0\fnil\fcharset0 MS Sans Serif}} \viewkind4\uc1\pard\f0\fs16 BOBINA ENC. CITROEN C4/PEUGEOT 307 2.0 \par } </v>
      </c>
      <c r="AM87" t="str">
        <f>" "</f>
        <v xml:space="preserve"> </v>
      </c>
    </row>
    <row r="88" spans="1:39" x14ac:dyDescent="0.25">
      <c r="A88" t="str">
        <f>"KD8052"</f>
        <v>KD8052</v>
      </c>
      <c r="B88" t="str">
        <f>"BOBINA ENC. CLIO 2, KANGOO 16V 3 AGUJEROS"</f>
        <v>BOBINA ENC. CLIO 2, KANGOO 16V 3 AGUJEROS</v>
      </c>
      <c r="C88" t="str">
        <f>"$ 71651,15"</f>
        <v>$ 71651,15</v>
      </c>
      <c r="D88" t="str">
        <f>"$ 71651,15"</f>
        <v>$ 71651,15</v>
      </c>
      <c r="E88" t="str">
        <f>"$ 71651,15"</f>
        <v>$ 71651,15</v>
      </c>
      <c r="F88" t="str">
        <f>"$ 71651,15"</f>
        <v>$ 71651,15</v>
      </c>
      <c r="G88" t="str">
        <f>"$ 71651,15"</f>
        <v>$ 71651,15</v>
      </c>
      <c r="H88" t="str">
        <f t="shared" si="50"/>
        <v>$ 0,00</v>
      </c>
      <c r="I88" t="str">
        <f t="shared" si="48"/>
        <v>BOBINAS DE ENCENDIDO</v>
      </c>
      <c r="J88" t="str">
        <f t="shared" si="51"/>
        <v>1</v>
      </c>
      <c r="K88" t="str">
        <f t="shared" si="52"/>
        <v>0</v>
      </c>
      <c r="L88" t="str">
        <f>"3,000"</f>
        <v>3,000</v>
      </c>
      <c r="M88" t="str">
        <f t="shared" si="53"/>
        <v xml:space="preserve"> </v>
      </c>
      <c r="N88" t="str">
        <f t="shared" si="75"/>
        <v>CADIC</v>
      </c>
      <c r="O88" t="str">
        <f t="shared" si="49"/>
        <v>BOBINAS</v>
      </c>
      <c r="P88" t="str">
        <f t="shared" si="72"/>
        <v>0</v>
      </c>
      <c r="Q88" t="str">
        <f t="shared" si="72"/>
        <v>0</v>
      </c>
      <c r="R88" t="str">
        <f t="shared" si="73"/>
        <v>0,00</v>
      </c>
      <c r="S88" t="str">
        <f t="shared" si="73"/>
        <v>0,00</v>
      </c>
      <c r="T88" t="str">
        <f t="shared" si="74"/>
        <v xml:space="preserve"> </v>
      </c>
      <c r="U88" t="str">
        <f t="shared" si="74"/>
        <v xml:space="preserve"> </v>
      </c>
      <c r="V88" t="str">
        <f>"3,000"</f>
        <v>3,000</v>
      </c>
      <c r="W88" t="str">
        <f t="shared" si="54"/>
        <v>Lista 4</v>
      </c>
      <c r="X88" t="str">
        <f t="shared" si="55"/>
        <v>Lista 5</v>
      </c>
      <c r="Y88" t="str">
        <f t="shared" si="56"/>
        <v>Oferta Gral.</v>
      </c>
      <c r="Z88" t="str">
        <f t="shared" si="57"/>
        <v>Rubro</v>
      </c>
      <c r="AA88" t="str">
        <f t="shared" si="58"/>
        <v>Cantidad por Bulto</v>
      </c>
      <c r="AB88" t="str">
        <f t="shared" si="59"/>
        <v>INNER</v>
      </c>
      <c r="AC88" t="str">
        <f t="shared" si="60"/>
        <v>Stock en Bultos</v>
      </c>
      <c r="AD88" t="str">
        <f t="shared" si="61"/>
        <v>SubDepósito</v>
      </c>
      <c r="AE88" t="str">
        <f t="shared" si="62"/>
        <v>Marca</v>
      </c>
      <c r="AF88" t="str">
        <f t="shared" si="63"/>
        <v>Super Rubro</v>
      </c>
      <c r="AG88" t="str">
        <f t="shared" si="64"/>
        <v>ComercioExterior</v>
      </c>
      <c r="AH88" t="str">
        <f t="shared" si="65"/>
        <v>PrecioFOB</v>
      </c>
      <c r="AI88" t="str">
        <f t="shared" si="66"/>
        <v>Monto II</v>
      </c>
      <c r="AJ88" t="str">
        <f t="shared" si="67"/>
        <v>Porcentaje II</v>
      </c>
      <c r="AK88" t="str">
        <f t="shared" si="68"/>
        <v>Foto</v>
      </c>
      <c r="AL88" t="str">
        <f>"{\rtf1\ansi\ansicpg1252\deff0\deflang11274{\fonttbl{\f0\fnil\fcharset0 MS Sans Serif}} \viewkind4\uc1\pard\f0\fs16 BOBINA ENC. CLIO 2, KANGOO 16V 3 AGUJEROS\par } "</f>
        <v xml:space="preserve">{\rtf1\ansi\ansicpg1252\deff0\deflang11274{\fonttbl{\f0\fnil\fcharset0 MS Sans Serif}} \viewkind4\uc1\pard\f0\fs16 BOBINA ENC. CLIO 2, KANGOO 16V 3 AGUJEROS\par } </v>
      </c>
      <c r="AM88" t="str">
        <f t="shared" ref="AM88:AM105" si="76">"-"</f>
        <v>-</v>
      </c>
    </row>
    <row r="89" spans="1:39" x14ac:dyDescent="0.25">
      <c r="A89" t="str">
        <f>"KD8052A"</f>
        <v>KD8052A</v>
      </c>
      <c r="B89" t="str">
        <f>"BOBINA ENC. CLIO 2, KANGOO 16V 4 AGUJEROS"</f>
        <v>BOBINA ENC. CLIO 2, KANGOO 16V 4 AGUJEROS</v>
      </c>
      <c r="C89" t="str">
        <f>"$ 85637,45"</f>
        <v>$ 85637,45</v>
      </c>
      <c r="D89" t="str">
        <f>"$ 85637,45"</f>
        <v>$ 85637,45</v>
      </c>
      <c r="E89" t="str">
        <f>"$ 85637,45"</f>
        <v>$ 85637,45</v>
      </c>
      <c r="F89" t="str">
        <f>"$ 85637,45"</f>
        <v>$ 85637,45</v>
      </c>
      <c r="G89" t="str">
        <f>"$ 85637,45"</f>
        <v>$ 85637,45</v>
      </c>
      <c r="H89" t="str">
        <f t="shared" si="50"/>
        <v>$ 0,00</v>
      </c>
      <c r="I89" t="str">
        <f t="shared" si="48"/>
        <v>BOBINAS DE ENCENDIDO</v>
      </c>
      <c r="J89" t="str">
        <f t="shared" si="51"/>
        <v>1</v>
      </c>
      <c r="K89" t="str">
        <f t="shared" si="52"/>
        <v>0</v>
      </c>
      <c r="L89" t="str">
        <f>"2,000"</f>
        <v>2,000</v>
      </c>
      <c r="M89" t="str">
        <f t="shared" si="53"/>
        <v xml:space="preserve"> </v>
      </c>
      <c r="N89" t="str">
        <f t="shared" si="75"/>
        <v>CADIC</v>
      </c>
      <c r="O89" t="str">
        <f t="shared" si="49"/>
        <v>BOBINAS</v>
      </c>
      <c r="P89" t="str">
        <f t="shared" si="72"/>
        <v>0</v>
      </c>
      <c r="Q89" t="str">
        <f t="shared" si="72"/>
        <v>0</v>
      </c>
      <c r="R89" t="str">
        <f t="shared" si="73"/>
        <v>0,00</v>
      </c>
      <c r="S89" t="str">
        <f t="shared" si="73"/>
        <v>0,00</v>
      </c>
      <c r="T89" t="str">
        <f t="shared" si="74"/>
        <v xml:space="preserve"> </v>
      </c>
      <c r="U89" t="str">
        <f t="shared" si="74"/>
        <v xml:space="preserve"> </v>
      </c>
      <c r="V89" t="str">
        <f>"2,000"</f>
        <v>2,000</v>
      </c>
      <c r="W89" t="str">
        <f t="shared" si="54"/>
        <v>Lista 4</v>
      </c>
      <c r="X89" t="str">
        <f t="shared" si="55"/>
        <v>Lista 5</v>
      </c>
      <c r="Y89" t="str">
        <f t="shared" si="56"/>
        <v>Oferta Gral.</v>
      </c>
      <c r="Z89" t="str">
        <f t="shared" si="57"/>
        <v>Rubro</v>
      </c>
      <c r="AA89" t="str">
        <f t="shared" si="58"/>
        <v>Cantidad por Bulto</v>
      </c>
      <c r="AB89" t="str">
        <f t="shared" si="59"/>
        <v>INNER</v>
      </c>
      <c r="AC89" t="str">
        <f t="shared" si="60"/>
        <v>Stock en Bultos</v>
      </c>
      <c r="AD89" t="str">
        <f t="shared" si="61"/>
        <v>SubDepósito</v>
      </c>
      <c r="AE89" t="str">
        <f t="shared" si="62"/>
        <v>Marca</v>
      </c>
      <c r="AF89" t="str">
        <f t="shared" si="63"/>
        <v>Super Rubro</v>
      </c>
      <c r="AG89" t="str">
        <f t="shared" si="64"/>
        <v>ComercioExterior</v>
      </c>
      <c r="AH89" t="str">
        <f t="shared" si="65"/>
        <v>PrecioFOB</v>
      </c>
      <c r="AI89" t="str">
        <f t="shared" si="66"/>
        <v>Monto II</v>
      </c>
      <c r="AJ89" t="str">
        <f t="shared" si="67"/>
        <v>Porcentaje II</v>
      </c>
      <c r="AK89" t="str">
        <f t="shared" si="68"/>
        <v>Foto</v>
      </c>
      <c r="AL89" t="str">
        <f>"{\rtf1\ansi\ansicpg1252\deff0\deflang11274{\fonttbl{\f0\fnil\fcharset0 MS Sans Serif}} \viewkind4\uc1\pard\f0\fs16 BOBINA ENC. CLIO 2, KANGOO 16V 4 AGUJEROS\par } "</f>
        <v xml:space="preserve">{\rtf1\ansi\ansicpg1252\deff0\deflang11274{\fonttbl{\f0\fnil\fcharset0 MS Sans Serif}} \viewkind4\uc1\pard\f0\fs16 BOBINA ENC. CLIO 2, KANGOO 16V 4 AGUJEROS\par } </v>
      </c>
      <c r="AM89" t="str">
        <f t="shared" si="76"/>
        <v>-</v>
      </c>
    </row>
    <row r="90" spans="1:39" x14ac:dyDescent="0.25">
      <c r="A90" t="str">
        <f>"KD8052B"</f>
        <v>KD8052B</v>
      </c>
      <c r="B90" t="str">
        <f>"BOBINA ENC. CLIO 2, KANGOO 16V 4 AGUJEROS S/CABLES"</f>
        <v>BOBINA ENC. CLIO 2, KANGOO 16V 4 AGUJEROS S/CABLES</v>
      </c>
      <c r="C90" t="str">
        <f>"$ 60186,96"</f>
        <v>$ 60186,96</v>
      </c>
      <c r="D90" t="str">
        <f>"$ 60186,96"</f>
        <v>$ 60186,96</v>
      </c>
      <c r="E90" t="str">
        <f>"$ 60186,96"</f>
        <v>$ 60186,96</v>
      </c>
      <c r="F90" t="str">
        <f>"$ 60186,96"</f>
        <v>$ 60186,96</v>
      </c>
      <c r="G90" t="str">
        <f>"$ 60186,96"</f>
        <v>$ 60186,96</v>
      </c>
      <c r="H90" t="str">
        <f t="shared" si="50"/>
        <v>$ 0,00</v>
      </c>
      <c r="I90" t="str">
        <f t="shared" si="48"/>
        <v>BOBINAS DE ENCENDIDO</v>
      </c>
      <c r="J90" t="str">
        <f t="shared" si="51"/>
        <v>1</v>
      </c>
      <c r="K90" t="str">
        <f t="shared" si="52"/>
        <v>0</v>
      </c>
      <c r="L90" t="str">
        <f>"0,000"</f>
        <v>0,000</v>
      </c>
      <c r="M90" t="str">
        <f t="shared" si="53"/>
        <v xml:space="preserve"> </v>
      </c>
      <c r="N90" t="str">
        <f t="shared" si="75"/>
        <v>CADIC</v>
      </c>
      <c r="O90" t="str">
        <f t="shared" si="49"/>
        <v>BOBINAS</v>
      </c>
      <c r="P90" t="str">
        <f t="shared" si="72"/>
        <v>0</v>
      </c>
      <c r="Q90" t="str">
        <f t="shared" si="72"/>
        <v>0</v>
      </c>
      <c r="R90" t="str">
        <f t="shared" si="73"/>
        <v>0,00</v>
      </c>
      <c r="S90" t="str">
        <f t="shared" si="73"/>
        <v>0,00</v>
      </c>
      <c r="T90" t="str">
        <f t="shared" si="74"/>
        <v xml:space="preserve"> </v>
      </c>
      <c r="U90" t="str">
        <f t="shared" si="74"/>
        <v xml:space="preserve"> </v>
      </c>
      <c r="V90" t="str">
        <f>"0,000"</f>
        <v>0,000</v>
      </c>
      <c r="W90" t="str">
        <f t="shared" si="54"/>
        <v>Lista 4</v>
      </c>
      <c r="X90" t="str">
        <f t="shared" si="55"/>
        <v>Lista 5</v>
      </c>
      <c r="Y90" t="str">
        <f t="shared" si="56"/>
        <v>Oferta Gral.</v>
      </c>
      <c r="Z90" t="str">
        <f t="shared" si="57"/>
        <v>Rubro</v>
      </c>
      <c r="AA90" t="str">
        <f t="shared" si="58"/>
        <v>Cantidad por Bulto</v>
      </c>
      <c r="AB90" t="str">
        <f t="shared" si="59"/>
        <v>INNER</v>
      </c>
      <c r="AC90" t="str">
        <f t="shared" si="60"/>
        <v>Stock en Bultos</v>
      </c>
      <c r="AD90" t="str">
        <f t="shared" si="61"/>
        <v>SubDepósito</v>
      </c>
      <c r="AE90" t="str">
        <f t="shared" si="62"/>
        <v>Marca</v>
      </c>
      <c r="AF90" t="str">
        <f t="shared" si="63"/>
        <v>Super Rubro</v>
      </c>
      <c r="AG90" t="str">
        <f t="shared" si="64"/>
        <v>ComercioExterior</v>
      </c>
      <c r="AH90" t="str">
        <f t="shared" si="65"/>
        <v>PrecioFOB</v>
      </c>
      <c r="AI90" t="str">
        <f t="shared" si="66"/>
        <v>Monto II</v>
      </c>
      <c r="AJ90" t="str">
        <f t="shared" si="67"/>
        <v>Porcentaje II</v>
      </c>
      <c r="AK90" t="str">
        <f t="shared" si="68"/>
        <v>Foto</v>
      </c>
      <c r="AL90" t="str">
        <f>"{\rtf1\ansi\ansicpg1252\deff0\deflang11274{\fonttbl{\f0\fnil\fcharset0 MS Sans Serif}} \viewkind4\uc1\pard\f0\fs16 BOBINA ENC. CLIO 2, KANGOO 16V 4 AGUJEROS S/CABLES\par } "</f>
        <v xml:space="preserve">{\rtf1\ansi\ansicpg1252\deff0\deflang11274{\fonttbl{\f0\fnil\fcharset0 MS Sans Serif}} \viewkind4\uc1\pard\f0\fs16 BOBINA ENC. CLIO 2, KANGOO 16V 4 AGUJEROS S/CABLES\par } </v>
      </c>
      <c r="AM90" t="str">
        <f t="shared" si="76"/>
        <v>-</v>
      </c>
    </row>
    <row r="91" spans="1:39" x14ac:dyDescent="0.25">
      <c r="A91" t="str">
        <f>"KD8050"</f>
        <v>KD8050</v>
      </c>
      <c r="B91" t="str">
        <f>"BOBINA ENC. CORSA MULTIPUNTO 95-98"</f>
        <v>BOBINA ENC. CORSA MULTIPUNTO 95-98</v>
      </c>
      <c r="C91" t="str">
        <f>"$ 85637,45"</f>
        <v>$ 85637,45</v>
      </c>
      <c r="D91" t="str">
        <f>"$ 85637,45"</f>
        <v>$ 85637,45</v>
      </c>
      <c r="E91" t="str">
        <f>"$ 85637,45"</f>
        <v>$ 85637,45</v>
      </c>
      <c r="F91" t="str">
        <f>"$ 85637,45"</f>
        <v>$ 85637,45</v>
      </c>
      <c r="G91" t="str">
        <f>"$ 85637,45"</f>
        <v>$ 85637,45</v>
      </c>
      <c r="H91" t="str">
        <f t="shared" si="50"/>
        <v>$ 0,00</v>
      </c>
      <c r="I91" t="str">
        <f t="shared" si="48"/>
        <v>BOBINAS DE ENCENDIDO</v>
      </c>
      <c r="J91" t="str">
        <f t="shared" si="51"/>
        <v>1</v>
      </c>
      <c r="K91" t="str">
        <f t="shared" si="52"/>
        <v>0</v>
      </c>
      <c r="L91" t="str">
        <f>"0,000"</f>
        <v>0,000</v>
      </c>
      <c r="M91" t="str">
        <f t="shared" si="53"/>
        <v xml:space="preserve"> </v>
      </c>
      <c r="N91" t="str">
        <f t="shared" si="75"/>
        <v>CADIC</v>
      </c>
      <c r="O91" t="str">
        <f t="shared" si="49"/>
        <v>BOBINAS</v>
      </c>
      <c r="P91" t="str">
        <f t="shared" si="72"/>
        <v>0</v>
      </c>
      <c r="Q91" t="str">
        <f t="shared" si="72"/>
        <v>0</v>
      </c>
      <c r="R91" t="str">
        <f t="shared" si="73"/>
        <v>0,00</v>
      </c>
      <c r="S91" t="str">
        <f t="shared" si="73"/>
        <v>0,00</v>
      </c>
      <c r="T91" t="str">
        <f t="shared" si="74"/>
        <v xml:space="preserve"> </v>
      </c>
      <c r="U91" t="str">
        <f t="shared" si="74"/>
        <v xml:space="preserve"> </v>
      </c>
      <c r="V91" t="str">
        <f>"0,000"</f>
        <v>0,000</v>
      </c>
      <c r="W91" t="str">
        <f t="shared" si="54"/>
        <v>Lista 4</v>
      </c>
      <c r="X91" t="str">
        <f t="shared" si="55"/>
        <v>Lista 5</v>
      </c>
      <c r="Y91" t="str">
        <f t="shared" si="56"/>
        <v>Oferta Gral.</v>
      </c>
      <c r="Z91" t="str">
        <f t="shared" si="57"/>
        <v>Rubro</v>
      </c>
      <c r="AA91" t="str">
        <f t="shared" si="58"/>
        <v>Cantidad por Bulto</v>
      </c>
      <c r="AB91" t="str">
        <f t="shared" si="59"/>
        <v>INNER</v>
      </c>
      <c r="AC91" t="str">
        <f t="shared" si="60"/>
        <v>Stock en Bultos</v>
      </c>
      <c r="AD91" t="str">
        <f t="shared" si="61"/>
        <v>SubDepósito</v>
      </c>
      <c r="AE91" t="str">
        <f t="shared" si="62"/>
        <v>Marca</v>
      </c>
      <c r="AF91" t="str">
        <f t="shared" si="63"/>
        <v>Super Rubro</v>
      </c>
      <c r="AG91" t="str">
        <f t="shared" si="64"/>
        <v>ComercioExterior</v>
      </c>
      <c r="AH91" t="str">
        <f t="shared" si="65"/>
        <v>PrecioFOB</v>
      </c>
      <c r="AI91" t="str">
        <f t="shared" si="66"/>
        <v>Monto II</v>
      </c>
      <c r="AJ91" t="str">
        <f t="shared" si="67"/>
        <v>Porcentaje II</v>
      </c>
      <c r="AK91" t="str">
        <f t="shared" si="68"/>
        <v>Foto</v>
      </c>
      <c r="AL91" t="str">
        <f>"{\rtf1\ansi\ansicpg1252\deff0\deflang11274{\fonttbl{\f0\fnil\fcharset0 MS Sans Serif}} \viewkind4\uc1\pard\f0\fs16 BOBINA ENC. CORSA MULTIPUNTO 95-98\par } "</f>
        <v xml:space="preserve">{\rtf1\ansi\ansicpg1252\deff0\deflang11274{\fonttbl{\f0\fnil\fcharset0 MS Sans Serif}} \viewkind4\uc1\pard\f0\fs16 BOBINA ENC. CORSA MULTIPUNTO 95-98\par } </v>
      </c>
      <c r="AM91" t="str">
        <f t="shared" si="76"/>
        <v>-</v>
      </c>
    </row>
    <row r="92" spans="1:39" x14ac:dyDescent="0.25">
      <c r="A92" t="str">
        <f>"KD8004B"</f>
        <v>KD8004B</v>
      </c>
      <c r="B92" t="str">
        <f>"BOBINA ENC. CORSA MULTIPUNTO INJECTION 3 PINES"</f>
        <v>BOBINA ENC. CORSA MULTIPUNTO INJECTION 3 PINES</v>
      </c>
      <c r="C92" t="str">
        <f>"$ 45856,73"</f>
        <v>$ 45856,73</v>
      </c>
      <c r="D92" t="str">
        <f>"$ 45856,73"</f>
        <v>$ 45856,73</v>
      </c>
      <c r="E92" t="str">
        <f>"$ 45856,73"</f>
        <v>$ 45856,73</v>
      </c>
      <c r="F92" t="str">
        <f>"$ 45856,73"</f>
        <v>$ 45856,73</v>
      </c>
      <c r="G92" t="str">
        <f>"$ 45856,73"</f>
        <v>$ 45856,73</v>
      </c>
      <c r="H92" t="str">
        <f t="shared" si="50"/>
        <v>$ 0,00</v>
      </c>
      <c r="I92" t="str">
        <f t="shared" si="48"/>
        <v>BOBINAS DE ENCENDIDO</v>
      </c>
      <c r="J92" t="str">
        <f t="shared" si="51"/>
        <v>1</v>
      </c>
      <c r="K92" t="str">
        <f t="shared" si="52"/>
        <v>0</v>
      </c>
      <c r="L92" t="str">
        <f>"21,000"</f>
        <v>21,000</v>
      </c>
      <c r="M92" t="str">
        <f t="shared" si="53"/>
        <v xml:space="preserve"> </v>
      </c>
      <c r="N92" t="str">
        <f t="shared" si="75"/>
        <v>CADIC</v>
      </c>
      <c r="O92" t="str">
        <f t="shared" si="49"/>
        <v>BOBINAS</v>
      </c>
      <c r="P92" t="str">
        <f t="shared" si="72"/>
        <v>0</v>
      </c>
      <c r="Q92" t="str">
        <f t="shared" si="72"/>
        <v>0</v>
      </c>
      <c r="R92" t="str">
        <f t="shared" si="73"/>
        <v>0,00</v>
      </c>
      <c r="S92" t="str">
        <f t="shared" si="73"/>
        <v>0,00</v>
      </c>
      <c r="T92" t="str">
        <f t="shared" si="74"/>
        <v xml:space="preserve"> </v>
      </c>
      <c r="U92" t="str">
        <f t="shared" si="74"/>
        <v xml:space="preserve"> </v>
      </c>
      <c r="V92" t="str">
        <f>"21,000"</f>
        <v>21,000</v>
      </c>
      <c r="W92" t="str">
        <f t="shared" si="54"/>
        <v>Lista 4</v>
      </c>
      <c r="X92" t="str">
        <f t="shared" si="55"/>
        <v>Lista 5</v>
      </c>
      <c r="Y92" t="str">
        <f t="shared" si="56"/>
        <v>Oferta Gral.</v>
      </c>
      <c r="Z92" t="str">
        <f t="shared" si="57"/>
        <v>Rubro</v>
      </c>
      <c r="AA92" t="str">
        <f t="shared" si="58"/>
        <v>Cantidad por Bulto</v>
      </c>
      <c r="AB92" t="str">
        <f t="shared" si="59"/>
        <v>INNER</v>
      </c>
      <c r="AC92" t="str">
        <f t="shared" si="60"/>
        <v>Stock en Bultos</v>
      </c>
      <c r="AD92" t="str">
        <f t="shared" si="61"/>
        <v>SubDepósito</v>
      </c>
      <c r="AE92" t="str">
        <f t="shared" si="62"/>
        <v>Marca</v>
      </c>
      <c r="AF92" t="str">
        <f t="shared" si="63"/>
        <v>Super Rubro</v>
      </c>
      <c r="AG92" t="str">
        <f t="shared" si="64"/>
        <v>ComercioExterior</v>
      </c>
      <c r="AH92" t="str">
        <f t="shared" si="65"/>
        <v>PrecioFOB</v>
      </c>
      <c r="AI92" t="str">
        <f t="shared" si="66"/>
        <v>Monto II</v>
      </c>
      <c r="AJ92" t="str">
        <f t="shared" si="67"/>
        <v>Porcentaje II</v>
      </c>
      <c r="AK92" t="str">
        <f t="shared" si="68"/>
        <v>Foto</v>
      </c>
      <c r="AL92" t="str">
        <f>"{\rtf1\ansi\ansicpg1252\deff0\deflang11274{\fonttbl{\f0\fnil\fcharset0 MS Sans Serif}} \viewkind4\uc1\pard\f0\fs16 BOBINA ENC. CORSA MULTIPUNTO INJECTION 3 PINES\par } "</f>
        <v xml:space="preserve">{\rtf1\ansi\ansicpg1252\deff0\deflang11274{\fonttbl{\f0\fnil\fcharset0 MS Sans Serif}} \viewkind4\uc1\pard\f0\fs16 BOBINA ENC. CORSA MULTIPUNTO INJECTION 3 PINES\par } </v>
      </c>
      <c r="AM92" t="str">
        <f t="shared" si="76"/>
        <v>-</v>
      </c>
    </row>
    <row r="93" spans="1:39" x14ac:dyDescent="0.25">
      <c r="A93" t="str">
        <f>"KD8004"</f>
        <v>KD8004</v>
      </c>
      <c r="B93" t="str">
        <f>"BOBINA ENC. CORSA MULTIPUNTO INJECTION 4 PINES 98/05"</f>
        <v>BOBINA ENC. CORSA MULTIPUNTO INJECTION 4 PINES 98/05</v>
      </c>
      <c r="C93" t="str">
        <f>"$ 84763,92"</f>
        <v>$ 84763,92</v>
      </c>
      <c r="D93" t="str">
        <f>"$ 84763,92"</f>
        <v>$ 84763,92</v>
      </c>
      <c r="E93" t="str">
        <f>"$ 84763,92"</f>
        <v>$ 84763,92</v>
      </c>
      <c r="F93" t="str">
        <f>"$ 84763,92"</f>
        <v>$ 84763,92</v>
      </c>
      <c r="G93" t="str">
        <f>"$ 84763,92"</f>
        <v>$ 84763,92</v>
      </c>
      <c r="H93" t="str">
        <f t="shared" si="50"/>
        <v>$ 0,00</v>
      </c>
      <c r="I93" t="str">
        <f t="shared" si="48"/>
        <v>BOBINAS DE ENCENDIDO</v>
      </c>
      <c r="J93" t="str">
        <f t="shared" si="51"/>
        <v>1</v>
      </c>
      <c r="K93" t="str">
        <f t="shared" si="52"/>
        <v>0</v>
      </c>
      <c r="L93" t="str">
        <f>"0,000"</f>
        <v>0,000</v>
      </c>
      <c r="M93" t="str">
        <f t="shared" si="53"/>
        <v xml:space="preserve"> </v>
      </c>
      <c r="N93" t="str">
        <f t="shared" si="75"/>
        <v>CADIC</v>
      </c>
      <c r="O93" t="str">
        <f t="shared" si="49"/>
        <v>BOBINAS</v>
      </c>
      <c r="P93" t="str">
        <f t="shared" si="72"/>
        <v>0</v>
      </c>
      <c r="Q93" t="str">
        <f t="shared" si="72"/>
        <v>0</v>
      </c>
      <c r="R93" t="str">
        <f t="shared" si="73"/>
        <v>0,00</v>
      </c>
      <c r="S93" t="str">
        <f t="shared" si="73"/>
        <v>0,00</v>
      </c>
      <c r="T93" t="str">
        <f t="shared" si="74"/>
        <v xml:space="preserve"> </v>
      </c>
      <c r="U93" t="str">
        <f t="shared" si="74"/>
        <v xml:space="preserve"> </v>
      </c>
      <c r="V93" t="str">
        <f>"0,000"</f>
        <v>0,000</v>
      </c>
      <c r="W93" t="str">
        <f t="shared" si="54"/>
        <v>Lista 4</v>
      </c>
      <c r="X93" t="str">
        <f t="shared" si="55"/>
        <v>Lista 5</v>
      </c>
      <c r="Y93" t="str">
        <f t="shared" si="56"/>
        <v>Oferta Gral.</v>
      </c>
      <c r="Z93" t="str">
        <f t="shared" si="57"/>
        <v>Rubro</v>
      </c>
      <c r="AA93" t="str">
        <f t="shared" si="58"/>
        <v>Cantidad por Bulto</v>
      </c>
      <c r="AB93" t="str">
        <f t="shared" si="59"/>
        <v>INNER</v>
      </c>
      <c r="AC93" t="str">
        <f t="shared" si="60"/>
        <v>Stock en Bultos</v>
      </c>
      <c r="AD93" t="str">
        <f t="shared" si="61"/>
        <v>SubDepósito</v>
      </c>
      <c r="AE93" t="str">
        <f t="shared" si="62"/>
        <v>Marca</v>
      </c>
      <c r="AF93" t="str">
        <f t="shared" si="63"/>
        <v>Super Rubro</v>
      </c>
      <c r="AG93" t="str">
        <f t="shared" si="64"/>
        <v>ComercioExterior</v>
      </c>
      <c r="AH93" t="str">
        <f t="shared" si="65"/>
        <v>PrecioFOB</v>
      </c>
      <c r="AI93" t="str">
        <f t="shared" si="66"/>
        <v>Monto II</v>
      </c>
      <c r="AJ93" t="str">
        <f t="shared" si="67"/>
        <v>Porcentaje II</v>
      </c>
      <c r="AK93" t="str">
        <f t="shared" si="68"/>
        <v>Foto</v>
      </c>
      <c r="AL93" t="str">
        <f>"{\rtf1\ansi\ansicpg1252\deff0\deflang11274{\fonttbl{\f0\fnil\fcharset0 MS Sans Serif}} \viewkind4\uc1\pard\f0\fs16 BOBINA ENC. CORSA MULTIPUNTO INJECTION 4 PINES 98/05\par } "</f>
        <v xml:space="preserve">{\rtf1\ansi\ansicpg1252\deff0\deflang11274{\fonttbl{\f0\fnil\fcharset0 MS Sans Serif}} \viewkind4\uc1\pard\f0\fs16 BOBINA ENC. CORSA MULTIPUNTO INJECTION 4 PINES 98/05\par } </v>
      </c>
      <c r="AM93" t="str">
        <f t="shared" si="76"/>
        <v>-</v>
      </c>
    </row>
    <row r="94" spans="1:39" x14ac:dyDescent="0.25">
      <c r="A94" t="str">
        <f>"KD8001"</f>
        <v>KD8001</v>
      </c>
      <c r="B94" t="str">
        <f>"BOBINA ENC. ESCORT ZETEC"</f>
        <v>BOBINA ENC. ESCORT ZETEC</v>
      </c>
      <c r="C94" t="str">
        <f t="shared" ref="C94:G95" si="77">"$ 42990,69"</f>
        <v>$ 42990,69</v>
      </c>
      <c r="D94" t="str">
        <f t="shared" si="77"/>
        <v>$ 42990,69</v>
      </c>
      <c r="E94" t="str">
        <f t="shared" si="77"/>
        <v>$ 42990,69</v>
      </c>
      <c r="F94" t="str">
        <f t="shared" si="77"/>
        <v>$ 42990,69</v>
      </c>
      <c r="G94" t="str">
        <f t="shared" si="77"/>
        <v>$ 42990,69</v>
      </c>
      <c r="H94" t="str">
        <f t="shared" si="50"/>
        <v>$ 0,00</v>
      </c>
      <c r="I94" t="str">
        <f t="shared" si="48"/>
        <v>BOBINAS DE ENCENDIDO</v>
      </c>
      <c r="J94" t="str">
        <f t="shared" si="51"/>
        <v>1</v>
      </c>
      <c r="K94" t="str">
        <f t="shared" si="52"/>
        <v>0</v>
      </c>
      <c r="L94" t="str">
        <f>"2,000"</f>
        <v>2,000</v>
      </c>
      <c r="M94" t="str">
        <f t="shared" si="53"/>
        <v xml:space="preserve"> </v>
      </c>
      <c r="N94" t="str">
        <f t="shared" si="75"/>
        <v>CADIC</v>
      </c>
      <c r="O94" t="str">
        <f t="shared" si="49"/>
        <v>BOBINAS</v>
      </c>
      <c r="P94" t="str">
        <f t="shared" si="72"/>
        <v>0</v>
      </c>
      <c r="Q94" t="str">
        <f t="shared" si="72"/>
        <v>0</v>
      </c>
      <c r="R94" t="str">
        <f t="shared" si="73"/>
        <v>0,00</v>
      </c>
      <c r="S94" t="str">
        <f t="shared" si="73"/>
        <v>0,00</v>
      </c>
      <c r="T94" t="str">
        <f t="shared" si="74"/>
        <v xml:space="preserve"> </v>
      </c>
      <c r="U94" t="str">
        <f t="shared" si="74"/>
        <v xml:space="preserve"> </v>
      </c>
      <c r="V94" t="str">
        <f>"2,000"</f>
        <v>2,000</v>
      </c>
      <c r="W94" t="str">
        <f t="shared" si="54"/>
        <v>Lista 4</v>
      </c>
      <c r="X94" t="str">
        <f t="shared" si="55"/>
        <v>Lista 5</v>
      </c>
      <c r="Y94" t="str">
        <f t="shared" si="56"/>
        <v>Oferta Gral.</v>
      </c>
      <c r="Z94" t="str">
        <f t="shared" si="57"/>
        <v>Rubro</v>
      </c>
      <c r="AA94" t="str">
        <f t="shared" si="58"/>
        <v>Cantidad por Bulto</v>
      </c>
      <c r="AB94" t="str">
        <f t="shared" si="59"/>
        <v>INNER</v>
      </c>
      <c r="AC94" t="str">
        <f t="shared" si="60"/>
        <v>Stock en Bultos</v>
      </c>
      <c r="AD94" t="str">
        <f t="shared" si="61"/>
        <v>SubDepósito</v>
      </c>
      <c r="AE94" t="str">
        <f t="shared" si="62"/>
        <v>Marca</v>
      </c>
      <c r="AF94" t="str">
        <f t="shared" si="63"/>
        <v>Super Rubro</v>
      </c>
      <c r="AG94" t="str">
        <f t="shared" si="64"/>
        <v>ComercioExterior</v>
      </c>
      <c r="AH94" t="str">
        <f t="shared" si="65"/>
        <v>PrecioFOB</v>
      </c>
      <c r="AI94" t="str">
        <f t="shared" si="66"/>
        <v>Monto II</v>
      </c>
      <c r="AJ94" t="str">
        <f t="shared" si="67"/>
        <v>Porcentaje II</v>
      </c>
      <c r="AK94" t="str">
        <f t="shared" si="68"/>
        <v>Foto</v>
      </c>
      <c r="AL94" t="str">
        <f>"{\rtf1\ansi\ansicpg1252\deff0\deflang11274{\fonttbl{\f0\fnil\fcharset0 MS Sans Serif}} \viewkind4\uc1\pard\f0\fs16 BOBINA ENC. ESCORT ZETEC\par } "</f>
        <v xml:space="preserve">{\rtf1\ansi\ansicpg1252\deff0\deflang11274{\fonttbl{\f0\fnil\fcharset0 MS Sans Serif}} \viewkind4\uc1\pard\f0\fs16 BOBINA ENC. ESCORT ZETEC\par } </v>
      </c>
      <c r="AM94" t="str">
        <f t="shared" si="76"/>
        <v>-</v>
      </c>
    </row>
    <row r="95" spans="1:39" x14ac:dyDescent="0.25">
      <c r="A95" t="str">
        <f>"KD8007H"</f>
        <v>KD8007H</v>
      </c>
      <c r="B95" t="str">
        <f>"BOBINA ENC. ESCORT, FIESTA, FOCUS, ECOSPORT ‘00"</f>
        <v>BOBINA ENC. ESCORT, FIESTA, FOCUS, ECOSPORT ‘00</v>
      </c>
      <c r="C95" t="str">
        <f t="shared" si="77"/>
        <v>$ 42990,69</v>
      </c>
      <c r="D95" t="str">
        <f t="shared" si="77"/>
        <v>$ 42990,69</v>
      </c>
      <c r="E95" t="str">
        <f t="shared" si="77"/>
        <v>$ 42990,69</v>
      </c>
      <c r="F95" t="str">
        <f t="shared" si="77"/>
        <v>$ 42990,69</v>
      </c>
      <c r="G95" t="str">
        <f t="shared" si="77"/>
        <v>$ 42990,69</v>
      </c>
      <c r="H95" t="str">
        <f t="shared" si="50"/>
        <v>$ 0,00</v>
      </c>
      <c r="I95" t="str">
        <f t="shared" si="48"/>
        <v>BOBINAS DE ENCENDIDO</v>
      </c>
      <c r="J95" t="str">
        <f t="shared" si="51"/>
        <v>1</v>
      </c>
      <c r="K95" t="str">
        <f t="shared" si="52"/>
        <v>0</v>
      </c>
      <c r="L95" t="str">
        <f>"5,000"</f>
        <v>5,000</v>
      </c>
      <c r="M95" t="str">
        <f t="shared" si="53"/>
        <v xml:space="preserve"> </v>
      </c>
      <c r="N95" t="str">
        <f t="shared" si="75"/>
        <v>CADIC</v>
      </c>
      <c r="O95" t="str">
        <f t="shared" si="49"/>
        <v>BOBINAS</v>
      </c>
      <c r="P95" t="str">
        <f t="shared" si="72"/>
        <v>0</v>
      </c>
      <c r="Q95" t="str">
        <f t="shared" si="72"/>
        <v>0</v>
      </c>
      <c r="R95" t="str">
        <f t="shared" si="73"/>
        <v>0,00</v>
      </c>
      <c r="S95" t="str">
        <f t="shared" si="73"/>
        <v>0,00</v>
      </c>
      <c r="T95" t="str">
        <f t="shared" si="74"/>
        <v xml:space="preserve"> </v>
      </c>
      <c r="U95" t="str">
        <f t="shared" si="74"/>
        <v xml:space="preserve"> </v>
      </c>
      <c r="V95" t="str">
        <f>"5,000"</f>
        <v>5,000</v>
      </c>
      <c r="W95" t="str">
        <f t="shared" si="54"/>
        <v>Lista 4</v>
      </c>
      <c r="X95" t="str">
        <f t="shared" si="55"/>
        <v>Lista 5</v>
      </c>
      <c r="Y95" t="str">
        <f t="shared" si="56"/>
        <v>Oferta Gral.</v>
      </c>
      <c r="Z95" t="str">
        <f t="shared" si="57"/>
        <v>Rubro</v>
      </c>
      <c r="AA95" t="str">
        <f t="shared" si="58"/>
        <v>Cantidad por Bulto</v>
      </c>
      <c r="AB95" t="str">
        <f t="shared" si="59"/>
        <v>INNER</v>
      </c>
      <c r="AC95" t="str">
        <f t="shared" si="60"/>
        <v>Stock en Bultos</v>
      </c>
      <c r="AD95" t="str">
        <f t="shared" si="61"/>
        <v>SubDepósito</v>
      </c>
      <c r="AE95" t="str">
        <f t="shared" si="62"/>
        <v>Marca</v>
      </c>
      <c r="AF95" t="str">
        <f t="shared" si="63"/>
        <v>Super Rubro</v>
      </c>
      <c r="AG95" t="str">
        <f t="shared" si="64"/>
        <v>ComercioExterior</v>
      </c>
      <c r="AH95" t="str">
        <f t="shared" si="65"/>
        <v>PrecioFOB</v>
      </c>
      <c r="AI95" t="str">
        <f t="shared" si="66"/>
        <v>Monto II</v>
      </c>
      <c r="AJ95" t="str">
        <f t="shared" si="67"/>
        <v>Porcentaje II</v>
      </c>
      <c r="AK95" t="str">
        <f t="shared" si="68"/>
        <v>Foto</v>
      </c>
      <c r="AL95" t="str">
        <f>"{\rtf1\ansi\ansicpg1252\deff0\deflang11274{\fonttbl{\f0\fnil\fcharset0 MS Sans Serif}} \viewkind4\uc1\pard\f0\fs16 BOBINA ENC. ESCORT, FIESTA, FOCUS, ECOSPORT \lquote 00\par } "</f>
        <v xml:space="preserve">{\rtf1\ansi\ansicpg1252\deff0\deflang11274{\fonttbl{\f0\fnil\fcharset0 MS Sans Serif}} \viewkind4\uc1\pard\f0\fs16 BOBINA ENC. ESCORT, FIESTA, FOCUS, ECOSPORT \lquote 00\par } </v>
      </c>
      <c r="AM95" t="str">
        <f t="shared" si="76"/>
        <v>-</v>
      </c>
    </row>
    <row r="96" spans="1:39" x14ac:dyDescent="0.25">
      <c r="A96" t="str">
        <f>"KD2910"</f>
        <v>KD2910</v>
      </c>
      <c r="B96" t="str">
        <f>"BOBINA ENC. ESCORT/POINTER INJECTION ‘95?’98"</f>
        <v>BOBINA ENC. ESCORT/POINTER INJECTION ‘95?’98</v>
      </c>
      <c r="C96" t="str">
        <f>"$ 30536,07"</f>
        <v>$ 30536,07</v>
      </c>
      <c r="D96" t="str">
        <f>"$ 30536,07"</f>
        <v>$ 30536,07</v>
      </c>
      <c r="E96" t="str">
        <f>"$ 30536,07"</f>
        <v>$ 30536,07</v>
      </c>
      <c r="F96" t="str">
        <f>"$ 30536,07"</f>
        <v>$ 30536,07</v>
      </c>
      <c r="G96" t="str">
        <f>"$ 30536,07"</f>
        <v>$ 30536,07</v>
      </c>
      <c r="H96" t="str">
        <f t="shared" si="50"/>
        <v>$ 0,00</v>
      </c>
      <c r="I96" t="str">
        <f t="shared" ref="I96:I127" si="78">"BOBINAS DE ENCENDIDO"</f>
        <v>BOBINAS DE ENCENDIDO</v>
      </c>
      <c r="J96" t="str">
        <f t="shared" si="51"/>
        <v>1</v>
      </c>
      <c r="K96" t="str">
        <f t="shared" si="52"/>
        <v>0</v>
      </c>
      <c r="L96" t="str">
        <f>"4,000"</f>
        <v>4,000</v>
      </c>
      <c r="M96" t="str">
        <f t="shared" si="53"/>
        <v xml:space="preserve"> </v>
      </c>
      <c r="N96" t="str">
        <f t="shared" si="75"/>
        <v>CADIC</v>
      </c>
      <c r="O96" t="str">
        <f t="shared" ref="O96:O127" si="79">"BOBINAS"</f>
        <v>BOBINAS</v>
      </c>
      <c r="P96" t="str">
        <f t="shared" si="72"/>
        <v>0</v>
      </c>
      <c r="Q96" t="str">
        <f t="shared" si="72"/>
        <v>0</v>
      </c>
      <c r="R96" t="str">
        <f t="shared" si="73"/>
        <v>0,00</v>
      </c>
      <c r="S96" t="str">
        <f t="shared" si="73"/>
        <v>0,00</v>
      </c>
      <c r="T96" t="str">
        <f t="shared" si="74"/>
        <v xml:space="preserve"> </v>
      </c>
      <c r="U96" t="str">
        <f t="shared" si="74"/>
        <v xml:space="preserve"> </v>
      </c>
      <c r="V96" t="str">
        <f>"4,000"</f>
        <v>4,000</v>
      </c>
      <c r="W96" t="str">
        <f t="shared" si="54"/>
        <v>Lista 4</v>
      </c>
      <c r="X96" t="str">
        <f t="shared" si="55"/>
        <v>Lista 5</v>
      </c>
      <c r="Y96" t="str">
        <f t="shared" si="56"/>
        <v>Oferta Gral.</v>
      </c>
      <c r="Z96" t="str">
        <f t="shared" si="57"/>
        <v>Rubro</v>
      </c>
      <c r="AA96" t="str">
        <f t="shared" si="58"/>
        <v>Cantidad por Bulto</v>
      </c>
      <c r="AB96" t="str">
        <f t="shared" si="59"/>
        <v>INNER</v>
      </c>
      <c r="AC96" t="str">
        <f t="shared" si="60"/>
        <v>Stock en Bultos</v>
      </c>
      <c r="AD96" t="str">
        <f t="shared" si="61"/>
        <v>SubDepósito</v>
      </c>
      <c r="AE96" t="str">
        <f t="shared" si="62"/>
        <v>Marca</v>
      </c>
      <c r="AF96" t="str">
        <f t="shared" si="63"/>
        <v>Super Rubro</v>
      </c>
      <c r="AG96" t="str">
        <f t="shared" si="64"/>
        <v>ComercioExterior</v>
      </c>
      <c r="AH96" t="str">
        <f t="shared" si="65"/>
        <v>PrecioFOB</v>
      </c>
      <c r="AI96" t="str">
        <f t="shared" si="66"/>
        <v>Monto II</v>
      </c>
      <c r="AJ96" t="str">
        <f t="shared" si="67"/>
        <v>Porcentaje II</v>
      </c>
      <c r="AK96" t="str">
        <f t="shared" si="68"/>
        <v>Foto</v>
      </c>
      <c r="AL96" t="str">
        <f>"{\rtf1\ansi\ansicpg1252\deff0\deflang11274{\fonttbl{\f0\fnil\fcharset0 MS Sans Serif}} \viewkind4\uc1\pard\f0\fs16 BOBINA ENC. ESCORT/POINTER INJECTION \lquote 95?\rquote 98\par } "</f>
        <v xml:space="preserve">{\rtf1\ansi\ansicpg1252\deff0\deflang11274{\fonttbl{\f0\fnil\fcharset0 MS Sans Serif}} \viewkind4\uc1\pard\f0\fs16 BOBINA ENC. ESCORT/POINTER INJECTION \lquote 95?\rquote 98\par } </v>
      </c>
      <c r="AM96" t="str">
        <f t="shared" si="76"/>
        <v>-</v>
      </c>
    </row>
    <row r="97" spans="1:39" x14ac:dyDescent="0.25">
      <c r="A97" t="str">
        <f>"RGU11354"</f>
        <v>RGU11354</v>
      </c>
      <c r="B97" t="str">
        <f>"BOBINA ENC. FIAT BRAVA, BRAVO, MAREA, PALIO, SIENA ( MOTOR TORQUE 1.6I - 16V)"</f>
        <v>BOBINA ENC. FIAT BRAVA, BRAVO, MAREA, PALIO, SIENA ( MOTOR TORQUE 1.6I - 16V)</v>
      </c>
      <c r="C97" t="str">
        <f>"$ 82278,19"</f>
        <v>$ 82278,19</v>
      </c>
      <c r="D97" t="str">
        <f>"$ 82278,19"</f>
        <v>$ 82278,19</v>
      </c>
      <c r="E97" t="str">
        <f>"$ 82278,19"</f>
        <v>$ 82278,19</v>
      </c>
      <c r="F97" t="str">
        <f>"$ 82278,19"</f>
        <v>$ 82278,19</v>
      </c>
      <c r="G97" t="str">
        <f>"$ 82278,19"</f>
        <v>$ 82278,19</v>
      </c>
      <c r="H97" t="str">
        <f t="shared" si="50"/>
        <v>$ 0,00</v>
      </c>
      <c r="I97" t="str">
        <f t="shared" si="78"/>
        <v>BOBINAS DE ENCENDIDO</v>
      </c>
      <c r="J97" t="str">
        <f t="shared" si="51"/>
        <v>1</v>
      </c>
      <c r="K97" t="str">
        <f t="shared" si="52"/>
        <v>0</v>
      </c>
      <c r="L97" t="str">
        <f>"0,000"</f>
        <v>0,000</v>
      </c>
      <c r="M97" t="str">
        <f t="shared" si="53"/>
        <v xml:space="preserve"> </v>
      </c>
      <c r="N97" t="str">
        <f>"REGITAR"</f>
        <v>REGITAR</v>
      </c>
      <c r="O97" t="str">
        <f t="shared" si="79"/>
        <v>BOBINAS</v>
      </c>
      <c r="P97" t="str">
        <f t="shared" si="72"/>
        <v>0</v>
      </c>
      <c r="Q97" t="str">
        <f t="shared" si="72"/>
        <v>0</v>
      </c>
      <c r="R97" t="str">
        <f t="shared" si="73"/>
        <v>0,00</v>
      </c>
      <c r="S97" t="str">
        <f t="shared" si="73"/>
        <v>0,00</v>
      </c>
      <c r="T97" t="str">
        <f t="shared" si="74"/>
        <v xml:space="preserve"> </v>
      </c>
      <c r="U97" t="str">
        <f t="shared" si="74"/>
        <v xml:space="preserve"> </v>
      </c>
      <c r="V97" t="str">
        <f>"0,000"</f>
        <v>0,000</v>
      </c>
      <c r="W97" t="str">
        <f t="shared" si="54"/>
        <v>Lista 4</v>
      </c>
      <c r="X97" t="str">
        <f t="shared" si="55"/>
        <v>Lista 5</v>
      </c>
      <c r="Y97" t="str">
        <f t="shared" si="56"/>
        <v>Oferta Gral.</v>
      </c>
      <c r="Z97" t="str">
        <f t="shared" si="57"/>
        <v>Rubro</v>
      </c>
      <c r="AA97" t="str">
        <f t="shared" si="58"/>
        <v>Cantidad por Bulto</v>
      </c>
      <c r="AB97" t="str">
        <f t="shared" si="59"/>
        <v>INNER</v>
      </c>
      <c r="AC97" t="str">
        <f t="shared" si="60"/>
        <v>Stock en Bultos</v>
      </c>
      <c r="AD97" t="str">
        <f t="shared" si="61"/>
        <v>SubDepósito</v>
      </c>
      <c r="AE97" t="str">
        <f t="shared" si="62"/>
        <v>Marca</v>
      </c>
      <c r="AF97" t="str">
        <f t="shared" si="63"/>
        <v>Super Rubro</v>
      </c>
      <c r="AG97" t="str">
        <f t="shared" si="64"/>
        <v>ComercioExterior</v>
      </c>
      <c r="AH97" t="str">
        <f t="shared" si="65"/>
        <v>PrecioFOB</v>
      </c>
      <c r="AI97" t="str">
        <f t="shared" si="66"/>
        <v>Monto II</v>
      </c>
      <c r="AJ97" t="str">
        <f t="shared" si="67"/>
        <v>Porcentaje II</v>
      </c>
      <c r="AK97" t="str">
        <f t="shared" si="68"/>
        <v>Foto</v>
      </c>
      <c r="AL97" t="str">
        <f>"{\rtf1\ansi\ansicpg1252\deff0\deflang11274{\fonttbl{\f0\fnil\fcharset0 MS Sans Serif}} \viewkind4\uc1\pard\f0\fs16 BOBINA ENC. FIAT BRAVA, BRAVO, MAREA, PALIO, SIENA ( MOTOR TORQUE 1.6I - 16V)\par } "</f>
        <v xml:space="preserve">{\rtf1\ansi\ansicpg1252\deff0\deflang11274{\fonttbl{\f0\fnil\fcharset0 MS Sans Serif}} \viewkind4\uc1\pard\f0\fs16 BOBINA ENC. FIAT BRAVA, BRAVO, MAREA, PALIO, SIENA ( MOTOR TORQUE 1.6I - 16V)\par } </v>
      </c>
      <c r="AM97" t="str">
        <f t="shared" si="76"/>
        <v>-</v>
      </c>
    </row>
    <row r="98" spans="1:39" x14ac:dyDescent="0.25">
      <c r="A98" t="str">
        <f>"RGU11426"</f>
        <v>RGU11426</v>
      </c>
      <c r="B98" t="str">
        <f>"BOBINA ENC. FIAT PALIO 1.0I / 1.3I 16V / SIENA 1.3I 16V (MOTOR FIRE)"</f>
        <v>BOBINA ENC. FIAT PALIO 1.0I / 1.3I 16V / SIENA 1.3I 16V (MOTOR FIRE)</v>
      </c>
      <c r="C98" t="str">
        <f>"$ 50688,76"</f>
        <v>$ 50688,76</v>
      </c>
      <c r="D98" t="str">
        <f>"$ 50688,76"</f>
        <v>$ 50688,76</v>
      </c>
      <c r="E98" t="str">
        <f>"$ 50688,76"</f>
        <v>$ 50688,76</v>
      </c>
      <c r="F98" t="str">
        <f>"$ 50688,76"</f>
        <v>$ 50688,76</v>
      </c>
      <c r="G98" t="str">
        <f>"$ 50688,76"</f>
        <v>$ 50688,76</v>
      </c>
      <c r="H98" t="str">
        <f t="shared" si="50"/>
        <v>$ 0,00</v>
      </c>
      <c r="I98" t="str">
        <f t="shared" si="78"/>
        <v>BOBINAS DE ENCENDIDO</v>
      </c>
      <c r="J98" t="str">
        <f t="shared" si="51"/>
        <v>1</v>
      </c>
      <c r="K98" t="str">
        <f t="shared" si="52"/>
        <v>0</v>
      </c>
      <c r="L98" t="str">
        <f>"0,000"</f>
        <v>0,000</v>
      </c>
      <c r="M98" t="str">
        <f t="shared" si="53"/>
        <v xml:space="preserve"> </v>
      </c>
      <c r="N98" t="str">
        <f>"REGITAR"</f>
        <v>REGITAR</v>
      </c>
      <c r="O98" t="str">
        <f t="shared" si="79"/>
        <v>BOBINAS</v>
      </c>
      <c r="P98" t="str">
        <f t="shared" si="72"/>
        <v>0</v>
      </c>
      <c r="Q98" t="str">
        <f t="shared" si="72"/>
        <v>0</v>
      </c>
      <c r="R98" t="str">
        <f t="shared" si="73"/>
        <v>0,00</v>
      </c>
      <c r="S98" t="str">
        <f t="shared" si="73"/>
        <v>0,00</v>
      </c>
      <c r="T98" t="str">
        <f t="shared" si="74"/>
        <v xml:space="preserve"> </v>
      </c>
      <c r="U98" t="str">
        <f t="shared" si="74"/>
        <v xml:space="preserve"> </v>
      </c>
      <c r="V98" t="str">
        <f>"0,000"</f>
        <v>0,000</v>
      </c>
      <c r="W98" t="str">
        <f t="shared" si="54"/>
        <v>Lista 4</v>
      </c>
      <c r="X98" t="str">
        <f t="shared" si="55"/>
        <v>Lista 5</v>
      </c>
      <c r="Y98" t="str">
        <f t="shared" si="56"/>
        <v>Oferta Gral.</v>
      </c>
      <c r="Z98" t="str">
        <f t="shared" si="57"/>
        <v>Rubro</v>
      </c>
      <c r="AA98" t="str">
        <f t="shared" si="58"/>
        <v>Cantidad por Bulto</v>
      </c>
      <c r="AB98" t="str">
        <f t="shared" si="59"/>
        <v>INNER</v>
      </c>
      <c r="AC98" t="str">
        <f t="shared" si="60"/>
        <v>Stock en Bultos</v>
      </c>
      <c r="AD98" t="str">
        <f t="shared" si="61"/>
        <v>SubDepósito</v>
      </c>
      <c r="AE98" t="str">
        <f t="shared" si="62"/>
        <v>Marca</v>
      </c>
      <c r="AF98" t="str">
        <f t="shared" si="63"/>
        <v>Super Rubro</v>
      </c>
      <c r="AG98" t="str">
        <f t="shared" si="64"/>
        <v>ComercioExterior</v>
      </c>
      <c r="AH98" t="str">
        <f t="shared" si="65"/>
        <v>PrecioFOB</v>
      </c>
      <c r="AI98" t="str">
        <f t="shared" si="66"/>
        <v>Monto II</v>
      </c>
      <c r="AJ98" t="str">
        <f t="shared" si="67"/>
        <v>Porcentaje II</v>
      </c>
      <c r="AK98" t="str">
        <f t="shared" si="68"/>
        <v>Foto</v>
      </c>
      <c r="AL98" t="str">
        <f>"{\rtf1\ansi\ansicpg1252\deff0\deflang11274{\fonttbl{\f0\fnil\fcharset0 MS Sans Serif}} \viewkind4\uc1\pard\f0\fs16 BOBINA ENC. FIAT PALIO 1.0I / 1.3I 16V / SIENA 1.3I 16V (MOTOR FIRE)\par } "</f>
        <v xml:space="preserve">{\rtf1\ansi\ansicpg1252\deff0\deflang11274{\fonttbl{\f0\fnil\fcharset0 MS Sans Serif}} \viewkind4\uc1\pard\f0\fs16 BOBINA ENC. FIAT PALIO 1.0I / 1.3I 16V / SIENA 1.3I 16V (MOTOR FIRE)\par } </v>
      </c>
      <c r="AM98" t="str">
        <f t="shared" si="76"/>
        <v>-</v>
      </c>
    </row>
    <row r="99" spans="1:39" x14ac:dyDescent="0.25">
      <c r="A99" t="str">
        <f>"RGU11359"</f>
        <v>RGU11359</v>
      </c>
      <c r="B99" t="str">
        <f>"BOBINA ENC. FIAT PALIO, PANDA, PUNTO, SIENA, TIPO, UNO ( 1.6 - 16V)"</f>
        <v>BOBINA ENC. FIAT PALIO, PANDA, PUNTO, SIENA, TIPO, UNO ( 1.6 - 16V)</v>
      </c>
      <c r="C99" t="str">
        <f>"$ 28242,55"</f>
        <v>$ 28242,55</v>
      </c>
      <c r="D99" t="str">
        <f>"$ 28242,55"</f>
        <v>$ 28242,55</v>
      </c>
      <c r="E99" t="str">
        <f>"$ 28242,55"</f>
        <v>$ 28242,55</v>
      </c>
      <c r="F99" t="str">
        <f>"$ 28242,55"</f>
        <v>$ 28242,55</v>
      </c>
      <c r="G99" t="str">
        <f>"$ 28242,55"</f>
        <v>$ 28242,55</v>
      </c>
      <c r="H99" t="str">
        <f t="shared" si="50"/>
        <v>$ 0,00</v>
      </c>
      <c r="I99" t="str">
        <f t="shared" si="78"/>
        <v>BOBINAS DE ENCENDIDO</v>
      </c>
      <c r="J99" t="str">
        <f t="shared" si="51"/>
        <v>1</v>
      </c>
      <c r="K99" t="str">
        <f t="shared" ref="K99:K130" si="80">"0"</f>
        <v>0</v>
      </c>
      <c r="L99" t="str">
        <f>"1,000"</f>
        <v>1,000</v>
      </c>
      <c r="M99" t="str">
        <f t="shared" si="53"/>
        <v xml:space="preserve"> </v>
      </c>
      <c r="N99" t="str">
        <f>"REGITAR"</f>
        <v>REGITAR</v>
      </c>
      <c r="O99" t="str">
        <f t="shared" si="79"/>
        <v>BOBINAS</v>
      </c>
      <c r="P99" t="str">
        <f t="shared" si="72"/>
        <v>0</v>
      </c>
      <c r="Q99" t="str">
        <f t="shared" si="72"/>
        <v>0</v>
      </c>
      <c r="R99" t="str">
        <f t="shared" si="73"/>
        <v>0,00</v>
      </c>
      <c r="S99" t="str">
        <f t="shared" si="73"/>
        <v>0,00</v>
      </c>
      <c r="T99" t="str">
        <f t="shared" si="74"/>
        <v xml:space="preserve"> </v>
      </c>
      <c r="U99" t="str">
        <f t="shared" si="74"/>
        <v xml:space="preserve"> </v>
      </c>
      <c r="V99" t="str">
        <f>"1,000"</f>
        <v>1,000</v>
      </c>
      <c r="W99" t="str">
        <f t="shared" si="54"/>
        <v>Lista 4</v>
      </c>
      <c r="X99" t="str">
        <f t="shared" si="55"/>
        <v>Lista 5</v>
      </c>
      <c r="Y99" t="str">
        <f t="shared" si="56"/>
        <v>Oferta Gral.</v>
      </c>
      <c r="Z99" t="str">
        <f t="shared" si="57"/>
        <v>Rubro</v>
      </c>
      <c r="AA99" t="str">
        <f t="shared" si="58"/>
        <v>Cantidad por Bulto</v>
      </c>
      <c r="AB99" t="str">
        <f t="shared" si="59"/>
        <v>INNER</v>
      </c>
      <c r="AC99" t="str">
        <f t="shared" si="60"/>
        <v>Stock en Bultos</v>
      </c>
      <c r="AD99" t="str">
        <f t="shared" si="61"/>
        <v>SubDepósito</v>
      </c>
      <c r="AE99" t="str">
        <f t="shared" si="62"/>
        <v>Marca</v>
      </c>
      <c r="AF99" t="str">
        <f t="shared" si="63"/>
        <v>Super Rubro</v>
      </c>
      <c r="AG99" t="str">
        <f t="shared" si="64"/>
        <v>ComercioExterior</v>
      </c>
      <c r="AH99" t="str">
        <f t="shared" si="65"/>
        <v>PrecioFOB</v>
      </c>
      <c r="AI99" t="str">
        <f t="shared" si="66"/>
        <v>Monto II</v>
      </c>
      <c r="AJ99" t="str">
        <f t="shared" si="67"/>
        <v>Porcentaje II</v>
      </c>
      <c r="AK99" t="str">
        <f t="shared" si="68"/>
        <v>Foto</v>
      </c>
      <c r="AL99" t="str">
        <f>"{\rtf1\ansi\ansicpg1252\deff0\deflang11274{\fonttbl{\f0\fnil\fcharset0 MS Sans Serif}} \viewkind4\uc1\pard\f0\fs16 BOBINA ENC. FIAT PALIO, PANDA, PUNTO, SIENA, TIPO, UNO ( 1.6 - 16V)\par } "</f>
        <v xml:space="preserve">{\rtf1\ansi\ansicpg1252\deff0\deflang11274{\fonttbl{\f0\fnil\fcharset0 MS Sans Serif}} \viewkind4\uc1\pard\f0\fs16 BOBINA ENC. FIAT PALIO, PANDA, PUNTO, SIENA, TIPO, UNO ( 1.6 - 16V)\par } </v>
      </c>
      <c r="AM99" t="str">
        <f t="shared" si="76"/>
        <v>-</v>
      </c>
    </row>
    <row r="100" spans="1:39" x14ac:dyDescent="0.25">
      <c r="A100" t="str">
        <f>"KD8048"</f>
        <v>KD8048</v>
      </c>
      <c r="B100" t="str">
        <f>"BOBINA ENC. FIESTA MAX"</f>
        <v>BOBINA ENC. FIESTA MAX</v>
      </c>
      <c r="C100" t="str">
        <f>"$ 42990,69"</f>
        <v>$ 42990,69</v>
      </c>
      <c r="D100" t="str">
        <f>"$ 42990,69"</f>
        <v>$ 42990,69</v>
      </c>
      <c r="E100" t="str">
        <f>"$ 42990,69"</f>
        <v>$ 42990,69</v>
      </c>
      <c r="F100" t="str">
        <f>"$ 42990,69"</f>
        <v>$ 42990,69</v>
      </c>
      <c r="G100" t="str">
        <f>"$ 42990,69"</f>
        <v>$ 42990,69</v>
      </c>
      <c r="H100" t="str">
        <f t="shared" si="50"/>
        <v>$ 0,00</v>
      </c>
      <c r="I100" t="str">
        <f t="shared" si="78"/>
        <v>BOBINAS DE ENCENDIDO</v>
      </c>
      <c r="J100" t="str">
        <f t="shared" si="51"/>
        <v>1</v>
      </c>
      <c r="K100" t="str">
        <f t="shared" si="80"/>
        <v>0</v>
      </c>
      <c r="L100" t="str">
        <f>"1,000"</f>
        <v>1,000</v>
      </c>
      <c r="M100" t="str">
        <f t="shared" si="53"/>
        <v xml:space="preserve"> </v>
      </c>
      <c r="N100" t="str">
        <f>"CADIC"</f>
        <v>CADIC</v>
      </c>
      <c r="O100" t="str">
        <f t="shared" si="79"/>
        <v>BOBINAS</v>
      </c>
      <c r="P100" t="str">
        <f t="shared" si="72"/>
        <v>0</v>
      </c>
      <c r="Q100" t="str">
        <f t="shared" si="72"/>
        <v>0</v>
      </c>
      <c r="R100" t="str">
        <f t="shared" si="73"/>
        <v>0,00</v>
      </c>
      <c r="S100" t="str">
        <f t="shared" si="73"/>
        <v>0,00</v>
      </c>
      <c r="T100" t="str">
        <f t="shared" si="74"/>
        <v xml:space="preserve"> </v>
      </c>
      <c r="U100" t="str">
        <f t="shared" si="74"/>
        <v xml:space="preserve"> </v>
      </c>
      <c r="V100" t="str">
        <f>"1,000"</f>
        <v>1,000</v>
      </c>
      <c r="W100" t="str">
        <f t="shared" si="54"/>
        <v>Lista 4</v>
      </c>
      <c r="X100" t="str">
        <f t="shared" si="55"/>
        <v>Lista 5</v>
      </c>
      <c r="Y100" t="str">
        <f t="shared" si="56"/>
        <v>Oferta Gral.</v>
      </c>
      <c r="Z100" t="str">
        <f t="shared" si="57"/>
        <v>Rubro</v>
      </c>
      <c r="AA100" t="str">
        <f t="shared" si="58"/>
        <v>Cantidad por Bulto</v>
      </c>
      <c r="AB100" t="str">
        <f t="shared" si="59"/>
        <v>INNER</v>
      </c>
      <c r="AC100" t="str">
        <f t="shared" si="60"/>
        <v>Stock en Bultos</v>
      </c>
      <c r="AD100" t="str">
        <f t="shared" si="61"/>
        <v>SubDepósito</v>
      </c>
      <c r="AE100" t="str">
        <f t="shared" si="62"/>
        <v>Marca</v>
      </c>
      <c r="AF100" t="str">
        <f t="shared" si="63"/>
        <v>Super Rubro</v>
      </c>
      <c r="AG100" t="str">
        <f t="shared" si="64"/>
        <v>ComercioExterior</v>
      </c>
      <c r="AH100" t="str">
        <f t="shared" si="65"/>
        <v>PrecioFOB</v>
      </c>
      <c r="AI100" t="str">
        <f t="shared" si="66"/>
        <v>Monto II</v>
      </c>
      <c r="AJ100" t="str">
        <f t="shared" si="67"/>
        <v>Porcentaje II</v>
      </c>
      <c r="AK100" t="str">
        <f t="shared" si="68"/>
        <v>Foto</v>
      </c>
      <c r="AL100" t="str">
        <f>"{\rtf1\ansi\ansicpg1252\deff0\deflang11274{\fonttbl{\f0\fnil\fcharset0 MS Sans Serif}} \viewkind4\uc1\pard\f0\fs16 BOBINA ENC. FIESTA MAX\par } "</f>
        <v xml:space="preserve">{\rtf1\ansi\ansicpg1252\deff0\deflang11274{\fonttbl{\f0\fnil\fcharset0 MS Sans Serif}} \viewkind4\uc1\pard\f0\fs16 BOBINA ENC. FIESTA MAX\par } </v>
      </c>
      <c r="AM100" t="str">
        <f t="shared" si="76"/>
        <v>-</v>
      </c>
    </row>
    <row r="101" spans="1:39" x14ac:dyDescent="0.25">
      <c r="A101" t="str">
        <f>"RGU11399"</f>
        <v>RGU11399</v>
      </c>
      <c r="B101" t="str">
        <f>"BOBINA ENC. FORD ESCORT, VW POINTER, GOL, VERONA (AUTOLATINA),"</f>
        <v>BOBINA ENC. FORD ESCORT, VW POINTER, GOL, VERONA (AUTOLATINA),</v>
      </c>
      <c r="C101" t="str">
        <f>"$ 47996,48"</f>
        <v>$ 47996,48</v>
      </c>
      <c r="D101" t="str">
        <f>"$ 47996,48"</f>
        <v>$ 47996,48</v>
      </c>
      <c r="E101" t="str">
        <f>"$ 47996,48"</f>
        <v>$ 47996,48</v>
      </c>
      <c r="F101" t="str">
        <f>"$ 47996,48"</f>
        <v>$ 47996,48</v>
      </c>
      <c r="G101" t="str">
        <f>"$ 47996,48"</f>
        <v>$ 47996,48</v>
      </c>
      <c r="H101" t="str">
        <f t="shared" si="50"/>
        <v>$ 0,00</v>
      </c>
      <c r="I101" t="str">
        <f t="shared" si="78"/>
        <v>BOBINAS DE ENCENDIDO</v>
      </c>
      <c r="J101" t="str">
        <f t="shared" si="51"/>
        <v>1</v>
      </c>
      <c r="K101" t="str">
        <f t="shared" si="80"/>
        <v>0</v>
      </c>
      <c r="L101" t="str">
        <f>"3,000"</f>
        <v>3,000</v>
      </c>
      <c r="M101" t="str">
        <f t="shared" si="53"/>
        <v xml:space="preserve"> </v>
      </c>
      <c r="N101" t="str">
        <f>"REGITAR"</f>
        <v>REGITAR</v>
      </c>
      <c r="O101" t="str">
        <f t="shared" si="79"/>
        <v>BOBINAS</v>
      </c>
      <c r="P101" t="str">
        <f t="shared" si="72"/>
        <v>0</v>
      </c>
      <c r="Q101" t="str">
        <f t="shared" si="72"/>
        <v>0</v>
      </c>
      <c r="R101" t="str">
        <f t="shared" si="73"/>
        <v>0,00</v>
      </c>
      <c r="S101" t="str">
        <f t="shared" si="73"/>
        <v>0,00</v>
      </c>
      <c r="T101" t="str">
        <f t="shared" si="74"/>
        <v xml:space="preserve"> </v>
      </c>
      <c r="U101" t="str">
        <f t="shared" si="74"/>
        <v xml:space="preserve"> </v>
      </c>
      <c r="V101" t="str">
        <f>"3,000"</f>
        <v>3,000</v>
      </c>
      <c r="W101" t="str">
        <f t="shared" si="54"/>
        <v>Lista 4</v>
      </c>
      <c r="X101" t="str">
        <f t="shared" si="55"/>
        <v>Lista 5</v>
      </c>
      <c r="Y101" t="str">
        <f t="shared" si="56"/>
        <v>Oferta Gral.</v>
      </c>
      <c r="Z101" t="str">
        <f t="shared" si="57"/>
        <v>Rubro</v>
      </c>
      <c r="AA101" t="str">
        <f t="shared" si="58"/>
        <v>Cantidad por Bulto</v>
      </c>
      <c r="AB101" t="str">
        <f t="shared" si="59"/>
        <v>INNER</v>
      </c>
      <c r="AC101" t="str">
        <f t="shared" si="60"/>
        <v>Stock en Bultos</v>
      </c>
      <c r="AD101" t="str">
        <f t="shared" si="61"/>
        <v>SubDepósito</v>
      </c>
      <c r="AE101" t="str">
        <f t="shared" si="62"/>
        <v>Marca</v>
      </c>
      <c r="AF101" t="str">
        <f t="shared" si="63"/>
        <v>Super Rubro</v>
      </c>
      <c r="AG101" t="str">
        <f t="shared" si="64"/>
        <v>ComercioExterior</v>
      </c>
      <c r="AH101" t="str">
        <f t="shared" si="65"/>
        <v>PrecioFOB</v>
      </c>
      <c r="AI101" t="str">
        <f t="shared" si="66"/>
        <v>Monto II</v>
      </c>
      <c r="AJ101" t="str">
        <f t="shared" si="67"/>
        <v>Porcentaje II</v>
      </c>
      <c r="AK101" t="str">
        <f t="shared" si="68"/>
        <v>Foto</v>
      </c>
      <c r="AL101" t="str">
        <f>"{\rtf1\ansi\ansicpg1252\deff0\deflang11274{\fonttbl{\f0\fnil\fcharset0 MS Sans Serif}} \viewkind4\uc1\pard\f0\fs16 BOBINA ENC. FORD ESCORT, VW POINTER, GOL, VERONA (AUTOLATINA),\par } "</f>
        <v xml:space="preserve">{\rtf1\ansi\ansicpg1252\deff0\deflang11274{\fonttbl{\f0\fnil\fcharset0 MS Sans Serif}} \viewkind4\uc1\pard\f0\fs16 BOBINA ENC. FORD ESCORT, VW POINTER, GOL, VERONA (AUTOLATINA),\par } </v>
      </c>
      <c r="AM101" t="str">
        <f t="shared" si="76"/>
        <v>-</v>
      </c>
    </row>
    <row r="102" spans="1:39" x14ac:dyDescent="0.25">
      <c r="A102" t="str">
        <f>"RGU11841"</f>
        <v>RGU11841</v>
      </c>
      <c r="B102" t="str">
        <f>"BOBINA ENC. FORD EXPLORER V6"</f>
        <v>BOBINA ENC. FORD EXPLORER V6</v>
      </c>
      <c r="C102" t="str">
        <f>"$ 94905,52"</f>
        <v>$ 94905,52</v>
      </c>
      <c r="D102" t="str">
        <f>"$ 94905,52"</f>
        <v>$ 94905,52</v>
      </c>
      <c r="E102" t="str">
        <f>"$ 94905,52"</f>
        <v>$ 94905,52</v>
      </c>
      <c r="F102" t="str">
        <f>"$ 94905,52"</f>
        <v>$ 94905,52</v>
      </c>
      <c r="G102" t="str">
        <f>"$ 94905,52"</f>
        <v>$ 94905,52</v>
      </c>
      <c r="H102" t="str">
        <f t="shared" si="50"/>
        <v>$ 0,00</v>
      </c>
      <c r="I102" t="str">
        <f t="shared" si="78"/>
        <v>BOBINAS DE ENCENDIDO</v>
      </c>
      <c r="J102" t="str">
        <f t="shared" si="51"/>
        <v>1</v>
      </c>
      <c r="K102" t="str">
        <f t="shared" si="80"/>
        <v>0</v>
      </c>
      <c r="L102" t="str">
        <f>"3,000"</f>
        <v>3,000</v>
      </c>
      <c r="M102" t="str">
        <f t="shared" si="53"/>
        <v xml:space="preserve"> </v>
      </c>
      <c r="N102" t="str">
        <f>"REGITAR"</f>
        <v>REGITAR</v>
      </c>
      <c r="O102" t="str">
        <f t="shared" si="79"/>
        <v>BOBINAS</v>
      </c>
      <c r="P102" t="str">
        <f t="shared" si="72"/>
        <v>0</v>
      </c>
      <c r="Q102" t="str">
        <f t="shared" si="72"/>
        <v>0</v>
      </c>
      <c r="R102" t="str">
        <f t="shared" si="73"/>
        <v>0,00</v>
      </c>
      <c r="S102" t="str">
        <f t="shared" si="73"/>
        <v>0,00</v>
      </c>
      <c r="T102" t="str">
        <f t="shared" si="74"/>
        <v xml:space="preserve"> </v>
      </c>
      <c r="U102" t="str">
        <f t="shared" si="74"/>
        <v xml:space="preserve"> </v>
      </c>
      <c r="V102" t="str">
        <f>"3,000"</f>
        <v>3,000</v>
      </c>
      <c r="W102" t="str">
        <f t="shared" si="54"/>
        <v>Lista 4</v>
      </c>
      <c r="X102" t="str">
        <f t="shared" si="55"/>
        <v>Lista 5</v>
      </c>
      <c r="Y102" t="str">
        <f t="shared" si="56"/>
        <v>Oferta Gral.</v>
      </c>
      <c r="Z102" t="str">
        <f t="shared" si="57"/>
        <v>Rubro</v>
      </c>
      <c r="AA102" t="str">
        <f t="shared" si="58"/>
        <v>Cantidad por Bulto</v>
      </c>
      <c r="AB102" t="str">
        <f t="shared" si="59"/>
        <v>INNER</v>
      </c>
      <c r="AC102" t="str">
        <f t="shared" si="60"/>
        <v>Stock en Bultos</v>
      </c>
      <c r="AD102" t="str">
        <f t="shared" si="61"/>
        <v>SubDepósito</v>
      </c>
      <c r="AE102" t="str">
        <f t="shared" si="62"/>
        <v>Marca</v>
      </c>
      <c r="AF102" t="str">
        <f t="shared" si="63"/>
        <v>Super Rubro</v>
      </c>
      <c r="AG102" t="str">
        <f t="shared" si="64"/>
        <v>ComercioExterior</v>
      </c>
      <c r="AH102" t="str">
        <f t="shared" si="65"/>
        <v>PrecioFOB</v>
      </c>
      <c r="AI102" t="str">
        <f t="shared" si="66"/>
        <v>Monto II</v>
      </c>
      <c r="AJ102" t="str">
        <f t="shared" si="67"/>
        <v>Porcentaje II</v>
      </c>
      <c r="AK102" t="str">
        <f t="shared" si="68"/>
        <v>Foto</v>
      </c>
      <c r="AL102" t="str">
        <f>"{\rtf1\ansi\ansicpg1252\deff0\deflang11274{\fonttbl{\f0\fnil\fcharset0 MS Sans Serif}} \viewkind4\uc1\pard\f0\fs16 BOBINA ENC. FORD EXPLORER V6\par } "</f>
        <v xml:space="preserve">{\rtf1\ansi\ansicpg1252\deff0\deflang11274{\fonttbl{\f0\fnil\fcharset0 MS Sans Serif}} \viewkind4\uc1\pard\f0\fs16 BOBINA ENC. FORD EXPLORER V6\par } </v>
      </c>
      <c r="AM102" t="str">
        <f t="shared" si="76"/>
        <v>-</v>
      </c>
    </row>
    <row r="103" spans="1:39" x14ac:dyDescent="0.25">
      <c r="A103" t="str">
        <f>"RGU11395"</f>
        <v>RGU11395</v>
      </c>
      <c r="B103" t="str">
        <f>"BOBINA ENC. FORD FIESTA, FOCUS, MONDEO, MAZDA 121 1.2I 16V,"</f>
        <v>BOBINA ENC. FORD FIESTA, FOCUS, MONDEO, MAZDA 121 1.2I 16V,</v>
      </c>
      <c r="C103" t="str">
        <f>"$ 59166,82"</f>
        <v>$ 59166,82</v>
      </c>
      <c r="D103" t="str">
        <f>"$ 59166,82"</f>
        <v>$ 59166,82</v>
      </c>
      <c r="E103" t="str">
        <f>"$ 59166,82"</f>
        <v>$ 59166,82</v>
      </c>
      <c r="F103" t="str">
        <f>"$ 59166,82"</f>
        <v>$ 59166,82</v>
      </c>
      <c r="G103" t="str">
        <f>"$ 59166,82"</f>
        <v>$ 59166,82</v>
      </c>
      <c r="H103" t="str">
        <f t="shared" si="50"/>
        <v>$ 0,00</v>
      </c>
      <c r="I103" t="str">
        <f t="shared" si="78"/>
        <v>BOBINAS DE ENCENDIDO</v>
      </c>
      <c r="J103" t="str">
        <f t="shared" si="51"/>
        <v>1</v>
      </c>
      <c r="K103" t="str">
        <f t="shared" si="80"/>
        <v>0</v>
      </c>
      <c r="L103" t="str">
        <f>"1,000"</f>
        <v>1,000</v>
      </c>
      <c r="M103" t="str">
        <f t="shared" si="53"/>
        <v xml:space="preserve"> </v>
      </c>
      <c r="N103" t="str">
        <f>"REGITAR"</f>
        <v>REGITAR</v>
      </c>
      <c r="O103" t="str">
        <f t="shared" si="79"/>
        <v>BOBINAS</v>
      </c>
      <c r="P103" t="str">
        <f t="shared" ref="P103:Q122" si="81">"0"</f>
        <v>0</v>
      </c>
      <c r="Q103" t="str">
        <f t="shared" si="81"/>
        <v>0</v>
      </c>
      <c r="R103" t="str">
        <f t="shared" ref="R103:S122" si="82">"0,00"</f>
        <v>0,00</v>
      </c>
      <c r="S103" t="str">
        <f t="shared" si="82"/>
        <v>0,00</v>
      </c>
      <c r="T103" t="str">
        <f t="shared" ref="T103:U122" si="83">" "</f>
        <v xml:space="preserve"> </v>
      </c>
      <c r="U103" t="str">
        <f t="shared" si="83"/>
        <v xml:space="preserve"> </v>
      </c>
      <c r="V103" t="str">
        <f>"1,000"</f>
        <v>1,000</v>
      </c>
      <c r="W103" t="str">
        <f t="shared" si="54"/>
        <v>Lista 4</v>
      </c>
      <c r="X103" t="str">
        <f t="shared" si="55"/>
        <v>Lista 5</v>
      </c>
      <c r="Y103" t="str">
        <f t="shared" si="56"/>
        <v>Oferta Gral.</v>
      </c>
      <c r="Z103" t="str">
        <f t="shared" si="57"/>
        <v>Rubro</v>
      </c>
      <c r="AA103" t="str">
        <f t="shared" si="58"/>
        <v>Cantidad por Bulto</v>
      </c>
      <c r="AB103" t="str">
        <f t="shared" si="59"/>
        <v>INNER</v>
      </c>
      <c r="AC103" t="str">
        <f t="shared" si="60"/>
        <v>Stock en Bultos</v>
      </c>
      <c r="AD103" t="str">
        <f t="shared" si="61"/>
        <v>SubDepósito</v>
      </c>
      <c r="AE103" t="str">
        <f t="shared" si="62"/>
        <v>Marca</v>
      </c>
      <c r="AF103" t="str">
        <f t="shared" si="63"/>
        <v>Super Rubro</v>
      </c>
      <c r="AG103" t="str">
        <f t="shared" si="64"/>
        <v>ComercioExterior</v>
      </c>
      <c r="AH103" t="str">
        <f t="shared" si="65"/>
        <v>PrecioFOB</v>
      </c>
      <c r="AI103" t="str">
        <f t="shared" si="66"/>
        <v>Monto II</v>
      </c>
      <c r="AJ103" t="str">
        <f t="shared" si="67"/>
        <v>Porcentaje II</v>
      </c>
      <c r="AK103" t="str">
        <f t="shared" si="68"/>
        <v>Foto</v>
      </c>
      <c r="AL103" t="str">
        <f>"{\rtf1\ansi\ansicpg1252\deff0\deflang11274{\fonttbl{\f0\fnil\fcharset0 MS Sans Serif}} \viewkind4\uc1\pard\f0\fs16 BOBINA ENC. FORD FIESTA, FOCUS, MONDEO, MAZDA 121 1.2I 16V,\par } "</f>
        <v xml:space="preserve">{\rtf1\ansi\ansicpg1252\deff0\deflang11274{\fonttbl{\f0\fnil\fcharset0 MS Sans Serif}} \viewkind4\uc1\pard\f0\fs16 BOBINA ENC. FORD FIESTA, FOCUS, MONDEO, MAZDA 121 1.2I 16V,\par } </v>
      </c>
      <c r="AM103" t="str">
        <f t="shared" si="76"/>
        <v>-</v>
      </c>
    </row>
    <row r="104" spans="1:39" x14ac:dyDescent="0.25">
      <c r="A104" t="str">
        <f>"RGU11401"</f>
        <v>RGU11401</v>
      </c>
      <c r="B104" t="str">
        <f>"BOBINA ENC. FORD KA, FIESTA, COURRIER (DESDE 1999), MONDEO, ESCORT, "</f>
        <v xml:space="preserve">BOBINA ENC. FORD KA, FIESTA, COURRIER (DESDE 1999), MONDEO, ESCORT, </v>
      </c>
      <c r="C104" t="str">
        <f>"$ 44660,18"</f>
        <v>$ 44660,18</v>
      </c>
      <c r="D104" t="str">
        <f>"$ 44660,18"</f>
        <v>$ 44660,18</v>
      </c>
      <c r="E104" t="str">
        <f>"$ 44660,18"</f>
        <v>$ 44660,18</v>
      </c>
      <c r="F104" t="str">
        <f>"$ 44660,18"</f>
        <v>$ 44660,18</v>
      </c>
      <c r="G104" t="str">
        <f>"$ 44660,18"</f>
        <v>$ 44660,18</v>
      </c>
      <c r="H104" t="str">
        <f t="shared" si="50"/>
        <v>$ 0,00</v>
      </c>
      <c r="I104" t="str">
        <f t="shared" si="78"/>
        <v>BOBINAS DE ENCENDIDO</v>
      </c>
      <c r="J104" t="str">
        <f t="shared" si="51"/>
        <v>1</v>
      </c>
      <c r="K104" t="str">
        <f t="shared" si="80"/>
        <v>0</v>
      </c>
      <c r="L104" t="str">
        <f>"1,000"</f>
        <v>1,000</v>
      </c>
      <c r="M104" t="str">
        <f t="shared" si="53"/>
        <v xml:space="preserve"> </v>
      </c>
      <c r="N104" t="str">
        <f>"REGITAR"</f>
        <v>REGITAR</v>
      </c>
      <c r="O104" t="str">
        <f t="shared" si="79"/>
        <v>BOBINAS</v>
      </c>
      <c r="P104" t="str">
        <f t="shared" si="81"/>
        <v>0</v>
      </c>
      <c r="Q104" t="str">
        <f t="shared" si="81"/>
        <v>0</v>
      </c>
      <c r="R104" t="str">
        <f t="shared" si="82"/>
        <v>0,00</v>
      </c>
      <c r="S104" t="str">
        <f t="shared" si="82"/>
        <v>0,00</v>
      </c>
      <c r="T104" t="str">
        <f t="shared" si="83"/>
        <v xml:space="preserve"> </v>
      </c>
      <c r="U104" t="str">
        <f t="shared" si="83"/>
        <v xml:space="preserve"> </v>
      </c>
      <c r="V104" t="str">
        <f>"1,000"</f>
        <v>1,000</v>
      </c>
      <c r="W104" t="str">
        <f t="shared" si="54"/>
        <v>Lista 4</v>
      </c>
      <c r="X104" t="str">
        <f t="shared" si="55"/>
        <v>Lista 5</v>
      </c>
      <c r="Y104" t="str">
        <f t="shared" si="56"/>
        <v>Oferta Gral.</v>
      </c>
      <c r="Z104" t="str">
        <f t="shared" si="57"/>
        <v>Rubro</v>
      </c>
      <c r="AA104" t="str">
        <f t="shared" si="58"/>
        <v>Cantidad por Bulto</v>
      </c>
      <c r="AB104" t="str">
        <f t="shared" si="59"/>
        <v>INNER</v>
      </c>
      <c r="AC104" t="str">
        <f t="shared" si="60"/>
        <v>Stock en Bultos</v>
      </c>
      <c r="AD104" t="str">
        <f t="shared" si="61"/>
        <v>SubDepósito</v>
      </c>
      <c r="AE104" t="str">
        <f t="shared" si="62"/>
        <v>Marca</v>
      </c>
      <c r="AF104" t="str">
        <f t="shared" si="63"/>
        <v>Super Rubro</v>
      </c>
      <c r="AG104" t="str">
        <f t="shared" si="64"/>
        <v>ComercioExterior</v>
      </c>
      <c r="AH104" t="str">
        <f t="shared" si="65"/>
        <v>PrecioFOB</v>
      </c>
      <c r="AI104" t="str">
        <f t="shared" si="66"/>
        <v>Monto II</v>
      </c>
      <c r="AJ104" t="str">
        <f t="shared" si="67"/>
        <v>Porcentaje II</v>
      </c>
      <c r="AK104" t="str">
        <f t="shared" si="68"/>
        <v>Foto</v>
      </c>
      <c r="AL104" t="str">
        <f>"{\rtf1\ansi\ansicpg1252\deff0\deflang11274{\fonttbl{\f0\fnil\fcharset0 MS Sans Serif}} \viewkind4\uc1\pard\f0\fs16 BOBINA ENC. FORD KA, FIESTA, COURRIER (DESDE 1999), MONDEO, ESCORT, \par } "</f>
        <v xml:space="preserve">{\rtf1\ansi\ansicpg1252\deff0\deflang11274{\fonttbl{\f0\fnil\fcharset0 MS Sans Serif}} \viewkind4\uc1\pard\f0\fs16 BOBINA ENC. FORD KA, FIESTA, COURRIER (DESDE 1999), MONDEO, ESCORT, \par } </v>
      </c>
      <c r="AM104" t="str">
        <f t="shared" si="76"/>
        <v>-</v>
      </c>
    </row>
    <row r="105" spans="1:39" x14ac:dyDescent="0.25">
      <c r="A105" t="str">
        <f>"RGU11455"</f>
        <v>RGU11455</v>
      </c>
      <c r="B105" t="str">
        <f>"BOBINA ENC. FORD KA-FIESTA-FOCUS DESDE 2008"</f>
        <v>BOBINA ENC. FORD KA-FIESTA-FOCUS DESDE 2008</v>
      </c>
      <c r="C105" t="str">
        <f>"$ 57583,13"</f>
        <v>$ 57583,13</v>
      </c>
      <c r="D105" t="str">
        <f>"$ 57583,13"</f>
        <v>$ 57583,13</v>
      </c>
      <c r="E105" t="str">
        <f>"$ 57583,13"</f>
        <v>$ 57583,13</v>
      </c>
      <c r="F105" t="str">
        <f>"$ 57583,13"</f>
        <v>$ 57583,13</v>
      </c>
      <c r="G105" t="str">
        <f>"$ 57583,13"</f>
        <v>$ 57583,13</v>
      </c>
      <c r="H105" t="str">
        <f t="shared" si="50"/>
        <v>$ 0,00</v>
      </c>
      <c r="I105" t="str">
        <f t="shared" si="78"/>
        <v>BOBINAS DE ENCENDIDO</v>
      </c>
      <c r="J105" t="str">
        <f t="shared" si="51"/>
        <v>1</v>
      </c>
      <c r="K105" t="str">
        <f t="shared" si="80"/>
        <v>0</v>
      </c>
      <c r="L105" t="str">
        <f>"0,000"</f>
        <v>0,000</v>
      </c>
      <c r="M105" t="str">
        <f t="shared" si="53"/>
        <v xml:space="preserve"> </v>
      </c>
      <c r="N105" t="str">
        <f>"REGITAR"</f>
        <v>REGITAR</v>
      </c>
      <c r="O105" t="str">
        <f t="shared" si="79"/>
        <v>BOBINAS</v>
      </c>
      <c r="P105" t="str">
        <f t="shared" si="81"/>
        <v>0</v>
      </c>
      <c r="Q105" t="str">
        <f t="shared" si="81"/>
        <v>0</v>
      </c>
      <c r="R105" t="str">
        <f t="shared" si="82"/>
        <v>0,00</v>
      </c>
      <c r="S105" t="str">
        <f t="shared" si="82"/>
        <v>0,00</v>
      </c>
      <c r="T105" t="str">
        <f t="shared" si="83"/>
        <v xml:space="preserve"> </v>
      </c>
      <c r="U105" t="str">
        <f t="shared" si="83"/>
        <v xml:space="preserve"> </v>
      </c>
      <c r="V105" t="str">
        <f>"0,000"</f>
        <v>0,000</v>
      </c>
      <c r="W105" t="str">
        <f t="shared" si="54"/>
        <v>Lista 4</v>
      </c>
      <c r="X105" t="str">
        <f t="shared" si="55"/>
        <v>Lista 5</v>
      </c>
      <c r="Y105" t="str">
        <f t="shared" si="56"/>
        <v>Oferta Gral.</v>
      </c>
      <c r="Z105" t="str">
        <f t="shared" si="57"/>
        <v>Rubro</v>
      </c>
      <c r="AA105" t="str">
        <f t="shared" si="58"/>
        <v>Cantidad por Bulto</v>
      </c>
      <c r="AB105" t="str">
        <f t="shared" si="59"/>
        <v>INNER</v>
      </c>
      <c r="AC105" t="str">
        <f t="shared" si="60"/>
        <v>Stock en Bultos</v>
      </c>
      <c r="AD105" t="str">
        <f t="shared" si="61"/>
        <v>SubDepósito</v>
      </c>
      <c r="AE105" t="str">
        <f t="shared" si="62"/>
        <v>Marca</v>
      </c>
      <c r="AF105" t="str">
        <f t="shared" si="63"/>
        <v>Super Rubro</v>
      </c>
      <c r="AG105" t="str">
        <f t="shared" si="64"/>
        <v>ComercioExterior</v>
      </c>
      <c r="AH105" t="str">
        <f t="shared" si="65"/>
        <v>PrecioFOB</v>
      </c>
      <c r="AI105" t="str">
        <f t="shared" si="66"/>
        <v>Monto II</v>
      </c>
      <c r="AJ105" t="str">
        <f t="shared" si="67"/>
        <v>Porcentaje II</v>
      </c>
      <c r="AK105" t="str">
        <f t="shared" si="68"/>
        <v>Foto</v>
      </c>
      <c r="AL105" t="str">
        <f>"{\rtf1\ansi\ansicpg1252\deff0\deflang11274{\fonttbl{\f0\fnil\fcharset0 MS Sans Serif}} \viewkind4\uc1\pard\f0\fs16 BOBINA ENC. FORD KA-FIESTA-FOCUS DESDE 2008\par } "</f>
        <v xml:space="preserve">{\rtf1\ansi\ansicpg1252\deff0\deflang11274{\fonttbl{\f0\fnil\fcharset0 MS Sans Serif}} \viewkind4\uc1\pard\f0\fs16 BOBINA ENC. FORD KA-FIESTA-FOCUS DESDE 2008\par } </v>
      </c>
      <c r="AM105" t="str">
        <f t="shared" si="76"/>
        <v>-</v>
      </c>
    </row>
    <row r="106" spans="1:39" x14ac:dyDescent="0.25">
      <c r="A106" t="str">
        <f>"KD8004D"</f>
        <v>KD8004D</v>
      </c>
      <c r="B106" t="str">
        <f>"BOBINA ENC. GM AVEO 5 PINES"</f>
        <v>BOBINA ENC. GM AVEO 5 PINES</v>
      </c>
      <c r="C106" t="str">
        <f>"$ 80249,29"</f>
        <v>$ 80249,29</v>
      </c>
      <c r="D106" t="str">
        <f>"$ 80249,29"</f>
        <v>$ 80249,29</v>
      </c>
      <c r="E106" t="str">
        <f>"$ 80249,29"</f>
        <v>$ 80249,29</v>
      </c>
      <c r="F106" t="str">
        <f>"$ 80249,29"</f>
        <v>$ 80249,29</v>
      </c>
      <c r="G106" t="str">
        <f>"$ 80249,29"</f>
        <v>$ 80249,29</v>
      </c>
      <c r="H106" t="str">
        <f t="shared" si="50"/>
        <v>$ 0,00</v>
      </c>
      <c r="I106" t="str">
        <f t="shared" si="78"/>
        <v>BOBINAS DE ENCENDIDO</v>
      </c>
      <c r="J106" t="str">
        <f t="shared" si="51"/>
        <v>1</v>
      </c>
      <c r="K106" t="str">
        <f t="shared" si="80"/>
        <v>0</v>
      </c>
      <c r="L106" t="str">
        <f>"15,000"</f>
        <v>15,000</v>
      </c>
      <c r="M106" t="str">
        <f t="shared" si="53"/>
        <v xml:space="preserve"> </v>
      </c>
      <c r="N106" t="str">
        <f t="shared" ref="N106:N113" si="84">"CADIC"</f>
        <v>CADIC</v>
      </c>
      <c r="O106" t="str">
        <f t="shared" si="79"/>
        <v>BOBINAS</v>
      </c>
      <c r="P106" t="str">
        <f t="shared" si="81"/>
        <v>0</v>
      </c>
      <c r="Q106" t="str">
        <f t="shared" si="81"/>
        <v>0</v>
      </c>
      <c r="R106" t="str">
        <f t="shared" si="82"/>
        <v>0,00</v>
      </c>
      <c r="S106" t="str">
        <f t="shared" si="82"/>
        <v>0,00</v>
      </c>
      <c r="T106" t="str">
        <f t="shared" si="83"/>
        <v xml:space="preserve"> </v>
      </c>
      <c r="U106" t="str">
        <f t="shared" si="83"/>
        <v xml:space="preserve"> </v>
      </c>
      <c r="V106" t="str">
        <f>"15,000"</f>
        <v>15,000</v>
      </c>
      <c r="W106" t="str">
        <f t="shared" si="54"/>
        <v>Lista 4</v>
      </c>
      <c r="X106" t="str">
        <f t="shared" si="55"/>
        <v>Lista 5</v>
      </c>
      <c r="Y106" t="str">
        <f t="shared" si="56"/>
        <v>Oferta Gral.</v>
      </c>
      <c r="Z106" t="str">
        <f t="shared" si="57"/>
        <v>Rubro</v>
      </c>
      <c r="AA106" t="str">
        <f t="shared" si="58"/>
        <v>Cantidad por Bulto</v>
      </c>
      <c r="AB106" t="str">
        <f t="shared" si="59"/>
        <v>INNER</v>
      </c>
      <c r="AC106" t="str">
        <f t="shared" si="60"/>
        <v>Stock en Bultos</v>
      </c>
      <c r="AD106" t="str">
        <f t="shared" si="61"/>
        <v>SubDepósito</v>
      </c>
      <c r="AE106" t="str">
        <f t="shared" si="62"/>
        <v>Marca</v>
      </c>
      <c r="AF106" t="str">
        <f t="shared" si="63"/>
        <v>Super Rubro</v>
      </c>
      <c r="AG106" t="str">
        <f t="shared" si="64"/>
        <v>ComercioExterior</v>
      </c>
      <c r="AH106" t="str">
        <f t="shared" si="65"/>
        <v>PrecioFOB</v>
      </c>
      <c r="AI106" t="str">
        <f t="shared" si="66"/>
        <v>Monto II</v>
      </c>
      <c r="AJ106" t="str">
        <f t="shared" si="67"/>
        <v>Porcentaje II</v>
      </c>
      <c r="AK106" t="str">
        <f t="shared" si="68"/>
        <v>Foto</v>
      </c>
      <c r="AL106" t="str">
        <f>"{\rtf1\ansi\ansicpg1252\deff0\deflang11274{\fonttbl{\f0\fnil\fcharset0 MS Sans Serif}} \viewkind4\uc1\pard\f0\fs16 BOBINA ENC. GM AVEO 5 PINES\par } "</f>
        <v xml:space="preserve">{\rtf1\ansi\ansicpg1252\deff0\deflang11274{\fonttbl{\f0\fnil\fcharset0 MS Sans Serif}} \viewkind4\uc1\pard\f0\fs16 BOBINA ENC. GM AVEO 5 PINES\par } </v>
      </c>
      <c r="AM106" t="str">
        <f>" "</f>
        <v xml:space="preserve"> </v>
      </c>
    </row>
    <row r="107" spans="1:39" x14ac:dyDescent="0.25">
      <c r="A107" t="str">
        <f>"KD2703"</f>
        <v>KD2703</v>
      </c>
      <c r="B107" t="str">
        <f>"BOBINA ENC. GOL 1.6, 1.0"</f>
        <v>BOBINA ENC. GOL 1.6, 1.0</v>
      </c>
      <c r="C107" t="str">
        <f>"$ 23214,97"</f>
        <v>$ 23214,97</v>
      </c>
      <c r="D107" t="str">
        <f>"$ 23214,97"</f>
        <v>$ 23214,97</v>
      </c>
      <c r="E107" t="str">
        <f>"$ 23214,97"</f>
        <v>$ 23214,97</v>
      </c>
      <c r="F107" t="str">
        <f>"$ 23214,97"</f>
        <v>$ 23214,97</v>
      </c>
      <c r="G107" t="str">
        <f>"$ 23214,97"</f>
        <v>$ 23214,97</v>
      </c>
      <c r="H107" t="str">
        <f t="shared" si="50"/>
        <v>$ 0,00</v>
      </c>
      <c r="I107" t="str">
        <f t="shared" si="78"/>
        <v>BOBINAS DE ENCENDIDO</v>
      </c>
      <c r="J107" t="str">
        <f t="shared" si="51"/>
        <v>1</v>
      </c>
      <c r="K107" t="str">
        <f t="shared" si="80"/>
        <v>0</v>
      </c>
      <c r="L107" t="str">
        <f>"1,000"</f>
        <v>1,000</v>
      </c>
      <c r="M107" t="str">
        <f t="shared" si="53"/>
        <v xml:space="preserve"> </v>
      </c>
      <c r="N107" t="str">
        <f t="shared" si="84"/>
        <v>CADIC</v>
      </c>
      <c r="O107" t="str">
        <f t="shared" si="79"/>
        <v>BOBINAS</v>
      </c>
      <c r="P107" t="str">
        <f t="shared" si="81"/>
        <v>0</v>
      </c>
      <c r="Q107" t="str">
        <f t="shared" si="81"/>
        <v>0</v>
      </c>
      <c r="R107" t="str">
        <f t="shared" si="82"/>
        <v>0,00</v>
      </c>
      <c r="S107" t="str">
        <f t="shared" si="82"/>
        <v>0,00</v>
      </c>
      <c r="T107" t="str">
        <f t="shared" si="83"/>
        <v xml:space="preserve"> </v>
      </c>
      <c r="U107" t="str">
        <f t="shared" si="83"/>
        <v xml:space="preserve"> </v>
      </c>
      <c r="V107" t="str">
        <f>"1,000"</f>
        <v>1,000</v>
      </c>
      <c r="W107" t="str">
        <f t="shared" si="54"/>
        <v>Lista 4</v>
      </c>
      <c r="X107" t="str">
        <f t="shared" si="55"/>
        <v>Lista 5</v>
      </c>
      <c r="Y107" t="str">
        <f t="shared" si="56"/>
        <v>Oferta Gral.</v>
      </c>
      <c r="Z107" t="str">
        <f t="shared" si="57"/>
        <v>Rubro</v>
      </c>
      <c r="AA107" t="str">
        <f t="shared" si="58"/>
        <v>Cantidad por Bulto</v>
      </c>
      <c r="AB107" t="str">
        <f t="shared" si="59"/>
        <v>INNER</v>
      </c>
      <c r="AC107" t="str">
        <f t="shared" si="60"/>
        <v>Stock en Bultos</v>
      </c>
      <c r="AD107" t="str">
        <f t="shared" si="61"/>
        <v>SubDepósito</v>
      </c>
      <c r="AE107" t="str">
        <f t="shared" si="62"/>
        <v>Marca</v>
      </c>
      <c r="AF107" t="str">
        <f t="shared" si="63"/>
        <v>Super Rubro</v>
      </c>
      <c r="AG107" t="str">
        <f t="shared" si="64"/>
        <v>ComercioExterior</v>
      </c>
      <c r="AH107" t="str">
        <f t="shared" si="65"/>
        <v>PrecioFOB</v>
      </c>
      <c r="AI107" t="str">
        <f t="shared" si="66"/>
        <v>Monto II</v>
      </c>
      <c r="AJ107" t="str">
        <f t="shared" si="67"/>
        <v>Porcentaje II</v>
      </c>
      <c r="AK107" t="str">
        <f t="shared" si="68"/>
        <v>Foto</v>
      </c>
      <c r="AL107" t="str">
        <f>"{\rtf1\ansi\ansicpg1252\deff0\deflang11274{\fonttbl{\f0\fnil\fcharset0 MS Sans Serif}} \viewkind4\uc1\pard\f0\fs16 BOBINA ENC. GOL 1.6, 1.0\par } "</f>
        <v xml:space="preserve">{\rtf1\ansi\ansicpg1252\deff0\deflang11274{\fonttbl{\f0\fnil\fcharset0 MS Sans Serif}} \viewkind4\uc1\pard\f0\fs16 BOBINA ENC. GOL 1.6, 1.0\par } </v>
      </c>
      <c r="AM107" t="str">
        <f t="shared" ref="AM107:AM113" si="85">"-"</f>
        <v>-</v>
      </c>
    </row>
    <row r="108" spans="1:39" x14ac:dyDescent="0.25">
      <c r="A108" t="str">
        <f>"KD8030M"</f>
        <v>KD8030M</v>
      </c>
      <c r="B108" t="str">
        <f>"BOBINA ENC. GOLF 1.6, 1.8, 2.0 ‘01  LINEA NUEVA FOX"</f>
        <v>BOBINA ENC. GOLF 1.6, 1.8, 2.0 ‘01  LINEA NUEVA FOX</v>
      </c>
      <c r="C108" t="str">
        <f>"$ 70848,65"</f>
        <v>$ 70848,65</v>
      </c>
      <c r="D108" t="str">
        <f>"$ 70848,65"</f>
        <v>$ 70848,65</v>
      </c>
      <c r="E108" t="str">
        <f>"$ 70848,65"</f>
        <v>$ 70848,65</v>
      </c>
      <c r="F108" t="str">
        <f>"$ 70848,65"</f>
        <v>$ 70848,65</v>
      </c>
      <c r="G108" t="str">
        <f>"$ 70848,65"</f>
        <v>$ 70848,65</v>
      </c>
      <c r="H108" t="str">
        <f t="shared" si="50"/>
        <v>$ 0,00</v>
      </c>
      <c r="I108" t="str">
        <f t="shared" si="78"/>
        <v>BOBINAS DE ENCENDIDO</v>
      </c>
      <c r="J108" t="str">
        <f t="shared" si="51"/>
        <v>1</v>
      </c>
      <c r="K108" t="str">
        <f t="shared" si="80"/>
        <v>0</v>
      </c>
      <c r="L108" t="str">
        <f>"0,000"</f>
        <v>0,000</v>
      </c>
      <c r="M108" t="str">
        <f t="shared" si="53"/>
        <v xml:space="preserve"> </v>
      </c>
      <c r="N108" t="str">
        <f t="shared" si="84"/>
        <v>CADIC</v>
      </c>
      <c r="O108" t="str">
        <f t="shared" si="79"/>
        <v>BOBINAS</v>
      </c>
      <c r="P108" t="str">
        <f t="shared" si="81"/>
        <v>0</v>
      </c>
      <c r="Q108" t="str">
        <f t="shared" si="81"/>
        <v>0</v>
      </c>
      <c r="R108" t="str">
        <f t="shared" si="82"/>
        <v>0,00</v>
      </c>
      <c r="S108" t="str">
        <f t="shared" si="82"/>
        <v>0,00</v>
      </c>
      <c r="T108" t="str">
        <f t="shared" si="83"/>
        <v xml:space="preserve"> </v>
      </c>
      <c r="U108" t="str">
        <f t="shared" si="83"/>
        <v xml:space="preserve"> </v>
      </c>
      <c r="V108" t="str">
        <f>"0,000"</f>
        <v>0,000</v>
      </c>
      <c r="W108" t="str">
        <f t="shared" si="54"/>
        <v>Lista 4</v>
      </c>
      <c r="X108" t="str">
        <f t="shared" si="55"/>
        <v>Lista 5</v>
      </c>
      <c r="Y108" t="str">
        <f t="shared" si="56"/>
        <v>Oferta Gral.</v>
      </c>
      <c r="Z108" t="str">
        <f t="shared" si="57"/>
        <v>Rubro</v>
      </c>
      <c r="AA108" t="str">
        <f t="shared" si="58"/>
        <v>Cantidad por Bulto</v>
      </c>
      <c r="AB108" t="str">
        <f t="shared" si="59"/>
        <v>INNER</v>
      </c>
      <c r="AC108" t="str">
        <f t="shared" si="60"/>
        <v>Stock en Bultos</v>
      </c>
      <c r="AD108" t="str">
        <f t="shared" si="61"/>
        <v>SubDepósito</v>
      </c>
      <c r="AE108" t="str">
        <f t="shared" si="62"/>
        <v>Marca</v>
      </c>
      <c r="AF108" t="str">
        <f t="shared" si="63"/>
        <v>Super Rubro</v>
      </c>
      <c r="AG108" t="str">
        <f t="shared" si="64"/>
        <v>ComercioExterior</v>
      </c>
      <c r="AH108" t="str">
        <f t="shared" si="65"/>
        <v>PrecioFOB</v>
      </c>
      <c r="AI108" t="str">
        <f t="shared" si="66"/>
        <v>Monto II</v>
      </c>
      <c r="AJ108" t="str">
        <f t="shared" si="67"/>
        <v>Porcentaje II</v>
      </c>
      <c r="AK108" t="str">
        <f t="shared" si="68"/>
        <v>Foto</v>
      </c>
      <c r="AL108" t="str">
        <f>"{\rtf1\ansi\ansicpg1252\deff0\deflang11274{\fonttbl{\f0\fnil\fcharset0 MS Sans Serif}} \viewkind4\uc1\pard\f0\fs16 BOBINA ENC. GOLF 1.6, 1.8, 2.0 \lquote 01  LINEA NUEVA FOX\par } "</f>
        <v xml:space="preserve">{\rtf1\ansi\ansicpg1252\deff0\deflang11274{\fonttbl{\f0\fnil\fcharset0 MS Sans Serif}} \viewkind4\uc1\pard\f0\fs16 BOBINA ENC. GOLF 1.6, 1.8, 2.0 \lquote 01  LINEA NUEVA FOX\par } </v>
      </c>
      <c r="AM108" t="str">
        <f t="shared" si="85"/>
        <v>-</v>
      </c>
    </row>
    <row r="109" spans="1:39" x14ac:dyDescent="0.25">
      <c r="A109" t="str">
        <f>"KD9015"</f>
        <v>KD9015</v>
      </c>
      <c r="B109" t="str">
        <f>"BOBINA ENC. GOLF 1.8 TURBO"</f>
        <v>BOBINA ENC. GOLF 1.8 TURBO</v>
      </c>
      <c r="C109" t="str">
        <f>"$ 50872,31"</f>
        <v>$ 50872,31</v>
      </c>
      <c r="D109" t="str">
        <f>"$ 50872,31"</f>
        <v>$ 50872,31</v>
      </c>
      <c r="E109" t="str">
        <f>"$ 50872,31"</f>
        <v>$ 50872,31</v>
      </c>
      <c r="F109" t="str">
        <f>"$ 50872,31"</f>
        <v>$ 50872,31</v>
      </c>
      <c r="G109" t="str">
        <f>"$ 50872,31"</f>
        <v>$ 50872,31</v>
      </c>
      <c r="H109" t="str">
        <f t="shared" si="50"/>
        <v>$ 0,00</v>
      </c>
      <c r="I109" t="str">
        <f t="shared" si="78"/>
        <v>BOBINAS DE ENCENDIDO</v>
      </c>
      <c r="J109" t="str">
        <f t="shared" si="51"/>
        <v>1</v>
      </c>
      <c r="K109" t="str">
        <f t="shared" si="80"/>
        <v>0</v>
      </c>
      <c r="L109" t="str">
        <f>"0,000"</f>
        <v>0,000</v>
      </c>
      <c r="M109" t="str">
        <f t="shared" si="53"/>
        <v xml:space="preserve"> </v>
      </c>
      <c r="N109" t="str">
        <f t="shared" si="84"/>
        <v>CADIC</v>
      </c>
      <c r="O109" t="str">
        <f t="shared" si="79"/>
        <v>BOBINAS</v>
      </c>
      <c r="P109" t="str">
        <f t="shared" si="81"/>
        <v>0</v>
      </c>
      <c r="Q109" t="str">
        <f t="shared" si="81"/>
        <v>0</v>
      </c>
      <c r="R109" t="str">
        <f t="shared" si="82"/>
        <v>0,00</v>
      </c>
      <c r="S109" t="str">
        <f t="shared" si="82"/>
        <v>0,00</v>
      </c>
      <c r="T109" t="str">
        <f t="shared" si="83"/>
        <v xml:space="preserve"> </v>
      </c>
      <c r="U109" t="str">
        <f t="shared" si="83"/>
        <v xml:space="preserve"> </v>
      </c>
      <c r="V109" t="str">
        <f>"0,000"</f>
        <v>0,000</v>
      </c>
      <c r="W109" t="str">
        <f t="shared" si="54"/>
        <v>Lista 4</v>
      </c>
      <c r="X109" t="str">
        <f t="shared" si="55"/>
        <v>Lista 5</v>
      </c>
      <c r="Y109" t="str">
        <f t="shared" si="56"/>
        <v>Oferta Gral.</v>
      </c>
      <c r="Z109" t="str">
        <f t="shared" si="57"/>
        <v>Rubro</v>
      </c>
      <c r="AA109" t="str">
        <f t="shared" si="58"/>
        <v>Cantidad por Bulto</v>
      </c>
      <c r="AB109" t="str">
        <f t="shared" si="59"/>
        <v>INNER</v>
      </c>
      <c r="AC109" t="str">
        <f t="shared" si="60"/>
        <v>Stock en Bultos</v>
      </c>
      <c r="AD109" t="str">
        <f t="shared" si="61"/>
        <v>SubDepósito</v>
      </c>
      <c r="AE109" t="str">
        <f t="shared" si="62"/>
        <v>Marca</v>
      </c>
      <c r="AF109" t="str">
        <f t="shared" si="63"/>
        <v>Super Rubro</v>
      </c>
      <c r="AG109" t="str">
        <f t="shared" si="64"/>
        <v>ComercioExterior</v>
      </c>
      <c r="AH109" t="str">
        <f t="shared" si="65"/>
        <v>PrecioFOB</v>
      </c>
      <c r="AI109" t="str">
        <f t="shared" si="66"/>
        <v>Monto II</v>
      </c>
      <c r="AJ109" t="str">
        <f t="shared" si="67"/>
        <v>Porcentaje II</v>
      </c>
      <c r="AK109" t="str">
        <f t="shared" si="68"/>
        <v>Foto</v>
      </c>
      <c r="AL109" t="str">
        <f>"{\rtf1\ansi\ansicpg1252\deff0\deflang11274{\fonttbl{\f0\fnil\fcharset0 MS Sans Serif}} \viewkind4\uc1\pard\f0\fs16 BOBINA ENC. GOLF 1.8 TURBO\par } "</f>
        <v xml:space="preserve">{\rtf1\ansi\ansicpg1252\deff0\deflang11274{\fonttbl{\f0\fnil\fcharset0 MS Sans Serif}} \viewkind4\uc1\pard\f0\fs16 BOBINA ENC. GOLF 1.8 TURBO\par } </v>
      </c>
      <c r="AM109" t="str">
        <f t="shared" si="85"/>
        <v>-</v>
      </c>
    </row>
    <row r="110" spans="1:39" x14ac:dyDescent="0.25">
      <c r="A110" t="str">
        <f>"KD2720M3"</f>
        <v>KD2720M3</v>
      </c>
      <c r="B110" t="str">
        <f>"BOBINA ENC. GOLF, POLO 1.6, 1.8, 2.0 LINEA NUEVA"</f>
        <v>BOBINA ENC. GOLF, POLO 1.6, 1.8, 2.0 LINEA NUEVA</v>
      </c>
      <c r="C110" t="str">
        <f>"$ 40984,46"</f>
        <v>$ 40984,46</v>
      </c>
      <c r="D110" t="str">
        <f>"$ 40984,46"</f>
        <v>$ 40984,46</v>
      </c>
      <c r="E110" t="str">
        <f>"$ 40984,46"</f>
        <v>$ 40984,46</v>
      </c>
      <c r="F110" t="str">
        <f>"$ 40984,46"</f>
        <v>$ 40984,46</v>
      </c>
      <c r="G110" t="str">
        <f>"$ 40984,46"</f>
        <v>$ 40984,46</v>
      </c>
      <c r="H110" t="str">
        <f t="shared" si="50"/>
        <v>$ 0,00</v>
      </c>
      <c r="I110" t="str">
        <f t="shared" si="78"/>
        <v>BOBINAS DE ENCENDIDO</v>
      </c>
      <c r="J110" t="str">
        <f t="shared" si="51"/>
        <v>1</v>
      </c>
      <c r="K110" t="str">
        <f t="shared" si="80"/>
        <v>0</v>
      </c>
      <c r="L110" t="str">
        <f>"4,000"</f>
        <v>4,000</v>
      </c>
      <c r="M110" t="str">
        <f t="shared" si="53"/>
        <v xml:space="preserve"> </v>
      </c>
      <c r="N110" t="str">
        <f t="shared" si="84"/>
        <v>CADIC</v>
      </c>
      <c r="O110" t="str">
        <f t="shared" si="79"/>
        <v>BOBINAS</v>
      </c>
      <c r="P110" t="str">
        <f t="shared" si="81"/>
        <v>0</v>
      </c>
      <c r="Q110" t="str">
        <f t="shared" si="81"/>
        <v>0</v>
      </c>
      <c r="R110" t="str">
        <f t="shared" si="82"/>
        <v>0,00</v>
      </c>
      <c r="S110" t="str">
        <f t="shared" si="82"/>
        <v>0,00</v>
      </c>
      <c r="T110" t="str">
        <f t="shared" si="83"/>
        <v xml:space="preserve"> </v>
      </c>
      <c r="U110" t="str">
        <f t="shared" si="83"/>
        <v xml:space="preserve"> </v>
      </c>
      <c r="V110" t="str">
        <f>"4,000"</f>
        <v>4,000</v>
      </c>
      <c r="W110" t="str">
        <f t="shared" si="54"/>
        <v>Lista 4</v>
      </c>
      <c r="X110" t="str">
        <f t="shared" si="55"/>
        <v>Lista 5</v>
      </c>
      <c r="Y110" t="str">
        <f t="shared" si="56"/>
        <v>Oferta Gral.</v>
      </c>
      <c r="Z110" t="str">
        <f t="shared" si="57"/>
        <v>Rubro</v>
      </c>
      <c r="AA110" t="str">
        <f t="shared" si="58"/>
        <v>Cantidad por Bulto</v>
      </c>
      <c r="AB110" t="str">
        <f t="shared" si="59"/>
        <v>INNER</v>
      </c>
      <c r="AC110" t="str">
        <f t="shared" si="60"/>
        <v>Stock en Bultos</v>
      </c>
      <c r="AD110" t="str">
        <f t="shared" si="61"/>
        <v>SubDepósito</v>
      </c>
      <c r="AE110" t="str">
        <f t="shared" si="62"/>
        <v>Marca</v>
      </c>
      <c r="AF110" t="str">
        <f t="shared" si="63"/>
        <v>Super Rubro</v>
      </c>
      <c r="AG110" t="str">
        <f t="shared" si="64"/>
        <v>ComercioExterior</v>
      </c>
      <c r="AH110" t="str">
        <f t="shared" si="65"/>
        <v>PrecioFOB</v>
      </c>
      <c r="AI110" t="str">
        <f t="shared" si="66"/>
        <v>Monto II</v>
      </c>
      <c r="AJ110" t="str">
        <f t="shared" si="67"/>
        <v>Porcentaje II</v>
      </c>
      <c r="AK110" t="str">
        <f t="shared" si="68"/>
        <v>Foto</v>
      </c>
      <c r="AL110" t="str">
        <f>"{\rtf1\ansi\ansicpg1252\deff0\deflang11274{\fonttbl{\f0\fnil\fcharset0 MS Sans Serif}} \viewkind4\uc1\pard\f0\fs16 BOBINA ENC. GOLF, POLO 1.6, 1.8, 2.0 LINEA NUEVA\par } "</f>
        <v xml:space="preserve">{\rtf1\ansi\ansicpg1252\deff0\deflang11274{\fonttbl{\f0\fnil\fcharset0 MS Sans Serif}} \viewkind4\uc1\pard\f0\fs16 BOBINA ENC. GOLF, POLO 1.6, 1.8, 2.0 LINEA NUEVA\par } </v>
      </c>
      <c r="AM110" t="str">
        <f t="shared" si="85"/>
        <v>-</v>
      </c>
    </row>
    <row r="111" spans="1:39" x14ac:dyDescent="0.25">
      <c r="A111" t="str">
        <f>"KD8006A"</f>
        <v>KD8006A</v>
      </c>
      <c r="B111" t="str">
        <f>"BOBINA ENC. KANGOO, CLIO ?’02"</f>
        <v>BOBINA ENC. KANGOO, CLIO ?’02</v>
      </c>
      <c r="C111" t="str">
        <f>"$ 53136,49"</f>
        <v>$ 53136,49</v>
      </c>
      <c r="D111" t="str">
        <f>"$ 53136,49"</f>
        <v>$ 53136,49</v>
      </c>
      <c r="E111" t="str">
        <f>"$ 53136,49"</f>
        <v>$ 53136,49</v>
      </c>
      <c r="F111" t="str">
        <f>"$ 53136,49"</f>
        <v>$ 53136,49</v>
      </c>
      <c r="G111" t="str">
        <f>"$ 53136,49"</f>
        <v>$ 53136,49</v>
      </c>
      <c r="H111" t="str">
        <f t="shared" si="50"/>
        <v>$ 0,00</v>
      </c>
      <c r="I111" t="str">
        <f t="shared" si="78"/>
        <v>BOBINAS DE ENCENDIDO</v>
      </c>
      <c r="J111" t="str">
        <f t="shared" si="51"/>
        <v>1</v>
      </c>
      <c r="K111" t="str">
        <f t="shared" si="80"/>
        <v>0</v>
      </c>
      <c r="L111" t="str">
        <f>"0,000"</f>
        <v>0,000</v>
      </c>
      <c r="M111" t="str">
        <f t="shared" si="53"/>
        <v xml:space="preserve"> </v>
      </c>
      <c r="N111" t="str">
        <f t="shared" si="84"/>
        <v>CADIC</v>
      </c>
      <c r="O111" t="str">
        <f t="shared" si="79"/>
        <v>BOBINAS</v>
      </c>
      <c r="P111" t="str">
        <f t="shared" si="81"/>
        <v>0</v>
      </c>
      <c r="Q111" t="str">
        <f t="shared" si="81"/>
        <v>0</v>
      </c>
      <c r="R111" t="str">
        <f t="shared" si="82"/>
        <v>0,00</v>
      </c>
      <c r="S111" t="str">
        <f t="shared" si="82"/>
        <v>0,00</v>
      </c>
      <c r="T111" t="str">
        <f t="shared" si="83"/>
        <v xml:space="preserve"> </v>
      </c>
      <c r="U111" t="str">
        <f t="shared" si="83"/>
        <v xml:space="preserve"> </v>
      </c>
      <c r="V111" t="str">
        <f>"0,000"</f>
        <v>0,000</v>
      </c>
      <c r="W111" t="str">
        <f t="shared" si="54"/>
        <v>Lista 4</v>
      </c>
      <c r="X111" t="str">
        <f t="shared" si="55"/>
        <v>Lista 5</v>
      </c>
      <c r="Y111" t="str">
        <f t="shared" si="56"/>
        <v>Oferta Gral.</v>
      </c>
      <c r="Z111" t="str">
        <f t="shared" si="57"/>
        <v>Rubro</v>
      </c>
      <c r="AA111" t="str">
        <f t="shared" si="58"/>
        <v>Cantidad por Bulto</v>
      </c>
      <c r="AB111" t="str">
        <f t="shared" si="59"/>
        <v>INNER</v>
      </c>
      <c r="AC111" t="str">
        <f t="shared" si="60"/>
        <v>Stock en Bultos</v>
      </c>
      <c r="AD111" t="str">
        <f t="shared" si="61"/>
        <v>SubDepósito</v>
      </c>
      <c r="AE111" t="str">
        <f t="shared" si="62"/>
        <v>Marca</v>
      </c>
      <c r="AF111" t="str">
        <f t="shared" si="63"/>
        <v>Super Rubro</v>
      </c>
      <c r="AG111" t="str">
        <f t="shared" si="64"/>
        <v>ComercioExterior</v>
      </c>
      <c r="AH111" t="str">
        <f t="shared" si="65"/>
        <v>PrecioFOB</v>
      </c>
      <c r="AI111" t="str">
        <f t="shared" si="66"/>
        <v>Monto II</v>
      </c>
      <c r="AJ111" t="str">
        <f t="shared" si="67"/>
        <v>Porcentaje II</v>
      </c>
      <c r="AK111" t="str">
        <f t="shared" si="68"/>
        <v>Foto</v>
      </c>
      <c r="AL111" t="str">
        <f>"{\rtf1\ansi\ansicpg1252\deff0\deflang11274{\fonttbl{\f0\fnil\fcharset0 MS Sans Serif}} \viewkind4\uc1\pard\f0\fs16 BOBINA ENC. KANGOO, CLIO ?\rquote 02\par } "</f>
        <v xml:space="preserve">{\rtf1\ansi\ansicpg1252\deff0\deflang11274{\fonttbl{\f0\fnil\fcharset0 MS Sans Serif}} \viewkind4\uc1\pard\f0\fs16 BOBINA ENC. KANGOO, CLIO ?\rquote 02\par } </v>
      </c>
      <c r="AM111" t="str">
        <f t="shared" si="85"/>
        <v>-</v>
      </c>
    </row>
    <row r="112" spans="1:39" x14ac:dyDescent="0.25">
      <c r="A112" t="str">
        <f>"KD4210B"</f>
        <v>KD4210B</v>
      </c>
      <c r="B112" t="str">
        <f>"BOBINA ENC. LAGUNA 2LTS SIST. VOLVO"</f>
        <v>BOBINA ENC. LAGUNA 2LTS SIST. VOLVO</v>
      </c>
      <c r="C112" t="str">
        <f>"$ 23329,61"</f>
        <v>$ 23329,61</v>
      </c>
      <c r="D112" t="str">
        <f>"$ 23329,61"</f>
        <v>$ 23329,61</v>
      </c>
      <c r="E112" t="str">
        <f>"$ 23329,61"</f>
        <v>$ 23329,61</v>
      </c>
      <c r="F112" t="str">
        <f>"$ 23329,61"</f>
        <v>$ 23329,61</v>
      </c>
      <c r="G112" t="str">
        <f>"$ 23329,61"</f>
        <v>$ 23329,61</v>
      </c>
      <c r="H112" t="str">
        <f t="shared" si="50"/>
        <v>$ 0,00</v>
      </c>
      <c r="I112" t="str">
        <f t="shared" si="78"/>
        <v>BOBINAS DE ENCENDIDO</v>
      </c>
      <c r="J112" t="str">
        <f t="shared" si="51"/>
        <v>1</v>
      </c>
      <c r="K112" t="str">
        <f t="shared" si="80"/>
        <v>0</v>
      </c>
      <c r="L112" t="str">
        <f>"0,000"</f>
        <v>0,000</v>
      </c>
      <c r="M112" t="str">
        <f t="shared" si="53"/>
        <v xml:space="preserve"> </v>
      </c>
      <c r="N112" t="str">
        <f t="shared" si="84"/>
        <v>CADIC</v>
      </c>
      <c r="O112" t="str">
        <f t="shared" si="79"/>
        <v>BOBINAS</v>
      </c>
      <c r="P112" t="str">
        <f t="shared" si="81"/>
        <v>0</v>
      </c>
      <c r="Q112" t="str">
        <f t="shared" si="81"/>
        <v>0</v>
      </c>
      <c r="R112" t="str">
        <f t="shared" si="82"/>
        <v>0,00</v>
      </c>
      <c r="S112" t="str">
        <f t="shared" si="82"/>
        <v>0,00</v>
      </c>
      <c r="T112" t="str">
        <f t="shared" si="83"/>
        <v xml:space="preserve"> </v>
      </c>
      <c r="U112" t="str">
        <f t="shared" si="83"/>
        <v xml:space="preserve"> </v>
      </c>
      <c r="V112" t="str">
        <f>"0,000"</f>
        <v>0,000</v>
      </c>
      <c r="W112" t="str">
        <f t="shared" si="54"/>
        <v>Lista 4</v>
      </c>
      <c r="X112" t="str">
        <f t="shared" si="55"/>
        <v>Lista 5</v>
      </c>
      <c r="Y112" t="str">
        <f t="shared" si="56"/>
        <v>Oferta Gral.</v>
      </c>
      <c r="Z112" t="str">
        <f t="shared" si="57"/>
        <v>Rubro</v>
      </c>
      <c r="AA112" t="str">
        <f t="shared" si="58"/>
        <v>Cantidad por Bulto</v>
      </c>
      <c r="AB112" t="str">
        <f t="shared" si="59"/>
        <v>INNER</v>
      </c>
      <c r="AC112" t="str">
        <f t="shared" si="60"/>
        <v>Stock en Bultos</v>
      </c>
      <c r="AD112" t="str">
        <f t="shared" si="61"/>
        <v>SubDepósito</v>
      </c>
      <c r="AE112" t="str">
        <f t="shared" si="62"/>
        <v>Marca</v>
      </c>
      <c r="AF112" t="str">
        <f t="shared" si="63"/>
        <v>Super Rubro</v>
      </c>
      <c r="AG112" t="str">
        <f t="shared" si="64"/>
        <v>ComercioExterior</v>
      </c>
      <c r="AH112" t="str">
        <f t="shared" si="65"/>
        <v>PrecioFOB</v>
      </c>
      <c r="AI112" t="str">
        <f t="shared" si="66"/>
        <v>Monto II</v>
      </c>
      <c r="AJ112" t="str">
        <f t="shared" si="67"/>
        <v>Porcentaje II</v>
      </c>
      <c r="AK112" t="str">
        <f t="shared" si="68"/>
        <v>Foto</v>
      </c>
      <c r="AL112" t="str">
        <f>"{\rtf1\ansi\ansicpg1252\deff0\deflang11274{\fonttbl{\f0\fnil\fcharset0 MS Sans Serif}} \viewkind4\uc1\pard\f0\fs16 BOBINA ENC. LAGUNA 2LTS SIST. VOLVO\par } "</f>
        <v xml:space="preserve">{\rtf1\ansi\ansicpg1252\deff0\deflang11274{\fonttbl{\f0\fnil\fcharset0 MS Sans Serif}} \viewkind4\uc1\pard\f0\fs16 BOBINA ENC. LAGUNA 2LTS SIST. VOLVO\par } </v>
      </c>
      <c r="AM112" t="str">
        <f t="shared" si="85"/>
        <v>-</v>
      </c>
    </row>
    <row r="113" spans="1:39" x14ac:dyDescent="0.25">
      <c r="A113" t="str">
        <f>"KD8006"</f>
        <v>KD8006</v>
      </c>
      <c r="B113" t="str">
        <f>"BOBINA ENC. LAGUNA, KANGOO 1.6 K7M"</f>
        <v>BOBINA ENC. LAGUNA, KANGOO 1.6 K7M</v>
      </c>
      <c r="C113" t="str">
        <f>"$ 53136,49"</f>
        <v>$ 53136,49</v>
      </c>
      <c r="D113" t="str">
        <f>"$ 53136,49"</f>
        <v>$ 53136,49</v>
      </c>
      <c r="E113" t="str">
        <f>"$ 53136,49"</f>
        <v>$ 53136,49</v>
      </c>
      <c r="F113" t="str">
        <f>"$ 53136,49"</f>
        <v>$ 53136,49</v>
      </c>
      <c r="G113" t="str">
        <f>"$ 53136,49"</f>
        <v>$ 53136,49</v>
      </c>
      <c r="H113" t="str">
        <f t="shared" si="50"/>
        <v>$ 0,00</v>
      </c>
      <c r="I113" t="str">
        <f t="shared" si="78"/>
        <v>BOBINAS DE ENCENDIDO</v>
      </c>
      <c r="J113" t="str">
        <f t="shared" si="51"/>
        <v>1</v>
      </c>
      <c r="K113" t="str">
        <f t="shared" si="80"/>
        <v>0</v>
      </c>
      <c r="L113" t="str">
        <f>"6,000"</f>
        <v>6,000</v>
      </c>
      <c r="M113" t="str">
        <f t="shared" si="53"/>
        <v xml:space="preserve"> </v>
      </c>
      <c r="N113" t="str">
        <f t="shared" si="84"/>
        <v>CADIC</v>
      </c>
      <c r="O113" t="str">
        <f t="shared" si="79"/>
        <v>BOBINAS</v>
      </c>
      <c r="P113" t="str">
        <f t="shared" si="81"/>
        <v>0</v>
      </c>
      <c r="Q113" t="str">
        <f t="shared" si="81"/>
        <v>0</v>
      </c>
      <c r="R113" t="str">
        <f t="shared" si="82"/>
        <v>0,00</v>
      </c>
      <c r="S113" t="str">
        <f t="shared" si="82"/>
        <v>0,00</v>
      </c>
      <c r="T113" t="str">
        <f t="shared" si="83"/>
        <v xml:space="preserve"> </v>
      </c>
      <c r="U113" t="str">
        <f t="shared" si="83"/>
        <v xml:space="preserve"> </v>
      </c>
      <c r="V113" t="str">
        <f>"6,000"</f>
        <v>6,000</v>
      </c>
      <c r="W113" t="str">
        <f t="shared" si="54"/>
        <v>Lista 4</v>
      </c>
      <c r="X113" t="str">
        <f t="shared" si="55"/>
        <v>Lista 5</v>
      </c>
      <c r="Y113" t="str">
        <f t="shared" si="56"/>
        <v>Oferta Gral.</v>
      </c>
      <c r="Z113" t="str">
        <f t="shared" si="57"/>
        <v>Rubro</v>
      </c>
      <c r="AA113" t="str">
        <f t="shared" si="58"/>
        <v>Cantidad por Bulto</v>
      </c>
      <c r="AB113" t="str">
        <f t="shared" si="59"/>
        <v>INNER</v>
      </c>
      <c r="AC113" t="str">
        <f t="shared" si="60"/>
        <v>Stock en Bultos</v>
      </c>
      <c r="AD113" t="str">
        <f t="shared" si="61"/>
        <v>SubDepósito</v>
      </c>
      <c r="AE113" t="str">
        <f t="shared" si="62"/>
        <v>Marca</v>
      </c>
      <c r="AF113" t="str">
        <f t="shared" si="63"/>
        <v>Super Rubro</v>
      </c>
      <c r="AG113" t="str">
        <f t="shared" si="64"/>
        <v>ComercioExterior</v>
      </c>
      <c r="AH113" t="str">
        <f t="shared" si="65"/>
        <v>PrecioFOB</v>
      </c>
      <c r="AI113" t="str">
        <f t="shared" si="66"/>
        <v>Monto II</v>
      </c>
      <c r="AJ113" t="str">
        <f t="shared" si="67"/>
        <v>Porcentaje II</v>
      </c>
      <c r="AK113" t="str">
        <f t="shared" si="68"/>
        <v>Foto</v>
      </c>
      <c r="AL113" t="str">
        <f>"{\rtf1\ansi\ansicpg1252\deff0\deflang11274{\fonttbl{\f0\fnil\fcharset0 MS Sans Serif}} \viewkind4\uc1\pard\f0\fs16 BOBINA ENC. LAGUNA, KANGOO 1.6 K7M\par } "</f>
        <v xml:space="preserve">{\rtf1\ansi\ansicpg1252\deff0\deflang11274{\fonttbl{\f0\fnil\fcharset0 MS Sans Serif}} \viewkind4\uc1\pard\f0\fs16 BOBINA ENC. LAGUNA, KANGOO 1.6 K7M\par } </v>
      </c>
      <c r="AM113" t="str">
        <f t="shared" si="85"/>
        <v>-</v>
      </c>
    </row>
    <row r="114" spans="1:39" x14ac:dyDescent="0.25">
      <c r="A114" t="str">
        <f>"VK11419RE"</f>
        <v>VK11419RE</v>
      </c>
      <c r="B114" t="str">
        <f>"BOBINA ENC. LAPIZ RENAULT 1.6 K4M 16V "</f>
        <v xml:space="preserve">BOBINA ENC. LAPIZ RENAULT 1.6 K4M 16V </v>
      </c>
      <c r="C114" t="str">
        <f>"$ 12054,02"</f>
        <v>$ 12054,02</v>
      </c>
      <c r="D114" t="str">
        <f>"$ 12054,02"</f>
        <v>$ 12054,02</v>
      </c>
      <c r="E114" t="str">
        <f>"$ 12054,02"</f>
        <v>$ 12054,02</v>
      </c>
      <c r="F114" t="str">
        <f>"$ 0,00"</f>
        <v>$ 0,00</v>
      </c>
      <c r="G114" t="str">
        <f>"$ 0,00"</f>
        <v>$ 0,00</v>
      </c>
      <c r="H114" t="str">
        <f t="shared" si="50"/>
        <v>$ 0,00</v>
      </c>
      <c r="I114" t="str">
        <f t="shared" si="78"/>
        <v>BOBINAS DE ENCENDIDO</v>
      </c>
      <c r="J114" t="str">
        <f t="shared" si="51"/>
        <v>1</v>
      </c>
      <c r="K114" t="str">
        <f t="shared" si="80"/>
        <v>0</v>
      </c>
      <c r="L114" t="str">
        <f>"90,000"</f>
        <v>90,000</v>
      </c>
      <c r="M114" t="str">
        <f t="shared" si="53"/>
        <v xml:space="preserve"> </v>
      </c>
      <c r="N114" t="str">
        <f>"SAGEM"</f>
        <v>SAGEM</v>
      </c>
      <c r="O114" t="str">
        <f t="shared" si="79"/>
        <v>BOBINAS</v>
      </c>
      <c r="P114" t="str">
        <f t="shared" si="81"/>
        <v>0</v>
      </c>
      <c r="Q114" t="str">
        <f t="shared" si="81"/>
        <v>0</v>
      </c>
      <c r="R114" t="str">
        <f t="shared" si="82"/>
        <v>0,00</v>
      </c>
      <c r="S114" t="str">
        <f t="shared" si="82"/>
        <v>0,00</v>
      </c>
      <c r="T114" t="str">
        <f t="shared" si="83"/>
        <v xml:space="preserve"> </v>
      </c>
      <c r="U114" t="str">
        <f t="shared" si="83"/>
        <v xml:space="preserve"> </v>
      </c>
      <c r="V114" t="str">
        <f>"90,000"</f>
        <v>90,000</v>
      </c>
      <c r="W114" t="str">
        <f t="shared" si="54"/>
        <v>Lista 4</v>
      </c>
      <c r="X114" t="str">
        <f t="shared" si="55"/>
        <v>Lista 5</v>
      </c>
      <c r="Y114" t="str">
        <f t="shared" si="56"/>
        <v>Oferta Gral.</v>
      </c>
      <c r="Z114" t="str">
        <f t="shared" si="57"/>
        <v>Rubro</v>
      </c>
      <c r="AA114" t="str">
        <f t="shared" si="58"/>
        <v>Cantidad por Bulto</v>
      </c>
      <c r="AB114" t="str">
        <f t="shared" si="59"/>
        <v>INNER</v>
      </c>
      <c r="AC114" t="str">
        <f t="shared" si="60"/>
        <v>Stock en Bultos</v>
      </c>
      <c r="AD114" t="str">
        <f t="shared" si="61"/>
        <v>SubDepósito</v>
      </c>
      <c r="AE114" t="str">
        <f t="shared" si="62"/>
        <v>Marca</v>
      </c>
      <c r="AF114" t="str">
        <f t="shared" si="63"/>
        <v>Super Rubro</v>
      </c>
      <c r="AG114" t="str">
        <f t="shared" si="64"/>
        <v>ComercioExterior</v>
      </c>
      <c r="AH114" t="str">
        <f t="shared" si="65"/>
        <v>PrecioFOB</v>
      </c>
      <c r="AI114" t="str">
        <f t="shared" si="66"/>
        <v>Monto II</v>
      </c>
      <c r="AJ114" t="str">
        <f t="shared" si="67"/>
        <v>Porcentaje II</v>
      </c>
      <c r="AK114" t="str">
        <f t="shared" si="68"/>
        <v>Foto</v>
      </c>
      <c r="AL114" t="str">
        <f>"{\rtf1\ansi\ansicpg1252\deff0\deflang11274{\fonttbl{\f0\fnil\fcharset0 MS Sans Serif}} \viewkind4\uc1\pard\f0\fs16 BOBINA ENC. LAPIZ RENAULT 1.6 K4M 16V \par } "</f>
        <v xml:space="preserve">{\rtf1\ansi\ansicpg1252\deff0\deflang11274{\fonttbl{\f0\fnil\fcharset0 MS Sans Serif}} \viewkind4\uc1\pard\f0\fs16 BOBINA ENC. LAPIZ RENAULT 1.6 K4M 16V \par } </v>
      </c>
      <c r="AM114" t="str">
        <f>" "</f>
        <v xml:space="preserve"> </v>
      </c>
    </row>
    <row r="115" spans="1:39" x14ac:dyDescent="0.25">
      <c r="A115" t="str">
        <f>"KD4210A"</f>
        <v>KD4210A</v>
      </c>
      <c r="B115" t="str">
        <f>"BOBINA ENC. MEGANE 1.6, 2.0LTS 8V ‘99?SISTEMA MARELLI"</f>
        <v>BOBINA ENC. MEGANE 1.6, 2.0LTS 8V ‘99?SISTEMA MARELLI</v>
      </c>
      <c r="C115" t="str">
        <f>"$ 23329,61"</f>
        <v>$ 23329,61</v>
      </c>
      <c r="D115" t="str">
        <f>"$ 23329,61"</f>
        <v>$ 23329,61</v>
      </c>
      <c r="E115" t="str">
        <f>"$ 23329,61"</f>
        <v>$ 23329,61</v>
      </c>
      <c r="F115" t="str">
        <f>"$ 23329,61"</f>
        <v>$ 23329,61</v>
      </c>
      <c r="G115" t="str">
        <f>"$ 23329,61"</f>
        <v>$ 23329,61</v>
      </c>
      <c r="H115" t="str">
        <f t="shared" si="50"/>
        <v>$ 0,00</v>
      </c>
      <c r="I115" t="str">
        <f t="shared" si="78"/>
        <v>BOBINAS DE ENCENDIDO</v>
      </c>
      <c r="J115" t="str">
        <f t="shared" si="51"/>
        <v>1</v>
      </c>
      <c r="K115" t="str">
        <f t="shared" si="80"/>
        <v>0</v>
      </c>
      <c r="L115" t="str">
        <f>"0,000"</f>
        <v>0,000</v>
      </c>
      <c r="M115" t="str">
        <f t="shared" si="53"/>
        <v xml:space="preserve"> </v>
      </c>
      <c r="N115" t="str">
        <f t="shared" ref="N115:N123" si="86">"CADIC"</f>
        <v>CADIC</v>
      </c>
      <c r="O115" t="str">
        <f t="shared" si="79"/>
        <v>BOBINAS</v>
      </c>
      <c r="P115" t="str">
        <f t="shared" si="81"/>
        <v>0</v>
      </c>
      <c r="Q115" t="str">
        <f t="shared" si="81"/>
        <v>0</v>
      </c>
      <c r="R115" t="str">
        <f t="shared" si="82"/>
        <v>0,00</v>
      </c>
      <c r="S115" t="str">
        <f t="shared" si="82"/>
        <v>0,00</v>
      </c>
      <c r="T115" t="str">
        <f t="shared" si="83"/>
        <v xml:space="preserve"> </v>
      </c>
      <c r="U115" t="str">
        <f t="shared" si="83"/>
        <v xml:space="preserve"> </v>
      </c>
      <c r="V115" t="str">
        <f>"0,000"</f>
        <v>0,000</v>
      </c>
      <c r="W115" t="str">
        <f t="shared" si="54"/>
        <v>Lista 4</v>
      </c>
      <c r="X115" t="str">
        <f t="shared" si="55"/>
        <v>Lista 5</v>
      </c>
      <c r="Y115" t="str">
        <f t="shared" si="56"/>
        <v>Oferta Gral.</v>
      </c>
      <c r="Z115" t="str">
        <f t="shared" si="57"/>
        <v>Rubro</v>
      </c>
      <c r="AA115" t="str">
        <f t="shared" si="58"/>
        <v>Cantidad por Bulto</v>
      </c>
      <c r="AB115" t="str">
        <f t="shared" si="59"/>
        <v>INNER</v>
      </c>
      <c r="AC115" t="str">
        <f t="shared" si="60"/>
        <v>Stock en Bultos</v>
      </c>
      <c r="AD115" t="str">
        <f t="shared" si="61"/>
        <v>SubDepósito</v>
      </c>
      <c r="AE115" t="str">
        <f t="shared" si="62"/>
        <v>Marca</v>
      </c>
      <c r="AF115" t="str">
        <f t="shared" si="63"/>
        <v>Super Rubro</v>
      </c>
      <c r="AG115" t="str">
        <f t="shared" si="64"/>
        <v>ComercioExterior</v>
      </c>
      <c r="AH115" t="str">
        <f t="shared" si="65"/>
        <v>PrecioFOB</v>
      </c>
      <c r="AI115" t="str">
        <f t="shared" si="66"/>
        <v>Monto II</v>
      </c>
      <c r="AJ115" t="str">
        <f t="shared" si="67"/>
        <v>Porcentaje II</v>
      </c>
      <c r="AK115" t="str">
        <f t="shared" si="68"/>
        <v>Foto</v>
      </c>
      <c r="AL115" t="str">
        <f>"{\rtf1\ansi\ansicpg1252\deff0\deflang11274{\fonttbl{\f0\fnil\fcharset0 MS Sans Serif}} \viewkind4\uc1\pard\f0\fs16 BOBINA ENC. MEGANE 1.6, 2.0LTS 8V \lquote 99?SISTEMA MARELLI\par } "</f>
        <v xml:space="preserve">{\rtf1\ansi\ansicpg1252\deff0\deflang11274{\fonttbl{\f0\fnil\fcharset0 MS Sans Serif}} \viewkind4\uc1\pard\f0\fs16 BOBINA ENC. MEGANE 1.6, 2.0LTS 8V \lquote 99?SISTEMA MARELLI\par } </v>
      </c>
      <c r="AM115" t="str">
        <f t="shared" ref="AM115:AM131" si="87">"-"</f>
        <v>-</v>
      </c>
    </row>
    <row r="116" spans="1:39" x14ac:dyDescent="0.25">
      <c r="A116" t="str">
        <f>"KD4212A"</f>
        <v>KD4212A</v>
      </c>
      <c r="B116" t="str">
        <f>"BOBINA ENC. MEGANE 8V 2LTS, ENCHUFE BLANCO"</f>
        <v>BOBINA ENC. MEGANE 8V 2LTS, ENCHUFE BLANCO</v>
      </c>
      <c r="C116" t="str">
        <f>"$ 33359,90"</f>
        <v>$ 33359,90</v>
      </c>
      <c r="D116" t="str">
        <f>"$ 33359,90"</f>
        <v>$ 33359,90</v>
      </c>
      <c r="E116" t="str">
        <f>"$ 33359,90"</f>
        <v>$ 33359,90</v>
      </c>
      <c r="F116" t="str">
        <f>"$ 33359,90"</f>
        <v>$ 33359,90</v>
      </c>
      <c r="G116" t="str">
        <f>"$ 33359,90"</f>
        <v>$ 33359,90</v>
      </c>
      <c r="H116" t="str">
        <f t="shared" si="50"/>
        <v>$ 0,00</v>
      </c>
      <c r="I116" t="str">
        <f t="shared" si="78"/>
        <v>BOBINAS DE ENCENDIDO</v>
      </c>
      <c r="J116" t="str">
        <f t="shared" si="51"/>
        <v>1</v>
      </c>
      <c r="K116" t="str">
        <f t="shared" si="80"/>
        <v>0</v>
      </c>
      <c r="L116" t="str">
        <f>"8,000"</f>
        <v>8,000</v>
      </c>
      <c r="M116" t="str">
        <f t="shared" si="53"/>
        <v xml:space="preserve"> </v>
      </c>
      <c r="N116" t="str">
        <f t="shared" si="86"/>
        <v>CADIC</v>
      </c>
      <c r="O116" t="str">
        <f t="shared" si="79"/>
        <v>BOBINAS</v>
      </c>
      <c r="P116" t="str">
        <f t="shared" si="81"/>
        <v>0</v>
      </c>
      <c r="Q116" t="str">
        <f t="shared" si="81"/>
        <v>0</v>
      </c>
      <c r="R116" t="str">
        <f t="shared" si="82"/>
        <v>0,00</v>
      </c>
      <c r="S116" t="str">
        <f t="shared" si="82"/>
        <v>0,00</v>
      </c>
      <c r="T116" t="str">
        <f t="shared" si="83"/>
        <v xml:space="preserve"> </v>
      </c>
      <c r="U116" t="str">
        <f t="shared" si="83"/>
        <v xml:space="preserve"> </v>
      </c>
      <c r="V116" t="str">
        <f>"8,000"</f>
        <v>8,000</v>
      </c>
      <c r="W116" t="str">
        <f t="shared" si="54"/>
        <v>Lista 4</v>
      </c>
      <c r="X116" t="str">
        <f t="shared" si="55"/>
        <v>Lista 5</v>
      </c>
      <c r="Y116" t="str">
        <f t="shared" si="56"/>
        <v>Oferta Gral.</v>
      </c>
      <c r="Z116" t="str">
        <f t="shared" si="57"/>
        <v>Rubro</v>
      </c>
      <c r="AA116" t="str">
        <f t="shared" si="58"/>
        <v>Cantidad por Bulto</v>
      </c>
      <c r="AB116" t="str">
        <f t="shared" si="59"/>
        <v>INNER</v>
      </c>
      <c r="AC116" t="str">
        <f t="shared" si="60"/>
        <v>Stock en Bultos</v>
      </c>
      <c r="AD116" t="str">
        <f t="shared" si="61"/>
        <v>SubDepósito</v>
      </c>
      <c r="AE116" t="str">
        <f t="shared" si="62"/>
        <v>Marca</v>
      </c>
      <c r="AF116" t="str">
        <f t="shared" si="63"/>
        <v>Super Rubro</v>
      </c>
      <c r="AG116" t="str">
        <f t="shared" si="64"/>
        <v>ComercioExterior</v>
      </c>
      <c r="AH116" t="str">
        <f t="shared" si="65"/>
        <v>PrecioFOB</v>
      </c>
      <c r="AI116" t="str">
        <f t="shared" si="66"/>
        <v>Monto II</v>
      </c>
      <c r="AJ116" t="str">
        <f t="shared" si="67"/>
        <v>Porcentaje II</v>
      </c>
      <c r="AK116" t="str">
        <f t="shared" si="68"/>
        <v>Foto</v>
      </c>
      <c r="AL116" t="str">
        <f>"{\rtf1\ansi\ansicpg1252\deff0\deflang11274{\fonttbl{\f0\fnil\fcharset0 MS Sans Serif}} \viewkind4\uc1\pard\f0\fs16 BOBINA ENC. MEGANE 8V 2LTS, ENCHUFE BLANCO\par } "</f>
        <v xml:space="preserve">{\rtf1\ansi\ansicpg1252\deff0\deflang11274{\fonttbl{\f0\fnil\fcharset0 MS Sans Serif}} \viewkind4\uc1\pard\f0\fs16 BOBINA ENC. MEGANE 8V 2LTS, ENCHUFE BLANCO\par } </v>
      </c>
      <c r="AM116" t="str">
        <f t="shared" si="87"/>
        <v>-</v>
      </c>
    </row>
    <row r="117" spans="1:39" x14ac:dyDescent="0.25">
      <c r="A117" t="str">
        <f>"KD4212"</f>
        <v>KD4212</v>
      </c>
      <c r="B117" t="str">
        <f>"BOBINA ENC. MEGANE 8V 2LTS, ENCHUFE NEGRO"</f>
        <v>BOBINA ENC. MEGANE 8V 2LTS, ENCHUFE NEGRO</v>
      </c>
      <c r="C117" t="str">
        <f>"$ 29906,75"</f>
        <v>$ 29906,75</v>
      </c>
      <c r="D117" t="str">
        <f>"$ 29906,75"</f>
        <v>$ 29906,75</v>
      </c>
      <c r="E117" t="str">
        <f>"$ 29906,75"</f>
        <v>$ 29906,75</v>
      </c>
      <c r="F117" t="str">
        <f>"$ 29906,75"</f>
        <v>$ 29906,75</v>
      </c>
      <c r="G117" t="str">
        <f>"$ 29906,75"</f>
        <v>$ 29906,75</v>
      </c>
      <c r="H117" t="str">
        <f t="shared" si="50"/>
        <v>$ 0,00</v>
      </c>
      <c r="I117" t="str">
        <f t="shared" si="78"/>
        <v>BOBINAS DE ENCENDIDO</v>
      </c>
      <c r="J117" t="str">
        <f t="shared" si="51"/>
        <v>1</v>
      </c>
      <c r="K117" t="str">
        <f t="shared" si="80"/>
        <v>0</v>
      </c>
      <c r="L117" t="str">
        <f>"5,000"</f>
        <v>5,000</v>
      </c>
      <c r="M117" t="str">
        <f t="shared" si="53"/>
        <v xml:space="preserve"> </v>
      </c>
      <c r="N117" t="str">
        <f t="shared" si="86"/>
        <v>CADIC</v>
      </c>
      <c r="O117" t="str">
        <f t="shared" si="79"/>
        <v>BOBINAS</v>
      </c>
      <c r="P117" t="str">
        <f t="shared" si="81"/>
        <v>0</v>
      </c>
      <c r="Q117" t="str">
        <f t="shared" si="81"/>
        <v>0</v>
      </c>
      <c r="R117" t="str">
        <f t="shared" si="82"/>
        <v>0,00</v>
      </c>
      <c r="S117" t="str">
        <f t="shared" si="82"/>
        <v>0,00</v>
      </c>
      <c r="T117" t="str">
        <f t="shared" si="83"/>
        <v xml:space="preserve"> </v>
      </c>
      <c r="U117" t="str">
        <f t="shared" si="83"/>
        <v xml:space="preserve"> </v>
      </c>
      <c r="V117" t="str">
        <f>"5,000"</f>
        <v>5,000</v>
      </c>
      <c r="W117" t="str">
        <f t="shared" si="54"/>
        <v>Lista 4</v>
      </c>
      <c r="X117" t="str">
        <f t="shared" si="55"/>
        <v>Lista 5</v>
      </c>
      <c r="Y117" t="str">
        <f t="shared" si="56"/>
        <v>Oferta Gral.</v>
      </c>
      <c r="Z117" t="str">
        <f t="shared" si="57"/>
        <v>Rubro</v>
      </c>
      <c r="AA117" t="str">
        <f t="shared" si="58"/>
        <v>Cantidad por Bulto</v>
      </c>
      <c r="AB117" t="str">
        <f t="shared" si="59"/>
        <v>INNER</v>
      </c>
      <c r="AC117" t="str">
        <f t="shared" si="60"/>
        <v>Stock en Bultos</v>
      </c>
      <c r="AD117" t="str">
        <f t="shared" si="61"/>
        <v>SubDepósito</v>
      </c>
      <c r="AE117" t="str">
        <f t="shared" si="62"/>
        <v>Marca</v>
      </c>
      <c r="AF117" t="str">
        <f t="shared" si="63"/>
        <v>Super Rubro</v>
      </c>
      <c r="AG117" t="str">
        <f t="shared" si="64"/>
        <v>ComercioExterior</v>
      </c>
      <c r="AH117" t="str">
        <f t="shared" si="65"/>
        <v>PrecioFOB</v>
      </c>
      <c r="AI117" t="str">
        <f t="shared" si="66"/>
        <v>Monto II</v>
      </c>
      <c r="AJ117" t="str">
        <f t="shared" si="67"/>
        <v>Porcentaje II</v>
      </c>
      <c r="AK117" t="str">
        <f t="shared" si="68"/>
        <v>Foto</v>
      </c>
      <c r="AL117" t="str">
        <f>"{\rtf1\ansi\ansicpg1252\deff0\deflang11274{\fonttbl{\f0\fnil\fcharset0 MS Sans Serif}} \viewkind4\uc1\pard\f0\fs16 BOBINA ENC. MEGANE 8V 2LTS, ENCHUFE NEGRO\par } "</f>
        <v xml:space="preserve">{\rtf1\ansi\ansicpg1252\deff0\deflang11274{\fonttbl{\f0\fnil\fcharset0 MS Sans Serif}} \viewkind4\uc1\pard\f0\fs16 BOBINA ENC. MEGANE 8V 2LTS, ENCHUFE NEGRO\par } </v>
      </c>
      <c r="AM117" t="str">
        <f t="shared" si="87"/>
        <v>-</v>
      </c>
    </row>
    <row r="118" spans="1:39" x14ac:dyDescent="0.25">
      <c r="A118" t="str">
        <f>"KD8060"</f>
        <v>KD8060</v>
      </c>
      <c r="B118" t="str">
        <f>"BOBINA ENC. MERIVA, ZAFIRA 16V"</f>
        <v>BOBINA ENC. MERIVA, ZAFIRA 16V</v>
      </c>
      <c r="C118" t="str">
        <f>"$ 129493,16"</f>
        <v>$ 129493,16</v>
      </c>
      <c r="D118" t="str">
        <f>"$ 129493,16"</f>
        <v>$ 129493,16</v>
      </c>
      <c r="E118" t="str">
        <f>"$ 129493,16"</f>
        <v>$ 129493,16</v>
      </c>
      <c r="F118" t="str">
        <f>"$ 129493,16"</f>
        <v>$ 129493,16</v>
      </c>
      <c r="G118" t="str">
        <f>"$ 129493,16"</f>
        <v>$ 129493,16</v>
      </c>
      <c r="H118" t="str">
        <f t="shared" si="50"/>
        <v>$ 0,00</v>
      </c>
      <c r="I118" t="str">
        <f t="shared" si="78"/>
        <v>BOBINAS DE ENCENDIDO</v>
      </c>
      <c r="J118" t="str">
        <f t="shared" si="51"/>
        <v>1</v>
      </c>
      <c r="K118" t="str">
        <f t="shared" si="80"/>
        <v>0</v>
      </c>
      <c r="L118" t="str">
        <f>"2,000"</f>
        <v>2,000</v>
      </c>
      <c r="M118" t="str">
        <f t="shared" si="53"/>
        <v xml:space="preserve"> </v>
      </c>
      <c r="N118" t="str">
        <f t="shared" si="86"/>
        <v>CADIC</v>
      </c>
      <c r="O118" t="str">
        <f t="shared" si="79"/>
        <v>BOBINAS</v>
      </c>
      <c r="P118" t="str">
        <f t="shared" si="81"/>
        <v>0</v>
      </c>
      <c r="Q118" t="str">
        <f t="shared" si="81"/>
        <v>0</v>
      </c>
      <c r="R118" t="str">
        <f t="shared" si="82"/>
        <v>0,00</v>
      </c>
      <c r="S118" t="str">
        <f t="shared" si="82"/>
        <v>0,00</v>
      </c>
      <c r="T118" t="str">
        <f t="shared" si="83"/>
        <v xml:space="preserve"> </v>
      </c>
      <c r="U118" t="str">
        <f t="shared" si="83"/>
        <v xml:space="preserve"> </v>
      </c>
      <c r="V118" t="str">
        <f>"2,000"</f>
        <v>2,000</v>
      </c>
      <c r="W118" t="str">
        <f t="shared" si="54"/>
        <v>Lista 4</v>
      </c>
      <c r="X118" t="str">
        <f t="shared" si="55"/>
        <v>Lista 5</v>
      </c>
      <c r="Y118" t="str">
        <f t="shared" si="56"/>
        <v>Oferta Gral.</v>
      </c>
      <c r="Z118" t="str">
        <f t="shared" si="57"/>
        <v>Rubro</v>
      </c>
      <c r="AA118" t="str">
        <f t="shared" si="58"/>
        <v>Cantidad por Bulto</v>
      </c>
      <c r="AB118" t="str">
        <f t="shared" si="59"/>
        <v>INNER</v>
      </c>
      <c r="AC118" t="str">
        <f t="shared" si="60"/>
        <v>Stock en Bultos</v>
      </c>
      <c r="AD118" t="str">
        <f t="shared" si="61"/>
        <v>SubDepósito</v>
      </c>
      <c r="AE118" t="str">
        <f t="shared" si="62"/>
        <v>Marca</v>
      </c>
      <c r="AF118" t="str">
        <f t="shared" si="63"/>
        <v>Super Rubro</v>
      </c>
      <c r="AG118" t="str">
        <f t="shared" si="64"/>
        <v>ComercioExterior</v>
      </c>
      <c r="AH118" t="str">
        <f t="shared" si="65"/>
        <v>PrecioFOB</v>
      </c>
      <c r="AI118" t="str">
        <f t="shared" si="66"/>
        <v>Monto II</v>
      </c>
      <c r="AJ118" t="str">
        <f t="shared" si="67"/>
        <v>Porcentaje II</v>
      </c>
      <c r="AK118" t="str">
        <f t="shared" si="68"/>
        <v>Foto</v>
      </c>
      <c r="AL118" t="str">
        <f>"{\rtf1\ansi\ansicpg1252\deff0\deflang11274{\fonttbl{\f0\fnil\fcharset0 MS Sans Serif}} \viewkind4\uc1\pard\f0\fs16 BOBINA ENC. MERIVA, ZAFIRA 16V\par } "</f>
        <v xml:space="preserve">{\rtf1\ansi\ansicpg1252\deff0\deflang11274{\fonttbl{\f0\fnil\fcharset0 MS Sans Serif}} \viewkind4\uc1\pard\f0\fs16 BOBINA ENC. MERIVA, ZAFIRA 16V\par } </v>
      </c>
      <c r="AM118" t="str">
        <f t="shared" si="87"/>
        <v>-</v>
      </c>
    </row>
    <row r="119" spans="1:39" x14ac:dyDescent="0.25">
      <c r="A119" t="str">
        <f>"KD8040B"</f>
        <v>KD8040B</v>
      </c>
      <c r="B119" t="str">
        <f>"BOBINA ENC. OPEL VECTRA ALEMAN ‘94’95"</f>
        <v>BOBINA ENC. OPEL VECTRA ALEMAN ‘94’95</v>
      </c>
      <c r="C119" t="str">
        <f>"$ 59381,87"</f>
        <v>$ 59381,87</v>
      </c>
      <c r="D119" t="str">
        <f>"$ 59381,87"</f>
        <v>$ 59381,87</v>
      </c>
      <c r="E119" t="str">
        <f>"$ 59381,87"</f>
        <v>$ 59381,87</v>
      </c>
      <c r="F119" t="str">
        <f>"$ 59381,87"</f>
        <v>$ 59381,87</v>
      </c>
      <c r="G119" t="str">
        <f>"$ 59381,87"</f>
        <v>$ 59381,87</v>
      </c>
      <c r="H119" t="str">
        <f t="shared" si="50"/>
        <v>$ 0,00</v>
      </c>
      <c r="I119" t="str">
        <f t="shared" si="78"/>
        <v>BOBINAS DE ENCENDIDO</v>
      </c>
      <c r="J119" t="str">
        <f t="shared" si="51"/>
        <v>1</v>
      </c>
      <c r="K119" t="str">
        <f t="shared" si="80"/>
        <v>0</v>
      </c>
      <c r="L119" t="str">
        <f>"2,000"</f>
        <v>2,000</v>
      </c>
      <c r="M119" t="str">
        <f t="shared" si="53"/>
        <v xml:space="preserve"> </v>
      </c>
      <c r="N119" t="str">
        <f t="shared" si="86"/>
        <v>CADIC</v>
      </c>
      <c r="O119" t="str">
        <f t="shared" si="79"/>
        <v>BOBINAS</v>
      </c>
      <c r="P119" t="str">
        <f t="shared" si="81"/>
        <v>0</v>
      </c>
      <c r="Q119" t="str">
        <f t="shared" si="81"/>
        <v>0</v>
      </c>
      <c r="R119" t="str">
        <f t="shared" si="82"/>
        <v>0,00</v>
      </c>
      <c r="S119" t="str">
        <f t="shared" si="82"/>
        <v>0,00</v>
      </c>
      <c r="T119" t="str">
        <f t="shared" si="83"/>
        <v xml:space="preserve"> </v>
      </c>
      <c r="U119" t="str">
        <f t="shared" si="83"/>
        <v xml:space="preserve"> </v>
      </c>
      <c r="V119" t="str">
        <f>"2,000"</f>
        <v>2,000</v>
      </c>
      <c r="W119" t="str">
        <f t="shared" si="54"/>
        <v>Lista 4</v>
      </c>
      <c r="X119" t="str">
        <f t="shared" si="55"/>
        <v>Lista 5</v>
      </c>
      <c r="Y119" t="str">
        <f t="shared" si="56"/>
        <v>Oferta Gral.</v>
      </c>
      <c r="Z119" t="str">
        <f t="shared" si="57"/>
        <v>Rubro</v>
      </c>
      <c r="AA119" t="str">
        <f t="shared" si="58"/>
        <v>Cantidad por Bulto</v>
      </c>
      <c r="AB119" t="str">
        <f t="shared" si="59"/>
        <v>INNER</v>
      </c>
      <c r="AC119" t="str">
        <f t="shared" si="60"/>
        <v>Stock en Bultos</v>
      </c>
      <c r="AD119" t="str">
        <f t="shared" si="61"/>
        <v>SubDepósito</v>
      </c>
      <c r="AE119" t="str">
        <f t="shared" si="62"/>
        <v>Marca</v>
      </c>
      <c r="AF119" t="str">
        <f t="shared" si="63"/>
        <v>Super Rubro</v>
      </c>
      <c r="AG119" t="str">
        <f t="shared" si="64"/>
        <v>ComercioExterior</v>
      </c>
      <c r="AH119" t="str">
        <f t="shared" si="65"/>
        <v>PrecioFOB</v>
      </c>
      <c r="AI119" t="str">
        <f t="shared" si="66"/>
        <v>Monto II</v>
      </c>
      <c r="AJ119" t="str">
        <f t="shared" si="67"/>
        <v>Porcentaje II</v>
      </c>
      <c r="AK119" t="str">
        <f t="shared" si="68"/>
        <v>Foto</v>
      </c>
      <c r="AL119" t="str">
        <f>"{\rtf1\ansi\ansicpg1252\deff0\deflang11274{\fonttbl{\f0\fnil\fcharset0 MS Sans Serif}} \viewkind4\uc1\pard\f0\fs16 BOBINA ENC. OPEL VECTRA ALEMAN \lquote 94\rquote 95\par } "</f>
        <v xml:space="preserve">{\rtf1\ansi\ansicpg1252\deff0\deflang11274{\fonttbl{\f0\fnil\fcharset0 MS Sans Serif}} \viewkind4\uc1\pard\f0\fs16 BOBINA ENC. OPEL VECTRA ALEMAN \lquote 94\rquote 95\par } </v>
      </c>
      <c r="AM119" t="str">
        <f t="shared" si="87"/>
        <v>-</v>
      </c>
    </row>
    <row r="120" spans="1:39" x14ac:dyDescent="0.25">
      <c r="A120" t="str">
        <f>"KD8015"</f>
        <v>KD8015</v>
      </c>
      <c r="B120" t="str">
        <f>"BOBINA ENC. PALIO 16V SISTEMA BEHRU"</f>
        <v>BOBINA ENC. PALIO 16V SISTEMA BEHRU</v>
      </c>
      <c r="C120" t="str">
        <f>"$ 109837,72"</f>
        <v>$ 109837,72</v>
      </c>
      <c r="D120" t="str">
        <f>"$ 109837,72"</f>
        <v>$ 109837,72</v>
      </c>
      <c r="E120" t="str">
        <f>"$ 109837,72"</f>
        <v>$ 109837,72</v>
      </c>
      <c r="F120" t="str">
        <f>"$ 109837,72"</f>
        <v>$ 109837,72</v>
      </c>
      <c r="G120" t="str">
        <f>"$ 109837,72"</f>
        <v>$ 109837,72</v>
      </c>
      <c r="H120" t="str">
        <f t="shared" si="50"/>
        <v>$ 0,00</v>
      </c>
      <c r="I120" t="str">
        <f t="shared" si="78"/>
        <v>BOBINAS DE ENCENDIDO</v>
      </c>
      <c r="J120" t="str">
        <f t="shared" si="51"/>
        <v>1</v>
      </c>
      <c r="K120" t="str">
        <f t="shared" si="80"/>
        <v>0</v>
      </c>
      <c r="L120" t="str">
        <f>"2,000"</f>
        <v>2,000</v>
      </c>
      <c r="M120" t="str">
        <f t="shared" si="53"/>
        <v xml:space="preserve"> </v>
      </c>
      <c r="N120" t="str">
        <f t="shared" si="86"/>
        <v>CADIC</v>
      </c>
      <c r="O120" t="str">
        <f t="shared" si="79"/>
        <v>BOBINAS</v>
      </c>
      <c r="P120" t="str">
        <f t="shared" si="81"/>
        <v>0</v>
      </c>
      <c r="Q120" t="str">
        <f t="shared" si="81"/>
        <v>0</v>
      </c>
      <c r="R120" t="str">
        <f t="shared" si="82"/>
        <v>0,00</v>
      </c>
      <c r="S120" t="str">
        <f t="shared" si="82"/>
        <v>0,00</v>
      </c>
      <c r="T120" t="str">
        <f t="shared" si="83"/>
        <v xml:space="preserve"> </v>
      </c>
      <c r="U120" t="str">
        <f t="shared" si="83"/>
        <v xml:space="preserve"> </v>
      </c>
      <c r="V120" t="str">
        <f>"2,000"</f>
        <v>2,000</v>
      </c>
      <c r="W120" t="str">
        <f t="shared" si="54"/>
        <v>Lista 4</v>
      </c>
      <c r="X120" t="str">
        <f t="shared" si="55"/>
        <v>Lista 5</v>
      </c>
      <c r="Y120" t="str">
        <f t="shared" si="56"/>
        <v>Oferta Gral.</v>
      </c>
      <c r="Z120" t="str">
        <f t="shared" si="57"/>
        <v>Rubro</v>
      </c>
      <c r="AA120" t="str">
        <f t="shared" si="58"/>
        <v>Cantidad por Bulto</v>
      </c>
      <c r="AB120" t="str">
        <f t="shared" si="59"/>
        <v>INNER</v>
      </c>
      <c r="AC120" t="str">
        <f t="shared" si="60"/>
        <v>Stock en Bultos</v>
      </c>
      <c r="AD120" t="str">
        <f t="shared" si="61"/>
        <v>SubDepósito</v>
      </c>
      <c r="AE120" t="str">
        <f t="shared" si="62"/>
        <v>Marca</v>
      </c>
      <c r="AF120" t="str">
        <f t="shared" si="63"/>
        <v>Super Rubro</v>
      </c>
      <c r="AG120" t="str">
        <f t="shared" si="64"/>
        <v>ComercioExterior</v>
      </c>
      <c r="AH120" t="str">
        <f t="shared" si="65"/>
        <v>PrecioFOB</v>
      </c>
      <c r="AI120" t="str">
        <f t="shared" si="66"/>
        <v>Monto II</v>
      </c>
      <c r="AJ120" t="str">
        <f t="shared" si="67"/>
        <v>Porcentaje II</v>
      </c>
      <c r="AK120" t="str">
        <f t="shared" si="68"/>
        <v>Foto</v>
      </c>
      <c r="AL120" t="str">
        <f>"{\rtf1\ansi\ansicpg1252\deff0\deflang11274{\fonttbl{\f0\fnil\fcharset0 MS Sans Serif}} \viewkind4\uc1\pard\f0\fs16 BOBINA ENC. PALIO 16V SISTEMA BEHRU\par } "</f>
        <v xml:space="preserve">{\rtf1\ansi\ansicpg1252\deff0\deflang11274{\fonttbl{\f0\fnil\fcharset0 MS Sans Serif}} \viewkind4\uc1\pard\f0\fs16 BOBINA ENC. PALIO 16V SISTEMA BEHRU\par } </v>
      </c>
      <c r="AM120" t="str">
        <f t="shared" si="87"/>
        <v>-</v>
      </c>
    </row>
    <row r="121" spans="1:39" x14ac:dyDescent="0.25">
      <c r="A121" t="str">
        <f>"KD8033"</f>
        <v>KD8033</v>
      </c>
      <c r="B121" t="str">
        <f>"BOBINA ENC. PALIO 16V SISTEMA CHAMPION"</f>
        <v>BOBINA ENC. PALIO 16V SISTEMA CHAMPION</v>
      </c>
      <c r="C121" t="str">
        <f>"$ 109837,71"</f>
        <v>$ 109837,71</v>
      </c>
      <c r="D121" t="str">
        <f>"$ 109837,71"</f>
        <v>$ 109837,71</v>
      </c>
      <c r="E121" t="str">
        <f>"$ 109837,71"</f>
        <v>$ 109837,71</v>
      </c>
      <c r="F121" t="str">
        <f>"$ 109837,71"</f>
        <v>$ 109837,71</v>
      </c>
      <c r="G121" t="str">
        <f>"$ 109837,71"</f>
        <v>$ 109837,71</v>
      </c>
      <c r="H121" t="str">
        <f t="shared" si="50"/>
        <v>$ 0,00</v>
      </c>
      <c r="I121" t="str">
        <f t="shared" si="78"/>
        <v>BOBINAS DE ENCENDIDO</v>
      </c>
      <c r="J121" t="str">
        <f t="shared" si="51"/>
        <v>1</v>
      </c>
      <c r="K121" t="str">
        <f t="shared" si="80"/>
        <v>0</v>
      </c>
      <c r="L121" t="str">
        <f>"2,000"</f>
        <v>2,000</v>
      </c>
      <c r="M121" t="str">
        <f t="shared" si="53"/>
        <v xml:space="preserve"> </v>
      </c>
      <c r="N121" t="str">
        <f t="shared" si="86"/>
        <v>CADIC</v>
      </c>
      <c r="O121" t="str">
        <f t="shared" si="79"/>
        <v>BOBINAS</v>
      </c>
      <c r="P121" t="str">
        <f t="shared" si="81"/>
        <v>0</v>
      </c>
      <c r="Q121" t="str">
        <f t="shared" si="81"/>
        <v>0</v>
      </c>
      <c r="R121" t="str">
        <f t="shared" si="82"/>
        <v>0,00</v>
      </c>
      <c r="S121" t="str">
        <f t="shared" si="82"/>
        <v>0,00</v>
      </c>
      <c r="T121" t="str">
        <f t="shared" si="83"/>
        <v xml:space="preserve"> </v>
      </c>
      <c r="U121" t="str">
        <f t="shared" si="83"/>
        <v xml:space="preserve"> </v>
      </c>
      <c r="V121" t="str">
        <f>"2,000"</f>
        <v>2,000</v>
      </c>
      <c r="W121" t="str">
        <f t="shared" si="54"/>
        <v>Lista 4</v>
      </c>
      <c r="X121" t="str">
        <f t="shared" si="55"/>
        <v>Lista 5</v>
      </c>
      <c r="Y121" t="str">
        <f t="shared" si="56"/>
        <v>Oferta Gral.</v>
      </c>
      <c r="Z121" t="str">
        <f t="shared" si="57"/>
        <v>Rubro</v>
      </c>
      <c r="AA121" t="str">
        <f t="shared" si="58"/>
        <v>Cantidad por Bulto</v>
      </c>
      <c r="AB121" t="str">
        <f t="shared" si="59"/>
        <v>INNER</v>
      </c>
      <c r="AC121" t="str">
        <f t="shared" si="60"/>
        <v>Stock en Bultos</v>
      </c>
      <c r="AD121" t="str">
        <f t="shared" si="61"/>
        <v>SubDepósito</v>
      </c>
      <c r="AE121" t="str">
        <f t="shared" si="62"/>
        <v>Marca</v>
      </c>
      <c r="AF121" t="str">
        <f t="shared" si="63"/>
        <v>Super Rubro</v>
      </c>
      <c r="AG121" t="str">
        <f t="shared" si="64"/>
        <v>ComercioExterior</v>
      </c>
      <c r="AH121" t="str">
        <f t="shared" si="65"/>
        <v>PrecioFOB</v>
      </c>
      <c r="AI121" t="str">
        <f t="shared" si="66"/>
        <v>Monto II</v>
      </c>
      <c r="AJ121" t="str">
        <f t="shared" si="67"/>
        <v>Porcentaje II</v>
      </c>
      <c r="AK121" t="str">
        <f t="shared" si="68"/>
        <v>Foto</v>
      </c>
      <c r="AL121" t="str">
        <f>"{\rtf1\ansi\ansicpg1252\deff0\deflang11274{\fonttbl{\f0\fnil\fcharset0 MS Sans Serif}} \viewkind4\uc1\pard\f0\fs16 BOBINA ENC. PALIO 16V SISTEMA CHAMPION\par } "</f>
        <v xml:space="preserve">{\rtf1\ansi\ansicpg1252\deff0\deflang11274{\fonttbl{\f0\fnil\fcharset0 MS Sans Serif}} \viewkind4\uc1\pard\f0\fs16 BOBINA ENC. PALIO 16V SISTEMA CHAMPION\par } </v>
      </c>
      <c r="AM121" t="str">
        <f t="shared" si="87"/>
        <v>-</v>
      </c>
    </row>
    <row r="122" spans="1:39" x14ac:dyDescent="0.25">
      <c r="A122" t="str">
        <f>"KD4210"</f>
        <v>KD4210</v>
      </c>
      <c r="B122" t="str">
        <f>"BOBINA ENC. PALIO BOBINA DOBLE"</f>
        <v>BOBINA ENC. PALIO BOBINA DOBLE</v>
      </c>
      <c r="C122" t="str">
        <f>"$ 22584,44"</f>
        <v>$ 22584,44</v>
      </c>
      <c r="D122" t="str">
        <f>"$ 22584,44"</f>
        <v>$ 22584,44</v>
      </c>
      <c r="E122" t="str">
        <f>"$ 22584,44"</f>
        <v>$ 22584,44</v>
      </c>
      <c r="F122" t="str">
        <f>"$ 22584,44"</f>
        <v>$ 22584,44</v>
      </c>
      <c r="G122" t="str">
        <f>"$ 22584,44"</f>
        <v>$ 22584,44</v>
      </c>
      <c r="H122" t="str">
        <f t="shared" si="50"/>
        <v>$ 0,00</v>
      </c>
      <c r="I122" t="str">
        <f t="shared" si="78"/>
        <v>BOBINAS DE ENCENDIDO</v>
      </c>
      <c r="J122" t="str">
        <f t="shared" si="51"/>
        <v>1</v>
      </c>
      <c r="K122" t="str">
        <f t="shared" si="80"/>
        <v>0</v>
      </c>
      <c r="L122" t="str">
        <f>"-3,000"</f>
        <v>-3,000</v>
      </c>
      <c r="M122" t="str">
        <f t="shared" si="53"/>
        <v xml:space="preserve"> </v>
      </c>
      <c r="N122" t="str">
        <f t="shared" si="86"/>
        <v>CADIC</v>
      </c>
      <c r="O122" t="str">
        <f t="shared" si="79"/>
        <v>BOBINAS</v>
      </c>
      <c r="P122" t="str">
        <f t="shared" si="81"/>
        <v>0</v>
      </c>
      <c r="Q122" t="str">
        <f t="shared" si="81"/>
        <v>0</v>
      </c>
      <c r="R122" t="str">
        <f t="shared" si="82"/>
        <v>0,00</v>
      </c>
      <c r="S122" t="str">
        <f t="shared" si="82"/>
        <v>0,00</v>
      </c>
      <c r="T122" t="str">
        <f t="shared" si="83"/>
        <v xml:space="preserve"> </v>
      </c>
      <c r="U122" t="str">
        <f t="shared" si="83"/>
        <v xml:space="preserve"> </v>
      </c>
      <c r="V122" t="str">
        <f>"-3,000"</f>
        <v>-3,000</v>
      </c>
      <c r="W122" t="str">
        <f t="shared" si="54"/>
        <v>Lista 4</v>
      </c>
      <c r="X122" t="str">
        <f t="shared" si="55"/>
        <v>Lista 5</v>
      </c>
      <c r="Y122" t="str">
        <f t="shared" si="56"/>
        <v>Oferta Gral.</v>
      </c>
      <c r="Z122" t="str">
        <f t="shared" si="57"/>
        <v>Rubro</v>
      </c>
      <c r="AA122" t="str">
        <f t="shared" si="58"/>
        <v>Cantidad por Bulto</v>
      </c>
      <c r="AB122" t="str">
        <f t="shared" si="59"/>
        <v>INNER</v>
      </c>
      <c r="AC122" t="str">
        <f t="shared" si="60"/>
        <v>Stock en Bultos</v>
      </c>
      <c r="AD122" t="str">
        <f t="shared" si="61"/>
        <v>SubDepósito</v>
      </c>
      <c r="AE122" t="str">
        <f t="shared" si="62"/>
        <v>Marca</v>
      </c>
      <c r="AF122" t="str">
        <f t="shared" si="63"/>
        <v>Super Rubro</v>
      </c>
      <c r="AG122" t="str">
        <f t="shared" si="64"/>
        <v>ComercioExterior</v>
      </c>
      <c r="AH122" t="str">
        <f t="shared" si="65"/>
        <v>PrecioFOB</v>
      </c>
      <c r="AI122" t="str">
        <f t="shared" si="66"/>
        <v>Monto II</v>
      </c>
      <c r="AJ122" t="str">
        <f t="shared" si="67"/>
        <v>Porcentaje II</v>
      </c>
      <c r="AK122" t="str">
        <f t="shared" si="68"/>
        <v>Foto</v>
      </c>
      <c r="AL122" t="str">
        <f>"{\rtf1\ansi\ansicpg1252\deff0\deflang11274{\fonttbl{\f0\fnil\fcharset0 MS Sans Serif}} \viewkind4\uc1\pard\f0\fs16 BOBINA ENC. PALIO BOBINA DOBLE\par } "</f>
        <v xml:space="preserve">{\rtf1\ansi\ansicpg1252\deff0\deflang11274{\fonttbl{\f0\fnil\fcharset0 MS Sans Serif}} \viewkind4\uc1\pard\f0\fs16 BOBINA ENC. PALIO BOBINA DOBLE\par } </v>
      </c>
      <c r="AM122" t="str">
        <f t="shared" si="87"/>
        <v>-</v>
      </c>
    </row>
    <row r="123" spans="1:39" x14ac:dyDescent="0.25">
      <c r="A123" t="str">
        <f>"KD8002B"</f>
        <v>KD8002B</v>
      </c>
      <c r="B123" t="str">
        <f>"BOBINA ENC. PALIO, SIENA 1.3 16V"</f>
        <v>BOBINA ENC. PALIO, SIENA 1.3 16V</v>
      </c>
      <c r="C123" t="str">
        <f>"$ 48436,18"</f>
        <v>$ 48436,18</v>
      </c>
      <c r="D123" t="str">
        <f>"$ 48436,18"</f>
        <v>$ 48436,18</v>
      </c>
      <c r="E123" t="str">
        <f>"$ 48436,18"</f>
        <v>$ 48436,18</v>
      </c>
      <c r="F123" t="str">
        <f>"$ 48436,18"</f>
        <v>$ 48436,18</v>
      </c>
      <c r="G123" t="str">
        <f>"$ 48436,18"</f>
        <v>$ 48436,18</v>
      </c>
      <c r="H123" t="str">
        <f t="shared" si="50"/>
        <v>$ 0,00</v>
      </c>
      <c r="I123" t="str">
        <f t="shared" si="78"/>
        <v>BOBINAS DE ENCENDIDO</v>
      </c>
      <c r="J123" t="str">
        <f t="shared" si="51"/>
        <v>1</v>
      </c>
      <c r="K123" t="str">
        <f t="shared" si="80"/>
        <v>0</v>
      </c>
      <c r="L123" t="str">
        <f>"0,000"</f>
        <v>0,000</v>
      </c>
      <c r="M123" t="str">
        <f t="shared" si="53"/>
        <v xml:space="preserve"> </v>
      </c>
      <c r="N123" t="str">
        <f t="shared" si="86"/>
        <v>CADIC</v>
      </c>
      <c r="O123" t="str">
        <f t="shared" si="79"/>
        <v>BOBINAS</v>
      </c>
      <c r="P123" t="str">
        <f t="shared" ref="P123:Q142" si="88">"0"</f>
        <v>0</v>
      </c>
      <c r="Q123" t="str">
        <f t="shared" si="88"/>
        <v>0</v>
      </c>
      <c r="R123" t="str">
        <f t="shared" ref="R123:S142" si="89">"0,00"</f>
        <v>0,00</v>
      </c>
      <c r="S123" t="str">
        <f t="shared" si="89"/>
        <v>0,00</v>
      </c>
      <c r="T123" t="str">
        <f t="shared" ref="T123:U142" si="90">" "</f>
        <v xml:space="preserve"> </v>
      </c>
      <c r="U123" t="str">
        <f t="shared" si="90"/>
        <v xml:space="preserve"> </v>
      </c>
      <c r="V123" t="str">
        <f>"0,000"</f>
        <v>0,000</v>
      </c>
      <c r="W123" t="str">
        <f t="shared" si="54"/>
        <v>Lista 4</v>
      </c>
      <c r="X123" t="str">
        <f t="shared" si="55"/>
        <v>Lista 5</v>
      </c>
      <c r="Y123" t="str">
        <f t="shared" si="56"/>
        <v>Oferta Gral.</v>
      </c>
      <c r="Z123" t="str">
        <f t="shared" si="57"/>
        <v>Rubro</v>
      </c>
      <c r="AA123" t="str">
        <f t="shared" si="58"/>
        <v>Cantidad por Bulto</v>
      </c>
      <c r="AB123" t="str">
        <f t="shared" si="59"/>
        <v>INNER</v>
      </c>
      <c r="AC123" t="str">
        <f t="shared" si="60"/>
        <v>Stock en Bultos</v>
      </c>
      <c r="AD123" t="str">
        <f t="shared" si="61"/>
        <v>SubDepósito</v>
      </c>
      <c r="AE123" t="str">
        <f t="shared" si="62"/>
        <v>Marca</v>
      </c>
      <c r="AF123" t="str">
        <f t="shared" si="63"/>
        <v>Super Rubro</v>
      </c>
      <c r="AG123" t="str">
        <f t="shared" si="64"/>
        <v>ComercioExterior</v>
      </c>
      <c r="AH123" t="str">
        <f t="shared" si="65"/>
        <v>PrecioFOB</v>
      </c>
      <c r="AI123" t="str">
        <f t="shared" si="66"/>
        <v>Monto II</v>
      </c>
      <c r="AJ123" t="str">
        <f t="shared" si="67"/>
        <v>Porcentaje II</v>
      </c>
      <c r="AK123" t="str">
        <f t="shared" si="68"/>
        <v>Foto</v>
      </c>
      <c r="AL123" t="str">
        <f>"{\rtf1\ansi\ansicpg1252\deff0\deflang11274{\fonttbl{\f0\fnil\fcharset0 MS Sans Serif}} \viewkind4\uc1\pard\f0\fs16 BOBINA ENC. PALIO, SIENA 1.3 16V\par } "</f>
        <v xml:space="preserve">{\rtf1\ansi\ansicpg1252\deff0\deflang11274{\fonttbl{\f0\fnil\fcharset0 MS Sans Serif}} \viewkind4\uc1\pard\f0\fs16 BOBINA ENC. PALIO, SIENA 1.3 16V\par } </v>
      </c>
      <c r="AM123" t="str">
        <f t="shared" si="87"/>
        <v>-</v>
      </c>
    </row>
    <row r="124" spans="1:39" x14ac:dyDescent="0.25">
      <c r="A124" t="str">
        <f>"RGU11447"</f>
        <v>RGU11447</v>
      </c>
      <c r="B124" t="str">
        <f>"BOBINA ENC. PEUGEOT, CITROEN"</f>
        <v>BOBINA ENC. PEUGEOT, CITROEN</v>
      </c>
      <c r="C124" t="str">
        <f>"$ 111038,08"</f>
        <v>$ 111038,08</v>
      </c>
      <c r="D124" t="str">
        <f>"$ 111038,08"</f>
        <v>$ 111038,08</v>
      </c>
      <c r="E124" t="str">
        <f>"$ 111038,08"</f>
        <v>$ 111038,08</v>
      </c>
      <c r="F124" t="str">
        <f>"$ 111038,08"</f>
        <v>$ 111038,08</v>
      </c>
      <c r="G124" t="str">
        <f>"$ 111038,08"</f>
        <v>$ 111038,08</v>
      </c>
      <c r="H124" t="str">
        <f t="shared" si="50"/>
        <v>$ 0,00</v>
      </c>
      <c r="I124" t="str">
        <f t="shared" si="78"/>
        <v>BOBINAS DE ENCENDIDO</v>
      </c>
      <c r="J124" t="str">
        <f t="shared" si="51"/>
        <v>1</v>
      </c>
      <c r="K124" t="str">
        <f t="shared" si="80"/>
        <v>0</v>
      </c>
      <c r="L124" t="str">
        <f>"3,000"</f>
        <v>3,000</v>
      </c>
      <c r="M124" t="str">
        <f t="shared" si="53"/>
        <v xml:space="preserve"> </v>
      </c>
      <c r="N124" t="str">
        <f>"REGITAR"</f>
        <v>REGITAR</v>
      </c>
      <c r="O124" t="str">
        <f t="shared" si="79"/>
        <v>BOBINAS</v>
      </c>
      <c r="P124" t="str">
        <f t="shared" si="88"/>
        <v>0</v>
      </c>
      <c r="Q124" t="str">
        <f t="shared" si="88"/>
        <v>0</v>
      </c>
      <c r="R124" t="str">
        <f t="shared" si="89"/>
        <v>0,00</v>
      </c>
      <c r="S124" t="str">
        <f t="shared" si="89"/>
        <v>0,00</v>
      </c>
      <c r="T124" t="str">
        <f t="shared" si="90"/>
        <v xml:space="preserve"> </v>
      </c>
      <c r="U124" t="str">
        <f t="shared" si="90"/>
        <v xml:space="preserve"> </v>
      </c>
      <c r="V124" t="str">
        <f>"3,000"</f>
        <v>3,000</v>
      </c>
      <c r="W124" t="str">
        <f t="shared" si="54"/>
        <v>Lista 4</v>
      </c>
      <c r="X124" t="str">
        <f t="shared" si="55"/>
        <v>Lista 5</v>
      </c>
      <c r="Y124" t="str">
        <f t="shared" si="56"/>
        <v>Oferta Gral.</v>
      </c>
      <c r="Z124" t="str">
        <f t="shared" si="57"/>
        <v>Rubro</v>
      </c>
      <c r="AA124" t="str">
        <f t="shared" si="58"/>
        <v>Cantidad por Bulto</v>
      </c>
      <c r="AB124" t="str">
        <f t="shared" si="59"/>
        <v>INNER</v>
      </c>
      <c r="AC124" t="str">
        <f t="shared" si="60"/>
        <v>Stock en Bultos</v>
      </c>
      <c r="AD124" t="str">
        <f t="shared" si="61"/>
        <v>SubDepósito</v>
      </c>
      <c r="AE124" t="str">
        <f t="shared" si="62"/>
        <v>Marca</v>
      </c>
      <c r="AF124" t="str">
        <f t="shared" si="63"/>
        <v>Super Rubro</v>
      </c>
      <c r="AG124" t="str">
        <f t="shared" si="64"/>
        <v>ComercioExterior</v>
      </c>
      <c r="AH124" t="str">
        <f t="shared" si="65"/>
        <v>PrecioFOB</v>
      </c>
      <c r="AI124" t="str">
        <f t="shared" si="66"/>
        <v>Monto II</v>
      </c>
      <c r="AJ124" t="str">
        <f t="shared" si="67"/>
        <v>Porcentaje II</v>
      </c>
      <c r="AK124" t="str">
        <f t="shared" si="68"/>
        <v>Foto</v>
      </c>
      <c r="AL124" t="str">
        <f>"{\rtf1\ansi\ansicpg1252\deff0\deflang11274{\fonttbl{\f0\fnil\fcharset0 MS Sans Serif}} \viewkind4\uc1\pard\f0\fs16 BOBINA ENC. PEUGEOT, CITROEN\par } "</f>
        <v xml:space="preserve">{\rtf1\ansi\ansicpg1252\deff0\deflang11274{\fonttbl{\f0\fnil\fcharset0 MS Sans Serif}} \viewkind4\uc1\pard\f0\fs16 BOBINA ENC. PEUGEOT, CITROEN\par } </v>
      </c>
      <c r="AM124" t="str">
        <f t="shared" si="87"/>
        <v>-</v>
      </c>
    </row>
    <row r="125" spans="1:39" x14ac:dyDescent="0.25">
      <c r="A125" t="str">
        <f>"KD3106"</f>
        <v>KD3106</v>
      </c>
      <c r="B125" t="str">
        <f>"BOBINA ENC. R19, CLIO  MODELO VIEJO ?’95"</f>
        <v>BOBINA ENC. R19, CLIO  MODELO VIEJO ?’95</v>
      </c>
      <c r="C125" t="str">
        <f>"$ 28316,53"</f>
        <v>$ 28316,53</v>
      </c>
      <c r="D125" t="str">
        <f>"$ 28316,53"</f>
        <v>$ 28316,53</v>
      </c>
      <c r="E125" t="str">
        <f>"$ 28316,53"</f>
        <v>$ 28316,53</v>
      </c>
      <c r="F125" t="str">
        <f>"$ 28316,53"</f>
        <v>$ 28316,53</v>
      </c>
      <c r="G125" t="str">
        <f>"$ 28316,53"</f>
        <v>$ 28316,53</v>
      </c>
      <c r="H125" t="str">
        <f t="shared" si="50"/>
        <v>$ 0,00</v>
      </c>
      <c r="I125" t="str">
        <f t="shared" si="78"/>
        <v>BOBINAS DE ENCENDIDO</v>
      </c>
      <c r="J125" t="str">
        <f t="shared" si="51"/>
        <v>1</v>
      </c>
      <c r="K125" t="str">
        <f t="shared" si="80"/>
        <v>0</v>
      </c>
      <c r="L125" t="str">
        <f>"0,000"</f>
        <v>0,000</v>
      </c>
      <c r="M125" t="str">
        <f t="shared" si="53"/>
        <v xml:space="preserve"> </v>
      </c>
      <c r="N125" t="str">
        <f>"CADIC"</f>
        <v>CADIC</v>
      </c>
      <c r="O125" t="str">
        <f t="shared" si="79"/>
        <v>BOBINAS</v>
      </c>
      <c r="P125" t="str">
        <f t="shared" si="88"/>
        <v>0</v>
      </c>
      <c r="Q125" t="str">
        <f t="shared" si="88"/>
        <v>0</v>
      </c>
      <c r="R125" t="str">
        <f t="shared" si="89"/>
        <v>0,00</v>
      </c>
      <c r="S125" t="str">
        <f t="shared" si="89"/>
        <v>0,00</v>
      </c>
      <c r="T125" t="str">
        <f t="shared" si="90"/>
        <v xml:space="preserve"> </v>
      </c>
      <c r="U125" t="str">
        <f t="shared" si="90"/>
        <v xml:space="preserve"> </v>
      </c>
      <c r="V125" t="str">
        <f>"0,000"</f>
        <v>0,000</v>
      </c>
      <c r="W125" t="str">
        <f t="shared" si="54"/>
        <v>Lista 4</v>
      </c>
      <c r="X125" t="str">
        <f t="shared" si="55"/>
        <v>Lista 5</v>
      </c>
      <c r="Y125" t="str">
        <f t="shared" si="56"/>
        <v>Oferta Gral.</v>
      </c>
      <c r="Z125" t="str">
        <f t="shared" si="57"/>
        <v>Rubro</v>
      </c>
      <c r="AA125" t="str">
        <f t="shared" si="58"/>
        <v>Cantidad por Bulto</v>
      </c>
      <c r="AB125" t="str">
        <f t="shared" si="59"/>
        <v>INNER</v>
      </c>
      <c r="AC125" t="str">
        <f t="shared" si="60"/>
        <v>Stock en Bultos</v>
      </c>
      <c r="AD125" t="str">
        <f t="shared" si="61"/>
        <v>SubDepósito</v>
      </c>
      <c r="AE125" t="str">
        <f t="shared" si="62"/>
        <v>Marca</v>
      </c>
      <c r="AF125" t="str">
        <f t="shared" si="63"/>
        <v>Super Rubro</v>
      </c>
      <c r="AG125" t="str">
        <f t="shared" si="64"/>
        <v>ComercioExterior</v>
      </c>
      <c r="AH125" t="str">
        <f t="shared" si="65"/>
        <v>PrecioFOB</v>
      </c>
      <c r="AI125" t="str">
        <f t="shared" si="66"/>
        <v>Monto II</v>
      </c>
      <c r="AJ125" t="str">
        <f t="shared" si="67"/>
        <v>Porcentaje II</v>
      </c>
      <c r="AK125" t="str">
        <f t="shared" si="68"/>
        <v>Foto</v>
      </c>
      <c r="AL125" t="str">
        <f>"{\rtf1\ansi\ansicpg1252\deff0\deflang11274{\fonttbl{\f0\fnil\fcharset0 MS Sans Serif}} \viewkind4\uc1\pard\f0\fs16 BOBINA ENC. R19, CLIO  MODELO VIEJO ?\rquote 95\par } "</f>
        <v xml:space="preserve">{\rtf1\ansi\ansicpg1252\deff0\deflang11274{\fonttbl{\f0\fnil\fcharset0 MS Sans Serif}} \viewkind4\uc1\pard\f0\fs16 BOBINA ENC. R19, CLIO  MODELO VIEJO ?\rquote 95\par } </v>
      </c>
      <c r="AM125" t="str">
        <f t="shared" si="87"/>
        <v>-</v>
      </c>
    </row>
    <row r="126" spans="1:39" x14ac:dyDescent="0.25">
      <c r="A126" t="str">
        <f>"KD2702"</f>
        <v>KD2702</v>
      </c>
      <c r="B126" t="str">
        <f>"BOBINA ENC. R19, CLIO ’95?"</f>
        <v>BOBINA ENC. R19, CLIO ’95?</v>
      </c>
      <c r="C126" t="str">
        <f>"$ 24304,07"</f>
        <v>$ 24304,07</v>
      </c>
      <c r="D126" t="str">
        <f>"$ 24304,07"</f>
        <v>$ 24304,07</v>
      </c>
      <c r="E126" t="str">
        <f>"$ 24304,07"</f>
        <v>$ 24304,07</v>
      </c>
      <c r="F126" t="str">
        <f>"$ 24304,07"</f>
        <v>$ 24304,07</v>
      </c>
      <c r="G126" t="str">
        <f>"$ 24304,07"</f>
        <v>$ 24304,07</v>
      </c>
      <c r="H126" t="str">
        <f t="shared" si="50"/>
        <v>$ 0,00</v>
      </c>
      <c r="I126" t="str">
        <f t="shared" si="78"/>
        <v>BOBINAS DE ENCENDIDO</v>
      </c>
      <c r="J126" t="str">
        <f t="shared" si="51"/>
        <v>1</v>
      </c>
      <c r="K126" t="str">
        <f t="shared" si="80"/>
        <v>0</v>
      </c>
      <c r="L126" t="str">
        <f>"1,000"</f>
        <v>1,000</v>
      </c>
      <c r="M126" t="str">
        <f t="shared" si="53"/>
        <v xml:space="preserve"> </v>
      </c>
      <c r="N126" t="str">
        <f>"CADIC"</f>
        <v>CADIC</v>
      </c>
      <c r="O126" t="str">
        <f t="shared" si="79"/>
        <v>BOBINAS</v>
      </c>
      <c r="P126" t="str">
        <f t="shared" si="88"/>
        <v>0</v>
      </c>
      <c r="Q126" t="str">
        <f t="shared" si="88"/>
        <v>0</v>
      </c>
      <c r="R126" t="str">
        <f t="shared" si="89"/>
        <v>0,00</v>
      </c>
      <c r="S126" t="str">
        <f t="shared" si="89"/>
        <v>0,00</v>
      </c>
      <c r="T126" t="str">
        <f t="shared" si="90"/>
        <v xml:space="preserve"> </v>
      </c>
      <c r="U126" t="str">
        <f t="shared" si="90"/>
        <v xml:space="preserve"> </v>
      </c>
      <c r="V126" t="str">
        <f>"1,000"</f>
        <v>1,000</v>
      </c>
      <c r="W126" t="str">
        <f t="shared" si="54"/>
        <v>Lista 4</v>
      </c>
      <c r="X126" t="str">
        <f t="shared" si="55"/>
        <v>Lista 5</v>
      </c>
      <c r="Y126" t="str">
        <f t="shared" si="56"/>
        <v>Oferta Gral.</v>
      </c>
      <c r="Z126" t="str">
        <f t="shared" si="57"/>
        <v>Rubro</v>
      </c>
      <c r="AA126" t="str">
        <f t="shared" si="58"/>
        <v>Cantidad por Bulto</v>
      </c>
      <c r="AB126" t="str">
        <f t="shared" si="59"/>
        <v>INNER</v>
      </c>
      <c r="AC126" t="str">
        <f t="shared" si="60"/>
        <v>Stock en Bultos</v>
      </c>
      <c r="AD126" t="str">
        <f t="shared" si="61"/>
        <v>SubDepósito</v>
      </c>
      <c r="AE126" t="str">
        <f t="shared" si="62"/>
        <v>Marca</v>
      </c>
      <c r="AF126" t="str">
        <f t="shared" si="63"/>
        <v>Super Rubro</v>
      </c>
      <c r="AG126" t="str">
        <f t="shared" si="64"/>
        <v>ComercioExterior</v>
      </c>
      <c r="AH126" t="str">
        <f t="shared" si="65"/>
        <v>PrecioFOB</v>
      </c>
      <c r="AI126" t="str">
        <f t="shared" si="66"/>
        <v>Monto II</v>
      </c>
      <c r="AJ126" t="str">
        <f t="shared" si="67"/>
        <v>Porcentaje II</v>
      </c>
      <c r="AK126" t="str">
        <f t="shared" si="68"/>
        <v>Foto</v>
      </c>
      <c r="AL126" t="str">
        <f>"{\rtf1\ansi\ansicpg1252\deff0\deflang11274{\fonttbl{\f0\fnil\fcharset0 MS Sans Serif}} \viewkind4\uc1\pard\f0\fs16 BOBINA ENC. R19, CLIO \rquote 95?\par } "</f>
        <v xml:space="preserve">{\rtf1\ansi\ansicpg1252\deff0\deflang11274{\fonttbl{\f0\fnil\fcharset0 MS Sans Serif}} \viewkind4\uc1\pard\f0\fs16 BOBINA ENC. R19, CLIO \rquote 95?\par } </v>
      </c>
      <c r="AM126" t="str">
        <f t="shared" si="87"/>
        <v>-</v>
      </c>
    </row>
    <row r="127" spans="1:39" x14ac:dyDescent="0.25">
      <c r="A127" t="str">
        <f>"KD2809"</f>
        <v>KD2809</v>
      </c>
      <c r="B127" t="str">
        <f>"BOBINA ENC. R21, R19 INJECTION"</f>
        <v>BOBINA ENC. R21, R19 INJECTION</v>
      </c>
      <c r="C127" t="str">
        <f>"$ 28611,82"</f>
        <v>$ 28611,82</v>
      </c>
      <c r="D127" t="str">
        <f>"$ 28611,82"</f>
        <v>$ 28611,82</v>
      </c>
      <c r="E127" t="str">
        <f>"$ 28611,82"</f>
        <v>$ 28611,82</v>
      </c>
      <c r="F127" t="str">
        <f>"$ 28611,82"</f>
        <v>$ 28611,82</v>
      </c>
      <c r="G127" t="str">
        <f>"$ 28611,82"</f>
        <v>$ 28611,82</v>
      </c>
      <c r="H127" t="str">
        <f t="shared" si="50"/>
        <v>$ 0,00</v>
      </c>
      <c r="I127" t="str">
        <f t="shared" si="78"/>
        <v>BOBINAS DE ENCENDIDO</v>
      </c>
      <c r="J127" t="str">
        <f t="shared" si="51"/>
        <v>1</v>
      </c>
      <c r="K127" t="str">
        <f t="shared" si="80"/>
        <v>0</v>
      </c>
      <c r="L127" t="str">
        <f>"0,000"</f>
        <v>0,000</v>
      </c>
      <c r="M127" t="str">
        <f t="shared" si="53"/>
        <v xml:space="preserve"> </v>
      </c>
      <c r="N127" t="str">
        <f>"CADIC"</f>
        <v>CADIC</v>
      </c>
      <c r="O127" t="str">
        <f t="shared" si="79"/>
        <v>BOBINAS</v>
      </c>
      <c r="P127" t="str">
        <f t="shared" si="88"/>
        <v>0</v>
      </c>
      <c r="Q127" t="str">
        <f t="shared" si="88"/>
        <v>0</v>
      </c>
      <c r="R127" t="str">
        <f t="shared" si="89"/>
        <v>0,00</v>
      </c>
      <c r="S127" t="str">
        <f t="shared" si="89"/>
        <v>0,00</v>
      </c>
      <c r="T127" t="str">
        <f t="shared" si="90"/>
        <v xml:space="preserve"> </v>
      </c>
      <c r="U127" t="str">
        <f t="shared" si="90"/>
        <v xml:space="preserve"> </v>
      </c>
      <c r="V127" t="str">
        <f>"0,000"</f>
        <v>0,000</v>
      </c>
      <c r="W127" t="str">
        <f t="shared" si="54"/>
        <v>Lista 4</v>
      </c>
      <c r="X127" t="str">
        <f t="shared" si="55"/>
        <v>Lista 5</v>
      </c>
      <c r="Y127" t="str">
        <f t="shared" si="56"/>
        <v>Oferta Gral.</v>
      </c>
      <c r="Z127" t="str">
        <f t="shared" si="57"/>
        <v>Rubro</v>
      </c>
      <c r="AA127" t="str">
        <f t="shared" si="58"/>
        <v>Cantidad por Bulto</v>
      </c>
      <c r="AB127" t="str">
        <f t="shared" si="59"/>
        <v>INNER</v>
      </c>
      <c r="AC127" t="str">
        <f t="shared" si="60"/>
        <v>Stock en Bultos</v>
      </c>
      <c r="AD127" t="str">
        <f t="shared" si="61"/>
        <v>SubDepósito</v>
      </c>
      <c r="AE127" t="str">
        <f t="shared" si="62"/>
        <v>Marca</v>
      </c>
      <c r="AF127" t="str">
        <f t="shared" si="63"/>
        <v>Super Rubro</v>
      </c>
      <c r="AG127" t="str">
        <f t="shared" si="64"/>
        <v>ComercioExterior</v>
      </c>
      <c r="AH127" t="str">
        <f t="shared" si="65"/>
        <v>PrecioFOB</v>
      </c>
      <c r="AI127" t="str">
        <f t="shared" si="66"/>
        <v>Monto II</v>
      </c>
      <c r="AJ127" t="str">
        <f t="shared" si="67"/>
        <v>Porcentaje II</v>
      </c>
      <c r="AK127" t="str">
        <f t="shared" si="68"/>
        <v>Foto</v>
      </c>
      <c r="AL127" t="str">
        <f>"{\rtf1\ansi\ansicpg1252\deff0\deflang11274{\fonttbl{\f0\fnil\fcharset0 MS Sans Serif}} \viewkind4\uc1\pard\f0\fs16 BOBINA ENC. R21, R19 INJECTION\par } "</f>
        <v xml:space="preserve">{\rtf1\ansi\ansicpg1252\deff0\deflang11274{\fonttbl{\f0\fnil\fcharset0 MS Sans Serif}} \viewkind4\uc1\pard\f0\fs16 BOBINA ENC. R21, R19 INJECTION\par } </v>
      </c>
      <c r="AM127" t="str">
        <f t="shared" si="87"/>
        <v>-</v>
      </c>
    </row>
    <row r="128" spans="1:39" x14ac:dyDescent="0.25">
      <c r="A128" t="str">
        <f>"RGU11391"</f>
        <v>RGU11391</v>
      </c>
      <c r="B128" t="str">
        <f>"BOBINA ENC. RENAULT 19 1.6 (DESDE 1995), 9 (ULTIMA SERIE), TRAFIC, TWINGO,"</f>
        <v>BOBINA ENC. RENAULT 19 1.6 (DESDE 1995), 9 (ULTIMA SERIE), TRAFIC, TWINGO,</v>
      </c>
      <c r="C128" t="str">
        <f>"$ 36203,26"</f>
        <v>$ 36203,26</v>
      </c>
      <c r="D128" t="str">
        <f>"$ 36203,26"</f>
        <v>$ 36203,26</v>
      </c>
      <c r="E128" t="str">
        <f>"$ 36203,26"</f>
        <v>$ 36203,26</v>
      </c>
      <c r="F128" t="str">
        <f>"$ 36203,26"</f>
        <v>$ 36203,26</v>
      </c>
      <c r="G128" t="str">
        <f>"$ 36203,26"</f>
        <v>$ 36203,26</v>
      </c>
      <c r="H128" t="str">
        <f t="shared" si="50"/>
        <v>$ 0,00</v>
      </c>
      <c r="I128" t="str">
        <f t="shared" ref="I128:I141" si="91">"BOBINAS DE ENCENDIDO"</f>
        <v>BOBINAS DE ENCENDIDO</v>
      </c>
      <c r="J128" t="str">
        <f t="shared" si="51"/>
        <v>1</v>
      </c>
      <c r="K128" t="str">
        <f t="shared" si="80"/>
        <v>0</v>
      </c>
      <c r="L128" t="str">
        <f>"0,000"</f>
        <v>0,000</v>
      </c>
      <c r="M128" t="str">
        <f t="shared" si="53"/>
        <v xml:space="preserve"> </v>
      </c>
      <c r="N128" t="str">
        <f>"REGITAR"</f>
        <v>REGITAR</v>
      </c>
      <c r="O128" t="str">
        <f t="shared" ref="O128:O159" si="92">"BOBINAS"</f>
        <v>BOBINAS</v>
      </c>
      <c r="P128" t="str">
        <f t="shared" si="88"/>
        <v>0</v>
      </c>
      <c r="Q128" t="str">
        <f t="shared" si="88"/>
        <v>0</v>
      </c>
      <c r="R128" t="str">
        <f t="shared" si="89"/>
        <v>0,00</v>
      </c>
      <c r="S128" t="str">
        <f t="shared" si="89"/>
        <v>0,00</v>
      </c>
      <c r="T128" t="str">
        <f t="shared" si="90"/>
        <v xml:space="preserve"> </v>
      </c>
      <c r="U128" t="str">
        <f t="shared" si="90"/>
        <v xml:space="preserve"> </v>
      </c>
      <c r="V128" t="str">
        <f>"0,000"</f>
        <v>0,000</v>
      </c>
      <c r="W128" t="str">
        <f t="shared" si="54"/>
        <v>Lista 4</v>
      </c>
      <c r="X128" t="str">
        <f t="shared" si="55"/>
        <v>Lista 5</v>
      </c>
      <c r="Y128" t="str">
        <f t="shared" si="56"/>
        <v>Oferta Gral.</v>
      </c>
      <c r="Z128" t="str">
        <f t="shared" si="57"/>
        <v>Rubro</v>
      </c>
      <c r="AA128" t="str">
        <f t="shared" si="58"/>
        <v>Cantidad por Bulto</v>
      </c>
      <c r="AB128" t="str">
        <f t="shared" si="59"/>
        <v>INNER</v>
      </c>
      <c r="AC128" t="str">
        <f t="shared" si="60"/>
        <v>Stock en Bultos</v>
      </c>
      <c r="AD128" t="str">
        <f t="shared" si="61"/>
        <v>SubDepósito</v>
      </c>
      <c r="AE128" t="str">
        <f t="shared" si="62"/>
        <v>Marca</v>
      </c>
      <c r="AF128" t="str">
        <f t="shared" si="63"/>
        <v>Super Rubro</v>
      </c>
      <c r="AG128" t="str">
        <f t="shared" si="64"/>
        <v>ComercioExterior</v>
      </c>
      <c r="AH128" t="str">
        <f t="shared" si="65"/>
        <v>PrecioFOB</v>
      </c>
      <c r="AI128" t="str">
        <f t="shared" si="66"/>
        <v>Monto II</v>
      </c>
      <c r="AJ128" t="str">
        <f t="shared" si="67"/>
        <v>Porcentaje II</v>
      </c>
      <c r="AK128" t="str">
        <f t="shared" si="68"/>
        <v>Foto</v>
      </c>
      <c r="AL128" t="str">
        <f>"{\rtf1\ansi\ansicpg1252\deff0\deflang11274{\fonttbl{\f0\fnil\fcharset0 MS Sans Serif}} \viewkind4\uc1\pard\f0\fs16 BOBINA ENC. RENAULT 19 1.6 (DESDE 1995), 9 (ULTIMA SERIE), TRAFIC, TWINGO,\par } "</f>
        <v xml:space="preserve">{\rtf1\ansi\ansicpg1252\deff0\deflang11274{\fonttbl{\f0\fnil\fcharset0 MS Sans Serif}} \viewkind4\uc1\pard\f0\fs16 BOBINA ENC. RENAULT 19 1.6 (DESDE 1995), 9 (ULTIMA SERIE), TRAFIC, TWINGO,\par } </v>
      </c>
      <c r="AM128" t="str">
        <f t="shared" si="87"/>
        <v>-</v>
      </c>
    </row>
    <row r="129" spans="1:39" x14ac:dyDescent="0.25">
      <c r="A129" t="str">
        <f>"RGU11439"</f>
        <v>RGU11439</v>
      </c>
      <c r="B129" t="str">
        <f>"BOBINA ENC. RENAULT CLIO II-KANGOO-TWINGO 1 0 16V-1 2 3 AGUJEROS"</f>
        <v>BOBINA ENC. RENAULT CLIO II-KANGOO-TWINGO 1 0 16V-1 2 3 AGUJEROS</v>
      </c>
      <c r="C129" t="str">
        <f>"$ 97545,01"</f>
        <v>$ 97545,01</v>
      </c>
      <c r="D129" t="str">
        <f>"$ 97545,01"</f>
        <v>$ 97545,01</v>
      </c>
      <c r="E129" t="str">
        <f>"$ 97545,01"</f>
        <v>$ 97545,01</v>
      </c>
      <c r="F129" t="str">
        <f>"$ 97545,01"</f>
        <v>$ 97545,01</v>
      </c>
      <c r="G129" t="str">
        <f>"$ 97545,01"</f>
        <v>$ 97545,01</v>
      </c>
      <c r="H129" t="str">
        <f t="shared" si="50"/>
        <v>$ 0,00</v>
      </c>
      <c r="I129" t="str">
        <f t="shared" si="91"/>
        <v>BOBINAS DE ENCENDIDO</v>
      </c>
      <c r="J129" t="str">
        <f t="shared" si="51"/>
        <v>1</v>
      </c>
      <c r="K129" t="str">
        <f t="shared" si="80"/>
        <v>0</v>
      </c>
      <c r="L129" t="str">
        <f>"0,000"</f>
        <v>0,000</v>
      </c>
      <c r="M129" t="str">
        <f t="shared" si="53"/>
        <v xml:space="preserve"> </v>
      </c>
      <c r="N129" t="str">
        <f>"REGITAR"</f>
        <v>REGITAR</v>
      </c>
      <c r="O129" t="str">
        <f t="shared" si="92"/>
        <v>BOBINAS</v>
      </c>
      <c r="P129" t="str">
        <f t="shared" si="88"/>
        <v>0</v>
      </c>
      <c r="Q129" t="str">
        <f t="shared" si="88"/>
        <v>0</v>
      </c>
      <c r="R129" t="str">
        <f t="shared" si="89"/>
        <v>0,00</v>
      </c>
      <c r="S129" t="str">
        <f t="shared" si="89"/>
        <v>0,00</v>
      </c>
      <c r="T129" t="str">
        <f t="shared" si="90"/>
        <v xml:space="preserve"> </v>
      </c>
      <c r="U129" t="str">
        <f t="shared" si="90"/>
        <v xml:space="preserve"> </v>
      </c>
      <c r="V129" t="str">
        <f>"0,000"</f>
        <v>0,000</v>
      </c>
      <c r="W129" t="str">
        <f t="shared" si="54"/>
        <v>Lista 4</v>
      </c>
      <c r="X129" t="str">
        <f t="shared" si="55"/>
        <v>Lista 5</v>
      </c>
      <c r="Y129" t="str">
        <f t="shared" si="56"/>
        <v>Oferta Gral.</v>
      </c>
      <c r="Z129" t="str">
        <f t="shared" si="57"/>
        <v>Rubro</v>
      </c>
      <c r="AA129" t="str">
        <f t="shared" si="58"/>
        <v>Cantidad por Bulto</v>
      </c>
      <c r="AB129" t="str">
        <f t="shared" si="59"/>
        <v>INNER</v>
      </c>
      <c r="AC129" t="str">
        <f t="shared" si="60"/>
        <v>Stock en Bultos</v>
      </c>
      <c r="AD129" t="str">
        <f t="shared" si="61"/>
        <v>SubDepósito</v>
      </c>
      <c r="AE129" t="str">
        <f t="shared" si="62"/>
        <v>Marca</v>
      </c>
      <c r="AF129" t="str">
        <f t="shared" si="63"/>
        <v>Super Rubro</v>
      </c>
      <c r="AG129" t="str">
        <f t="shared" si="64"/>
        <v>ComercioExterior</v>
      </c>
      <c r="AH129" t="str">
        <f t="shared" si="65"/>
        <v>PrecioFOB</v>
      </c>
      <c r="AI129" t="str">
        <f t="shared" si="66"/>
        <v>Monto II</v>
      </c>
      <c r="AJ129" t="str">
        <f t="shared" si="67"/>
        <v>Porcentaje II</v>
      </c>
      <c r="AK129" t="str">
        <f t="shared" si="68"/>
        <v>Foto</v>
      </c>
      <c r="AL129" t="str">
        <f>"{\rtf1\ansi\ansicpg1252\deff0\deflang11274{\fonttbl{\f0\fnil\fcharset0 MS Sans Serif}} \viewkind4\uc1\pard\f0\fs16 BOBINA ENC. RENAULT CLIO II-KANGOO-TWINGO 1 0 16V-1 2 3 AGUJEROS\par } "</f>
        <v xml:space="preserve">{\rtf1\ansi\ansicpg1252\deff0\deflang11274{\fonttbl{\f0\fnil\fcharset0 MS Sans Serif}} \viewkind4\uc1\pard\f0\fs16 BOBINA ENC. RENAULT CLIO II-KANGOO-TWINGO 1 0 16V-1 2 3 AGUJEROS\par } </v>
      </c>
      <c r="AM129" t="str">
        <f t="shared" si="87"/>
        <v>-</v>
      </c>
    </row>
    <row r="130" spans="1:39" x14ac:dyDescent="0.25">
      <c r="A130" t="str">
        <f>"RGU11444"</f>
        <v>RGU11444</v>
      </c>
      <c r="B130" t="str">
        <f>"BOBINA ENC. RENAULT CLIO-KANGOO-TWINGO"</f>
        <v>BOBINA ENC. RENAULT CLIO-KANGOO-TWINGO</v>
      </c>
      <c r="C130" t="str">
        <f>"$ 102369,98"</f>
        <v>$ 102369,98</v>
      </c>
      <c r="D130" t="str">
        <f>"$ 102369,98"</f>
        <v>$ 102369,98</v>
      </c>
      <c r="E130" t="str">
        <f>"$ 102369,98"</f>
        <v>$ 102369,98</v>
      </c>
      <c r="F130" t="str">
        <f>"$ 102369,98"</f>
        <v>$ 102369,98</v>
      </c>
      <c r="G130" t="str">
        <f>"$ 102369,98"</f>
        <v>$ 102369,98</v>
      </c>
      <c r="H130" t="str">
        <f t="shared" si="50"/>
        <v>$ 0,00</v>
      </c>
      <c r="I130" t="str">
        <f t="shared" si="91"/>
        <v>BOBINAS DE ENCENDIDO</v>
      </c>
      <c r="J130" t="str">
        <f t="shared" si="51"/>
        <v>1</v>
      </c>
      <c r="K130" t="str">
        <f t="shared" si="80"/>
        <v>0</v>
      </c>
      <c r="L130" t="str">
        <f>"0,000"</f>
        <v>0,000</v>
      </c>
      <c r="M130" t="str">
        <f t="shared" si="53"/>
        <v xml:space="preserve"> </v>
      </c>
      <c r="N130" t="str">
        <f>"REGITAR"</f>
        <v>REGITAR</v>
      </c>
      <c r="O130" t="str">
        <f t="shared" si="92"/>
        <v>BOBINAS</v>
      </c>
      <c r="P130" t="str">
        <f t="shared" si="88"/>
        <v>0</v>
      </c>
      <c r="Q130" t="str">
        <f t="shared" si="88"/>
        <v>0</v>
      </c>
      <c r="R130" t="str">
        <f t="shared" si="89"/>
        <v>0,00</v>
      </c>
      <c r="S130" t="str">
        <f t="shared" si="89"/>
        <v>0,00</v>
      </c>
      <c r="T130" t="str">
        <f t="shared" si="90"/>
        <v xml:space="preserve"> </v>
      </c>
      <c r="U130" t="str">
        <f t="shared" si="90"/>
        <v xml:space="preserve"> </v>
      </c>
      <c r="V130" t="str">
        <f>"0,000"</f>
        <v>0,000</v>
      </c>
      <c r="W130" t="str">
        <f t="shared" si="54"/>
        <v>Lista 4</v>
      </c>
      <c r="X130" t="str">
        <f t="shared" si="55"/>
        <v>Lista 5</v>
      </c>
      <c r="Y130" t="str">
        <f t="shared" si="56"/>
        <v>Oferta Gral.</v>
      </c>
      <c r="Z130" t="str">
        <f t="shared" si="57"/>
        <v>Rubro</v>
      </c>
      <c r="AA130" t="str">
        <f t="shared" si="58"/>
        <v>Cantidad por Bulto</v>
      </c>
      <c r="AB130" t="str">
        <f t="shared" si="59"/>
        <v>INNER</v>
      </c>
      <c r="AC130" t="str">
        <f t="shared" si="60"/>
        <v>Stock en Bultos</v>
      </c>
      <c r="AD130" t="str">
        <f t="shared" si="61"/>
        <v>SubDepósito</v>
      </c>
      <c r="AE130" t="str">
        <f t="shared" si="62"/>
        <v>Marca</v>
      </c>
      <c r="AF130" t="str">
        <f t="shared" si="63"/>
        <v>Super Rubro</v>
      </c>
      <c r="AG130" t="str">
        <f t="shared" si="64"/>
        <v>ComercioExterior</v>
      </c>
      <c r="AH130" t="str">
        <f t="shared" si="65"/>
        <v>PrecioFOB</v>
      </c>
      <c r="AI130" t="str">
        <f t="shared" si="66"/>
        <v>Monto II</v>
      </c>
      <c r="AJ130" t="str">
        <f t="shared" si="67"/>
        <v>Porcentaje II</v>
      </c>
      <c r="AK130" t="str">
        <f t="shared" si="68"/>
        <v>Foto</v>
      </c>
      <c r="AL130" t="str">
        <f>"{\rtf1\ansi\ansicpg1252\deff0\deflang11274{\fonttbl{\f0\fnil\fcharset0 MS Sans Serif}} \viewkind4\uc1\pard\f0\fs16 BOBINA ENC. RENAULT CLIO-KANGOO-TWINGO\par } "</f>
        <v xml:space="preserve">{\rtf1\ansi\ansicpg1252\deff0\deflang11274{\fonttbl{\f0\fnil\fcharset0 MS Sans Serif}} \viewkind4\uc1\pard\f0\fs16 BOBINA ENC. RENAULT CLIO-KANGOO-TWINGO\par } </v>
      </c>
      <c r="AM130" t="str">
        <f t="shared" si="87"/>
        <v>-</v>
      </c>
    </row>
    <row r="131" spans="1:39" x14ac:dyDescent="0.25">
      <c r="A131" t="str">
        <f>"RGU11417"</f>
        <v>RGU11417</v>
      </c>
      <c r="B131" t="str">
        <f>"BOBINA ENC. RENAULT ESPACE 2 0I-LAGUNA-MEGANE-SEAT"</f>
        <v>BOBINA ENC. RENAULT ESPACE 2 0I-LAGUNA-MEGANE-SEAT</v>
      </c>
      <c r="C131" t="str">
        <f>"$ 51734,01"</f>
        <v>$ 51734,01</v>
      </c>
      <c r="D131" t="str">
        <f>"$ 51734,01"</f>
        <v>$ 51734,01</v>
      </c>
      <c r="E131" t="str">
        <f>"$ 51734,01"</f>
        <v>$ 51734,01</v>
      </c>
      <c r="F131" t="str">
        <f>"$ 51734,01"</f>
        <v>$ 51734,01</v>
      </c>
      <c r="G131" t="str">
        <f>"$ 51734,01"</f>
        <v>$ 51734,01</v>
      </c>
      <c r="H131" t="str">
        <f t="shared" ref="H131:H194" si="93">"$ 0,00"</f>
        <v>$ 0,00</v>
      </c>
      <c r="I131" t="str">
        <f t="shared" si="91"/>
        <v>BOBINAS DE ENCENDIDO</v>
      </c>
      <c r="J131" t="str">
        <f t="shared" ref="J131:J194" si="94">"1"</f>
        <v>1</v>
      </c>
      <c r="K131" t="str">
        <f t="shared" ref="K131:K162" si="95">"0"</f>
        <v>0</v>
      </c>
      <c r="L131" t="str">
        <f>"10,000"</f>
        <v>10,000</v>
      </c>
      <c r="M131" t="str">
        <f t="shared" ref="M131:M194" si="96">" "</f>
        <v xml:space="preserve"> </v>
      </c>
      <c r="N131" t="str">
        <f>"REGITAR"</f>
        <v>REGITAR</v>
      </c>
      <c r="O131" t="str">
        <f t="shared" si="92"/>
        <v>BOBINAS</v>
      </c>
      <c r="P131" t="str">
        <f t="shared" si="88"/>
        <v>0</v>
      </c>
      <c r="Q131" t="str">
        <f t="shared" si="88"/>
        <v>0</v>
      </c>
      <c r="R131" t="str">
        <f t="shared" si="89"/>
        <v>0,00</v>
      </c>
      <c r="S131" t="str">
        <f t="shared" si="89"/>
        <v>0,00</v>
      </c>
      <c r="T131" t="str">
        <f t="shared" si="90"/>
        <v xml:space="preserve"> </v>
      </c>
      <c r="U131" t="str">
        <f t="shared" si="90"/>
        <v xml:space="preserve"> </v>
      </c>
      <c r="V131" t="str">
        <f>"10,000"</f>
        <v>10,000</v>
      </c>
      <c r="W131" t="str">
        <f t="shared" ref="W131:W194" si="97">"Lista 4"</f>
        <v>Lista 4</v>
      </c>
      <c r="X131" t="str">
        <f t="shared" ref="X131:X194" si="98">"Lista 5"</f>
        <v>Lista 5</v>
      </c>
      <c r="Y131" t="str">
        <f t="shared" ref="Y131:Y194" si="99">"Oferta Gral."</f>
        <v>Oferta Gral.</v>
      </c>
      <c r="Z131" t="str">
        <f t="shared" ref="Z131:Z194" si="100">"Rubro"</f>
        <v>Rubro</v>
      </c>
      <c r="AA131" t="str">
        <f t="shared" ref="AA131:AA194" si="101">"Cantidad por Bulto"</f>
        <v>Cantidad por Bulto</v>
      </c>
      <c r="AB131" t="str">
        <f t="shared" ref="AB131:AB194" si="102">"INNER"</f>
        <v>INNER</v>
      </c>
      <c r="AC131" t="str">
        <f t="shared" ref="AC131:AC194" si="103">"Stock en Bultos"</f>
        <v>Stock en Bultos</v>
      </c>
      <c r="AD131" t="str">
        <f t="shared" ref="AD131:AD194" si="104">"SubDepósito"</f>
        <v>SubDepósito</v>
      </c>
      <c r="AE131" t="str">
        <f t="shared" ref="AE131:AE194" si="105">"Marca"</f>
        <v>Marca</v>
      </c>
      <c r="AF131" t="str">
        <f t="shared" ref="AF131:AF194" si="106">"Super Rubro"</f>
        <v>Super Rubro</v>
      </c>
      <c r="AG131" t="str">
        <f t="shared" ref="AG131:AG194" si="107">"ComercioExterior"</f>
        <v>ComercioExterior</v>
      </c>
      <c r="AH131" t="str">
        <f t="shared" ref="AH131:AH194" si="108">"PrecioFOB"</f>
        <v>PrecioFOB</v>
      </c>
      <c r="AI131" t="str">
        <f t="shared" ref="AI131:AI194" si="109">"Monto II"</f>
        <v>Monto II</v>
      </c>
      <c r="AJ131" t="str">
        <f t="shared" ref="AJ131:AJ194" si="110">"Porcentaje II"</f>
        <v>Porcentaje II</v>
      </c>
      <c r="AK131" t="str">
        <f t="shared" ref="AK131:AK194" si="111">"Foto"</f>
        <v>Foto</v>
      </c>
      <c r="AL131" t="str">
        <f>"{\rtf1\ansi\ansicpg1252\deff0\deflang11274{\fonttbl{\f0\fnil\fcharset0 MS Sans Serif}} \viewkind4\uc1\pard\f0\fs16 BOBINA ENC. RENAULT ESPACE 2 0I-LAGUNA-MEGANE-SEAT\par } "</f>
        <v xml:space="preserve">{\rtf1\ansi\ansicpg1252\deff0\deflang11274{\fonttbl{\f0\fnil\fcharset0 MS Sans Serif}} \viewkind4\uc1\pard\f0\fs16 BOBINA ENC. RENAULT ESPACE 2 0I-LAGUNA-MEGANE-SEAT\par } </v>
      </c>
      <c r="AM131" t="str">
        <f t="shared" si="87"/>
        <v>-</v>
      </c>
    </row>
    <row r="132" spans="1:39" x14ac:dyDescent="0.25">
      <c r="A132" t="str">
        <f>"KD9028A"</f>
        <v>KD9028A</v>
      </c>
      <c r="B132" t="str">
        <f>"BOBINA ENC. RENAULT FLUENCE/MEGANE III"</f>
        <v>BOBINA ENC. RENAULT FLUENCE/MEGANE III</v>
      </c>
      <c r="C132" t="str">
        <f>"$ 42239,44"</f>
        <v>$ 42239,44</v>
      </c>
      <c r="D132" t="str">
        <f>"$ 42239,44"</f>
        <v>$ 42239,44</v>
      </c>
      <c r="E132" t="str">
        <f>"$ 42239,44"</f>
        <v>$ 42239,44</v>
      </c>
      <c r="F132" t="str">
        <f>"$ 42239,44"</f>
        <v>$ 42239,44</v>
      </c>
      <c r="G132" t="str">
        <f>"$ 42239,44"</f>
        <v>$ 42239,44</v>
      </c>
      <c r="H132" t="str">
        <f t="shared" si="93"/>
        <v>$ 0,00</v>
      </c>
      <c r="I132" t="str">
        <f t="shared" si="91"/>
        <v>BOBINAS DE ENCENDIDO</v>
      </c>
      <c r="J132" t="str">
        <f t="shared" si="94"/>
        <v>1</v>
      </c>
      <c r="K132" t="str">
        <f t="shared" si="95"/>
        <v>0</v>
      </c>
      <c r="L132" t="str">
        <f>"5,000"</f>
        <v>5,000</v>
      </c>
      <c r="M132" t="str">
        <f t="shared" si="96"/>
        <v xml:space="preserve"> </v>
      </c>
      <c r="N132" t="str">
        <f>"CADIC"</f>
        <v>CADIC</v>
      </c>
      <c r="O132" t="str">
        <f t="shared" si="92"/>
        <v>BOBINAS</v>
      </c>
      <c r="P132" t="str">
        <f t="shared" si="88"/>
        <v>0</v>
      </c>
      <c r="Q132" t="str">
        <f t="shared" si="88"/>
        <v>0</v>
      </c>
      <c r="R132" t="str">
        <f t="shared" si="89"/>
        <v>0,00</v>
      </c>
      <c r="S132" t="str">
        <f t="shared" si="89"/>
        <v>0,00</v>
      </c>
      <c r="T132" t="str">
        <f t="shared" si="90"/>
        <v xml:space="preserve"> </v>
      </c>
      <c r="U132" t="str">
        <f t="shared" si="90"/>
        <v xml:space="preserve"> </v>
      </c>
      <c r="V132" t="str">
        <f>"5,000"</f>
        <v>5,000</v>
      </c>
      <c r="W132" t="str">
        <f t="shared" si="97"/>
        <v>Lista 4</v>
      </c>
      <c r="X132" t="str">
        <f t="shared" si="98"/>
        <v>Lista 5</v>
      </c>
      <c r="Y132" t="str">
        <f t="shared" si="99"/>
        <v>Oferta Gral.</v>
      </c>
      <c r="Z132" t="str">
        <f t="shared" si="100"/>
        <v>Rubro</v>
      </c>
      <c r="AA132" t="str">
        <f t="shared" si="101"/>
        <v>Cantidad por Bulto</v>
      </c>
      <c r="AB132" t="str">
        <f t="shared" si="102"/>
        <v>INNER</v>
      </c>
      <c r="AC132" t="str">
        <f t="shared" si="103"/>
        <v>Stock en Bultos</v>
      </c>
      <c r="AD132" t="str">
        <f t="shared" si="104"/>
        <v>SubDepósito</v>
      </c>
      <c r="AE132" t="str">
        <f t="shared" si="105"/>
        <v>Marca</v>
      </c>
      <c r="AF132" t="str">
        <f t="shared" si="106"/>
        <v>Super Rubro</v>
      </c>
      <c r="AG132" t="str">
        <f t="shared" si="107"/>
        <v>ComercioExterior</v>
      </c>
      <c r="AH132" t="str">
        <f t="shared" si="108"/>
        <v>PrecioFOB</v>
      </c>
      <c r="AI132" t="str">
        <f t="shared" si="109"/>
        <v>Monto II</v>
      </c>
      <c r="AJ132" t="str">
        <f t="shared" si="110"/>
        <v>Porcentaje II</v>
      </c>
      <c r="AK132" t="str">
        <f t="shared" si="111"/>
        <v>Foto</v>
      </c>
      <c r="AL132" t="str">
        <f>"{\rtf1\ansi\ansicpg1252\deff0\deflang11274{\fonttbl{\f0\fnil\fcharset0 MS Sans Serif}} \viewkind4\uc1\pard\f0\fs16 BOBINA ENC. RENAULT FLUENCE/MEGANE III\par } "</f>
        <v xml:space="preserve">{\rtf1\ansi\ansicpg1252\deff0\deflang11274{\fonttbl{\f0\fnil\fcharset0 MS Sans Serif}} \viewkind4\uc1\pard\f0\fs16 BOBINA ENC. RENAULT FLUENCE/MEGANE III\par } </v>
      </c>
      <c r="AM132" t="str">
        <f>" "</f>
        <v xml:space="preserve"> </v>
      </c>
    </row>
    <row r="133" spans="1:39" x14ac:dyDescent="0.25">
      <c r="A133" t="str">
        <f>"RGU11419"</f>
        <v>RGU11419</v>
      </c>
      <c r="B133" t="str">
        <f>"BOBINA ENC. RENAULT MEGANE, LAGUNA, CLIO 2, KANGOO ( MOTOR KM/K4 16V)"</f>
        <v>BOBINA ENC. RENAULT MEGANE, LAGUNA, CLIO 2, KANGOO ( MOTOR KM/K4 16V)</v>
      </c>
      <c r="C133" t="str">
        <f>"$ 22931,90"</f>
        <v>$ 22931,90</v>
      </c>
      <c r="D133" t="str">
        <f>"$ 22931,90"</f>
        <v>$ 22931,90</v>
      </c>
      <c r="E133" t="str">
        <f>"$ 22931,90"</f>
        <v>$ 22931,90</v>
      </c>
      <c r="F133" t="str">
        <f>"$ 22931,90"</f>
        <v>$ 22931,90</v>
      </c>
      <c r="G133" t="str">
        <f>"$ 22931,90"</f>
        <v>$ 22931,90</v>
      </c>
      <c r="H133" t="str">
        <f t="shared" si="93"/>
        <v>$ 0,00</v>
      </c>
      <c r="I133" t="str">
        <f t="shared" si="91"/>
        <v>BOBINAS DE ENCENDIDO</v>
      </c>
      <c r="J133" t="str">
        <f t="shared" si="94"/>
        <v>1</v>
      </c>
      <c r="K133" t="str">
        <f t="shared" si="95"/>
        <v>0</v>
      </c>
      <c r="L133" t="str">
        <f>"340,000"</f>
        <v>340,000</v>
      </c>
      <c r="M133" t="str">
        <f t="shared" si="96"/>
        <v xml:space="preserve"> </v>
      </c>
      <c r="N133" t="str">
        <f>"REGITAR"</f>
        <v>REGITAR</v>
      </c>
      <c r="O133" t="str">
        <f t="shared" si="92"/>
        <v>BOBINAS</v>
      </c>
      <c r="P133" t="str">
        <f t="shared" si="88"/>
        <v>0</v>
      </c>
      <c r="Q133" t="str">
        <f t="shared" si="88"/>
        <v>0</v>
      </c>
      <c r="R133" t="str">
        <f t="shared" si="89"/>
        <v>0,00</v>
      </c>
      <c r="S133" t="str">
        <f t="shared" si="89"/>
        <v>0,00</v>
      </c>
      <c r="T133" t="str">
        <f t="shared" si="90"/>
        <v xml:space="preserve"> </v>
      </c>
      <c r="U133" t="str">
        <f t="shared" si="90"/>
        <v xml:space="preserve"> </v>
      </c>
      <c r="V133" t="str">
        <f>"340,000"</f>
        <v>340,000</v>
      </c>
      <c r="W133" t="str">
        <f t="shared" si="97"/>
        <v>Lista 4</v>
      </c>
      <c r="X133" t="str">
        <f t="shared" si="98"/>
        <v>Lista 5</v>
      </c>
      <c r="Y133" t="str">
        <f t="shared" si="99"/>
        <v>Oferta Gral.</v>
      </c>
      <c r="Z133" t="str">
        <f t="shared" si="100"/>
        <v>Rubro</v>
      </c>
      <c r="AA133" t="str">
        <f t="shared" si="101"/>
        <v>Cantidad por Bulto</v>
      </c>
      <c r="AB133" t="str">
        <f t="shared" si="102"/>
        <v>INNER</v>
      </c>
      <c r="AC133" t="str">
        <f t="shared" si="103"/>
        <v>Stock en Bultos</v>
      </c>
      <c r="AD133" t="str">
        <f t="shared" si="104"/>
        <v>SubDepósito</v>
      </c>
      <c r="AE133" t="str">
        <f t="shared" si="105"/>
        <v>Marca</v>
      </c>
      <c r="AF133" t="str">
        <f t="shared" si="106"/>
        <v>Super Rubro</v>
      </c>
      <c r="AG133" t="str">
        <f t="shared" si="107"/>
        <v>ComercioExterior</v>
      </c>
      <c r="AH133" t="str">
        <f t="shared" si="108"/>
        <v>PrecioFOB</v>
      </c>
      <c r="AI133" t="str">
        <f t="shared" si="109"/>
        <v>Monto II</v>
      </c>
      <c r="AJ133" t="str">
        <f t="shared" si="110"/>
        <v>Porcentaje II</v>
      </c>
      <c r="AK133" t="str">
        <f t="shared" si="111"/>
        <v>Foto</v>
      </c>
      <c r="AL133" t="str">
        <f>"{\rtf1\ansi\ansicpg1252\deff0\deflang11274{\fonttbl{\f0\fnil\fcharset0 MS Sans Serif}} \viewkind4\uc1\pard\f0\fs16 BOBINA ENC. RENAULT MEGANE, LAGUNA, CLIO 2, KANGOO ( MOTOR KM/K4 16V)\par } "</f>
        <v xml:space="preserve">{\rtf1\ansi\ansicpg1252\deff0\deflang11274{\fonttbl{\f0\fnil\fcharset0 MS Sans Serif}} \viewkind4\uc1\pard\f0\fs16 BOBINA ENC. RENAULT MEGANE, LAGUNA, CLIO 2, KANGOO ( MOTOR KM/K4 16V)\par } </v>
      </c>
      <c r="AM133" t="str">
        <f t="shared" ref="AM133:AM138" si="112">"-"</f>
        <v>-</v>
      </c>
    </row>
    <row r="134" spans="1:39" x14ac:dyDescent="0.25">
      <c r="A134" t="str">
        <f>"RGU11425"</f>
        <v>RGU11425</v>
      </c>
      <c r="B134" t="str">
        <f>"BOBINA ENC. SEAT-CADDY-POLO CLASSIC-TRANSPOR"</f>
        <v>BOBINA ENC. SEAT-CADDY-POLO CLASSIC-TRANSPOR</v>
      </c>
      <c r="C134" t="str">
        <f>"$ 43446,01"</f>
        <v>$ 43446,01</v>
      </c>
      <c r="D134" t="str">
        <f>"$ 43446,01"</f>
        <v>$ 43446,01</v>
      </c>
      <c r="E134" t="str">
        <f>"$ 43446,01"</f>
        <v>$ 43446,01</v>
      </c>
      <c r="F134" t="str">
        <f>"$ 43446,01"</f>
        <v>$ 43446,01</v>
      </c>
      <c r="G134" t="str">
        <f>"$ 43446,01"</f>
        <v>$ 43446,01</v>
      </c>
      <c r="H134" t="str">
        <f t="shared" si="93"/>
        <v>$ 0,00</v>
      </c>
      <c r="I134" t="str">
        <f t="shared" si="91"/>
        <v>BOBINAS DE ENCENDIDO</v>
      </c>
      <c r="J134" t="str">
        <f t="shared" si="94"/>
        <v>1</v>
      </c>
      <c r="K134" t="str">
        <f t="shared" si="95"/>
        <v>0</v>
      </c>
      <c r="L134" t="str">
        <f>"6,000"</f>
        <v>6,000</v>
      </c>
      <c r="M134" t="str">
        <f t="shared" si="96"/>
        <v xml:space="preserve"> </v>
      </c>
      <c r="N134" t="str">
        <f>"REGITAR"</f>
        <v>REGITAR</v>
      </c>
      <c r="O134" t="str">
        <f t="shared" si="92"/>
        <v>BOBINAS</v>
      </c>
      <c r="P134" t="str">
        <f t="shared" si="88"/>
        <v>0</v>
      </c>
      <c r="Q134" t="str">
        <f t="shared" si="88"/>
        <v>0</v>
      </c>
      <c r="R134" t="str">
        <f t="shared" si="89"/>
        <v>0,00</v>
      </c>
      <c r="S134" t="str">
        <f t="shared" si="89"/>
        <v>0,00</v>
      </c>
      <c r="T134" t="str">
        <f t="shared" si="90"/>
        <v xml:space="preserve"> </v>
      </c>
      <c r="U134" t="str">
        <f t="shared" si="90"/>
        <v xml:space="preserve"> </v>
      </c>
      <c r="V134" t="str">
        <f>"6,000"</f>
        <v>6,000</v>
      </c>
      <c r="W134" t="str">
        <f t="shared" si="97"/>
        <v>Lista 4</v>
      </c>
      <c r="X134" t="str">
        <f t="shared" si="98"/>
        <v>Lista 5</v>
      </c>
      <c r="Y134" t="str">
        <f t="shared" si="99"/>
        <v>Oferta Gral.</v>
      </c>
      <c r="Z134" t="str">
        <f t="shared" si="100"/>
        <v>Rubro</v>
      </c>
      <c r="AA134" t="str">
        <f t="shared" si="101"/>
        <v>Cantidad por Bulto</v>
      </c>
      <c r="AB134" t="str">
        <f t="shared" si="102"/>
        <v>INNER</v>
      </c>
      <c r="AC134" t="str">
        <f t="shared" si="103"/>
        <v>Stock en Bultos</v>
      </c>
      <c r="AD134" t="str">
        <f t="shared" si="104"/>
        <v>SubDepósito</v>
      </c>
      <c r="AE134" t="str">
        <f t="shared" si="105"/>
        <v>Marca</v>
      </c>
      <c r="AF134" t="str">
        <f t="shared" si="106"/>
        <v>Super Rubro</v>
      </c>
      <c r="AG134" t="str">
        <f t="shared" si="107"/>
        <v>ComercioExterior</v>
      </c>
      <c r="AH134" t="str">
        <f t="shared" si="108"/>
        <v>PrecioFOB</v>
      </c>
      <c r="AI134" t="str">
        <f t="shared" si="109"/>
        <v>Monto II</v>
      </c>
      <c r="AJ134" t="str">
        <f t="shared" si="110"/>
        <v>Porcentaje II</v>
      </c>
      <c r="AK134" t="str">
        <f t="shared" si="111"/>
        <v>Foto</v>
      </c>
      <c r="AL134" t="str">
        <f>"{\rtf1\ansi\ansicpg1252\deff0\deflang11274{\fonttbl{\f0\fnil\fcharset0 MS Sans Serif}} \viewkind4\uc1\pard\f0\fs16 BOBINA ENC. SEAT-CADDY-POLO CLASSIC-TRANSPOR\par } "</f>
        <v xml:space="preserve">{\rtf1\ansi\ansicpg1252\deff0\deflang11274{\fonttbl{\f0\fnil\fcharset0 MS Sans Serif}} \viewkind4\uc1\pard\f0\fs16 BOBINA ENC. SEAT-CADDY-POLO CLASSIC-TRANSPOR\par } </v>
      </c>
      <c r="AM134" t="str">
        <f t="shared" si="112"/>
        <v>-</v>
      </c>
    </row>
    <row r="135" spans="1:39" x14ac:dyDescent="0.25">
      <c r="A135" t="str">
        <f>"RGU11421"</f>
        <v>RGU11421</v>
      </c>
      <c r="B135" t="str">
        <f>"BOBINA ENC. SEAT-VW BORA-GOLF-PASSAT-POLO-2"</f>
        <v>BOBINA ENC. SEAT-VW BORA-GOLF-PASSAT-POLO-2</v>
      </c>
      <c r="C135" t="str">
        <f>"$ 60349,30"</f>
        <v>$ 60349,30</v>
      </c>
      <c r="D135" t="str">
        <f>"$ 60349,30"</f>
        <v>$ 60349,30</v>
      </c>
      <c r="E135" t="str">
        <f>"$ 60349,30"</f>
        <v>$ 60349,30</v>
      </c>
      <c r="F135" t="str">
        <f>"$ 60349,30"</f>
        <v>$ 60349,30</v>
      </c>
      <c r="G135" t="str">
        <f>"$ 60349,30"</f>
        <v>$ 60349,30</v>
      </c>
      <c r="H135" t="str">
        <f t="shared" si="93"/>
        <v>$ 0,00</v>
      </c>
      <c r="I135" t="str">
        <f t="shared" si="91"/>
        <v>BOBINAS DE ENCENDIDO</v>
      </c>
      <c r="J135" t="str">
        <f t="shared" si="94"/>
        <v>1</v>
      </c>
      <c r="K135" t="str">
        <f t="shared" si="95"/>
        <v>0</v>
      </c>
      <c r="L135" t="str">
        <f>"7,000"</f>
        <v>7,000</v>
      </c>
      <c r="M135" t="str">
        <f t="shared" si="96"/>
        <v xml:space="preserve"> </v>
      </c>
      <c r="N135" t="str">
        <f>"REGITAR"</f>
        <v>REGITAR</v>
      </c>
      <c r="O135" t="str">
        <f t="shared" si="92"/>
        <v>BOBINAS</v>
      </c>
      <c r="P135" t="str">
        <f t="shared" si="88"/>
        <v>0</v>
      </c>
      <c r="Q135" t="str">
        <f t="shared" si="88"/>
        <v>0</v>
      </c>
      <c r="R135" t="str">
        <f t="shared" si="89"/>
        <v>0,00</v>
      </c>
      <c r="S135" t="str">
        <f t="shared" si="89"/>
        <v>0,00</v>
      </c>
      <c r="T135" t="str">
        <f t="shared" si="90"/>
        <v xml:space="preserve"> </v>
      </c>
      <c r="U135" t="str">
        <f t="shared" si="90"/>
        <v xml:space="preserve"> </v>
      </c>
      <c r="V135" t="str">
        <f>"7,000"</f>
        <v>7,000</v>
      </c>
      <c r="W135" t="str">
        <f t="shared" si="97"/>
        <v>Lista 4</v>
      </c>
      <c r="X135" t="str">
        <f t="shared" si="98"/>
        <v>Lista 5</v>
      </c>
      <c r="Y135" t="str">
        <f t="shared" si="99"/>
        <v>Oferta Gral.</v>
      </c>
      <c r="Z135" t="str">
        <f t="shared" si="100"/>
        <v>Rubro</v>
      </c>
      <c r="AA135" t="str">
        <f t="shared" si="101"/>
        <v>Cantidad por Bulto</v>
      </c>
      <c r="AB135" t="str">
        <f t="shared" si="102"/>
        <v>INNER</v>
      </c>
      <c r="AC135" t="str">
        <f t="shared" si="103"/>
        <v>Stock en Bultos</v>
      </c>
      <c r="AD135" t="str">
        <f t="shared" si="104"/>
        <v>SubDepósito</v>
      </c>
      <c r="AE135" t="str">
        <f t="shared" si="105"/>
        <v>Marca</v>
      </c>
      <c r="AF135" t="str">
        <f t="shared" si="106"/>
        <v>Super Rubro</v>
      </c>
      <c r="AG135" t="str">
        <f t="shared" si="107"/>
        <v>ComercioExterior</v>
      </c>
      <c r="AH135" t="str">
        <f t="shared" si="108"/>
        <v>PrecioFOB</v>
      </c>
      <c r="AI135" t="str">
        <f t="shared" si="109"/>
        <v>Monto II</v>
      </c>
      <c r="AJ135" t="str">
        <f t="shared" si="110"/>
        <v>Porcentaje II</v>
      </c>
      <c r="AK135" t="str">
        <f t="shared" si="111"/>
        <v>Foto</v>
      </c>
      <c r="AL135" t="str">
        <f>"{\rtf1\ansi\ansicpg1252\deff0\deflang11274{\fonttbl{\f0\fnil\fcharset0 MS Sans Serif}} \viewkind4\uc1\pard\f0\fs16 BOBINA ENC. SEAT-VW BORA-GOLF-PASSAT-POLO-2\par } "</f>
        <v xml:space="preserve">{\rtf1\ansi\ansicpg1252\deff0\deflang11274{\fonttbl{\f0\fnil\fcharset0 MS Sans Serif}} \viewkind4\uc1\pard\f0\fs16 BOBINA ENC. SEAT-VW BORA-GOLF-PASSAT-POLO-2\par } </v>
      </c>
      <c r="AM135" t="str">
        <f t="shared" si="112"/>
        <v>-</v>
      </c>
    </row>
    <row r="136" spans="1:39" x14ac:dyDescent="0.25">
      <c r="A136" t="str">
        <f>"KD8002D"</f>
        <v>KD8002D</v>
      </c>
      <c r="B136" t="str">
        <f>"BOBINA ENC. TIPO INJECTION, ALFA ROMEO T-SPARK"</f>
        <v>BOBINA ENC. TIPO INJECTION, ALFA ROMEO T-SPARK</v>
      </c>
      <c r="C136" t="str">
        <f>"$ 51332,18"</f>
        <v>$ 51332,18</v>
      </c>
      <c r="D136" t="str">
        <f>"$ 51332,18"</f>
        <v>$ 51332,18</v>
      </c>
      <c r="E136" t="str">
        <f>"$ 51332,18"</f>
        <v>$ 51332,18</v>
      </c>
      <c r="F136" t="str">
        <f>"$ 51332,18"</f>
        <v>$ 51332,18</v>
      </c>
      <c r="G136" t="str">
        <f>"$ 51332,18"</f>
        <v>$ 51332,18</v>
      </c>
      <c r="H136" t="str">
        <f t="shared" si="93"/>
        <v>$ 0,00</v>
      </c>
      <c r="I136" t="str">
        <f t="shared" si="91"/>
        <v>BOBINAS DE ENCENDIDO</v>
      </c>
      <c r="J136" t="str">
        <f t="shared" si="94"/>
        <v>1</v>
      </c>
      <c r="K136" t="str">
        <f t="shared" si="95"/>
        <v>0</v>
      </c>
      <c r="L136" t="str">
        <f>"0,000"</f>
        <v>0,000</v>
      </c>
      <c r="M136" t="str">
        <f t="shared" si="96"/>
        <v xml:space="preserve"> </v>
      </c>
      <c r="N136" t="str">
        <f>"CADIC"</f>
        <v>CADIC</v>
      </c>
      <c r="O136" t="str">
        <f t="shared" si="92"/>
        <v>BOBINAS</v>
      </c>
      <c r="P136" t="str">
        <f t="shared" si="88"/>
        <v>0</v>
      </c>
      <c r="Q136" t="str">
        <f t="shared" si="88"/>
        <v>0</v>
      </c>
      <c r="R136" t="str">
        <f t="shared" si="89"/>
        <v>0,00</v>
      </c>
      <c r="S136" t="str">
        <f t="shared" si="89"/>
        <v>0,00</v>
      </c>
      <c r="T136" t="str">
        <f t="shared" si="90"/>
        <v xml:space="preserve"> </v>
      </c>
      <c r="U136" t="str">
        <f t="shared" si="90"/>
        <v xml:space="preserve"> </v>
      </c>
      <c r="V136" t="str">
        <f>"0,000"</f>
        <v>0,000</v>
      </c>
      <c r="W136" t="str">
        <f t="shared" si="97"/>
        <v>Lista 4</v>
      </c>
      <c r="X136" t="str">
        <f t="shared" si="98"/>
        <v>Lista 5</v>
      </c>
      <c r="Y136" t="str">
        <f t="shared" si="99"/>
        <v>Oferta Gral.</v>
      </c>
      <c r="Z136" t="str">
        <f t="shared" si="100"/>
        <v>Rubro</v>
      </c>
      <c r="AA136" t="str">
        <f t="shared" si="101"/>
        <v>Cantidad por Bulto</v>
      </c>
      <c r="AB136" t="str">
        <f t="shared" si="102"/>
        <v>INNER</v>
      </c>
      <c r="AC136" t="str">
        <f t="shared" si="103"/>
        <v>Stock en Bultos</v>
      </c>
      <c r="AD136" t="str">
        <f t="shared" si="104"/>
        <v>SubDepósito</v>
      </c>
      <c r="AE136" t="str">
        <f t="shared" si="105"/>
        <v>Marca</v>
      </c>
      <c r="AF136" t="str">
        <f t="shared" si="106"/>
        <v>Super Rubro</v>
      </c>
      <c r="AG136" t="str">
        <f t="shared" si="107"/>
        <v>ComercioExterior</v>
      </c>
      <c r="AH136" t="str">
        <f t="shared" si="108"/>
        <v>PrecioFOB</v>
      </c>
      <c r="AI136" t="str">
        <f t="shared" si="109"/>
        <v>Monto II</v>
      </c>
      <c r="AJ136" t="str">
        <f t="shared" si="110"/>
        <v>Porcentaje II</v>
      </c>
      <c r="AK136" t="str">
        <f t="shared" si="111"/>
        <v>Foto</v>
      </c>
      <c r="AL136" t="str">
        <f>"{\rtf1\ansi\ansicpg1252\deff0\deflang11274{\fonttbl{\f0\fnil\fcharset0 MS Sans Serif}} \viewkind4\uc1\pard\f0\fs16 BOBINA ENC. TIPO INJECTION, ALFA ROMEO T-SPARK\par } "</f>
        <v xml:space="preserve">{\rtf1\ansi\ansicpg1252\deff0\deflang11274{\fonttbl{\f0\fnil\fcharset0 MS Sans Serif}} \viewkind4\uc1\pard\f0\fs16 BOBINA ENC. TIPO INJECTION, ALFA ROMEO T-SPARK\par } </v>
      </c>
      <c r="AM136" t="str">
        <f t="shared" si="112"/>
        <v>-</v>
      </c>
    </row>
    <row r="137" spans="1:39" x14ac:dyDescent="0.25">
      <c r="A137" t="str">
        <f>"KD2711M6"</f>
        <v>KD2711M6</v>
      </c>
      <c r="B137" t="str">
        <f>"BOBINA ENC. VARIANTE 2711 CON 6 PINS"</f>
        <v>BOBINA ENC. VARIANTE 2711 CON 6 PINS</v>
      </c>
      <c r="C137" t="str">
        <f>"$ 57320,92"</f>
        <v>$ 57320,92</v>
      </c>
      <c r="D137" t="str">
        <f>"$ 57320,92"</f>
        <v>$ 57320,92</v>
      </c>
      <c r="E137" t="str">
        <f>"$ 57320,92"</f>
        <v>$ 57320,92</v>
      </c>
      <c r="F137" t="str">
        <f>"$ 57320,92"</f>
        <v>$ 57320,92</v>
      </c>
      <c r="G137" t="str">
        <f>"$ 57320,92"</f>
        <v>$ 57320,92</v>
      </c>
      <c r="H137" t="str">
        <f t="shared" si="93"/>
        <v>$ 0,00</v>
      </c>
      <c r="I137" t="str">
        <f t="shared" si="91"/>
        <v>BOBINAS DE ENCENDIDO</v>
      </c>
      <c r="J137" t="str">
        <f t="shared" si="94"/>
        <v>1</v>
      </c>
      <c r="K137" t="str">
        <f t="shared" si="95"/>
        <v>0</v>
      </c>
      <c r="L137" t="str">
        <f>"1,000"</f>
        <v>1,000</v>
      </c>
      <c r="M137" t="str">
        <f t="shared" si="96"/>
        <v xml:space="preserve"> </v>
      </c>
      <c r="N137" t="str">
        <f>"CADIC"</f>
        <v>CADIC</v>
      </c>
      <c r="O137" t="str">
        <f t="shared" si="92"/>
        <v>BOBINAS</v>
      </c>
      <c r="P137" t="str">
        <f t="shared" si="88"/>
        <v>0</v>
      </c>
      <c r="Q137" t="str">
        <f t="shared" si="88"/>
        <v>0</v>
      </c>
      <c r="R137" t="str">
        <f t="shared" si="89"/>
        <v>0,00</v>
      </c>
      <c r="S137" t="str">
        <f t="shared" si="89"/>
        <v>0,00</v>
      </c>
      <c r="T137" t="str">
        <f t="shared" si="90"/>
        <v xml:space="preserve"> </v>
      </c>
      <c r="U137" t="str">
        <f t="shared" si="90"/>
        <v xml:space="preserve"> </v>
      </c>
      <c r="V137" t="str">
        <f>"1,000"</f>
        <v>1,000</v>
      </c>
      <c r="W137" t="str">
        <f t="shared" si="97"/>
        <v>Lista 4</v>
      </c>
      <c r="X137" t="str">
        <f t="shared" si="98"/>
        <v>Lista 5</v>
      </c>
      <c r="Y137" t="str">
        <f t="shared" si="99"/>
        <v>Oferta Gral.</v>
      </c>
      <c r="Z137" t="str">
        <f t="shared" si="100"/>
        <v>Rubro</v>
      </c>
      <c r="AA137" t="str">
        <f t="shared" si="101"/>
        <v>Cantidad por Bulto</v>
      </c>
      <c r="AB137" t="str">
        <f t="shared" si="102"/>
        <v>INNER</v>
      </c>
      <c r="AC137" t="str">
        <f t="shared" si="103"/>
        <v>Stock en Bultos</v>
      </c>
      <c r="AD137" t="str">
        <f t="shared" si="104"/>
        <v>SubDepósito</v>
      </c>
      <c r="AE137" t="str">
        <f t="shared" si="105"/>
        <v>Marca</v>
      </c>
      <c r="AF137" t="str">
        <f t="shared" si="106"/>
        <v>Super Rubro</v>
      </c>
      <c r="AG137" t="str">
        <f t="shared" si="107"/>
        <v>ComercioExterior</v>
      </c>
      <c r="AH137" t="str">
        <f t="shared" si="108"/>
        <v>PrecioFOB</v>
      </c>
      <c r="AI137" t="str">
        <f t="shared" si="109"/>
        <v>Monto II</v>
      </c>
      <c r="AJ137" t="str">
        <f t="shared" si="110"/>
        <v>Porcentaje II</v>
      </c>
      <c r="AK137" t="str">
        <f t="shared" si="111"/>
        <v>Foto</v>
      </c>
      <c r="AL137" t="str">
        <f>"{\rtf1\ansi\ansicpg1252\deff0\deflang11274{\fonttbl{\f0\fnil\fcharset0 MS Sans Serif}} \viewkind4\uc1\pard\f0\fs16 BOBINA ENC. VARIANTE 2711 CON 6 PINS\par } "</f>
        <v xml:space="preserve">{\rtf1\ansi\ansicpg1252\deff0\deflang11274{\fonttbl{\f0\fnil\fcharset0 MS Sans Serif}} \viewkind4\uc1\pard\f0\fs16 BOBINA ENC. VARIANTE 2711 CON 6 PINS\par } </v>
      </c>
      <c r="AM137" t="str">
        <f t="shared" si="112"/>
        <v>-</v>
      </c>
    </row>
    <row r="138" spans="1:39" x14ac:dyDescent="0.25">
      <c r="A138" t="str">
        <f>"RGU11427"</f>
        <v>RGU11427</v>
      </c>
      <c r="B138" t="str">
        <f>"BOBINA ENC. VOLKSWAGEN GOL-QUANTUM-SAVEIRO"</f>
        <v>BOBINA ENC. VOLKSWAGEN GOL-QUANTUM-SAVEIRO</v>
      </c>
      <c r="C138" t="str">
        <f>"$ 34777,93"</f>
        <v>$ 34777,93</v>
      </c>
      <c r="D138" t="str">
        <f>"$ 34777,93"</f>
        <v>$ 34777,93</v>
      </c>
      <c r="E138" t="str">
        <f>"$ 34777,93"</f>
        <v>$ 34777,93</v>
      </c>
      <c r="F138" t="str">
        <f>"$ 34777,93"</f>
        <v>$ 34777,93</v>
      </c>
      <c r="G138" t="str">
        <f>"$ 34777,93"</f>
        <v>$ 34777,93</v>
      </c>
      <c r="H138" t="str">
        <f t="shared" si="93"/>
        <v>$ 0,00</v>
      </c>
      <c r="I138" t="str">
        <f t="shared" si="91"/>
        <v>BOBINAS DE ENCENDIDO</v>
      </c>
      <c r="J138" t="str">
        <f t="shared" si="94"/>
        <v>1</v>
      </c>
      <c r="K138" t="str">
        <f t="shared" si="95"/>
        <v>0</v>
      </c>
      <c r="L138" t="str">
        <f>"0,000"</f>
        <v>0,000</v>
      </c>
      <c r="M138" t="str">
        <f t="shared" si="96"/>
        <v xml:space="preserve"> </v>
      </c>
      <c r="N138" t="str">
        <f>"REGITAR"</f>
        <v>REGITAR</v>
      </c>
      <c r="O138" t="str">
        <f t="shared" si="92"/>
        <v>BOBINAS</v>
      </c>
      <c r="P138" t="str">
        <f t="shared" si="88"/>
        <v>0</v>
      </c>
      <c r="Q138" t="str">
        <f t="shared" si="88"/>
        <v>0</v>
      </c>
      <c r="R138" t="str">
        <f t="shared" si="89"/>
        <v>0,00</v>
      </c>
      <c r="S138" t="str">
        <f t="shared" si="89"/>
        <v>0,00</v>
      </c>
      <c r="T138" t="str">
        <f t="shared" si="90"/>
        <v xml:space="preserve"> </v>
      </c>
      <c r="U138" t="str">
        <f t="shared" si="90"/>
        <v xml:space="preserve"> </v>
      </c>
      <c r="V138" t="str">
        <f>"0,000"</f>
        <v>0,000</v>
      </c>
      <c r="W138" t="str">
        <f t="shared" si="97"/>
        <v>Lista 4</v>
      </c>
      <c r="X138" t="str">
        <f t="shared" si="98"/>
        <v>Lista 5</v>
      </c>
      <c r="Y138" t="str">
        <f t="shared" si="99"/>
        <v>Oferta Gral.</v>
      </c>
      <c r="Z138" t="str">
        <f t="shared" si="100"/>
        <v>Rubro</v>
      </c>
      <c r="AA138" t="str">
        <f t="shared" si="101"/>
        <v>Cantidad por Bulto</v>
      </c>
      <c r="AB138" t="str">
        <f t="shared" si="102"/>
        <v>INNER</v>
      </c>
      <c r="AC138" t="str">
        <f t="shared" si="103"/>
        <v>Stock en Bultos</v>
      </c>
      <c r="AD138" t="str">
        <f t="shared" si="104"/>
        <v>SubDepósito</v>
      </c>
      <c r="AE138" t="str">
        <f t="shared" si="105"/>
        <v>Marca</v>
      </c>
      <c r="AF138" t="str">
        <f t="shared" si="106"/>
        <v>Super Rubro</v>
      </c>
      <c r="AG138" t="str">
        <f t="shared" si="107"/>
        <v>ComercioExterior</v>
      </c>
      <c r="AH138" t="str">
        <f t="shared" si="108"/>
        <v>PrecioFOB</v>
      </c>
      <c r="AI138" t="str">
        <f t="shared" si="109"/>
        <v>Monto II</v>
      </c>
      <c r="AJ138" t="str">
        <f t="shared" si="110"/>
        <v>Porcentaje II</v>
      </c>
      <c r="AK138" t="str">
        <f t="shared" si="111"/>
        <v>Foto</v>
      </c>
      <c r="AL138" t="str">
        <f>"{\rtf1\ansi\ansicpg1252\deff0\deflang11274{\fonttbl{\f0\fnil\fcharset0 MS Sans Serif}} \viewkind4\uc1\pard\f0\fs16 BOBINA ENC. VOLKSWAGEN GOL-QUANTUM-SAVEIRO\par } "</f>
        <v xml:space="preserve">{\rtf1\ansi\ansicpg1252\deff0\deflang11274{\fonttbl{\f0\fnil\fcharset0 MS Sans Serif}} \viewkind4\uc1\pard\f0\fs16 BOBINA ENC. VOLKSWAGEN GOL-QUANTUM-SAVEIRO\par } </v>
      </c>
      <c r="AM138" t="str">
        <f t="shared" si="112"/>
        <v>-</v>
      </c>
    </row>
    <row r="139" spans="1:39" x14ac:dyDescent="0.25">
      <c r="A139" t="str">
        <f>"KD8002F"</f>
        <v>KD8002F</v>
      </c>
      <c r="B139" t="str">
        <f>"BOBINA ENC. VW GOL 1.4 SISTEMA BOSCH"</f>
        <v>BOBINA ENC. VW GOL 1.4 SISTEMA BOSCH</v>
      </c>
      <c r="C139" t="str">
        <f>"$ 44996,92"</f>
        <v>$ 44996,92</v>
      </c>
      <c r="D139" t="str">
        <f>"$ 44996,92"</f>
        <v>$ 44996,92</v>
      </c>
      <c r="E139" t="str">
        <f>"$ 44996,92"</f>
        <v>$ 44996,92</v>
      </c>
      <c r="F139" t="str">
        <f>"$ 44996,92"</f>
        <v>$ 44996,92</v>
      </c>
      <c r="G139" t="str">
        <f>"$ 44996,92"</f>
        <v>$ 44996,92</v>
      </c>
      <c r="H139" t="str">
        <f t="shared" si="93"/>
        <v>$ 0,00</v>
      </c>
      <c r="I139" t="str">
        <f t="shared" si="91"/>
        <v>BOBINAS DE ENCENDIDO</v>
      </c>
      <c r="J139" t="str">
        <f t="shared" si="94"/>
        <v>1</v>
      </c>
      <c r="K139" t="str">
        <f t="shared" si="95"/>
        <v>0</v>
      </c>
      <c r="L139" t="str">
        <f>"9,000"</f>
        <v>9,000</v>
      </c>
      <c r="M139" t="str">
        <f t="shared" si="96"/>
        <v xml:space="preserve"> </v>
      </c>
      <c r="N139" t="str">
        <f>"CADIC"</f>
        <v>CADIC</v>
      </c>
      <c r="O139" t="str">
        <f t="shared" si="92"/>
        <v>BOBINAS</v>
      </c>
      <c r="P139" t="str">
        <f t="shared" si="88"/>
        <v>0</v>
      </c>
      <c r="Q139" t="str">
        <f t="shared" si="88"/>
        <v>0</v>
      </c>
      <c r="R139" t="str">
        <f t="shared" si="89"/>
        <v>0,00</v>
      </c>
      <c r="S139" t="str">
        <f t="shared" si="89"/>
        <v>0,00</v>
      </c>
      <c r="T139" t="str">
        <f t="shared" si="90"/>
        <v xml:space="preserve"> </v>
      </c>
      <c r="U139" t="str">
        <f t="shared" si="90"/>
        <v xml:space="preserve"> </v>
      </c>
      <c r="V139" t="str">
        <f>"9,000"</f>
        <v>9,000</v>
      </c>
      <c r="W139" t="str">
        <f t="shared" si="97"/>
        <v>Lista 4</v>
      </c>
      <c r="X139" t="str">
        <f t="shared" si="98"/>
        <v>Lista 5</v>
      </c>
      <c r="Y139" t="str">
        <f t="shared" si="99"/>
        <v>Oferta Gral.</v>
      </c>
      <c r="Z139" t="str">
        <f t="shared" si="100"/>
        <v>Rubro</v>
      </c>
      <c r="AA139" t="str">
        <f t="shared" si="101"/>
        <v>Cantidad por Bulto</v>
      </c>
      <c r="AB139" t="str">
        <f t="shared" si="102"/>
        <v>INNER</v>
      </c>
      <c r="AC139" t="str">
        <f t="shared" si="103"/>
        <v>Stock en Bultos</v>
      </c>
      <c r="AD139" t="str">
        <f t="shared" si="104"/>
        <v>SubDepósito</v>
      </c>
      <c r="AE139" t="str">
        <f t="shared" si="105"/>
        <v>Marca</v>
      </c>
      <c r="AF139" t="str">
        <f t="shared" si="106"/>
        <v>Super Rubro</v>
      </c>
      <c r="AG139" t="str">
        <f t="shared" si="107"/>
        <v>ComercioExterior</v>
      </c>
      <c r="AH139" t="str">
        <f t="shared" si="108"/>
        <v>PrecioFOB</v>
      </c>
      <c r="AI139" t="str">
        <f t="shared" si="109"/>
        <v>Monto II</v>
      </c>
      <c r="AJ139" t="str">
        <f t="shared" si="110"/>
        <v>Porcentaje II</v>
      </c>
      <c r="AK139" t="str">
        <f t="shared" si="111"/>
        <v>Foto</v>
      </c>
      <c r="AL139" t="str">
        <f>"{\rtf1\ansi\ansicpg1252\deff0\deflang11274{\fonttbl{\f0\fnil\fcharset0 MS Sans Serif}} \viewkind4\uc1\pard\f0\fs16 BOBINA ENC. VW GOL 1.4 SISTEMA BOSCH\par } "</f>
        <v xml:space="preserve">{\rtf1\ansi\ansicpg1252\deff0\deflang11274{\fonttbl{\f0\fnil\fcharset0 MS Sans Serif}} \viewkind4\uc1\pard\f0\fs16 BOBINA ENC. VW GOL 1.4 SISTEMA BOSCH\par } </v>
      </c>
      <c r="AM139" t="str">
        <f>" "</f>
        <v xml:space="preserve"> </v>
      </c>
    </row>
    <row r="140" spans="1:39" x14ac:dyDescent="0.25">
      <c r="A140" t="str">
        <f>"RGU11494"</f>
        <v>RGU11494</v>
      </c>
      <c r="B140" t="str">
        <f>"BOBINA ENC. VW GOL 3 PINES"</f>
        <v>BOBINA ENC. VW GOL 3 PINES</v>
      </c>
      <c r="C140" t="str">
        <f>"$ 48271,00"</f>
        <v>$ 48271,00</v>
      </c>
      <c r="D140" t="str">
        <f>"$ 48271,00"</f>
        <v>$ 48271,00</v>
      </c>
      <c r="E140" t="str">
        <f>"$ 48271,00"</f>
        <v>$ 48271,00</v>
      </c>
      <c r="F140" t="str">
        <f>"$ 48271,00"</f>
        <v>$ 48271,00</v>
      </c>
      <c r="G140" t="str">
        <f>"$ 48271,00"</f>
        <v>$ 48271,00</v>
      </c>
      <c r="H140" t="str">
        <f t="shared" si="93"/>
        <v>$ 0,00</v>
      </c>
      <c r="I140" t="str">
        <f t="shared" si="91"/>
        <v>BOBINAS DE ENCENDIDO</v>
      </c>
      <c r="J140" t="str">
        <f t="shared" si="94"/>
        <v>1</v>
      </c>
      <c r="K140" t="str">
        <f t="shared" si="95"/>
        <v>0</v>
      </c>
      <c r="L140" t="str">
        <f>"3,000"</f>
        <v>3,000</v>
      </c>
      <c r="M140" t="str">
        <f t="shared" si="96"/>
        <v xml:space="preserve"> </v>
      </c>
      <c r="N140" t="str">
        <f>"REGITAR"</f>
        <v>REGITAR</v>
      </c>
      <c r="O140" t="str">
        <f t="shared" si="92"/>
        <v>BOBINAS</v>
      </c>
      <c r="P140" t="str">
        <f t="shared" si="88"/>
        <v>0</v>
      </c>
      <c r="Q140" t="str">
        <f t="shared" si="88"/>
        <v>0</v>
      </c>
      <c r="R140" t="str">
        <f t="shared" si="89"/>
        <v>0,00</v>
      </c>
      <c r="S140" t="str">
        <f t="shared" si="89"/>
        <v>0,00</v>
      </c>
      <c r="T140" t="str">
        <f t="shared" si="90"/>
        <v xml:space="preserve"> </v>
      </c>
      <c r="U140" t="str">
        <f t="shared" si="90"/>
        <v xml:space="preserve"> </v>
      </c>
      <c r="V140" t="str">
        <f>"3,000"</f>
        <v>3,000</v>
      </c>
      <c r="W140" t="str">
        <f t="shared" si="97"/>
        <v>Lista 4</v>
      </c>
      <c r="X140" t="str">
        <f t="shared" si="98"/>
        <v>Lista 5</v>
      </c>
      <c r="Y140" t="str">
        <f t="shared" si="99"/>
        <v>Oferta Gral.</v>
      </c>
      <c r="Z140" t="str">
        <f t="shared" si="100"/>
        <v>Rubro</v>
      </c>
      <c r="AA140" t="str">
        <f t="shared" si="101"/>
        <v>Cantidad por Bulto</v>
      </c>
      <c r="AB140" t="str">
        <f t="shared" si="102"/>
        <v>INNER</v>
      </c>
      <c r="AC140" t="str">
        <f t="shared" si="103"/>
        <v>Stock en Bultos</v>
      </c>
      <c r="AD140" t="str">
        <f t="shared" si="104"/>
        <v>SubDepósito</v>
      </c>
      <c r="AE140" t="str">
        <f t="shared" si="105"/>
        <v>Marca</v>
      </c>
      <c r="AF140" t="str">
        <f t="shared" si="106"/>
        <v>Super Rubro</v>
      </c>
      <c r="AG140" t="str">
        <f t="shared" si="107"/>
        <v>ComercioExterior</v>
      </c>
      <c r="AH140" t="str">
        <f t="shared" si="108"/>
        <v>PrecioFOB</v>
      </c>
      <c r="AI140" t="str">
        <f t="shared" si="109"/>
        <v>Monto II</v>
      </c>
      <c r="AJ140" t="str">
        <f t="shared" si="110"/>
        <v>Porcentaje II</v>
      </c>
      <c r="AK140" t="str">
        <f t="shared" si="111"/>
        <v>Foto</v>
      </c>
      <c r="AL140" t="str">
        <f>"{\rtf1\ansi\ansicpg1252\deff0\deflang11274{\fonttbl{\f0\fnil\fcharset0 MS Sans Serif}} \viewkind4\uc1\pard\f0\fs16 BOBINA ENC. VW GOL 3 PINES\par } "</f>
        <v xml:space="preserve">{\rtf1\ansi\ansicpg1252\deff0\deflang11274{\fonttbl{\f0\fnil\fcharset0 MS Sans Serif}} \viewkind4\uc1\pard\f0\fs16 BOBINA ENC. VW GOL 3 PINES\par } </v>
      </c>
      <c r="AM140" t="str">
        <f>"-"</f>
        <v>-</v>
      </c>
    </row>
    <row r="141" spans="1:39" x14ac:dyDescent="0.25">
      <c r="A141" t="str">
        <f>"RGU0166"</f>
        <v>RGU0166</v>
      </c>
      <c r="B141" t="str">
        <f>"BOBINA ENCENDIDO ELECTRONICO"</f>
        <v>BOBINA ENCENDIDO ELECTRONICO</v>
      </c>
      <c r="C141" t="str">
        <f>"$ 31209,32"</f>
        <v>$ 31209,32</v>
      </c>
      <c r="D141" t="str">
        <f>"$ 31209,32"</f>
        <v>$ 31209,32</v>
      </c>
      <c r="E141" t="str">
        <f>"$ 31209,32"</f>
        <v>$ 31209,32</v>
      </c>
      <c r="F141" t="str">
        <f>"$ 31209,32"</f>
        <v>$ 31209,32</v>
      </c>
      <c r="G141" t="str">
        <f>"$ 31209,32"</f>
        <v>$ 31209,32</v>
      </c>
      <c r="H141" t="str">
        <f t="shared" si="93"/>
        <v>$ 0,00</v>
      </c>
      <c r="I141" t="str">
        <f t="shared" si="91"/>
        <v>BOBINAS DE ENCENDIDO</v>
      </c>
      <c r="J141" t="str">
        <f t="shared" si="94"/>
        <v>1</v>
      </c>
      <c r="K141" t="str">
        <f t="shared" si="95"/>
        <v>0</v>
      </c>
      <c r="L141" t="str">
        <f>"-1,000"</f>
        <v>-1,000</v>
      </c>
      <c r="M141" t="str">
        <f t="shared" si="96"/>
        <v xml:space="preserve"> </v>
      </c>
      <c r="N141" t="str">
        <f>"REGITAR"</f>
        <v>REGITAR</v>
      </c>
      <c r="O141" t="str">
        <f t="shared" si="92"/>
        <v>BOBINAS</v>
      </c>
      <c r="P141" t="str">
        <f t="shared" si="88"/>
        <v>0</v>
      </c>
      <c r="Q141" t="str">
        <f t="shared" si="88"/>
        <v>0</v>
      </c>
      <c r="R141" t="str">
        <f t="shared" si="89"/>
        <v>0,00</v>
      </c>
      <c r="S141" t="str">
        <f t="shared" si="89"/>
        <v>0,00</v>
      </c>
      <c r="T141" t="str">
        <f t="shared" si="90"/>
        <v xml:space="preserve"> </v>
      </c>
      <c r="U141" t="str">
        <f t="shared" si="90"/>
        <v xml:space="preserve"> </v>
      </c>
      <c r="V141" t="str">
        <f>"-1,000"</f>
        <v>-1,000</v>
      </c>
      <c r="W141" t="str">
        <f t="shared" si="97"/>
        <v>Lista 4</v>
      </c>
      <c r="X141" t="str">
        <f t="shared" si="98"/>
        <v>Lista 5</v>
      </c>
      <c r="Y141" t="str">
        <f t="shared" si="99"/>
        <v>Oferta Gral.</v>
      </c>
      <c r="Z141" t="str">
        <f t="shared" si="100"/>
        <v>Rubro</v>
      </c>
      <c r="AA141" t="str">
        <f t="shared" si="101"/>
        <v>Cantidad por Bulto</v>
      </c>
      <c r="AB141" t="str">
        <f t="shared" si="102"/>
        <v>INNER</v>
      </c>
      <c r="AC141" t="str">
        <f t="shared" si="103"/>
        <v>Stock en Bultos</v>
      </c>
      <c r="AD141" t="str">
        <f t="shared" si="104"/>
        <v>SubDepósito</v>
      </c>
      <c r="AE141" t="str">
        <f t="shared" si="105"/>
        <v>Marca</v>
      </c>
      <c r="AF141" t="str">
        <f t="shared" si="106"/>
        <v>Super Rubro</v>
      </c>
      <c r="AG141" t="str">
        <f t="shared" si="107"/>
        <v>ComercioExterior</v>
      </c>
      <c r="AH141" t="str">
        <f t="shared" si="108"/>
        <v>PrecioFOB</v>
      </c>
      <c r="AI141" t="str">
        <f t="shared" si="109"/>
        <v>Monto II</v>
      </c>
      <c r="AJ141" t="str">
        <f t="shared" si="110"/>
        <v>Porcentaje II</v>
      </c>
      <c r="AK141" t="str">
        <f t="shared" si="111"/>
        <v>Foto</v>
      </c>
      <c r="AL141" t="str">
        <f>"{\rtf1\ansi\ansicpg1252\deff0\deflang11274{\fonttbl{\f0\fnil\fcharset0 MS Sans Serif}} \viewkind4\uc1\pard\f0\fs16 BOBINA ENCENDIDO ELECTRONICO\par } "</f>
        <v xml:space="preserve">{\rtf1\ansi\ansicpg1252\deff0\deflang11274{\fonttbl{\f0\fnil\fcharset0 MS Sans Serif}} \viewkind4\uc1\pard\f0\fs16 BOBINA ENCENDIDO ELECTRONICO\par } </v>
      </c>
      <c r="AM141" t="str">
        <f>" "</f>
        <v xml:space="preserve"> </v>
      </c>
    </row>
    <row r="142" spans="1:39" x14ac:dyDescent="0.25">
      <c r="A142" t="str">
        <f>"BA355"</f>
        <v>BA355</v>
      </c>
      <c r="B142" t="str">
        <f>"BOBINA ENCENDIDO ELECTRONICO COMPETICION"</f>
        <v>BOBINA ENCENDIDO ELECTRONICO COMPETICION</v>
      </c>
      <c r="C142" t="str">
        <f>"$ 75347,00"</f>
        <v>$ 75347,00</v>
      </c>
      <c r="D142" t="str">
        <f>"$ 75347,00"</f>
        <v>$ 75347,00</v>
      </c>
      <c r="E142" t="str">
        <f>"$ 75347,00"</f>
        <v>$ 75347,00</v>
      </c>
      <c r="F142" t="str">
        <f>"$ 75347,00"</f>
        <v>$ 75347,00</v>
      </c>
      <c r="G142" t="str">
        <f>"$ 75347,00"</f>
        <v>$ 75347,00</v>
      </c>
      <c r="H142" t="str">
        <f t="shared" si="93"/>
        <v>$ 0,00</v>
      </c>
      <c r="I142" t="str">
        <f>"BOBINAS DE ENCEND. COMPETICION"</f>
        <v>BOBINAS DE ENCEND. COMPETICION</v>
      </c>
      <c r="J142" t="str">
        <f t="shared" si="94"/>
        <v>1</v>
      </c>
      <c r="K142" t="str">
        <f t="shared" si="95"/>
        <v>0</v>
      </c>
      <c r="L142" t="str">
        <f>"58,000"</f>
        <v>58,000</v>
      </c>
      <c r="M142" t="str">
        <f t="shared" si="96"/>
        <v xml:space="preserve"> </v>
      </c>
      <c r="N142" t="str">
        <f>"FERRAZZI"</f>
        <v>FERRAZZI</v>
      </c>
      <c r="O142" t="str">
        <f t="shared" si="92"/>
        <v>BOBINAS</v>
      </c>
      <c r="P142" t="str">
        <f t="shared" si="88"/>
        <v>0</v>
      </c>
      <c r="Q142" t="str">
        <f t="shared" si="88"/>
        <v>0</v>
      </c>
      <c r="R142" t="str">
        <f t="shared" si="89"/>
        <v>0,00</v>
      </c>
      <c r="S142" t="str">
        <f t="shared" si="89"/>
        <v>0,00</v>
      </c>
      <c r="T142" t="str">
        <f t="shared" si="90"/>
        <v xml:space="preserve"> </v>
      </c>
      <c r="U142" t="str">
        <f t="shared" si="90"/>
        <v xml:space="preserve"> </v>
      </c>
      <c r="V142" t="str">
        <f>"58,000"</f>
        <v>58,000</v>
      </c>
      <c r="W142" t="str">
        <f t="shared" si="97"/>
        <v>Lista 4</v>
      </c>
      <c r="X142" t="str">
        <f t="shared" si="98"/>
        <v>Lista 5</v>
      </c>
      <c r="Y142" t="str">
        <f t="shared" si="99"/>
        <v>Oferta Gral.</v>
      </c>
      <c r="Z142" t="str">
        <f t="shared" si="100"/>
        <v>Rubro</v>
      </c>
      <c r="AA142" t="str">
        <f t="shared" si="101"/>
        <v>Cantidad por Bulto</v>
      </c>
      <c r="AB142" t="str">
        <f t="shared" si="102"/>
        <v>INNER</v>
      </c>
      <c r="AC142" t="str">
        <f t="shared" si="103"/>
        <v>Stock en Bultos</v>
      </c>
      <c r="AD142" t="str">
        <f t="shared" si="104"/>
        <v>SubDepósito</v>
      </c>
      <c r="AE142" t="str">
        <f t="shared" si="105"/>
        <v>Marca</v>
      </c>
      <c r="AF142" t="str">
        <f t="shared" si="106"/>
        <v>Super Rubro</v>
      </c>
      <c r="AG142" t="str">
        <f t="shared" si="107"/>
        <v>ComercioExterior</v>
      </c>
      <c r="AH142" t="str">
        <f t="shared" si="108"/>
        <v>PrecioFOB</v>
      </c>
      <c r="AI142" t="str">
        <f t="shared" si="109"/>
        <v>Monto II</v>
      </c>
      <c r="AJ142" t="str">
        <f t="shared" si="110"/>
        <v>Porcentaje II</v>
      </c>
      <c r="AK142" t="str">
        <f t="shared" si="111"/>
        <v>Foto</v>
      </c>
      <c r="AL142" t="str">
        <f>"{\rtf1\ansi\ansicpg1252\deff0\deflang11274{\fonttbl{\f0\fnil\fcharset0 MS Sans Serif}} \viewkind4\uc1\pard\f0\fs16 BOBINA ENCENDIDO ELECTRONICO COMPETICION\par } "</f>
        <v xml:space="preserve">{\rtf1\ansi\ansicpg1252\deff0\deflang11274{\fonttbl{\f0\fnil\fcharset0 MS Sans Serif}} \viewkind4\uc1\pard\f0\fs16 BOBINA ENCENDIDO ELECTRONICO COMPETICION\par } </v>
      </c>
      <c r="AM142" t="str">
        <f>"-"</f>
        <v>-</v>
      </c>
    </row>
    <row r="143" spans="1:39" x14ac:dyDescent="0.25">
      <c r="A143" t="str">
        <f>"KD7002"</f>
        <v>KD7002</v>
      </c>
      <c r="B143" t="str">
        <f>"BOBINA ENCENDIDO FIAT 500 DOBLO BRAVO 1.4 16V"</f>
        <v>BOBINA ENCENDIDO FIAT 500 DOBLO BRAVO 1.4 16V</v>
      </c>
      <c r="C143" t="str">
        <f>"$ 54017,15"</f>
        <v>$ 54017,15</v>
      </c>
      <c r="D143" t="str">
        <f>"$ 54017,15"</f>
        <v>$ 54017,15</v>
      </c>
      <c r="E143" t="str">
        <f>"$ 54017,15"</f>
        <v>$ 54017,15</v>
      </c>
      <c r="F143" t="str">
        <f>"$ 54017,15"</f>
        <v>$ 54017,15</v>
      </c>
      <c r="G143" t="str">
        <f>"$ 54017,15"</f>
        <v>$ 54017,15</v>
      </c>
      <c r="H143" t="str">
        <f t="shared" si="93"/>
        <v>$ 0,00</v>
      </c>
      <c r="I143" t="str">
        <f t="shared" ref="I143:I158" si="113">"BOBINAS DE ENCENDIDO"</f>
        <v>BOBINAS DE ENCENDIDO</v>
      </c>
      <c r="J143" t="str">
        <f t="shared" si="94"/>
        <v>1</v>
      </c>
      <c r="K143" t="str">
        <f t="shared" si="95"/>
        <v>0</v>
      </c>
      <c r="L143" t="str">
        <f>"4,000"</f>
        <v>4,000</v>
      </c>
      <c r="M143" t="str">
        <f t="shared" si="96"/>
        <v xml:space="preserve"> </v>
      </c>
      <c r="N143" t="str">
        <f>"CADIC"</f>
        <v>CADIC</v>
      </c>
      <c r="O143" t="str">
        <f t="shared" si="92"/>
        <v>BOBINAS</v>
      </c>
      <c r="P143" t="str">
        <f t="shared" ref="P143:Q162" si="114">"0"</f>
        <v>0</v>
      </c>
      <c r="Q143" t="str">
        <f t="shared" si="114"/>
        <v>0</v>
      </c>
      <c r="R143" t="str">
        <f t="shared" ref="R143:S162" si="115">"0,00"</f>
        <v>0,00</v>
      </c>
      <c r="S143" t="str">
        <f t="shared" si="115"/>
        <v>0,00</v>
      </c>
      <c r="T143" t="str">
        <f t="shared" ref="T143:U162" si="116">" "</f>
        <v xml:space="preserve"> </v>
      </c>
      <c r="U143" t="str">
        <f t="shared" si="116"/>
        <v xml:space="preserve"> </v>
      </c>
      <c r="V143" t="str">
        <f>"4,000"</f>
        <v>4,000</v>
      </c>
      <c r="W143" t="str">
        <f t="shared" si="97"/>
        <v>Lista 4</v>
      </c>
      <c r="X143" t="str">
        <f t="shared" si="98"/>
        <v>Lista 5</v>
      </c>
      <c r="Y143" t="str">
        <f t="shared" si="99"/>
        <v>Oferta Gral.</v>
      </c>
      <c r="Z143" t="str">
        <f t="shared" si="100"/>
        <v>Rubro</v>
      </c>
      <c r="AA143" t="str">
        <f t="shared" si="101"/>
        <v>Cantidad por Bulto</v>
      </c>
      <c r="AB143" t="str">
        <f t="shared" si="102"/>
        <v>INNER</v>
      </c>
      <c r="AC143" t="str">
        <f t="shared" si="103"/>
        <v>Stock en Bultos</v>
      </c>
      <c r="AD143" t="str">
        <f t="shared" si="104"/>
        <v>SubDepósito</v>
      </c>
      <c r="AE143" t="str">
        <f t="shared" si="105"/>
        <v>Marca</v>
      </c>
      <c r="AF143" t="str">
        <f t="shared" si="106"/>
        <v>Super Rubro</v>
      </c>
      <c r="AG143" t="str">
        <f t="shared" si="107"/>
        <v>ComercioExterior</v>
      </c>
      <c r="AH143" t="str">
        <f t="shared" si="108"/>
        <v>PrecioFOB</v>
      </c>
      <c r="AI143" t="str">
        <f t="shared" si="109"/>
        <v>Monto II</v>
      </c>
      <c r="AJ143" t="str">
        <f t="shared" si="110"/>
        <v>Porcentaje II</v>
      </c>
      <c r="AK143" t="str">
        <f t="shared" si="111"/>
        <v>Foto</v>
      </c>
      <c r="AL143" t="str">
        <f>"{\rtf1\ansi\ansicpg1252\deff0\deflang11274{\fonttbl{\f0\fnil\fcharset0 MS Sans Serif}} \viewkind4\uc1\pard\f0\fs16 BALASTO PARA XENON CANBUS\par } "</f>
        <v xml:space="preserve">{\rtf1\ansi\ansicpg1252\deff0\deflang11274{\fonttbl{\f0\fnil\fcharset0 MS Sans Serif}} \viewkind4\uc1\pard\f0\fs16 BALASTO PARA XENON CANBUS\par } </v>
      </c>
      <c r="AM143" t="str">
        <f>" "</f>
        <v xml:space="preserve"> </v>
      </c>
    </row>
    <row r="144" spans="1:39" x14ac:dyDescent="0.25">
      <c r="A144" t="str">
        <f>"KD7208"</f>
        <v>KD7208</v>
      </c>
      <c r="B144" t="str">
        <f>"BOBINA ENCENDIDO FIAT ARGO CRONOS DRIVE 1.3 55267998"</f>
        <v>BOBINA ENCENDIDO FIAT ARGO CRONOS DRIVE 1.3 55267998</v>
      </c>
      <c r="C144" t="str">
        <f>"$ 56237,03"</f>
        <v>$ 56237,03</v>
      </c>
      <c r="D144" t="str">
        <f>"$ 56237,03"</f>
        <v>$ 56237,03</v>
      </c>
      <c r="E144" t="str">
        <f>"$ 56237,03"</f>
        <v>$ 56237,03</v>
      </c>
      <c r="F144" t="str">
        <f>"$ 56237,03"</f>
        <v>$ 56237,03</v>
      </c>
      <c r="G144" t="str">
        <f>"$ 56237,03"</f>
        <v>$ 56237,03</v>
      </c>
      <c r="H144" t="str">
        <f t="shared" si="93"/>
        <v>$ 0,00</v>
      </c>
      <c r="I144" t="str">
        <f t="shared" si="113"/>
        <v>BOBINAS DE ENCENDIDO</v>
      </c>
      <c r="J144" t="str">
        <f t="shared" si="94"/>
        <v>1</v>
      </c>
      <c r="K144" t="str">
        <f t="shared" si="95"/>
        <v>0</v>
      </c>
      <c r="L144" t="str">
        <f>"8,000"</f>
        <v>8,000</v>
      </c>
      <c r="M144" t="str">
        <f t="shared" si="96"/>
        <v xml:space="preserve"> </v>
      </c>
      <c r="N144" t="str">
        <f>"CADIC"</f>
        <v>CADIC</v>
      </c>
      <c r="O144" t="str">
        <f t="shared" si="92"/>
        <v>BOBINAS</v>
      </c>
      <c r="P144" t="str">
        <f t="shared" si="114"/>
        <v>0</v>
      </c>
      <c r="Q144" t="str">
        <f t="shared" si="114"/>
        <v>0</v>
      </c>
      <c r="R144" t="str">
        <f t="shared" si="115"/>
        <v>0,00</v>
      </c>
      <c r="S144" t="str">
        <f t="shared" si="115"/>
        <v>0,00</v>
      </c>
      <c r="T144" t="str">
        <f t="shared" si="116"/>
        <v xml:space="preserve"> </v>
      </c>
      <c r="U144" t="str">
        <f t="shared" si="116"/>
        <v xml:space="preserve"> </v>
      </c>
      <c r="V144" t="str">
        <f>"8,000"</f>
        <v>8,000</v>
      </c>
      <c r="W144" t="str">
        <f t="shared" si="97"/>
        <v>Lista 4</v>
      </c>
      <c r="X144" t="str">
        <f t="shared" si="98"/>
        <v>Lista 5</v>
      </c>
      <c r="Y144" t="str">
        <f t="shared" si="99"/>
        <v>Oferta Gral.</v>
      </c>
      <c r="Z144" t="str">
        <f t="shared" si="100"/>
        <v>Rubro</v>
      </c>
      <c r="AA144" t="str">
        <f t="shared" si="101"/>
        <v>Cantidad por Bulto</v>
      </c>
      <c r="AB144" t="str">
        <f t="shared" si="102"/>
        <v>INNER</v>
      </c>
      <c r="AC144" t="str">
        <f t="shared" si="103"/>
        <v>Stock en Bultos</v>
      </c>
      <c r="AD144" t="str">
        <f t="shared" si="104"/>
        <v>SubDepósito</v>
      </c>
      <c r="AE144" t="str">
        <f t="shared" si="105"/>
        <v>Marca</v>
      </c>
      <c r="AF144" t="str">
        <f t="shared" si="106"/>
        <v>Super Rubro</v>
      </c>
      <c r="AG144" t="str">
        <f t="shared" si="107"/>
        <v>ComercioExterior</v>
      </c>
      <c r="AH144" t="str">
        <f t="shared" si="108"/>
        <v>PrecioFOB</v>
      </c>
      <c r="AI144" t="str">
        <f t="shared" si="109"/>
        <v>Monto II</v>
      </c>
      <c r="AJ144" t="str">
        <f t="shared" si="110"/>
        <v>Porcentaje II</v>
      </c>
      <c r="AK144" t="str">
        <f t="shared" si="111"/>
        <v>Foto</v>
      </c>
      <c r="AL144" t="str">
        <f>"{\rtf1\ansi\ansicpg1252\deff0\deflang11274{\fonttbl{\f0\fnil\fcharset0 MS Sans Serif}} \viewkind4\uc1\pard\f0\fs16 BOBINA ENCENDIDO FIAT ARGO CRONOS DRIVE 1.3 55267998\par } "</f>
        <v xml:space="preserve">{\rtf1\ansi\ansicpg1252\deff0\deflang11274{\fonttbl{\f0\fnil\fcharset0 MS Sans Serif}} \viewkind4\uc1\pard\f0\fs16 BOBINA ENCENDIDO FIAT ARGO CRONOS DRIVE 1.3 55267998\par } </v>
      </c>
      <c r="AM144" t="str">
        <f>"Bobina Fiat 500"</f>
        <v>Bobina Fiat 500</v>
      </c>
    </row>
    <row r="145" spans="1:39" x14ac:dyDescent="0.25">
      <c r="A145" t="str">
        <f>"KD8066"</f>
        <v>KD8066</v>
      </c>
      <c r="B145" t="str">
        <f>"BOBINA ENCENDIDO FIAT NOVO UNO PALIO FIRE EVO"</f>
        <v>BOBINA ENCENDIDO FIAT NOVO UNO PALIO FIRE EVO</v>
      </c>
      <c r="C145" t="str">
        <f>"$ 120373,93"</f>
        <v>$ 120373,93</v>
      </c>
      <c r="D145" t="str">
        <f>"$ 120373,93"</f>
        <v>$ 120373,93</v>
      </c>
      <c r="E145" t="str">
        <f>"$ 120373,93"</f>
        <v>$ 120373,93</v>
      </c>
      <c r="F145" t="str">
        <f>"$ 120373,93"</f>
        <v>$ 120373,93</v>
      </c>
      <c r="G145" t="str">
        <f>"$ 120373,93"</f>
        <v>$ 120373,93</v>
      </c>
      <c r="H145" t="str">
        <f t="shared" si="93"/>
        <v>$ 0,00</v>
      </c>
      <c r="I145" t="str">
        <f t="shared" si="113"/>
        <v>BOBINAS DE ENCENDIDO</v>
      </c>
      <c r="J145" t="str">
        <f t="shared" si="94"/>
        <v>1</v>
      </c>
      <c r="K145" t="str">
        <f t="shared" si="95"/>
        <v>0</v>
      </c>
      <c r="L145" t="str">
        <f>"0,000"</f>
        <v>0,000</v>
      </c>
      <c r="M145" t="str">
        <f t="shared" si="96"/>
        <v xml:space="preserve"> </v>
      </c>
      <c r="N145" t="str">
        <f>"CADIC"</f>
        <v>CADIC</v>
      </c>
      <c r="O145" t="str">
        <f t="shared" si="92"/>
        <v>BOBINAS</v>
      </c>
      <c r="P145" t="str">
        <f t="shared" si="114"/>
        <v>0</v>
      </c>
      <c r="Q145" t="str">
        <f t="shared" si="114"/>
        <v>0</v>
      </c>
      <c r="R145" t="str">
        <f t="shared" si="115"/>
        <v>0,00</v>
      </c>
      <c r="S145" t="str">
        <f t="shared" si="115"/>
        <v>0,00</v>
      </c>
      <c r="T145" t="str">
        <f t="shared" si="116"/>
        <v xml:space="preserve"> </v>
      </c>
      <c r="U145" t="str">
        <f t="shared" si="116"/>
        <v xml:space="preserve"> </v>
      </c>
      <c r="V145" t="str">
        <f>"0,000"</f>
        <v>0,000</v>
      </c>
      <c r="W145" t="str">
        <f t="shared" si="97"/>
        <v>Lista 4</v>
      </c>
      <c r="X145" t="str">
        <f t="shared" si="98"/>
        <v>Lista 5</v>
      </c>
      <c r="Y145" t="str">
        <f t="shared" si="99"/>
        <v>Oferta Gral.</v>
      </c>
      <c r="Z145" t="str">
        <f t="shared" si="100"/>
        <v>Rubro</v>
      </c>
      <c r="AA145" t="str">
        <f t="shared" si="101"/>
        <v>Cantidad por Bulto</v>
      </c>
      <c r="AB145" t="str">
        <f t="shared" si="102"/>
        <v>INNER</v>
      </c>
      <c r="AC145" t="str">
        <f t="shared" si="103"/>
        <v>Stock en Bultos</v>
      </c>
      <c r="AD145" t="str">
        <f t="shared" si="104"/>
        <v>SubDepósito</v>
      </c>
      <c r="AE145" t="str">
        <f t="shared" si="105"/>
        <v>Marca</v>
      </c>
      <c r="AF145" t="str">
        <f t="shared" si="106"/>
        <v>Super Rubro</v>
      </c>
      <c r="AG145" t="str">
        <f t="shared" si="107"/>
        <v>ComercioExterior</v>
      </c>
      <c r="AH145" t="str">
        <f t="shared" si="108"/>
        <v>PrecioFOB</v>
      </c>
      <c r="AI145" t="str">
        <f t="shared" si="109"/>
        <v>Monto II</v>
      </c>
      <c r="AJ145" t="str">
        <f t="shared" si="110"/>
        <v>Porcentaje II</v>
      </c>
      <c r="AK145" t="str">
        <f t="shared" si="111"/>
        <v>Foto</v>
      </c>
      <c r="AL145" t="str">
        <f>"{\rtf1\ansi\ansicpg1252\deff0\deflang2058{\fonttbl{\f0\fnil\fcharset0 MS Sans Serif}} \viewkind4\uc1\pard\f0\fs16 BOBINA ENCENDIDO FIAT NOVO UNO PALIO FIRE EVO\par } "</f>
        <v xml:space="preserve">{\rtf1\ansi\ansicpg1252\deff0\deflang2058{\fonttbl{\f0\fnil\fcharset0 MS Sans Serif}} \viewkind4\uc1\pard\f0\fs16 BOBINA ENCENDIDO FIAT NOVO UNO PALIO FIRE EVO\par } </v>
      </c>
      <c r="AM145" t="str">
        <f>" "</f>
        <v xml:space="preserve"> </v>
      </c>
    </row>
    <row r="146" spans="1:39" x14ac:dyDescent="0.25">
      <c r="A146" t="str">
        <f>"KD8041"</f>
        <v>KD8041</v>
      </c>
      <c r="B146" t="str">
        <f>"BOBINA ENCENDIDO FIAT PALIO SIENA 1.6 ETORQ"</f>
        <v>BOBINA ENCENDIDO FIAT PALIO SIENA 1.6 ETORQ</v>
      </c>
      <c r="C146" t="str">
        <f>"$ 57161,97"</f>
        <v>$ 57161,97</v>
      </c>
      <c r="D146" t="str">
        <f>"$ 57161,97"</f>
        <v>$ 57161,97</v>
      </c>
      <c r="E146" t="str">
        <f>"$ 57161,97"</f>
        <v>$ 57161,97</v>
      </c>
      <c r="F146" t="str">
        <f>"$ 57161,97"</f>
        <v>$ 57161,97</v>
      </c>
      <c r="G146" t="str">
        <f>"$ 57161,97"</f>
        <v>$ 57161,97</v>
      </c>
      <c r="H146" t="str">
        <f t="shared" si="93"/>
        <v>$ 0,00</v>
      </c>
      <c r="I146" t="str">
        <f t="shared" si="113"/>
        <v>BOBINAS DE ENCENDIDO</v>
      </c>
      <c r="J146" t="str">
        <f t="shared" si="94"/>
        <v>1</v>
      </c>
      <c r="K146" t="str">
        <f t="shared" si="95"/>
        <v>0</v>
      </c>
      <c r="L146" t="str">
        <f>"0,000"</f>
        <v>0,000</v>
      </c>
      <c r="M146" t="str">
        <f t="shared" si="96"/>
        <v xml:space="preserve"> </v>
      </c>
      <c r="N146" t="str">
        <f>"CADIC"</f>
        <v>CADIC</v>
      </c>
      <c r="O146" t="str">
        <f t="shared" si="92"/>
        <v>BOBINAS</v>
      </c>
      <c r="P146" t="str">
        <f t="shared" si="114"/>
        <v>0</v>
      </c>
      <c r="Q146" t="str">
        <f t="shared" si="114"/>
        <v>0</v>
      </c>
      <c r="R146" t="str">
        <f t="shared" si="115"/>
        <v>0,00</v>
      </c>
      <c r="S146" t="str">
        <f t="shared" si="115"/>
        <v>0,00</v>
      </c>
      <c r="T146" t="str">
        <f t="shared" si="116"/>
        <v xml:space="preserve"> </v>
      </c>
      <c r="U146" t="str">
        <f t="shared" si="116"/>
        <v xml:space="preserve"> </v>
      </c>
      <c r="V146" t="str">
        <f>"0,000"</f>
        <v>0,000</v>
      </c>
      <c r="W146" t="str">
        <f t="shared" si="97"/>
        <v>Lista 4</v>
      </c>
      <c r="X146" t="str">
        <f t="shared" si="98"/>
        <v>Lista 5</v>
      </c>
      <c r="Y146" t="str">
        <f t="shared" si="99"/>
        <v>Oferta Gral.</v>
      </c>
      <c r="Z146" t="str">
        <f t="shared" si="100"/>
        <v>Rubro</v>
      </c>
      <c r="AA146" t="str">
        <f t="shared" si="101"/>
        <v>Cantidad por Bulto</v>
      </c>
      <c r="AB146" t="str">
        <f t="shared" si="102"/>
        <v>INNER</v>
      </c>
      <c r="AC146" t="str">
        <f t="shared" si="103"/>
        <v>Stock en Bultos</v>
      </c>
      <c r="AD146" t="str">
        <f t="shared" si="104"/>
        <v>SubDepósito</v>
      </c>
      <c r="AE146" t="str">
        <f t="shared" si="105"/>
        <v>Marca</v>
      </c>
      <c r="AF146" t="str">
        <f t="shared" si="106"/>
        <v>Super Rubro</v>
      </c>
      <c r="AG146" t="str">
        <f t="shared" si="107"/>
        <v>ComercioExterior</v>
      </c>
      <c r="AH146" t="str">
        <f t="shared" si="108"/>
        <v>PrecioFOB</v>
      </c>
      <c r="AI146" t="str">
        <f t="shared" si="109"/>
        <v>Monto II</v>
      </c>
      <c r="AJ146" t="str">
        <f t="shared" si="110"/>
        <v>Porcentaje II</v>
      </c>
      <c r="AK146" t="str">
        <f t="shared" si="111"/>
        <v>Foto</v>
      </c>
      <c r="AL146" t="str">
        <f>"{\rtf1\ansi\ansicpg1252\deff0\deflang2058{\fonttbl{\f0\fnil\fcharset0 MS Sans Serif}} \viewkind4\uc1\pard\f0\fs16 BOBINA ENCENDIDO FIAT PALIO SIENA 1.6 ETORQ\par } "</f>
        <v xml:space="preserve">{\rtf1\ansi\ansicpg1252\deff0\deflang2058{\fonttbl{\f0\fnil\fcharset0 MS Sans Serif}} \viewkind4\uc1\pard\f0\fs16 BOBINA ENCENDIDO FIAT PALIO SIENA 1.6 ETORQ\par } </v>
      </c>
      <c r="AM146" t="str">
        <f>" "</f>
        <v xml:space="preserve"> </v>
      </c>
    </row>
    <row r="147" spans="1:39" x14ac:dyDescent="0.25">
      <c r="A147" t="str">
        <f>"FI70157"</f>
        <v>FI70157</v>
      </c>
      <c r="B147" t="str">
        <f>"BOBINA ENCENDIDO FIAT PALIO SIENA FIRE SISTEMA BOSCH"</f>
        <v>BOBINA ENCENDIDO FIAT PALIO SIENA FIRE SISTEMA BOSCH</v>
      </c>
      <c r="C147" t="str">
        <f>"$ 59359,40"</f>
        <v>$ 59359,40</v>
      </c>
      <c r="D147" t="str">
        <f>"$ 59359,40"</f>
        <v>$ 59359,40</v>
      </c>
      <c r="E147" t="str">
        <f>"$ 59359,40"</f>
        <v>$ 59359,40</v>
      </c>
      <c r="F147" t="str">
        <f>"$ 59359,40"</f>
        <v>$ 59359,40</v>
      </c>
      <c r="G147" t="str">
        <f>"$ 59359,40"</f>
        <v>$ 59359,40</v>
      </c>
      <c r="H147" t="str">
        <f t="shared" si="93"/>
        <v>$ 0,00</v>
      </c>
      <c r="I147" t="str">
        <f t="shared" si="113"/>
        <v>BOBINAS DE ENCENDIDO</v>
      </c>
      <c r="J147" t="str">
        <f t="shared" si="94"/>
        <v>1</v>
      </c>
      <c r="K147" t="str">
        <f t="shared" si="95"/>
        <v>0</v>
      </c>
      <c r="L147" t="str">
        <f>"6,000"</f>
        <v>6,000</v>
      </c>
      <c r="M147" t="str">
        <f t="shared" si="96"/>
        <v xml:space="preserve"> </v>
      </c>
      <c r="N147" t="str">
        <f>"FISPA"</f>
        <v>FISPA</v>
      </c>
      <c r="O147" t="str">
        <f t="shared" si="92"/>
        <v>BOBINAS</v>
      </c>
      <c r="P147" t="str">
        <f t="shared" si="114"/>
        <v>0</v>
      </c>
      <c r="Q147" t="str">
        <f t="shared" si="114"/>
        <v>0</v>
      </c>
      <c r="R147" t="str">
        <f t="shared" si="115"/>
        <v>0,00</v>
      </c>
      <c r="S147" t="str">
        <f t="shared" si="115"/>
        <v>0,00</v>
      </c>
      <c r="T147" t="str">
        <f t="shared" si="116"/>
        <v xml:space="preserve"> </v>
      </c>
      <c r="U147" t="str">
        <f t="shared" si="116"/>
        <v xml:space="preserve"> </v>
      </c>
      <c r="V147" t="str">
        <f>"6,000"</f>
        <v>6,000</v>
      </c>
      <c r="W147" t="str">
        <f t="shared" si="97"/>
        <v>Lista 4</v>
      </c>
      <c r="X147" t="str">
        <f t="shared" si="98"/>
        <v>Lista 5</v>
      </c>
      <c r="Y147" t="str">
        <f t="shared" si="99"/>
        <v>Oferta Gral.</v>
      </c>
      <c r="Z147" t="str">
        <f t="shared" si="100"/>
        <v>Rubro</v>
      </c>
      <c r="AA147" t="str">
        <f t="shared" si="101"/>
        <v>Cantidad por Bulto</v>
      </c>
      <c r="AB147" t="str">
        <f t="shared" si="102"/>
        <v>INNER</v>
      </c>
      <c r="AC147" t="str">
        <f t="shared" si="103"/>
        <v>Stock en Bultos</v>
      </c>
      <c r="AD147" t="str">
        <f t="shared" si="104"/>
        <v>SubDepósito</v>
      </c>
      <c r="AE147" t="str">
        <f t="shared" si="105"/>
        <v>Marca</v>
      </c>
      <c r="AF147" t="str">
        <f t="shared" si="106"/>
        <v>Super Rubro</v>
      </c>
      <c r="AG147" t="str">
        <f t="shared" si="107"/>
        <v>ComercioExterior</v>
      </c>
      <c r="AH147" t="str">
        <f t="shared" si="108"/>
        <v>PrecioFOB</v>
      </c>
      <c r="AI147" t="str">
        <f t="shared" si="109"/>
        <v>Monto II</v>
      </c>
      <c r="AJ147" t="str">
        <f t="shared" si="110"/>
        <v>Porcentaje II</v>
      </c>
      <c r="AK147" t="str">
        <f t="shared" si="111"/>
        <v>Foto</v>
      </c>
      <c r="AL147" t="str">
        <f>"{\rtf1\ansi\ansicpg1252\deff0\deflang2058{\fonttbl{\f0\fnil\fcharset0 MS Sans Serif}} \viewkind4\uc1\pard\f0\fs16 BOBINA ENCENDIDO FIAT PALIO SIENA FIRE SISTEMA BOSCH\par } "</f>
        <v xml:space="preserve">{\rtf1\ansi\ansicpg1252\deff0\deflang2058{\fonttbl{\f0\fnil\fcharset0 MS Sans Serif}} \viewkind4\uc1\pard\f0\fs16 BOBINA ENCENDIDO FIAT PALIO SIENA FIRE SISTEMA BOSCH\par } </v>
      </c>
      <c r="AM147" t="str">
        <f>" "</f>
        <v xml:space="preserve"> </v>
      </c>
    </row>
    <row r="148" spans="1:39" x14ac:dyDescent="0.25">
      <c r="A148" t="str">
        <f>"KD8048A"</f>
        <v>KD8048A</v>
      </c>
      <c r="B148" t="str">
        <f>"BOBINA ENCENDIDO FIESTA/FOCUS/ECOSPORT DESDE 2012"</f>
        <v>BOBINA ENCENDIDO FIESTA/FOCUS/ECOSPORT DESDE 2012</v>
      </c>
      <c r="C148" t="str">
        <f>"$ 53136,49"</f>
        <v>$ 53136,49</v>
      </c>
      <c r="D148" t="str">
        <f>"$ 53136,49"</f>
        <v>$ 53136,49</v>
      </c>
      <c r="E148" t="str">
        <f>"$ 53136,49"</f>
        <v>$ 53136,49</v>
      </c>
      <c r="F148" t="str">
        <f>"$ 53136,49"</f>
        <v>$ 53136,49</v>
      </c>
      <c r="G148" t="str">
        <f>"$ 53136,49"</f>
        <v>$ 53136,49</v>
      </c>
      <c r="H148" t="str">
        <f t="shared" si="93"/>
        <v>$ 0,00</v>
      </c>
      <c r="I148" t="str">
        <f t="shared" si="113"/>
        <v>BOBINAS DE ENCENDIDO</v>
      </c>
      <c r="J148" t="str">
        <f t="shared" si="94"/>
        <v>1</v>
      </c>
      <c r="K148" t="str">
        <f t="shared" si="95"/>
        <v>0</v>
      </c>
      <c r="L148" t="str">
        <f>"1,000"</f>
        <v>1,000</v>
      </c>
      <c r="M148" t="str">
        <f t="shared" si="96"/>
        <v xml:space="preserve"> </v>
      </c>
      <c r="N148" t="str">
        <f>"CADIC"</f>
        <v>CADIC</v>
      </c>
      <c r="O148" t="str">
        <f t="shared" si="92"/>
        <v>BOBINAS</v>
      </c>
      <c r="P148" t="str">
        <f t="shared" si="114"/>
        <v>0</v>
      </c>
      <c r="Q148" t="str">
        <f t="shared" si="114"/>
        <v>0</v>
      </c>
      <c r="R148" t="str">
        <f t="shared" si="115"/>
        <v>0,00</v>
      </c>
      <c r="S148" t="str">
        <f t="shared" si="115"/>
        <v>0,00</v>
      </c>
      <c r="T148" t="str">
        <f t="shared" si="116"/>
        <v xml:space="preserve"> </v>
      </c>
      <c r="U148" t="str">
        <f t="shared" si="116"/>
        <v xml:space="preserve"> </v>
      </c>
      <c r="V148" t="str">
        <f>"1,000"</f>
        <v>1,000</v>
      </c>
      <c r="W148" t="str">
        <f t="shared" si="97"/>
        <v>Lista 4</v>
      </c>
      <c r="X148" t="str">
        <f t="shared" si="98"/>
        <v>Lista 5</v>
      </c>
      <c r="Y148" t="str">
        <f t="shared" si="99"/>
        <v>Oferta Gral.</v>
      </c>
      <c r="Z148" t="str">
        <f t="shared" si="100"/>
        <v>Rubro</v>
      </c>
      <c r="AA148" t="str">
        <f t="shared" si="101"/>
        <v>Cantidad por Bulto</v>
      </c>
      <c r="AB148" t="str">
        <f t="shared" si="102"/>
        <v>INNER</v>
      </c>
      <c r="AC148" t="str">
        <f t="shared" si="103"/>
        <v>Stock en Bultos</v>
      </c>
      <c r="AD148" t="str">
        <f t="shared" si="104"/>
        <v>SubDepósito</v>
      </c>
      <c r="AE148" t="str">
        <f t="shared" si="105"/>
        <v>Marca</v>
      </c>
      <c r="AF148" t="str">
        <f t="shared" si="106"/>
        <v>Super Rubro</v>
      </c>
      <c r="AG148" t="str">
        <f t="shared" si="107"/>
        <v>ComercioExterior</v>
      </c>
      <c r="AH148" t="str">
        <f t="shared" si="108"/>
        <v>PrecioFOB</v>
      </c>
      <c r="AI148" t="str">
        <f t="shared" si="109"/>
        <v>Monto II</v>
      </c>
      <c r="AJ148" t="str">
        <f t="shared" si="110"/>
        <v>Porcentaje II</v>
      </c>
      <c r="AK148" t="str">
        <f t="shared" si="111"/>
        <v>Foto</v>
      </c>
      <c r="AL148" t="str">
        <f>"{\rtf1\ansi\ansicpg1252\deff0\deflang11274{\fonttbl{\f0\fnil\fcharset0 MS Sans Serif}} \viewkind4\uc1\pard\f0\fs16 BOBINA ENCENDIDO FIESTA/FOCUS/ECOSPORT DESDE 2012\par } "</f>
        <v xml:space="preserve">{\rtf1\ansi\ansicpg1252\deff0\deflang11274{\fonttbl{\f0\fnil\fcharset0 MS Sans Serif}} \viewkind4\uc1\pard\f0\fs16 BOBINA ENCENDIDO FIESTA/FOCUS/ECOSPORT DESDE 2012\par } </v>
      </c>
      <c r="AM148" t="str">
        <f>"-"</f>
        <v>-</v>
      </c>
    </row>
    <row r="149" spans="1:39" x14ac:dyDescent="0.25">
      <c r="A149" t="str">
        <f>"VK11401MC"</f>
        <v>VK11401MC</v>
      </c>
      <c r="B149" t="str">
        <f>"BOBINA ENCENDIDO FOCUS/FIESTA ZETEC"</f>
        <v>BOBINA ENCENDIDO FOCUS/FIESTA ZETEC</v>
      </c>
      <c r="C149" t="str">
        <f>"$ 49439,40"</f>
        <v>$ 49439,40</v>
      </c>
      <c r="D149" t="str">
        <f>"$ 49439,40"</f>
        <v>$ 49439,40</v>
      </c>
      <c r="E149" t="str">
        <f>"$ 49439,40"</f>
        <v>$ 49439,40</v>
      </c>
      <c r="F149" t="str">
        <f>"$ 44655,30"</f>
        <v>$ 44655,30</v>
      </c>
      <c r="G149" t="str">
        <f>"$ 44655,30"</f>
        <v>$ 44655,30</v>
      </c>
      <c r="H149" t="str">
        <f t="shared" si="93"/>
        <v>$ 0,00</v>
      </c>
      <c r="I149" t="str">
        <f t="shared" si="113"/>
        <v>BOBINAS DE ENCENDIDO</v>
      </c>
      <c r="J149" t="str">
        <f t="shared" si="94"/>
        <v>1</v>
      </c>
      <c r="K149" t="str">
        <f t="shared" si="95"/>
        <v>0</v>
      </c>
      <c r="L149" t="str">
        <f>"2,000"</f>
        <v>2,000</v>
      </c>
      <c r="M149" t="str">
        <f t="shared" si="96"/>
        <v xml:space="preserve"> </v>
      </c>
      <c r="N149" t="str">
        <f>"MOTORCRAFT"</f>
        <v>MOTORCRAFT</v>
      </c>
      <c r="O149" t="str">
        <f t="shared" si="92"/>
        <v>BOBINAS</v>
      </c>
      <c r="P149" t="str">
        <f t="shared" si="114"/>
        <v>0</v>
      </c>
      <c r="Q149" t="str">
        <f t="shared" si="114"/>
        <v>0</v>
      </c>
      <c r="R149" t="str">
        <f t="shared" si="115"/>
        <v>0,00</v>
      </c>
      <c r="S149" t="str">
        <f t="shared" si="115"/>
        <v>0,00</v>
      </c>
      <c r="T149" t="str">
        <f t="shared" si="116"/>
        <v xml:space="preserve"> </v>
      </c>
      <c r="U149" t="str">
        <f t="shared" si="116"/>
        <v xml:space="preserve"> </v>
      </c>
      <c r="V149" t="str">
        <f>"2,000"</f>
        <v>2,000</v>
      </c>
      <c r="W149" t="str">
        <f t="shared" si="97"/>
        <v>Lista 4</v>
      </c>
      <c r="X149" t="str">
        <f t="shared" si="98"/>
        <v>Lista 5</v>
      </c>
      <c r="Y149" t="str">
        <f t="shared" si="99"/>
        <v>Oferta Gral.</v>
      </c>
      <c r="Z149" t="str">
        <f t="shared" si="100"/>
        <v>Rubro</v>
      </c>
      <c r="AA149" t="str">
        <f t="shared" si="101"/>
        <v>Cantidad por Bulto</v>
      </c>
      <c r="AB149" t="str">
        <f t="shared" si="102"/>
        <v>INNER</v>
      </c>
      <c r="AC149" t="str">
        <f t="shared" si="103"/>
        <v>Stock en Bultos</v>
      </c>
      <c r="AD149" t="str">
        <f t="shared" si="104"/>
        <v>SubDepósito</v>
      </c>
      <c r="AE149" t="str">
        <f t="shared" si="105"/>
        <v>Marca</v>
      </c>
      <c r="AF149" t="str">
        <f t="shared" si="106"/>
        <v>Super Rubro</v>
      </c>
      <c r="AG149" t="str">
        <f t="shared" si="107"/>
        <v>ComercioExterior</v>
      </c>
      <c r="AH149" t="str">
        <f t="shared" si="108"/>
        <v>PrecioFOB</v>
      </c>
      <c r="AI149" t="str">
        <f t="shared" si="109"/>
        <v>Monto II</v>
      </c>
      <c r="AJ149" t="str">
        <f t="shared" si="110"/>
        <v>Porcentaje II</v>
      </c>
      <c r="AK149" t="str">
        <f t="shared" si="111"/>
        <v>Foto</v>
      </c>
      <c r="AL149" t="str">
        <f>"{\rtf1\ansi\ansicpg1252\deff0\deflang11274{\fonttbl{\f0\fnil\fcharset0 MS Sans Serif}} \viewkind4\uc1\pard\f0\fs16 BOBINA ENCENDIDO FOCUS/FIESTA ZETEC\par } "</f>
        <v xml:space="preserve">{\rtf1\ansi\ansicpg1252\deff0\deflang11274{\fonttbl{\f0\fnil\fcharset0 MS Sans Serif}} \viewkind4\uc1\pard\f0\fs16 BOBINA ENCENDIDO FOCUS/FIESTA ZETEC\par } </v>
      </c>
      <c r="AM149" t="str">
        <f>" "</f>
        <v xml:space="preserve"> </v>
      </c>
    </row>
    <row r="150" spans="1:39" x14ac:dyDescent="0.25">
      <c r="A150" t="str">
        <f>"RGU11718"</f>
        <v>RGU11718</v>
      </c>
      <c r="B150" t="str">
        <f>"BOBINA ENCENDIDO FORD FIESTA FOCUS ECOSPORT FICHA OVALADA"</f>
        <v>BOBINA ENCENDIDO FORD FIESTA FOCUS ECOSPORT FICHA OVALADA</v>
      </c>
      <c r="C150" t="str">
        <f>"$ 53951,18"</f>
        <v>$ 53951,18</v>
      </c>
      <c r="D150" t="str">
        <f>"$ 53951,18"</f>
        <v>$ 53951,18</v>
      </c>
      <c r="E150" t="str">
        <f>"$ 53951,18"</f>
        <v>$ 53951,18</v>
      </c>
      <c r="F150" t="str">
        <f>"$ 22351,14"</f>
        <v>$ 22351,14</v>
      </c>
      <c r="G150" t="str">
        <f>"$ 22351,14"</f>
        <v>$ 22351,14</v>
      </c>
      <c r="H150" t="str">
        <f t="shared" si="93"/>
        <v>$ 0,00</v>
      </c>
      <c r="I150" t="str">
        <f t="shared" si="113"/>
        <v>BOBINAS DE ENCENDIDO</v>
      </c>
      <c r="J150" t="str">
        <f t="shared" si="94"/>
        <v>1</v>
      </c>
      <c r="K150" t="str">
        <f t="shared" si="95"/>
        <v>0</v>
      </c>
      <c r="L150" t="str">
        <f>"6,000"</f>
        <v>6,000</v>
      </c>
      <c r="M150" t="str">
        <f t="shared" si="96"/>
        <v xml:space="preserve"> </v>
      </c>
      <c r="N150" t="str">
        <f>"REGITAR"</f>
        <v>REGITAR</v>
      </c>
      <c r="O150" t="str">
        <f t="shared" si="92"/>
        <v>BOBINAS</v>
      </c>
      <c r="P150" t="str">
        <f t="shared" si="114"/>
        <v>0</v>
      </c>
      <c r="Q150" t="str">
        <f t="shared" si="114"/>
        <v>0</v>
      </c>
      <c r="R150" t="str">
        <f t="shared" si="115"/>
        <v>0,00</v>
      </c>
      <c r="S150" t="str">
        <f t="shared" si="115"/>
        <v>0,00</v>
      </c>
      <c r="T150" t="str">
        <f t="shared" si="116"/>
        <v xml:space="preserve"> </v>
      </c>
      <c r="U150" t="str">
        <f t="shared" si="116"/>
        <v xml:space="preserve"> </v>
      </c>
      <c r="V150" t="str">
        <f>"6,000"</f>
        <v>6,000</v>
      </c>
      <c r="W150" t="str">
        <f t="shared" si="97"/>
        <v>Lista 4</v>
      </c>
      <c r="X150" t="str">
        <f t="shared" si="98"/>
        <v>Lista 5</v>
      </c>
      <c r="Y150" t="str">
        <f t="shared" si="99"/>
        <v>Oferta Gral.</v>
      </c>
      <c r="Z150" t="str">
        <f t="shared" si="100"/>
        <v>Rubro</v>
      </c>
      <c r="AA150" t="str">
        <f t="shared" si="101"/>
        <v>Cantidad por Bulto</v>
      </c>
      <c r="AB150" t="str">
        <f t="shared" si="102"/>
        <v>INNER</v>
      </c>
      <c r="AC150" t="str">
        <f t="shared" si="103"/>
        <v>Stock en Bultos</v>
      </c>
      <c r="AD150" t="str">
        <f t="shared" si="104"/>
        <v>SubDepósito</v>
      </c>
      <c r="AE150" t="str">
        <f t="shared" si="105"/>
        <v>Marca</v>
      </c>
      <c r="AF150" t="str">
        <f t="shared" si="106"/>
        <v>Super Rubro</v>
      </c>
      <c r="AG150" t="str">
        <f t="shared" si="107"/>
        <v>ComercioExterior</v>
      </c>
      <c r="AH150" t="str">
        <f t="shared" si="108"/>
        <v>PrecioFOB</v>
      </c>
      <c r="AI150" t="str">
        <f t="shared" si="109"/>
        <v>Monto II</v>
      </c>
      <c r="AJ150" t="str">
        <f t="shared" si="110"/>
        <v>Porcentaje II</v>
      </c>
      <c r="AK150" t="str">
        <f t="shared" si="111"/>
        <v>Foto</v>
      </c>
      <c r="AL150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50" t="str">
        <f>" "</f>
        <v xml:space="preserve"> </v>
      </c>
    </row>
    <row r="151" spans="1:39" x14ac:dyDescent="0.25">
      <c r="A151" t="str">
        <f>"KD7026"</f>
        <v>KD7026</v>
      </c>
      <c r="B151" t="str">
        <f>"BOBINA ENCENDIDO FORD FOCUS 3 DURATEC MONDEO 2.0 ECOBOST CM5Z-12029-A"</f>
        <v>BOBINA ENCENDIDO FORD FOCUS 3 DURATEC MONDEO 2.0 ECOBOST CM5Z-12029-A</v>
      </c>
      <c r="C151" t="str">
        <f>"$ 57038,66"</f>
        <v>$ 57038,66</v>
      </c>
      <c r="D151" t="str">
        <f>"$ 57038,66"</f>
        <v>$ 57038,66</v>
      </c>
      <c r="E151" t="str">
        <f>"$ 57038,66"</f>
        <v>$ 57038,66</v>
      </c>
      <c r="F151" t="str">
        <f>"$ 57038,66"</f>
        <v>$ 57038,66</v>
      </c>
      <c r="G151" t="str">
        <f>"$ 57038,66"</f>
        <v>$ 57038,66</v>
      </c>
      <c r="H151" t="str">
        <f t="shared" si="93"/>
        <v>$ 0,00</v>
      </c>
      <c r="I151" t="str">
        <f t="shared" si="113"/>
        <v>BOBINAS DE ENCENDIDO</v>
      </c>
      <c r="J151" t="str">
        <f t="shared" si="94"/>
        <v>1</v>
      </c>
      <c r="K151" t="str">
        <f t="shared" si="95"/>
        <v>0</v>
      </c>
      <c r="L151" t="str">
        <f>"7,000"</f>
        <v>7,000</v>
      </c>
      <c r="M151" t="str">
        <f t="shared" si="96"/>
        <v xml:space="preserve"> </v>
      </c>
      <c r="N151" t="str">
        <f t="shared" ref="N151:N158" si="117">"CADIC"</f>
        <v>CADIC</v>
      </c>
      <c r="O151" t="str">
        <f t="shared" si="92"/>
        <v>BOBINAS</v>
      </c>
      <c r="P151" t="str">
        <f t="shared" si="114"/>
        <v>0</v>
      </c>
      <c r="Q151" t="str">
        <f t="shared" si="114"/>
        <v>0</v>
      </c>
      <c r="R151" t="str">
        <f t="shared" si="115"/>
        <v>0,00</v>
      </c>
      <c r="S151" t="str">
        <f t="shared" si="115"/>
        <v>0,00</v>
      </c>
      <c r="T151" t="str">
        <f t="shared" si="116"/>
        <v xml:space="preserve"> </v>
      </c>
      <c r="U151" t="str">
        <f t="shared" si="116"/>
        <v xml:space="preserve"> </v>
      </c>
      <c r="V151" t="str">
        <f>"7,000"</f>
        <v>7,000</v>
      </c>
      <c r="W151" t="str">
        <f t="shared" si="97"/>
        <v>Lista 4</v>
      </c>
      <c r="X151" t="str">
        <f t="shared" si="98"/>
        <v>Lista 5</v>
      </c>
      <c r="Y151" t="str">
        <f t="shared" si="99"/>
        <v>Oferta Gral.</v>
      </c>
      <c r="Z151" t="str">
        <f t="shared" si="100"/>
        <v>Rubro</v>
      </c>
      <c r="AA151" t="str">
        <f t="shared" si="101"/>
        <v>Cantidad por Bulto</v>
      </c>
      <c r="AB151" t="str">
        <f t="shared" si="102"/>
        <v>INNER</v>
      </c>
      <c r="AC151" t="str">
        <f t="shared" si="103"/>
        <v>Stock en Bultos</v>
      </c>
      <c r="AD151" t="str">
        <f t="shared" si="104"/>
        <v>SubDepósito</v>
      </c>
      <c r="AE151" t="str">
        <f t="shared" si="105"/>
        <v>Marca</v>
      </c>
      <c r="AF151" t="str">
        <f t="shared" si="106"/>
        <v>Super Rubro</v>
      </c>
      <c r="AG151" t="str">
        <f t="shared" si="107"/>
        <v>ComercioExterior</v>
      </c>
      <c r="AH151" t="str">
        <f t="shared" si="108"/>
        <v>PrecioFOB</v>
      </c>
      <c r="AI151" t="str">
        <f t="shared" si="109"/>
        <v>Monto II</v>
      </c>
      <c r="AJ151" t="str">
        <f t="shared" si="110"/>
        <v>Porcentaje II</v>
      </c>
      <c r="AK151" t="str">
        <f t="shared" si="111"/>
        <v>Foto</v>
      </c>
      <c r="AL151" t="str">
        <f>"{\rtf1\ansi\ansicpg1252\deff0\deflang11274{\fonttbl{\f0\fnil\fcharset0 MS Sans Serif}} \viewkind4\uc1\pard\f0\fs16 BOBINA ENCENDIDO FORD FOCUS 3 DURATEC MONDEO 2.0 ECOBOST CM5Z-12029-A\par } "</f>
        <v xml:space="preserve">{\rtf1\ansi\ansicpg1252\deff0\deflang11274{\fonttbl{\f0\fnil\fcharset0 MS Sans Serif}} \viewkind4\uc1\pard\f0\fs16 BOBINA ENCENDIDO FORD FOCUS 3 DURATEC MONDEO 2.0 ECOBOST CM5Z-12029-A\par } </v>
      </c>
      <c r="AM151" t="str">
        <f>"Bobina Ford Focus Duratec"</f>
        <v>Bobina Ford Focus Duratec</v>
      </c>
    </row>
    <row r="152" spans="1:39" x14ac:dyDescent="0.25">
      <c r="A152" t="str">
        <f>"KD9005D"</f>
        <v>KD9005D</v>
      </c>
      <c r="B152" t="str">
        <f>"BOBINA ENCENDIDO FORD FOCUS ECOSPORT 2.0 16V  DURATEC 4M5G-12A366-BC "</f>
        <v xml:space="preserve">BOBINA ENCENDIDO FORD FOCUS ECOSPORT 2.0 16V  DURATEC 4M5G-12A366-BC </v>
      </c>
      <c r="C152" t="str">
        <f>"$ 23740,41"</f>
        <v>$ 23740,41</v>
      </c>
      <c r="D152" t="str">
        <f>"$ 23740,41"</f>
        <v>$ 23740,41</v>
      </c>
      <c r="E152" t="str">
        <f>"$ 23740,41"</f>
        <v>$ 23740,41</v>
      </c>
      <c r="F152" t="str">
        <f>"$ 23740,41"</f>
        <v>$ 23740,41</v>
      </c>
      <c r="G152" t="str">
        <f>"$ 23740,41"</f>
        <v>$ 23740,41</v>
      </c>
      <c r="H152" t="str">
        <f t="shared" si="93"/>
        <v>$ 0,00</v>
      </c>
      <c r="I152" t="str">
        <f t="shared" si="113"/>
        <v>BOBINAS DE ENCENDIDO</v>
      </c>
      <c r="J152" t="str">
        <f t="shared" si="94"/>
        <v>1</v>
      </c>
      <c r="K152" t="str">
        <f t="shared" si="95"/>
        <v>0</v>
      </c>
      <c r="L152" t="str">
        <f>"6,000"</f>
        <v>6,000</v>
      </c>
      <c r="M152" t="str">
        <f t="shared" si="96"/>
        <v xml:space="preserve"> </v>
      </c>
      <c r="N152" t="str">
        <f t="shared" si="117"/>
        <v>CADIC</v>
      </c>
      <c r="O152" t="str">
        <f t="shared" si="92"/>
        <v>BOBINAS</v>
      </c>
      <c r="P152" t="str">
        <f t="shared" si="114"/>
        <v>0</v>
      </c>
      <c r="Q152" t="str">
        <f t="shared" si="114"/>
        <v>0</v>
      </c>
      <c r="R152" t="str">
        <f t="shared" si="115"/>
        <v>0,00</v>
      </c>
      <c r="S152" t="str">
        <f t="shared" si="115"/>
        <v>0,00</v>
      </c>
      <c r="T152" t="str">
        <f t="shared" si="116"/>
        <v xml:space="preserve"> </v>
      </c>
      <c r="U152" t="str">
        <f t="shared" si="116"/>
        <v xml:space="preserve"> </v>
      </c>
      <c r="V152" t="str">
        <f>"6,000"</f>
        <v>6,000</v>
      </c>
      <c r="W152" t="str">
        <f t="shared" si="97"/>
        <v>Lista 4</v>
      </c>
      <c r="X152" t="str">
        <f t="shared" si="98"/>
        <v>Lista 5</v>
      </c>
      <c r="Y152" t="str">
        <f t="shared" si="99"/>
        <v>Oferta Gral.</v>
      </c>
      <c r="Z152" t="str">
        <f t="shared" si="100"/>
        <v>Rubro</v>
      </c>
      <c r="AA152" t="str">
        <f t="shared" si="101"/>
        <v>Cantidad por Bulto</v>
      </c>
      <c r="AB152" t="str">
        <f t="shared" si="102"/>
        <v>INNER</v>
      </c>
      <c r="AC152" t="str">
        <f t="shared" si="103"/>
        <v>Stock en Bultos</v>
      </c>
      <c r="AD152" t="str">
        <f t="shared" si="104"/>
        <v>SubDepósito</v>
      </c>
      <c r="AE152" t="str">
        <f t="shared" si="105"/>
        <v>Marca</v>
      </c>
      <c r="AF152" t="str">
        <f t="shared" si="106"/>
        <v>Super Rubro</v>
      </c>
      <c r="AG152" t="str">
        <f t="shared" si="107"/>
        <v>ComercioExterior</v>
      </c>
      <c r="AH152" t="str">
        <f t="shared" si="108"/>
        <v>PrecioFOB</v>
      </c>
      <c r="AI152" t="str">
        <f t="shared" si="109"/>
        <v>Monto II</v>
      </c>
      <c r="AJ152" t="str">
        <f t="shared" si="110"/>
        <v>Porcentaje II</v>
      </c>
      <c r="AK152" t="str">
        <f t="shared" si="111"/>
        <v>Foto</v>
      </c>
      <c r="AL152" t="str">
        <f>"{\rtf1\ansi\ansicpg1252\deff0\deflang11274{\fonttbl{\f0\fnil\fcharset0 MS Sans Serif}} \viewkind4\uc1\pard\f0\fs16 BOBINA ENCENDIDO FORD FOCUS ECOSPORT 2.0 16V  DURATEC 4M5G-12A366-BC \par \par \par } "</f>
        <v xml:space="preserve">{\rtf1\ansi\ansicpg1252\deff0\deflang11274{\fonttbl{\f0\fnil\fcharset0 MS Sans Serif}} \viewkind4\uc1\pard\f0\fs16 BOBINA ENCENDIDO FORD FOCUS ECOSPORT 2.0 16V  DURATEC 4M5G-12A366-BC \par \par \par } </v>
      </c>
      <c r="AM152" t="str">
        <f>"-"</f>
        <v>-</v>
      </c>
    </row>
    <row r="153" spans="1:39" x14ac:dyDescent="0.25">
      <c r="A153" t="str">
        <f>"KD9002E"</f>
        <v>KD9002E</v>
      </c>
      <c r="B153" t="str">
        <f>"BOBINA ENCENDIDO GOLF 1.8 TURBO 06B 905 115L"</f>
        <v>BOBINA ENCENDIDO GOLF 1.8 TURBO 06B 905 115L</v>
      </c>
      <c r="C153" t="str">
        <f>"$ 47665,82"</f>
        <v>$ 47665,82</v>
      </c>
      <c r="D153" t="str">
        <f>"$ 47665,82"</f>
        <v>$ 47665,82</v>
      </c>
      <c r="E153" t="str">
        <f>"$ 47665,82"</f>
        <v>$ 47665,82</v>
      </c>
      <c r="F153" t="str">
        <f>"$ 47665,82"</f>
        <v>$ 47665,82</v>
      </c>
      <c r="G153" t="str">
        <f>"$ 47665,82"</f>
        <v>$ 47665,82</v>
      </c>
      <c r="H153" t="str">
        <f t="shared" si="93"/>
        <v>$ 0,00</v>
      </c>
      <c r="I153" t="str">
        <f t="shared" si="113"/>
        <v>BOBINAS DE ENCENDIDO</v>
      </c>
      <c r="J153" t="str">
        <f t="shared" si="94"/>
        <v>1</v>
      </c>
      <c r="K153" t="str">
        <f t="shared" si="95"/>
        <v>0</v>
      </c>
      <c r="L153" t="str">
        <f>"1,000"</f>
        <v>1,000</v>
      </c>
      <c r="M153" t="str">
        <f t="shared" si="96"/>
        <v xml:space="preserve"> </v>
      </c>
      <c r="N153" t="str">
        <f t="shared" si="117"/>
        <v>CADIC</v>
      </c>
      <c r="O153" t="str">
        <f t="shared" si="92"/>
        <v>BOBINAS</v>
      </c>
      <c r="P153" t="str">
        <f t="shared" si="114"/>
        <v>0</v>
      </c>
      <c r="Q153" t="str">
        <f t="shared" si="114"/>
        <v>0</v>
      </c>
      <c r="R153" t="str">
        <f t="shared" si="115"/>
        <v>0,00</v>
      </c>
      <c r="S153" t="str">
        <f t="shared" si="115"/>
        <v>0,00</v>
      </c>
      <c r="T153" t="str">
        <f t="shared" si="116"/>
        <v xml:space="preserve"> </v>
      </c>
      <c r="U153" t="str">
        <f t="shared" si="116"/>
        <v xml:space="preserve"> </v>
      </c>
      <c r="V153" t="str">
        <f>"1,000"</f>
        <v>1,000</v>
      </c>
      <c r="W153" t="str">
        <f t="shared" si="97"/>
        <v>Lista 4</v>
      </c>
      <c r="X153" t="str">
        <f t="shared" si="98"/>
        <v>Lista 5</v>
      </c>
      <c r="Y153" t="str">
        <f t="shared" si="99"/>
        <v>Oferta Gral.</v>
      </c>
      <c r="Z153" t="str">
        <f t="shared" si="100"/>
        <v>Rubro</v>
      </c>
      <c r="AA153" t="str">
        <f t="shared" si="101"/>
        <v>Cantidad por Bulto</v>
      </c>
      <c r="AB153" t="str">
        <f t="shared" si="102"/>
        <v>INNER</v>
      </c>
      <c r="AC153" t="str">
        <f t="shared" si="103"/>
        <v>Stock en Bultos</v>
      </c>
      <c r="AD153" t="str">
        <f t="shared" si="104"/>
        <v>SubDepósito</v>
      </c>
      <c r="AE153" t="str">
        <f t="shared" si="105"/>
        <v>Marca</v>
      </c>
      <c r="AF153" t="str">
        <f t="shared" si="106"/>
        <v>Super Rubro</v>
      </c>
      <c r="AG153" t="str">
        <f t="shared" si="107"/>
        <v>ComercioExterior</v>
      </c>
      <c r="AH153" t="str">
        <f t="shared" si="108"/>
        <v>PrecioFOB</v>
      </c>
      <c r="AI153" t="str">
        <f t="shared" si="109"/>
        <v>Monto II</v>
      </c>
      <c r="AJ153" t="str">
        <f t="shared" si="110"/>
        <v>Porcentaje II</v>
      </c>
      <c r="AK153" t="str">
        <f t="shared" si="111"/>
        <v>Foto</v>
      </c>
      <c r="AL153" t="str">
        <f>"{\rtf1\ansi\ansicpg1252\deff0\deflang11274{\fonttbl{\f0\fnil\fcharset0 MS Sans Serif}} \viewkind4\uc1\pard\f0\fs16 BOBINA ENCENDIDO GOLF 1.8 TURBO 06B 905 115L\par } "</f>
        <v xml:space="preserve">{\rtf1\ansi\ansicpg1252\deff0\deflang11274{\fonttbl{\f0\fnil\fcharset0 MS Sans Serif}} \viewkind4\uc1\pard\f0\fs16 BOBINA ENCENDIDO GOLF 1.8 TURBO 06B 905 115L\par } </v>
      </c>
      <c r="AM153" t="str">
        <f>"-"</f>
        <v>-</v>
      </c>
    </row>
    <row r="154" spans="1:39" x14ac:dyDescent="0.25">
      <c r="A154" t="str">
        <f>"KD3403"</f>
        <v>KD3403</v>
      </c>
      <c r="B154" t="str">
        <f>"BOBINA ENCENDIDO HONDA CIVIC ACCORD CRV HRV"</f>
        <v>BOBINA ENCENDIDO HONDA CIVIC ACCORD CRV HRV</v>
      </c>
      <c r="C154" t="str">
        <f>"$ 25106,56"</f>
        <v>$ 25106,56</v>
      </c>
      <c r="D154" t="str">
        <f>"$ 25106,56"</f>
        <v>$ 25106,56</v>
      </c>
      <c r="E154" t="str">
        <f>"$ 25106,56"</f>
        <v>$ 25106,56</v>
      </c>
      <c r="F154" t="str">
        <f>"$ 25106,56"</f>
        <v>$ 25106,56</v>
      </c>
      <c r="G154" t="str">
        <f>"$ 25106,56"</f>
        <v>$ 25106,56</v>
      </c>
      <c r="H154" t="str">
        <f t="shared" si="93"/>
        <v>$ 0,00</v>
      </c>
      <c r="I154" t="str">
        <f t="shared" si="113"/>
        <v>BOBINAS DE ENCENDIDO</v>
      </c>
      <c r="J154" t="str">
        <f t="shared" si="94"/>
        <v>1</v>
      </c>
      <c r="K154" t="str">
        <f t="shared" si="95"/>
        <v>0</v>
      </c>
      <c r="L154" t="str">
        <f>"3,000"</f>
        <v>3,000</v>
      </c>
      <c r="M154" t="str">
        <f t="shared" si="96"/>
        <v xml:space="preserve"> </v>
      </c>
      <c r="N154" t="str">
        <f t="shared" si="117"/>
        <v>CADIC</v>
      </c>
      <c r="O154" t="str">
        <f t="shared" si="92"/>
        <v>BOBINAS</v>
      </c>
      <c r="P154" t="str">
        <f t="shared" si="114"/>
        <v>0</v>
      </c>
      <c r="Q154" t="str">
        <f t="shared" si="114"/>
        <v>0</v>
      </c>
      <c r="R154" t="str">
        <f t="shared" si="115"/>
        <v>0,00</v>
      </c>
      <c r="S154" t="str">
        <f t="shared" si="115"/>
        <v>0,00</v>
      </c>
      <c r="T154" t="str">
        <f t="shared" si="116"/>
        <v xml:space="preserve"> </v>
      </c>
      <c r="U154" t="str">
        <f t="shared" si="116"/>
        <v xml:space="preserve"> </v>
      </c>
      <c r="V154" t="str">
        <f>"3,000"</f>
        <v>3,000</v>
      </c>
      <c r="W154" t="str">
        <f t="shared" si="97"/>
        <v>Lista 4</v>
      </c>
      <c r="X154" t="str">
        <f t="shared" si="98"/>
        <v>Lista 5</v>
      </c>
      <c r="Y154" t="str">
        <f t="shared" si="99"/>
        <v>Oferta Gral.</v>
      </c>
      <c r="Z154" t="str">
        <f t="shared" si="100"/>
        <v>Rubro</v>
      </c>
      <c r="AA154" t="str">
        <f t="shared" si="101"/>
        <v>Cantidad por Bulto</v>
      </c>
      <c r="AB154" t="str">
        <f t="shared" si="102"/>
        <v>INNER</v>
      </c>
      <c r="AC154" t="str">
        <f t="shared" si="103"/>
        <v>Stock en Bultos</v>
      </c>
      <c r="AD154" t="str">
        <f t="shared" si="104"/>
        <v>SubDepósito</v>
      </c>
      <c r="AE154" t="str">
        <f t="shared" si="105"/>
        <v>Marca</v>
      </c>
      <c r="AF154" t="str">
        <f t="shared" si="106"/>
        <v>Super Rubro</v>
      </c>
      <c r="AG154" t="str">
        <f t="shared" si="107"/>
        <v>ComercioExterior</v>
      </c>
      <c r="AH154" t="str">
        <f t="shared" si="108"/>
        <v>PrecioFOB</v>
      </c>
      <c r="AI154" t="str">
        <f t="shared" si="109"/>
        <v>Monto II</v>
      </c>
      <c r="AJ154" t="str">
        <f t="shared" si="110"/>
        <v>Porcentaje II</v>
      </c>
      <c r="AK154" t="str">
        <f t="shared" si="111"/>
        <v>Foto</v>
      </c>
      <c r="AL15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54" t="str">
        <f>"-"</f>
        <v>-</v>
      </c>
    </row>
    <row r="155" spans="1:39" x14ac:dyDescent="0.25">
      <c r="A155" t="str">
        <f>"KD7012"</f>
        <v>KD7012</v>
      </c>
      <c r="B155" t="str">
        <f>"BOBINA ENCENDIDO HONDA FIT 1.5 LADO ESCAPE 30521-PWA-003"</f>
        <v>BOBINA ENCENDIDO HONDA FIT 1.5 LADO ESCAPE 30521-PWA-003</v>
      </c>
      <c r="C155" t="str">
        <f>"$ 52722,22"</f>
        <v>$ 52722,22</v>
      </c>
      <c r="D155" t="str">
        <f>"$ 52722,22"</f>
        <v>$ 52722,22</v>
      </c>
      <c r="E155" t="str">
        <f>"$ 52722,22"</f>
        <v>$ 52722,22</v>
      </c>
      <c r="F155" t="str">
        <f>"$ 52722,22"</f>
        <v>$ 52722,22</v>
      </c>
      <c r="G155" t="str">
        <f>"$ 52722,22"</f>
        <v>$ 52722,22</v>
      </c>
      <c r="H155" t="str">
        <f t="shared" si="93"/>
        <v>$ 0,00</v>
      </c>
      <c r="I155" t="str">
        <f t="shared" si="113"/>
        <v>BOBINAS DE ENCENDIDO</v>
      </c>
      <c r="J155" t="str">
        <f t="shared" si="94"/>
        <v>1</v>
      </c>
      <c r="K155" t="str">
        <f t="shared" si="95"/>
        <v>0</v>
      </c>
      <c r="L155" t="str">
        <f>"7,000"</f>
        <v>7,000</v>
      </c>
      <c r="M155" t="str">
        <f t="shared" si="96"/>
        <v xml:space="preserve"> </v>
      </c>
      <c r="N155" t="str">
        <f t="shared" si="117"/>
        <v>CADIC</v>
      </c>
      <c r="O155" t="str">
        <f t="shared" si="92"/>
        <v>BOBINAS</v>
      </c>
      <c r="P155" t="str">
        <f t="shared" si="114"/>
        <v>0</v>
      </c>
      <c r="Q155" t="str">
        <f t="shared" si="114"/>
        <v>0</v>
      </c>
      <c r="R155" t="str">
        <f t="shared" si="115"/>
        <v>0,00</v>
      </c>
      <c r="S155" t="str">
        <f t="shared" si="115"/>
        <v>0,00</v>
      </c>
      <c r="T155" t="str">
        <f t="shared" si="116"/>
        <v xml:space="preserve"> </v>
      </c>
      <c r="U155" t="str">
        <f t="shared" si="116"/>
        <v xml:space="preserve"> </v>
      </c>
      <c r="V155" t="str">
        <f>"7,000"</f>
        <v>7,000</v>
      </c>
      <c r="W155" t="str">
        <f t="shared" si="97"/>
        <v>Lista 4</v>
      </c>
      <c r="X155" t="str">
        <f t="shared" si="98"/>
        <v>Lista 5</v>
      </c>
      <c r="Y155" t="str">
        <f t="shared" si="99"/>
        <v>Oferta Gral.</v>
      </c>
      <c r="Z155" t="str">
        <f t="shared" si="100"/>
        <v>Rubro</v>
      </c>
      <c r="AA155" t="str">
        <f t="shared" si="101"/>
        <v>Cantidad por Bulto</v>
      </c>
      <c r="AB155" t="str">
        <f t="shared" si="102"/>
        <v>INNER</v>
      </c>
      <c r="AC155" t="str">
        <f t="shared" si="103"/>
        <v>Stock en Bultos</v>
      </c>
      <c r="AD155" t="str">
        <f t="shared" si="104"/>
        <v>SubDepósito</v>
      </c>
      <c r="AE155" t="str">
        <f t="shared" si="105"/>
        <v>Marca</v>
      </c>
      <c r="AF155" t="str">
        <f t="shared" si="106"/>
        <v>Super Rubro</v>
      </c>
      <c r="AG155" t="str">
        <f t="shared" si="107"/>
        <v>ComercioExterior</v>
      </c>
      <c r="AH155" t="str">
        <f t="shared" si="108"/>
        <v>PrecioFOB</v>
      </c>
      <c r="AI155" t="str">
        <f t="shared" si="109"/>
        <v>Monto II</v>
      </c>
      <c r="AJ155" t="str">
        <f t="shared" si="110"/>
        <v>Porcentaje II</v>
      </c>
      <c r="AK155" t="str">
        <f t="shared" si="111"/>
        <v>Foto</v>
      </c>
      <c r="AL155" t="str">
        <f>"{\rtf1\ansi\ansicpg1252\deff0\deflang11274{\fonttbl{\f0\fnil\fcharset0 MS Sans Serif}} \viewkind4\uc1\pard\f0\fs16 BOBINA ENCENDIDO HONDA FIT 1.5 LADO ESCAPE 30521-PWA-003\par } "</f>
        <v xml:space="preserve">{\rtf1\ansi\ansicpg1252\deff0\deflang11274{\fonttbl{\f0\fnil\fcharset0 MS Sans Serif}} \viewkind4\uc1\pard\f0\fs16 BOBINA ENCENDIDO HONDA FIT 1.5 LADO ESCAPE 30521-PWA-003\par } </v>
      </c>
      <c r="AM155" t="str">
        <f>"Bobina Honda Fit 1.5"</f>
        <v>Bobina Honda Fit 1.5</v>
      </c>
    </row>
    <row r="156" spans="1:39" x14ac:dyDescent="0.25">
      <c r="A156" t="str">
        <f>"KD8002G"</f>
        <v>KD8002G</v>
      </c>
      <c r="B156" t="str">
        <f>"BOBINA ENCENDIDO IDEA/PALIO/SIENA 1.8 MOTOR GM"</f>
        <v>BOBINA ENCENDIDO IDEA/PALIO/SIENA 1.8 MOTOR GM</v>
      </c>
      <c r="C156" t="str">
        <f>"$ 65671,53"</f>
        <v>$ 65671,53</v>
      </c>
      <c r="D156" t="str">
        <f>"$ 65671,53"</f>
        <v>$ 65671,53</v>
      </c>
      <c r="E156" t="str">
        <f>"$ 65671,53"</f>
        <v>$ 65671,53</v>
      </c>
      <c r="F156" t="str">
        <f>"$ 65671,53"</f>
        <v>$ 65671,53</v>
      </c>
      <c r="G156" t="str">
        <f>"$ 65671,53"</f>
        <v>$ 65671,53</v>
      </c>
      <c r="H156" t="str">
        <f t="shared" si="93"/>
        <v>$ 0,00</v>
      </c>
      <c r="I156" t="str">
        <f t="shared" si="113"/>
        <v>BOBINAS DE ENCENDIDO</v>
      </c>
      <c r="J156" t="str">
        <f t="shared" si="94"/>
        <v>1</v>
      </c>
      <c r="K156" t="str">
        <f t="shared" si="95"/>
        <v>0</v>
      </c>
      <c r="L156" t="str">
        <f>"0,000"</f>
        <v>0,000</v>
      </c>
      <c r="M156" t="str">
        <f t="shared" si="96"/>
        <v xml:space="preserve"> </v>
      </c>
      <c r="N156" t="str">
        <f t="shared" si="117"/>
        <v>CADIC</v>
      </c>
      <c r="O156" t="str">
        <f t="shared" si="92"/>
        <v>BOBINAS</v>
      </c>
      <c r="P156" t="str">
        <f t="shared" si="114"/>
        <v>0</v>
      </c>
      <c r="Q156" t="str">
        <f t="shared" si="114"/>
        <v>0</v>
      </c>
      <c r="R156" t="str">
        <f t="shared" si="115"/>
        <v>0,00</v>
      </c>
      <c r="S156" t="str">
        <f t="shared" si="115"/>
        <v>0,00</v>
      </c>
      <c r="T156" t="str">
        <f t="shared" si="116"/>
        <v xml:space="preserve"> </v>
      </c>
      <c r="U156" t="str">
        <f t="shared" si="116"/>
        <v xml:space="preserve"> </v>
      </c>
      <c r="V156" t="str">
        <f>"0,000"</f>
        <v>0,000</v>
      </c>
      <c r="W156" t="str">
        <f t="shared" si="97"/>
        <v>Lista 4</v>
      </c>
      <c r="X156" t="str">
        <f t="shared" si="98"/>
        <v>Lista 5</v>
      </c>
      <c r="Y156" t="str">
        <f t="shared" si="99"/>
        <v>Oferta Gral.</v>
      </c>
      <c r="Z156" t="str">
        <f t="shared" si="100"/>
        <v>Rubro</v>
      </c>
      <c r="AA156" t="str">
        <f t="shared" si="101"/>
        <v>Cantidad por Bulto</v>
      </c>
      <c r="AB156" t="str">
        <f t="shared" si="102"/>
        <v>INNER</v>
      </c>
      <c r="AC156" t="str">
        <f t="shared" si="103"/>
        <v>Stock en Bultos</v>
      </c>
      <c r="AD156" t="str">
        <f t="shared" si="104"/>
        <v>SubDepósito</v>
      </c>
      <c r="AE156" t="str">
        <f t="shared" si="105"/>
        <v>Marca</v>
      </c>
      <c r="AF156" t="str">
        <f t="shared" si="106"/>
        <v>Super Rubro</v>
      </c>
      <c r="AG156" t="str">
        <f t="shared" si="107"/>
        <v>ComercioExterior</v>
      </c>
      <c r="AH156" t="str">
        <f t="shared" si="108"/>
        <v>PrecioFOB</v>
      </c>
      <c r="AI156" t="str">
        <f t="shared" si="109"/>
        <v>Monto II</v>
      </c>
      <c r="AJ156" t="str">
        <f t="shared" si="110"/>
        <v>Porcentaje II</v>
      </c>
      <c r="AK156" t="str">
        <f t="shared" si="111"/>
        <v>Foto</v>
      </c>
      <c r="AL156" t="str">
        <f>"{\rtf1\ansi\ansicpg1252\deff0\deflang11274{\fonttbl{\f0\fnil\fcharset0 MS Sans Serif}} \viewkind4\uc1\pard\f0\fs16 BOBINA ENCENDIDO IDEA/PALIO/SIENA 1.8 MOTOR GM\par \par } "</f>
        <v xml:space="preserve">{\rtf1\ansi\ansicpg1252\deff0\deflang11274{\fonttbl{\f0\fnil\fcharset0 MS Sans Serif}} \viewkind4\uc1\pard\f0\fs16 BOBINA ENCENDIDO IDEA/PALIO/SIENA 1.8 MOTOR GM\par \par } </v>
      </c>
      <c r="AM156" t="str">
        <f>" "</f>
        <v xml:space="preserve"> </v>
      </c>
    </row>
    <row r="157" spans="1:39" x14ac:dyDescent="0.25">
      <c r="A157" t="str">
        <f>"KD9126A"</f>
        <v>KD9126A</v>
      </c>
      <c r="B157" t="str">
        <f>"BOBINA ENCENDIDO P208/308/408 MOTOR THP 1.6 16V "</f>
        <v xml:space="preserve">BOBINA ENCENDIDO P208/308/408 MOTOR THP 1.6 16V </v>
      </c>
      <c r="C157" t="str">
        <f>"$ 46247,56"</f>
        <v>$ 46247,56</v>
      </c>
      <c r="D157" t="str">
        <f>"$ 46247,56"</f>
        <v>$ 46247,56</v>
      </c>
      <c r="E157" t="str">
        <f>"$ 46247,56"</f>
        <v>$ 46247,56</v>
      </c>
      <c r="F157" t="str">
        <f>"$ 46247,56"</f>
        <v>$ 46247,56</v>
      </c>
      <c r="G157" t="str">
        <f>"$ 46247,56"</f>
        <v>$ 46247,56</v>
      </c>
      <c r="H157" t="str">
        <f t="shared" si="93"/>
        <v>$ 0,00</v>
      </c>
      <c r="I157" t="str">
        <f t="shared" si="113"/>
        <v>BOBINAS DE ENCENDIDO</v>
      </c>
      <c r="J157" t="str">
        <f t="shared" si="94"/>
        <v>1</v>
      </c>
      <c r="K157" t="str">
        <f t="shared" si="95"/>
        <v>0</v>
      </c>
      <c r="L157" t="str">
        <f>"5,000"</f>
        <v>5,000</v>
      </c>
      <c r="M157" t="str">
        <f t="shared" si="96"/>
        <v xml:space="preserve"> </v>
      </c>
      <c r="N157" t="str">
        <f t="shared" si="117"/>
        <v>CADIC</v>
      </c>
      <c r="O157" t="str">
        <f t="shared" si="92"/>
        <v>BOBINAS</v>
      </c>
      <c r="P157" t="str">
        <f t="shared" si="114"/>
        <v>0</v>
      </c>
      <c r="Q157" t="str">
        <f t="shared" si="114"/>
        <v>0</v>
      </c>
      <c r="R157" t="str">
        <f t="shared" si="115"/>
        <v>0,00</v>
      </c>
      <c r="S157" t="str">
        <f t="shared" si="115"/>
        <v>0,00</v>
      </c>
      <c r="T157" t="str">
        <f t="shared" si="116"/>
        <v xml:space="preserve"> </v>
      </c>
      <c r="U157" t="str">
        <f t="shared" si="116"/>
        <v xml:space="preserve"> </v>
      </c>
      <c r="V157" t="str">
        <f>"5,000"</f>
        <v>5,000</v>
      </c>
      <c r="W157" t="str">
        <f t="shared" si="97"/>
        <v>Lista 4</v>
      </c>
      <c r="X157" t="str">
        <f t="shared" si="98"/>
        <v>Lista 5</v>
      </c>
      <c r="Y157" t="str">
        <f t="shared" si="99"/>
        <v>Oferta Gral.</v>
      </c>
      <c r="Z157" t="str">
        <f t="shared" si="100"/>
        <v>Rubro</v>
      </c>
      <c r="AA157" t="str">
        <f t="shared" si="101"/>
        <v>Cantidad por Bulto</v>
      </c>
      <c r="AB157" t="str">
        <f t="shared" si="102"/>
        <v>INNER</v>
      </c>
      <c r="AC157" t="str">
        <f t="shared" si="103"/>
        <v>Stock en Bultos</v>
      </c>
      <c r="AD157" t="str">
        <f t="shared" si="104"/>
        <v>SubDepósito</v>
      </c>
      <c r="AE157" t="str">
        <f t="shared" si="105"/>
        <v>Marca</v>
      </c>
      <c r="AF157" t="str">
        <f t="shared" si="106"/>
        <v>Super Rubro</v>
      </c>
      <c r="AG157" t="str">
        <f t="shared" si="107"/>
        <v>ComercioExterior</v>
      </c>
      <c r="AH157" t="str">
        <f t="shared" si="108"/>
        <v>PrecioFOB</v>
      </c>
      <c r="AI157" t="str">
        <f t="shared" si="109"/>
        <v>Monto II</v>
      </c>
      <c r="AJ157" t="str">
        <f t="shared" si="110"/>
        <v>Porcentaje II</v>
      </c>
      <c r="AK157" t="str">
        <f t="shared" si="111"/>
        <v>Foto</v>
      </c>
      <c r="AL157" t="str">
        <f>"{\rtf1\ansi\ansicpg1252\deff0\deflang11274{\fonttbl{\f0\fnil\fcharset0 MS Sans Serif}} \viewkind4\uc1\pard\f0\fs16 BOBINA ENCENDIDO P208/308/408 MOTOR THP 1.6 16V \par } "</f>
        <v xml:space="preserve">{\rtf1\ansi\ansicpg1252\deff0\deflang11274{\fonttbl{\f0\fnil\fcharset0 MS Sans Serif}} \viewkind4\uc1\pard\f0\fs16 BOBINA ENCENDIDO P208/308/408 MOTOR THP 1.6 16V \par } </v>
      </c>
      <c r="AM157" t="str">
        <f>"-"</f>
        <v>-</v>
      </c>
    </row>
    <row r="158" spans="1:39" x14ac:dyDescent="0.25">
      <c r="A158" t="str">
        <f>"KD8079"</f>
        <v>KD8079</v>
      </c>
      <c r="B158" t="str">
        <f>"BOBINA ENCENDIDO PEUGEOT 208 308 408 1.6 16V MOTOR EC5 9800251580"</f>
        <v>BOBINA ENCENDIDO PEUGEOT 208 308 408 1.6 16V MOTOR EC5 9800251580</v>
      </c>
      <c r="C158" t="str">
        <f>"$ 151075,36"</f>
        <v>$ 151075,36</v>
      </c>
      <c r="D158" t="str">
        <f>"$ 151075,36"</f>
        <v>$ 151075,36</v>
      </c>
      <c r="E158" t="str">
        <f>"$ 151075,36"</f>
        <v>$ 151075,36</v>
      </c>
      <c r="F158" t="str">
        <f>"$ 151075,36"</f>
        <v>$ 151075,36</v>
      </c>
      <c r="G158" t="str">
        <f>"$ 151075,36"</f>
        <v>$ 151075,36</v>
      </c>
      <c r="H158" t="str">
        <f t="shared" si="93"/>
        <v>$ 0,00</v>
      </c>
      <c r="I158" t="str">
        <f t="shared" si="113"/>
        <v>BOBINAS DE ENCENDIDO</v>
      </c>
      <c r="J158" t="str">
        <f t="shared" si="94"/>
        <v>1</v>
      </c>
      <c r="K158" t="str">
        <f t="shared" si="95"/>
        <v>0</v>
      </c>
      <c r="L158" t="str">
        <f>"4,000"</f>
        <v>4,000</v>
      </c>
      <c r="M158" t="str">
        <f t="shared" si="96"/>
        <v xml:space="preserve"> </v>
      </c>
      <c r="N158" t="str">
        <f t="shared" si="117"/>
        <v>CADIC</v>
      </c>
      <c r="O158" t="str">
        <f t="shared" si="92"/>
        <v>BOBINAS</v>
      </c>
      <c r="P158" t="str">
        <f t="shared" si="114"/>
        <v>0</v>
      </c>
      <c r="Q158" t="str">
        <f t="shared" si="114"/>
        <v>0</v>
      </c>
      <c r="R158" t="str">
        <f t="shared" si="115"/>
        <v>0,00</v>
      </c>
      <c r="S158" t="str">
        <f t="shared" si="115"/>
        <v>0,00</v>
      </c>
      <c r="T158" t="str">
        <f t="shared" si="116"/>
        <v xml:space="preserve"> </v>
      </c>
      <c r="U158" t="str">
        <f t="shared" si="116"/>
        <v xml:space="preserve"> </v>
      </c>
      <c r="V158" t="str">
        <f>"4,000"</f>
        <v>4,000</v>
      </c>
      <c r="W158" t="str">
        <f t="shared" si="97"/>
        <v>Lista 4</v>
      </c>
      <c r="X158" t="str">
        <f t="shared" si="98"/>
        <v>Lista 5</v>
      </c>
      <c r="Y158" t="str">
        <f t="shared" si="99"/>
        <v>Oferta Gral.</v>
      </c>
      <c r="Z158" t="str">
        <f t="shared" si="100"/>
        <v>Rubro</v>
      </c>
      <c r="AA158" t="str">
        <f t="shared" si="101"/>
        <v>Cantidad por Bulto</v>
      </c>
      <c r="AB158" t="str">
        <f t="shared" si="102"/>
        <v>INNER</v>
      </c>
      <c r="AC158" t="str">
        <f t="shared" si="103"/>
        <v>Stock en Bultos</v>
      </c>
      <c r="AD158" t="str">
        <f t="shared" si="104"/>
        <v>SubDepósito</v>
      </c>
      <c r="AE158" t="str">
        <f t="shared" si="105"/>
        <v>Marca</v>
      </c>
      <c r="AF158" t="str">
        <f t="shared" si="106"/>
        <v>Super Rubro</v>
      </c>
      <c r="AG158" t="str">
        <f t="shared" si="107"/>
        <v>ComercioExterior</v>
      </c>
      <c r="AH158" t="str">
        <f t="shared" si="108"/>
        <v>PrecioFOB</v>
      </c>
      <c r="AI158" t="str">
        <f t="shared" si="109"/>
        <v>Monto II</v>
      </c>
      <c r="AJ158" t="str">
        <f t="shared" si="110"/>
        <v>Porcentaje II</v>
      </c>
      <c r="AK158" t="str">
        <f t="shared" si="111"/>
        <v>Foto</v>
      </c>
      <c r="AL158" t="str">
        <f>"{\rtf1\ansi\ansicpg1252\deff0\deflang11274{\fonttbl{\f0\fnil\fcharset0 MS Sans Serif}} \viewkind4\uc1\pard\f0\fs16 BOBINA ENCENDIDO PEUGEOT 208 308 408 1.6 16V MOTOR EC5 9800251580\par } "</f>
        <v xml:space="preserve">{\rtf1\ansi\ansicpg1252\deff0\deflang11274{\fonttbl{\f0\fnil\fcharset0 MS Sans Serif}} \viewkind4\uc1\pard\f0\fs16 BOBINA ENCENDIDO PEUGEOT 208 308 408 1.6 16V MOTOR EC5 9800251580\par } </v>
      </c>
      <c r="AM158" t="str">
        <f>"-"</f>
        <v>-</v>
      </c>
    </row>
    <row r="159" spans="1:39" x14ac:dyDescent="0.25">
      <c r="A159" t="str">
        <f>"BA354"</f>
        <v>BA354</v>
      </c>
      <c r="B159" t="str">
        <f>"BOBINA ENCENDIDO PLATINO CON RESISTOR COMPETICION"</f>
        <v>BOBINA ENCENDIDO PLATINO CON RESISTOR COMPETICION</v>
      </c>
      <c r="C159" t="str">
        <f>"$ 74059,72"</f>
        <v>$ 74059,72</v>
      </c>
      <c r="D159" t="str">
        <f>"$ 74059,72"</f>
        <v>$ 74059,72</v>
      </c>
      <c r="E159" t="str">
        <f>"$ 74059,72"</f>
        <v>$ 74059,72</v>
      </c>
      <c r="F159" t="str">
        <f>"$ 74059,72"</f>
        <v>$ 74059,72</v>
      </c>
      <c r="G159" t="str">
        <f>"$ 74059,72"</f>
        <v>$ 74059,72</v>
      </c>
      <c r="H159" t="str">
        <f t="shared" si="93"/>
        <v>$ 0,00</v>
      </c>
      <c r="I159" t="str">
        <f>"BOBINAS DE ENCEND. COMPETICION"</f>
        <v>BOBINAS DE ENCEND. COMPETICION</v>
      </c>
      <c r="J159" t="str">
        <f t="shared" si="94"/>
        <v>1</v>
      </c>
      <c r="K159" t="str">
        <f t="shared" si="95"/>
        <v>0</v>
      </c>
      <c r="L159" t="str">
        <f>"40,000"</f>
        <v>40,000</v>
      </c>
      <c r="M159" t="str">
        <f t="shared" si="96"/>
        <v xml:space="preserve"> </v>
      </c>
      <c r="N159" t="str">
        <f>"FERRAZZI"</f>
        <v>FERRAZZI</v>
      </c>
      <c r="O159" t="str">
        <f t="shared" si="92"/>
        <v>BOBINAS</v>
      </c>
      <c r="P159" t="str">
        <f t="shared" si="114"/>
        <v>0</v>
      </c>
      <c r="Q159" t="str">
        <f t="shared" si="114"/>
        <v>0</v>
      </c>
      <c r="R159" t="str">
        <f t="shared" si="115"/>
        <v>0,00</v>
      </c>
      <c r="S159" t="str">
        <f t="shared" si="115"/>
        <v>0,00</v>
      </c>
      <c r="T159" t="str">
        <f t="shared" si="116"/>
        <v xml:space="preserve"> </v>
      </c>
      <c r="U159" t="str">
        <f t="shared" si="116"/>
        <v xml:space="preserve"> </v>
      </c>
      <c r="V159" t="str">
        <f>"40,000"</f>
        <v>40,000</v>
      </c>
      <c r="W159" t="str">
        <f t="shared" si="97"/>
        <v>Lista 4</v>
      </c>
      <c r="X159" t="str">
        <f t="shared" si="98"/>
        <v>Lista 5</v>
      </c>
      <c r="Y159" t="str">
        <f t="shared" si="99"/>
        <v>Oferta Gral.</v>
      </c>
      <c r="Z159" t="str">
        <f t="shared" si="100"/>
        <v>Rubro</v>
      </c>
      <c r="AA159" t="str">
        <f t="shared" si="101"/>
        <v>Cantidad por Bulto</v>
      </c>
      <c r="AB159" t="str">
        <f t="shared" si="102"/>
        <v>INNER</v>
      </c>
      <c r="AC159" t="str">
        <f t="shared" si="103"/>
        <v>Stock en Bultos</v>
      </c>
      <c r="AD159" t="str">
        <f t="shared" si="104"/>
        <v>SubDepósito</v>
      </c>
      <c r="AE159" t="str">
        <f t="shared" si="105"/>
        <v>Marca</v>
      </c>
      <c r="AF159" t="str">
        <f t="shared" si="106"/>
        <v>Super Rubro</v>
      </c>
      <c r="AG159" t="str">
        <f t="shared" si="107"/>
        <v>ComercioExterior</v>
      </c>
      <c r="AH159" t="str">
        <f t="shared" si="108"/>
        <v>PrecioFOB</v>
      </c>
      <c r="AI159" t="str">
        <f t="shared" si="109"/>
        <v>Monto II</v>
      </c>
      <c r="AJ159" t="str">
        <f t="shared" si="110"/>
        <v>Porcentaje II</v>
      </c>
      <c r="AK159" t="str">
        <f t="shared" si="111"/>
        <v>Foto</v>
      </c>
      <c r="AL159" t="str">
        <f>"{\rtf1\ansi\ansicpg1252\deff0\deflang11274{\fonttbl{\f0\fnil\fcharset0 MS Sans Serif}} \viewkind4\uc1\pard\f0\fs16 BOBINA ENCENDIDO PLATINO CON RESISTOR COMPETICION\par } "</f>
        <v xml:space="preserve">{\rtf1\ansi\ansicpg1252\deff0\deflang11274{\fonttbl{\f0\fnil\fcharset0 MS Sans Serif}} \viewkind4\uc1\pard\f0\fs16 BOBINA ENCENDIDO PLATINO CON RESISTOR COMPETICION\par } </v>
      </c>
      <c r="AM159" t="str">
        <f>"-"</f>
        <v>-</v>
      </c>
    </row>
    <row r="160" spans="1:39" x14ac:dyDescent="0.25">
      <c r="A160" t="str">
        <f>"FI70015"</f>
        <v>FI70015</v>
      </c>
      <c r="B160" t="str">
        <f>"BOBINA ENCENDIDO RENAULT 9 19 21 CLIO 7700749450 7702218697"</f>
        <v>BOBINA ENCENDIDO RENAULT 9 19 21 CLIO 7700749450 7702218697</v>
      </c>
      <c r="C160" t="str">
        <f>"$ 33554,90"</f>
        <v>$ 33554,90</v>
      </c>
      <c r="D160" t="str">
        <f>"$ 33554,90"</f>
        <v>$ 33554,90</v>
      </c>
      <c r="E160" t="str">
        <f>"$ 33554,90"</f>
        <v>$ 33554,90</v>
      </c>
      <c r="F160" t="str">
        <f>"$ 33554,90"</f>
        <v>$ 33554,90</v>
      </c>
      <c r="G160" t="str">
        <f>"$ 33554,90"</f>
        <v>$ 33554,90</v>
      </c>
      <c r="H160" t="str">
        <f t="shared" si="93"/>
        <v>$ 0,00</v>
      </c>
      <c r="I160" t="str">
        <f t="shared" ref="I160:I174" si="118">"BOBINAS DE ENCENDIDO"</f>
        <v>BOBINAS DE ENCENDIDO</v>
      </c>
      <c r="J160" t="str">
        <f t="shared" si="94"/>
        <v>1</v>
      </c>
      <c r="K160" t="str">
        <f t="shared" si="95"/>
        <v>0</v>
      </c>
      <c r="L160" t="str">
        <f>"9,000"</f>
        <v>9,000</v>
      </c>
      <c r="M160" t="str">
        <f t="shared" si="96"/>
        <v xml:space="preserve"> </v>
      </c>
      <c r="N160" t="str">
        <f>"FISPA"</f>
        <v>FISPA</v>
      </c>
      <c r="O160" t="str">
        <f t="shared" ref="O160:O184" si="119">"BOBINAS"</f>
        <v>BOBINAS</v>
      </c>
      <c r="P160" t="str">
        <f t="shared" si="114"/>
        <v>0</v>
      </c>
      <c r="Q160" t="str">
        <f t="shared" si="114"/>
        <v>0</v>
      </c>
      <c r="R160" t="str">
        <f t="shared" si="115"/>
        <v>0,00</v>
      </c>
      <c r="S160" t="str">
        <f t="shared" si="115"/>
        <v>0,00</v>
      </c>
      <c r="T160" t="str">
        <f t="shared" si="116"/>
        <v xml:space="preserve"> </v>
      </c>
      <c r="U160" t="str">
        <f t="shared" si="116"/>
        <v xml:space="preserve"> </v>
      </c>
      <c r="V160" t="str">
        <f>"9,000"</f>
        <v>9,000</v>
      </c>
      <c r="W160" t="str">
        <f t="shared" si="97"/>
        <v>Lista 4</v>
      </c>
      <c r="X160" t="str">
        <f t="shared" si="98"/>
        <v>Lista 5</v>
      </c>
      <c r="Y160" t="str">
        <f t="shared" si="99"/>
        <v>Oferta Gral.</v>
      </c>
      <c r="Z160" t="str">
        <f t="shared" si="100"/>
        <v>Rubro</v>
      </c>
      <c r="AA160" t="str">
        <f t="shared" si="101"/>
        <v>Cantidad por Bulto</v>
      </c>
      <c r="AB160" t="str">
        <f t="shared" si="102"/>
        <v>INNER</v>
      </c>
      <c r="AC160" t="str">
        <f t="shared" si="103"/>
        <v>Stock en Bultos</v>
      </c>
      <c r="AD160" t="str">
        <f t="shared" si="104"/>
        <v>SubDepósito</v>
      </c>
      <c r="AE160" t="str">
        <f t="shared" si="105"/>
        <v>Marca</v>
      </c>
      <c r="AF160" t="str">
        <f t="shared" si="106"/>
        <v>Super Rubro</v>
      </c>
      <c r="AG160" t="str">
        <f t="shared" si="107"/>
        <v>ComercioExterior</v>
      </c>
      <c r="AH160" t="str">
        <f t="shared" si="108"/>
        <v>PrecioFOB</v>
      </c>
      <c r="AI160" t="str">
        <f t="shared" si="109"/>
        <v>Monto II</v>
      </c>
      <c r="AJ160" t="str">
        <f t="shared" si="110"/>
        <v>Porcentaje II</v>
      </c>
      <c r="AK160" t="str">
        <f t="shared" si="111"/>
        <v>Foto</v>
      </c>
      <c r="AL160" t="str">
        <f>"{\rtf1\ansi\ansicpg1252\deff0\deflang11274{\fonttbl{\f0\fnil\fcharset0 MS Sans Serif}} \viewkind4\uc1\pard\f0\fs16 BOBINA ENCENDIDO RENAULT 9 19 21 CLIO 7700749450 7702218697\par } "</f>
        <v xml:space="preserve">{\rtf1\ansi\ansicpg1252\deff0\deflang11274{\fonttbl{\f0\fnil\fcharset0 MS Sans Serif}} \viewkind4\uc1\pard\f0\fs16 BOBINA ENCENDIDO RENAULT 9 19 21 CLIO 7700749450 7702218697\par } </v>
      </c>
      <c r="AM160" t="str">
        <f>" "</f>
        <v xml:space="preserve"> </v>
      </c>
    </row>
    <row r="161" spans="1:39" x14ac:dyDescent="0.25">
      <c r="A161" t="str">
        <f>"KD7640"</f>
        <v>KD7640</v>
      </c>
      <c r="B161" t="str">
        <f>"BOBINA ENCENDIDO RENAULT KWID TIPO LAPIZ"</f>
        <v>BOBINA ENCENDIDO RENAULT KWID TIPO LAPIZ</v>
      </c>
      <c r="C161" t="str">
        <f>"$ 59505,19"</f>
        <v>$ 59505,19</v>
      </c>
      <c r="D161" t="str">
        <f>"$ 59505,19"</f>
        <v>$ 59505,19</v>
      </c>
      <c r="E161" t="str">
        <f>"$ 59505,19"</f>
        <v>$ 59505,19</v>
      </c>
      <c r="F161" t="str">
        <f>"$ 59505,19"</f>
        <v>$ 59505,19</v>
      </c>
      <c r="G161" t="str">
        <f>"$ 59505,19"</f>
        <v>$ 59505,19</v>
      </c>
      <c r="H161" t="str">
        <f t="shared" si="93"/>
        <v>$ 0,00</v>
      </c>
      <c r="I161" t="str">
        <f t="shared" si="118"/>
        <v>BOBINAS DE ENCENDIDO</v>
      </c>
      <c r="J161" t="str">
        <f t="shared" si="94"/>
        <v>1</v>
      </c>
      <c r="K161" t="str">
        <f t="shared" si="95"/>
        <v>0</v>
      </c>
      <c r="L161" t="str">
        <f>"3,000"</f>
        <v>3,000</v>
      </c>
      <c r="M161" t="str">
        <f t="shared" si="96"/>
        <v xml:space="preserve"> </v>
      </c>
      <c r="N161" t="str">
        <f>"CADIC"</f>
        <v>CADIC</v>
      </c>
      <c r="O161" t="str">
        <f t="shared" si="119"/>
        <v>BOBINAS</v>
      </c>
      <c r="P161" t="str">
        <f t="shared" si="114"/>
        <v>0</v>
      </c>
      <c r="Q161" t="str">
        <f t="shared" si="114"/>
        <v>0</v>
      </c>
      <c r="R161" t="str">
        <f t="shared" si="115"/>
        <v>0,00</v>
      </c>
      <c r="S161" t="str">
        <f t="shared" si="115"/>
        <v>0,00</v>
      </c>
      <c r="T161" t="str">
        <f t="shared" si="116"/>
        <v xml:space="preserve"> </v>
      </c>
      <c r="U161" t="str">
        <f t="shared" si="116"/>
        <v xml:space="preserve"> </v>
      </c>
      <c r="V161" t="str">
        <f>"3,000"</f>
        <v>3,000</v>
      </c>
      <c r="W161" t="str">
        <f t="shared" si="97"/>
        <v>Lista 4</v>
      </c>
      <c r="X161" t="str">
        <f t="shared" si="98"/>
        <v>Lista 5</v>
      </c>
      <c r="Y161" t="str">
        <f t="shared" si="99"/>
        <v>Oferta Gral.</v>
      </c>
      <c r="Z161" t="str">
        <f t="shared" si="100"/>
        <v>Rubro</v>
      </c>
      <c r="AA161" t="str">
        <f t="shared" si="101"/>
        <v>Cantidad por Bulto</v>
      </c>
      <c r="AB161" t="str">
        <f t="shared" si="102"/>
        <v>INNER</v>
      </c>
      <c r="AC161" t="str">
        <f t="shared" si="103"/>
        <v>Stock en Bultos</v>
      </c>
      <c r="AD161" t="str">
        <f t="shared" si="104"/>
        <v>SubDepósito</v>
      </c>
      <c r="AE161" t="str">
        <f t="shared" si="105"/>
        <v>Marca</v>
      </c>
      <c r="AF161" t="str">
        <f t="shared" si="106"/>
        <v>Super Rubro</v>
      </c>
      <c r="AG161" t="str">
        <f t="shared" si="107"/>
        <v>ComercioExterior</v>
      </c>
      <c r="AH161" t="str">
        <f t="shared" si="108"/>
        <v>PrecioFOB</v>
      </c>
      <c r="AI161" t="str">
        <f t="shared" si="109"/>
        <v>Monto II</v>
      </c>
      <c r="AJ161" t="str">
        <f t="shared" si="110"/>
        <v>Porcentaje II</v>
      </c>
      <c r="AK161" t="str">
        <f t="shared" si="111"/>
        <v>Foto</v>
      </c>
      <c r="AL161" t="str">
        <f>"{\rtf1\ansi\ansicpg1252\deff0\deflang11274{\fonttbl{\f0\fnil\fcharset0 MS Sans Serif}} \viewkind4\uc1\pard\f0\fs16 BOBINA ENCENDIDO RENAULT KWID TIPO LAPIZ\par } "</f>
        <v xml:space="preserve">{\rtf1\ansi\ansicpg1252\deff0\deflang11274{\fonttbl{\f0\fnil\fcharset0 MS Sans Serif}} \viewkind4\uc1\pard\f0\fs16 BOBINA ENCENDIDO RENAULT KWID TIPO LAPIZ\par } </v>
      </c>
      <c r="AM161" t="str">
        <f>"-"</f>
        <v>-</v>
      </c>
    </row>
    <row r="162" spans="1:39" x14ac:dyDescent="0.25">
      <c r="A162" t="str">
        <f>"KD9009"</f>
        <v>KD9009</v>
      </c>
      <c r="B162" t="str">
        <f>"BOBINA ENCENDIDO TIPO LAPIZ RENAULT 1.6 16V MOTOR K4M"</f>
        <v>BOBINA ENCENDIDO TIPO LAPIZ RENAULT 1.6 16V MOTOR K4M</v>
      </c>
      <c r="C162" t="str">
        <f>"$ 22928,37"</f>
        <v>$ 22928,37</v>
      </c>
      <c r="D162" t="str">
        <f>"$ 22928,37"</f>
        <v>$ 22928,37</v>
      </c>
      <c r="E162" t="str">
        <f>"$ 22928,37"</f>
        <v>$ 22928,37</v>
      </c>
      <c r="F162" t="str">
        <f>"$ 22928,37"</f>
        <v>$ 22928,37</v>
      </c>
      <c r="G162" t="str">
        <f>"$ 22928,37"</f>
        <v>$ 22928,37</v>
      </c>
      <c r="H162" t="str">
        <f t="shared" si="93"/>
        <v>$ 0,00</v>
      </c>
      <c r="I162" t="str">
        <f t="shared" si="118"/>
        <v>BOBINAS DE ENCENDIDO</v>
      </c>
      <c r="J162" t="str">
        <f t="shared" si="94"/>
        <v>1</v>
      </c>
      <c r="K162" t="str">
        <f t="shared" si="95"/>
        <v>0</v>
      </c>
      <c r="L162" t="str">
        <f>"454,000"</f>
        <v>454,000</v>
      </c>
      <c r="M162" t="str">
        <f t="shared" si="96"/>
        <v xml:space="preserve"> </v>
      </c>
      <c r="N162" t="str">
        <f>"CADIC"</f>
        <v>CADIC</v>
      </c>
      <c r="O162" t="str">
        <f t="shared" si="119"/>
        <v>BOBINAS</v>
      </c>
      <c r="P162" t="str">
        <f t="shared" si="114"/>
        <v>0</v>
      </c>
      <c r="Q162" t="str">
        <f t="shared" si="114"/>
        <v>0</v>
      </c>
      <c r="R162" t="str">
        <f t="shared" si="115"/>
        <v>0,00</v>
      </c>
      <c r="S162" t="str">
        <f t="shared" si="115"/>
        <v>0,00</v>
      </c>
      <c r="T162" t="str">
        <f t="shared" si="116"/>
        <v xml:space="preserve"> </v>
      </c>
      <c r="U162" t="str">
        <f t="shared" si="116"/>
        <v xml:space="preserve"> </v>
      </c>
      <c r="V162" t="str">
        <f>"454,000"</f>
        <v>454,000</v>
      </c>
      <c r="W162" t="str">
        <f t="shared" si="97"/>
        <v>Lista 4</v>
      </c>
      <c r="X162" t="str">
        <f t="shared" si="98"/>
        <v>Lista 5</v>
      </c>
      <c r="Y162" t="str">
        <f t="shared" si="99"/>
        <v>Oferta Gral.</v>
      </c>
      <c r="Z162" t="str">
        <f t="shared" si="100"/>
        <v>Rubro</v>
      </c>
      <c r="AA162" t="str">
        <f t="shared" si="101"/>
        <v>Cantidad por Bulto</v>
      </c>
      <c r="AB162" t="str">
        <f t="shared" si="102"/>
        <v>INNER</v>
      </c>
      <c r="AC162" t="str">
        <f t="shared" si="103"/>
        <v>Stock en Bultos</v>
      </c>
      <c r="AD162" t="str">
        <f t="shared" si="104"/>
        <v>SubDepósito</v>
      </c>
      <c r="AE162" t="str">
        <f t="shared" si="105"/>
        <v>Marca</v>
      </c>
      <c r="AF162" t="str">
        <f t="shared" si="106"/>
        <v>Super Rubro</v>
      </c>
      <c r="AG162" t="str">
        <f t="shared" si="107"/>
        <v>ComercioExterior</v>
      </c>
      <c r="AH162" t="str">
        <f t="shared" si="108"/>
        <v>PrecioFOB</v>
      </c>
      <c r="AI162" t="str">
        <f t="shared" si="109"/>
        <v>Monto II</v>
      </c>
      <c r="AJ162" t="str">
        <f t="shared" si="110"/>
        <v>Porcentaje II</v>
      </c>
      <c r="AK162" t="str">
        <f t="shared" si="111"/>
        <v>Foto</v>
      </c>
      <c r="AL162" t="str">
        <f>"{\rtf1\ansi\ansicpg1252\deff0\deflang11274{\fonttbl{\f0\fnil\fcharset0 MS Sans Serif}} \viewkind4\uc1\pard\f0\fs16 BOBINA ENCENDIDO TIPO LAPIZ RENAULT 1.6 16V MOTOR K4M\par } "</f>
        <v xml:space="preserve">{\rtf1\ansi\ansicpg1252\deff0\deflang11274{\fonttbl{\f0\fnil\fcharset0 MS Sans Serif}} \viewkind4\uc1\pard\f0\fs16 BOBINA ENCENDIDO TIPO LAPIZ RENAULT 1.6 16V MOTOR K4M\par } </v>
      </c>
      <c r="AM162" t="str">
        <f>"-"</f>
        <v>-</v>
      </c>
    </row>
    <row r="163" spans="1:39" x14ac:dyDescent="0.25">
      <c r="A163" t="str">
        <f>"KD9011B"</f>
        <v>KD9011B</v>
      </c>
      <c r="B163" t="str">
        <f>"BOBINA ENCENDIDO TOYOTA COROLLA/RAV4  1.8 VVTI"</f>
        <v>BOBINA ENCENDIDO TOYOTA COROLLA/RAV4  1.8 VVTI</v>
      </c>
      <c r="C163" t="str">
        <f>"$ 43045,08"</f>
        <v>$ 43045,08</v>
      </c>
      <c r="D163" t="str">
        <f>"$ 43045,08"</f>
        <v>$ 43045,08</v>
      </c>
      <c r="E163" t="str">
        <f>"$ 43045,08"</f>
        <v>$ 43045,08</v>
      </c>
      <c r="F163" t="str">
        <f>"$ 43045,08"</f>
        <v>$ 43045,08</v>
      </c>
      <c r="G163" t="str">
        <f>"$ 43045,08"</f>
        <v>$ 43045,08</v>
      </c>
      <c r="H163" t="str">
        <f t="shared" si="93"/>
        <v>$ 0,00</v>
      </c>
      <c r="I163" t="str">
        <f t="shared" si="118"/>
        <v>BOBINAS DE ENCENDIDO</v>
      </c>
      <c r="J163" t="str">
        <f t="shared" si="94"/>
        <v>1</v>
      </c>
      <c r="K163" t="str">
        <f t="shared" ref="K163:K188" si="120">"0"</f>
        <v>0</v>
      </c>
      <c r="L163" t="str">
        <f>"-1,000"</f>
        <v>-1,000</v>
      </c>
      <c r="M163" t="str">
        <f t="shared" si="96"/>
        <v xml:space="preserve"> </v>
      </c>
      <c r="N163" t="str">
        <f>"CADIC"</f>
        <v>CADIC</v>
      </c>
      <c r="O163" t="str">
        <f t="shared" si="119"/>
        <v>BOBINAS</v>
      </c>
      <c r="P163" t="str">
        <f t="shared" ref="P163:Q182" si="121">"0"</f>
        <v>0</v>
      </c>
      <c r="Q163" t="str">
        <f t="shared" si="121"/>
        <v>0</v>
      </c>
      <c r="R163" t="str">
        <f t="shared" ref="R163:S182" si="122">"0,00"</f>
        <v>0,00</v>
      </c>
      <c r="S163" t="str">
        <f t="shared" si="122"/>
        <v>0,00</v>
      </c>
      <c r="T163" t="str">
        <f t="shared" ref="T163:U182" si="123">" "</f>
        <v xml:space="preserve"> </v>
      </c>
      <c r="U163" t="str">
        <f t="shared" si="123"/>
        <v xml:space="preserve"> </v>
      </c>
      <c r="V163" t="str">
        <f>"-1,000"</f>
        <v>-1,000</v>
      </c>
      <c r="W163" t="str">
        <f t="shared" si="97"/>
        <v>Lista 4</v>
      </c>
      <c r="X163" t="str">
        <f t="shared" si="98"/>
        <v>Lista 5</v>
      </c>
      <c r="Y163" t="str">
        <f t="shared" si="99"/>
        <v>Oferta Gral.</v>
      </c>
      <c r="Z163" t="str">
        <f t="shared" si="100"/>
        <v>Rubro</v>
      </c>
      <c r="AA163" t="str">
        <f t="shared" si="101"/>
        <v>Cantidad por Bulto</v>
      </c>
      <c r="AB163" t="str">
        <f t="shared" si="102"/>
        <v>INNER</v>
      </c>
      <c r="AC163" t="str">
        <f t="shared" si="103"/>
        <v>Stock en Bultos</v>
      </c>
      <c r="AD163" t="str">
        <f t="shared" si="104"/>
        <v>SubDepósito</v>
      </c>
      <c r="AE163" t="str">
        <f t="shared" si="105"/>
        <v>Marca</v>
      </c>
      <c r="AF163" t="str">
        <f t="shared" si="106"/>
        <v>Super Rubro</v>
      </c>
      <c r="AG163" t="str">
        <f t="shared" si="107"/>
        <v>ComercioExterior</v>
      </c>
      <c r="AH163" t="str">
        <f t="shared" si="108"/>
        <v>PrecioFOB</v>
      </c>
      <c r="AI163" t="str">
        <f t="shared" si="109"/>
        <v>Monto II</v>
      </c>
      <c r="AJ163" t="str">
        <f t="shared" si="110"/>
        <v>Porcentaje II</v>
      </c>
      <c r="AK163" t="str">
        <f t="shared" si="111"/>
        <v>Foto</v>
      </c>
      <c r="AL163" t="str">
        <f>"{\rtf1\ansi\ansicpg1252\deff0\deflang11274{\fonttbl{\f0\fnil\fcharset0 MS Sans Serif}} \viewkind4\uc1\pard\f0\fs16 BOBINA ENCENDIDO TOYOTA COROLLA/RAV4  1.8 VVTI\par } "</f>
        <v xml:space="preserve">{\rtf1\ansi\ansicpg1252\deff0\deflang11274{\fonttbl{\f0\fnil\fcharset0 MS Sans Serif}} \viewkind4\uc1\pard\f0\fs16 BOBINA ENCENDIDO TOYOTA COROLLA/RAV4  1.8 VVTI\par } </v>
      </c>
      <c r="AM163" t="str">
        <f>"-"</f>
        <v>-</v>
      </c>
    </row>
    <row r="164" spans="1:39" x14ac:dyDescent="0.25">
      <c r="A164" t="str">
        <f>"KD9608"</f>
        <v>KD9608</v>
      </c>
      <c r="B164" t="str">
        <f>"BOBINA ENCENDIDO TOYOTA ETIOS/YARIS 1.5"</f>
        <v>BOBINA ENCENDIDO TOYOTA ETIOS/YARIS 1.5</v>
      </c>
      <c r="C164" t="str">
        <f>"$ 59505,19"</f>
        <v>$ 59505,19</v>
      </c>
      <c r="D164" t="str">
        <f>"$ 59505,19"</f>
        <v>$ 59505,19</v>
      </c>
      <c r="E164" t="str">
        <f>"$ 59505,19"</f>
        <v>$ 59505,19</v>
      </c>
      <c r="F164" t="str">
        <f>"$ 59505,19"</f>
        <v>$ 59505,19</v>
      </c>
      <c r="G164" t="str">
        <f>"$ 59505,19"</f>
        <v>$ 59505,19</v>
      </c>
      <c r="H164" t="str">
        <f t="shared" si="93"/>
        <v>$ 0,00</v>
      </c>
      <c r="I164" t="str">
        <f t="shared" si="118"/>
        <v>BOBINAS DE ENCENDIDO</v>
      </c>
      <c r="J164" t="str">
        <f t="shared" si="94"/>
        <v>1</v>
      </c>
      <c r="K164" t="str">
        <f t="shared" si="120"/>
        <v>0</v>
      </c>
      <c r="L164" t="str">
        <f>"10,000"</f>
        <v>10,000</v>
      </c>
      <c r="M164" t="str">
        <f t="shared" si="96"/>
        <v xml:space="preserve"> </v>
      </c>
      <c r="N164" t="str">
        <f>"CADIC"</f>
        <v>CADIC</v>
      </c>
      <c r="O164" t="str">
        <f t="shared" si="119"/>
        <v>BOBINAS</v>
      </c>
      <c r="P164" t="str">
        <f t="shared" si="121"/>
        <v>0</v>
      </c>
      <c r="Q164" t="str">
        <f t="shared" si="121"/>
        <v>0</v>
      </c>
      <c r="R164" t="str">
        <f t="shared" si="122"/>
        <v>0,00</v>
      </c>
      <c r="S164" t="str">
        <f t="shared" si="122"/>
        <v>0,00</v>
      </c>
      <c r="T164" t="str">
        <f t="shared" si="123"/>
        <v xml:space="preserve"> </v>
      </c>
      <c r="U164" t="str">
        <f t="shared" si="123"/>
        <v xml:space="preserve"> </v>
      </c>
      <c r="V164" t="str">
        <f>"10,000"</f>
        <v>10,000</v>
      </c>
      <c r="W164" t="str">
        <f t="shared" si="97"/>
        <v>Lista 4</v>
      </c>
      <c r="X164" t="str">
        <f t="shared" si="98"/>
        <v>Lista 5</v>
      </c>
      <c r="Y164" t="str">
        <f t="shared" si="99"/>
        <v>Oferta Gral.</v>
      </c>
      <c r="Z164" t="str">
        <f t="shared" si="100"/>
        <v>Rubro</v>
      </c>
      <c r="AA164" t="str">
        <f t="shared" si="101"/>
        <v>Cantidad por Bulto</v>
      </c>
      <c r="AB164" t="str">
        <f t="shared" si="102"/>
        <v>INNER</v>
      </c>
      <c r="AC164" t="str">
        <f t="shared" si="103"/>
        <v>Stock en Bultos</v>
      </c>
      <c r="AD164" t="str">
        <f t="shared" si="104"/>
        <v>SubDepósito</v>
      </c>
      <c r="AE164" t="str">
        <f t="shared" si="105"/>
        <v>Marca</v>
      </c>
      <c r="AF164" t="str">
        <f t="shared" si="106"/>
        <v>Super Rubro</v>
      </c>
      <c r="AG164" t="str">
        <f t="shared" si="107"/>
        <v>ComercioExterior</v>
      </c>
      <c r="AH164" t="str">
        <f t="shared" si="108"/>
        <v>PrecioFOB</v>
      </c>
      <c r="AI164" t="str">
        <f t="shared" si="109"/>
        <v>Monto II</v>
      </c>
      <c r="AJ164" t="str">
        <f t="shared" si="110"/>
        <v>Porcentaje II</v>
      </c>
      <c r="AK164" t="str">
        <f t="shared" si="111"/>
        <v>Foto</v>
      </c>
      <c r="AL164" t="str">
        <f>"{\rtf1\ansi\ansicpg1252\deff0\deflang11274{\fonttbl{\f0\fnil\fcharset0 MS Sans Serif}} \viewkind4\uc1\pard\f0\fs16 BOBINA ENCENDIDO TOYOTA ETIOS/YARIS 1.5\par } "</f>
        <v xml:space="preserve">{\rtf1\ansi\ansicpg1252\deff0\deflang11274{\fonttbl{\f0\fnil\fcharset0 MS Sans Serif}} \viewkind4\uc1\pard\f0\fs16 BOBINA ENCENDIDO TOYOTA ETIOS/YARIS 1.5\par } </v>
      </c>
      <c r="AM164" t="str">
        <f>"-"</f>
        <v>-</v>
      </c>
    </row>
    <row r="165" spans="1:39" x14ac:dyDescent="0.25">
      <c r="A165" t="str">
        <f>"KD7020A"</f>
        <v>KD7020A</v>
      </c>
      <c r="B165" t="str">
        <f>"BOBINA ENCENDIDO VW FOX SURAN 1.6 16V MSI 04E905110A"</f>
        <v>BOBINA ENCENDIDO VW FOX SURAN 1.6 16V MSI 04E905110A</v>
      </c>
      <c r="C165" t="str">
        <f>"$ 49330,73"</f>
        <v>$ 49330,73</v>
      </c>
      <c r="D165" t="str">
        <f>"$ 49330,73"</f>
        <v>$ 49330,73</v>
      </c>
      <c r="E165" t="str">
        <f>"$ 49330,73"</f>
        <v>$ 49330,73</v>
      </c>
      <c r="F165" t="str">
        <f>"$ 49330,73"</f>
        <v>$ 49330,73</v>
      </c>
      <c r="G165" t="str">
        <f>"$ 49330,73"</f>
        <v>$ 49330,73</v>
      </c>
      <c r="H165" t="str">
        <f t="shared" si="93"/>
        <v>$ 0,00</v>
      </c>
      <c r="I165" t="str">
        <f t="shared" si="118"/>
        <v>BOBINAS DE ENCENDIDO</v>
      </c>
      <c r="J165" t="str">
        <f t="shared" si="94"/>
        <v>1</v>
      </c>
      <c r="K165" t="str">
        <f t="shared" si="120"/>
        <v>0</v>
      </c>
      <c r="L165" t="str">
        <f>"4,000"</f>
        <v>4,000</v>
      </c>
      <c r="M165" t="str">
        <f t="shared" si="96"/>
        <v xml:space="preserve"> </v>
      </c>
      <c r="N165" t="str">
        <f>"CADIC"</f>
        <v>CADIC</v>
      </c>
      <c r="O165" t="str">
        <f t="shared" si="119"/>
        <v>BOBINAS</v>
      </c>
      <c r="P165" t="str">
        <f t="shared" si="121"/>
        <v>0</v>
      </c>
      <c r="Q165" t="str">
        <f t="shared" si="121"/>
        <v>0</v>
      </c>
      <c r="R165" t="str">
        <f t="shared" si="122"/>
        <v>0,00</v>
      </c>
      <c r="S165" t="str">
        <f t="shared" si="122"/>
        <v>0,00</v>
      </c>
      <c r="T165" t="str">
        <f t="shared" si="123"/>
        <v xml:space="preserve"> </v>
      </c>
      <c r="U165" t="str">
        <f t="shared" si="123"/>
        <v xml:space="preserve"> </v>
      </c>
      <c r="V165" t="str">
        <f>"4,000"</f>
        <v>4,000</v>
      </c>
      <c r="W165" t="str">
        <f t="shared" si="97"/>
        <v>Lista 4</v>
      </c>
      <c r="X165" t="str">
        <f t="shared" si="98"/>
        <v>Lista 5</v>
      </c>
      <c r="Y165" t="str">
        <f t="shared" si="99"/>
        <v>Oferta Gral.</v>
      </c>
      <c r="Z165" t="str">
        <f t="shared" si="100"/>
        <v>Rubro</v>
      </c>
      <c r="AA165" t="str">
        <f t="shared" si="101"/>
        <v>Cantidad por Bulto</v>
      </c>
      <c r="AB165" t="str">
        <f t="shared" si="102"/>
        <v>INNER</v>
      </c>
      <c r="AC165" t="str">
        <f t="shared" si="103"/>
        <v>Stock en Bultos</v>
      </c>
      <c r="AD165" t="str">
        <f t="shared" si="104"/>
        <v>SubDepósito</v>
      </c>
      <c r="AE165" t="str">
        <f t="shared" si="105"/>
        <v>Marca</v>
      </c>
      <c r="AF165" t="str">
        <f t="shared" si="106"/>
        <v>Super Rubro</v>
      </c>
      <c r="AG165" t="str">
        <f t="shared" si="107"/>
        <v>ComercioExterior</v>
      </c>
      <c r="AH165" t="str">
        <f t="shared" si="108"/>
        <v>PrecioFOB</v>
      </c>
      <c r="AI165" t="str">
        <f t="shared" si="109"/>
        <v>Monto II</v>
      </c>
      <c r="AJ165" t="str">
        <f t="shared" si="110"/>
        <v>Porcentaje II</v>
      </c>
      <c r="AK165" t="str">
        <f t="shared" si="111"/>
        <v>Foto</v>
      </c>
      <c r="AL165" t="str">
        <f>"{\rtf1\ansi\ansicpg1252\deff0\deflang11274{\fonttbl{\f0\fnil\fcharset0 MS Sans Serif}} \viewkind4\uc1\pard\f0\fs16 BOBINA ENCENDIDO VW FOX SURAN 1.6 16V MSI 04E905110A\par } "</f>
        <v xml:space="preserve">{\rtf1\ansi\ansicpg1252\deff0\deflang11274{\fonttbl{\f0\fnil\fcharset0 MS Sans Serif}} \viewkind4\uc1\pard\f0\fs16 BOBINA ENCENDIDO VW FOX SURAN 1.6 16V MSI 04E905110A\par } </v>
      </c>
      <c r="AM165" t="str">
        <f>"Bobina Fox Suran MSI"</f>
        <v>Bobina Fox Suran MSI</v>
      </c>
    </row>
    <row r="166" spans="1:39" x14ac:dyDescent="0.25">
      <c r="A166" t="str">
        <f>"VK11421B"</f>
        <v>VK11421B</v>
      </c>
      <c r="B166" t="str">
        <f>"BOBINA ENCENDIDO VW GOL TREND FOX SURAN GOLF 1.6"</f>
        <v>BOBINA ENCENDIDO VW GOL TREND FOX SURAN GOLF 1.6</v>
      </c>
      <c r="C166" t="str">
        <f>"$ 66810,00"</f>
        <v>$ 66810,00</v>
      </c>
      <c r="D166" t="str">
        <f>"$ 66810,00"</f>
        <v>$ 66810,00</v>
      </c>
      <c r="E166" t="str">
        <f>"$ 66810,00"</f>
        <v>$ 66810,00</v>
      </c>
      <c r="F166" t="str">
        <f>"$ 25000,00"</f>
        <v>$ 25000,00</v>
      </c>
      <c r="G166" t="str">
        <f>"$ 25000,00"</f>
        <v>$ 25000,00</v>
      </c>
      <c r="H166" t="str">
        <f t="shared" si="93"/>
        <v>$ 0,00</v>
      </c>
      <c r="I166" t="str">
        <f t="shared" si="118"/>
        <v>BOBINAS DE ENCENDIDO</v>
      </c>
      <c r="J166" t="str">
        <f t="shared" si="94"/>
        <v>1</v>
      </c>
      <c r="K166" t="str">
        <f t="shared" si="120"/>
        <v>0</v>
      </c>
      <c r="L166" t="str">
        <f>"5,000"</f>
        <v>5,000</v>
      </c>
      <c r="M166" t="str">
        <f t="shared" si="96"/>
        <v xml:space="preserve"> </v>
      </c>
      <c r="N166" t="str">
        <f>"BOSCH"</f>
        <v>BOSCH</v>
      </c>
      <c r="O166" t="str">
        <f t="shared" si="119"/>
        <v>BOBINAS</v>
      </c>
      <c r="P166" t="str">
        <f t="shared" si="121"/>
        <v>0</v>
      </c>
      <c r="Q166" t="str">
        <f t="shared" si="121"/>
        <v>0</v>
      </c>
      <c r="R166" t="str">
        <f t="shared" si="122"/>
        <v>0,00</v>
      </c>
      <c r="S166" t="str">
        <f t="shared" si="122"/>
        <v>0,00</v>
      </c>
      <c r="T166" t="str">
        <f t="shared" si="123"/>
        <v xml:space="preserve"> </v>
      </c>
      <c r="U166" t="str">
        <f t="shared" si="123"/>
        <v xml:space="preserve"> </v>
      </c>
      <c r="V166" t="str">
        <f>"5,000"</f>
        <v>5,000</v>
      </c>
      <c r="W166" t="str">
        <f t="shared" si="97"/>
        <v>Lista 4</v>
      </c>
      <c r="X166" t="str">
        <f t="shared" si="98"/>
        <v>Lista 5</v>
      </c>
      <c r="Y166" t="str">
        <f t="shared" si="99"/>
        <v>Oferta Gral.</v>
      </c>
      <c r="Z166" t="str">
        <f t="shared" si="100"/>
        <v>Rubro</v>
      </c>
      <c r="AA166" t="str">
        <f t="shared" si="101"/>
        <v>Cantidad por Bulto</v>
      </c>
      <c r="AB166" t="str">
        <f t="shared" si="102"/>
        <v>INNER</v>
      </c>
      <c r="AC166" t="str">
        <f t="shared" si="103"/>
        <v>Stock en Bultos</v>
      </c>
      <c r="AD166" t="str">
        <f t="shared" si="104"/>
        <v>SubDepósito</v>
      </c>
      <c r="AE166" t="str">
        <f t="shared" si="105"/>
        <v>Marca</v>
      </c>
      <c r="AF166" t="str">
        <f t="shared" si="106"/>
        <v>Super Rubro</v>
      </c>
      <c r="AG166" t="str">
        <f t="shared" si="107"/>
        <v>ComercioExterior</v>
      </c>
      <c r="AH166" t="str">
        <f t="shared" si="108"/>
        <v>PrecioFOB</v>
      </c>
      <c r="AI166" t="str">
        <f t="shared" si="109"/>
        <v>Monto II</v>
      </c>
      <c r="AJ166" t="str">
        <f t="shared" si="110"/>
        <v>Porcentaje II</v>
      </c>
      <c r="AK166" t="str">
        <f t="shared" si="111"/>
        <v>Foto</v>
      </c>
      <c r="AL16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66" t="str">
        <f>"-"</f>
        <v>-</v>
      </c>
    </row>
    <row r="167" spans="1:39" x14ac:dyDescent="0.25">
      <c r="A167" t="str">
        <f>"FI70102"</f>
        <v>FI70102</v>
      </c>
      <c r="B167" t="str">
        <f>"BOBINA FIAT NOVO UNO PALIO 2014"</f>
        <v>BOBINA FIAT NOVO UNO PALIO 2014</v>
      </c>
      <c r="C167" t="str">
        <f>"$ 96723,24"</f>
        <v>$ 96723,24</v>
      </c>
      <c r="D167" t="str">
        <f>"$ 96723,24"</f>
        <v>$ 96723,24</v>
      </c>
      <c r="E167" t="str">
        <f>"$ 96723,24"</f>
        <v>$ 96723,24</v>
      </c>
      <c r="F167" t="str">
        <f>"$ 96723,24"</f>
        <v>$ 96723,24</v>
      </c>
      <c r="G167" t="str">
        <f>"$ 96723,24"</f>
        <v>$ 96723,24</v>
      </c>
      <c r="H167" t="str">
        <f t="shared" si="93"/>
        <v>$ 0,00</v>
      </c>
      <c r="I167" t="str">
        <f t="shared" si="118"/>
        <v>BOBINAS DE ENCENDIDO</v>
      </c>
      <c r="J167" t="str">
        <f t="shared" si="94"/>
        <v>1</v>
      </c>
      <c r="K167" t="str">
        <f t="shared" si="120"/>
        <v>0</v>
      </c>
      <c r="L167" t="str">
        <f>"4,000"</f>
        <v>4,000</v>
      </c>
      <c r="M167" t="str">
        <f t="shared" si="96"/>
        <v xml:space="preserve"> </v>
      </c>
      <c r="N167" t="str">
        <f>"FISPA"</f>
        <v>FISPA</v>
      </c>
      <c r="O167" t="str">
        <f t="shared" si="119"/>
        <v>BOBINAS</v>
      </c>
      <c r="P167" t="str">
        <f t="shared" si="121"/>
        <v>0</v>
      </c>
      <c r="Q167" t="str">
        <f t="shared" si="121"/>
        <v>0</v>
      </c>
      <c r="R167" t="str">
        <f t="shared" si="122"/>
        <v>0,00</v>
      </c>
      <c r="S167" t="str">
        <f t="shared" si="122"/>
        <v>0,00</v>
      </c>
      <c r="T167" t="str">
        <f t="shared" si="123"/>
        <v xml:space="preserve"> </v>
      </c>
      <c r="U167" t="str">
        <f t="shared" si="123"/>
        <v xml:space="preserve"> </v>
      </c>
      <c r="V167" t="str">
        <f>"4,000"</f>
        <v>4,000</v>
      </c>
      <c r="W167" t="str">
        <f t="shared" si="97"/>
        <v>Lista 4</v>
      </c>
      <c r="X167" t="str">
        <f t="shared" si="98"/>
        <v>Lista 5</v>
      </c>
      <c r="Y167" t="str">
        <f t="shared" si="99"/>
        <v>Oferta Gral.</v>
      </c>
      <c r="Z167" t="str">
        <f t="shared" si="100"/>
        <v>Rubro</v>
      </c>
      <c r="AA167" t="str">
        <f t="shared" si="101"/>
        <v>Cantidad por Bulto</v>
      </c>
      <c r="AB167" t="str">
        <f t="shared" si="102"/>
        <v>INNER</v>
      </c>
      <c r="AC167" t="str">
        <f t="shared" si="103"/>
        <v>Stock en Bultos</v>
      </c>
      <c r="AD167" t="str">
        <f t="shared" si="104"/>
        <v>SubDepósito</v>
      </c>
      <c r="AE167" t="str">
        <f t="shared" si="105"/>
        <v>Marca</v>
      </c>
      <c r="AF167" t="str">
        <f t="shared" si="106"/>
        <v>Super Rubro</v>
      </c>
      <c r="AG167" t="str">
        <f t="shared" si="107"/>
        <v>ComercioExterior</v>
      </c>
      <c r="AH167" t="str">
        <f t="shared" si="108"/>
        <v>PrecioFOB</v>
      </c>
      <c r="AI167" t="str">
        <f t="shared" si="109"/>
        <v>Monto II</v>
      </c>
      <c r="AJ167" t="str">
        <f t="shared" si="110"/>
        <v>Porcentaje II</v>
      </c>
      <c r="AK167" t="str">
        <f t="shared" si="111"/>
        <v>Foto</v>
      </c>
      <c r="AL16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67" t="str">
        <f>" "</f>
        <v xml:space="preserve"> </v>
      </c>
    </row>
    <row r="168" spans="1:39" x14ac:dyDescent="0.25">
      <c r="A168" t="str">
        <f>"FI70070"</f>
        <v>FI70070</v>
      </c>
      <c r="B168" t="str">
        <f>"BOBINA FORD KA FIESTA FOCUS FICHA RECTANGULAR"</f>
        <v>BOBINA FORD KA FIESTA FOCUS FICHA RECTANGULAR</v>
      </c>
      <c r="C168" t="str">
        <f>"$ 45120,42"</f>
        <v>$ 45120,42</v>
      </c>
      <c r="D168" t="str">
        <f>"$ 45120,42"</f>
        <v>$ 45120,42</v>
      </c>
      <c r="E168" t="str">
        <f>"$ 45120,42"</f>
        <v>$ 45120,42</v>
      </c>
      <c r="F168" t="str">
        <f>"$ 45120,42"</f>
        <v>$ 45120,42</v>
      </c>
      <c r="G168" t="str">
        <f>"$ 45120,42"</f>
        <v>$ 45120,42</v>
      </c>
      <c r="H168" t="str">
        <f t="shared" si="93"/>
        <v>$ 0,00</v>
      </c>
      <c r="I168" t="str">
        <f t="shared" si="118"/>
        <v>BOBINAS DE ENCENDIDO</v>
      </c>
      <c r="J168" t="str">
        <f t="shared" si="94"/>
        <v>1</v>
      </c>
      <c r="K168" t="str">
        <f t="shared" si="120"/>
        <v>0</v>
      </c>
      <c r="L168" t="str">
        <f>"4,000"</f>
        <v>4,000</v>
      </c>
      <c r="M168" t="str">
        <f t="shared" si="96"/>
        <v xml:space="preserve"> </v>
      </c>
      <c r="N168" t="str">
        <f>"FISPA"</f>
        <v>FISPA</v>
      </c>
      <c r="O168" t="str">
        <f t="shared" si="119"/>
        <v>BOBINAS</v>
      </c>
      <c r="P168" t="str">
        <f t="shared" si="121"/>
        <v>0</v>
      </c>
      <c r="Q168" t="str">
        <f t="shared" si="121"/>
        <v>0</v>
      </c>
      <c r="R168" t="str">
        <f t="shared" si="122"/>
        <v>0,00</v>
      </c>
      <c r="S168" t="str">
        <f t="shared" si="122"/>
        <v>0,00</v>
      </c>
      <c r="T168" t="str">
        <f t="shared" si="123"/>
        <v xml:space="preserve"> </v>
      </c>
      <c r="U168" t="str">
        <f t="shared" si="123"/>
        <v xml:space="preserve"> </v>
      </c>
      <c r="V168" t="str">
        <f>"4,000"</f>
        <v>4,000</v>
      </c>
      <c r="W168" t="str">
        <f t="shared" si="97"/>
        <v>Lista 4</v>
      </c>
      <c r="X168" t="str">
        <f t="shared" si="98"/>
        <v>Lista 5</v>
      </c>
      <c r="Y168" t="str">
        <f t="shared" si="99"/>
        <v>Oferta Gral.</v>
      </c>
      <c r="Z168" t="str">
        <f t="shared" si="100"/>
        <v>Rubro</v>
      </c>
      <c r="AA168" t="str">
        <f t="shared" si="101"/>
        <v>Cantidad por Bulto</v>
      </c>
      <c r="AB168" t="str">
        <f t="shared" si="102"/>
        <v>INNER</v>
      </c>
      <c r="AC168" t="str">
        <f t="shared" si="103"/>
        <v>Stock en Bultos</v>
      </c>
      <c r="AD168" t="str">
        <f t="shared" si="104"/>
        <v>SubDepósito</v>
      </c>
      <c r="AE168" t="str">
        <f t="shared" si="105"/>
        <v>Marca</v>
      </c>
      <c r="AF168" t="str">
        <f t="shared" si="106"/>
        <v>Super Rubro</v>
      </c>
      <c r="AG168" t="str">
        <f t="shared" si="107"/>
        <v>ComercioExterior</v>
      </c>
      <c r="AH168" t="str">
        <f t="shared" si="108"/>
        <v>PrecioFOB</v>
      </c>
      <c r="AI168" t="str">
        <f t="shared" si="109"/>
        <v>Monto II</v>
      </c>
      <c r="AJ168" t="str">
        <f t="shared" si="110"/>
        <v>Porcentaje II</v>
      </c>
      <c r="AK168" t="str">
        <f t="shared" si="111"/>
        <v>Foto</v>
      </c>
      <c r="AL168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68" t="str">
        <f>" "</f>
        <v xml:space="preserve"> </v>
      </c>
    </row>
    <row r="169" spans="1:39" x14ac:dyDescent="0.25">
      <c r="A169" t="str">
        <f>"FI70033"</f>
        <v>FI70033</v>
      </c>
      <c r="B169" t="str">
        <f>"BOBINA IGNICION FIAT MOTOR FIRE 1 BOBINA"</f>
        <v>BOBINA IGNICION FIAT MOTOR FIRE 1 BOBINA</v>
      </c>
      <c r="C169" t="str">
        <f>"$ 48328,81"</f>
        <v>$ 48328,81</v>
      </c>
      <c r="D169" t="str">
        <f>"$ 48328,81"</f>
        <v>$ 48328,81</v>
      </c>
      <c r="E169" t="str">
        <f>"$ 48328,81"</f>
        <v>$ 48328,81</v>
      </c>
      <c r="F169" t="str">
        <f>"$ 48328,81"</f>
        <v>$ 48328,81</v>
      </c>
      <c r="G169" t="str">
        <f>"$ 48328,81"</f>
        <v>$ 48328,81</v>
      </c>
      <c r="H169" t="str">
        <f t="shared" si="93"/>
        <v>$ 0,00</v>
      </c>
      <c r="I169" t="str">
        <f t="shared" si="118"/>
        <v>BOBINAS DE ENCENDIDO</v>
      </c>
      <c r="J169" t="str">
        <f t="shared" si="94"/>
        <v>1</v>
      </c>
      <c r="K169" t="str">
        <f t="shared" si="120"/>
        <v>0</v>
      </c>
      <c r="L169" t="str">
        <f>"9,000"</f>
        <v>9,000</v>
      </c>
      <c r="M169" t="str">
        <f t="shared" si="96"/>
        <v xml:space="preserve"> </v>
      </c>
      <c r="N169" t="str">
        <f>"FISPA"</f>
        <v>FISPA</v>
      </c>
      <c r="O169" t="str">
        <f t="shared" si="119"/>
        <v>BOBINAS</v>
      </c>
      <c r="P169" t="str">
        <f t="shared" si="121"/>
        <v>0</v>
      </c>
      <c r="Q169" t="str">
        <f t="shared" si="121"/>
        <v>0</v>
      </c>
      <c r="R169" t="str">
        <f t="shared" si="122"/>
        <v>0,00</v>
      </c>
      <c r="S169" t="str">
        <f t="shared" si="122"/>
        <v>0,00</v>
      </c>
      <c r="T169" t="str">
        <f t="shared" si="123"/>
        <v xml:space="preserve"> </v>
      </c>
      <c r="U169" t="str">
        <f t="shared" si="123"/>
        <v xml:space="preserve"> </v>
      </c>
      <c r="V169" t="str">
        <f>"9,000"</f>
        <v>9,000</v>
      </c>
      <c r="W169" t="str">
        <f t="shared" si="97"/>
        <v>Lista 4</v>
      </c>
      <c r="X169" t="str">
        <f t="shared" si="98"/>
        <v>Lista 5</v>
      </c>
      <c r="Y169" t="str">
        <f t="shared" si="99"/>
        <v>Oferta Gral.</v>
      </c>
      <c r="Z169" t="str">
        <f t="shared" si="100"/>
        <v>Rubro</v>
      </c>
      <c r="AA169" t="str">
        <f t="shared" si="101"/>
        <v>Cantidad por Bulto</v>
      </c>
      <c r="AB169" t="str">
        <f t="shared" si="102"/>
        <v>INNER</v>
      </c>
      <c r="AC169" t="str">
        <f t="shared" si="103"/>
        <v>Stock en Bultos</v>
      </c>
      <c r="AD169" t="str">
        <f t="shared" si="104"/>
        <v>SubDepósito</v>
      </c>
      <c r="AE169" t="str">
        <f t="shared" si="105"/>
        <v>Marca</v>
      </c>
      <c r="AF169" t="str">
        <f t="shared" si="106"/>
        <v>Super Rubro</v>
      </c>
      <c r="AG169" t="str">
        <f t="shared" si="107"/>
        <v>ComercioExterior</v>
      </c>
      <c r="AH169" t="str">
        <f t="shared" si="108"/>
        <v>PrecioFOB</v>
      </c>
      <c r="AI169" t="str">
        <f t="shared" si="109"/>
        <v>Monto II</v>
      </c>
      <c r="AJ169" t="str">
        <f t="shared" si="110"/>
        <v>Porcentaje II</v>
      </c>
      <c r="AK169" t="str">
        <f t="shared" si="111"/>
        <v>Foto</v>
      </c>
      <c r="AL16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69" t="str">
        <f>"-"</f>
        <v>-</v>
      </c>
    </row>
    <row r="170" spans="1:39" x14ac:dyDescent="0.25">
      <c r="A170" t="str">
        <f>"KD8059"</f>
        <v>KD8059</v>
      </c>
      <c r="B170" t="str">
        <f>"BOBINA PEUGEOT 2.0 597087"</f>
        <v>BOBINA PEUGEOT 2.0 597087</v>
      </c>
      <c r="C170" t="str">
        <f>"$ 155700,11"</f>
        <v>$ 155700,11</v>
      </c>
      <c r="D170" t="str">
        <f>"$ 155700,11"</f>
        <v>$ 155700,11</v>
      </c>
      <c r="E170" t="str">
        <f>"$ 155700,11"</f>
        <v>$ 155700,11</v>
      </c>
      <c r="F170" t="str">
        <f>"$ 155700,11"</f>
        <v>$ 155700,11</v>
      </c>
      <c r="G170" t="str">
        <f>"$ 155700,11"</f>
        <v>$ 155700,11</v>
      </c>
      <c r="H170" t="str">
        <f t="shared" si="93"/>
        <v>$ 0,00</v>
      </c>
      <c r="I170" t="str">
        <f t="shared" si="118"/>
        <v>BOBINAS DE ENCENDIDO</v>
      </c>
      <c r="J170" t="str">
        <f t="shared" si="94"/>
        <v>1</v>
      </c>
      <c r="K170" t="str">
        <f t="shared" si="120"/>
        <v>0</v>
      </c>
      <c r="L170" t="str">
        <f>"3,000"</f>
        <v>3,000</v>
      </c>
      <c r="M170" t="str">
        <f t="shared" si="96"/>
        <v xml:space="preserve"> </v>
      </c>
      <c r="N170" t="str">
        <f>"CADIC"</f>
        <v>CADIC</v>
      </c>
      <c r="O170" t="str">
        <f t="shared" si="119"/>
        <v>BOBINAS</v>
      </c>
      <c r="P170" t="str">
        <f t="shared" si="121"/>
        <v>0</v>
      </c>
      <c r="Q170" t="str">
        <f t="shared" si="121"/>
        <v>0</v>
      </c>
      <c r="R170" t="str">
        <f t="shared" si="122"/>
        <v>0,00</v>
      </c>
      <c r="S170" t="str">
        <f t="shared" si="122"/>
        <v>0,00</v>
      </c>
      <c r="T170" t="str">
        <f t="shared" si="123"/>
        <v xml:space="preserve"> </v>
      </c>
      <c r="U170" t="str">
        <f t="shared" si="123"/>
        <v xml:space="preserve"> </v>
      </c>
      <c r="V170" t="str">
        <f>"3,000"</f>
        <v>3,000</v>
      </c>
      <c r="W170" t="str">
        <f t="shared" si="97"/>
        <v>Lista 4</v>
      </c>
      <c r="X170" t="str">
        <f t="shared" si="98"/>
        <v>Lista 5</v>
      </c>
      <c r="Y170" t="str">
        <f t="shared" si="99"/>
        <v>Oferta Gral.</v>
      </c>
      <c r="Z170" t="str">
        <f t="shared" si="100"/>
        <v>Rubro</v>
      </c>
      <c r="AA170" t="str">
        <f t="shared" si="101"/>
        <v>Cantidad por Bulto</v>
      </c>
      <c r="AB170" t="str">
        <f t="shared" si="102"/>
        <v>INNER</v>
      </c>
      <c r="AC170" t="str">
        <f t="shared" si="103"/>
        <v>Stock en Bultos</v>
      </c>
      <c r="AD170" t="str">
        <f t="shared" si="104"/>
        <v>SubDepósito</v>
      </c>
      <c r="AE170" t="str">
        <f t="shared" si="105"/>
        <v>Marca</v>
      </c>
      <c r="AF170" t="str">
        <f t="shared" si="106"/>
        <v>Super Rubro</v>
      </c>
      <c r="AG170" t="str">
        <f t="shared" si="107"/>
        <v>ComercioExterior</v>
      </c>
      <c r="AH170" t="str">
        <f t="shared" si="108"/>
        <v>PrecioFOB</v>
      </c>
      <c r="AI170" t="str">
        <f t="shared" si="109"/>
        <v>Monto II</v>
      </c>
      <c r="AJ170" t="str">
        <f t="shared" si="110"/>
        <v>Porcentaje II</v>
      </c>
      <c r="AK170" t="str">
        <f t="shared" si="111"/>
        <v>Foto</v>
      </c>
      <c r="AL170" t="str">
        <f>"{\rtf1\ansi\ansicpg1252\deff0\deflang11274{\fonttbl{\f0\fnil\fcharset0 MS Sans Serif}} \viewkind4\uc1\pard\f0\fs16 BOBINA PEUGEOT 2.0 597087\par } "</f>
        <v xml:space="preserve">{\rtf1\ansi\ansicpg1252\deff0\deflang11274{\fonttbl{\f0\fnil\fcharset0 MS Sans Serif}} \viewkind4\uc1\pard\f0\fs16 BOBINA PEUGEOT 2.0 597087\par } </v>
      </c>
      <c r="AM170" t="str">
        <f>"-"</f>
        <v>-</v>
      </c>
    </row>
    <row r="171" spans="1:39" x14ac:dyDescent="0.25">
      <c r="A171" t="str">
        <f>"FI70012"</f>
        <v>FI70012</v>
      </c>
      <c r="B171" t="str">
        <f>"BOBINA PEUGEOT 206 CITROEN C3 FIAT QUBO 1.4 8V FICHA GRIS"</f>
        <v>BOBINA PEUGEOT 206 CITROEN C3 FIAT QUBO 1.4 8V FICHA GRIS</v>
      </c>
      <c r="C171" t="str">
        <f>"$ 103222,97"</f>
        <v>$ 103222,97</v>
      </c>
      <c r="D171" t="str">
        <f>"$ 103222,97"</f>
        <v>$ 103222,97</v>
      </c>
      <c r="E171" t="str">
        <f>"$ 103222,97"</f>
        <v>$ 103222,97</v>
      </c>
      <c r="F171" t="str">
        <f>"$ 103222,97"</f>
        <v>$ 103222,97</v>
      </c>
      <c r="G171" t="str">
        <f>"$ 103222,97"</f>
        <v>$ 103222,97</v>
      </c>
      <c r="H171" t="str">
        <f t="shared" si="93"/>
        <v>$ 0,00</v>
      </c>
      <c r="I171" t="str">
        <f t="shared" si="118"/>
        <v>BOBINAS DE ENCENDIDO</v>
      </c>
      <c r="J171" t="str">
        <f t="shared" si="94"/>
        <v>1</v>
      </c>
      <c r="K171" t="str">
        <f t="shared" si="120"/>
        <v>0</v>
      </c>
      <c r="L171" t="str">
        <f>"6,000"</f>
        <v>6,000</v>
      </c>
      <c r="M171" t="str">
        <f t="shared" si="96"/>
        <v xml:space="preserve"> </v>
      </c>
      <c r="N171" t="str">
        <f>"FISPA"</f>
        <v>FISPA</v>
      </c>
      <c r="O171" t="str">
        <f t="shared" si="119"/>
        <v>BOBINAS</v>
      </c>
      <c r="P171" t="str">
        <f t="shared" si="121"/>
        <v>0</v>
      </c>
      <c r="Q171" t="str">
        <f t="shared" si="121"/>
        <v>0</v>
      </c>
      <c r="R171" t="str">
        <f t="shared" si="122"/>
        <v>0,00</v>
      </c>
      <c r="S171" t="str">
        <f t="shared" si="122"/>
        <v>0,00</v>
      </c>
      <c r="T171" t="str">
        <f t="shared" si="123"/>
        <v xml:space="preserve"> </v>
      </c>
      <c r="U171" t="str">
        <f t="shared" si="123"/>
        <v xml:space="preserve"> </v>
      </c>
      <c r="V171" t="str">
        <f>"6,000"</f>
        <v>6,000</v>
      </c>
      <c r="W171" t="str">
        <f t="shared" si="97"/>
        <v>Lista 4</v>
      </c>
      <c r="X171" t="str">
        <f t="shared" si="98"/>
        <v>Lista 5</v>
      </c>
      <c r="Y171" t="str">
        <f t="shared" si="99"/>
        <v>Oferta Gral.</v>
      </c>
      <c r="Z171" t="str">
        <f t="shared" si="100"/>
        <v>Rubro</v>
      </c>
      <c r="AA171" t="str">
        <f t="shared" si="101"/>
        <v>Cantidad por Bulto</v>
      </c>
      <c r="AB171" t="str">
        <f t="shared" si="102"/>
        <v>INNER</v>
      </c>
      <c r="AC171" t="str">
        <f t="shared" si="103"/>
        <v>Stock en Bultos</v>
      </c>
      <c r="AD171" t="str">
        <f t="shared" si="104"/>
        <v>SubDepósito</v>
      </c>
      <c r="AE171" t="str">
        <f t="shared" si="105"/>
        <v>Marca</v>
      </c>
      <c r="AF171" t="str">
        <f t="shared" si="106"/>
        <v>Super Rubro</v>
      </c>
      <c r="AG171" t="str">
        <f t="shared" si="107"/>
        <v>ComercioExterior</v>
      </c>
      <c r="AH171" t="str">
        <f t="shared" si="108"/>
        <v>PrecioFOB</v>
      </c>
      <c r="AI171" t="str">
        <f t="shared" si="109"/>
        <v>Monto II</v>
      </c>
      <c r="AJ171" t="str">
        <f t="shared" si="110"/>
        <v>Porcentaje II</v>
      </c>
      <c r="AK171" t="str">
        <f t="shared" si="111"/>
        <v>Foto</v>
      </c>
      <c r="AL17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71" t="str">
        <f>" "</f>
        <v xml:space="preserve"> </v>
      </c>
    </row>
    <row r="172" spans="1:39" x14ac:dyDescent="0.25">
      <c r="A172" t="str">
        <f>"VK11871"</f>
        <v>VK11871</v>
      </c>
      <c r="B172" t="str">
        <f>"BOBINA RENAULT KANGOO MEGANE CLIO 1.6 8V K7M FICHA CUADRADA"</f>
        <v>BOBINA RENAULT KANGOO MEGANE CLIO 1.6 8V K7M FICHA CUADRADA</v>
      </c>
      <c r="C172" t="str">
        <f>"$ 62068,11"</f>
        <v>$ 62068,11</v>
      </c>
      <c r="D172" t="str">
        <f>"$ 62068,11"</f>
        <v>$ 62068,11</v>
      </c>
      <c r="E172" t="str">
        <f>"$ 62068,11"</f>
        <v>$ 62068,11</v>
      </c>
      <c r="F172" t="str">
        <f>"$ 62068,11"</f>
        <v>$ 62068,11</v>
      </c>
      <c r="G172" t="str">
        <f>"$ 62068,11"</f>
        <v>$ 62068,11</v>
      </c>
      <c r="H172" t="str">
        <f t="shared" si="93"/>
        <v>$ 0,00</v>
      </c>
      <c r="I172" t="str">
        <f t="shared" si="118"/>
        <v>BOBINAS DE ENCENDIDO</v>
      </c>
      <c r="J172" t="str">
        <f t="shared" si="94"/>
        <v>1</v>
      </c>
      <c r="K172" t="str">
        <f t="shared" si="120"/>
        <v>0</v>
      </c>
      <c r="L172" t="str">
        <f>"2,000"</f>
        <v>2,000</v>
      </c>
      <c r="M172" t="str">
        <f t="shared" si="96"/>
        <v xml:space="preserve"> </v>
      </c>
      <c r="N172" t="str">
        <f>"VERKEHR"</f>
        <v>VERKEHR</v>
      </c>
      <c r="O172" t="str">
        <f t="shared" si="119"/>
        <v>BOBINAS</v>
      </c>
      <c r="P172" t="str">
        <f t="shared" si="121"/>
        <v>0</v>
      </c>
      <c r="Q172" t="str">
        <f t="shared" si="121"/>
        <v>0</v>
      </c>
      <c r="R172" t="str">
        <f t="shared" si="122"/>
        <v>0,00</v>
      </c>
      <c r="S172" t="str">
        <f t="shared" si="122"/>
        <v>0,00</v>
      </c>
      <c r="T172" t="str">
        <f t="shared" si="123"/>
        <v xml:space="preserve"> </v>
      </c>
      <c r="U172" t="str">
        <f t="shared" si="123"/>
        <v xml:space="preserve"> </v>
      </c>
      <c r="V172" t="str">
        <f>"2,000"</f>
        <v>2,000</v>
      </c>
      <c r="W172" t="str">
        <f t="shared" si="97"/>
        <v>Lista 4</v>
      </c>
      <c r="X172" t="str">
        <f t="shared" si="98"/>
        <v>Lista 5</v>
      </c>
      <c r="Y172" t="str">
        <f t="shared" si="99"/>
        <v>Oferta Gral.</v>
      </c>
      <c r="Z172" t="str">
        <f t="shared" si="100"/>
        <v>Rubro</v>
      </c>
      <c r="AA172" t="str">
        <f t="shared" si="101"/>
        <v>Cantidad por Bulto</v>
      </c>
      <c r="AB172" t="str">
        <f t="shared" si="102"/>
        <v>INNER</v>
      </c>
      <c r="AC172" t="str">
        <f t="shared" si="103"/>
        <v>Stock en Bultos</v>
      </c>
      <c r="AD172" t="str">
        <f t="shared" si="104"/>
        <v>SubDepósito</v>
      </c>
      <c r="AE172" t="str">
        <f t="shared" si="105"/>
        <v>Marca</v>
      </c>
      <c r="AF172" t="str">
        <f t="shared" si="106"/>
        <v>Super Rubro</v>
      </c>
      <c r="AG172" t="str">
        <f t="shared" si="107"/>
        <v>ComercioExterior</v>
      </c>
      <c r="AH172" t="str">
        <f t="shared" si="108"/>
        <v>PrecioFOB</v>
      </c>
      <c r="AI172" t="str">
        <f t="shared" si="109"/>
        <v>Monto II</v>
      </c>
      <c r="AJ172" t="str">
        <f t="shared" si="110"/>
        <v>Porcentaje II</v>
      </c>
      <c r="AK172" t="str">
        <f t="shared" si="111"/>
        <v>Foto</v>
      </c>
      <c r="AL172" t="str">
        <f>"{\rtf1\ansi\ansicpg1252\deff0\deflang11274{\fonttbl{\f0\fnil\fcharset0 MS Sans Serif}} \viewkind4\uc1\pard\f0\fs16 BOBINA RENAULT KANGOO MEGANE CLIO 1.6 8V K7M FICHA CUADRADA\par } "</f>
        <v xml:space="preserve">{\rtf1\ansi\ansicpg1252\deff0\deflang11274{\fonttbl{\f0\fnil\fcharset0 MS Sans Serif}} \viewkind4\uc1\pard\f0\fs16 BOBINA RENAULT KANGOO MEGANE CLIO 1.6 8V K7M FICHA CUADRADA\par } </v>
      </c>
      <c r="AM172" t="str">
        <f>"-"</f>
        <v>-</v>
      </c>
    </row>
    <row r="173" spans="1:39" x14ac:dyDescent="0.25">
      <c r="A173" t="str">
        <f>"RGU11416"</f>
        <v>RGU11416</v>
      </c>
      <c r="B173" t="str">
        <f>"BOBINA RENAULT KANGOO MEGANE SCENIC 1.6 8V K7M FICHA OVALADA"</f>
        <v>BOBINA RENAULT KANGOO MEGANE SCENIC 1.6 8V K7M FICHA OVALADA</v>
      </c>
      <c r="C173" t="str">
        <f>"$ 54310,16"</f>
        <v>$ 54310,16</v>
      </c>
      <c r="D173" t="str">
        <f>"$ 54310,16"</f>
        <v>$ 54310,16</v>
      </c>
      <c r="E173" t="str">
        <f>"$ 54310,16"</f>
        <v>$ 54310,16</v>
      </c>
      <c r="F173" t="str">
        <f>"$ 54310,16"</f>
        <v>$ 54310,16</v>
      </c>
      <c r="G173" t="str">
        <f>"$ 54310,16"</f>
        <v>$ 54310,16</v>
      </c>
      <c r="H173" t="str">
        <f t="shared" si="93"/>
        <v>$ 0,00</v>
      </c>
      <c r="I173" t="str">
        <f t="shared" si="118"/>
        <v>BOBINAS DE ENCENDIDO</v>
      </c>
      <c r="J173" t="str">
        <f t="shared" si="94"/>
        <v>1</v>
      </c>
      <c r="K173" t="str">
        <f t="shared" si="120"/>
        <v>0</v>
      </c>
      <c r="L173" t="str">
        <f>"3,000"</f>
        <v>3,000</v>
      </c>
      <c r="M173" t="str">
        <f t="shared" si="96"/>
        <v xml:space="preserve"> </v>
      </c>
      <c r="N173" t="str">
        <f>"REGITAR"</f>
        <v>REGITAR</v>
      </c>
      <c r="O173" t="str">
        <f t="shared" si="119"/>
        <v>BOBINAS</v>
      </c>
      <c r="P173" t="str">
        <f t="shared" si="121"/>
        <v>0</v>
      </c>
      <c r="Q173" t="str">
        <f t="shared" si="121"/>
        <v>0</v>
      </c>
      <c r="R173" t="str">
        <f t="shared" si="122"/>
        <v>0,00</v>
      </c>
      <c r="S173" t="str">
        <f t="shared" si="122"/>
        <v>0,00</v>
      </c>
      <c r="T173" t="str">
        <f t="shared" si="123"/>
        <v xml:space="preserve"> </v>
      </c>
      <c r="U173" t="str">
        <f t="shared" si="123"/>
        <v xml:space="preserve"> </v>
      </c>
      <c r="V173" t="str">
        <f>"3,000"</f>
        <v>3,000</v>
      </c>
      <c r="W173" t="str">
        <f t="shared" si="97"/>
        <v>Lista 4</v>
      </c>
      <c r="X173" t="str">
        <f t="shared" si="98"/>
        <v>Lista 5</v>
      </c>
      <c r="Y173" t="str">
        <f t="shared" si="99"/>
        <v>Oferta Gral.</v>
      </c>
      <c r="Z173" t="str">
        <f t="shared" si="100"/>
        <v>Rubro</v>
      </c>
      <c r="AA173" t="str">
        <f t="shared" si="101"/>
        <v>Cantidad por Bulto</v>
      </c>
      <c r="AB173" t="str">
        <f t="shared" si="102"/>
        <v>INNER</v>
      </c>
      <c r="AC173" t="str">
        <f t="shared" si="103"/>
        <v>Stock en Bultos</v>
      </c>
      <c r="AD173" t="str">
        <f t="shared" si="104"/>
        <v>SubDepósito</v>
      </c>
      <c r="AE173" t="str">
        <f t="shared" si="105"/>
        <v>Marca</v>
      </c>
      <c r="AF173" t="str">
        <f t="shared" si="106"/>
        <v>Super Rubro</v>
      </c>
      <c r="AG173" t="str">
        <f t="shared" si="107"/>
        <v>ComercioExterior</v>
      </c>
      <c r="AH173" t="str">
        <f t="shared" si="108"/>
        <v>PrecioFOB</v>
      </c>
      <c r="AI173" t="str">
        <f t="shared" si="109"/>
        <v>Monto II</v>
      </c>
      <c r="AJ173" t="str">
        <f t="shared" si="110"/>
        <v>Porcentaje II</v>
      </c>
      <c r="AK173" t="str">
        <f t="shared" si="111"/>
        <v>Foto</v>
      </c>
      <c r="AL173" t="str">
        <f>"{\rtf1\ansi\ansicpg1252\deff0\deflang11274{\fonttbl{\f0\fnil\fcharset0 MS Sans Serif}} \viewkind4\uc1\pard\f0\fs16 BOBINA RENAULT KANGOO MEGANE SCENIC 1.6 8V K7M FICHA OVALADA\par } "</f>
        <v xml:space="preserve">{\rtf1\ansi\ansicpg1252\deff0\deflang11274{\fonttbl{\f0\fnil\fcharset0 MS Sans Serif}} \viewkind4\uc1\pard\f0\fs16 BOBINA RENAULT KANGOO MEGANE SCENIC 1.6 8V K7M FICHA OVALADA\par } </v>
      </c>
      <c r="AM173" t="str">
        <f>"-"</f>
        <v>-</v>
      </c>
    </row>
    <row r="174" spans="1:39" x14ac:dyDescent="0.25">
      <c r="A174" t="str">
        <f>"KD8501"</f>
        <v>KD8501</v>
      </c>
      <c r="B174" t="str">
        <f>"BOBINA RENAULT LOGAN SANDERO KANGOO K7M 224336134R"</f>
        <v>BOBINA RENAULT LOGAN SANDERO KANGOO K7M 224336134R</v>
      </c>
      <c r="C174" t="str">
        <f>"$ 37823,73"</f>
        <v>$ 37823,73</v>
      </c>
      <c r="D174" t="str">
        <f>"$ 37823,73"</f>
        <v>$ 37823,73</v>
      </c>
      <c r="E174" t="str">
        <f>"$ 37823,73"</f>
        <v>$ 37823,73</v>
      </c>
      <c r="F174" t="str">
        <f>"$ 38372,18"</f>
        <v>$ 38372,18</v>
      </c>
      <c r="G174" t="str">
        <f>"$ 38372,18"</f>
        <v>$ 38372,18</v>
      </c>
      <c r="H174" t="str">
        <f t="shared" si="93"/>
        <v>$ 0,00</v>
      </c>
      <c r="I174" t="str">
        <f t="shared" si="118"/>
        <v>BOBINAS DE ENCENDIDO</v>
      </c>
      <c r="J174" t="str">
        <f t="shared" si="94"/>
        <v>1</v>
      </c>
      <c r="K174" t="str">
        <f t="shared" si="120"/>
        <v>0</v>
      </c>
      <c r="L174" t="str">
        <f>"4,000"</f>
        <v>4,000</v>
      </c>
      <c r="M174" t="str">
        <f t="shared" si="96"/>
        <v xml:space="preserve"> </v>
      </c>
      <c r="N174" t="str">
        <f>"CADIC"</f>
        <v>CADIC</v>
      </c>
      <c r="O174" t="str">
        <f t="shared" si="119"/>
        <v>BOBINAS</v>
      </c>
      <c r="P174" t="str">
        <f t="shared" si="121"/>
        <v>0</v>
      </c>
      <c r="Q174" t="str">
        <f t="shared" si="121"/>
        <v>0</v>
      </c>
      <c r="R174" t="str">
        <f t="shared" si="122"/>
        <v>0,00</v>
      </c>
      <c r="S174" t="str">
        <f t="shared" si="122"/>
        <v>0,00</v>
      </c>
      <c r="T174" t="str">
        <f t="shared" si="123"/>
        <v xml:space="preserve"> </v>
      </c>
      <c r="U174" t="str">
        <f t="shared" si="123"/>
        <v xml:space="preserve"> </v>
      </c>
      <c r="V174" t="str">
        <f>"4,000"</f>
        <v>4,000</v>
      </c>
      <c r="W174" t="str">
        <f t="shared" si="97"/>
        <v>Lista 4</v>
      </c>
      <c r="X174" t="str">
        <f t="shared" si="98"/>
        <v>Lista 5</v>
      </c>
      <c r="Y174" t="str">
        <f t="shared" si="99"/>
        <v>Oferta Gral.</v>
      </c>
      <c r="Z174" t="str">
        <f t="shared" si="100"/>
        <v>Rubro</v>
      </c>
      <c r="AA174" t="str">
        <f t="shared" si="101"/>
        <v>Cantidad por Bulto</v>
      </c>
      <c r="AB174" t="str">
        <f t="shared" si="102"/>
        <v>INNER</v>
      </c>
      <c r="AC174" t="str">
        <f t="shared" si="103"/>
        <v>Stock en Bultos</v>
      </c>
      <c r="AD174" t="str">
        <f t="shared" si="104"/>
        <v>SubDepósito</v>
      </c>
      <c r="AE174" t="str">
        <f t="shared" si="105"/>
        <v>Marca</v>
      </c>
      <c r="AF174" t="str">
        <f t="shared" si="106"/>
        <v>Super Rubro</v>
      </c>
      <c r="AG174" t="str">
        <f t="shared" si="107"/>
        <v>ComercioExterior</v>
      </c>
      <c r="AH174" t="str">
        <f t="shared" si="108"/>
        <v>PrecioFOB</v>
      </c>
      <c r="AI174" t="str">
        <f t="shared" si="109"/>
        <v>Monto II</v>
      </c>
      <c r="AJ174" t="str">
        <f t="shared" si="110"/>
        <v>Porcentaje II</v>
      </c>
      <c r="AK174" t="str">
        <f t="shared" si="111"/>
        <v>Foto</v>
      </c>
      <c r="AL174" t="str">
        <f>"{\rtf1\ansi\ansicpg1252\deff0\deflang11274{\fonttbl{\f0\fnil\fcharset0 MS Sans Serif}} \viewkind4\uc1\pard\f0\fs16 BOBINA RENAULT LOGAN SANDERO KANGOO K7M 224336134R\par } "</f>
        <v xml:space="preserve">{\rtf1\ansi\ansicpg1252\deff0\deflang11274{\fonttbl{\f0\fnil\fcharset0 MS Sans Serif}} \viewkind4\uc1\pard\f0\fs16 BOBINA RENAULT LOGAN SANDERO KANGOO K7M 224336134R\par } </v>
      </c>
      <c r="AM174" t="str">
        <f>" "</f>
        <v xml:space="preserve"> </v>
      </c>
    </row>
    <row r="175" spans="1:39" x14ac:dyDescent="0.25">
      <c r="A175" t="str">
        <f>"BC361"</f>
        <v>BC361</v>
      </c>
      <c r="B175" t="str">
        <f>"BOBINA SECA ENCENDIDO DIS COMPETICION"</f>
        <v>BOBINA SECA ENCENDIDO DIS COMPETICION</v>
      </c>
      <c r="C175" t="str">
        <f>"$ 37833,72"</f>
        <v>$ 37833,72</v>
      </c>
      <c r="D175" t="str">
        <f>"$ 37833,72"</f>
        <v>$ 37833,72</v>
      </c>
      <c r="E175" t="str">
        <f>"$ 37833,72"</f>
        <v>$ 37833,72</v>
      </c>
      <c r="F175" t="str">
        <f>"$ 37833,72"</f>
        <v>$ 37833,72</v>
      </c>
      <c r="G175" t="str">
        <f>"$ 37833,72"</f>
        <v>$ 37833,72</v>
      </c>
      <c r="H175" t="str">
        <f t="shared" si="93"/>
        <v>$ 0,00</v>
      </c>
      <c r="I175" t="str">
        <f>"BOBINAS DE ENCEND. COMPETICION"</f>
        <v>BOBINAS DE ENCEND. COMPETICION</v>
      </c>
      <c r="J175" t="str">
        <f t="shared" si="94"/>
        <v>1</v>
      </c>
      <c r="K175" t="str">
        <f t="shared" si="120"/>
        <v>0</v>
      </c>
      <c r="L175" t="str">
        <f>"7,000"</f>
        <v>7,000</v>
      </c>
      <c r="M175" t="str">
        <f t="shared" si="96"/>
        <v xml:space="preserve"> </v>
      </c>
      <c r="N175" t="str">
        <f>"FERRAZZI"</f>
        <v>FERRAZZI</v>
      </c>
      <c r="O175" t="str">
        <f t="shared" si="119"/>
        <v>BOBINAS</v>
      </c>
      <c r="P175" t="str">
        <f t="shared" si="121"/>
        <v>0</v>
      </c>
      <c r="Q175" t="str">
        <f t="shared" si="121"/>
        <v>0</v>
      </c>
      <c r="R175" t="str">
        <f t="shared" si="122"/>
        <v>0,00</v>
      </c>
      <c r="S175" t="str">
        <f t="shared" si="122"/>
        <v>0,00</v>
      </c>
      <c r="T175" t="str">
        <f t="shared" si="123"/>
        <v xml:space="preserve"> </v>
      </c>
      <c r="U175" t="str">
        <f t="shared" si="123"/>
        <v xml:space="preserve"> </v>
      </c>
      <c r="V175" t="str">
        <f>"7,000"</f>
        <v>7,000</v>
      </c>
      <c r="W175" t="str">
        <f t="shared" si="97"/>
        <v>Lista 4</v>
      </c>
      <c r="X175" t="str">
        <f t="shared" si="98"/>
        <v>Lista 5</v>
      </c>
      <c r="Y175" t="str">
        <f t="shared" si="99"/>
        <v>Oferta Gral.</v>
      </c>
      <c r="Z175" t="str">
        <f t="shared" si="100"/>
        <v>Rubro</v>
      </c>
      <c r="AA175" t="str">
        <f t="shared" si="101"/>
        <v>Cantidad por Bulto</v>
      </c>
      <c r="AB175" t="str">
        <f t="shared" si="102"/>
        <v>INNER</v>
      </c>
      <c r="AC175" t="str">
        <f t="shared" si="103"/>
        <v>Stock en Bultos</v>
      </c>
      <c r="AD175" t="str">
        <f t="shared" si="104"/>
        <v>SubDepósito</v>
      </c>
      <c r="AE175" t="str">
        <f t="shared" si="105"/>
        <v>Marca</v>
      </c>
      <c r="AF175" t="str">
        <f t="shared" si="106"/>
        <v>Super Rubro</v>
      </c>
      <c r="AG175" t="str">
        <f t="shared" si="107"/>
        <v>ComercioExterior</v>
      </c>
      <c r="AH175" t="str">
        <f t="shared" si="108"/>
        <v>PrecioFOB</v>
      </c>
      <c r="AI175" t="str">
        <f t="shared" si="109"/>
        <v>Monto II</v>
      </c>
      <c r="AJ175" t="str">
        <f t="shared" si="110"/>
        <v>Porcentaje II</v>
      </c>
      <c r="AK175" t="str">
        <f t="shared" si="111"/>
        <v>Foto</v>
      </c>
      <c r="AL175" t="str">
        <f>"{\rtf1\ansi\ansicpg1252\deff0\deflang11274{\fonttbl{\f0\fnil\fcharset0 MS Sans Serif}} \viewkind4\uc1\pard\f0\fs16 BOBINA SECA ENCENDIDO DIS COMPETICION\par } "</f>
        <v xml:space="preserve">{\rtf1\ansi\ansicpg1252\deff0\deflang11274{\fonttbl{\f0\fnil\fcharset0 MS Sans Serif}} \viewkind4\uc1\pard\f0\fs16 BOBINA SECA ENCENDIDO DIS COMPETICION\par } </v>
      </c>
      <c r="AM175" t="str">
        <f>"-"</f>
        <v>-</v>
      </c>
    </row>
    <row r="176" spans="1:39" x14ac:dyDescent="0.25">
      <c r="A176" t="str">
        <f>"BA360"</f>
        <v>BA360</v>
      </c>
      <c r="B176" t="str">
        <f>"BOBINA SECA ENCENDIDO ELECTRONICO COMPETICION"</f>
        <v>BOBINA SECA ENCENDIDO ELECTRONICO COMPETICION</v>
      </c>
      <c r="C176" t="str">
        <f>"$ 80624,97"</f>
        <v>$ 80624,97</v>
      </c>
      <c r="D176" t="str">
        <f>"$ 80624,97"</f>
        <v>$ 80624,97</v>
      </c>
      <c r="E176" t="str">
        <f>"$ 80624,97"</f>
        <v>$ 80624,97</v>
      </c>
      <c r="F176" t="str">
        <f>"$ 80624,97"</f>
        <v>$ 80624,97</v>
      </c>
      <c r="G176" t="str">
        <f>"$ 80624,97"</f>
        <v>$ 80624,97</v>
      </c>
      <c r="H176" t="str">
        <f t="shared" si="93"/>
        <v>$ 0,00</v>
      </c>
      <c r="I176" t="str">
        <f>"BOBINAS DE ENCEND. COMPETICION"</f>
        <v>BOBINAS DE ENCEND. COMPETICION</v>
      </c>
      <c r="J176" t="str">
        <f t="shared" si="94"/>
        <v>1</v>
      </c>
      <c r="K176" t="str">
        <f t="shared" si="120"/>
        <v>0</v>
      </c>
      <c r="L176" t="str">
        <f>"13,000"</f>
        <v>13,000</v>
      </c>
      <c r="M176" t="str">
        <f t="shared" si="96"/>
        <v xml:space="preserve"> </v>
      </c>
      <c r="N176" t="str">
        <f>"FERRAZZI"</f>
        <v>FERRAZZI</v>
      </c>
      <c r="O176" t="str">
        <f t="shared" si="119"/>
        <v>BOBINAS</v>
      </c>
      <c r="P176" t="str">
        <f t="shared" si="121"/>
        <v>0</v>
      </c>
      <c r="Q176" t="str">
        <f t="shared" si="121"/>
        <v>0</v>
      </c>
      <c r="R176" t="str">
        <f t="shared" si="122"/>
        <v>0,00</v>
      </c>
      <c r="S176" t="str">
        <f t="shared" si="122"/>
        <v>0,00</v>
      </c>
      <c r="T176" t="str">
        <f t="shared" si="123"/>
        <v xml:space="preserve"> </v>
      </c>
      <c r="U176" t="str">
        <f t="shared" si="123"/>
        <v xml:space="preserve"> </v>
      </c>
      <c r="V176" t="str">
        <f>"13,000"</f>
        <v>13,000</v>
      </c>
      <c r="W176" t="str">
        <f t="shared" si="97"/>
        <v>Lista 4</v>
      </c>
      <c r="X176" t="str">
        <f t="shared" si="98"/>
        <v>Lista 5</v>
      </c>
      <c r="Y176" t="str">
        <f t="shared" si="99"/>
        <v>Oferta Gral.</v>
      </c>
      <c r="Z176" t="str">
        <f t="shared" si="100"/>
        <v>Rubro</v>
      </c>
      <c r="AA176" t="str">
        <f t="shared" si="101"/>
        <v>Cantidad por Bulto</v>
      </c>
      <c r="AB176" t="str">
        <f t="shared" si="102"/>
        <v>INNER</v>
      </c>
      <c r="AC176" t="str">
        <f t="shared" si="103"/>
        <v>Stock en Bultos</v>
      </c>
      <c r="AD176" t="str">
        <f t="shared" si="104"/>
        <v>SubDepósito</v>
      </c>
      <c r="AE176" t="str">
        <f t="shared" si="105"/>
        <v>Marca</v>
      </c>
      <c r="AF176" t="str">
        <f t="shared" si="106"/>
        <v>Super Rubro</v>
      </c>
      <c r="AG176" t="str">
        <f t="shared" si="107"/>
        <v>ComercioExterior</v>
      </c>
      <c r="AH176" t="str">
        <f t="shared" si="108"/>
        <v>PrecioFOB</v>
      </c>
      <c r="AI176" t="str">
        <f t="shared" si="109"/>
        <v>Monto II</v>
      </c>
      <c r="AJ176" t="str">
        <f t="shared" si="110"/>
        <v>Porcentaje II</v>
      </c>
      <c r="AK176" t="str">
        <f t="shared" si="111"/>
        <v>Foto</v>
      </c>
      <c r="AL176" t="str">
        <f>"{\rtf1\ansi\ansicpg1252\deff0\deflang11274{\fonttbl{\f0\fnil\fcharset0 MS Sans Serif}} \viewkind4\uc1\pard\f0\fs16 BOBINA SECA ENCENDIDO ELECTRONICO COMPETICION\par } "</f>
        <v xml:space="preserve">{\rtf1\ansi\ansicpg1252\deff0\deflang11274{\fonttbl{\f0\fnil\fcharset0 MS Sans Serif}} \viewkind4\uc1\pard\f0\fs16 BOBINA SECA ENCENDIDO ELECTRONICO COMPETICION\par } </v>
      </c>
      <c r="AM176" t="str">
        <f>"-"</f>
        <v>-</v>
      </c>
    </row>
    <row r="177" spans="1:39" x14ac:dyDescent="0.25">
      <c r="A177" t="str">
        <f>"FI70071"</f>
        <v>FI70071</v>
      </c>
      <c r="B177" t="str">
        <f>"BOBINA TIPO BOTELLA 12V ENCENDIDO A PLATINO"</f>
        <v>BOBINA TIPO BOTELLA 12V ENCENDIDO A PLATINO</v>
      </c>
      <c r="C177" t="str">
        <f>"$ 28063,13"</f>
        <v>$ 28063,13</v>
      </c>
      <c r="D177" t="str">
        <f>"$ 28063,13"</f>
        <v>$ 28063,13</v>
      </c>
      <c r="E177" t="str">
        <f>"$ 28063,13"</f>
        <v>$ 28063,13</v>
      </c>
      <c r="F177" t="str">
        <f>"$ 28063,13"</f>
        <v>$ 28063,13</v>
      </c>
      <c r="G177" t="str">
        <f>"$ 28063,13"</f>
        <v>$ 28063,13</v>
      </c>
      <c r="H177" t="str">
        <f t="shared" si="93"/>
        <v>$ 0,00</v>
      </c>
      <c r="I177" t="str">
        <f t="shared" ref="I177:I184" si="124">"BOBINAS DE ENCENDIDO"</f>
        <v>BOBINAS DE ENCENDIDO</v>
      </c>
      <c r="J177" t="str">
        <f t="shared" si="94"/>
        <v>1</v>
      </c>
      <c r="K177" t="str">
        <f t="shared" si="120"/>
        <v>0</v>
      </c>
      <c r="L177" t="str">
        <f>"35,000"</f>
        <v>35,000</v>
      </c>
      <c r="M177" t="str">
        <f t="shared" si="96"/>
        <v xml:space="preserve"> </v>
      </c>
      <c r="N177" t="str">
        <f>"FISPA"</f>
        <v>FISPA</v>
      </c>
      <c r="O177" t="str">
        <f t="shared" si="119"/>
        <v>BOBINAS</v>
      </c>
      <c r="P177" t="str">
        <f t="shared" si="121"/>
        <v>0</v>
      </c>
      <c r="Q177" t="str">
        <f t="shared" si="121"/>
        <v>0</v>
      </c>
      <c r="R177" t="str">
        <f t="shared" si="122"/>
        <v>0,00</v>
      </c>
      <c r="S177" t="str">
        <f t="shared" si="122"/>
        <v>0,00</v>
      </c>
      <c r="T177" t="str">
        <f t="shared" si="123"/>
        <v xml:space="preserve"> </v>
      </c>
      <c r="U177" t="str">
        <f t="shared" si="123"/>
        <v xml:space="preserve"> </v>
      </c>
      <c r="V177" t="str">
        <f>"35,000"</f>
        <v>35,000</v>
      </c>
      <c r="W177" t="str">
        <f t="shared" si="97"/>
        <v>Lista 4</v>
      </c>
      <c r="X177" t="str">
        <f t="shared" si="98"/>
        <v>Lista 5</v>
      </c>
      <c r="Y177" t="str">
        <f t="shared" si="99"/>
        <v>Oferta Gral.</v>
      </c>
      <c r="Z177" t="str">
        <f t="shared" si="100"/>
        <v>Rubro</v>
      </c>
      <c r="AA177" t="str">
        <f t="shared" si="101"/>
        <v>Cantidad por Bulto</v>
      </c>
      <c r="AB177" t="str">
        <f t="shared" si="102"/>
        <v>INNER</v>
      </c>
      <c r="AC177" t="str">
        <f t="shared" si="103"/>
        <v>Stock en Bultos</v>
      </c>
      <c r="AD177" t="str">
        <f t="shared" si="104"/>
        <v>SubDepósito</v>
      </c>
      <c r="AE177" t="str">
        <f t="shared" si="105"/>
        <v>Marca</v>
      </c>
      <c r="AF177" t="str">
        <f t="shared" si="106"/>
        <v>Super Rubro</v>
      </c>
      <c r="AG177" t="str">
        <f t="shared" si="107"/>
        <v>ComercioExterior</v>
      </c>
      <c r="AH177" t="str">
        <f t="shared" si="108"/>
        <v>PrecioFOB</v>
      </c>
      <c r="AI177" t="str">
        <f t="shared" si="109"/>
        <v>Monto II</v>
      </c>
      <c r="AJ177" t="str">
        <f t="shared" si="110"/>
        <v>Porcentaje II</v>
      </c>
      <c r="AK177" t="str">
        <f t="shared" si="111"/>
        <v>Foto</v>
      </c>
      <c r="AL17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77" t="str">
        <f t="shared" ref="AM177:AM184" si="125">" "</f>
        <v xml:space="preserve"> </v>
      </c>
    </row>
    <row r="178" spans="1:39" x14ac:dyDescent="0.25">
      <c r="A178" t="str">
        <f>"FI70072"</f>
        <v>FI70072</v>
      </c>
      <c r="B178" t="str">
        <f>"BOBINA TIPO BOTELLA 12V ENCENDIDO A PLATINO CON RESISTOR EXTERNO"</f>
        <v>BOBINA TIPO BOTELLA 12V ENCENDIDO A PLATINO CON RESISTOR EXTERNO</v>
      </c>
      <c r="C178" t="str">
        <f>"$ 27912,06"</f>
        <v>$ 27912,06</v>
      </c>
      <c r="D178" t="str">
        <f>"$ 27912,06"</f>
        <v>$ 27912,06</v>
      </c>
      <c r="E178" t="str">
        <f>"$ 27912,06"</f>
        <v>$ 27912,06</v>
      </c>
      <c r="F178" t="str">
        <f>"$ 27912,06"</f>
        <v>$ 27912,06</v>
      </c>
      <c r="G178" t="str">
        <f>"$ 27912,06"</f>
        <v>$ 27912,06</v>
      </c>
      <c r="H178" t="str">
        <f t="shared" si="93"/>
        <v>$ 0,00</v>
      </c>
      <c r="I178" t="str">
        <f t="shared" si="124"/>
        <v>BOBINAS DE ENCENDIDO</v>
      </c>
      <c r="J178" t="str">
        <f t="shared" si="94"/>
        <v>1</v>
      </c>
      <c r="K178" t="str">
        <f t="shared" si="120"/>
        <v>0</v>
      </c>
      <c r="L178" t="str">
        <f>"19,000"</f>
        <v>19,000</v>
      </c>
      <c r="M178" t="str">
        <f t="shared" si="96"/>
        <v xml:space="preserve"> </v>
      </c>
      <c r="N178" t="str">
        <f>"FISPA"</f>
        <v>FISPA</v>
      </c>
      <c r="O178" t="str">
        <f t="shared" si="119"/>
        <v>BOBINAS</v>
      </c>
      <c r="P178" t="str">
        <f t="shared" si="121"/>
        <v>0</v>
      </c>
      <c r="Q178" t="str">
        <f t="shared" si="121"/>
        <v>0</v>
      </c>
      <c r="R178" t="str">
        <f t="shared" si="122"/>
        <v>0,00</v>
      </c>
      <c r="S178" t="str">
        <f t="shared" si="122"/>
        <v>0,00</v>
      </c>
      <c r="T178" t="str">
        <f t="shared" si="123"/>
        <v xml:space="preserve"> </v>
      </c>
      <c r="U178" t="str">
        <f t="shared" si="123"/>
        <v xml:space="preserve"> </v>
      </c>
      <c r="V178" t="str">
        <f>"19,000"</f>
        <v>19,000</v>
      </c>
      <c r="W178" t="str">
        <f t="shared" si="97"/>
        <v>Lista 4</v>
      </c>
      <c r="X178" t="str">
        <f t="shared" si="98"/>
        <v>Lista 5</v>
      </c>
      <c r="Y178" t="str">
        <f t="shared" si="99"/>
        <v>Oferta Gral.</v>
      </c>
      <c r="Z178" t="str">
        <f t="shared" si="100"/>
        <v>Rubro</v>
      </c>
      <c r="AA178" t="str">
        <f t="shared" si="101"/>
        <v>Cantidad por Bulto</v>
      </c>
      <c r="AB178" t="str">
        <f t="shared" si="102"/>
        <v>INNER</v>
      </c>
      <c r="AC178" t="str">
        <f t="shared" si="103"/>
        <v>Stock en Bultos</v>
      </c>
      <c r="AD178" t="str">
        <f t="shared" si="104"/>
        <v>SubDepósito</v>
      </c>
      <c r="AE178" t="str">
        <f t="shared" si="105"/>
        <v>Marca</v>
      </c>
      <c r="AF178" t="str">
        <f t="shared" si="106"/>
        <v>Super Rubro</v>
      </c>
      <c r="AG178" t="str">
        <f t="shared" si="107"/>
        <v>ComercioExterior</v>
      </c>
      <c r="AH178" t="str">
        <f t="shared" si="108"/>
        <v>PrecioFOB</v>
      </c>
      <c r="AI178" t="str">
        <f t="shared" si="109"/>
        <v>Monto II</v>
      </c>
      <c r="AJ178" t="str">
        <f t="shared" si="110"/>
        <v>Porcentaje II</v>
      </c>
      <c r="AK178" t="str">
        <f t="shared" si="111"/>
        <v>Foto</v>
      </c>
      <c r="AL178" t="str">
        <f>"{\rtf1\ansi\ansicpg1252\deff0\deflang2058{\fonttbl{\f0\fnil\fcharset0 MS Sans Serif}} \viewkind4\uc1\pard\f0\fs16 BOBINA TIPO BOTELLA 12V ENCENDIDO A PLATINO CON RESISTOR EXTERNO\par } "</f>
        <v xml:space="preserve">{\rtf1\ansi\ansicpg1252\deff0\deflang2058{\fonttbl{\f0\fnil\fcharset0 MS Sans Serif}} \viewkind4\uc1\pard\f0\fs16 BOBINA TIPO BOTELLA 12V ENCENDIDO A PLATINO CON RESISTOR EXTERNO\par } </v>
      </c>
      <c r="AM178" t="str">
        <f t="shared" si="125"/>
        <v xml:space="preserve"> </v>
      </c>
    </row>
    <row r="179" spans="1:39" x14ac:dyDescent="0.25">
      <c r="A179" t="str">
        <f>"FI70073"</f>
        <v>FI70073</v>
      </c>
      <c r="B179" t="str">
        <f>"BOBINA TIPO BOTELLA 12V ENCENDIDO A PLATINO PARA GNC"</f>
        <v>BOBINA TIPO BOTELLA 12V ENCENDIDO A PLATINO PARA GNC</v>
      </c>
      <c r="C179" t="str">
        <f>"$ 29124,33"</f>
        <v>$ 29124,33</v>
      </c>
      <c r="D179" t="str">
        <f>"$ 29124,33"</f>
        <v>$ 29124,33</v>
      </c>
      <c r="E179" t="str">
        <f>"$ 29124,33"</f>
        <v>$ 29124,33</v>
      </c>
      <c r="F179" t="str">
        <f>"$ 29124,33"</f>
        <v>$ 29124,33</v>
      </c>
      <c r="G179" t="str">
        <f>"$ 29124,33"</f>
        <v>$ 29124,33</v>
      </c>
      <c r="H179" t="str">
        <f t="shared" si="93"/>
        <v>$ 0,00</v>
      </c>
      <c r="I179" t="str">
        <f t="shared" si="124"/>
        <v>BOBINAS DE ENCENDIDO</v>
      </c>
      <c r="J179" t="str">
        <f t="shared" si="94"/>
        <v>1</v>
      </c>
      <c r="K179" t="str">
        <f t="shared" si="120"/>
        <v>0</v>
      </c>
      <c r="L179" t="str">
        <f>"31,000"</f>
        <v>31,000</v>
      </c>
      <c r="M179" t="str">
        <f t="shared" si="96"/>
        <v xml:space="preserve"> </v>
      </c>
      <c r="N179" t="str">
        <f>"FISPA"</f>
        <v>FISPA</v>
      </c>
      <c r="O179" t="str">
        <f t="shared" si="119"/>
        <v>BOBINAS</v>
      </c>
      <c r="P179" t="str">
        <f t="shared" si="121"/>
        <v>0</v>
      </c>
      <c r="Q179" t="str">
        <f t="shared" si="121"/>
        <v>0</v>
      </c>
      <c r="R179" t="str">
        <f t="shared" si="122"/>
        <v>0,00</v>
      </c>
      <c r="S179" t="str">
        <f t="shared" si="122"/>
        <v>0,00</v>
      </c>
      <c r="T179" t="str">
        <f t="shared" si="123"/>
        <v xml:space="preserve"> </v>
      </c>
      <c r="U179" t="str">
        <f t="shared" si="123"/>
        <v xml:space="preserve"> </v>
      </c>
      <c r="V179" t="str">
        <f>"31,000"</f>
        <v>31,000</v>
      </c>
      <c r="W179" t="str">
        <f t="shared" si="97"/>
        <v>Lista 4</v>
      </c>
      <c r="X179" t="str">
        <f t="shared" si="98"/>
        <v>Lista 5</v>
      </c>
      <c r="Y179" t="str">
        <f t="shared" si="99"/>
        <v>Oferta Gral.</v>
      </c>
      <c r="Z179" t="str">
        <f t="shared" si="100"/>
        <v>Rubro</v>
      </c>
      <c r="AA179" t="str">
        <f t="shared" si="101"/>
        <v>Cantidad por Bulto</v>
      </c>
      <c r="AB179" t="str">
        <f t="shared" si="102"/>
        <v>INNER</v>
      </c>
      <c r="AC179" t="str">
        <f t="shared" si="103"/>
        <v>Stock en Bultos</v>
      </c>
      <c r="AD179" t="str">
        <f t="shared" si="104"/>
        <v>SubDepósito</v>
      </c>
      <c r="AE179" t="str">
        <f t="shared" si="105"/>
        <v>Marca</v>
      </c>
      <c r="AF179" t="str">
        <f t="shared" si="106"/>
        <v>Super Rubro</v>
      </c>
      <c r="AG179" t="str">
        <f t="shared" si="107"/>
        <v>ComercioExterior</v>
      </c>
      <c r="AH179" t="str">
        <f t="shared" si="108"/>
        <v>PrecioFOB</v>
      </c>
      <c r="AI179" t="str">
        <f t="shared" si="109"/>
        <v>Monto II</v>
      </c>
      <c r="AJ179" t="str">
        <f t="shared" si="110"/>
        <v>Porcentaje II</v>
      </c>
      <c r="AK179" t="str">
        <f t="shared" si="111"/>
        <v>Foto</v>
      </c>
      <c r="AL17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79" t="str">
        <f t="shared" si="125"/>
        <v xml:space="preserve"> </v>
      </c>
    </row>
    <row r="180" spans="1:39" x14ac:dyDescent="0.25">
      <c r="A180" t="str">
        <f>"FI70075"</f>
        <v>FI70075</v>
      </c>
      <c r="B180" t="str">
        <f>"BOBINA TIPO BOTELLA ENCENDIDO ELECTRÓNICO"</f>
        <v>BOBINA TIPO BOTELLA ENCENDIDO ELECTRÓNICO</v>
      </c>
      <c r="C180" t="str">
        <f>"$ 27738,70"</f>
        <v>$ 27738,70</v>
      </c>
      <c r="D180" t="str">
        <f>"$ 27738,70"</f>
        <v>$ 27738,70</v>
      </c>
      <c r="E180" t="str">
        <f>"$ 27738,70"</f>
        <v>$ 27738,70</v>
      </c>
      <c r="F180" t="str">
        <f>"$ 27738,70"</f>
        <v>$ 27738,70</v>
      </c>
      <c r="G180" t="str">
        <f>"$ 27738,70"</f>
        <v>$ 27738,70</v>
      </c>
      <c r="H180" t="str">
        <f t="shared" si="93"/>
        <v>$ 0,00</v>
      </c>
      <c r="I180" t="str">
        <f t="shared" si="124"/>
        <v>BOBINAS DE ENCENDIDO</v>
      </c>
      <c r="J180" t="str">
        <f t="shared" si="94"/>
        <v>1</v>
      </c>
      <c r="K180" t="str">
        <f t="shared" si="120"/>
        <v>0</v>
      </c>
      <c r="L180" t="str">
        <f>"0,000"</f>
        <v>0,000</v>
      </c>
      <c r="M180" t="str">
        <f t="shared" si="96"/>
        <v xml:space="preserve"> </v>
      </c>
      <c r="N180" t="str">
        <f>"FISPA"</f>
        <v>FISPA</v>
      </c>
      <c r="O180" t="str">
        <f t="shared" si="119"/>
        <v>BOBINAS</v>
      </c>
      <c r="P180" t="str">
        <f t="shared" si="121"/>
        <v>0</v>
      </c>
      <c r="Q180" t="str">
        <f t="shared" si="121"/>
        <v>0</v>
      </c>
      <c r="R180" t="str">
        <f t="shared" si="122"/>
        <v>0,00</v>
      </c>
      <c r="S180" t="str">
        <f t="shared" si="122"/>
        <v>0,00</v>
      </c>
      <c r="T180" t="str">
        <f t="shared" si="123"/>
        <v xml:space="preserve"> </v>
      </c>
      <c r="U180" t="str">
        <f t="shared" si="123"/>
        <v xml:space="preserve"> </v>
      </c>
      <c r="V180" t="str">
        <f>"0,000"</f>
        <v>0,000</v>
      </c>
      <c r="W180" t="str">
        <f t="shared" si="97"/>
        <v>Lista 4</v>
      </c>
      <c r="X180" t="str">
        <f t="shared" si="98"/>
        <v>Lista 5</v>
      </c>
      <c r="Y180" t="str">
        <f t="shared" si="99"/>
        <v>Oferta Gral.</v>
      </c>
      <c r="Z180" t="str">
        <f t="shared" si="100"/>
        <v>Rubro</v>
      </c>
      <c r="AA180" t="str">
        <f t="shared" si="101"/>
        <v>Cantidad por Bulto</v>
      </c>
      <c r="AB180" t="str">
        <f t="shared" si="102"/>
        <v>INNER</v>
      </c>
      <c r="AC180" t="str">
        <f t="shared" si="103"/>
        <v>Stock en Bultos</v>
      </c>
      <c r="AD180" t="str">
        <f t="shared" si="104"/>
        <v>SubDepósito</v>
      </c>
      <c r="AE180" t="str">
        <f t="shared" si="105"/>
        <v>Marca</v>
      </c>
      <c r="AF180" t="str">
        <f t="shared" si="106"/>
        <v>Super Rubro</v>
      </c>
      <c r="AG180" t="str">
        <f t="shared" si="107"/>
        <v>ComercioExterior</v>
      </c>
      <c r="AH180" t="str">
        <f t="shared" si="108"/>
        <v>PrecioFOB</v>
      </c>
      <c r="AI180" t="str">
        <f t="shared" si="109"/>
        <v>Monto II</v>
      </c>
      <c r="AJ180" t="str">
        <f t="shared" si="110"/>
        <v>Porcentaje II</v>
      </c>
      <c r="AK180" t="str">
        <f t="shared" si="111"/>
        <v>Foto</v>
      </c>
      <c r="AL180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80" t="str">
        <f t="shared" si="125"/>
        <v xml:space="preserve"> </v>
      </c>
    </row>
    <row r="181" spans="1:39" x14ac:dyDescent="0.25">
      <c r="A181" t="str">
        <f>"FI70076"</f>
        <v>FI70076</v>
      </c>
      <c r="B181" t="str">
        <f>"BOBINA TIPO BOTELLA VW GOL SENDA PIN"</f>
        <v>BOBINA TIPO BOTELLA VW GOL SENDA PIN</v>
      </c>
      <c r="C181" t="str">
        <f>"$ 30108,76"</f>
        <v>$ 30108,76</v>
      </c>
      <c r="D181" t="str">
        <f>"$ 30108,76"</f>
        <v>$ 30108,76</v>
      </c>
      <c r="E181" t="str">
        <f>"$ 30108,76"</f>
        <v>$ 30108,76</v>
      </c>
      <c r="F181" t="str">
        <f>"$ 30108,76"</f>
        <v>$ 30108,76</v>
      </c>
      <c r="G181" t="str">
        <f>"$ 30108,76"</f>
        <v>$ 30108,76</v>
      </c>
      <c r="H181" t="str">
        <f t="shared" si="93"/>
        <v>$ 0,00</v>
      </c>
      <c r="I181" t="str">
        <f t="shared" si="124"/>
        <v>BOBINAS DE ENCENDIDO</v>
      </c>
      <c r="J181" t="str">
        <f t="shared" si="94"/>
        <v>1</v>
      </c>
      <c r="K181" t="str">
        <f t="shared" si="120"/>
        <v>0</v>
      </c>
      <c r="L181" t="str">
        <f>"10,000"</f>
        <v>10,000</v>
      </c>
      <c r="M181" t="str">
        <f t="shared" si="96"/>
        <v xml:space="preserve"> </v>
      </c>
      <c r="N181" t="str">
        <f>"FISPA"</f>
        <v>FISPA</v>
      </c>
      <c r="O181" t="str">
        <f t="shared" si="119"/>
        <v>BOBINAS</v>
      </c>
      <c r="P181" t="str">
        <f t="shared" si="121"/>
        <v>0</v>
      </c>
      <c r="Q181" t="str">
        <f t="shared" si="121"/>
        <v>0</v>
      </c>
      <c r="R181" t="str">
        <f t="shared" si="122"/>
        <v>0,00</v>
      </c>
      <c r="S181" t="str">
        <f t="shared" si="122"/>
        <v>0,00</v>
      </c>
      <c r="T181" t="str">
        <f t="shared" si="123"/>
        <v xml:space="preserve"> </v>
      </c>
      <c r="U181" t="str">
        <f t="shared" si="123"/>
        <v xml:space="preserve"> </v>
      </c>
      <c r="V181" t="str">
        <f>"10,000"</f>
        <v>10,000</v>
      </c>
      <c r="W181" t="str">
        <f t="shared" si="97"/>
        <v>Lista 4</v>
      </c>
      <c r="X181" t="str">
        <f t="shared" si="98"/>
        <v>Lista 5</v>
      </c>
      <c r="Y181" t="str">
        <f t="shared" si="99"/>
        <v>Oferta Gral.</v>
      </c>
      <c r="Z181" t="str">
        <f t="shared" si="100"/>
        <v>Rubro</v>
      </c>
      <c r="AA181" t="str">
        <f t="shared" si="101"/>
        <v>Cantidad por Bulto</v>
      </c>
      <c r="AB181" t="str">
        <f t="shared" si="102"/>
        <v>INNER</v>
      </c>
      <c r="AC181" t="str">
        <f t="shared" si="103"/>
        <v>Stock en Bultos</v>
      </c>
      <c r="AD181" t="str">
        <f t="shared" si="104"/>
        <v>SubDepósito</v>
      </c>
      <c r="AE181" t="str">
        <f t="shared" si="105"/>
        <v>Marca</v>
      </c>
      <c r="AF181" t="str">
        <f t="shared" si="106"/>
        <v>Super Rubro</v>
      </c>
      <c r="AG181" t="str">
        <f t="shared" si="107"/>
        <v>ComercioExterior</v>
      </c>
      <c r="AH181" t="str">
        <f t="shared" si="108"/>
        <v>PrecioFOB</v>
      </c>
      <c r="AI181" t="str">
        <f t="shared" si="109"/>
        <v>Monto II</v>
      </c>
      <c r="AJ181" t="str">
        <f t="shared" si="110"/>
        <v>Porcentaje II</v>
      </c>
      <c r="AK181" t="str">
        <f t="shared" si="111"/>
        <v>Foto</v>
      </c>
      <c r="AL18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81" t="str">
        <f t="shared" si="125"/>
        <v xml:space="preserve"> </v>
      </c>
    </row>
    <row r="182" spans="1:39" x14ac:dyDescent="0.25">
      <c r="A182" t="str">
        <f>"RGU0021"</f>
        <v>RGU0021</v>
      </c>
      <c r="B182" t="str">
        <f>"BOBINA UNIVERSAL 12 V."</f>
        <v>BOBINA UNIVERSAL 12 V.</v>
      </c>
      <c r="C182" t="str">
        <f t="shared" ref="C182:G183" si="126">"$ 31135,44"</f>
        <v>$ 31135,44</v>
      </c>
      <c r="D182" t="str">
        <f t="shared" si="126"/>
        <v>$ 31135,44</v>
      </c>
      <c r="E182" t="str">
        <f t="shared" si="126"/>
        <v>$ 31135,44</v>
      </c>
      <c r="F182" t="str">
        <f t="shared" si="126"/>
        <v>$ 31135,44</v>
      </c>
      <c r="G182" t="str">
        <f t="shared" si="126"/>
        <v>$ 31135,44</v>
      </c>
      <c r="H182" t="str">
        <f t="shared" si="93"/>
        <v>$ 0,00</v>
      </c>
      <c r="I182" t="str">
        <f t="shared" si="124"/>
        <v>BOBINAS DE ENCENDIDO</v>
      </c>
      <c r="J182" t="str">
        <f t="shared" si="94"/>
        <v>1</v>
      </c>
      <c r="K182" t="str">
        <f t="shared" si="120"/>
        <v>0</v>
      </c>
      <c r="L182" t="str">
        <f>"16,000"</f>
        <v>16,000</v>
      </c>
      <c r="M182" t="str">
        <f t="shared" si="96"/>
        <v xml:space="preserve"> </v>
      </c>
      <c r="N182" t="str">
        <f>"REGITAR"</f>
        <v>REGITAR</v>
      </c>
      <c r="O182" t="str">
        <f t="shared" si="119"/>
        <v>BOBINAS</v>
      </c>
      <c r="P182" t="str">
        <f t="shared" si="121"/>
        <v>0</v>
      </c>
      <c r="Q182" t="str">
        <f t="shared" si="121"/>
        <v>0</v>
      </c>
      <c r="R182" t="str">
        <f t="shared" si="122"/>
        <v>0,00</v>
      </c>
      <c r="S182" t="str">
        <f t="shared" si="122"/>
        <v>0,00</v>
      </c>
      <c r="T182" t="str">
        <f t="shared" si="123"/>
        <v xml:space="preserve"> </v>
      </c>
      <c r="U182" t="str">
        <f t="shared" si="123"/>
        <v xml:space="preserve"> </v>
      </c>
      <c r="V182" t="str">
        <f>"16,000"</f>
        <v>16,000</v>
      </c>
      <c r="W182" t="str">
        <f t="shared" si="97"/>
        <v>Lista 4</v>
      </c>
      <c r="X182" t="str">
        <f t="shared" si="98"/>
        <v>Lista 5</v>
      </c>
      <c r="Y182" t="str">
        <f t="shared" si="99"/>
        <v>Oferta Gral.</v>
      </c>
      <c r="Z182" t="str">
        <f t="shared" si="100"/>
        <v>Rubro</v>
      </c>
      <c r="AA182" t="str">
        <f t="shared" si="101"/>
        <v>Cantidad por Bulto</v>
      </c>
      <c r="AB182" t="str">
        <f t="shared" si="102"/>
        <v>INNER</v>
      </c>
      <c r="AC182" t="str">
        <f t="shared" si="103"/>
        <v>Stock en Bultos</v>
      </c>
      <c r="AD182" t="str">
        <f t="shared" si="104"/>
        <v>SubDepósito</v>
      </c>
      <c r="AE182" t="str">
        <f t="shared" si="105"/>
        <v>Marca</v>
      </c>
      <c r="AF182" t="str">
        <f t="shared" si="106"/>
        <v>Super Rubro</v>
      </c>
      <c r="AG182" t="str">
        <f t="shared" si="107"/>
        <v>ComercioExterior</v>
      </c>
      <c r="AH182" t="str">
        <f t="shared" si="108"/>
        <v>PrecioFOB</v>
      </c>
      <c r="AI182" t="str">
        <f t="shared" si="109"/>
        <v>Monto II</v>
      </c>
      <c r="AJ182" t="str">
        <f t="shared" si="110"/>
        <v>Porcentaje II</v>
      </c>
      <c r="AK182" t="str">
        <f t="shared" si="111"/>
        <v>Foto</v>
      </c>
      <c r="AL182" t="str">
        <f>"{\rtf1\ansi\ansicpg1252\deff0\deflang11274{\fonttbl{\f0\fnil\fcharset0 MS Sans Serif}} \viewkind4\uc1\pard\f0\fs16 BOBINA UNIVERSAL 12 V.\par } "</f>
        <v xml:space="preserve">{\rtf1\ansi\ansicpg1252\deff0\deflang11274{\fonttbl{\f0\fnil\fcharset0 MS Sans Serif}} \viewkind4\uc1\pard\f0\fs16 BOBINA UNIVERSAL 12 V.\par } </v>
      </c>
      <c r="AM182" t="str">
        <f t="shared" si="125"/>
        <v xml:space="preserve"> </v>
      </c>
    </row>
    <row r="183" spans="1:39" x14ac:dyDescent="0.25">
      <c r="A183" t="str">
        <f>"RGU0162"</f>
        <v>RGU0162</v>
      </c>
      <c r="B183" t="str">
        <f>"BOBINA UNIVERSAL 12V ENCENDIDO ELECTRONICO"</f>
        <v>BOBINA UNIVERSAL 12V ENCENDIDO ELECTRONICO</v>
      </c>
      <c r="C183" t="str">
        <f t="shared" si="126"/>
        <v>$ 31135,44</v>
      </c>
      <c r="D183" t="str">
        <f t="shared" si="126"/>
        <v>$ 31135,44</v>
      </c>
      <c r="E183" t="str">
        <f t="shared" si="126"/>
        <v>$ 31135,44</v>
      </c>
      <c r="F183" t="str">
        <f t="shared" si="126"/>
        <v>$ 31135,44</v>
      </c>
      <c r="G183" t="str">
        <f t="shared" si="126"/>
        <v>$ 31135,44</v>
      </c>
      <c r="H183" t="str">
        <f t="shared" si="93"/>
        <v>$ 0,00</v>
      </c>
      <c r="I183" t="str">
        <f t="shared" si="124"/>
        <v>BOBINAS DE ENCENDIDO</v>
      </c>
      <c r="J183" t="str">
        <f t="shared" si="94"/>
        <v>1</v>
      </c>
      <c r="K183" t="str">
        <f t="shared" si="120"/>
        <v>0</v>
      </c>
      <c r="L183" t="str">
        <f>"15,000"</f>
        <v>15,000</v>
      </c>
      <c r="M183" t="str">
        <f t="shared" si="96"/>
        <v xml:space="preserve"> </v>
      </c>
      <c r="N183" t="str">
        <f>"REGITAR"</f>
        <v>REGITAR</v>
      </c>
      <c r="O183" t="str">
        <f t="shared" si="119"/>
        <v>BOBINAS</v>
      </c>
      <c r="P183" t="str">
        <f t="shared" ref="P183:Q202" si="127">"0"</f>
        <v>0</v>
      </c>
      <c r="Q183" t="str">
        <f t="shared" si="127"/>
        <v>0</v>
      </c>
      <c r="R183" t="str">
        <f t="shared" ref="R183:S202" si="128">"0,00"</f>
        <v>0,00</v>
      </c>
      <c r="S183" t="str">
        <f t="shared" si="128"/>
        <v>0,00</v>
      </c>
      <c r="T183" t="str">
        <f t="shared" ref="T183:U202" si="129">" "</f>
        <v xml:space="preserve"> </v>
      </c>
      <c r="U183" t="str">
        <f t="shared" si="129"/>
        <v xml:space="preserve"> </v>
      </c>
      <c r="V183" t="str">
        <f>"15,000"</f>
        <v>15,000</v>
      </c>
      <c r="W183" t="str">
        <f t="shared" si="97"/>
        <v>Lista 4</v>
      </c>
      <c r="X183" t="str">
        <f t="shared" si="98"/>
        <v>Lista 5</v>
      </c>
      <c r="Y183" t="str">
        <f t="shared" si="99"/>
        <v>Oferta Gral.</v>
      </c>
      <c r="Z183" t="str">
        <f t="shared" si="100"/>
        <v>Rubro</v>
      </c>
      <c r="AA183" t="str">
        <f t="shared" si="101"/>
        <v>Cantidad por Bulto</v>
      </c>
      <c r="AB183" t="str">
        <f t="shared" si="102"/>
        <v>INNER</v>
      </c>
      <c r="AC183" t="str">
        <f t="shared" si="103"/>
        <v>Stock en Bultos</v>
      </c>
      <c r="AD183" t="str">
        <f t="shared" si="104"/>
        <v>SubDepósito</v>
      </c>
      <c r="AE183" t="str">
        <f t="shared" si="105"/>
        <v>Marca</v>
      </c>
      <c r="AF183" t="str">
        <f t="shared" si="106"/>
        <v>Super Rubro</v>
      </c>
      <c r="AG183" t="str">
        <f t="shared" si="107"/>
        <v>ComercioExterior</v>
      </c>
      <c r="AH183" t="str">
        <f t="shared" si="108"/>
        <v>PrecioFOB</v>
      </c>
      <c r="AI183" t="str">
        <f t="shared" si="109"/>
        <v>Monto II</v>
      </c>
      <c r="AJ183" t="str">
        <f t="shared" si="110"/>
        <v>Porcentaje II</v>
      </c>
      <c r="AK183" t="str">
        <f t="shared" si="111"/>
        <v>Foto</v>
      </c>
      <c r="AL183" t="str">
        <f>"{\rtf1\ansi\ansicpg1252\deff0\deflang11274{\fonttbl{\f0\fnil\fcharset0 MS Sans Serif}} \viewkind4\uc1\pard\f0\fs16 BOBINA UNIVERSAL 12V ENCENDIDO ELECTRONICO\par } "</f>
        <v xml:space="preserve">{\rtf1\ansi\ansicpg1252\deff0\deflang11274{\fonttbl{\f0\fnil\fcharset0 MS Sans Serif}} \viewkind4\uc1\pard\f0\fs16 BOBINA UNIVERSAL 12V ENCENDIDO ELECTRONICO\par } </v>
      </c>
      <c r="AM183" t="str">
        <f t="shared" si="125"/>
        <v xml:space="preserve"> </v>
      </c>
    </row>
    <row r="184" spans="1:39" x14ac:dyDescent="0.25">
      <c r="A184" t="str">
        <f>"RGU0025"</f>
        <v>RGU0025</v>
      </c>
      <c r="B184" t="str">
        <f>"BOBINA UNIVERSAL 12V PARA GNC"</f>
        <v>BOBINA UNIVERSAL 12V PARA GNC</v>
      </c>
      <c r="C184" t="str">
        <f>"$ 31219,90"</f>
        <v>$ 31219,90</v>
      </c>
      <c r="D184" t="str">
        <f>"$ 31219,90"</f>
        <v>$ 31219,90</v>
      </c>
      <c r="E184" t="str">
        <f>"$ 31219,90"</f>
        <v>$ 31219,90</v>
      </c>
      <c r="F184" t="str">
        <f>"$ 31219,90"</f>
        <v>$ 31219,90</v>
      </c>
      <c r="G184" t="str">
        <f>"$ 31219,90"</f>
        <v>$ 31219,90</v>
      </c>
      <c r="H184" t="str">
        <f t="shared" si="93"/>
        <v>$ 0,00</v>
      </c>
      <c r="I184" t="str">
        <f t="shared" si="124"/>
        <v>BOBINAS DE ENCENDIDO</v>
      </c>
      <c r="J184" t="str">
        <f t="shared" si="94"/>
        <v>1</v>
      </c>
      <c r="K184" t="str">
        <f t="shared" si="120"/>
        <v>0</v>
      </c>
      <c r="L184" t="str">
        <f>"-2,000"</f>
        <v>-2,000</v>
      </c>
      <c r="M184" t="str">
        <f t="shared" si="96"/>
        <v xml:space="preserve"> </v>
      </c>
      <c r="N184" t="str">
        <f>"REGITAR"</f>
        <v>REGITAR</v>
      </c>
      <c r="O184" t="str">
        <f t="shared" si="119"/>
        <v>BOBINAS</v>
      </c>
      <c r="P184" t="str">
        <f t="shared" si="127"/>
        <v>0</v>
      </c>
      <c r="Q184" t="str">
        <f t="shared" si="127"/>
        <v>0</v>
      </c>
      <c r="R184" t="str">
        <f t="shared" si="128"/>
        <v>0,00</v>
      </c>
      <c r="S184" t="str">
        <f t="shared" si="128"/>
        <v>0,00</v>
      </c>
      <c r="T184" t="str">
        <f t="shared" si="129"/>
        <v xml:space="preserve"> </v>
      </c>
      <c r="U184" t="str">
        <f t="shared" si="129"/>
        <v xml:space="preserve"> </v>
      </c>
      <c r="V184" t="str">
        <f>"-2,000"</f>
        <v>-2,000</v>
      </c>
      <c r="W184" t="str">
        <f t="shared" si="97"/>
        <v>Lista 4</v>
      </c>
      <c r="X184" t="str">
        <f t="shared" si="98"/>
        <v>Lista 5</v>
      </c>
      <c r="Y184" t="str">
        <f t="shared" si="99"/>
        <v>Oferta Gral.</v>
      </c>
      <c r="Z184" t="str">
        <f t="shared" si="100"/>
        <v>Rubro</v>
      </c>
      <c r="AA184" t="str">
        <f t="shared" si="101"/>
        <v>Cantidad por Bulto</v>
      </c>
      <c r="AB184" t="str">
        <f t="shared" si="102"/>
        <v>INNER</v>
      </c>
      <c r="AC184" t="str">
        <f t="shared" si="103"/>
        <v>Stock en Bultos</v>
      </c>
      <c r="AD184" t="str">
        <f t="shared" si="104"/>
        <v>SubDepósito</v>
      </c>
      <c r="AE184" t="str">
        <f t="shared" si="105"/>
        <v>Marca</v>
      </c>
      <c r="AF184" t="str">
        <f t="shared" si="106"/>
        <v>Super Rubro</v>
      </c>
      <c r="AG184" t="str">
        <f t="shared" si="107"/>
        <v>ComercioExterior</v>
      </c>
      <c r="AH184" t="str">
        <f t="shared" si="108"/>
        <v>PrecioFOB</v>
      </c>
      <c r="AI184" t="str">
        <f t="shared" si="109"/>
        <v>Monto II</v>
      </c>
      <c r="AJ184" t="str">
        <f t="shared" si="110"/>
        <v>Porcentaje II</v>
      </c>
      <c r="AK184" t="str">
        <f t="shared" si="111"/>
        <v>Foto</v>
      </c>
      <c r="AL184" t="str">
        <f>"{\rtf1\ansi\ansicpg1252\deff0\deflang11274{\fonttbl{\f0\fnil\fcharset0 MS Sans Serif}} \viewkind4\uc1\pard\f0\fs16 BOBINA UNIVERSAL 12V PARA GNC\par } "</f>
        <v xml:space="preserve">{\rtf1\ansi\ansicpg1252\deff0\deflang11274{\fonttbl{\f0\fnil\fcharset0 MS Sans Serif}} \viewkind4\uc1\pard\f0\fs16 BOBINA UNIVERSAL 12V PARA GNC\par } </v>
      </c>
      <c r="AM184" t="str">
        <f t="shared" si="125"/>
        <v xml:space="preserve"> </v>
      </c>
    </row>
    <row r="185" spans="1:39" x14ac:dyDescent="0.25">
      <c r="A185" t="str">
        <f>"BP004"</f>
        <v>BP004</v>
      </c>
      <c r="B185" t="str">
        <f>"BOCHA DE PALANCA DE CAMBIO ALUMINIO "</f>
        <v xml:space="preserve">BOCHA DE PALANCA DE CAMBIO ALUMINIO </v>
      </c>
      <c r="C185" t="str">
        <f>"$ 20471,90"</f>
        <v>$ 20471,90</v>
      </c>
      <c r="D185" t="str">
        <f>"$ 20471,90"</f>
        <v>$ 20471,90</v>
      </c>
      <c r="E185" t="str">
        <f>"$ 20471,90"</f>
        <v>$ 20471,90</v>
      </c>
      <c r="F185" t="str">
        <f>"$ 20471,90"</f>
        <v>$ 20471,90</v>
      </c>
      <c r="G185" t="str">
        <f>"$ 20471,90"</f>
        <v>$ 20471,90</v>
      </c>
      <c r="H185" t="str">
        <f t="shared" si="93"/>
        <v>$ 0,00</v>
      </c>
      <c r="I185" t="str">
        <f>"BOCHA PALANCA DE CAMBIOS"</f>
        <v>BOCHA PALANCA DE CAMBIOS</v>
      </c>
      <c r="J185" t="str">
        <f t="shared" si="94"/>
        <v>1</v>
      </c>
      <c r="K185" t="str">
        <f t="shared" si="120"/>
        <v>0</v>
      </c>
      <c r="L185" t="str">
        <f>"7,000"</f>
        <v>7,000</v>
      </c>
      <c r="M185" t="str">
        <f t="shared" si="96"/>
        <v xml:space="preserve"> </v>
      </c>
      <c r="N185" t="str">
        <f>"OREGON"</f>
        <v>OREGON</v>
      </c>
      <c r="O185" t="str">
        <f>"BOCHAS PALANCA DE CAMBIOS"</f>
        <v>BOCHAS PALANCA DE CAMBIOS</v>
      </c>
      <c r="P185" t="str">
        <f t="shared" si="127"/>
        <v>0</v>
      </c>
      <c r="Q185" t="str">
        <f t="shared" si="127"/>
        <v>0</v>
      </c>
      <c r="R185" t="str">
        <f t="shared" si="128"/>
        <v>0,00</v>
      </c>
      <c r="S185" t="str">
        <f t="shared" si="128"/>
        <v>0,00</v>
      </c>
      <c r="T185" t="str">
        <f t="shared" si="129"/>
        <v xml:space="preserve"> </v>
      </c>
      <c r="U185" t="str">
        <f t="shared" si="129"/>
        <v xml:space="preserve"> </v>
      </c>
      <c r="V185" t="str">
        <f>"7,000"</f>
        <v>7,000</v>
      </c>
      <c r="W185" t="str">
        <f t="shared" si="97"/>
        <v>Lista 4</v>
      </c>
      <c r="X185" t="str">
        <f t="shared" si="98"/>
        <v>Lista 5</v>
      </c>
      <c r="Y185" t="str">
        <f t="shared" si="99"/>
        <v>Oferta Gral.</v>
      </c>
      <c r="Z185" t="str">
        <f t="shared" si="100"/>
        <v>Rubro</v>
      </c>
      <c r="AA185" t="str">
        <f t="shared" si="101"/>
        <v>Cantidad por Bulto</v>
      </c>
      <c r="AB185" t="str">
        <f t="shared" si="102"/>
        <v>INNER</v>
      </c>
      <c r="AC185" t="str">
        <f t="shared" si="103"/>
        <v>Stock en Bultos</v>
      </c>
      <c r="AD185" t="str">
        <f t="shared" si="104"/>
        <v>SubDepósito</v>
      </c>
      <c r="AE185" t="str">
        <f t="shared" si="105"/>
        <v>Marca</v>
      </c>
      <c r="AF185" t="str">
        <f t="shared" si="106"/>
        <v>Super Rubro</v>
      </c>
      <c r="AG185" t="str">
        <f t="shared" si="107"/>
        <v>ComercioExterior</v>
      </c>
      <c r="AH185" t="str">
        <f t="shared" si="108"/>
        <v>PrecioFOB</v>
      </c>
      <c r="AI185" t="str">
        <f t="shared" si="109"/>
        <v>Monto II</v>
      </c>
      <c r="AJ185" t="str">
        <f t="shared" si="110"/>
        <v>Porcentaje II</v>
      </c>
      <c r="AK185" t="str">
        <f t="shared" si="111"/>
        <v>Foto</v>
      </c>
      <c r="AL185" t="str">
        <f>"{\rtf1\ansi\ansicpg1252\deff0\deflang11274{\fonttbl{\f0\fnil\fcharset0 MS Sans Serif}} \viewkind4\uc1\pard\f0\fs16 BOBINA ENC. PEUGEOT 406, 407, 607, 807 / CITROEN C5 V6 / RENAULT LAGUNA V6\par } "</f>
        <v xml:space="preserve">{\rtf1\ansi\ansicpg1252\deff0\deflang11274{\fonttbl{\f0\fnil\fcharset0 MS Sans Serif}} \viewkind4\uc1\pard\f0\fs16 BOBINA ENC. PEUGEOT 406, 407, 607, 807 / CITROEN C5 V6 / RENAULT LAGUNA V6\par } </v>
      </c>
      <c r="AM185" t="str">
        <f>"-"</f>
        <v>-</v>
      </c>
    </row>
    <row r="186" spans="1:39" x14ac:dyDescent="0.25">
      <c r="A186" t="str">
        <f>"FI64021"</f>
        <v>FI64021</v>
      </c>
      <c r="B186" t="str">
        <f>"BOMBA COMB. CHEVROLET S10 CON KIT REF ORIG 2536992"</f>
        <v>BOMBA COMB. CHEVROLET S10 CON KIT REF ORIG 2536992</v>
      </c>
      <c r="C186" t="str">
        <f>"$ 44943,01"</f>
        <v>$ 44943,01</v>
      </c>
      <c r="D186" t="str">
        <f>"$ 44943,01"</f>
        <v>$ 44943,01</v>
      </c>
      <c r="E186" t="str">
        <f>"$ 44943,01"</f>
        <v>$ 44943,01</v>
      </c>
      <c r="F186" t="str">
        <f>"$ 44943,01"</f>
        <v>$ 44943,01</v>
      </c>
      <c r="G186" t="str">
        <f>"$ 44943,01"</f>
        <v>$ 44943,01</v>
      </c>
      <c r="H186" t="str">
        <f t="shared" si="93"/>
        <v>$ 0,00</v>
      </c>
      <c r="I186" t="str">
        <f t="shared" ref="I186:I193" si="130">"BOMBA COMBUSTIBLE ELECTRICA"</f>
        <v>BOMBA COMBUSTIBLE ELECTRICA</v>
      </c>
      <c r="J186" t="str">
        <f t="shared" si="94"/>
        <v>1</v>
      </c>
      <c r="K186" t="str">
        <f t="shared" si="120"/>
        <v>0</v>
      </c>
      <c r="L186" t="str">
        <f>"5,000"</f>
        <v>5,000</v>
      </c>
      <c r="M186" t="str">
        <f t="shared" si="96"/>
        <v xml:space="preserve"> </v>
      </c>
      <c r="N186" t="str">
        <f t="shared" ref="N186:N193" si="131">"FISPA"</f>
        <v>FISPA</v>
      </c>
      <c r="O186" t="str">
        <f t="shared" ref="O186:O193" si="132">"BOMBAS"</f>
        <v>BOMBAS</v>
      </c>
      <c r="P186" t="str">
        <f t="shared" si="127"/>
        <v>0</v>
      </c>
      <c r="Q186" t="str">
        <f t="shared" si="127"/>
        <v>0</v>
      </c>
      <c r="R186" t="str">
        <f t="shared" si="128"/>
        <v>0,00</v>
      </c>
      <c r="S186" t="str">
        <f t="shared" si="128"/>
        <v>0,00</v>
      </c>
      <c r="T186" t="str">
        <f t="shared" si="129"/>
        <v xml:space="preserve"> </v>
      </c>
      <c r="U186" t="str">
        <f t="shared" si="129"/>
        <v xml:space="preserve"> </v>
      </c>
      <c r="V186" t="str">
        <f>"5,000"</f>
        <v>5,000</v>
      </c>
      <c r="W186" t="str">
        <f t="shared" si="97"/>
        <v>Lista 4</v>
      </c>
      <c r="X186" t="str">
        <f t="shared" si="98"/>
        <v>Lista 5</v>
      </c>
      <c r="Y186" t="str">
        <f t="shared" si="99"/>
        <v>Oferta Gral.</v>
      </c>
      <c r="Z186" t="str">
        <f t="shared" si="100"/>
        <v>Rubro</v>
      </c>
      <c r="AA186" t="str">
        <f t="shared" si="101"/>
        <v>Cantidad por Bulto</v>
      </c>
      <c r="AB186" t="str">
        <f t="shared" si="102"/>
        <v>INNER</v>
      </c>
      <c r="AC186" t="str">
        <f t="shared" si="103"/>
        <v>Stock en Bultos</v>
      </c>
      <c r="AD186" t="str">
        <f t="shared" si="104"/>
        <v>SubDepósito</v>
      </c>
      <c r="AE186" t="str">
        <f t="shared" si="105"/>
        <v>Marca</v>
      </c>
      <c r="AF186" t="str">
        <f t="shared" si="106"/>
        <v>Super Rubro</v>
      </c>
      <c r="AG186" t="str">
        <f t="shared" si="107"/>
        <v>ComercioExterior</v>
      </c>
      <c r="AH186" t="str">
        <f t="shared" si="108"/>
        <v>PrecioFOB</v>
      </c>
      <c r="AI186" t="str">
        <f t="shared" si="109"/>
        <v>Monto II</v>
      </c>
      <c r="AJ186" t="str">
        <f t="shared" si="110"/>
        <v>Porcentaje II</v>
      </c>
      <c r="AK186" t="str">
        <f t="shared" si="111"/>
        <v>Foto</v>
      </c>
      <c r="AL186" t="str">
        <f>" "</f>
        <v xml:space="preserve"> </v>
      </c>
      <c r="AM186" t="str">
        <f>"-"</f>
        <v>-</v>
      </c>
    </row>
    <row r="187" spans="1:39" x14ac:dyDescent="0.25">
      <c r="A187" t="str">
        <f>"FI64034"</f>
        <v>FI64034</v>
      </c>
      <c r="B187" t="str">
        <f>"BOMBA COMB. RANGER 2,3 16V 4,5 BAR"</f>
        <v>BOMBA COMB. RANGER 2,3 16V 4,5 BAR</v>
      </c>
      <c r="C187" t="str">
        <f>"$ 43950,68"</f>
        <v>$ 43950,68</v>
      </c>
      <c r="D187" t="str">
        <f>"$ 43950,68"</f>
        <v>$ 43950,68</v>
      </c>
      <c r="E187" t="str">
        <f>"$ 43950,68"</f>
        <v>$ 43950,68</v>
      </c>
      <c r="F187" t="str">
        <f>"$ 43950,68"</f>
        <v>$ 43950,68</v>
      </c>
      <c r="G187" t="str">
        <f>"$ 43950,68"</f>
        <v>$ 43950,68</v>
      </c>
      <c r="H187" t="str">
        <f t="shared" si="93"/>
        <v>$ 0,00</v>
      </c>
      <c r="I187" t="str">
        <f t="shared" si="130"/>
        <v>BOMBA COMBUSTIBLE ELECTRICA</v>
      </c>
      <c r="J187" t="str">
        <f t="shared" si="94"/>
        <v>1</v>
      </c>
      <c r="K187" t="str">
        <f t="shared" si="120"/>
        <v>0</v>
      </c>
      <c r="L187" t="str">
        <f>"4,000"</f>
        <v>4,000</v>
      </c>
      <c r="M187" t="str">
        <f t="shared" si="96"/>
        <v xml:space="preserve"> </v>
      </c>
      <c r="N187" t="str">
        <f t="shared" si="131"/>
        <v>FISPA</v>
      </c>
      <c r="O187" t="str">
        <f t="shared" si="132"/>
        <v>BOMBAS</v>
      </c>
      <c r="P187" t="str">
        <f t="shared" si="127"/>
        <v>0</v>
      </c>
      <c r="Q187" t="str">
        <f t="shared" si="127"/>
        <v>0</v>
      </c>
      <c r="R187" t="str">
        <f t="shared" si="128"/>
        <v>0,00</v>
      </c>
      <c r="S187" t="str">
        <f t="shared" si="128"/>
        <v>0,00</v>
      </c>
      <c r="T187" t="str">
        <f t="shared" si="129"/>
        <v xml:space="preserve"> </v>
      </c>
      <c r="U187" t="str">
        <f t="shared" si="129"/>
        <v xml:space="preserve"> </v>
      </c>
      <c r="V187" t="str">
        <f>"4,000"</f>
        <v>4,000</v>
      </c>
      <c r="W187" t="str">
        <f t="shared" si="97"/>
        <v>Lista 4</v>
      </c>
      <c r="X187" t="str">
        <f t="shared" si="98"/>
        <v>Lista 5</v>
      </c>
      <c r="Y187" t="str">
        <f t="shared" si="99"/>
        <v>Oferta Gral.</v>
      </c>
      <c r="Z187" t="str">
        <f t="shared" si="100"/>
        <v>Rubro</v>
      </c>
      <c r="AA187" t="str">
        <f t="shared" si="101"/>
        <v>Cantidad por Bulto</v>
      </c>
      <c r="AB187" t="str">
        <f t="shared" si="102"/>
        <v>INNER</v>
      </c>
      <c r="AC187" t="str">
        <f t="shared" si="103"/>
        <v>Stock en Bultos</v>
      </c>
      <c r="AD187" t="str">
        <f t="shared" si="104"/>
        <v>SubDepósito</v>
      </c>
      <c r="AE187" t="str">
        <f t="shared" si="105"/>
        <v>Marca</v>
      </c>
      <c r="AF187" t="str">
        <f t="shared" si="106"/>
        <v>Super Rubro</v>
      </c>
      <c r="AG187" t="str">
        <f t="shared" si="107"/>
        <v>ComercioExterior</v>
      </c>
      <c r="AH187" t="str">
        <f t="shared" si="108"/>
        <v>PrecioFOB</v>
      </c>
      <c r="AI187" t="str">
        <f t="shared" si="109"/>
        <v>Monto II</v>
      </c>
      <c r="AJ187" t="str">
        <f t="shared" si="110"/>
        <v>Porcentaje II</v>
      </c>
      <c r="AK187" t="str">
        <f t="shared" si="111"/>
        <v>Foto</v>
      </c>
      <c r="AL187" t="str">
        <f>" "</f>
        <v xml:space="preserve"> </v>
      </c>
      <c r="AM187" t="str">
        <f>"-"</f>
        <v>-</v>
      </c>
    </row>
    <row r="188" spans="1:39" x14ac:dyDescent="0.25">
      <c r="A188" t="str">
        <f>"FI20910M"</f>
        <v>FI20910M</v>
      </c>
      <c r="B188" t="str">
        <f>"BOMBA COMBUSTIBLE 6 BARES APTA METHANOL"</f>
        <v>BOMBA COMBUSTIBLE 6 BARES APTA METHANOL</v>
      </c>
      <c r="C188" t="str">
        <f>"$ 146126,72"</f>
        <v>$ 146126,72</v>
      </c>
      <c r="D188" t="str">
        <f>"$ 146126,72"</f>
        <v>$ 146126,72</v>
      </c>
      <c r="E188" t="str">
        <f>"$ 146126,72"</f>
        <v>$ 146126,72</v>
      </c>
      <c r="F188" t="str">
        <f>"$ 146126,72"</f>
        <v>$ 146126,72</v>
      </c>
      <c r="G188" t="str">
        <f>"$ 146126,72"</f>
        <v>$ 146126,72</v>
      </c>
      <c r="H188" t="str">
        <f t="shared" si="93"/>
        <v>$ 0,00</v>
      </c>
      <c r="I188" t="str">
        <f t="shared" si="130"/>
        <v>BOMBA COMBUSTIBLE ELECTRICA</v>
      </c>
      <c r="J188" t="str">
        <f t="shared" si="94"/>
        <v>1</v>
      </c>
      <c r="K188" t="str">
        <f t="shared" si="120"/>
        <v>0</v>
      </c>
      <c r="L188" t="str">
        <f>"2,000"</f>
        <v>2,000</v>
      </c>
      <c r="M188" t="str">
        <f t="shared" si="96"/>
        <v xml:space="preserve"> </v>
      </c>
      <c r="N188" t="str">
        <f t="shared" si="131"/>
        <v>FISPA</v>
      </c>
      <c r="O188" t="str">
        <f t="shared" si="132"/>
        <v>BOMBAS</v>
      </c>
      <c r="P188" t="str">
        <f t="shared" si="127"/>
        <v>0</v>
      </c>
      <c r="Q188" t="str">
        <f t="shared" si="127"/>
        <v>0</v>
      </c>
      <c r="R188" t="str">
        <f t="shared" si="128"/>
        <v>0,00</v>
      </c>
      <c r="S188" t="str">
        <f t="shared" si="128"/>
        <v>0,00</v>
      </c>
      <c r="T188" t="str">
        <f t="shared" si="129"/>
        <v xml:space="preserve"> </v>
      </c>
      <c r="U188" t="str">
        <f t="shared" si="129"/>
        <v xml:space="preserve"> </v>
      </c>
      <c r="V188" t="str">
        <f>"2,000"</f>
        <v>2,000</v>
      </c>
      <c r="W188" t="str">
        <f t="shared" si="97"/>
        <v>Lista 4</v>
      </c>
      <c r="X188" t="str">
        <f t="shared" si="98"/>
        <v>Lista 5</v>
      </c>
      <c r="Y188" t="str">
        <f t="shared" si="99"/>
        <v>Oferta Gral.</v>
      </c>
      <c r="Z188" t="str">
        <f t="shared" si="100"/>
        <v>Rubro</v>
      </c>
      <c r="AA188" t="str">
        <f t="shared" si="101"/>
        <v>Cantidad por Bulto</v>
      </c>
      <c r="AB188" t="str">
        <f t="shared" si="102"/>
        <v>INNER</v>
      </c>
      <c r="AC188" t="str">
        <f t="shared" si="103"/>
        <v>Stock en Bultos</v>
      </c>
      <c r="AD188" t="str">
        <f t="shared" si="104"/>
        <v>SubDepósito</v>
      </c>
      <c r="AE188" t="str">
        <f t="shared" si="105"/>
        <v>Marca</v>
      </c>
      <c r="AF188" t="str">
        <f t="shared" si="106"/>
        <v>Super Rubro</v>
      </c>
      <c r="AG188" t="str">
        <f t="shared" si="107"/>
        <v>ComercioExterior</v>
      </c>
      <c r="AH188" t="str">
        <f t="shared" si="108"/>
        <v>PrecioFOB</v>
      </c>
      <c r="AI188" t="str">
        <f t="shared" si="109"/>
        <v>Monto II</v>
      </c>
      <c r="AJ188" t="str">
        <f t="shared" si="110"/>
        <v>Porcentaje II</v>
      </c>
      <c r="AK188" t="str">
        <f t="shared" si="111"/>
        <v>Foto</v>
      </c>
      <c r="AL18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8" t="str">
        <f>" "</f>
        <v xml:space="preserve"> </v>
      </c>
    </row>
    <row r="189" spans="1:39" x14ac:dyDescent="0.25">
      <c r="A189" t="str">
        <f>"FI64048"</f>
        <v>FI64048</v>
      </c>
      <c r="B189" t="str">
        <f>"BOMBA COMBUSTIBLE CHEVROLET S10 BLAZER 0.8 BAR MOTOR 4.3 AC DELCO 6443109 / 1272-1"</f>
        <v>BOMBA COMBUSTIBLE CHEVROLET S10 BLAZER 0.8 BAR MOTOR 4.3 AC DELCO 6443109 / 1272-1</v>
      </c>
      <c r="C189" t="str">
        <f>"$ 60451,71"</f>
        <v>$ 60451,71</v>
      </c>
      <c r="D189" t="str">
        <f>"$ 60451,71"</f>
        <v>$ 60451,71</v>
      </c>
      <c r="E189" t="str">
        <f>"$ 60451,71"</f>
        <v>$ 60451,71</v>
      </c>
      <c r="F189" t="str">
        <f>"$ 60451,71"</f>
        <v>$ 60451,71</v>
      </c>
      <c r="G189" t="str">
        <f>"$ 60451,71"</f>
        <v>$ 60451,71</v>
      </c>
      <c r="H189" t="str">
        <f t="shared" si="93"/>
        <v>$ 0,00</v>
      </c>
      <c r="I189" t="str">
        <f t="shared" si="130"/>
        <v>BOMBA COMBUSTIBLE ELECTRICA</v>
      </c>
      <c r="J189" t="str">
        <f t="shared" si="94"/>
        <v>1</v>
      </c>
      <c r="K189" t="str">
        <f>"1"</f>
        <v>1</v>
      </c>
      <c r="L189" t="str">
        <f>"0,000"</f>
        <v>0,000</v>
      </c>
      <c r="M189" t="str">
        <f t="shared" si="96"/>
        <v xml:space="preserve"> </v>
      </c>
      <c r="N189" t="str">
        <f t="shared" si="131"/>
        <v>FISPA</v>
      </c>
      <c r="O189" t="str">
        <f t="shared" si="132"/>
        <v>BOMBAS</v>
      </c>
      <c r="P189" t="str">
        <f t="shared" si="127"/>
        <v>0</v>
      </c>
      <c r="Q189" t="str">
        <f t="shared" si="127"/>
        <v>0</v>
      </c>
      <c r="R189" t="str">
        <f t="shared" si="128"/>
        <v>0,00</v>
      </c>
      <c r="S189" t="str">
        <f t="shared" si="128"/>
        <v>0,00</v>
      </c>
      <c r="T189" t="str">
        <f t="shared" si="129"/>
        <v xml:space="preserve"> </v>
      </c>
      <c r="U189" t="str">
        <f t="shared" si="129"/>
        <v xml:space="preserve"> </v>
      </c>
      <c r="V189" t="str">
        <f>"0,000"</f>
        <v>0,000</v>
      </c>
      <c r="W189" t="str">
        <f t="shared" si="97"/>
        <v>Lista 4</v>
      </c>
      <c r="X189" t="str">
        <f t="shared" si="98"/>
        <v>Lista 5</v>
      </c>
      <c r="Y189" t="str">
        <f t="shared" si="99"/>
        <v>Oferta Gral.</v>
      </c>
      <c r="Z189" t="str">
        <f t="shared" si="100"/>
        <v>Rubro</v>
      </c>
      <c r="AA189" t="str">
        <f t="shared" si="101"/>
        <v>Cantidad por Bulto</v>
      </c>
      <c r="AB189" t="str">
        <f t="shared" si="102"/>
        <v>INNER</v>
      </c>
      <c r="AC189" t="str">
        <f t="shared" si="103"/>
        <v>Stock en Bultos</v>
      </c>
      <c r="AD189" t="str">
        <f t="shared" si="104"/>
        <v>SubDepósito</v>
      </c>
      <c r="AE189" t="str">
        <f t="shared" si="105"/>
        <v>Marca</v>
      </c>
      <c r="AF189" t="str">
        <f t="shared" si="106"/>
        <v>Super Rubro</v>
      </c>
      <c r="AG189" t="str">
        <f t="shared" si="107"/>
        <v>ComercioExterior</v>
      </c>
      <c r="AH189" t="str">
        <f t="shared" si="108"/>
        <v>PrecioFOB</v>
      </c>
      <c r="AI189" t="str">
        <f t="shared" si="109"/>
        <v>Monto II</v>
      </c>
      <c r="AJ189" t="str">
        <f t="shared" si="110"/>
        <v>Porcentaje II</v>
      </c>
      <c r="AK189" t="str">
        <f t="shared" si="111"/>
        <v>Foto</v>
      </c>
      <c r="AL18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9" t="str">
        <f>" "</f>
        <v xml:space="preserve"> </v>
      </c>
    </row>
    <row r="190" spans="1:39" x14ac:dyDescent="0.25">
      <c r="A190" t="str">
        <f>"FI20027"</f>
        <v>FI20027</v>
      </c>
      <c r="B190" t="str">
        <f>"BOMBA COMBUSTIBLE CORSA/ASTRA//VECTRA 3.8 BAR"</f>
        <v>BOMBA COMBUSTIBLE CORSA/ASTRA//VECTRA 3.8 BAR</v>
      </c>
      <c r="C190" t="str">
        <f>"$ 76880,73"</f>
        <v>$ 76880,73</v>
      </c>
      <c r="D190" t="str">
        <f>"$ 76880,73"</f>
        <v>$ 76880,73</v>
      </c>
      <c r="E190" t="str">
        <f>"$ 76880,73"</f>
        <v>$ 76880,73</v>
      </c>
      <c r="F190" t="str">
        <f>"$ 76880,73"</f>
        <v>$ 76880,73</v>
      </c>
      <c r="G190" t="str">
        <f>"$ 76880,73"</f>
        <v>$ 76880,73</v>
      </c>
      <c r="H190" t="str">
        <f t="shared" si="93"/>
        <v>$ 0,00</v>
      </c>
      <c r="I190" t="str">
        <f t="shared" si="130"/>
        <v>BOMBA COMBUSTIBLE ELECTRICA</v>
      </c>
      <c r="J190" t="str">
        <f t="shared" si="94"/>
        <v>1</v>
      </c>
      <c r="K190" t="str">
        <f t="shared" ref="K190:K213" si="133">"0"</f>
        <v>0</v>
      </c>
      <c r="L190" t="str">
        <f>"1,000"</f>
        <v>1,000</v>
      </c>
      <c r="M190" t="str">
        <f t="shared" si="96"/>
        <v xml:space="preserve"> </v>
      </c>
      <c r="N190" t="str">
        <f t="shared" si="131"/>
        <v>FISPA</v>
      </c>
      <c r="O190" t="str">
        <f t="shared" si="132"/>
        <v>BOMBAS</v>
      </c>
      <c r="P190" t="str">
        <f t="shared" si="127"/>
        <v>0</v>
      </c>
      <c r="Q190" t="str">
        <f t="shared" si="127"/>
        <v>0</v>
      </c>
      <c r="R190" t="str">
        <f t="shared" si="128"/>
        <v>0,00</v>
      </c>
      <c r="S190" t="str">
        <f t="shared" si="128"/>
        <v>0,00</v>
      </c>
      <c r="T190" t="str">
        <f t="shared" si="129"/>
        <v xml:space="preserve"> </v>
      </c>
      <c r="U190" t="str">
        <f t="shared" si="129"/>
        <v xml:space="preserve"> </v>
      </c>
      <c r="V190" t="str">
        <f>"1,000"</f>
        <v>1,000</v>
      </c>
      <c r="W190" t="str">
        <f t="shared" si="97"/>
        <v>Lista 4</v>
      </c>
      <c r="X190" t="str">
        <f t="shared" si="98"/>
        <v>Lista 5</v>
      </c>
      <c r="Y190" t="str">
        <f t="shared" si="99"/>
        <v>Oferta Gral.</v>
      </c>
      <c r="Z190" t="str">
        <f t="shared" si="100"/>
        <v>Rubro</v>
      </c>
      <c r="AA190" t="str">
        <f t="shared" si="101"/>
        <v>Cantidad por Bulto</v>
      </c>
      <c r="AB190" t="str">
        <f t="shared" si="102"/>
        <v>INNER</v>
      </c>
      <c r="AC190" t="str">
        <f t="shared" si="103"/>
        <v>Stock en Bultos</v>
      </c>
      <c r="AD190" t="str">
        <f t="shared" si="104"/>
        <v>SubDepósito</v>
      </c>
      <c r="AE190" t="str">
        <f t="shared" si="105"/>
        <v>Marca</v>
      </c>
      <c r="AF190" t="str">
        <f t="shared" si="106"/>
        <v>Super Rubro</v>
      </c>
      <c r="AG190" t="str">
        <f t="shared" si="107"/>
        <v>ComercioExterior</v>
      </c>
      <c r="AH190" t="str">
        <f t="shared" si="108"/>
        <v>PrecioFOB</v>
      </c>
      <c r="AI190" t="str">
        <f t="shared" si="109"/>
        <v>Monto II</v>
      </c>
      <c r="AJ190" t="str">
        <f t="shared" si="110"/>
        <v>Porcentaje II</v>
      </c>
      <c r="AK190" t="str">
        <f t="shared" si="111"/>
        <v>Foto</v>
      </c>
      <c r="AL19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" t="str">
        <f>"-"</f>
        <v>-</v>
      </c>
    </row>
    <row r="191" spans="1:39" x14ac:dyDescent="0.25">
      <c r="A191" t="str">
        <f>"FI20070"</f>
        <v>FI20070</v>
      </c>
      <c r="B191" t="str">
        <f>"BOMBA COMBUSTIBLE EXTERNA P405/R21/VECTRA 3 BAR"</f>
        <v>BOMBA COMBUSTIBLE EXTERNA P405/R21/VECTRA 3 BAR</v>
      </c>
      <c r="C191" t="str">
        <f>"$ 75959,19"</f>
        <v>$ 75959,19</v>
      </c>
      <c r="D191" t="str">
        <f>"$ 75959,19"</f>
        <v>$ 75959,19</v>
      </c>
      <c r="E191" t="str">
        <f>"$ 75959,19"</f>
        <v>$ 75959,19</v>
      </c>
      <c r="F191" t="str">
        <f>"$ 75959,19"</f>
        <v>$ 75959,19</v>
      </c>
      <c r="G191" t="str">
        <f>"$ 75959,19"</f>
        <v>$ 75959,19</v>
      </c>
      <c r="H191" t="str">
        <f t="shared" si="93"/>
        <v>$ 0,00</v>
      </c>
      <c r="I191" t="str">
        <f t="shared" si="130"/>
        <v>BOMBA COMBUSTIBLE ELECTRICA</v>
      </c>
      <c r="J191" t="str">
        <f t="shared" si="94"/>
        <v>1</v>
      </c>
      <c r="K191" t="str">
        <f t="shared" si="133"/>
        <v>0</v>
      </c>
      <c r="L191" t="str">
        <f>"3,000"</f>
        <v>3,000</v>
      </c>
      <c r="M191" t="str">
        <f t="shared" si="96"/>
        <v xml:space="preserve"> </v>
      </c>
      <c r="N191" t="str">
        <f t="shared" si="131"/>
        <v>FISPA</v>
      </c>
      <c r="O191" t="str">
        <f t="shared" si="132"/>
        <v>BOMBAS</v>
      </c>
      <c r="P191" t="str">
        <f t="shared" si="127"/>
        <v>0</v>
      </c>
      <c r="Q191" t="str">
        <f t="shared" si="127"/>
        <v>0</v>
      </c>
      <c r="R191" t="str">
        <f t="shared" si="128"/>
        <v>0,00</v>
      </c>
      <c r="S191" t="str">
        <f t="shared" si="128"/>
        <v>0,00</v>
      </c>
      <c r="T191" t="str">
        <f t="shared" si="129"/>
        <v xml:space="preserve"> </v>
      </c>
      <c r="U191" t="str">
        <f t="shared" si="129"/>
        <v xml:space="preserve"> </v>
      </c>
      <c r="V191" t="str">
        <f>"3,000"</f>
        <v>3,000</v>
      </c>
      <c r="W191" t="str">
        <f t="shared" si="97"/>
        <v>Lista 4</v>
      </c>
      <c r="X191" t="str">
        <f t="shared" si="98"/>
        <v>Lista 5</v>
      </c>
      <c r="Y191" t="str">
        <f t="shared" si="99"/>
        <v>Oferta Gral.</v>
      </c>
      <c r="Z191" t="str">
        <f t="shared" si="100"/>
        <v>Rubro</v>
      </c>
      <c r="AA191" t="str">
        <f t="shared" si="101"/>
        <v>Cantidad por Bulto</v>
      </c>
      <c r="AB191" t="str">
        <f t="shared" si="102"/>
        <v>INNER</v>
      </c>
      <c r="AC191" t="str">
        <f t="shared" si="103"/>
        <v>Stock en Bultos</v>
      </c>
      <c r="AD191" t="str">
        <f t="shared" si="104"/>
        <v>SubDepósito</v>
      </c>
      <c r="AE191" t="str">
        <f t="shared" si="105"/>
        <v>Marca</v>
      </c>
      <c r="AF191" t="str">
        <f t="shared" si="106"/>
        <v>Super Rubro</v>
      </c>
      <c r="AG191" t="str">
        <f t="shared" si="107"/>
        <v>ComercioExterior</v>
      </c>
      <c r="AH191" t="str">
        <f t="shared" si="108"/>
        <v>PrecioFOB</v>
      </c>
      <c r="AI191" t="str">
        <f t="shared" si="109"/>
        <v>Monto II</v>
      </c>
      <c r="AJ191" t="str">
        <f t="shared" si="110"/>
        <v>Porcentaje II</v>
      </c>
      <c r="AK191" t="str">
        <f t="shared" si="111"/>
        <v>Foto</v>
      </c>
      <c r="AL191" t="str">
        <f>"{\rtf1\ansi\ansicpg1252\deff0\deflang11274{\fonttbl{\f0\fnil\fcharset0 MS Sans Serif}} \viewkind4\uc1\pard\f0\fs16 BOMBA COMBUSTIBLE EXTERNA P405/R21/VECTRA 3 BAR\par } "</f>
        <v xml:space="preserve">{\rtf1\ansi\ansicpg1252\deff0\deflang11274{\fonttbl{\f0\fnil\fcharset0 MS Sans Serif}} \viewkind4\uc1\pard\f0\fs16 BOMBA COMBUSTIBLE EXTERNA P405/R21/VECTRA 3 BAR\par } </v>
      </c>
      <c r="AM191" t="str">
        <f>"-"</f>
        <v>-</v>
      </c>
    </row>
    <row r="192" spans="1:39" x14ac:dyDescent="0.25">
      <c r="A192" t="str">
        <f>"FI64047"</f>
        <v>FI64047</v>
      </c>
      <c r="B192" t="str">
        <f>"BOMBA COMBUSTIBLE FIAT 500 RENAULT CLIO/KANGOO/MEGANE 3 BAR 150 L/H"</f>
        <v>BOMBA COMBUSTIBLE FIAT 500 RENAULT CLIO/KANGOO/MEGANE 3 BAR 150 L/H</v>
      </c>
      <c r="C192" t="str">
        <f>"$ 34525,35"</f>
        <v>$ 34525,35</v>
      </c>
      <c r="D192" t="str">
        <f>"$ 34525,35"</f>
        <v>$ 34525,35</v>
      </c>
      <c r="E192" t="str">
        <f>"$ 34525,35"</f>
        <v>$ 34525,35</v>
      </c>
      <c r="F192" t="str">
        <f>"$ 34525,35"</f>
        <v>$ 34525,35</v>
      </c>
      <c r="G192" t="str">
        <f>"$ 34525,35"</f>
        <v>$ 34525,35</v>
      </c>
      <c r="H192" t="str">
        <f t="shared" si="93"/>
        <v>$ 0,00</v>
      </c>
      <c r="I192" t="str">
        <f t="shared" si="130"/>
        <v>BOMBA COMBUSTIBLE ELECTRICA</v>
      </c>
      <c r="J192" t="str">
        <f t="shared" si="94"/>
        <v>1</v>
      </c>
      <c r="K192" t="str">
        <f t="shared" si="133"/>
        <v>0</v>
      </c>
      <c r="L192" t="str">
        <f>"10,000"</f>
        <v>10,000</v>
      </c>
      <c r="M192" t="str">
        <f t="shared" si="96"/>
        <v xml:space="preserve"> </v>
      </c>
      <c r="N192" t="str">
        <f t="shared" si="131"/>
        <v>FISPA</v>
      </c>
      <c r="O192" t="str">
        <f t="shared" si="132"/>
        <v>BOMBAS</v>
      </c>
      <c r="P192" t="str">
        <f t="shared" si="127"/>
        <v>0</v>
      </c>
      <c r="Q192" t="str">
        <f t="shared" si="127"/>
        <v>0</v>
      </c>
      <c r="R192" t="str">
        <f t="shared" si="128"/>
        <v>0,00</v>
      </c>
      <c r="S192" t="str">
        <f t="shared" si="128"/>
        <v>0,00</v>
      </c>
      <c r="T192" t="str">
        <f t="shared" si="129"/>
        <v xml:space="preserve"> </v>
      </c>
      <c r="U192" t="str">
        <f t="shared" si="129"/>
        <v xml:space="preserve"> </v>
      </c>
      <c r="V192" t="str">
        <f>"10,000"</f>
        <v>10,000</v>
      </c>
      <c r="W192" t="str">
        <f t="shared" si="97"/>
        <v>Lista 4</v>
      </c>
      <c r="X192" t="str">
        <f t="shared" si="98"/>
        <v>Lista 5</v>
      </c>
      <c r="Y192" t="str">
        <f t="shared" si="99"/>
        <v>Oferta Gral.</v>
      </c>
      <c r="Z192" t="str">
        <f t="shared" si="100"/>
        <v>Rubro</v>
      </c>
      <c r="AA192" t="str">
        <f t="shared" si="101"/>
        <v>Cantidad por Bulto</v>
      </c>
      <c r="AB192" t="str">
        <f t="shared" si="102"/>
        <v>INNER</v>
      </c>
      <c r="AC192" t="str">
        <f t="shared" si="103"/>
        <v>Stock en Bultos</v>
      </c>
      <c r="AD192" t="str">
        <f t="shared" si="104"/>
        <v>SubDepósito</v>
      </c>
      <c r="AE192" t="str">
        <f t="shared" si="105"/>
        <v>Marca</v>
      </c>
      <c r="AF192" t="str">
        <f t="shared" si="106"/>
        <v>Super Rubro</v>
      </c>
      <c r="AG192" t="str">
        <f t="shared" si="107"/>
        <v>ComercioExterior</v>
      </c>
      <c r="AH192" t="str">
        <f t="shared" si="108"/>
        <v>PrecioFOB</v>
      </c>
      <c r="AI192" t="str">
        <f t="shared" si="109"/>
        <v>Monto II</v>
      </c>
      <c r="AJ192" t="str">
        <f t="shared" si="110"/>
        <v>Porcentaje II</v>
      </c>
      <c r="AK192" t="str">
        <f t="shared" si="111"/>
        <v>Foto</v>
      </c>
      <c r="AL19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2" t="str">
        <f>"-"</f>
        <v>-</v>
      </c>
    </row>
    <row r="193" spans="1:39" x14ac:dyDescent="0.25">
      <c r="A193" t="str">
        <f>"FI64008"</f>
        <v>FI64008</v>
      </c>
      <c r="B193" t="str">
        <f>"BOMBA COMBUSTIBLE FORD RANGER 3.0 COMMON RAIL 3 BAR"</f>
        <v>BOMBA COMBUSTIBLE FORD RANGER 3.0 COMMON RAIL 3 BAR</v>
      </c>
      <c r="C193" t="str">
        <f>"$ 58470,71"</f>
        <v>$ 58470,71</v>
      </c>
      <c r="D193" t="str">
        <f>"$ 58470,71"</f>
        <v>$ 58470,71</v>
      </c>
      <c r="E193" t="str">
        <f>"$ 58470,71"</f>
        <v>$ 58470,71</v>
      </c>
      <c r="F193" t="str">
        <f>"$ 58470,71"</f>
        <v>$ 58470,71</v>
      </c>
      <c r="G193" t="str">
        <f>"$ 58470,71"</f>
        <v>$ 58470,71</v>
      </c>
      <c r="H193" t="str">
        <f t="shared" si="93"/>
        <v>$ 0,00</v>
      </c>
      <c r="I193" t="str">
        <f t="shared" si="130"/>
        <v>BOMBA COMBUSTIBLE ELECTRICA</v>
      </c>
      <c r="J193" t="str">
        <f t="shared" si="94"/>
        <v>1</v>
      </c>
      <c r="K193" t="str">
        <f t="shared" si="133"/>
        <v>0</v>
      </c>
      <c r="L193" t="str">
        <f>"16,000"</f>
        <v>16,000</v>
      </c>
      <c r="M193" t="str">
        <f t="shared" si="96"/>
        <v xml:space="preserve"> </v>
      </c>
      <c r="N193" t="str">
        <f t="shared" si="131"/>
        <v>FISPA</v>
      </c>
      <c r="O193" t="str">
        <f t="shared" si="132"/>
        <v>BOMBAS</v>
      </c>
      <c r="P193" t="str">
        <f t="shared" si="127"/>
        <v>0</v>
      </c>
      <c r="Q193" t="str">
        <f t="shared" si="127"/>
        <v>0</v>
      </c>
      <c r="R193" t="str">
        <f t="shared" si="128"/>
        <v>0,00</v>
      </c>
      <c r="S193" t="str">
        <f t="shared" si="128"/>
        <v>0,00</v>
      </c>
      <c r="T193" t="str">
        <f t="shared" si="129"/>
        <v xml:space="preserve"> </v>
      </c>
      <c r="U193" t="str">
        <f t="shared" si="129"/>
        <v xml:space="preserve"> </v>
      </c>
      <c r="V193" t="str">
        <f>"16,000"</f>
        <v>16,000</v>
      </c>
      <c r="W193" t="str">
        <f t="shared" si="97"/>
        <v>Lista 4</v>
      </c>
      <c r="X193" t="str">
        <f t="shared" si="98"/>
        <v>Lista 5</v>
      </c>
      <c r="Y193" t="str">
        <f t="shared" si="99"/>
        <v>Oferta Gral.</v>
      </c>
      <c r="Z193" t="str">
        <f t="shared" si="100"/>
        <v>Rubro</v>
      </c>
      <c r="AA193" t="str">
        <f t="shared" si="101"/>
        <v>Cantidad por Bulto</v>
      </c>
      <c r="AB193" t="str">
        <f t="shared" si="102"/>
        <v>INNER</v>
      </c>
      <c r="AC193" t="str">
        <f t="shared" si="103"/>
        <v>Stock en Bultos</v>
      </c>
      <c r="AD193" t="str">
        <f t="shared" si="104"/>
        <v>SubDepósito</v>
      </c>
      <c r="AE193" t="str">
        <f t="shared" si="105"/>
        <v>Marca</v>
      </c>
      <c r="AF193" t="str">
        <f t="shared" si="106"/>
        <v>Super Rubro</v>
      </c>
      <c r="AG193" t="str">
        <f t="shared" si="107"/>
        <v>ComercioExterior</v>
      </c>
      <c r="AH193" t="str">
        <f t="shared" si="108"/>
        <v>PrecioFOB</v>
      </c>
      <c r="AI193" t="str">
        <f t="shared" si="109"/>
        <v>Monto II</v>
      </c>
      <c r="AJ193" t="str">
        <f t="shared" si="110"/>
        <v>Porcentaje II</v>
      </c>
      <c r="AK193" t="str">
        <f t="shared" si="111"/>
        <v>Foto</v>
      </c>
      <c r="AL19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3" t="str">
        <f>"-"</f>
        <v>-</v>
      </c>
    </row>
    <row r="194" spans="1:39" x14ac:dyDescent="0.25">
      <c r="A194" t="str">
        <f>"LWPN018"</f>
        <v>LWPN018</v>
      </c>
      <c r="B194" t="str">
        <f>"BOMBA DE AGUA CHEVROLET ASTRA VECTRA 1.8 2.0 8V  1334054 9120117"</f>
        <v>BOMBA DE AGUA CHEVROLET ASTRA VECTRA 1.8 2.0 8V  1334054 9120117</v>
      </c>
      <c r="C194" t="str">
        <f>"$ 37148,38"</f>
        <v>$ 37148,38</v>
      </c>
      <c r="D194" t="str">
        <f>"$ 37148,38"</f>
        <v>$ 37148,38</v>
      </c>
      <c r="E194" t="str">
        <f>"$ 37148,38"</f>
        <v>$ 37148,38</v>
      </c>
      <c r="F194" t="str">
        <f>"$ 37148,38"</f>
        <v>$ 37148,38</v>
      </c>
      <c r="G194" t="str">
        <f>"$ 37148,38"</f>
        <v>$ 37148,38</v>
      </c>
      <c r="H194" t="str">
        <f t="shared" si="93"/>
        <v>$ 0,00</v>
      </c>
      <c r="I194" t="str">
        <f t="shared" ref="I194:I221" si="134">"BOMBAS DE AGUA"</f>
        <v>BOMBAS DE AGUA</v>
      </c>
      <c r="J194" t="str">
        <f t="shared" si="94"/>
        <v>1</v>
      </c>
      <c r="K194" t="str">
        <f t="shared" si="133"/>
        <v>0</v>
      </c>
      <c r="L194" t="str">
        <f>"12,000"</f>
        <v>12,000</v>
      </c>
      <c r="M194" t="str">
        <f t="shared" si="96"/>
        <v xml:space="preserve"> </v>
      </c>
      <c r="N194" t="str">
        <f t="shared" ref="N194:N221" si="135">"LUCAS"</f>
        <v>LUCAS</v>
      </c>
      <c r="O194" t="str">
        <f t="shared" ref="O194:O221" si="136">"BOMBAS DE AGUA"</f>
        <v>BOMBAS DE AGUA</v>
      </c>
      <c r="P194" t="str">
        <f t="shared" si="127"/>
        <v>0</v>
      </c>
      <c r="Q194" t="str">
        <f t="shared" si="127"/>
        <v>0</v>
      </c>
      <c r="R194" t="str">
        <f t="shared" si="128"/>
        <v>0,00</v>
      </c>
      <c r="S194" t="str">
        <f t="shared" si="128"/>
        <v>0,00</v>
      </c>
      <c r="T194" t="str">
        <f t="shared" si="129"/>
        <v xml:space="preserve"> </v>
      </c>
      <c r="U194" t="str">
        <f t="shared" si="129"/>
        <v xml:space="preserve"> </v>
      </c>
      <c r="V194" t="str">
        <f>"12,000"</f>
        <v>12,000</v>
      </c>
      <c r="W194" t="str">
        <f t="shared" si="97"/>
        <v>Lista 4</v>
      </c>
      <c r="X194" t="str">
        <f t="shared" si="98"/>
        <v>Lista 5</v>
      </c>
      <c r="Y194" t="str">
        <f t="shared" si="99"/>
        <v>Oferta Gral.</v>
      </c>
      <c r="Z194" t="str">
        <f t="shared" si="100"/>
        <v>Rubro</v>
      </c>
      <c r="AA194" t="str">
        <f t="shared" si="101"/>
        <v>Cantidad por Bulto</v>
      </c>
      <c r="AB194" t="str">
        <f t="shared" si="102"/>
        <v>INNER</v>
      </c>
      <c r="AC194" t="str">
        <f t="shared" si="103"/>
        <v>Stock en Bultos</v>
      </c>
      <c r="AD194" t="str">
        <f t="shared" si="104"/>
        <v>SubDepósito</v>
      </c>
      <c r="AE194" t="str">
        <f t="shared" si="105"/>
        <v>Marca</v>
      </c>
      <c r="AF194" t="str">
        <f t="shared" si="106"/>
        <v>Super Rubro</v>
      </c>
      <c r="AG194" t="str">
        <f t="shared" si="107"/>
        <v>ComercioExterior</v>
      </c>
      <c r="AH194" t="str">
        <f t="shared" si="108"/>
        <v>PrecioFOB</v>
      </c>
      <c r="AI194" t="str">
        <f t="shared" si="109"/>
        <v>Monto II</v>
      </c>
      <c r="AJ194" t="str">
        <f t="shared" si="110"/>
        <v>Porcentaje II</v>
      </c>
      <c r="AK194" t="str">
        <f t="shared" si="111"/>
        <v>Foto</v>
      </c>
      <c r="AL19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94" t="str">
        <f t="shared" ref="AM194:AM202" si="137">" "</f>
        <v xml:space="preserve"> </v>
      </c>
    </row>
    <row r="195" spans="1:39" x14ac:dyDescent="0.25">
      <c r="A195" t="str">
        <f>"LWPN019"</f>
        <v>LWPN019</v>
      </c>
      <c r="B195" t="str">
        <f>"BOMBA DE AGUA CHEVROLET ASTRA VECTRA 2.0 2.4 16V 1334041 50 53 "</f>
        <v xml:space="preserve">BOMBA DE AGUA CHEVROLET ASTRA VECTRA 2.0 2.4 16V 1334041 50 53 </v>
      </c>
      <c r="C195" t="str">
        <f>"$ 38676,55"</f>
        <v>$ 38676,55</v>
      </c>
      <c r="D195" t="str">
        <f>"$ 38676,55"</f>
        <v>$ 38676,55</v>
      </c>
      <c r="E195" t="str">
        <f>"$ 38676,55"</f>
        <v>$ 38676,55</v>
      </c>
      <c r="F195" t="str">
        <f>"$ 38676,55"</f>
        <v>$ 38676,55</v>
      </c>
      <c r="G195" t="str">
        <f>"$ 38676,55"</f>
        <v>$ 38676,55</v>
      </c>
      <c r="H195" t="str">
        <f t="shared" ref="H195:H258" si="138">"$ 0,00"</f>
        <v>$ 0,00</v>
      </c>
      <c r="I195" t="str">
        <f t="shared" si="134"/>
        <v>BOMBAS DE AGUA</v>
      </c>
      <c r="J195" t="str">
        <f t="shared" ref="J195:J258" si="139">"1"</f>
        <v>1</v>
      </c>
      <c r="K195" t="str">
        <f t="shared" si="133"/>
        <v>0</v>
      </c>
      <c r="L195" t="str">
        <f>"3,000"</f>
        <v>3,000</v>
      </c>
      <c r="M195" t="str">
        <f t="shared" ref="M195:M258" si="140">" "</f>
        <v xml:space="preserve"> </v>
      </c>
      <c r="N195" t="str">
        <f t="shared" si="135"/>
        <v>LUCAS</v>
      </c>
      <c r="O195" t="str">
        <f t="shared" si="136"/>
        <v>BOMBAS DE AGUA</v>
      </c>
      <c r="P195" t="str">
        <f t="shared" si="127"/>
        <v>0</v>
      </c>
      <c r="Q195" t="str">
        <f t="shared" si="127"/>
        <v>0</v>
      </c>
      <c r="R195" t="str">
        <f t="shared" si="128"/>
        <v>0,00</v>
      </c>
      <c r="S195" t="str">
        <f t="shared" si="128"/>
        <v>0,00</v>
      </c>
      <c r="T195" t="str">
        <f t="shared" si="129"/>
        <v xml:space="preserve"> </v>
      </c>
      <c r="U195" t="str">
        <f t="shared" si="129"/>
        <v xml:space="preserve"> </v>
      </c>
      <c r="V195" t="str">
        <f>"3,000"</f>
        <v>3,000</v>
      </c>
      <c r="W195" t="str">
        <f t="shared" ref="W195:W258" si="141">"Lista 4"</f>
        <v>Lista 4</v>
      </c>
      <c r="X195" t="str">
        <f t="shared" ref="X195:X258" si="142">"Lista 5"</f>
        <v>Lista 5</v>
      </c>
      <c r="Y195" t="str">
        <f t="shared" ref="Y195:Y258" si="143">"Oferta Gral."</f>
        <v>Oferta Gral.</v>
      </c>
      <c r="Z195" t="str">
        <f t="shared" ref="Z195:Z258" si="144">"Rubro"</f>
        <v>Rubro</v>
      </c>
      <c r="AA195" t="str">
        <f t="shared" ref="AA195:AA258" si="145">"Cantidad por Bulto"</f>
        <v>Cantidad por Bulto</v>
      </c>
      <c r="AB195" t="str">
        <f t="shared" ref="AB195:AB258" si="146">"INNER"</f>
        <v>INNER</v>
      </c>
      <c r="AC195" t="str">
        <f t="shared" ref="AC195:AC258" si="147">"Stock en Bultos"</f>
        <v>Stock en Bultos</v>
      </c>
      <c r="AD195" t="str">
        <f t="shared" ref="AD195:AD258" si="148">"SubDepósito"</f>
        <v>SubDepósito</v>
      </c>
      <c r="AE195" t="str">
        <f t="shared" ref="AE195:AE258" si="149">"Marca"</f>
        <v>Marca</v>
      </c>
      <c r="AF195" t="str">
        <f t="shared" ref="AF195:AF258" si="150">"Super Rubro"</f>
        <v>Super Rubro</v>
      </c>
      <c r="AG195" t="str">
        <f t="shared" ref="AG195:AG258" si="151">"ComercioExterior"</f>
        <v>ComercioExterior</v>
      </c>
      <c r="AH195" t="str">
        <f t="shared" ref="AH195:AH258" si="152">"PrecioFOB"</f>
        <v>PrecioFOB</v>
      </c>
      <c r="AI195" t="str">
        <f t="shared" ref="AI195:AI258" si="153">"Monto II"</f>
        <v>Monto II</v>
      </c>
      <c r="AJ195" t="str">
        <f t="shared" ref="AJ195:AJ258" si="154">"Porcentaje II"</f>
        <v>Porcentaje II</v>
      </c>
      <c r="AK195" t="str">
        <f t="shared" ref="AK195:AK258" si="155">"Foto"</f>
        <v>Foto</v>
      </c>
      <c r="AL195" t="str">
        <f>"{\rtf1\ansi\ansicpg1252\deff0\deflang11274{\fonttbl{\f0\fnil\fcharset0 MS Sans Serif}} \viewkind4\uc1\pard\f0\fs16 BOMBA DE AGUA CHEVROLET ASTRA VECTRA 2.0 2.4 16V 1334041 50 53 \par } "</f>
        <v xml:space="preserve">{\rtf1\ansi\ansicpg1252\deff0\deflang11274{\fonttbl{\f0\fnil\fcharset0 MS Sans Serif}} \viewkind4\uc1\pard\f0\fs16 BOMBA DE AGUA CHEVROLET ASTRA VECTRA 2.0 2.4 16V 1334041 50 53 \par } </v>
      </c>
      <c r="AM195" t="str">
        <f t="shared" si="137"/>
        <v xml:space="preserve"> </v>
      </c>
    </row>
    <row r="196" spans="1:39" x14ac:dyDescent="0.25">
      <c r="A196" t="str">
        <f>"LWPN020"</f>
        <v>LWPN020</v>
      </c>
      <c r="B196" t="str">
        <f>"BOMBA DE AGUA CHEVROLET CLASSIC AGILE ONIX PRISMA 1.4 8V"</f>
        <v>BOMBA DE AGUA CHEVROLET CLASSIC AGILE ONIX PRISMA 1.4 8V</v>
      </c>
      <c r="C196" t="str">
        <f>"$ 32720,11"</f>
        <v>$ 32720,11</v>
      </c>
      <c r="D196" t="str">
        <f>"$ 32720,11"</f>
        <v>$ 32720,11</v>
      </c>
      <c r="E196" t="str">
        <f>"$ 32720,11"</f>
        <v>$ 32720,11</v>
      </c>
      <c r="F196" t="str">
        <f>"$ 32720,11"</f>
        <v>$ 32720,11</v>
      </c>
      <c r="G196" t="str">
        <f>"$ 32720,11"</f>
        <v>$ 32720,11</v>
      </c>
      <c r="H196" t="str">
        <f t="shared" si="138"/>
        <v>$ 0,00</v>
      </c>
      <c r="I196" t="str">
        <f t="shared" si="134"/>
        <v>BOMBAS DE AGUA</v>
      </c>
      <c r="J196" t="str">
        <f t="shared" si="139"/>
        <v>1</v>
      </c>
      <c r="K196" t="str">
        <f t="shared" si="133"/>
        <v>0</v>
      </c>
      <c r="L196" t="str">
        <f>"11,000"</f>
        <v>11,000</v>
      </c>
      <c r="M196" t="str">
        <f t="shared" si="140"/>
        <v xml:space="preserve"> </v>
      </c>
      <c r="N196" t="str">
        <f t="shared" si="135"/>
        <v>LUCAS</v>
      </c>
      <c r="O196" t="str">
        <f t="shared" si="136"/>
        <v>BOMBAS DE AGUA</v>
      </c>
      <c r="P196" t="str">
        <f t="shared" si="127"/>
        <v>0</v>
      </c>
      <c r="Q196" t="str">
        <f t="shared" si="127"/>
        <v>0</v>
      </c>
      <c r="R196" t="str">
        <f t="shared" si="128"/>
        <v>0,00</v>
      </c>
      <c r="S196" t="str">
        <f t="shared" si="128"/>
        <v>0,00</v>
      </c>
      <c r="T196" t="str">
        <f t="shared" si="129"/>
        <v xml:space="preserve"> </v>
      </c>
      <c r="U196" t="str">
        <f t="shared" si="129"/>
        <v xml:space="preserve"> </v>
      </c>
      <c r="V196" t="str">
        <f>"11,000"</f>
        <v>11,000</v>
      </c>
      <c r="W196" t="str">
        <f t="shared" si="141"/>
        <v>Lista 4</v>
      </c>
      <c r="X196" t="str">
        <f t="shared" si="142"/>
        <v>Lista 5</v>
      </c>
      <c r="Y196" t="str">
        <f t="shared" si="143"/>
        <v>Oferta Gral.</v>
      </c>
      <c r="Z196" t="str">
        <f t="shared" si="144"/>
        <v>Rubro</v>
      </c>
      <c r="AA196" t="str">
        <f t="shared" si="145"/>
        <v>Cantidad por Bulto</v>
      </c>
      <c r="AB196" t="str">
        <f t="shared" si="146"/>
        <v>INNER</v>
      </c>
      <c r="AC196" t="str">
        <f t="shared" si="147"/>
        <v>Stock en Bultos</v>
      </c>
      <c r="AD196" t="str">
        <f t="shared" si="148"/>
        <v>SubDepósito</v>
      </c>
      <c r="AE196" t="str">
        <f t="shared" si="149"/>
        <v>Marca</v>
      </c>
      <c r="AF196" t="str">
        <f t="shared" si="150"/>
        <v>Super Rubro</v>
      </c>
      <c r="AG196" t="str">
        <f t="shared" si="151"/>
        <v>ComercioExterior</v>
      </c>
      <c r="AH196" t="str">
        <f t="shared" si="152"/>
        <v>PrecioFOB</v>
      </c>
      <c r="AI196" t="str">
        <f t="shared" si="153"/>
        <v>Monto II</v>
      </c>
      <c r="AJ196" t="str">
        <f t="shared" si="154"/>
        <v>Porcentaje II</v>
      </c>
      <c r="AK196" t="str">
        <f t="shared" si="155"/>
        <v>Foto</v>
      </c>
      <c r="AL196" t="str">
        <f>"{\rtf1\ansi\ansicpg1252\deff0\deflang2058{\fonttbl{\f0\fnil\fcharset0 MS Sans Serif}} \viewkind4\uc1\pard\f0\fs16 BOMBA DE AGUA CHEVROLET CLASSIC AGILE ONIX PRISMA 1.4 8V\par } "</f>
        <v xml:space="preserve">{\rtf1\ansi\ansicpg1252\deff0\deflang2058{\fonttbl{\f0\fnil\fcharset0 MS Sans Serif}} \viewkind4\uc1\pard\f0\fs16 BOMBA DE AGUA CHEVROLET CLASSIC AGILE ONIX PRISMA 1.4 8V\par } </v>
      </c>
      <c r="AM196" t="str">
        <f t="shared" si="137"/>
        <v xml:space="preserve"> </v>
      </c>
    </row>
    <row r="197" spans="1:39" x14ac:dyDescent="0.25">
      <c r="A197" t="str">
        <f>"LWPN017"</f>
        <v>LWPN017</v>
      </c>
      <c r="B197" t="str">
        <f>"BOMBA DE AGUA CHEVROLET CORSA 1.0 1.6 8V 1334010 25 65 98  "</f>
        <v xml:space="preserve">BOMBA DE AGUA CHEVROLET CORSA 1.0 1.6 8V 1334010 25 65 98  </v>
      </c>
      <c r="C197" t="str">
        <f>"$ 32651,76"</f>
        <v>$ 32651,76</v>
      </c>
      <c r="D197" t="str">
        <f>"$ 32651,76"</f>
        <v>$ 32651,76</v>
      </c>
      <c r="E197" t="str">
        <f>"$ 32651,76"</f>
        <v>$ 32651,76</v>
      </c>
      <c r="F197" t="str">
        <f>"$ 32651,76"</f>
        <v>$ 32651,76</v>
      </c>
      <c r="G197" t="str">
        <f>"$ 32651,76"</f>
        <v>$ 32651,76</v>
      </c>
      <c r="H197" t="str">
        <f t="shared" si="138"/>
        <v>$ 0,00</v>
      </c>
      <c r="I197" t="str">
        <f t="shared" si="134"/>
        <v>BOMBAS DE AGUA</v>
      </c>
      <c r="J197" t="str">
        <f t="shared" si="139"/>
        <v>1</v>
      </c>
      <c r="K197" t="str">
        <f t="shared" si="133"/>
        <v>0</v>
      </c>
      <c r="L197" t="str">
        <f>"25,000"</f>
        <v>25,000</v>
      </c>
      <c r="M197" t="str">
        <f t="shared" si="140"/>
        <v xml:space="preserve"> </v>
      </c>
      <c r="N197" t="str">
        <f t="shared" si="135"/>
        <v>LUCAS</v>
      </c>
      <c r="O197" t="str">
        <f t="shared" si="136"/>
        <v>BOMBAS DE AGUA</v>
      </c>
      <c r="P197" t="str">
        <f t="shared" si="127"/>
        <v>0</v>
      </c>
      <c r="Q197" t="str">
        <f t="shared" si="127"/>
        <v>0</v>
      </c>
      <c r="R197" t="str">
        <f t="shared" si="128"/>
        <v>0,00</v>
      </c>
      <c r="S197" t="str">
        <f t="shared" si="128"/>
        <v>0,00</v>
      </c>
      <c r="T197" t="str">
        <f t="shared" si="129"/>
        <v xml:space="preserve"> </v>
      </c>
      <c r="U197" t="str">
        <f t="shared" si="129"/>
        <v xml:space="preserve"> </v>
      </c>
      <c r="V197" t="str">
        <f>"25,000"</f>
        <v>25,000</v>
      </c>
      <c r="W197" t="str">
        <f t="shared" si="141"/>
        <v>Lista 4</v>
      </c>
      <c r="X197" t="str">
        <f t="shared" si="142"/>
        <v>Lista 5</v>
      </c>
      <c r="Y197" t="str">
        <f t="shared" si="143"/>
        <v>Oferta Gral.</v>
      </c>
      <c r="Z197" t="str">
        <f t="shared" si="144"/>
        <v>Rubro</v>
      </c>
      <c r="AA197" t="str">
        <f t="shared" si="145"/>
        <v>Cantidad por Bulto</v>
      </c>
      <c r="AB197" t="str">
        <f t="shared" si="146"/>
        <v>INNER</v>
      </c>
      <c r="AC197" t="str">
        <f t="shared" si="147"/>
        <v>Stock en Bultos</v>
      </c>
      <c r="AD197" t="str">
        <f t="shared" si="148"/>
        <v>SubDepósito</v>
      </c>
      <c r="AE197" t="str">
        <f t="shared" si="149"/>
        <v>Marca</v>
      </c>
      <c r="AF197" t="str">
        <f t="shared" si="150"/>
        <v>Super Rubro</v>
      </c>
      <c r="AG197" t="str">
        <f t="shared" si="151"/>
        <v>ComercioExterior</v>
      </c>
      <c r="AH197" t="str">
        <f t="shared" si="152"/>
        <v>PrecioFOB</v>
      </c>
      <c r="AI197" t="str">
        <f t="shared" si="153"/>
        <v>Monto II</v>
      </c>
      <c r="AJ197" t="str">
        <f t="shared" si="154"/>
        <v>Porcentaje II</v>
      </c>
      <c r="AK197" t="str">
        <f t="shared" si="155"/>
        <v>Foto</v>
      </c>
      <c r="AL197" t="str">
        <f>"{\rtf1\ansi\ansicpg1252\deff0\deflang11274{\fonttbl{\f0\fnil\fcharset0 MS Sans Serif}} \viewkind4\uc1\pard\f0\fs16 BOMBA DE AGUA CHEVROLET CORSA 1.0 1.6 8V 1334010 25 65 98  \par } "</f>
        <v xml:space="preserve">{\rtf1\ansi\ansicpg1252\deff0\deflang11274{\fonttbl{\f0\fnil\fcharset0 MS Sans Serif}} \viewkind4\uc1\pard\f0\fs16 BOMBA DE AGUA CHEVROLET CORSA 1.0 1.6 8V 1334010 25 65 98  \par } </v>
      </c>
      <c r="AM197" t="str">
        <f t="shared" si="137"/>
        <v xml:space="preserve"> </v>
      </c>
    </row>
    <row r="198" spans="1:39" x14ac:dyDescent="0.25">
      <c r="A198" t="str">
        <f>"LWPN021"</f>
        <v>LWPN021</v>
      </c>
      <c r="B198" t="str">
        <f>"BOMBA DE AGUA CHEVROLET CORSA MERIVA FIAT PALIO SIENA PUNTO 1.8 8V"</f>
        <v>BOMBA DE AGUA CHEVROLET CORSA MERIVA FIAT PALIO SIENA PUNTO 1.8 8V</v>
      </c>
      <c r="C198" t="str">
        <f>"$ 33110,70"</f>
        <v>$ 33110,70</v>
      </c>
      <c r="D198" t="str">
        <f>"$ 33110,70"</f>
        <v>$ 33110,70</v>
      </c>
      <c r="E198" t="str">
        <f>"$ 33110,70"</f>
        <v>$ 33110,70</v>
      </c>
      <c r="F198" t="str">
        <f>"$ 33110,70"</f>
        <v>$ 33110,70</v>
      </c>
      <c r="G198" t="str">
        <f>"$ 33110,70"</f>
        <v>$ 33110,70</v>
      </c>
      <c r="H198" t="str">
        <f t="shared" si="138"/>
        <v>$ 0,00</v>
      </c>
      <c r="I198" t="str">
        <f t="shared" si="134"/>
        <v>BOMBAS DE AGUA</v>
      </c>
      <c r="J198" t="str">
        <f t="shared" si="139"/>
        <v>1</v>
      </c>
      <c r="K198" t="str">
        <f t="shared" si="133"/>
        <v>0</v>
      </c>
      <c r="L198" t="str">
        <f>"21,000"</f>
        <v>21,000</v>
      </c>
      <c r="M198" t="str">
        <f t="shared" si="140"/>
        <v xml:space="preserve"> </v>
      </c>
      <c r="N198" t="str">
        <f t="shared" si="135"/>
        <v>LUCAS</v>
      </c>
      <c r="O198" t="str">
        <f t="shared" si="136"/>
        <v>BOMBAS DE AGUA</v>
      </c>
      <c r="P198" t="str">
        <f t="shared" si="127"/>
        <v>0</v>
      </c>
      <c r="Q198" t="str">
        <f t="shared" si="127"/>
        <v>0</v>
      </c>
      <c r="R198" t="str">
        <f t="shared" si="128"/>
        <v>0,00</v>
      </c>
      <c r="S198" t="str">
        <f t="shared" si="128"/>
        <v>0,00</v>
      </c>
      <c r="T198" t="str">
        <f t="shared" si="129"/>
        <v xml:space="preserve"> </v>
      </c>
      <c r="U198" t="str">
        <f t="shared" si="129"/>
        <v xml:space="preserve"> </v>
      </c>
      <c r="V198" t="str">
        <f>"21,000"</f>
        <v>21,000</v>
      </c>
      <c r="W198" t="str">
        <f t="shared" si="141"/>
        <v>Lista 4</v>
      </c>
      <c r="X198" t="str">
        <f t="shared" si="142"/>
        <v>Lista 5</v>
      </c>
      <c r="Y198" t="str">
        <f t="shared" si="143"/>
        <v>Oferta Gral.</v>
      </c>
      <c r="Z198" t="str">
        <f t="shared" si="144"/>
        <v>Rubro</v>
      </c>
      <c r="AA198" t="str">
        <f t="shared" si="145"/>
        <v>Cantidad por Bulto</v>
      </c>
      <c r="AB198" t="str">
        <f t="shared" si="146"/>
        <v>INNER</v>
      </c>
      <c r="AC198" t="str">
        <f t="shared" si="147"/>
        <v>Stock en Bultos</v>
      </c>
      <c r="AD198" t="str">
        <f t="shared" si="148"/>
        <v>SubDepósito</v>
      </c>
      <c r="AE198" t="str">
        <f t="shared" si="149"/>
        <v>Marca</v>
      </c>
      <c r="AF198" t="str">
        <f t="shared" si="150"/>
        <v>Super Rubro</v>
      </c>
      <c r="AG198" t="str">
        <f t="shared" si="151"/>
        <v>ComercioExterior</v>
      </c>
      <c r="AH198" t="str">
        <f t="shared" si="152"/>
        <v>PrecioFOB</v>
      </c>
      <c r="AI198" t="str">
        <f t="shared" si="153"/>
        <v>Monto II</v>
      </c>
      <c r="AJ198" t="str">
        <f t="shared" si="154"/>
        <v>Porcentaje II</v>
      </c>
      <c r="AK198" t="str">
        <f t="shared" si="155"/>
        <v>Foto</v>
      </c>
      <c r="AL198" t="str">
        <f>"{\rtf1\ansi\ansicpg1252\deff0\deflang11274{\fonttbl{\f0\fnil\fcharset0 MS Sans Serif}} \viewkind4\uc1\pard\f0\fs16 BOMBA DE AGUA CHEVROLET CORSA MERIVA FIAT PALIO SIENA PUNTO 1.8 8V\par } "</f>
        <v xml:space="preserve">{\rtf1\ansi\ansicpg1252\deff0\deflang11274{\fonttbl{\f0\fnil\fcharset0 MS Sans Serif}} \viewkind4\uc1\pard\f0\fs16 BOMBA DE AGUA CHEVROLET CORSA MERIVA FIAT PALIO SIENA PUNTO 1.8 8V\par } </v>
      </c>
      <c r="AM198" t="str">
        <f t="shared" si="137"/>
        <v xml:space="preserve"> </v>
      </c>
    </row>
    <row r="199" spans="1:39" x14ac:dyDescent="0.25">
      <c r="A199" t="str">
        <f>"LWPN022"</f>
        <v>LWPN022</v>
      </c>
      <c r="B199" t="str">
        <f>"BOMBA DE AGUA CHEVROLET CRUZE TRACKER 1.8 SONIC 1.6"</f>
        <v>BOMBA DE AGUA CHEVROLET CRUZE TRACKER 1.8 SONIC 1.6</v>
      </c>
      <c r="C199" t="str">
        <f>"$ 46240,49"</f>
        <v>$ 46240,49</v>
      </c>
      <c r="D199" t="str">
        <f>"$ 46240,49"</f>
        <v>$ 46240,49</v>
      </c>
      <c r="E199" t="str">
        <f>"$ 46240,49"</f>
        <v>$ 46240,49</v>
      </c>
      <c r="F199" t="str">
        <f>"$ 46240,49"</f>
        <v>$ 46240,49</v>
      </c>
      <c r="G199" t="str">
        <f>"$ 46240,49"</f>
        <v>$ 46240,49</v>
      </c>
      <c r="H199" t="str">
        <f t="shared" si="138"/>
        <v>$ 0,00</v>
      </c>
      <c r="I199" t="str">
        <f t="shared" si="134"/>
        <v>BOMBAS DE AGUA</v>
      </c>
      <c r="J199" t="str">
        <f t="shared" si="139"/>
        <v>1</v>
      </c>
      <c r="K199" t="str">
        <f t="shared" si="133"/>
        <v>0</v>
      </c>
      <c r="L199" t="str">
        <f>"5,000"</f>
        <v>5,000</v>
      </c>
      <c r="M199" t="str">
        <f t="shared" si="140"/>
        <v xml:space="preserve"> </v>
      </c>
      <c r="N199" t="str">
        <f t="shared" si="135"/>
        <v>LUCAS</v>
      </c>
      <c r="O199" t="str">
        <f t="shared" si="136"/>
        <v>BOMBAS DE AGUA</v>
      </c>
      <c r="P199" t="str">
        <f t="shared" si="127"/>
        <v>0</v>
      </c>
      <c r="Q199" t="str">
        <f t="shared" si="127"/>
        <v>0</v>
      </c>
      <c r="R199" t="str">
        <f t="shared" si="128"/>
        <v>0,00</v>
      </c>
      <c r="S199" t="str">
        <f t="shared" si="128"/>
        <v>0,00</v>
      </c>
      <c r="T199" t="str">
        <f t="shared" si="129"/>
        <v xml:space="preserve"> </v>
      </c>
      <c r="U199" t="str">
        <f t="shared" si="129"/>
        <v xml:space="preserve"> </v>
      </c>
      <c r="V199" t="str">
        <f>"5,000"</f>
        <v>5,000</v>
      </c>
      <c r="W199" t="str">
        <f t="shared" si="141"/>
        <v>Lista 4</v>
      </c>
      <c r="X199" t="str">
        <f t="shared" si="142"/>
        <v>Lista 5</v>
      </c>
      <c r="Y199" t="str">
        <f t="shared" si="143"/>
        <v>Oferta Gral.</v>
      </c>
      <c r="Z199" t="str">
        <f t="shared" si="144"/>
        <v>Rubro</v>
      </c>
      <c r="AA199" t="str">
        <f t="shared" si="145"/>
        <v>Cantidad por Bulto</v>
      </c>
      <c r="AB199" t="str">
        <f t="shared" si="146"/>
        <v>INNER</v>
      </c>
      <c r="AC199" t="str">
        <f t="shared" si="147"/>
        <v>Stock en Bultos</v>
      </c>
      <c r="AD199" t="str">
        <f t="shared" si="148"/>
        <v>SubDepósito</v>
      </c>
      <c r="AE199" t="str">
        <f t="shared" si="149"/>
        <v>Marca</v>
      </c>
      <c r="AF199" t="str">
        <f t="shared" si="150"/>
        <v>Super Rubro</v>
      </c>
      <c r="AG199" t="str">
        <f t="shared" si="151"/>
        <v>ComercioExterior</v>
      </c>
      <c r="AH199" t="str">
        <f t="shared" si="152"/>
        <v>PrecioFOB</v>
      </c>
      <c r="AI199" t="str">
        <f t="shared" si="153"/>
        <v>Monto II</v>
      </c>
      <c r="AJ199" t="str">
        <f t="shared" si="154"/>
        <v>Porcentaje II</v>
      </c>
      <c r="AK199" t="str">
        <f t="shared" si="155"/>
        <v>Foto</v>
      </c>
      <c r="AL199" t="str">
        <f>"{\rtf1\ansi\ansicpg1252\deff0\deflang2058{\fonttbl{\f0\fnil\fcharset0 MS Sans Serif}} \viewkind4\uc1\pard\f0\fs16 BOMBA DE AGUA CHEVROLET CRUZE TRACKER 1.8 SONIC 1.6\par } "</f>
        <v xml:space="preserve">{\rtf1\ansi\ansicpg1252\deff0\deflang2058{\fonttbl{\f0\fnil\fcharset0 MS Sans Serif}} \viewkind4\uc1\pard\f0\fs16 BOMBA DE AGUA CHEVROLET CRUZE TRACKER 1.8 SONIC 1.6\par } </v>
      </c>
      <c r="AM199" t="str">
        <f t="shared" si="137"/>
        <v xml:space="preserve"> </v>
      </c>
    </row>
    <row r="200" spans="1:39" x14ac:dyDescent="0.25">
      <c r="A200" t="str">
        <f>"LWPN013"</f>
        <v>LWPN013</v>
      </c>
      <c r="B200" t="str">
        <f>"BOMBA DE AGUA CHEVROLET S10 FORD RANGER MERCEDES SPRINTER MAXION 2.5"</f>
        <v>BOMBA DE AGUA CHEVROLET S10 FORD RANGER MERCEDES SPRINTER MAXION 2.5</v>
      </c>
      <c r="C200" t="str">
        <f>"$ 45336,04"</f>
        <v>$ 45336,04</v>
      </c>
      <c r="D200" t="str">
        <f>"$ 45336,04"</f>
        <v>$ 45336,04</v>
      </c>
      <c r="E200" t="str">
        <f>"$ 45336,04"</f>
        <v>$ 45336,04</v>
      </c>
      <c r="F200" t="str">
        <f>"$ 45336,04"</f>
        <v>$ 45336,04</v>
      </c>
      <c r="G200" t="str">
        <f>"$ 45336,04"</f>
        <v>$ 45336,04</v>
      </c>
      <c r="H200" t="str">
        <f t="shared" si="138"/>
        <v>$ 0,00</v>
      </c>
      <c r="I200" t="str">
        <f t="shared" si="134"/>
        <v>BOMBAS DE AGUA</v>
      </c>
      <c r="J200" t="str">
        <f t="shared" si="139"/>
        <v>1</v>
      </c>
      <c r="K200" t="str">
        <f t="shared" si="133"/>
        <v>0</v>
      </c>
      <c r="L200" t="str">
        <f>"6,000"</f>
        <v>6,000</v>
      </c>
      <c r="M200" t="str">
        <f t="shared" si="140"/>
        <v xml:space="preserve"> </v>
      </c>
      <c r="N200" t="str">
        <f t="shared" si="135"/>
        <v>LUCAS</v>
      </c>
      <c r="O200" t="str">
        <f t="shared" si="136"/>
        <v>BOMBAS DE AGUA</v>
      </c>
      <c r="P200" t="str">
        <f t="shared" si="127"/>
        <v>0</v>
      </c>
      <c r="Q200" t="str">
        <f t="shared" si="127"/>
        <v>0</v>
      </c>
      <c r="R200" t="str">
        <f t="shared" si="128"/>
        <v>0,00</v>
      </c>
      <c r="S200" t="str">
        <f t="shared" si="128"/>
        <v>0,00</v>
      </c>
      <c r="T200" t="str">
        <f t="shared" si="129"/>
        <v xml:space="preserve"> </v>
      </c>
      <c r="U200" t="str">
        <f t="shared" si="129"/>
        <v xml:space="preserve"> </v>
      </c>
      <c r="V200" t="str">
        <f>"6,000"</f>
        <v>6,000</v>
      </c>
      <c r="W200" t="str">
        <f t="shared" si="141"/>
        <v>Lista 4</v>
      </c>
      <c r="X200" t="str">
        <f t="shared" si="142"/>
        <v>Lista 5</v>
      </c>
      <c r="Y200" t="str">
        <f t="shared" si="143"/>
        <v>Oferta Gral.</v>
      </c>
      <c r="Z200" t="str">
        <f t="shared" si="144"/>
        <v>Rubro</v>
      </c>
      <c r="AA200" t="str">
        <f t="shared" si="145"/>
        <v>Cantidad por Bulto</v>
      </c>
      <c r="AB200" t="str">
        <f t="shared" si="146"/>
        <v>INNER</v>
      </c>
      <c r="AC200" t="str">
        <f t="shared" si="147"/>
        <v>Stock en Bultos</v>
      </c>
      <c r="AD200" t="str">
        <f t="shared" si="148"/>
        <v>SubDepósito</v>
      </c>
      <c r="AE200" t="str">
        <f t="shared" si="149"/>
        <v>Marca</v>
      </c>
      <c r="AF200" t="str">
        <f t="shared" si="150"/>
        <v>Super Rubro</v>
      </c>
      <c r="AG200" t="str">
        <f t="shared" si="151"/>
        <v>ComercioExterior</v>
      </c>
      <c r="AH200" t="str">
        <f t="shared" si="152"/>
        <v>PrecioFOB</v>
      </c>
      <c r="AI200" t="str">
        <f t="shared" si="153"/>
        <v>Monto II</v>
      </c>
      <c r="AJ200" t="str">
        <f t="shared" si="154"/>
        <v>Porcentaje II</v>
      </c>
      <c r="AK200" t="str">
        <f t="shared" si="155"/>
        <v>Foto</v>
      </c>
      <c r="AL200" t="str">
        <f>"{\rtf1\ansi\ansicpg1252\deff0\deflang11274{\fonttbl{\f0\fnil\fcharset0 MS Sans Serif}} \viewkind4\uc1\pard\f0\fs16 BOMBA DE AGUA CHEVROLET S10 FORD RANGER MERCEDES SPRINTER MAXION 2.5\par } "</f>
        <v xml:space="preserve">{\rtf1\ansi\ansicpg1252\deff0\deflang11274{\fonttbl{\f0\fnil\fcharset0 MS Sans Serif}} \viewkind4\uc1\pard\f0\fs16 BOMBA DE AGUA CHEVROLET S10 FORD RANGER MERCEDES SPRINTER MAXION 2.5\par } </v>
      </c>
      <c r="AM200" t="str">
        <f t="shared" si="137"/>
        <v xml:space="preserve"> </v>
      </c>
    </row>
    <row r="201" spans="1:39" x14ac:dyDescent="0.25">
      <c r="A201" t="str">
        <f>"LWPN011"</f>
        <v>LWPN011</v>
      </c>
      <c r="B201" t="str">
        <f>"BOMBA DE AGUA CITROEN C3 PEUGEOT 208 MOTOR TU4 1.5 8V"</f>
        <v>BOMBA DE AGUA CITROEN C3 PEUGEOT 208 MOTOR TU4 1.5 8V</v>
      </c>
      <c r="C201" t="str">
        <f>"$ 42682,49"</f>
        <v>$ 42682,49</v>
      </c>
      <c r="D201" t="str">
        <f>"$ 42682,49"</f>
        <v>$ 42682,49</v>
      </c>
      <c r="E201" t="str">
        <f>"$ 42682,49"</f>
        <v>$ 42682,49</v>
      </c>
      <c r="F201" t="str">
        <f>"$ 42682,49"</f>
        <v>$ 42682,49</v>
      </c>
      <c r="G201" t="str">
        <f>"$ 42682,49"</f>
        <v>$ 42682,49</v>
      </c>
      <c r="H201" t="str">
        <f t="shared" si="138"/>
        <v>$ 0,00</v>
      </c>
      <c r="I201" t="str">
        <f t="shared" si="134"/>
        <v>BOMBAS DE AGUA</v>
      </c>
      <c r="J201" t="str">
        <f t="shared" si="139"/>
        <v>1</v>
      </c>
      <c r="K201" t="str">
        <f t="shared" si="133"/>
        <v>0</v>
      </c>
      <c r="L201" t="str">
        <f>"4,000"</f>
        <v>4,000</v>
      </c>
      <c r="M201" t="str">
        <f t="shared" si="140"/>
        <v xml:space="preserve"> </v>
      </c>
      <c r="N201" t="str">
        <f t="shared" si="135"/>
        <v>LUCAS</v>
      </c>
      <c r="O201" t="str">
        <f t="shared" si="136"/>
        <v>BOMBAS DE AGUA</v>
      </c>
      <c r="P201" t="str">
        <f t="shared" si="127"/>
        <v>0</v>
      </c>
      <c r="Q201" t="str">
        <f t="shared" si="127"/>
        <v>0</v>
      </c>
      <c r="R201" t="str">
        <f t="shared" si="128"/>
        <v>0,00</v>
      </c>
      <c r="S201" t="str">
        <f t="shared" si="128"/>
        <v>0,00</v>
      </c>
      <c r="T201" t="str">
        <f t="shared" si="129"/>
        <v xml:space="preserve"> </v>
      </c>
      <c r="U201" t="str">
        <f t="shared" si="129"/>
        <v xml:space="preserve"> </v>
      </c>
      <c r="V201" t="str">
        <f>"4,000"</f>
        <v>4,000</v>
      </c>
      <c r="W201" t="str">
        <f t="shared" si="141"/>
        <v>Lista 4</v>
      </c>
      <c r="X201" t="str">
        <f t="shared" si="142"/>
        <v>Lista 5</v>
      </c>
      <c r="Y201" t="str">
        <f t="shared" si="143"/>
        <v>Oferta Gral.</v>
      </c>
      <c r="Z201" t="str">
        <f t="shared" si="144"/>
        <v>Rubro</v>
      </c>
      <c r="AA201" t="str">
        <f t="shared" si="145"/>
        <v>Cantidad por Bulto</v>
      </c>
      <c r="AB201" t="str">
        <f t="shared" si="146"/>
        <v>INNER</v>
      </c>
      <c r="AC201" t="str">
        <f t="shared" si="147"/>
        <v>Stock en Bultos</v>
      </c>
      <c r="AD201" t="str">
        <f t="shared" si="148"/>
        <v>SubDepósito</v>
      </c>
      <c r="AE201" t="str">
        <f t="shared" si="149"/>
        <v>Marca</v>
      </c>
      <c r="AF201" t="str">
        <f t="shared" si="150"/>
        <v>Super Rubro</v>
      </c>
      <c r="AG201" t="str">
        <f t="shared" si="151"/>
        <v>ComercioExterior</v>
      </c>
      <c r="AH201" t="str">
        <f t="shared" si="152"/>
        <v>PrecioFOB</v>
      </c>
      <c r="AI201" t="str">
        <f t="shared" si="153"/>
        <v>Monto II</v>
      </c>
      <c r="AJ201" t="str">
        <f t="shared" si="154"/>
        <v>Porcentaje II</v>
      </c>
      <c r="AK201" t="str">
        <f t="shared" si="155"/>
        <v>Foto</v>
      </c>
      <c r="AL201" t="str">
        <f>"{\rtf1\ansi\ansicpg1252\deff0\deflang11274{\fonttbl{\f0\fnil\fcharset0 MS Sans Serif}} \viewkind4\uc1\pard\f0\fs16 BOMBA DE AGUA CITROEN C3 PEUGEOT 208 MOTOR TU4 1.5 8V\par } "</f>
        <v xml:space="preserve">{\rtf1\ansi\ansicpg1252\deff0\deflang11274{\fonttbl{\f0\fnil\fcharset0 MS Sans Serif}} \viewkind4\uc1\pard\f0\fs16 BOMBA DE AGUA CITROEN C3 PEUGEOT 208 MOTOR TU4 1.5 8V\par } </v>
      </c>
      <c r="AM201" t="str">
        <f t="shared" si="137"/>
        <v xml:space="preserve"> </v>
      </c>
    </row>
    <row r="202" spans="1:39" x14ac:dyDescent="0.25">
      <c r="A202" t="str">
        <f>"LWPN010"</f>
        <v>LWPN010</v>
      </c>
      <c r="B202" t="str">
        <f>"BOMBA DE AGUA CITROEN C4 XSARA PEUGEOT 206 307 308 408"</f>
        <v>BOMBA DE AGUA CITROEN C4 XSARA PEUGEOT 206 307 308 408</v>
      </c>
      <c r="C202" t="str">
        <f>"$ 69510,86"</f>
        <v>$ 69510,86</v>
      </c>
      <c r="D202" t="str">
        <f>"$ 69510,86"</f>
        <v>$ 69510,86</v>
      </c>
      <c r="E202" t="str">
        <f>"$ 69510,86"</f>
        <v>$ 69510,86</v>
      </c>
      <c r="F202" t="str">
        <f>"$ 69510,86"</f>
        <v>$ 69510,86</v>
      </c>
      <c r="G202" t="str">
        <f>"$ 69510,86"</f>
        <v>$ 69510,86</v>
      </c>
      <c r="H202" t="str">
        <f t="shared" si="138"/>
        <v>$ 0,00</v>
      </c>
      <c r="I202" t="str">
        <f t="shared" si="134"/>
        <v>BOMBAS DE AGUA</v>
      </c>
      <c r="J202" t="str">
        <f t="shared" si="139"/>
        <v>1</v>
      </c>
      <c r="K202" t="str">
        <f t="shared" si="133"/>
        <v>0</v>
      </c>
      <c r="L202" t="str">
        <f>"3,000"</f>
        <v>3,000</v>
      </c>
      <c r="M202" t="str">
        <f t="shared" si="140"/>
        <v xml:space="preserve"> </v>
      </c>
      <c r="N202" t="str">
        <f t="shared" si="135"/>
        <v>LUCAS</v>
      </c>
      <c r="O202" t="str">
        <f t="shared" si="136"/>
        <v>BOMBAS DE AGUA</v>
      </c>
      <c r="P202" t="str">
        <f t="shared" si="127"/>
        <v>0</v>
      </c>
      <c r="Q202" t="str">
        <f t="shared" si="127"/>
        <v>0</v>
      </c>
      <c r="R202" t="str">
        <f t="shared" si="128"/>
        <v>0,00</v>
      </c>
      <c r="S202" t="str">
        <f t="shared" si="128"/>
        <v>0,00</v>
      </c>
      <c r="T202" t="str">
        <f t="shared" si="129"/>
        <v xml:space="preserve"> </v>
      </c>
      <c r="U202" t="str">
        <f t="shared" si="129"/>
        <v xml:space="preserve"> </v>
      </c>
      <c r="V202" t="str">
        <f>"3,000"</f>
        <v>3,000</v>
      </c>
      <c r="W202" t="str">
        <f t="shared" si="141"/>
        <v>Lista 4</v>
      </c>
      <c r="X202" t="str">
        <f t="shared" si="142"/>
        <v>Lista 5</v>
      </c>
      <c r="Y202" t="str">
        <f t="shared" si="143"/>
        <v>Oferta Gral.</v>
      </c>
      <c r="Z202" t="str">
        <f t="shared" si="144"/>
        <v>Rubro</v>
      </c>
      <c r="AA202" t="str">
        <f t="shared" si="145"/>
        <v>Cantidad por Bulto</v>
      </c>
      <c r="AB202" t="str">
        <f t="shared" si="146"/>
        <v>INNER</v>
      </c>
      <c r="AC202" t="str">
        <f t="shared" si="147"/>
        <v>Stock en Bultos</v>
      </c>
      <c r="AD202" t="str">
        <f t="shared" si="148"/>
        <v>SubDepósito</v>
      </c>
      <c r="AE202" t="str">
        <f t="shared" si="149"/>
        <v>Marca</v>
      </c>
      <c r="AF202" t="str">
        <f t="shared" si="150"/>
        <v>Super Rubro</v>
      </c>
      <c r="AG202" t="str">
        <f t="shared" si="151"/>
        <v>ComercioExterior</v>
      </c>
      <c r="AH202" t="str">
        <f t="shared" si="152"/>
        <v>PrecioFOB</v>
      </c>
      <c r="AI202" t="str">
        <f t="shared" si="153"/>
        <v>Monto II</v>
      </c>
      <c r="AJ202" t="str">
        <f t="shared" si="154"/>
        <v>Porcentaje II</v>
      </c>
      <c r="AK202" t="str">
        <f t="shared" si="155"/>
        <v>Foto</v>
      </c>
      <c r="AL202" t="str">
        <f>"{\rtf1\ansi\ansicpg1252\deff0\deflang2058{\fonttbl{\f0\fnil\fcharset0 MS Sans Serif}} \viewkind4\uc1\pard\f0\fs16 BOMBA DE AGUA CITROEN C4 XSARA PEUGEOT 206 307 308 408\par } "</f>
        <v xml:space="preserve">{\rtf1\ansi\ansicpg1252\deff0\deflang2058{\fonttbl{\f0\fnil\fcharset0 MS Sans Serif}} \viewkind4\uc1\pard\f0\fs16 BOMBA DE AGUA CITROEN C4 XSARA PEUGEOT 206 307 308 408\par } </v>
      </c>
      <c r="AM202" t="str">
        <f t="shared" si="137"/>
        <v xml:space="preserve"> </v>
      </c>
    </row>
    <row r="203" spans="1:39" x14ac:dyDescent="0.25">
      <c r="A203" t="str">
        <f>"LWPN030"</f>
        <v>LWPN030</v>
      </c>
      <c r="B203" t="str">
        <f>"BOMBA DE AGUA FIAT 500 PALIO SIENA UNO MOTOR FIRE EVO 55218802 55221397 55228167"</f>
        <v>BOMBA DE AGUA FIAT 500 PALIO SIENA UNO MOTOR FIRE EVO 55218802 55221397 55228167</v>
      </c>
      <c r="C203" t="str">
        <f>"$ 33144,87"</f>
        <v>$ 33144,87</v>
      </c>
      <c r="D203" t="str">
        <f>"$ 33144,87"</f>
        <v>$ 33144,87</v>
      </c>
      <c r="E203" t="str">
        <f>"$ 33144,87"</f>
        <v>$ 33144,87</v>
      </c>
      <c r="F203" t="str">
        <f>"$ 33144,87"</f>
        <v>$ 33144,87</v>
      </c>
      <c r="G203" t="str">
        <f>"$ 33144,87"</f>
        <v>$ 33144,87</v>
      </c>
      <c r="H203" t="str">
        <f t="shared" si="138"/>
        <v>$ 0,00</v>
      </c>
      <c r="I203" t="str">
        <f t="shared" si="134"/>
        <v>BOMBAS DE AGUA</v>
      </c>
      <c r="J203" t="str">
        <f t="shared" si="139"/>
        <v>1</v>
      </c>
      <c r="K203" t="str">
        <f t="shared" si="133"/>
        <v>0</v>
      </c>
      <c r="L203" t="str">
        <f>"9,000"</f>
        <v>9,000</v>
      </c>
      <c r="M203" t="str">
        <f t="shared" si="140"/>
        <v xml:space="preserve"> </v>
      </c>
      <c r="N203" t="str">
        <f t="shared" si="135"/>
        <v>LUCAS</v>
      </c>
      <c r="O203" t="str">
        <f t="shared" si="136"/>
        <v>BOMBAS DE AGUA</v>
      </c>
      <c r="P203" t="str">
        <f t="shared" ref="P203:Q222" si="156">"0"</f>
        <v>0</v>
      </c>
      <c r="Q203" t="str">
        <f t="shared" si="156"/>
        <v>0</v>
      </c>
      <c r="R203" t="str">
        <f t="shared" ref="R203:S222" si="157">"0,00"</f>
        <v>0,00</v>
      </c>
      <c r="S203" t="str">
        <f t="shared" si="157"/>
        <v>0,00</v>
      </c>
      <c r="T203" t="str">
        <f t="shared" ref="T203:U208" si="158">" "</f>
        <v xml:space="preserve"> </v>
      </c>
      <c r="U203" t="str">
        <f t="shared" si="158"/>
        <v xml:space="preserve"> </v>
      </c>
      <c r="V203" t="str">
        <f>"9,000"</f>
        <v>9,000</v>
      </c>
      <c r="W203" t="str">
        <f t="shared" si="141"/>
        <v>Lista 4</v>
      </c>
      <c r="X203" t="str">
        <f t="shared" si="142"/>
        <v>Lista 5</v>
      </c>
      <c r="Y203" t="str">
        <f t="shared" si="143"/>
        <v>Oferta Gral.</v>
      </c>
      <c r="Z203" t="str">
        <f t="shared" si="144"/>
        <v>Rubro</v>
      </c>
      <c r="AA203" t="str">
        <f t="shared" si="145"/>
        <v>Cantidad por Bulto</v>
      </c>
      <c r="AB203" t="str">
        <f t="shared" si="146"/>
        <v>INNER</v>
      </c>
      <c r="AC203" t="str">
        <f t="shared" si="147"/>
        <v>Stock en Bultos</v>
      </c>
      <c r="AD203" t="str">
        <f t="shared" si="148"/>
        <v>SubDepósito</v>
      </c>
      <c r="AE203" t="str">
        <f t="shared" si="149"/>
        <v>Marca</v>
      </c>
      <c r="AF203" t="str">
        <f t="shared" si="150"/>
        <v>Super Rubro</v>
      </c>
      <c r="AG203" t="str">
        <f t="shared" si="151"/>
        <v>ComercioExterior</v>
      </c>
      <c r="AH203" t="str">
        <f t="shared" si="152"/>
        <v>PrecioFOB</v>
      </c>
      <c r="AI203" t="str">
        <f t="shared" si="153"/>
        <v>Monto II</v>
      </c>
      <c r="AJ203" t="str">
        <f t="shared" si="154"/>
        <v>Porcentaje II</v>
      </c>
      <c r="AK203" t="str">
        <f t="shared" si="155"/>
        <v>Foto</v>
      </c>
      <c r="AL203" t="str">
        <f>"{\rtf1\ansi\ansicpg1252\deff0\deflang11274{\fonttbl{\f0\fnil\fcharset0 MS Sans Serif}} \viewkind4\uc1\pard\f0\fs16 BOMBA DE AGUA FIAT 500 PALIO SIENA UNO MOTOR FIRE EVO 55218802 55221397 55228167\par } "</f>
        <v xml:space="preserve">{\rtf1\ansi\ansicpg1252\deff0\deflang11274{\fonttbl{\f0\fnil\fcharset0 MS Sans Serif}} \viewkind4\uc1\pard\f0\fs16 BOMBA DE AGUA FIAT 500 PALIO SIENA UNO MOTOR FIRE EVO 55218802 55221397 55228167\par } </v>
      </c>
      <c r="AM203" t="str">
        <f>"-"</f>
        <v>-</v>
      </c>
    </row>
    <row r="204" spans="1:39" x14ac:dyDescent="0.25">
      <c r="A204" t="str">
        <f>"LWPN086"</f>
        <v>LWPN086</v>
      </c>
      <c r="B204" t="str">
        <f>"BOMBA DE AGUA FIAT DUNA UNO FIORINO MOTOR TIPO 1.4 1.6 "</f>
        <v xml:space="preserve">BOMBA DE AGUA FIAT DUNA UNO FIORINO MOTOR TIPO 1.4 1.6 </v>
      </c>
      <c r="C204" t="str">
        <f>"$ 48991,68"</f>
        <v>$ 48991,68</v>
      </c>
      <c r="D204" t="str">
        <f>"$ 48991,68"</f>
        <v>$ 48991,68</v>
      </c>
      <c r="E204" t="str">
        <f>"$ 48991,68"</f>
        <v>$ 48991,68</v>
      </c>
      <c r="F204" t="str">
        <f>"$ 48991,68"</f>
        <v>$ 48991,68</v>
      </c>
      <c r="G204" t="str">
        <f>"$ 48991,68"</f>
        <v>$ 48991,68</v>
      </c>
      <c r="H204" t="str">
        <f t="shared" si="138"/>
        <v>$ 0,00</v>
      </c>
      <c r="I204" t="str">
        <f t="shared" si="134"/>
        <v>BOMBAS DE AGUA</v>
      </c>
      <c r="J204" t="str">
        <f t="shared" si="139"/>
        <v>1</v>
      </c>
      <c r="K204" t="str">
        <f t="shared" si="133"/>
        <v>0</v>
      </c>
      <c r="L204" t="str">
        <f>"31,000"</f>
        <v>31,000</v>
      </c>
      <c r="M204" t="str">
        <f t="shared" si="140"/>
        <v xml:space="preserve"> </v>
      </c>
      <c r="N204" t="str">
        <f t="shared" si="135"/>
        <v>LUCAS</v>
      </c>
      <c r="O204" t="str">
        <f t="shared" si="136"/>
        <v>BOMBAS DE AGUA</v>
      </c>
      <c r="P204" t="str">
        <f t="shared" si="156"/>
        <v>0</v>
      </c>
      <c r="Q204" t="str">
        <f t="shared" si="156"/>
        <v>0</v>
      </c>
      <c r="R204" t="str">
        <f t="shared" si="157"/>
        <v>0,00</v>
      </c>
      <c r="S204" t="str">
        <f t="shared" si="157"/>
        <v>0,00</v>
      </c>
      <c r="T204" t="str">
        <f t="shared" si="158"/>
        <v xml:space="preserve"> </v>
      </c>
      <c r="U204" t="str">
        <f t="shared" si="158"/>
        <v xml:space="preserve"> </v>
      </c>
      <c r="V204" t="str">
        <f>"31,000"</f>
        <v>31,000</v>
      </c>
      <c r="W204" t="str">
        <f t="shared" si="141"/>
        <v>Lista 4</v>
      </c>
      <c r="X204" t="str">
        <f t="shared" si="142"/>
        <v>Lista 5</v>
      </c>
      <c r="Y204" t="str">
        <f t="shared" si="143"/>
        <v>Oferta Gral.</v>
      </c>
      <c r="Z204" t="str">
        <f t="shared" si="144"/>
        <v>Rubro</v>
      </c>
      <c r="AA204" t="str">
        <f t="shared" si="145"/>
        <v>Cantidad por Bulto</v>
      </c>
      <c r="AB204" t="str">
        <f t="shared" si="146"/>
        <v>INNER</v>
      </c>
      <c r="AC204" t="str">
        <f t="shared" si="147"/>
        <v>Stock en Bultos</v>
      </c>
      <c r="AD204" t="str">
        <f t="shared" si="148"/>
        <v>SubDepósito</v>
      </c>
      <c r="AE204" t="str">
        <f t="shared" si="149"/>
        <v>Marca</v>
      </c>
      <c r="AF204" t="str">
        <f t="shared" si="150"/>
        <v>Super Rubro</v>
      </c>
      <c r="AG204" t="str">
        <f t="shared" si="151"/>
        <v>ComercioExterior</v>
      </c>
      <c r="AH204" t="str">
        <f t="shared" si="152"/>
        <v>PrecioFOB</v>
      </c>
      <c r="AI204" t="str">
        <f t="shared" si="153"/>
        <v>Monto II</v>
      </c>
      <c r="AJ204" t="str">
        <f t="shared" si="154"/>
        <v>Porcentaje II</v>
      </c>
      <c r="AK204" t="str">
        <f t="shared" si="155"/>
        <v>Foto</v>
      </c>
      <c r="AL204" t="str">
        <f>"{\rtf1\ansi\ansicpg1252\deff0\deflang11274{\fonttbl{\f0\fnil\fcharset0 MS Sans Serif}} \viewkind4\uc1\pard\f0\fs16 BOMBA DE AGUA FIAT DUNA UNO FIORINO MOTOR TIPO 1.4 1.6 \par } "</f>
        <v xml:space="preserve">{\rtf1\ansi\ansicpg1252\deff0\deflang11274{\fonttbl{\f0\fnil\fcharset0 MS Sans Serif}} \viewkind4\uc1\pard\f0\fs16 BOMBA DE AGUA FIAT DUNA UNO FIORINO MOTOR TIPO 1.4 1.6 \par } </v>
      </c>
      <c r="AM204" t="str">
        <f>"-"</f>
        <v>-</v>
      </c>
    </row>
    <row r="205" spans="1:39" x14ac:dyDescent="0.25">
      <c r="A205" t="str">
        <f>"LWPN029"</f>
        <v>LWPN029</v>
      </c>
      <c r="B205" t="str">
        <f>"BOMBA DE AGUA FIAT PALIO SIENA PUNTO STRADA FIORINO MOTOR FIRE 46520401 55184081"</f>
        <v>BOMBA DE AGUA FIAT PALIO SIENA PUNTO STRADA FIORINO MOTOR FIRE 46520401 55184081</v>
      </c>
      <c r="C205" t="str">
        <f>"$ 32413,75"</f>
        <v>$ 32413,75</v>
      </c>
      <c r="D205" t="str">
        <f>"$ 32413,75"</f>
        <v>$ 32413,75</v>
      </c>
      <c r="E205" t="str">
        <f>"$ 32413,75"</f>
        <v>$ 32413,75</v>
      </c>
      <c r="F205" t="str">
        <f>"$ 32413,75"</f>
        <v>$ 32413,75</v>
      </c>
      <c r="G205" t="str">
        <f>"$ 32413,75"</f>
        <v>$ 32413,75</v>
      </c>
      <c r="H205" t="str">
        <f t="shared" si="138"/>
        <v>$ 0,00</v>
      </c>
      <c r="I205" t="str">
        <f t="shared" si="134"/>
        <v>BOMBAS DE AGUA</v>
      </c>
      <c r="J205" t="str">
        <f t="shared" si="139"/>
        <v>1</v>
      </c>
      <c r="K205" t="str">
        <f t="shared" si="133"/>
        <v>0</v>
      </c>
      <c r="L205" t="str">
        <f>"10,000"</f>
        <v>10,000</v>
      </c>
      <c r="M205" t="str">
        <f t="shared" si="140"/>
        <v xml:space="preserve"> </v>
      </c>
      <c r="N205" t="str">
        <f t="shared" si="135"/>
        <v>LUCAS</v>
      </c>
      <c r="O205" t="str">
        <f t="shared" si="136"/>
        <v>BOMBAS DE AGUA</v>
      </c>
      <c r="P205" t="str">
        <f t="shared" si="156"/>
        <v>0</v>
      </c>
      <c r="Q205" t="str">
        <f t="shared" si="156"/>
        <v>0</v>
      </c>
      <c r="R205" t="str">
        <f t="shared" si="157"/>
        <v>0,00</v>
      </c>
      <c r="S205" t="str">
        <f t="shared" si="157"/>
        <v>0,00</v>
      </c>
      <c r="T205" t="str">
        <f t="shared" si="158"/>
        <v xml:space="preserve"> </v>
      </c>
      <c r="U205" t="str">
        <f t="shared" si="158"/>
        <v xml:space="preserve"> </v>
      </c>
      <c r="V205" t="str">
        <f>"10,000"</f>
        <v>10,000</v>
      </c>
      <c r="W205" t="str">
        <f t="shared" si="141"/>
        <v>Lista 4</v>
      </c>
      <c r="X205" t="str">
        <f t="shared" si="142"/>
        <v>Lista 5</v>
      </c>
      <c r="Y205" t="str">
        <f t="shared" si="143"/>
        <v>Oferta Gral.</v>
      </c>
      <c r="Z205" t="str">
        <f t="shared" si="144"/>
        <v>Rubro</v>
      </c>
      <c r="AA205" t="str">
        <f t="shared" si="145"/>
        <v>Cantidad por Bulto</v>
      </c>
      <c r="AB205" t="str">
        <f t="shared" si="146"/>
        <v>INNER</v>
      </c>
      <c r="AC205" t="str">
        <f t="shared" si="147"/>
        <v>Stock en Bultos</v>
      </c>
      <c r="AD205" t="str">
        <f t="shared" si="148"/>
        <v>SubDepósito</v>
      </c>
      <c r="AE205" t="str">
        <f t="shared" si="149"/>
        <v>Marca</v>
      </c>
      <c r="AF205" t="str">
        <f t="shared" si="150"/>
        <v>Super Rubro</v>
      </c>
      <c r="AG205" t="str">
        <f t="shared" si="151"/>
        <v>ComercioExterior</v>
      </c>
      <c r="AH205" t="str">
        <f t="shared" si="152"/>
        <v>PrecioFOB</v>
      </c>
      <c r="AI205" t="str">
        <f t="shared" si="153"/>
        <v>Monto II</v>
      </c>
      <c r="AJ205" t="str">
        <f t="shared" si="154"/>
        <v>Porcentaje II</v>
      </c>
      <c r="AK205" t="str">
        <f t="shared" si="155"/>
        <v>Foto</v>
      </c>
      <c r="AL205" t="str">
        <f>"{\rtf1\ansi\ansicpg1252\deff0\deflang11274{\fonttbl{\f0\fnil\fcharset0 MS Sans Serif}} \viewkind4\uc1\pard\f0\fs16 BOMBA DE AGUA FIAT PALIO SIENA PUNTO STRADA FIORINO MOTOR FIRE 46520401 55184081\par } "</f>
        <v xml:space="preserve">{\rtf1\ansi\ansicpg1252\deff0\deflang11274{\fonttbl{\f0\fnil\fcharset0 MS Sans Serif}} \viewkind4\uc1\pard\f0\fs16 BOMBA DE AGUA FIAT PALIO SIENA PUNTO STRADA FIORINO MOTOR FIRE 46520401 55184081\par } </v>
      </c>
      <c r="AM205" t="str">
        <f>"-"</f>
        <v>-</v>
      </c>
    </row>
    <row r="206" spans="1:39" x14ac:dyDescent="0.25">
      <c r="A206" t="str">
        <f>"LWPN033"</f>
        <v>LWPN033</v>
      </c>
      <c r="B206" t="str">
        <f>"BOMBA DE AGUA FORD ESCORT ORION GALAXY VW POLO SAVEIRO MOTOR AUDI "</f>
        <v xml:space="preserve">BOMBA DE AGUA FORD ESCORT ORION GALAXY VW POLO SAVEIRO MOTOR AUDI </v>
      </c>
      <c r="C206" t="str">
        <f>"$ 34846,36"</f>
        <v>$ 34846,36</v>
      </c>
      <c r="D206" t="str">
        <f>"$ 34846,36"</f>
        <v>$ 34846,36</v>
      </c>
      <c r="E206" t="str">
        <f>"$ 34846,36"</f>
        <v>$ 34846,36</v>
      </c>
      <c r="F206" t="str">
        <f>"$ 34846,36"</f>
        <v>$ 34846,36</v>
      </c>
      <c r="G206" t="str">
        <f>"$ 34846,36"</f>
        <v>$ 34846,36</v>
      </c>
      <c r="H206" t="str">
        <f t="shared" si="138"/>
        <v>$ 0,00</v>
      </c>
      <c r="I206" t="str">
        <f t="shared" si="134"/>
        <v>BOMBAS DE AGUA</v>
      </c>
      <c r="J206" t="str">
        <f t="shared" si="139"/>
        <v>1</v>
      </c>
      <c r="K206" t="str">
        <f t="shared" si="133"/>
        <v>0</v>
      </c>
      <c r="L206" t="str">
        <f>"8,000"</f>
        <v>8,000</v>
      </c>
      <c r="M206" t="str">
        <f t="shared" si="140"/>
        <v xml:space="preserve"> </v>
      </c>
      <c r="N206" t="str">
        <f t="shared" si="135"/>
        <v>LUCAS</v>
      </c>
      <c r="O206" t="str">
        <f t="shared" si="136"/>
        <v>BOMBAS DE AGUA</v>
      </c>
      <c r="P206" t="str">
        <f t="shared" si="156"/>
        <v>0</v>
      </c>
      <c r="Q206" t="str">
        <f t="shared" si="156"/>
        <v>0</v>
      </c>
      <c r="R206" t="str">
        <f t="shared" si="157"/>
        <v>0,00</v>
      </c>
      <c r="S206" t="str">
        <f t="shared" si="157"/>
        <v>0,00</v>
      </c>
      <c r="T206" t="str">
        <f t="shared" si="158"/>
        <v xml:space="preserve"> </v>
      </c>
      <c r="U206" t="str">
        <f t="shared" si="158"/>
        <v xml:space="preserve"> </v>
      </c>
      <c r="V206" t="str">
        <f>"8,000"</f>
        <v>8,000</v>
      </c>
      <c r="W206" t="str">
        <f t="shared" si="141"/>
        <v>Lista 4</v>
      </c>
      <c r="X206" t="str">
        <f t="shared" si="142"/>
        <v>Lista 5</v>
      </c>
      <c r="Y206" t="str">
        <f t="shared" si="143"/>
        <v>Oferta Gral.</v>
      </c>
      <c r="Z206" t="str">
        <f t="shared" si="144"/>
        <v>Rubro</v>
      </c>
      <c r="AA206" t="str">
        <f t="shared" si="145"/>
        <v>Cantidad por Bulto</v>
      </c>
      <c r="AB206" t="str">
        <f t="shared" si="146"/>
        <v>INNER</v>
      </c>
      <c r="AC206" t="str">
        <f t="shared" si="147"/>
        <v>Stock en Bultos</v>
      </c>
      <c r="AD206" t="str">
        <f t="shared" si="148"/>
        <v>SubDepósito</v>
      </c>
      <c r="AE206" t="str">
        <f t="shared" si="149"/>
        <v>Marca</v>
      </c>
      <c r="AF206" t="str">
        <f t="shared" si="150"/>
        <v>Super Rubro</v>
      </c>
      <c r="AG206" t="str">
        <f t="shared" si="151"/>
        <v>ComercioExterior</v>
      </c>
      <c r="AH206" t="str">
        <f t="shared" si="152"/>
        <v>PrecioFOB</v>
      </c>
      <c r="AI206" t="str">
        <f t="shared" si="153"/>
        <v>Monto II</v>
      </c>
      <c r="AJ206" t="str">
        <f t="shared" si="154"/>
        <v>Porcentaje II</v>
      </c>
      <c r="AK206" t="str">
        <f t="shared" si="155"/>
        <v>Foto</v>
      </c>
      <c r="AL206" t="str">
        <f>"{\rtf1\ansi\ansicpg1252\deff0\deflang11274{\fonttbl{\f0\fnil\fcharset0 MS Sans Serif}} \viewkind4\uc1\pard\f0\fs16 BOMBA DE AGUA FORD ESCORT ORION GALAXY VW POLO SAVEIRO MOTOR AUDI \par } "</f>
        <v xml:space="preserve">{\rtf1\ansi\ansicpg1252\deff0\deflang11274{\fonttbl{\f0\fnil\fcharset0 MS Sans Serif}} \viewkind4\uc1\pard\f0\fs16 BOMBA DE AGUA FORD ESCORT ORION GALAXY VW POLO SAVEIRO MOTOR AUDI \par } </v>
      </c>
      <c r="AM206" t="str">
        <f>"-"</f>
        <v>-</v>
      </c>
    </row>
    <row r="207" spans="1:39" x14ac:dyDescent="0.25">
      <c r="A207" t="str">
        <f>"LWPN015"</f>
        <v>LWPN015</v>
      </c>
      <c r="B207" t="str">
        <f>"BOMBA DE AGUA FORD FIESTA ECOSPORT FOCUS KA MOTOR ROCAM 1.0 1.6 8V"</f>
        <v>BOMBA DE AGUA FORD FIESTA ECOSPORT FOCUS KA MOTOR ROCAM 1.0 1.6 8V</v>
      </c>
      <c r="C207" t="str">
        <f>"$ 37896,60"</f>
        <v>$ 37896,60</v>
      </c>
      <c r="D207" t="str">
        <f>"$ 37896,60"</f>
        <v>$ 37896,60</v>
      </c>
      <c r="E207" t="str">
        <f>"$ 37896,60"</f>
        <v>$ 37896,60</v>
      </c>
      <c r="F207" t="str">
        <f>"$ 37896,60"</f>
        <v>$ 37896,60</v>
      </c>
      <c r="G207" t="str">
        <f>"$ 37896,60"</f>
        <v>$ 37896,60</v>
      </c>
      <c r="H207" t="str">
        <f t="shared" si="138"/>
        <v>$ 0,00</v>
      </c>
      <c r="I207" t="str">
        <f t="shared" si="134"/>
        <v>BOMBAS DE AGUA</v>
      </c>
      <c r="J207" t="str">
        <f t="shared" si="139"/>
        <v>1</v>
      </c>
      <c r="K207" t="str">
        <f t="shared" si="133"/>
        <v>0</v>
      </c>
      <c r="L207" t="str">
        <f>"6,000"</f>
        <v>6,000</v>
      </c>
      <c r="M207" t="str">
        <f t="shared" si="140"/>
        <v xml:space="preserve"> </v>
      </c>
      <c r="N207" t="str">
        <f t="shared" si="135"/>
        <v>LUCAS</v>
      </c>
      <c r="O207" t="str">
        <f t="shared" si="136"/>
        <v>BOMBAS DE AGUA</v>
      </c>
      <c r="P207" t="str">
        <f t="shared" si="156"/>
        <v>0</v>
      </c>
      <c r="Q207" t="str">
        <f t="shared" si="156"/>
        <v>0</v>
      </c>
      <c r="R207" t="str">
        <f t="shared" si="157"/>
        <v>0,00</v>
      </c>
      <c r="S207" t="str">
        <f t="shared" si="157"/>
        <v>0,00</v>
      </c>
      <c r="T207" t="str">
        <f t="shared" si="158"/>
        <v xml:space="preserve"> </v>
      </c>
      <c r="U207" t="str">
        <f t="shared" si="158"/>
        <v xml:space="preserve"> </v>
      </c>
      <c r="V207" t="str">
        <f>"6,000"</f>
        <v>6,000</v>
      </c>
      <c r="W207" t="str">
        <f t="shared" si="141"/>
        <v>Lista 4</v>
      </c>
      <c r="X207" t="str">
        <f t="shared" si="142"/>
        <v>Lista 5</v>
      </c>
      <c r="Y207" t="str">
        <f t="shared" si="143"/>
        <v>Oferta Gral.</v>
      </c>
      <c r="Z207" t="str">
        <f t="shared" si="144"/>
        <v>Rubro</v>
      </c>
      <c r="AA207" t="str">
        <f t="shared" si="145"/>
        <v>Cantidad por Bulto</v>
      </c>
      <c r="AB207" t="str">
        <f t="shared" si="146"/>
        <v>INNER</v>
      </c>
      <c r="AC207" t="str">
        <f t="shared" si="147"/>
        <v>Stock en Bultos</v>
      </c>
      <c r="AD207" t="str">
        <f t="shared" si="148"/>
        <v>SubDepósito</v>
      </c>
      <c r="AE207" t="str">
        <f t="shared" si="149"/>
        <v>Marca</v>
      </c>
      <c r="AF207" t="str">
        <f t="shared" si="150"/>
        <v>Super Rubro</v>
      </c>
      <c r="AG207" t="str">
        <f t="shared" si="151"/>
        <v>ComercioExterior</v>
      </c>
      <c r="AH207" t="str">
        <f t="shared" si="152"/>
        <v>PrecioFOB</v>
      </c>
      <c r="AI207" t="str">
        <f t="shared" si="153"/>
        <v>Monto II</v>
      </c>
      <c r="AJ207" t="str">
        <f t="shared" si="154"/>
        <v>Porcentaje II</v>
      </c>
      <c r="AK207" t="str">
        <f t="shared" si="155"/>
        <v>Foto</v>
      </c>
      <c r="AL207" t="str">
        <f>"{\rtf1\ansi\ansicpg1252\deff0\deflang11274{\fonttbl{\f0\fnil\fcharset0 MS Sans Serif}} \viewkind4\uc1\pard\f0\fs16 BOMBA DE AGUA FORD FIESTA ECOSPORT FOCUS KA MOTOR ROCAM 1.0 1.6 8V\par } "</f>
        <v xml:space="preserve">{\rtf1\ansi\ansicpg1252\deff0\deflang11274{\fonttbl{\f0\fnil\fcharset0 MS Sans Serif}} \viewkind4\uc1\pard\f0\fs16 BOMBA DE AGUA FORD FIESTA ECOSPORT FOCUS KA MOTOR ROCAM 1.0 1.6 8V\par } </v>
      </c>
      <c r="AM207" t="str">
        <f>" "</f>
        <v xml:space="preserve"> </v>
      </c>
    </row>
    <row r="208" spans="1:39" x14ac:dyDescent="0.25">
      <c r="A208" t="str">
        <f>"LWPN016"</f>
        <v>LWPN016</v>
      </c>
      <c r="B208" t="str">
        <f>"BOMBA DE AGUA FORD FIESTA ECOSPORT FOCUS MOTOR SIGMA 1.6 16V"</f>
        <v>BOMBA DE AGUA FORD FIESTA ECOSPORT FOCUS MOTOR SIGMA 1.6 16V</v>
      </c>
      <c r="C208" t="str">
        <f>"$ 49477,47"</f>
        <v>$ 49477,47</v>
      </c>
      <c r="D208" t="str">
        <f>"$ 49477,47"</f>
        <v>$ 49477,47</v>
      </c>
      <c r="E208" t="str">
        <f>"$ 49477,47"</f>
        <v>$ 49477,47</v>
      </c>
      <c r="F208" t="str">
        <f>"$ 49477,47"</f>
        <v>$ 49477,47</v>
      </c>
      <c r="G208" t="str">
        <f>"$ 49477,47"</f>
        <v>$ 49477,47</v>
      </c>
      <c r="H208" t="str">
        <f t="shared" si="138"/>
        <v>$ 0,00</v>
      </c>
      <c r="I208" t="str">
        <f t="shared" si="134"/>
        <v>BOMBAS DE AGUA</v>
      </c>
      <c r="J208" t="str">
        <f t="shared" si="139"/>
        <v>1</v>
      </c>
      <c r="K208" t="str">
        <f t="shared" si="133"/>
        <v>0</v>
      </c>
      <c r="L208" t="str">
        <f>"5,000"</f>
        <v>5,000</v>
      </c>
      <c r="M208" t="str">
        <f t="shared" si="140"/>
        <v xml:space="preserve"> </v>
      </c>
      <c r="N208" t="str">
        <f t="shared" si="135"/>
        <v>LUCAS</v>
      </c>
      <c r="O208" t="str">
        <f t="shared" si="136"/>
        <v>BOMBAS DE AGUA</v>
      </c>
      <c r="P208" t="str">
        <f t="shared" si="156"/>
        <v>0</v>
      </c>
      <c r="Q208" t="str">
        <f t="shared" si="156"/>
        <v>0</v>
      </c>
      <c r="R208" t="str">
        <f t="shared" si="157"/>
        <v>0,00</v>
      </c>
      <c r="S208" t="str">
        <f t="shared" si="157"/>
        <v>0,00</v>
      </c>
      <c r="T208" t="str">
        <f t="shared" si="158"/>
        <v xml:space="preserve"> </v>
      </c>
      <c r="U208" t="str">
        <f t="shared" si="158"/>
        <v xml:space="preserve"> </v>
      </c>
      <c r="V208" t="str">
        <f>"5,000"</f>
        <v>5,000</v>
      </c>
      <c r="W208" t="str">
        <f t="shared" si="141"/>
        <v>Lista 4</v>
      </c>
      <c r="X208" t="str">
        <f t="shared" si="142"/>
        <v>Lista 5</v>
      </c>
      <c r="Y208" t="str">
        <f t="shared" si="143"/>
        <v>Oferta Gral.</v>
      </c>
      <c r="Z208" t="str">
        <f t="shared" si="144"/>
        <v>Rubro</v>
      </c>
      <c r="AA208" t="str">
        <f t="shared" si="145"/>
        <v>Cantidad por Bulto</v>
      </c>
      <c r="AB208" t="str">
        <f t="shared" si="146"/>
        <v>INNER</v>
      </c>
      <c r="AC208" t="str">
        <f t="shared" si="147"/>
        <v>Stock en Bultos</v>
      </c>
      <c r="AD208" t="str">
        <f t="shared" si="148"/>
        <v>SubDepósito</v>
      </c>
      <c r="AE208" t="str">
        <f t="shared" si="149"/>
        <v>Marca</v>
      </c>
      <c r="AF208" t="str">
        <f t="shared" si="150"/>
        <v>Super Rubro</v>
      </c>
      <c r="AG208" t="str">
        <f t="shared" si="151"/>
        <v>ComercioExterior</v>
      </c>
      <c r="AH208" t="str">
        <f t="shared" si="152"/>
        <v>PrecioFOB</v>
      </c>
      <c r="AI208" t="str">
        <f t="shared" si="153"/>
        <v>Monto II</v>
      </c>
      <c r="AJ208" t="str">
        <f t="shared" si="154"/>
        <v>Porcentaje II</v>
      </c>
      <c r="AK208" t="str">
        <f t="shared" si="155"/>
        <v>Foto</v>
      </c>
      <c r="AL208" t="str">
        <f>"{\rtf1\ansi\ansicpg1252\deff0\deflang11274{\fonttbl{\f0\fnil\fcharset0 MS Sans Serif}} \viewkind4\uc1\pard\f0\fs16 BOMBA DE AGUA FORD FIESTA ECOSPORT FOCUS MOTOR SIGMA 1.6 16V\par } "</f>
        <v xml:space="preserve">{\rtf1\ansi\ansicpg1252\deff0\deflang11274{\fonttbl{\f0\fnil\fcharset0 MS Sans Serif}} \viewkind4\uc1\pard\f0\fs16 BOMBA DE AGUA FORD FIESTA ECOSPORT FOCUS MOTOR SIGMA 1.6 16V\par } </v>
      </c>
      <c r="AM208" t="str">
        <f>" "</f>
        <v xml:space="preserve"> </v>
      </c>
    </row>
    <row r="209" spans="1:39" x14ac:dyDescent="0.25">
      <c r="A209" t="str">
        <f>"LWPN014"</f>
        <v>LWPN014</v>
      </c>
      <c r="B209" t="str">
        <f>"BOMBA DE AGUA FORD RANGER 3.0 TURBODIESEL POWER STROKE"</f>
        <v>BOMBA DE AGUA FORD RANGER 3.0 TURBODIESEL POWER STROKE</v>
      </c>
      <c r="C209" t="str">
        <f>"$ 96661,46"</f>
        <v>$ 96661,46</v>
      </c>
      <c r="D209" t="str">
        <f>"$ 96661,46"</f>
        <v>$ 96661,46</v>
      </c>
      <c r="E209" t="str">
        <f>"$ 96661,46"</f>
        <v>$ 96661,46</v>
      </c>
      <c r="F209" t="str">
        <f>"$ 96661,46"</f>
        <v>$ 96661,46</v>
      </c>
      <c r="G209" t="str">
        <f>"$ 96661,46"</f>
        <v>$ 96661,46</v>
      </c>
      <c r="H209" t="str">
        <f t="shared" si="138"/>
        <v>$ 0,00</v>
      </c>
      <c r="I209" t="str">
        <f t="shared" si="134"/>
        <v>BOMBAS DE AGUA</v>
      </c>
      <c r="J209" t="str">
        <f t="shared" si="139"/>
        <v>1</v>
      </c>
      <c r="K209" t="str">
        <f t="shared" si="133"/>
        <v>0</v>
      </c>
      <c r="L209" t="str">
        <f>"6,000"</f>
        <v>6,000</v>
      </c>
      <c r="M209" t="str">
        <f t="shared" si="140"/>
        <v xml:space="preserve"> </v>
      </c>
      <c r="N209" t="str">
        <f t="shared" si="135"/>
        <v>LUCAS</v>
      </c>
      <c r="O209" t="str">
        <f t="shared" si="136"/>
        <v>BOMBAS DE AGUA</v>
      </c>
      <c r="P209" t="str">
        <f t="shared" si="156"/>
        <v>0</v>
      </c>
      <c r="Q209" t="str">
        <f t="shared" si="156"/>
        <v>0</v>
      </c>
      <c r="R209" t="str">
        <f t="shared" si="157"/>
        <v>0,00</v>
      </c>
      <c r="S209" t="str">
        <f t="shared" si="157"/>
        <v>0,00</v>
      </c>
      <c r="T209" t="str">
        <f t="shared" ref="T209:T272" si="159">" "</f>
        <v xml:space="preserve"> </v>
      </c>
      <c r="U209" t="str">
        <f>"-"</f>
        <v>-</v>
      </c>
      <c r="V209" t="str">
        <f>"6,000"</f>
        <v>6,000</v>
      </c>
      <c r="W209" t="str">
        <f t="shared" si="141"/>
        <v>Lista 4</v>
      </c>
      <c r="X209" t="str">
        <f t="shared" si="142"/>
        <v>Lista 5</v>
      </c>
      <c r="Y209" t="str">
        <f t="shared" si="143"/>
        <v>Oferta Gral.</v>
      </c>
      <c r="Z209" t="str">
        <f t="shared" si="144"/>
        <v>Rubro</v>
      </c>
      <c r="AA209" t="str">
        <f t="shared" si="145"/>
        <v>Cantidad por Bulto</v>
      </c>
      <c r="AB209" t="str">
        <f t="shared" si="146"/>
        <v>INNER</v>
      </c>
      <c r="AC209" t="str">
        <f t="shared" si="147"/>
        <v>Stock en Bultos</v>
      </c>
      <c r="AD209" t="str">
        <f t="shared" si="148"/>
        <v>SubDepósito</v>
      </c>
      <c r="AE209" t="str">
        <f t="shared" si="149"/>
        <v>Marca</v>
      </c>
      <c r="AF209" t="str">
        <f t="shared" si="150"/>
        <v>Super Rubro</v>
      </c>
      <c r="AG209" t="str">
        <f t="shared" si="151"/>
        <v>ComercioExterior</v>
      </c>
      <c r="AH209" t="str">
        <f t="shared" si="152"/>
        <v>PrecioFOB</v>
      </c>
      <c r="AI209" t="str">
        <f t="shared" si="153"/>
        <v>Monto II</v>
      </c>
      <c r="AJ209" t="str">
        <f t="shared" si="154"/>
        <v>Porcentaje II</v>
      </c>
      <c r="AK209" t="str">
        <f t="shared" si="155"/>
        <v>Foto</v>
      </c>
      <c r="AL209" t="str">
        <f>"{\rtf1\ansi\ansicpg1252\deff0\deflang11274{\fonttbl{\f0\fnil\fcharset0 MS Sans Serif}} \viewkind4\uc1\pard\f0\fs16 BOMBA DE AGUA FORD RANGER 3.0 TURBODIESEL POWER STROKE\par } "</f>
        <v xml:space="preserve">{\rtf1\ansi\ansicpg1252\deff0\deflang11274{\fonttbl{\f0\fnil\fcharset0 MS Sans Serif}} \viewkind4\uc1\pard\f0\fs16 BOMBA DE AGUA FORD RANGER 3.0 TURBODIESEL POWER STROKE\par } </v>
      </c>
      <c r="AM209" t="str">
        <f>" "</f>
        <v xml:space="preserve"> </v>
      </c>
    </row>
    <row r="210" spans="1:39" x14ac:dyDescent="0.25">
      <c r="A210" t="str">
        <f>"LWPN007"</f>
        <v>LWPN007</v>
      </c>
      <c r="B210" t="str">
        <f>"BOMBA DE AGUA PEUGEOT PARTNER 206 CITROEN C3 BERLINGO FIAT QUBO TU3JP"</f>
        <v>BOMBA DE AGUA PEUGEOT PARTNER 206 CITROEN C3 BERLINGO FIAT QUBO TU3JP</v>
      </c>
      <c r="C210" t="str">
        <f>"$ 31198,05"</f>
        <v>$ 31198,05</v>
      </c>
      <c r="D210" t="str">
        <f>"$ 31198,05"</f>
        <v>$ 31198,05</v>
      </c>
      <c r="E210" t="str">
        <f>"$ 31198,05"</f>
        <v>$ 31198,05</v>
      </c>
      <c r="F210" t="str">
        <f>"$ 31198,05"</f>
        <v>$ 31198,05</v>
      </c>
      <c r="G210" t="str">
        <f>"$ 31198,05"</f>
        <v>$ 31198,05</v>
      </c>
      <c r="H210" t="str">
        <f t="shared" si="138"/>
        <v>$ 0,00</v>
      </c>
      <c r="I210" t="str">
        <f t="shared" si="134"/>
        <v>BOMBAS DE AGUA</v>
      </c>
      <c r="J210" t="str">
        <f t="shared" si="139"/>
        <v>1</v>
      </c>
      <c r="K210" t="str">
        <f t="shared" si="133"/>
        <v>0</v>
      </c>
      <c r="L210" t="str">
        <f>"6,000"</f>
        <v>6,000</v>
      </c>
      <c r="M210" t="str">
        <f t="shared" si="140"/>
        <v xml:space="preserve"> </v>
      </c>
      <c r="N210" t="str">
        <f t="shared" si="135"/>
        <v>LUCAS</v>
      </c>
      <c r="O210" t="str">
        <f t="shared" si="136"/>
        <v>BOMBAS DE AGUA</v>
      </c>
      <c r="P210" t="str">
        <f t="shared" si="156"/>
        <v>0</v>
      </c>
      <c r="Q210" t="str">
        <f t="shared" si="156"/>
        <v>0</v>
      </c>
      <c r="R210" t="str">
        <f t="shared" si="157"/>
        <v>0,00</v>
      </c>
      <c r="S210" t="str">
        <f t="shared" si="157"/>
        <v>0,00</v>
      </c>
      <c r="T210" t="str">
        <f t="shared" si="159"/>
        <v xml:space="preserve"> </v>
      </c>
      <c r="U210" t="str">
        <f>" "</f>
        <v xml:space="preserve"> </v>
      </c>
      <c r="V210" t="str">
        <f>"6,000"</f>
        <v>6,000</v>
      </c>
      <c r="W210" t="str">
        <f t="shared" si="141"/>
        <v>Lista 4</v>
      </c>
      <c r="X210" t="str">
        <f t="shared" si="142"/>
        <v>Lista 5</v>
      </c>
      <c r="Y210" t="str">
        <f t="shared" si="143"/>
        <v>Oferta Gral.</v>
      </c>
      <c r="Z210" t="str">
        <f t="shared" si="144"/>
        <v>Rubro</v>
      </c>
      <c r="AA210" t="str">
        <f t="shared" si="145"/>
        <v>Cantidad por Bulto</v>
      </c>
      <c r="AB210" t="str">
        <f t="shared" si="146"/>
        <v>INNER</v>
      </c>
      <c r="AC210" t="str">
        <f t="shared" si="147"/>
        <v>Stock en Bultos</v>
      </c>
      <c r="AD210" t="str">
        <f t="shared" si="148"/>
        <v>SubDepósito</v>
      </c>
      <c r="AE210" t="str">
        <f t="shared" si="149"/>
        <v>Marca</v>
      </c>
      <c r="AF210" t="str">
        <f t="shared" si="150"/>
        <v>Super Rubro</v>
      </c>
      <c r="AG210" t="str">
        <f t="shared" si="151"/>
        <v>ComercioExterior</v>
      </c>
      <c r="AH210" t="str">
        <f t="shared" si="152"/>
        <v>PrecioFOB</v>
      </c>
      <c r="AI210" t="str">
        <f t="shared" si="153"/>
        <v>Monto II</v>
      </c>
      <c r="AJ210" t="str">
        <f t="shared" si="154"/>
        <v>Porcentaje II</v>
      </c>
      <c r="AK210" t="str">
        <f t="shared" si="155"/>
        <v>Foto</v>
      </c>
      <c r="AL210" t="str">
        <f>"{\rtf1\ansi\ansicpg1252\deff0\deflang11274{\fonttbl{\f0\fnil\fcharset0 MS Sans Serif}} \viewkind4\uc1\pard\f0\fs16 BOMBA DE AGUA PEUGEOT PARTNER 206 CITROEN C3 BERLINGO FIAT QUBO TU3JP\par } "</f>
        <v xml:space="preserve">{\rtf1\ansi\ansicpg1252\deff0\deflang11274{\fonttbl{\f0\fnil\fcharset0 MS Sans Serif}} \viewkind4\uc1\pard\f0\fs16 BOMBA DE AGUA PEUGEOT PARTNER 206 CITROEN C3 BERLINGO FIAT QUBO TU3JP\par } </v>
      </c>
      <c r="AM210" t="str">
        <f>" "</f>
        <v xml:space="preserve"> </v>
      </c>
    </row>
    <row r="211" spans="1:39" x14ac:dyDescent="0.25">
      <c r="A211" t="str">
        <f>"LWPN006"</f>
        <v>LWPN006</v>
      </c>
      <c r="B211" t="str">
        <f>"BOMBA DE AGUA PEUGEOT207 208 307 308 C3 C4 1.6 16V TU5JP4"</f>
        <v>BOMBA DE AGUA PEUGEOT207 208 307 308 C3 C4 1.6 16V TU5JP4</v>
      </c>
      <c r="C211" t="str">
        <f>"$ 38331,12"</f>
        <v>$ 38331,12</v>
      </c>
      <c r="D211" t="str">
        <f>"$ 38331,12"</f>
        <v>$ 38331,12</v>
      </c>
      <c r="E211" t="str">
        <f>"$ 38331,12"</f>
        <v>$ 38331,12</v>
      </c>
      <c r="F211" t="str">
        <f>"$ 38331,12"</f>
        <v>$ 38331,12</v>
      </c>
      <c r="G211" t="str">
        <f>"$ 38331,12"</f>
        <v>$ 38331,12</v>
      </c>
      <c r="H211" t="str">
        <f t="shared" si="138"/>
        <v>$ 0,00</v>
      </c>
      <c r="I211" t="str">
        <f t="shared" si="134"/>
        <v>BOMBAS DE AGUA</v>
      </c>
      <c r="J211" t="str">
        <f t="shared" si="139"/>
        <v>1</v>
      </c>
      <c r="K211" t="str">
        <f t="shared" si="133"/>
        <v>0</v>
      </c>
      <c r="L211" t="str">
        <f>"3,000"</f>
        <v>3,000</v>
      </c>
      <c r="M211" t="str">
        <f t="shared" si="140"/>
        <v xml:space="preserve"> </v>
      </c>
      <c r="N211" t="str">
        <f t="shared" si="135"/>
        <v>LUCAS</v>
      </c>
      <c r="O211" t="str">
        <f t="shared" si="136"/>
        <v>BOMBAS DE AGUA</v>
      </c>
      <c r="P211" t="str">
        <f t="shared" si="156"/>
        <v>0</v>
      </c>
      <c r="Q211" t="str">
        <f t="shared" si="156"/>
        <v>0</v>
      </c>
      <c r="R211" t="str">
        <f t="shared" si="157"/>
        <v>0,00</v>
      </c>
      <c r="S211" t="str">
        <f t="shared" si="157"/>
        <v>0,00</v>
      </c>
      <c r="T211" t="str">
        <f t="shared" si="159"/>
        <v xml:space="preserve"> </v>
      </c>
      <c r="U211" t="str">
        <f>" "</f>
        <v xml:space="preserve"> </v>
      </c>
      <c r="V211" t="str">
        <f>"3,000"</f>
        <v>3,000</v>
      </c>
      <c r="W211" t="str">
        <f t="shared" si="141"/>
        <v>Lista 4</v>
      </c>
      <c r="X211" t="str">
        <f t="shared" si="142"/>
        <v>Lista 5</v>
      </c>
      <c r="Y211" t="str">
        <f t="shared" si="143"/>
        <v>Oferta Gral.</v>
      </c>
      <c r="Z211" t="str">
        <f t="shared" si="144"/>
        <v>Rubro</v>
      </c>
      <c r="AA211" t="str">
        <f t="shared" si="145"/>
        <v>Cantidad por Bulto</v>
      </c>
      <c r="AB211" t="str">
        <f t="shared" si="146"/>
        <v>INNER</v>
      </c>
      <c r="AC211" t="str">
        <f t="shared" si="147"/>
        <v>Stock en Bultos</v>
      </c>
      <c r="AD211" t="str">
        <f t="shared" si="148"/>
        <v>SubDepósito</v>
      </c>
      <c r="AE211" t="str">
        <f t="shared" si="149"/>
        <v>Marca</v>
      </c>
      <c r="AF211" t="str">
        <f t="shared" si="150"/>
        <v>Super Rubro</v>
      </c>
      <c r="AG211" t="str">
        <f t="shared" si="151"/>
        <v>ComercioExterior</v>
      </c>
      <c r="AH211" t="str">
        <f t="shared" si="152"/>
        <v>PrecioFOB</v>
      </c>
      <c r="AI211" t="str">
        <f t="shared" si="153"/>
        <v>Monto II</v>
      </c>
      <c r="AJ211" t="str">
        <f t="shared" si="154"/>
        <v>Porcentaje II</v>
      </c>
      <c r="AK211" t="str">
        <f t="shared" si="155"/>
        <v>Foto</v>
      </c>
      <c r="AL211" t="str">
        <f>"{\rtf1\ansi\ansicpg1252\deff0\deflang11274{\fonttbl{\f0\fnil\fcharset0 MS Sans Serif}} \viewkind4\uc1\pard\f0\fs16 BOMBA DE AGUA PEUGEOT207 208 307 308 C3 C4 1.6 16V TU5JP4\par } "</f>
        <v xml:space="preserve">{\rtf1\ansi\ansicpg1252\deff0\deflang11274{\fonttbl{\f0\fnil\fcharset0 MS Sans Serif}} \viewkind4\uc1\pard\f0\fs16 BOMBA DE AGUA PEUGEOT207 208 307 308 C3 C4 1.6 16V TU5JP4\par } </v>
      </c>
      <c r="AM211" t="str">
        <f>"-"</f>
        <v>-</v>
      </c>
    </row>
    <row r="212" spans="1:39" x14ac:dyDescent="0.25">
      <c r="A212" t="str">
        <f>"LWPN027"</f>
        <v>LWPN027</v>
      </c>
      <c r="B212" t="str">
        <f>"BOMBA DE AGUA RENAULT CLIO MIO 1.2 16V"</f>
        <v>BOMBA DE AGUA RENAULT CLIO MIO 1.2 16V</v>
      </c>
      <c r="C212" t="str">
        <f>"$ 47954,18"</f>
        <v>$ 47954,18</v>
      </c>
      <c r="D212" t="str">
        <f>"$ 47954,18"</f>
        <v>$ 47954,18</v>
      </c>
      <c r="E212" t="str">
        <f>"$ 47954,18"</f>
        <v>$ 47954,18</v>
      </c>
      <c r="F212" t="str">
        <f>"$ 47954,18"</f>
        <v>$ 47954,18</v>
      </c>
      <c r="G212" t="str">
        <f>"$ 47954,18"</f>
        <v>$ 47954,18</v>
      </c>
      <c r="H212" t="str">
        <f t="shared" si="138"/>
        <v>$ 0,00</v>
      </c>
      <c r="I212" t="str">
        <f t="shared" si="134"/>
        <v>BOMBAS DE AGUA</v>
      </c>
      <c r="J212" t="str">
        <f t="shared" si="139"/>
        <v>1</v>
      </c>
      <c r="K212" t="str">
        <f t="shared" si="133"/>
        <v>0</v>
      </c>
      <c r="L212" t="str">
        <f>"5,000"</f>
        <v>5,000</v>
      </c>
      <c r="M212" t="str">
        <f t="shared" si="140"/>
        <v xml:space="preserve"> </v>
      </c>
      <c r="N212" t="str">
        <f t="shared" si="135"/>
        <v>LUCAS</v>
      </c>
      <c r="O212" t="str">
        <f t="shared" si="136"/>
        <v>BOMBAS DE AGUA</v>
      </c>
      <c r="P212" t="str">
        <f t="shared" si="156"/>
        <v>0</v>
      </c>
      <c r="Q212" t="str">
        <f t="shared" si="156"/>
        <v>0</v>
      </c>
      <c r="R212" t="str">
        <f t="shared" si="157"/>
        <v>0,00</v>
      </c>
      <c r="S212" t="str">
        <f t="shared" si="157"/>
        <v>0,00</v>
      </c>
      <c r="T212" t="str">
        <f t="shared" si="159"/>
        <v xml:space="preserve"> </v>
      </c>
      <c r="U212" t="str">
        <f>"-"</f>
        <v>-</v>
      </c>
      <c r="V212" t="str">
        <f>"5,000"</f>
        <v>5,000</v>
      </c>
      <c r="W212" t="str">
        <f t="shared" si="141"/>
        <v>Lista 4</v>
      </c>
      <c r="X212" t="str">
        <f t="shared" si="142"/>
        <v>Lista 5</v>
      </c>
      <c r="Y212" t="str">
        <f t="shared" si="143"/>
        <v>Oferta Gral.</v>
      </c>
      <c r="Z212" t="str">
        <f t="shared" si="144"/>
        <v>Rubro</v>
      </c>
      <c r="AA212" t="str">
        <f t="shared" si="145"/>
        <v>Cantidad por Bulto</v>
      </c>
      <c r="AB212" t="str">
        <f t="shared" si="146"/>
        <v>INNER</v>
      </c>
      <c r="AC212" t="str">
        <f t="shared" si="147"/>
        <v>Stock en Bultos</v>
      </c>
      <c r="AD212" t="str">
        <f t="shared" si="148"/>
        <v>SubDepósito</v>
      </c>
      <c r="AE212" t="str">
        <f t="shared" si="149"/>
        <v>Marca</v>
      </c>
      <c r="AF212" t="str">
        <f t="shared" si="150"/>
        <v>Super Rubro</v>
      </c>
      <c r="AG212" t="str">
        <f t="shared" si="151"/>
        <v>ComercioExterior</v>
      </c>
      <c r="AH212" t="str">
        <f t="shared" si="152"/>
        <v>PrecioFOB</v>
      </c>
      <c r="AI212" t="str">
        <f t="shared" si="153"/>
        <v>Monto II</v>
      </c>
      <c r="AJ212" t="str">
        <f t="shared" si="154"/>
        <v>Porcentaje II</v>
      </c>
      <c r="AK212" t="str">
        <f t="shared" si="155"/>
        <v>Foto</v>
      </c>
      <c r="AL212" t="str">
        <f>"{\rtf1\ansi\ansicpg1252\deff0\deflang11274{\fonttbl{\f0\fnil\fcharset0 MS Sans Serif}} \viewkind4\uc1\pard\f0\fs16 BOMBA DE AGUA RENAULT CLIO MIO 1.2 16V\par } "</f>
        <v xml:space="preserve">{\rtf1\ansi\ansicpg1252\deff0\deflang11274{\fonttbl{\f0\fnil\fcharset0 MS Sans Serif}} \viewkind4\uc1\pard\f0\fs16 BOMBA DE AGUA RENAULT CLIO MIO 1.2 16V\par } </v>
      </c>
      <c r="AM212" t="str">
        <f>" "</f>
        <v xml:space="preserve"> </v>
      </c>
    </row>
    <row r="213" spans="1:39" x14ac:dyDescent="0.25">
      <c r="A213" t="str">
        <f>"LWPN028"</f>
        <v>LWPN028</v>
      </c>
      <c r="B213" t="str">
        <f>"BOMBA DE AGUA RENAULT KANGOO MEGANE LOGAN 1.6 NRO ORIG 21010130 2R"</f>
        <v>BOMBA DE AGUA RENAULT KANGOO MEGANE LOGAN 1.6 NRO ORIG 21010130 2R</v>
      </c>
      <c r="C213" t="str">
        <f>"$ 61560,00"</f>
        <v>$ 61560,00</v>
      </c>
      <c r="D213" t="str">
        <f>"$ 61560,00"</f>
        <v>$ 61560,00</v>
      </c>
      <c r="E213" t="str">
        <f>"$ 61560,00"</f>
        <v>$ 61560,00</v>
      </c>
      <c r="F213" t="str">
        <f>"$ 61560,00"</f>
        <v>$ 61560,00</v>
      </c>
      <c r="G213" t="str">
        <f>"$ 61560,00"</f>
        <v>$ 61560,00</v>
      </c>
      <c r="H213" t="str">
        <f t="shared" si="138"/>
        <v>$ 0,00</v>
      </c>
      <c r="I213" t="str">
        <f t="shared" si="134"/>
        <v>BOMBAS DE AGUA</v>
      </c>
      <c r="J213" t="str">
        <f t="shared" si="139"/>
        <v>1</v>
      </c>
      <c r="K213" t="str">
        <f t="shared" si="133"/>
        <v>0</v>
      </c>
      <c r="L213" t="str">
        <f>"30,000"</f>
        <v>30,000</v>
      </c>
      <c r="M213" t="str">
        <f t="shared" si="140"/>
        <v xml:space="preserve"> </v>
      </c>
      <c r="N213" t="str">
        <f t="shared" si="135"/>
        <v>LUCAS</v>
      </c>
      <c r="O213" t="str">
        <f t="shared" si="136"/>
        <v>BOMBAS DE AGUA</v>
      </c>
      <c r="P213" t="str">
        <f t="shared" si="156"/>
        <v>0</v>
      </c>
      <c r="Q213" t="str">
        <f t="shared" si="156"/>
        <v>0</v>
      </c>
      <c r="R213" t="str">
        <f t="shared" si="157"/>
        <v>0,00</v>
      </c>
      <c r="S213" t="str">
        <f t="shared" si="157"/>
        <v>0,00</v>
      </c>
      <c r="T213" t="str">
        <f t="shared" si="159"/>
        <v xml:space="preserve"> </v>
      </c>
      <c r="U213" t="str">
        <f>" "</f>
        <v xml:space="preserve"> </v>
      </c>
      <c r="V213" t="str">
        <f>"30,000"</f>
        <v>30,000</v>
      </c>
      <c r="W213" t="str">
        <f t="shared" si="141"/>
        <v>Lista 4</v>
      </c>
      <c r="X213" t="str">
        <f t="shared" si="142"/>
        <v>Lista 5</v>
      </c>
      <c r="Y213" t="str">
        <f t="shared" si="143"/>
        <v>Oferta Gral.</v>
      </c>
      <c r="Z213" t="str">
        <f t="shared" si="144"/>
        <v>Rubro</v>
      </c>
      <c r="AA213" t="str">
        <f t="shared" si="145"/>
        <v>Cantidad por Bulto</v>
      </c>
      <c r="AB213" t="str">
        <f t="shared" si="146"/>
        <v>INNER</v>
      </c>
      <c r="AC213" t="str">
        <f t="shared" si="147"/>
        <v>Stock en Bultos</v>
      </c>
      <c r="AD213" t="str">
        <f t="shared" si="148"/>
        <v>SubDepósito</v>
      </c>
      <c r="AE213" t="str">
        <f t="shared" si="149"/>
        <v>Marca</v>
      </c>
      <c r="AF213" t="str">
        <f t="shared" si="150"/>
        <v>Super Rubro</v>
      </c>
      <c r="AG213" t="str">
        <f t="shared" si="151"/>
        <v>ComercioExterior</v>
      </c>
      <c r="AH213" t="str">
        <f t="shared" si="152"/>
        <v>PrecioFOB</v>
      </c>
      <c r="AI213" t="str">
        <f t="shared" si="153"/>
        <v>Monto II</v>
      </c>
      <c r="AJ213" t="str">
        <f t="shared" si="154"/>
        <v>Porcentaje II</v>
      </c>
      <c r="AK213" t="str">
        <f t="shared" si="155"/>
        <v>Foto</v>
      </c>
      <c r="AL21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13" t="str">
        <f>" "</f>
        <v xml:space="preserve"> </v>
      </c>
    </row>
    <row r="214" spans="1:39" x14ac:dyDescent="0.25">
      <c r="A214" t="str">
        <f>"LWPN026"</f>
        <v>LWPN026</v>
      </c>
      <c r="B214" t="str">
        <f>"BOMBA DE AGUA RENAULT MEGANE LAGUNA SCENIC DUSTER CAPTUR 2.0 F4R "</f>
        <v xml:space="preserve">BOMBA DE AGUA RENAULT MEGANE LAGUNA SCENIC DUSTER CAPTUR 2.0 F4R </v>
      </c>
      <c r="C214" t="str">
        <f>"$ 50355,07"</f>
        <v>$ 50355,07</v>
      </c>
      <c r="D214" t="str">
        <f>"$ 50355,07"</f>
        <v>$ 50355,07</v>
      </c>
      <c r="E214" t="str">
        <f>"$ 50355,07"</f>
        <v>$ 50355,07</v>
      </c>
      <c r="F214" t="str">
        <f>"$ 50355,07"</f>
        <v>$ 50355,07</v>
      </c>
      <c r="G214" t="str">
        <f>"$ 50355,07"</f>
        <v>$ 50355,07</v>
      </c>
      <c r="H214" t="str">
        <f t="shared" si="138"/>
        <v>$ 0,00</v>
      </c>
      <c r="I214" t="str">
        <f t="shared" si="134"/>
        <v>BOMBAS DE AGUA</v>
      </c>
      <c r="J214" t="str">
        <f t="shared" si="139"/>
        <v>1</v>
      </c>
      <c r="K214" t="str">
        <f>"1"</f>
        <v>1</v>
      </c>
      <c r="L214" t="str">
        <f>"4,000"</f>
        <v>4,000</v>
      </c>
      <c r="M214" t="str">
        <f t="shared" si="140"/>
        <v xml:space="preserve"> </v>
      </c>
      <c r="N214" t="str">
        <f t="shared" si="135"/>
        <v>LUCAS</v>
      </c>
      <c r="O214" t="str">
        <f t="shared" si="136"/>
        <v>BOMBAS DE AGUA</v>
      </c>
      <c r="P214" t="str">
        <f t="shared" si="156"/>
        <v>0</v>
      </c>
      <c r="Q214" t="str">
        <f t="shared" si="156"/>
        <v>0</v>
      </c>
      <c r="R214" t="str">
        <f t="shared" si="157"/>
        <v>0,00</v>
      </c>
      <c r="S214" t="str">
        <f t="shared" si="157"/>
        <v>0,00</v>
      </c>
      <c r="T214" t="str">
        <f t="shared" si="159"/>
        <v xml:space="preserve"> </v>
      </c>
      <c r="U214" t="str">
        <f>" "</f>
        <v xml:space="preserve"> </v>
      </c>
      <c r="V214" t="str">
        <f>"4,000"</f>
        <v>4,000</v>
      </c>
      <c r="W214" t="str">
        <f t="shared" si="141"/>
        <v>Lista 4</v>
      </c>
      <c r="X214" t="str">
        <f t="shared" si="142"/>
        <v>Lista 5</v>
      </c>
      <c r="Y214" t="str">
        <f t="shared" si="143"/>
        <v>Oferta Gral.</v>
      </c>
      <c r="Z214" t="str">
        <f t="shared" si="144"/>
        <v>Rubro</v>
      </c>
      <c r="AA214" t="str">
        <f t="shared" si="145"/>
        <v>Cantidad por Bulto</v>
      </c>
      <c r="AB214" t="str">
        <f t="shared" si="146"/>
        <v>INNER</v>
      </c>
      <c r="AC214" t="str">
        <f t="shared" si="147"/>
        <v>Stock en Bultos</v>
      </c>
      <c r="AD214" t="str">
        <f t="shared" si="148"/>
        <v>SubDepósito</v>
      </c>
      <c r="AE214" t="str">
        <f t="shared" si="149"/>
        <v>Marca</v>
      </c>
      <c r="AF214" t="str">
        <f t="shared" si="150"/>
        <v>Super Rubro</v>
      </c>
      <c r="AG214" t="str">
        <f t="shared" si="151"/>
        <v>ComercioExterior</v>
      </c>
      <c r="AH214" t="str">
        <f t="shared" si="152"/>
        <v>PrecioFOB</v>
      </c>
      <c r="AI214" t="str">
        <f t="shared" si="153"/>
        <v>Monto II</v>
      </c>
      <c r="AJ214" t="str">
        <f t="shared" si="154"/>
        <v>Porcentaje II</v>
      </c>
      <c r="AK214" t="str">
        <f t="shared" si="155"/>
        <v>Foto</v>
      </c>
      <c r="AL214" t="str">
        <f>"{\rtf1\ansi\ansicpg1252\deff0\deflang11274{\fonttbl{\f0\fnil\fcharset0 MS Sans Serif}} \viewkind4\uc1\pard\f0\fs16 BOMBA DE AGUA RENAULT MEGANE LAGUNA SCENIC DUSTER CAPTUR 2.0 F4R \par } "</f>
        <v xml:space="preserve">{\rtf1\ansi\ansicpg1252\deff0\deflang11274{\fonttbl{\f0\fnil\fcharset0 MS Sans Serif}} \viewkind4\uc1\pard\f0\fs16 BOMBA DE AGUA RENAULT MEGANE LAGUNA SCENIC DUSTER CAPTUR 2.0 F4R \par } </v>
      </c>
      <c r="AM214" t="str">
        <f>"-"</f>
        <v>-</v>
      </c>
    </row>
    <row r="215" spans="1:39" x14ac:dyDescent="0.25">
      <c r="A215" t="str">
        <f>"LWPN024"</f>
        <v>LWPN024</v>
      </c>
      <c r="B215" t="str">
        <f>"BOMBA DE AGUA RENAULT MEGANE SCENIC 1.9 DTI 2.0 F4R 1.9 F8Q"</f>
        <v>BOMBA DE AGUA RENAULT MEGANE SCENIC 1.9 DTI 2.0 F4R 1.9 F8Q</v>
      </c>
      <c r="C215" t="str">
        <f>"$ 72003,29"</f>
        <v>$ 72003,29</v>
      </c>
      <c r="D215" t="str">
        <f>"$ 72003,29"</f>
        <v>$ 72003,29</v>
      </c>
      <c r="E215" t="str">
        <f>"$ 72003,29"</f>
        <v>$ 72003,29</v>
      </c>
      <c r="F215" t="str">
        <f>"$ 72003,29"</f>
        <v>$ 72003,29</v>
      </c>
      <c r="G215" t="str">
        <f>"$ 72003,29"</f>
        <v>$ 72003,29</v>
      </c>
      <c r="H215" t="str">
        <f t="shared" si="138"/>
        <v>$ 0,00</v>
      </c>
      <c r="I215" t="str">
        <f t="shared" si="134"/>
        <v>BOMBAS DE AGUA</v>
      </c>
      <c r="J215" t="str">
        <f t="shared" si="139"/>
        <v>1</v>
      </c>
      <c r="K215" t="str">
        <f t="shared" ref="K215:K278" si="160">"0"</f>
        <v>0</v>
      </c>
      <c r="L215" t="str">
        <f>"9,000"</f>
        <v>9,000</v>
      </c>
      <c r="M215" t="str">
        <f t="shared" si="140"/>
        <v xml:space="preserve"> </v>
      </c>
      <c r="N215" t="str">
        <f t="shared" si="135"/>
        <v>LUCAS</v>
      </c>
      <c r="O215" t="str">
        <f t="shared" si="136"/>
        <v>BOMBAS DE AGUA</v>
      </c>
      <c r="P215" t="str">
        <f t="shared" si="156"/>
        <v>0</v>
      </c>
      <c r="Q215" t="str">
        <f t="shared" si="156"/>
        <v>0</v>
      </c>
      <c r="R215" t="str">
        <f t="shared" si="157"/>
        <v>0,00</v>
      </c>
      <c r="S215" t="str">
        <f t="shared" si="157"/>
        <v>0,00</v>
      </c>
      <c r="T215" t="str">
        <f t="shared" si="159"/>
        <v xml:space="preserve"> </v>
      </c>
      <c r="U215" t="str">
        <f>"-"</f>
        <v>-</v>
      </c>
      <c r="V215" t="str">
        <f>"9,000"</f>
        <v>9,000</v>
      </c>
      <c r="W215" t="str">
        <f t="shared" si="141"/>
        <v>Lista 4</v>
      </c>
      <c r="X215" t="str">
        <f t="shared" si="142"/>
        <v>Lista 5</v>
      </c>
      <c r="Y215" t="str">
        <f t="shared" si="143"/>
        <v>Oferta Gral.</v>
      </c>
      <c r="Z215" t="str">
        <f t="shared" si="144"/>
        <v>Rubro</v>
      </c>
      <c r="AA215" t="str">
        <f t="shared" si="145"/>
        <v>Cantidad por Bulto</v>
      </c>
      <c r="AB215" t="str">
        <f t="shared" si="146"/>
        <v>INNER</v>
      </c>
      <c r="AC215" t="str">
        <f t="shared" si="147"/>
        <v>Stock en Bultos</v>
      </c>
      <c r="AD215" t="str">
        <f t="shared" si="148"/>
        <v>SubDepósito</v>
      </c>
      <c r="AE215" t="str">
        <f t="shared" si="149"/>
        <v>Marca</v>
      </c>
      <c r="AF215" t="str">
        <f t="shared" si="150"/>
        <v>Super Rubro</v>
      </c>
      <c r="AG215" t="str">
        <f t="shared" si="151"/>
        <v>ComercioExterior</v>
      </c>
      <c r="AH215" t="str">
        <f t="shared" si="152"/>
        <v>PrecioFOB</v>
      </c>
      <c r="AI215" t="str">
        <f t="shared" si="153"/>
        <v>Monto II</v>
      </c>
      <c r="AJ215" t="str">
        <f t="shared" si="154"/>
        <v>Porcentaje II</v>
      </c>
      <c r="AK215" t="str">
        <f t="shared" si="155"/>
        <v>Foto</v>
      </c>
      <c r="AL215" t="str">
        <f>"{\rtf1\ansi\ansicpg1252\deff0\deflang11274{\fonttbl{\f0\fnil\fcharset0 MS Sans Serif}} \viewkind4\uc1\pard\f0\fs16 BOMBA DE AGUA RENAULT MEGANE SCENIC 1.9 DTI 2.0 F4R 1.9 F8Q\par } "</f>
        <v xml:space="preserve">{\rtf1\ansi\ansicpg1252\deff0\deflang11274{\fonttbl{\f0\fnil\fcharset0 MS Sans Serif}} \viewkind4\uc1\pard\f0\fs16 BOMBA DE AGUA RENAULT MEGANE SCENIC 1.9 DTI 2.0 F4R 1.9 F8Q\par } </v>
      </c>
      <c r="AM215" t="str">
        <f>" "</f>
        <v xml:space="preserve"> </v>
      </c>
    </row>
    <row r="216" spans="1:39" x14ac:dyDescent="0.25">
      <c r="A216" t="str">
        <f>"LWPN023"</f>
        <v>LWPN023</v>
      </c>
      <c r="B216" t="str">
        <f>"BOMBA DE AGUA RENAULT MEGANE SCENIC KANGOO 1.6 8V K7M"</f>
        <v>BOMBA DE AGUA RENAULT MEGANE SCENIC KANGOO 1.6 8V K7M</v>
      </c>
      <c r="C216" t="str">
        <f>"$ 53798,32"</f>
        <v>$ 53798,32</v>
      </c>
      <c r="D216" t="str">
        <f>"$ 53798,32"</f>
        <v>$ 53798,32</v>
      </c>
      <c r="E216" t="str">
        <f>"$ 53798,32"</f>
        <v>$ 53798,32</v>
      </c>
      <c r="F216" t="str">
        <f>"$ 53798,32"</f>
        <v>$ 53798,32</v>
      </c>
      <c r="G216" t="str">
        <f>"$ 53798,32"</f>
        <v>$ 53798,32</v>
      </c>
      <c r="H216" t="str">
        <f t="shared" si="138"/>
        <v>$ 0,00</v>
      </c>
      <c r="I216" t="str">
        <f t="shared" si="134"/>
        <v>BOMBAS DE AGUA</v>
      </c>
      <c r="J216" t="str">
        <f t="shared" si="139"/>
        <v>1</v>
      </c>
      <c r="K216" t="str">
        <f t="shared" si="160"/>
        <v>0</v>
      </c>
      <c r="L216" t="str">
        <f>"15,000"</f>
        <v>15,000</v>
      </c>
      <c r="M216" t="str">
        <f t="shared" si="140"/>
        <v xml:space="preserve"> </v>
      </c>
      <c r="N216" t="str">
        <f t="shared" si="135"/>
        <v>LUCAS</v>
      </c>
      <c r="O216" t="str">
        <f t="shared" si="136"/>
        <v>BOMBAS DE AGUA</v>
      </c>
      <c r="P216" t="str">
        <f t="shared" si="156"/>
        <v>0</v>
      </c>
      <c r="Q216" t="str">
        <f t="shared" si="156"/>
        <v>0</v>
      </c>
      <c r="R216" t="str">
        <f t="shared" si="157"/>
        <v>0,00</v>
      </c>
      <c r="S216" t="str">
        <f t="shared" si="157"/>
        <v>0,00</v>
      </c>
      <c r="T216" t="str">
        <f t="shared" si="159"/>
        <v xml:space="preserve"> </v>
      </c>
      <c r="U216" t="str">
        <f t="shared" ref="U216:U247" si="161">" "</f>
        <v xml:space="preserve"> </v>
      </c>
      <c r="V216" t="str">
        <f>"15,000"</f>
        <v>15,000</v>
      </c>
      <c r="W216" t="str">
        <f t="shared" si="141"/>
        <v>Lista 4</v>
      </c>
      <c r="X216" t="str">
        <f t="shared" si="142"/>
        <v>Lista 5</v>
      </c>
      <c r="Y216" t="str">
        <f t="shared" si="143"/>
        <v>Oferta Gral.</v>
      </c>
      <c r="Z216" t="str">
        <f t="shared" si="144"/>
        <v>Rubro</v>
      </c>
      <c r="AA216" t="str">
        <f t="shared" si="145"/>
        <v>Cantidad por Bulto</v>
      </c>
      <c r="AB216" t="str">
        <f t="shared" si="146"/>
        <v>INNER</v>
      </c>
      <c r="AC216" t="str">
        <f t="shared" si="147"/>
        <v>Stock en Bultos</v>
      </c>
      <c r="AD216" t="str">
        <f t="shared" si="148"/>
        <v>SubDepósito</v>
      </c>
      <c r="AE216" t="str">
        <f t="shared" si="149"/>
        <v>Marca</v>
      </c>
      <c r="AF216" t="str">
        <f t="shared" si="150"/>
        <v>Super Rubro</v>
      </c>
      <c r="AG216" t="str">
        <f t="shared" si="151"/>
        <v>ComercioExterior</v>
      </c>
      <c r="AH216" t="str">
        <f t="shared" si="152"/>
        <v>PrecioFOB</v>
      </c>
      <c r="AI216" t="str">
        <f t="shared" si="153"/>
        <v>Monto II</v>
      </c>
      <c r="AJ216" t="str">
        <f t="shared" si="154"/>
        <v>Porcentaje II</v>
      </c>
      <c r="AK216" t="str">
        <f t="shared" si="155"/>
        <v>Foto</v>
      </c>
      <c r="AL216" t="str">
        <f>"{\rtf1\ansi\ansicpg1252\deff0\deflang11274{\fonttbl{\f0\fnil\fcharset0 MS Sans Serif}} \viewkind4\uc1\pard\f0\fs16 BOMBA DE AGUA RENAULT MEGANE SCENIC KANGOO 1.6 8V K7M\par } "</f>
        <v xml:space="preserve">{\rtf1\ansi\ansicpg1252\deff0\deflang11274{\fonttbl{\f0\fnil\fcharset0 MS Sans Serif}} \viewkind4\uc1\pard\f0\fs16 BOMBA DE AGUA RENAULT MEGANE SCENIC KANGOO 1.6 8V K7M\par } </v>
      </c>
      <c r="AM216" t="str">
        <f>"-"</f>
        <v>-</v>
      </c>
    </row>
    <row r="217" spans="1:39" x14ac:dyDescent="0.25">
      <c r="A217" t="str">
        <f>"LWPN004"</f>
        <v>LWPN004</v>
      </c>
      <c r="B217" t="str">
        <f>"BOMBA DE AGUA VW AMAROK 2.0 TD BTD"</f>
        <v>BOMBA DE AGUA VW AMAROK 2.0 TD BTD</v>
      </c>
      <c r="C217" t="str">
        <f>"$ 50319,67"</f>
        <v>$ 50319,67</v>
      </c>
      <c r="D217" t="str">
        <f>"$ 50319,67"</f>
        <v>$ 50319,67</v>
      </c>
      <c r="E217" t="str">
        <f>"$ 50319,67"</f>
        <v>$ 50319,67</v>
      </c>
      <c r="F217" t="str">
        <f>"$ 50319,67"</f>
        <v>$ 50319,67</v>
      </c>
      <c r="G217" t="str">
        <f>"$ 50319,67"</f>
        <v>$ 50319,67</v>
      </c>
      <c r="H217" t="str">
        <f t="shared" si="138"/>
        <v>$ 0,00</v>
      </c>
      <c r="I217" t="str">
        <f t="shared" si="134"/>
        <v>BOMBAS DE AGUA</v>
      </c>
      <c r="J217" t="str">
        <f t="shared" si="139"/>
        <v>1</v>
      </c>
      <c r="K217" t="str">
        <f t="shared" si="160"/>
        <v>0</v>
      </c>
      <c r="L217" t="str">
        <f>"15,000"</f>
        <v>15,000</v>
      </c>
      <c r="M217" t="str">
        <f t="shared" si="140"/>
        <v xml:space="preserve"> </v>
      </c>
      <c r="N217" t="str">
        <f t="shared" si="135"/>
        <v>LUCAS</v>
      </c>
      <c r="O217" t="str">
        <f t="shared" si="136"/>
        <v>BOMBAS DE AGUA</v>
      </c>
      <c r="P217" t="str">
        <f t="shared" si="156"/>
        <v>0</v>
      </c>
      <c r="Q217" t="str">
        <f t="shared" si="156"/>
        <v>0</v>
      </c>
      <c r="R217" t="str">
        <f t="shared" si="157"/>
        <v>0,00</v>
      </c>
      <c r="S217" t="str">
        <f t="shared" si="157"/>
        <v>0,00</v>
      </c>
      <c r="T217" t="str">
        <f t="shared" si="159"/>
        <v xml:space="preserve"> </v>
      </c>
      <c r="U217" t="str">
        <f t="shared" si="161"/>
        <v xml:space="preserve"> </v>
      </c>
      <c r="V217" t="str">
        <f>"15,000"</f>
        <v>15,000</v>
      </c>
      <c r="W217" t="str">
        <f t="shared" si="141"/>
        <v>Lista 4</v>
      </c>
      <c r="X217" t="str">
        <f t="shared" si="142"/>
        <v>Lista 5</v>
      </c>
      <c r="Y217" t="str">
        <f t="shared" si="143"/>
        <v>Oferta Gral.</v>
      </c>
      <c r="Z217" t="str">
        <f t="shared" si="144"/>
        <v>Rubro</v>
      </c>
      <c r="AA217" t="str">
        <f t="shared" si="145"/>
        <v>Cantidad por Bulto</v>
      </c>
      <c r="AB217" t="str">
        <f t="shared" si="146"/>
        <v>INNER</v>
      </c>
      <c r="AC217" t="str">
        <f t="shared" si="147"/>
        <v>Stock en Bultos</v>
      </c>
      <c r="AD217" t="str">
        <f t="shared" si="148"/>
        <v>SubDepósito</v>
      </c>
      <c r="AE217" t="str">
        <f t="shared" si="149"/>
        <v>Marca</v>
      </c>
      <c r="AF217" t="str">
        <f t="shared" si="150"/>
        <v>Super Rubro</v>
      </c>
      <c r="AG217" t="str">
        <f t="shared" si="151"/>
        <v>ComercioExterior</v>
      </c>
      <c r="AH217" t="str">
        <f t="shared" si="152"/>
        <v>PrecioFOB</v>
      </c>
      <c r="AI217" t="str">
        <f t="shared" si="153"/>
        <v>Monto II</v>
      </c>
      <c r="AJ217" t="str">
        <f t="shared" si="154"/>
        <v>Porcentaje II</v>
      </c>
      <c r="AK217" t="str">
        <f t="shared" si="155"/>
        <v>Foto</v>
      </c>
      <c r="AL217" t="str">
        <f>"{\rtf1\ansi\ansicpg1252\deff0\deflang2058{\fonttbl{\f0\fnil\fcharset0 MS Sans Serif}} \viewkind4\uc1\pard\f0\fs16 BOMBA DE AGUA VW AMAROK 2.0 TD BTD\par } "</f>
        <v xml:space="preserve">{\rtf1\ansi\ansicpg1252\deff0\deflang2058{\fonttbl{\f0\fnil\fcharset0 MS Sans Serif}} \viewkind4\uc1\pard\f0\fs16 BOMBA DE AGUA VW AMAROK 2.0 TD BTD\par } </v>
      </c>
      <c r="AM217" t="str">
        <f>" "</f>
        <v xml:space="preserve"> </v>
      </c>
    </row>
    <row r="218" spans="1:39" x14ac:dyDescent="0.25">
      <c r="A218" t="str">
        <f>"LWPN046"</f>
        <v>LWPN046</v>
      </c>
      <c r="B218" t="str">
        <f>"BOMBA DE AGUA VW FOX SURAN GOL TREND 1.6 16V VW UP 1.0"</f>
        <v>BOMBA DE AGUA VW FOX SURAN GOL TREND 1.6 16V VW UP 1.0</v>
      </c>
      <c r="C218" t="str">
        <f>"$ 48970,93"</f>
        <v>$ 48970,93</v>
      </c>
      <c r="D218" t="str">
        <f>"$ 48970,93"</f>
        <v>$ 48970,93</v>
      </c>
      <c r="E218" t="str">
        <f>"$ 48970,93"</f>
        <v>$ 48970,93</v>
      </c>
      <c r="F218" t="str">
        <f>"$ 48970,93"</f>
        <v>$ 48970,93</v>
      </c>
      <c r="G218" t="str">
        <f>"$ 48970,93"</f>
        <v>$ 48970,93</v>
      </c>
      <c r="H218" t="str">
        <f t="shared" si="138"/>
        <v>$ 0,00</v>
      </c>
      <c r="I218" t="str">
        <f t="shared" si="134"/>
        <v>BOMBAS DE AGUA</v>
      </c>
      <c r="J218" t="str">
        <f t="shared" si="139"/>
        <v>1</v>
      </c>
      <c r="K218" t="str">
        <f t="shared" si="160"/>
        <v>0</v>
      </c>
      <c r="L218" t="str">
        <f>"19,000"</f>
        <v>19,000</v>
      </c>
      <c r="M218" t="str">
        <f t="shared" si="140"/>
        <v xml:space="preserve"> </v>
      </c>
      <c r="N218" t="str">
        <f t="shared" si="135"/>
        <v>LUCAS</v>
      </c>
      <c r="O218" t="str">
        <f t="shared" si="136"/>
        <v>BOMBAS DE AGUA</v>
      </c>
      <c r="P218" t="str">
        <f t="shared" si="156"/>
        <v>0</v>
      </c>
      <c r="Q218" t="str">
        <f t="shared" si="156"/>
        <v>0</v>
      </c>
      <c r="R218" t="str">
        <f t="shared" si="157"/>
        <v>0,00</v>
      </c>
      <c r="S218" t="str">
        <f t="shared" si="157"/>
        <v>0,00</v>
      </c>
      <c r="T218" t="str">
        <f t="shared" si="159"/>
        <v xml:space="preserve"> </v>
      </c>
      <c r="U218" t="str">
        <f t="shared" si="161"/>
        <v xml:space="preserve"> </v>
      </c>
      <c r="V218" t="str">
        <f>"19,000"</f>
        <v>19,000</v>
      </c>
      <c r="W218" t="str">
        <f t="shared" si="141"/>
        <v>Lista 4</v>
      </c>
      <c r="X218" t="str">
        <f t="shared" si="142"/>
        <v>Lista 5</v>
      </c>
      <c r="Y218" t="str">
        <f t="shared" si="143"/>
        <v>Oferta Gral.</v>
      </c>
      <c r="Z218" t="str">
        <f t="shared" si="144"/>
        <v>Rubro</v>
      </c>
      <c r="AA218" t="str">
        <f t="shared" si="145"/>
        <v>Cantidad por Bulto</v>
      </c>
      <c r="AB218" t="str">
        <f t="shared" si="146"/>
        <v>INNER</v>
      </c>
      <c r="AC218" t="str">
        <f t="shared" si="147"/>
        <v>Stock en Bultos</v>
      </c>
      <c r="AD218" t="str">
        <f t="shared" si="148"/>
        <v>SubDepósito</v>
      </c>
      <c r="AE218" t="str">
        <f t="shared" si="149"/>
        <v>Marca</v>
      </c>
      <c r="AF218" t="str">
        <f t="shared" si="150"/>
        <v>Super Rubro</v>
      </c>
      <c r="AG218" t="str">
        <f t="shared" si="151"/>
        <v>ComercioExterior</v>
      </c>
      <c r="AH218" t="str">
        <f t="shared" si="152"/>
        <v>PrecioFOB</v>
      </c>
      <c r="AI218" t="str">
        <f t="shared" si="153"/>
        <v>Monto II</v>
      </c>
      <c r="AJ218" t="str">
        <f t="shared" si="154"/>
        <v>Porcentaje II</v>
      </c>
      <c r="AK218" t="str">
        <f t="shared" si="155"/>
        <v>Foto</v>
      </c>
      <c r="AL21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18" t="str">
        <f>" "</f>
        <v xml:space="preserve"> </v>
      </c>
    </row>
    <row r="219" spans="1:39" x14ac:dyDescent="0.25">
      <c r="A219" t="str">
        <f>"LWPN002"</f>
        <v>LWPN002</v>
      </c>
      <c r="B219" t="str">
        <f>"BOMBA DE AGUA VW FOX SURAN GOL TREND VOYAGE 030121005N NV NX T TV TX"</f>
        <v>BOMBA DE AGUA VW FOX SURAN GOL TREND VOYAGE 030121005N NV NX T TV TX</v>
      </c>
      <c r="C219" t="str">
        <f>"$ 38006,45"</f>
        <v>$ 38006,45</v>
      </c>
      <c r="D219" t="str">
        <f>"$ 38006,45"</f>
        <v>$ 38006,45</v>
      </c>
      <c r="E219" t="str">
        <f>"$ 38006,45"</f>
        <v>$ 38006,45</v>
      </c>
      <c r="F219" t="str">
        <f>"$ 38006,45"</f>
        <v>$ 38006,45</v>
      </c>
      <c r="G219" t="str">
        <f>"$ 38006,45"</f>
        <v>$ 38006,45</v>
      </c>
      <c r="H219" t="str">
        <f t="shared" si="138"/>
        <v>$ 0,00</v>
      </c>
      <c r="I219" t="str">
        <f t="shared" si="134"/>
        <v>BOMBAS DE AGUA</v>
      </c>
      <c r="J219" t="str">
        <f t="shared" si="139"/>
        <v>1</v>
      </c>
      <c r="K219" t="str">
        <f t="shared" si="160"/>
        <v>0</v>
      </c>
      <c r="L219" t="str">
        <f>"12,000"</f>
        <v>12,000</v>
      </c>
      <c r="M219" t="str">
        <f t="shared" si="140"/>
        <v xml:space="preserve"> </v>
      </c>
      <c r="N219" t="str">
        <f t="shared" si="135"/>
        <v>LUCAS</v>
      </c>
      <c r="O219" t="str">
        <f t="shared" si="136"/>
        <v>BOMBAS DE AGUA</v>
      </c>
      <c r="P219" t="str">
        <f t="shared" si="156"/>
        <v>0</v>
      </c>
      <c r="Q219" t="str">
        <f t="shared" si="156"/>
        <v>0</v>
      </c>
      <c r="R219" t="str">
        <f t="shared" si="157"/>
        <v>0,00</v>
      </c>
      <c r="S219" t="str">
        <f t="shared" si="157"/>
        <v>0,00</v>
      </c>
      <c r="T219" t="str">
        <f t="shared" si="159"/>
        <v xml:space="preserve"> </v>
      </c>
      <c r="U219" t="str">
        <f t="shared" si="161"/>
        <v xml:space="preserve"> </v>
      </c>
      <c r="V219" t="str">
        <f>"12,000"</f>
        <v>12,000</v>
      </c>
      <c r="W219" t="str">
        <f t="shared" si="141"/>
        <v>Lista 4</v>
      </c>
      <c r="X219" t="str">
        <f t="shared" si="142"/>
        <v>Lista 5</v>
      </c>
      <c r="Y219" t="str">
        <f t="shared" si="143"/>
        <v>Oferta Gral.</v>
      </c>
      <c r="Z219" t="str">
        <f t="shared" si="144"/>
        <v>Rubro</v>
      </c>
      <c r="AA219" t="str">
        <f t="shared" si="145"/>
        <v>Cantidad por Bulto</v>
      </c>
      <c r="AB219" t="str">
        <f t="shared" si="146"/>
        <v>INNER</v>
      </c>
      <c r="AC219" t="str">
        <f t="shared" si="147"/>
        <v>Stock en Bultos</v>
      </c>
      <c r="AD219" t="str">
        <f t="shared" si="148"/>
        <v>SubDepósito</v>
      </c>
      <c r="AE219" t="str">
        <f t="shared" si="149"/>
        <v>Marca</v>
      </c>
      <c r="AF219" t="str">
        <f t="shared" si="150"/>
        <v>Super Rubro</v>
      </c>
      <c r="AG219" t="str">
        <f t="shared" si="151"/>
        <v>ComercioExterior</v>
      </c>
      <c r="AH219" t="str">
        <f t="shared" si="152"/>
        <v>PrecioFOB</v>
      </c>
      <c r="AI219" t="str">
        <f t="shared" si="153"/>
        <v>Monto II</v>
      </c>
      <c r="AJ219" t="str">
        <f t="shared" si="154"/>
        <v>Porcentaje II</v>
      </c>
      <c r="AK219" t="str">
        <f t="shared" si="155"/>
        <v>Foto</v>
      </c>
      <c r="AL219" t="str">
        <f>"{\rtf1\ansi\ansicpg1252\deff0\deflang11274{\fonttbl{\f0\fnil\fcharset0 MS Sans Serif}} \viewkind4\uc1\pard\f0\fs16 BOMBA DE AGUA VW FOX SURAN GOL TREND VOYAGE 030121005N NV NX T TV TX\par } "</f>
        <v xml:space="preserve">{\rtf1\ansi\ansicpg1252\deff0\deflang11274{\fonttbl{\f0\fnil\fcharset0 MS Sans Serif}} \viewkind4\uc1\pard\f0\fs16 BOMBA DE AGUA VW FOX SURAN GOL TREND VOYAGE 030121005N NV NX T TV TX\par } </v>
      </c>
      <c r="AM219" t="str">
        <f>"-"</f>
        <v>-</v>
      </c>
    </row>
    <row r="220" spans="1:39" x14ac:dyDescent="0.25">
      <c r="A220" t="str">
        <f>"LWPN001"</f>
        <v>LWPN001</v>
      </c>
      <c r="B220" t="str">
        <f>"BOMBA DE AGUA VW GOL POLO SENDA ESCORT GALAXI MOTOR AUDI"</f>
        <v>BOMBA DE AGUA VW GOL POLO SENDA ESCORT GALAXI MOTOR AUDI</v>
      </c>
      <c r="C220" t="str">
        <f>"$ 38588,67"</f>
        <v>$ 38588,67</v>
      </c>
      <c r="D220" t="str">
        <f>"$ 38588,67"</f>
        <v>$ 38588,67</v>
      </c>
      <c r="E220" t="str">
        <f>"$ 38588,67"</f>
        <v>$ 38588,67</v>
      </c>
      <c r="F220" t="str">
        <f>"$ 38588,67"</f>
        <v>$ 38588,67</v>
      </c>
      <c r="G220" t="str">
        <f>"$ 38588,67"</f>
        <v>$ 38588,67</v>
      </c>
      <c r="H220" t="str">
        <f t="shared" si="138"/>
        <v>$ 0,00</v>
      </c>
      <c r="I220" t="str">
        <f t="shared" si="134"/>
        <v>BOMBAS DE AGUA</v>
      </c>
      <c r="J220" t="str">
        <f t="shared" si="139"/>
        <v>1</v>
      </c>
      <c r="K220" t="str">
        <f t="shared" si="160"/>
        <v>0</v>
      </c>
      <c r="L220" t="str">
        <f>"5,000"</f>
        <v>5,000</v>
      </c>
      <c r="M220" t="str">
        <f t="shared" si="140"/>
        <v xml:space="preserve"> </v>
      </c>
      <c r="N220" t="str">
        <f t="shared" si="135"/>
        <v>LUCAS</v>
      </c>
      <c r="O220" t="str">
        <f t="shared" si="136"/>
        <v>BOMBAS DE AGUA</v>
      </c>
      <c r="P220" t="str">
        <f t="shared" si="156"/>
        <v>0</v>
      </c>
      <c r="Q220" t="str">
        <f t="shared" si="156"/>
        <v>0</v>
      </c>
      <c r="R220" t="str">
        <f t="shared" si="157"/>
        <v>0,00</v>
      </c>
      <c r="S220" t="str">
        <f t="shared" si="157"/>
        <v>0,00</v>
      </c>
      <c r="T220" t="str">
        <f t="shared" si="159"/>
        <v xml:space="preserve"> </v>
      </c>
      <c r="U220" t="str">
        <f t="shared" si="161"/>
        <v xml:space="preserve"> </v>
      </c>
      <c r="V220" t="str">
        <f>"5,000"</f>
        <v>5,000</v>
      </c>
      <c r="W220" t="str">
        <f t="shared" si="141"/>
        <v>Lista 4</v>
      </c>
      <c r="X220" t="str">
        <f t="shared" si="142"/>
        <v>Lista 5</v>
      </c>
      <c r="Y220" t="str">
        <f t="shared" si="143"/>
        <v>Oferta Gral.</v>
      </c>
      <c r="Z220" t="str">
        <f t="shared" si="144"/>
        <v>Rubro</v>
      </c>
      <c r="AA220" t="str">
        <f t="shared" si="145"/>
        <v>Cantidad por Bulto</v>
      </c>
      <c r="AB220" t="str">
        <f t="shared" si="146"/>
        <v>INNER</v>
      </c>
      <c r="AC220" t="str">
        <f t="shared" si="147"/>
        <v>Stock en Bultos</v>
      </c>
      <c r="AD220" t="str">
        <f t="shared" si="148"/>
        <v>SubDepósito</v>
      </c>
      <c r="AE220" t="str">
        <f t="shared" si="149"/>
        <v>Marca</v>
      </c>
      <c r="AF220" t="str">
        <f t="shared" si="150"/>
        <v>Super Rubro</v>
      </c>
      <c r="AG220" t="str">
        <f t="shared" si="151"/>
        <v>ComercioExterior</v>
      </c>
      <c r="AH220" t="str">
        <f t="shared" si="152"/>
        <v>PrecioFOB</v>
      </c>
      <c r="AI220" t="str">
        <f t="shared" si="153"/>
        <v>Monto II</v>
      </c>
      <c r="AJ220" t="str">
        <f t="shared" si="154"/>
        <v>Porcentaje II</v>
      </c>
      <c r="AK220" t="str">
        <f t="shared" si="155"/>
        <v>Foto</v>
      </c>
      <c r="AL220" t="str">
        <f>"{\rtf1\ansi\ansicpg1252\deff0\deflang11274{\fonttbl{\f0\fnil\fcharset0 MS Sans Serif}} \viewkind4\uc1\pard\f0\fs16 BOMBA DE AGUA VW GOL POLO SENDA ESCORT GALAXI MOTOR AUDI\par } "</f>
        <v xml:space="preserve">{\rtf1\ansi\ansicpg1252\deff0\deflang11274{\fonttbl{\f0\fnil\fcharset0 MS Sans Serif}} \viewkind4\uc1\pard\f0\fs16 BOMBA DE AGUA VW GOL POLO SENDA ESCORT GALAXI MOTOR AUDI\par } </v>
      </c>
      <c r="AM220" t="str">
        <f>"-"</f>
        <v>-</v>
      </c>
    </row>
    <row r="221" spans="1:39" x14ac:dyDescent="0.25">
      <c r="A221" t="str">
        <f>"LWPN003"</f>
        <v>LWPN003</v>
      </c>
      <c r="B221" t="str">
        <f>"BOMBA DE AGUA VW GOLF BORA PASSAT NEW BEETLE SHARAM 1.8T 06A121011C E F G H L LV "</f>
        <v xml:space="preserve">BOMBA DE AGUA VW GOLF BORA PASSAT NEW BEETLE SHARAM 1.8T 06A121011C E F G H L LV </v>
      </c>
      <c r="C221" t="str">
        <f>"$ 35127,10"</f>
        <v>$ 35127,10</v>
      </c>
      <c r="D221" t="str">
        <f>"$ 35127,10"</f>
        <v>$ 35127,10</v>
      </c>
      <c r="E221" t="str">
        <f>"$ 35127,10"</f>
        <v>$ 35127,10</v>
      </c>
      <c r="F221" t="str">
        <f>"$ 35127,10"</f>
        <v>$ 35127,10</v>
      </c>
      <c r="G221" t="str">
        <f>"$ 35127,10"</f>
        <v>$ 35127,10</v>
      </c>
      <c r="H221" t="str">
        <f t="shared" si="138"/>
        <v>$ 0,00</v>
      </c>
      <c r="I221" t="str">
        <f t="shared" si="134"/>
        <v>BOMBAS DE AGUA</v>
      </c>
      <c r="J221" t="str">
        <f t="shared" si="139"/>
        <v>1</v>
      </c>
      <c r="K221" t="str">
        <f t="shared" si="160"/>
        <v>0</v>
      </c>
      <c r="L221" t="str">
        <f>"5,000"</f>
        <v>5,000</v>
      </c>
      <c r="M221" t="str">
        <f t="shared" si="140"/>
        <v xml:space="preserve"> </v>
      </c>
      <c r="N221" t="str">
        <f t="shared" si="135"/>
        <v>LUCAS</v>
      </c>
      <c r="O221" t="str">
        <f t="shared" si="136"/>
        <v>BOMBAS DE AGUA</v>
      </c>
      <c r="P221" t="str">
        <f t="shared" si="156"/>
        <v>0</v>
      </c>
      <c r="Q221" t="str">
        <f t="shared" si="156"/>
        <v>0</v>
      </c>
      <c r="R221" t="str">
        <f t="shared" si="157"/>
        <v>0,00</v>
      </c>
      <c r="S221" t="str">
        <f t="shared" si="157"/>
        <v>0,00</v>
      </c>
      <c r="T221" t="str">
        <f t="shared" si="159"/>
        <v xml:space="preserve"> </v>
      </c>
      <c r="U221" t="str">
        <f t="shared" si="161"/>
        <v xml:space="preserve"> </v>
      </c>
      <c r="V221" t="str">
        <f>"5,000"</f>
        <v>5,000</v>
      </c>
      <c r="W221" t="str">
        <f t="shared" si="141"/>
        <v>Lista 4</v>
      </c>
      <c r="X221" t="str">
        <f t="shared" si="142"/>
        <v>Lista 5</v>
      </c>
      <c r="Y221" t="str">
        <f t="shared" si="143"/>
        <v>Oferta Gral.</v>
      </c>
      <c r="Z221" t="str">
        <f t="shared" si="144"/>
        <v>Rubro</v>
      </c>
      <c r="AA221" t="str">
        <f t="shared" si="145"/>
        <v>Cantidad por Bulto</v>
      </c>
      <c r="AB221" t="str">
        <f t="shared" si="146"/>
        <v>INNER</v>
      </c>
      <c r="AC221" t="str">
        <f t="shared" si="147"/>
        <v>Stock en Bultos</v>
      </c>
      <c r="AD221" t="str">
        <f t="shared" si="148"/>
        <v>SubDepósito</v>
      </c>
      <c r="AE221" t="str">
        <f t="shared" si="149"/>
        <v>Marca</v>
      </c>
      <c r="AF221" t="str">
        <f t="shared" si="150"/>
        <v>Super Rubro</v>
      </c>
      <c r="AG221" t="str">
        <f t="shared" si="151"/>
        <v>ComercioExterior</v>
      </c>
      <c r="AH221" t="str">
        <f t="shared" si="152"/>
        <v>PrecioFOB</v>
      </c>
      <c r="AI221" t="str">
        <f t="shared" si="153"/>
        <v>Monto II</v>
      </c>
      <c r="AJ221" t="str">
        <f t="shared" si="154"/>
        <v>Porcentaje II</v>
      </c>
      <c r="AK221" t="str">
        <f t="shared" si="155"/>
        <v>Foto</v>
      </c>
      <c r="AL221" t="str">
        <f>"{\rtf1\ansi\ansicpg1252\deff0\deflang11274{\fonttbl{\f0\fnil\fcharset0 MS Sans Serif}} \viewkind4\uc1\pard\f0\fs16 BOMBA DE AGUA VW GOLF BORA PASSAT NEW BEETLE SHARAM 1.8T 06A121011C E F G H L LV \par } "</f>
        <v xml:space="preserve">{\rtf1\ansi\ansicpg1252\deff0\deflang11274{\fonttbl{\f0\fnil\fcharset0 MS Sans Serif}} \viewkind4\uc1\pard\f0\fs16 BOMBA DE AGUA VW GOLF BORA PASSAT NEW BEETLE SHARAM 1.8T 06A121011C E F G H L LV \par } </v>
      </c>
      <c r="AM221" t="str">
        <f>"-"</f>
        <v>-</v>
      </c>
    </row>
    <row r="222" spans="1:39" x14ac:dyDescent="0.25">
      <c r="A222" t="str">
        <f>"FI20910"</f>
        <v>FI20910</v>
      </c>
      <c r="B222" t="str">
        <f>"BOMBA DE COMBUSTIBLE FORD ORION/ESCORT/MERCEDES/AUDI 6 BAR"</f>
        <v>BOMBA DE COMBUSTIBLE FORD ORION/ESCORT/MERCEDES/AUDI 6 BAR</v>
      </c>
      <c r="C222" t="str">
        <f>"$ 86668,57"</f>
        <v>$ 86668,57</v>
      </c>
      <c r="D222" t="str">
        <f>"$ 86668,57"</f>
        <v>$ 86668,57</v>
      </c>
      <c r="E222" t="str">
        <f>"$ 86668,57"</f>
        <v>$ 86668,57</v>
      </c>
      <c r="F222" t="str">
        <f>"$ 86668,57"</f>
        <v>$ 86668,57</v>
      </c>
      <c r="G222" t="str">
        <f>"$ 86668,57"</f>
        <v>$ 86668,57</v>
      </c>
      <c r="H222" t="str">
        <f t="shared" si="138"/>
        <v>$ 0,00</v>
      </c>
      <c r="I222" t="str">
        <f t="shared" ref="I222:I230" si="162">"BOMBA COMBUSTIBLE ELECTRICA"</f>
        <v>BOMBA COMBUSTIBLE ELECTRICA</v>
      </c>
      <c r="J222" t="str">
        <f t="shared" si="139"/>
        <v>1</v>
      </c>
      <c r="K222" t="str">
        <f t="shared" si="160"/>
        <v>0</v>
      </c>
      <c r="L222" t="str">
        <f>"3,000"</f>
        <v>3,000</v>
      </c>
      <c r="M222" t="str">
        <f t="shared" si="140"/>
        <v xml:space="preserve"> </v>
      </c>
      <c r="N222" t="str">
        <f t="shared" ref="N222:N230" si="163">"FISPA"</f>
        <v>FISPA</v>
      </c>
      <c r="O222" t="str">
        <f t="shared" ref="O222:O231" si="164">"BOMBAS"</f>
        <v>BOMBAS</v>
      </c>
      <c r="P222" t="str">
        <f t="shared" si="156"/>
        <v>0</v>
      </c>
      <c r="Q222" t="str">
        <f t="shared" si="156"/>
        <v>0</v>
      </c>
      <c r="R222" t="str">
        <f t="shared" si="157"/>
        <v>0,00</v>
      </c>
      <c r="S222" t="str">
        <f t="shared" si="157"/>
        <v>0,00</v>
      </c>
      <c r="T222" t="str">
        <f t="shared" si="159"/>
        <v xml:space="preserve"> </v>
      </c>
      <c r="U222" t="str">
        <f t="shared" si="161"/>
        <v xml:space="preserve"> </v>
      </c>
      <c r="V222" t="str">
        <f>"3,000"</f>
        <v>3,000</v>
      </c>
      <c r="W222" t="str">
        <f t="shared" si="141"/>
        <v>Lista 4</v>
      </c>
      <c r="X222" t="str">
        <f t="shared" si="142"/>
        <v>Lista 5</v>
      </c>
      <c r="Y222" t="str">
        <f t="shared" si="143"/>
        <v>Oferta Gral.</v>
      </c>
      <c r="Z222" t="str">
        <f t="shared" si="144"/>
        <v>Rubro</v>
      </c>
      <c r="AA222" t="str">
        <f t="shared" si="145"/>
        <v>Cantidad por Bulto</v>
      </c>
      <c r="AB222" t="str">
        <f t="shared" si="146"/>
        <v>INNER</v>
      </c>
      <c r="AC222" t="str">
        <f t="shared" si="147"/>
        <v>Stock en Bultos</v>
      </c>
      <c r="AD222" t="str">
        <f t="shared" si="148"/>
        <v>SubDepósito</v>
      </c>
      <c r="AE222" t="str">
        <f t="shared" si="149"/>
        <v>Marca</v>
      </c>
      <c r="AF222" t="str">
        <f t="shared" si="150"/>
        <v>Super Rubro</v>
      </c>
      <c r="AG222" t="str">
        <f t="shared" si="151"/>
        <v>ComercioExterior</v>
      </c>
      <c r="AH222" t="str">
        <f t="shared" si="152"/>
        <v>PrecioFOB</v>
      </c>
      <c r="AI222" t="str">
        <f t="shared" si="153"/>
        <v>Monto II</v>
      </c>
      <c r="AJ222" t="str">
        <f t="shared" si="154"/>
        <v>Porcentaje II</v>
      </c>
      <c r="AK222" t="str">
        <f t="shared" si="155"/>
        <v>Foto</v>
      </c>
      <c r="AL2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22" t="str">
        <f>"-"</f>
        <v>-</v>
      </c>
    </row>
    <row r="223" spans="1:39" x14ac:dyDescent="0.25">
      <c r="A223" t="str">
        <f>"FI64074"</f>
        <v>FI64074</v>
      </c>
      <c r="B223" t="str">
        <f>"BOMBA DE COMBUSTIBLE NISSAN MARCH VERSA SENTRA 170409AB0A"</f>
        <v>BOMBA DE COMBUSTIBLE NISSAN MARCH VERSA SENTRA 170409AB0A</v>
      </c>
      <c r="C223" t="str">
        <f>"$ 50110,95"</f>
        <v>$ 50110,95</v>
      </c>
      <c r="D223" t="str">
        <f>"$ 50110,95"</f>
        <v>$ 50110,95</v>
      </c>
      <c r="E223" t="str">
        <f>"$ 50110,95"</f>
        <v>$ 50110,95</v>
      </c>
      <c r="F223" t="str">
        <f>"$ 50110,95"</f>
        <v>$ 50110,95</v>
      </c>
      <c r="G223" t="str">
        <f>"$ 50110,95"</f>
        <v>$ 50110,95</v>
      </c>
      <c r="H223" t="str">
        <f t="shared" si="138"/>
        <v>$ 0,00</v>
      </c>
      <c r="I223" t="str">
        <f t="shared" si="162"/>
        <v>BOMBA COMBUSTIBLE ELECTRICA</v>
      </c>
      <c r="J223" t="str">
        <f t="shared" si="139"/>
        <v>1</v>
      </c>
      <c r="K223" t="str">
        <f t="shared" si="160"/>
        <v>0</v>
      </c>
      <c r="L223" t="str">
        <f>"6,000"</f>
        <v>6,000</v>
      </c>
      <c r="M223" t="str">
        <f t="shared" si="140"/>
        <v xml:space="preserve"> </v>
      </c>
      <c r="N223" t="str">
        <f t="shared" si="163"/>
        <v>FISPA</v>
      </c>
      <c r="O223" t="str">
        <f t="shared" si="164"/>
        <v>BOMBAS</v>
      </c>
      <c r="P223" t="str">
        <f t="shared" ref="P223:Q242" si="165">"0"</f>
        <v>0</v>
      </c>
      <c r="Q223" t="str">
        <f t="shared" si="165"/>
        <v>0</v>
      </c>
      <c r="R223" t="str">
        <f t="shared" ref="R223:S242" si="166">"0,00"</f>
        <v>0,00</v>
      </c>
      <c r="S223" t="str">
        <f t="shared" si="166"/>
        <v>0,00</v>
      </c>
      <c r="T223" t="str">
        <f t="shared" si="159"/>
        <v xml:space="preserve"> </v>
      </c>
      <c r="U223" t="str">
        <f t="shared" si="161"/>
        <v xml:space="preserve"> </v>
      </c>
      <c r="V223" t="str">
        <f>"6,000"</f>
        <v>6,000</v>
      </c>
      <c r="W223" t="str">
        <f t="shared" si="141"/>
        <v>Lista 4</v>
      </c>
      <c r="X223" t="str">
        <f t="shared" si="142"/>
        <v>Lista 5</v>
      </c>
      <c r="Y223" t="str">
        <f t="shared" si="143"/>
        <v>Oferta Gral.</v>
      </c>
      <c r="Z223" t="str">
        <f t="shared" si="144"/>
        <v>Rubro</v>
      </c>
      <c r="AA223" t="str">
        <f t="shared" si="145"/>
        <v>Cantidad por Bulto</v>
      </c>
      <c r="AB223" t="str">
        <f t="shared" si="146"/>
        <v>INNER</v>
      </c>
      <c r="AC223" t="str">
        <f t="shared" si="147"/>
        <v>Stock en Bultos</v>
      </c>
      <c r="AD223" t="str">
        <f t="shared" si="148"/>
        <v>SubDepósito</v>
      </c>
      <c r="AE223" t="str">
        <f t="shared" si="149"/>
        <v>Marca</v>
      </c>
      <c r="AF223" t="str">
        <f t="shared" si="150"/>
        <v>Super Rubro</v>
      </c>
      <c r="AG223" t="str">
        <f t="shared" si="151"/>
        <v>ComercioExterior</v>
      </c>
      <c r="AH223" t="str">
        <f t="shared" si="152"/>
        <v>PrecioFOB</v>
      </c>
      <c r="AI223" t="str">
        <f t="shared" si="153"/>
        <v>Monto II</v>
      </c>
      <c r="AJ223" t="str">
        <f t="shared" si="154"/>
        <v>Porcentaje II</v>
      </c>
      <c r="AK223" t="str">
        <f t="shared" si="155"/>
        <v>Foto</v>
      </c>
      <c r="AL22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3" t="str">
        <f>" "</f>
        <v xml:space="preserve"> </v>
      </c>
    </row>
    <row r="224" spans="1:39" x14ac:dyDescent="0.25">
      <c r="A224" t="str">
        <f>"FI64031"</f>
        <v>FI64031</v>
      </c>
      <c r="B224" t="str">
        <f>"BOMBA DE COMBUSTIBLE RENAULT LOGAN SANDERO SYMBOL 1.6 16V K4M"</f>
        <v>BOMBA DE COMBUSTIBLE RENAULT LOGAN SANDERO SYMBOL 1.6 16V K4M</v>
      </c>
      <c r="C224" t="str">
        <f>"$ 39518,75"</f>
        <v>$ 39518,75</v>
      </c>
      <c r="D224" t="str">
        <f>"$ 39518,75"</f>
        <v>$ 39518,75</v>
      </c>
      <c r="E224" t="str">
        <f>"$ 39518,75"</f>
        <v>$ 39518,75</v>
      </c>
      <c r="F224" t="str">
        <f>"$ 39518,75"</f>
        <v>$ 39518,75</v>
      </c>
      <c r="G224" t="str">
        <f>"$ 39518,75"</f>
        <v>$ 39518,75</v>
      </c>
      <c r="H224" t="str">
        <f t="shared" si="138"/>
        <v>$ 0,00</v>
      </c>
      <c r="I224" t="str">
        <f t="shared" si="162"/>
        <v>BOMBA COMBUSTIBLE ELECTRICA</v>
      </c>
      <c r="J224" t="str">
        <f t="shared" si="139"/>
        <v>1</v>
      </c>
      <c r="K224" t="str">
        <f t="shared" si="160"/>
        <v>0</v>
      </c>
      <c r="L224" t="str">
        <f>"1,000"</f>
        <v>1,000</v>
      </c>
      <c r="M224" t="str">
        <f t="shared" si="140"/>
        <v xml:space="preserve"> </v>
      </c>
      <c r="N224" t="str">
        <f t="shared" si="163"/>
        <v>FISPA</v>
      </c>
      <c r="O224" t="str">
        <f t="shared" si="164"/>
        <v>BOMBAS</v>
      </c>
      <c r="P224" t="str">
        <f t="shared" si="165"/>
        <v>0</v>
      </c>
      <c r="Q224" t="str">
        <f t="shared" si="165"/>
        <v>0</v>
      </c>
      <c r="R224" t="str">
        <f t="shared" si="166"/>
        <v>0,00</v>
      </c>
      <c r="S224" t="str">
        <f t="shared" si="166"/>
        <v>0,00</v>
      </c>
      <c r="T224" t="str">
        <f t="shared" si="159"/>
        <v xml:space="preserve"> </v>
      </c>
      <c r="U224" t="str">
        <f t="shared" si="161"/>
        <v xml:space="preserve"> </v>
      </c>
      <c r="V224" t="str">
        <f>"1,000"</f>
        <v>1,000</v>
      </c>
      <c r="W224" t="str">
        <f t="shared" si="141"/>
        <v>Lista 4</v>
      </c>
      <c r="X224" t="str">
        <f t="shared" si="142"/>
        <v>Lista 5</v>
      </c>
      <c r="Y224" t="str">
        <f t="shared" si="143"/>
        <v>Oferta Gral.</v>
      </c>
      <c r="Z224" t="str">
        <f t="shared" si="144"/>
        <v>Rubro</v>
      </c>
      <c r="AA224" t="str">
        <f t="shared" si="145"/>
        <v>Cantidad por Bulto</v>
      </c>
      <c r="AB224" t="str">
        <f t="shared" si="146"/>
        <v>INNER</v>
      </c>
      <c r="AC224" t="str">
        <f t="shared" si="147"/>
        <v>Stock en Bultos</v>
      </c>
      <c r="AD224" t="str">
        <f t="shared" si="148"/>
        <v>SubDepósito</v>
      </c>
      <c r="AE224" t="str">
        <f t="shared" si="149"/>
        <v>Marca</v>
      </c>
      <c r="AF224" t="str">
        <f t="shared" si="150"/>
        <v>Super Rubro</v>
      </c>
      <c r="AG224" t="str">
        <f t="shared" si="151"/>
        <v>ComercioExterior</v>
      </c>
      <c r="AH224" t="str">
        <f t="shared" si="152"/>
        <v>PrecioFOB</v>
      </c>
      <c r="AI224" t="str">
        <f t="shared" si="153"/>
        <v>Monto II</v>
      </c>
      <c r="AJ224" t="str">
        <f t="shared" si="154"/>
        <v>Porcentaje II</v>
      </c>
      <c r="AK224" t="str">
        <f t="shared" si="155"/>
        <v>Foto</v>
      </c>
      <c r="AL224" t="str">
        <f>"{\rtf1\ansi\ansicpg1252\deff0\deflang11274{\fonttbl{\f0\fnil\fcharset0 MS Sans Serif}} \viewkind4\uc1\pard\f0\fs16 BOMBA DE COMBUSTIBLE RENAULT LOGAN SANDERO SYMBOL 1.6 16V K4M\par } "</f>
        <v xml:space="preserve">{\rtf1\ansi\ansicpg1252\deff0\deflang11274{\fonttbl{\f0\fnil\fcharset0 MS Sans Serif}} \viewkind4\uc1\pard\f0\fs16 BOMBA DE COMBUSTIBLE RENAULT LOGAN SANDERO SYMBOL 1.6 16V K4M\par } </v>
      </c>
      <c r="AM224" t="str">
        <f>" "</f>
        <v xml:space="preserve"> </v>
      </c>
    </row>
    <row r="225" spans="1:39" x14ac:dyDescent="0.25">
      <c r="A225" t="str">
        <f>"FI20014"</f>
        <v>FI20014</v>
      </c>
      <c r="B225" t="str">
        <f>"BOMBA ELECTRICA  PICO VERDE 3 BAR FIAT/FORD/PEUGEOT/V"</f>
        <v>BOMBA ELECTRICA  PICO VERDE 3 BAR FIAT/FORD/PEUGEOT/V</v>
      </c>
      <c r="C225" t="str">
        <f>"$ 29929,86"</f>
        <v>$ 29929,86</v>
      </c>
      <c r="D225" t="str">
        <f>"$ 29929,86"</f>
        <v>$ 29929,86</v>
      </c>
      <c r="E225" t="str">
        <f>"$ 29929,86"</f>
        <v>$ 29929,86</v>
      </c>
      <c r="F225" t="str">
        <f>"$ 29929,86"</f>
        <v>$ 29929,86</v>
      </c>
      <c r="G225" t="str">
        <f>"$ 29929,86"</f>
        <v>$ 29929,86</v>
      </c>
      <c r="H225" t="str">
        <f t="shared" si="138"/>
        <v>$ 0,00</v>
      </c>
      <c r="I225" t="str">
        <f t="shared" si="162"/>
        <v>BOMBA COMBUSTIBLE ELECTRICA</v>
      </c>
      <c r="J225" t="str">
        <f t="shared" si="139"/>
        <v>1</v>
      </c>
      <c r="K225" t="str">
        <f t="shared" si="160"/>
        <v>0</v>
      </c>
      <c r="L225" t="str">
        <f>"5,000"</f>
        <v>5,000</v>
      </c>
      <c r="M225" t="str">
        <f t="shared" si="140"/>
        <v xml:space="preserve"> </v>
      </c>
      <c r="N225" t="str">
        <f t="shared" si="163"/>
        <v>FISPA</v>
      </c>
      <c r="O225" t="str">
        <f t="shared" si="164"/>
        <v>BOMBAS</v>
      </c>
      <c r="P225" t="str">
        <f t="shared" si="165"/>
        <v>0</v>
      </c>
      <c r="Q225" t="str">
        <f t="shared" si="165"/>
        <v>0</v>
      </c>
      <c r="R225" t="str">
        <f t="shared" si="166"/>
        <v>0,00</v>
      </c>
      <c r="S225" t="str">
        <f t="shared" si="166"/>
        <v>0,00</v>
      </c>
      <c r="T225" t="str">
        <f t="shared" si="159"/>
        <v xml:space="preserve"> </v>
      </c>
      <c r="U225" t="str">
        <f t="shared" si="161"/>
        <v xml:space="preserve"> </v>
      </c>
      <c r="V225" t="str">
        <f>"5,000"</f>
        <v>5,000</v>
      </c>
      <c r="W225" t="str">
        <f t="shared" si="141"/>
        <v>Lista 4</v>
      </c>
      <c r="X225" t="str">
        <f t="shared" si="142"/>
        <v>Lista 5</v>
      </c>
      <c r="Y225" t="str">
        <f t="shared" si="143"/>
        <v>Oferta Gral.</v>
      </c>
      <c r="Z225" t="str">
        <f t="shared" si="144"/>
        <v>Rubro</v>
      </c>
      <c r="AA225" t="str">
        <f t="shared" si="145"/>
        <v>Cantidad por Bulto</v>
      </c>
      <c r="AB225" t="str">
        <f t="shared" si="146"/>
        <v>INNER</v>
      </c>
      <c r="AC225" t="str">
        <f t="shared" si="147"/>
        <v>Stock en Bultos</v>
      </c>
      <c r="AD225" t="str">
        <f t="shared" si="148"/>
        <v>SubDepósito</v>
      </c>
      <c r="AE225" t="str">
        <f t="shared" si="149"/>
        <v>Marca</v>
      </c>
      <c r="AF225" t="str">
        <f t="shared" si="150"/>
        <v>Super Rubro</v>
      </c>
      <c r="AG225" t="str">
        <f t="shared" si="151"/>
        <v>ComercioExterior</v>
      </c>
      <c r="AH225" t="str">
        <f t="shared" si="152"/>
        <v>PrecioFOB</v>
      </c>
      <c r="AI225" t="str">
        <f t="shared" si="153"/>
        <v>Monto II</v>
      </c>
      <c r="AJ225" t="str">
        <f t="shared" si="154"/>
        <v>Porcentaje II</v>
      </c>
      <c r="AK225" t="str">
        <f t="shared" si="155"/>
        <v>Foto</v>
      </c>
      <c r="AL22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25" t="str">
        <f t="shared" ref="AM225:AM230" si="167">"-"</f>
        <v>-</v>
      </c>
    </row>
    <row r="226" spans="1:39" x14ac:dyDescent="0.25">
      <c r="A226" t="str">
        <f>"FI64013"</f>
        <v>FI64013</v>
      </c>
      <c r="B226" t="str">
        <f>"BOMBA ELECTRICA 3,5 BAR CHEVR. FORD RENAULT MARELLI 220"</f>
        <v>BOMBA ELECTRICA 3,5 BAR CHEVR. FORD RENAULT MARELLI 220</v>
      </c>
      <c r="C226" t="str">
        <f>"$ 37133,73"</f>
        <v>$ 37133,73</v>
      </c>
      <c r="D226" t="str">
        <f>"$ 37133,73"</f>
        <v>$ 37133,73</v>
      </c>
      <c r="E226" t="str">
        <f>"$ 37133,73"</f>
        <v>$ 37133,73</v>
      </c>
      <c r="F226" t="str">
        <f>"$ 37133,73"</f>
        <v>$ 37133,73</v>
      </c>
      <c r="G226" t="str">
        <f>"$ 37133,73"</f>
        <v>$ 37133,73</v>
      </c>
      <c r="H226" t="str">
        <f t="shared" si="138"/>
        <v>$ 0,00</v>
      </c>
      <c r="I226" t="str">
        <f t="shared" si="162"/>
        <v>BOMBA COMBUSTIBLE ELECTRICA</v>
      </c>
      <c r="J226" t="str">
        <f t="shared" si="139"/>
        <v>1</v>
      </c>
      <c r="K226" t="str">
        <f t="shared" si="160"/>
        <v>0</v>
      </c>
      <c r="L226" t="str">
        <f>"4,000"</f>
        <v>4,000</v>
      </c>
      <c r="M226" t="str">
        <f t="shared" si="140"/>
        <v xml:space="preserve"> </v>
      </c>
      <c r="N226" t="str">
        <f t="shared" si="163"/>
        <v>FISPA</v>
      </c>
      <c r="O226" t="str">
        <f t="shared" si="164"/>
        <v>BOMBAS</v>
      </c>
      <c r="P226" t="str">
        <f t="shared" si="165"/>
        <v>0</v>
      </c>
      <c r="Q226" t="str">
        <f t="shared" si="165"/>
        <v>0</v>
      </c>
      <c r="R226" t="str">
        <f t="shared" si="166"/>
        <v>0,00</v>
      </c>
      <c r="S226" t="str">
        <f t="shared" si="166"/>
        <v>0,00</v>
      </c>
      <c r="T226" t="str">
        <f t="shared" si="159"/>
        <v xml:space="preserve"> </v>
      </c>
      <c r="U226" t="str">
        <f t="shared" si="161"/>
        <v xml:space="preserve"> </v>
      </c>
      <c r="V226" t="str">
        <f>"4,000"</f>
        <v>4,000</v>
      </c>
      <c r="W226" t="str">
        <f t="shared" si="141"/>
        <v>Lista 4</v>
      </c>
      <c r="X226" t="str">
        <f t="shared" si="142"/>
        <v>Lista 5</v>
      </c>
      <c r="Y226" t="str">
        <f t="shared" si="143"/>
        <v>Oferta Gral.</v>
      </c>
      <c r="Z226" t="str">
        <f t="shared" si="144"/>
        <v>Rubro</v>
      </c>
      <c r="AA226" t="str">
        <f t="shared" si="145"/>
        <v>Cantidad por Bulto</v>
      </c>
      <c r="AB226" t="str">
        <f t="shared" si="146"/>
        <v>INNER</v>
      </c>
      <c r="AC226" t="str">
        <f t="shared" si="147"/>
        <v>Stock en Bultos</v>
      </c>
      <c r="AD226" t="str">
        <f t="shared" si="148"/>
        <v>SubDepósito</v>
      </c>
      <c r="AE226" t="str">
        <f t="shared" si="149"/>
        <v>Marca</v>
      </c>
      <c r="AF226" t="str">
        <f t="shared" si="150"/>
        <v>Super Rubro</v>
      </c>
      <c r="AG226" t="str">
        <f t="shared" si="151"/>
        <v>ComercioExterior</v>
      </c>
      <c r="AH226" t="str">
        <f t="shared" si="152"/>
        <v>PrecioFOB</v>
      </c>
      <c r="AI226" t="str">
        <f t="shared" si="153"/>
        <v>Monto II</v>
      </c>
      <c r="AJ226" t="str">
        <f t="shared" si="154"/>
        <v>Porcentaje II</v>
      </c>
      <c r="AK226" t="str">
        <f t="shared" si="155"/>
        <v>Foto</v>
      </c>
      <c r="AL226" t="str">
        <f>"{\rtf1\ansi\ansicpg1252\deff0\deflang11274{\fonttbl{\f0\fnil\fcharset0 MS Sans Serif}} \viewkind4\uc1\pard\f0\fs16 BOMBA ELECTRICA 3,5 BAR CHEVR. FORD RENAULT MARELLI 220\par } "</f>
        <v xml:space="preserve">{\rtf1\ansi\ansicpg1252\deff0\deflang11274{\fonttbl{\f0\fnil\fcharset0 MS Sans Serif}} \viewkind4\uc1\pard\f0\fs16 BOMBA ELECTRICA 3,5 BAR CHEVR. FORD RENAULT MARELLI 220\par } </v>
      </c>
      <c r="AM226" t="str">
        <f t="shared" si="167"/>
        <v>-</v>
      </c>
    </row>
    <row r="227" spans="1:39" x14ac:dyDescent="0.25">
      <c r="A227" t="str">
        <f>"FI64042"</f>
        <v>FI64042</v>
      </c>
      <c r="B227" t="str">
        <f>"BOMBA ELECTRICA 4 BAR FIAT JTD/PEUGEOT HDI"</f>
        <v>BOMBA ELECTRICA 4 BAR FIAT JTD/PEUGEOT HDI</v>
      </c>
      <c r="C227" t="str">
        <f>"$ 123608,23"</f>
        <v>$ 123608,23</v>
      </c>
      <c r="D227" t="str">
        <f>"$ 123608,23"</f>
        <v>$ 123608,23</v>
      </c>
      <c r="E227" t="str">
        <f>"$ 123608,23"</f>
        <v>$ 123608,23</v>
      </c>
      <c r="F227" t="str">
        <f>"$ 123608,23"</f>
        <v>$ 123608,23</v>
      </c>
      <c r="G227" t="str">
        <f>"$ 123608,23"</f>
        <v>$ 123608,23</v>
      </c>
      <c r="H227" t="str">
        <f t="shared" si="138"/>
        <v>$ 0,00</v>
      </c>
      <c r="I227" t="str">
        <f t="shared" si="162"/>
        <v>BOMBA COMBUSTIBLE ELECTRICA</v>
      </c>
      <c r="J227" t="str">
        <f t="shared" si="139"/>
        <v>1</v>
      </c>
      <c r="K227" t="str">
        <f t="shared" si="160"/>
        <v>0</v>
      </c>
      <c r="L227" t="str">
        <f>"1,000"</f>
        <v>1,000</v>
      </c>
      <c r="M227" t="str">
        <f t="shared" si="140"/>
        <v xml:space="preserve"> </v>
      </c>
      <c r="N227" t="str">
        <f t="shared" si="163"/>
        <v>FISPA</v>
      </c>
      <c r="O227" t="str">
        <f t="shared" si="164"/>
        <v>BOMBAS</v>
      </c>
      <c r="P227" t="str">
        <f t="shared" si="165"/>
        <v>0</v>
      </c>
      <c r="Q227" t="str">
        <f t="shared" si="165"/>
        <v>0</v>
      </c>
      <c r="R227" t="str">
        <f t="shared" si="166"/>
        <v>0,00</v>
      </c>
      <c r="S227" t="str">
        <f t="shared" si="166"/>
        <v>0,00</v>
      </c>
      <c r="T227" t="str">
        <f t="shared" si="159"/>
        <v xml:space="preserve"> </v>
      </c>
      <c r="U227" t="str">
        <f t="shared" si="161"/>
        <v xml:space="preserve"> </v>
      </c>
      <c r="V227" t="str">
        <f>"1,000"</f>
        <v>1,000</v>
      </c>
      <c r="W227" t="str">
        <f t="shared" si="141"/>
        <v>Lista 4</v>
      </c>
      <c r="X227" t="str">
        <f t="shared" si="142"/>
        <v>Lista 5</v>
      </c>
      <c r="Y227" t="str">
        <f t="shared" si="143"/>
        <v>Oferta Gral.</v>
      </c>
      <c r="Z227" t="str">
        <f t="shared" si="144"/>
        <v>Rubro</v>
      </c>
      <c r="AA227" t="str">
        <f t="shared" si="145"/>
        <v>Cantidad por Bulto</v>
      </c>
      <c r="AB227" t="str">
        <f t="shared" si="146"/>
        <v>INNER</v>
      </c>
      <c r="AC227" t="str">
        <f t="shared" si="147"/>
        <v>Stock en Bultos</v>
      </c>
      <c r="AD227" t="str">
        <f t="shared" si="148"/>
        <v>SubDepósito</v>
      </c>
      <c r="AE227" t="str">
        <f t="shared" si="149"/>
        <v>Marca</v>
      </c>
      <c r="AF227" t="str">
        <f t="shared" si="150"/>
        <v>Super Rubro</v>
      </c>
      <c r="AG227" t="str">
        <f t="shared" si="151"/>
        <v>ComercioExterior</v>
      </c>
      <c r="AH227" t="str">
        <f t="shared" si="152"/>
        <v>PrecioFOB</v>
      </c>
      <c r="AI227" t="str">
        <f t="shared" si="153"/>
        <v>Monto II</v>
      </c>
      <c r="AJ227" t="str">
        <f t="shared" si="154"/>
        <v>Porcentaje II</v>
      </c>
      <c r="AK227" t="str">
        <f t="shared" si="155"/>
        <v>Foto</v>
      </c>
      <c r="AL22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27" t="str">
        <f t="shared" si="167"/>
        <v>-</v>
      </c>
    </row>
    <row r="228" spans="1:39" x14ac:dyDescent="0.25">
      <c r="A228" t="str">
        <f>"FI20084"</f>
        <v>FI20084</v>
      </c>
      <c r="B228" t="str">
        <f>"BOMBA ELECTRICA P/CARBURADOR E8012S"</f>
        <v>BOMBA ELECTRICA P/CARBURADOR E8012S</v>
      </c>
      <c r="C228" t="str">
        <f>"$ 47725,93"</f>
        <v>$ 47725,93</v>
      </c>
      <c r="D228" t="str">
        <f>"$ 47725,93"</f>
        <v>$ 47725,93</v>
      </c>
      <c r="E228" t="str">
        <f>"$ 47725,93"</f>
        <v>$ 47725,93</v>
      </c>
      <c r="F228" t="str">
        <f>"$ 47725,93"</f>
        <v>$ 47725,93</v>
      </c>
      <c r="G228" t="str">
        <f>"$ 47725,93"</f>
        <v>$ 47725,93</v>
      </c>
      <c r="H228" t="str">
        <f t="shared" si="138"/>
        <v>$ 0,00</v>
      </c>
      <c r="I228" t="str">
        <f t="shared" si="162"/>
        <v>BOMBA COMBUSTIBLE ELECTRICA</v>
      </c>
      <c r="J228" t="str">
        <f t="shared" si="139"/>
        <v>1</v>
      </c>
      <c r="K228" t="str">
        <f t="shared" si="160"/>
        <v>0</v>
      </c>
      <c r="L228" t="str">
        <f>"4,000"</f>
        <v>4,000</v>
      </c>
      <c r="M228" t="str">
        <f t="shared" si="140"/>
        <v xml:space="preserve"> </v>
      </c>
      <c r="N228" t="str">
        <f t="shared" si="163"/>
        <v>FISPA</v>
      </c>
      <c r="O228" t="str">
        <f t="shared" si="164"/>
        <v>BOMBAS</v>
      </c>
      <c r="P228" t="str">
        <f t="shared" si="165"/>
        <v>0</v>
      </c>
      <c r="Q228" t="str">
        <f t="shared" si="165"/>
        <v>0</v>
      </c>
      <c r="R228" t="str">
        <f t="shared" si="166"/>
        <v>0,00</v>
      </c>
      <c r="S228" t="str">
        <f t="shared" si="166"/>
        <v>0,00</v>
      </c>
      <c r="T228" t="str">
        <f t="shared" si="159"/>
        <v xml:space="preserve"> </v>
      </c>
      <c r="U228" t="str">
        <f t="shared" si="161"/>
        <v xml:space="preserve"> </v>
      </c>
      <c r="V228" t="str">
        <f>"4,000"</f>
        <v>4,000</v>
      </c>
      <c r="W228" t="str">
        <f t="shared" si="141"/>
        <v>Lista 4</v>
      </c>
      <c r="X228" t="str">
        <f t="shared" si="142"/>
        <v>Lista 5</v>
      </c>
      <c r="Y228" t="str">
        <f t="shared" si="143"/>
        <v>Oferta Gral.</v>
      </c>
      <c r="Z228" t="str">
        <f t="shared" si="144"/>
        <v>Rubro</v>
      </c>
      <c r="AA228" t="str">
        <f t="shared" si="145"/>
        <v>Cantidad por Bulto</v>
      </c>
      <c r="AB228" t="str">
        <f t="shared" si="146"/>
        <v>INNER</v>
      </c>
      <c r="AC228" t="str">
        <f t="shared" si="147"/>
        <v>Stock en Bultos</v>
      </c>
      <c r="AD228" t="str">
        <f t="shared" si="148"/>
        <v>SubDepósito</v>
      </c>
      <c r="AE228" t="str">
        <f t="shared" si="149"/>
        <v>Marca</v>
      </c>
      <c r="AF228" t="str">
        <f t="shared" si="150"/>
        <v>Super Rubro</v>
      </c>
      <c r="AG228" t="str">
        <f t="shared" si="151"/>
        <v>ComercioExterior</v>
      </c>
      <c r="AH228" t="str">
        <f t="shared" si="152"/>
        <v>PrecioFOB</v>
      </c>
      <c r="AI228" t="str">
        <f t="shared" si="153"/>
        <v>Monto II</v>
      </c>
      <c r="AJ228" t="str">
        <f t="shared" si="154"/>
        <v>Porcentaje II</v>
      </c>
      <c r="AK228" t="str">
        <f t="shared" si="155"/>
        <v>Foto</v>
      </c>
      <c r="AL228" t="str">
        <f>"{\rtf1\ansi\ansicpg1252\deff0\deflang11274{\fonttbl{\f0\fnil\fcharset0 MS Sans Serif}} \viewkind4\uc1\pard\f0\fs16 BOMBA ELECTRICA P/CARBURADOR E8012S\par } "</f>
        <v xml:space="preserve">{\rtf1\ansi\ansicpg1252\deff0\deflang11274{\fonttbl{\f0\fnil\fcharset0 MS Sans Serif}} \viewkind4\uc1\pard\f0\fs16 BOMBA ELECTRICA P/CARBURADOR E8012S\par } </v>
      </c>
      <c r="AM228" t="str">
        <f t="shared" si="167"/>
        <v>-</v>
      </c>
    </row>
    <row r="229" spans="1:39" x14ac:dyDescent="0.25">
      <c r="A229" t="str">
        <f>"FI20000"</f>
        <v>FI20000</v>
      </c>
      <c r="B229" t="str">
        <f>"BOMBA ELECTRICA POLO GOLF 4 BAR"</f>
        <v>BOMBA ELECTRICA POLO GOLF 4 BAR</v>
      </c>
      <c r="C229" t="str">
        <f>"$ 44988,17"</f>
        <v>$ 44988,17</v>
      </c>
      <c r="D229" t="str">
        <f>"$ 44988,17"</f>
        <v>$ 44988,17</v>
      </c>
      <c r="E229" t="str">
        <f>"$ 44988,17"</f>
        <v>$ 44988,17</v>
      </c>
      <c r="F229" t="str">
        <f>"$ 44988,17"</f>
        <v>$ 44988,17</v>
      </c>
      <c r="G229" t="str">
        <f>"$ 44988,17"</f>
        <v>$ 44988,17</v>
      </c>
      <c r="H229" t="str">
        <f t="shared" si="138"/>
        <v>$ 0,00</v>
      </c>
      <c r="I229" t="str">
        <f t="shared" si="162"/>
        <v>BOMBA COMBUSTIBLE ELECTRICA</v>
      </c>
      <c r="J229" t="str">
        <f t="shared" si="139"/>
        <v>1</v>
      </c>
      <c r="K229" t="str">
        <f t="shared" si="160"/>
        <v>0</v>
      </c>
      <c r="L229" t="str">
        <f>"4,000"</f>
        <v>4,000</v>
      </c>
      <c r="M229" t="str">
        <f t="shared" si="140"/>
        <v xml:space="preserve"> </v>
      </c>
      <c r="N229" t="str">
        <f t="shared" si="163"/>
        <v>FISPA</v>
      </c>
      <c r="O229" t="str">
        <f t="shared" si="164"/>
        <v>BOMBAS</v>
      </c>
      <c r="P229" t="str">
        <f t="shared" si="165"/>
        <v>0</v>
      </c>
      <c r="Q229" t="str">
        <f t="shared" si="165"/>
        <v>0</v>
      </c>
      <c r="R229" t="str">
        <f t="shared" si="166"/>
        <v>0,00</v>
      </c>
      <c r="S229" t="str">
        <f t="shared" si="166"/>
        <v>0,00</v>
      </c>
      <c r="T229" t="str">
        <f t="shared" si="159"/>
        <v xml:space="preserve"> </v>
      </c>
      <c r="U229" t="str">
        <f t="shared" si="161"/>
        <v xml:space="preserve"> </v>
      </c>
      <c r="V229" t="str">
        <f>"4,000"</f>
        <v>4,000</v>
      </c>
      <c r="W229" t="str">
        <f t="shared" si="141"/>
        <v>Lista 4</v>
      </c>
      <c r="X229" t="str">
        <f t="shared" si="142"/>
        <v>Lista 5</v>
      </c>
      <c r="Y229" t="str">
        <f t="shared" si="143"/>
        <v>Oferta Gral.</v>
      </c>
      <c r="Z229" t="str">
        <f t="shared" si="144"/>
        <v>Rubro</v>
      </c>
      <c r="AA229" t="str">
        <f t="shared" si="145"/>
        <v>Cantidad por Bulto</v>
      </c>
      <c r="AB229" t="str">
        <f t="shared" si="146"/>
        <v>INNER</v>
      </c>
      <c r="AC229" t="str">
        <f t="shared" si="147"/>
        <v>Stock en Bultos</v>
      </c>
      <c r="AD229" t="str">
        <f t="shared" si="148"/>
        <v>SubDepósito</v>
      </c>
      <c r="AE229" t="str">
        <f t="shared" si="149"/>
        <v>Marca</v>
      </c>
      <c r="AF229" t="str">
        <f t="shared" si="150"/>
        <v>Super Rubro</v>
      </c>
      <c r="AG229" t="str">
        <f t="shared" si="151"/>
        <v>ComercioExterior</v>
      </c>
      <c r="AH229" t="str">
        <f t="shared" si="152"/>
        <v>PrecioFOB</v>
      </c>
      <c r="AI229" t="str">
        <f t="shared" si="153"/>
        <v>Monto II</v>
      </c>
      <c r="AJ229" t="str">
        <f t="shared" si="154"/>
        <v>Porcentaje II</v>
      </c>
      <c r="AK229" t="str">
        <f t="shared" si="155"/>
        <v>Foto</v>
      </c>
      <c r="AL22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29" t="str">
        <f t="shared" si="167"/>
        <v>-</v>
      </c>
    </row>
    <row r="230" spans="1:39" x14ac:dyDescent="0.25">
      <c r="A230" t="str">
        <f>"FI20408"</f>
        <v>FI20408</v>
      </c>
      <c r="B230" t="str">
        <f>"BOMBA NAFTA MULTIP. 3BAR TIPO BOSCH FIAT/RENAULT/GM/VW"</f>
        <v>BOMBA NAFTA MULTIP. 3BAR TIPO BOSCH FIAT/RENAULT/GM/VW</v>
      </c>
      <c r="C230" t="str">
        <f>"$ 22915,19"</f>
        <v>$ 22915,19</v>
      </c>
      <c r="D230" t="str">
        <f>"$ 22915,19"</f>
        <v>$ 22915,19</v>
      </c>
      <c r="E230" t="str">
        <f>"$ 22915,19"</f>
        <v>$ 22915,19</v>
      </c>
      <c r="F230" t="str">
        <f>"$ 22915,19"</f>
        <v>$ 22915,19</v>
      </c>
      <c r="G230" t="str">
        <f>"$ 22915,19"</f>
        <v>$ 22915,19</v>
      </c>
      <c r="H230" t="str">
        <f t="shared" si="138"/>
        <v>$ 0,00</v>
      </c>
      <c r="I230" t="str">
        <f t="shared" si="162"/>
        <v>BOMBA COMBUSTIBLE ELECTRICA</v>
      </c>
      <c r="J230" t="str">
        <f t="shared" si="139"/>
        <v>1</v>
      </c>
      <c r="K230" t="str">
        <f t="shared" si="160"/>
        <v>0</v>
      </c>
      <c r="L230" t="str">
        <f>"39,000"</f>
        <v>39,000</v>
      </c>
      <c r="M230" t="str">
        <f t="shared" si="140"/>
        <v xml:space="preserve"> </v>
      </c>
      <c r="N230" t="str">
        <f t="shared" si="163"/>
        <v>FISPA</v>
      </c>
      <c r="O230" t="str">
        <f t="shared" si="164"/>
        <v>BOMBAS</v>
      </c>
      <c r="P230" t="str">
        <f t="shared" si="165"/>
        <v>0</v>
      </c>
      <c r="Q230" t="str">
        <f t="shared" si="165"/>
        <v>0</v>
      </c>
      <c r="R230" t="str">
        <f t="shared" si="166"/>
        <v>0,00</v>
      </c>
      <c r="S230" t="str">
        <f t="shared" si="166"/>
        <v>0,00</v>
      </c>
      <c r="T230" t="str">
        <f t="shared" si="159"/>
        <v xml:space="preserve"> </v>
      </c>
      <c r="U230" t="str">
        <f t="shared" si="161"/>
        <v xml:space="preserve"> </v>
      </c>
      <c r="V230" t="str">
        <f>"39,000"</f>
        <v>39,000</v>
      </c>
      <c r="W230" t="str">
        <f t="shared" si="141"/>
        <v>Lista 4</v>
      </c>
      <c r="X230" t="str">
        <f t="shared" si="142"/>
        <v>Lista 5</v>
      </c>
      <c r="Y230" t="str">
        <f t="shared" si="143"/>
        <v>Oferta Gral.</v>
      </c>
      <c r="Z230" t="str">
        <f t="shared" si="144"/>
        <v>Rubro</v>
      </c>
      <c r="AA230" t="str">
        <f t="shared" si="145"/>
        <v>Cantidad por Bulto</v>
      </c>
      <c r="AB230" t="str">
        <f t="shared" si="146"/>
        <v>INNER</v>
      </c>
      <c r="AC230" t="str">
        <f t="shared" si="147"/>
        <v>Stock en Bultos</v>
      </c>
      <c r="AD230" t="str">
        <f t="shared" si="148"/>
        <v>SubDepósito</v>
      </c>
      <c r="AE230" t="str">
        <f t="shared" si="149"/>
        <v>Marca</v>
      </c>
      <c r="AF230" t="str">
        <f t="shared" si="150"/>
        <v>Super Rubro</v>
      </c>
      <c r="AG230" t="str">
        <f t="shared" si="151"/>
        <v>ComercioExterior</v>
      </c>
      <c r="AH230" t="str">
        <f t="shared" si="152"/>
        <v>PrecioFOB</v>
      </c>
      <c r="AI230" t="str">
        <f t="shared" si="153"/>
        <v>Monto II</v>
      </c>
      <c r="AJ230" t="str">
        <f t="shared" si="154"/>
        <v>Porcentaje II</v>
      </c>
      <c r="AK230" t="str">
        <f t="shared" si="155"/>
        <v>Foto</v>
      </c>
      <c r="AL230" t="str">
        <f>" "</f>
        <v xml:space="preserve"> </v>
      </c>
      <c r="AM230" t="str">
        <f t="shared" si="167"/>
        <v>-</v>
      </c>
    </row>
    <row r="231" spans="1:39" x14ac:dyDescent="0.25">
      <c r="A231" t="str">
        <f>"RGUG100"</f>
        <v>RGUG100</v>
      </c>
      <c r="B231" t="str">
        <f>"BOMBA PERITA CEBADOR MANUAL UNIVERSAL DIESEL PICO RECTO RECTO 8MM DIAMETRO"</f>
        <v>BOMBA PERITA CEBADOR MANUAL UNIVERSAL DIESEL PICO RECTO RECTO 8MM DIAMETRO</v>
      </c>
      <c r="C231" t="str">
        <f>"$ 10716,33"</f>
        <v>$ 10716,33</v>
      </c>
      <c r="D231" t="str">
        <f>"$ 10716,33"</f>
        <v>$ 10716,33</v>
      </c>
      <c r="E231" t="str">
        <f>"$ 10716,33"</f>
        <v>$ 10716,33</v>
      </c>
      <c r="F231" t="str">
        <f>"$ 10716,33"</f>
        <v>$ 10716,33</v>
      </c>
      <c r="G231" t="str">
        <f>"$ 10716,33"</f>
        <v>$ 10716,33</v>
      </c>
      <c r="H231" t="str">
        <f t="shared" si="138"/>
        <v>$ 0,00</v>
      </c>
      <c r="I231" t="str">
        <f>"ACCESORIOS BOMBAS"</f>
        <v>ACCESORIOS BOMBAS</v>
      </c>
      <c r="J231" t="str">
        <f t="shared" si="139"/>
        <v>1</v>
      </c>
      <c r="K231" t="str">
        <f t="shared" si="160"/>
        <v>0</v>
      </c>
      <c r="L231" t="str">
        <f>"60,000"</f>
        <v>60,000</v>
      </c>
      <c r="M231" t="str">
        <f t="shared" si="140"/>
        <v xml:space="preserve"> </v>
      </c>
      <c r="N231" t="str">
        <f>"REGITAR"</f>
        <v>REGITAR</v>
      </c>
      <c r="O231" t="str">
        <f t="shared" si="164"/>
        <v>BOMBAS</v>
      </c>
      <c r="P231" t="str">
        <f t="shared" si="165"/>
        <v>0</v>
      </c>
      <c r="Q231" t="str">
        <f t="shared" si="165"/>
        <v>0</v>
      </c>
      <c r="R231" t="str">
        <f t="shared" si="166"/>
        <v>0,00</v>
      </c>
      <c r="S231" t="str">
        <f t="shared" si="166"/>
        <v>0,00</v>
      </c>
      <c r="T231" t="str">
        <f t="shared" si="159"/>
        <v xml:space="preserve"> </v>
      </c>
      <c r="U231" t="str">
        <f t="shared" si="161"/>
        <v xml:space="preserve"> </v>
      </c>
      <c r="V231" t="str">
        <f>"60,000"</f>
        <v>60,000</v>
      </c>
      <c r="W231" t="str">
        <f t="shared" si="141"/>
        <v>Lista 4</v>
      </c>
      <c r="X231" t="str">
        <f t="shared" si="142"/>
        <v>Lista 5</v>
      </c>
      <c r="Y231" t="str">
        <f t="shared" si="143"/>
        <v>Oferta Gral.</v>
      </c>
      <c r="Z231" t="str">
        <f t="shared" si="144"/>
        <v>Rubro</v>
      </c>
      <c r="AA231" t="str">
        <f t="shared" si="145"/>
        <v>Cantidad por Bulto</v>
      </c>
      <c r="AB231" t="str">
        <f t="shared" si="146"/>
        <v>INNER</v>
      </c>
      <c r="AC231" t="str">
        <f t="shared" si="147"/>
        <v>Stock en Bultos</v>
      </c>
      <c r="AD231" t="str">
        <f t="shared" si="148"/>
        <v>SubDepósito</v>
      </c>
      <c r="AE231" t="str">
        <f t="shared" si="149"/>
        <v>Marca</v>
      </c>
      <c r="AF231" t="str">
        <f t="shared" si="150"/>
        <v>Super Rubro</v>
      </c>
      <c r="AG231" t="str">
        <f t="shared" si="151"/>
        <v>ComercioExterior</v>
      </c>
      <c r="AH231" t="str">
        <f t="shared" si="152"/>
        <v>PrecioFOB</v>
      </c>
      <c r="AI231" t="str">
        <f t="shared" si="153"/>
        <v>Monto II</v>
      </c>
      <c r="AJ231" t="str">
        <f t="shared" si="154"/>
        <v>Porcentaje II</v>
      </c>
      <c r="AK231" t="str">
        <f t="shared" si="155"/>
        <v>Foto</v>
      </c>
      <c r="AL23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1" t="str">
        <f>" "</f>
        <v xml:space="preserve"> </v>
      </c>
    </row>
    <row r="232" spans="1:39" x14ac:dyDescent="0.25">
      <c r="A232" t="str">
        <f>"RC12LYC"</f>
        <v>RC12LYC</v>
      </c>
      <c r="B232" t="str">
        <f>"BUJIA ENCENDIDO CHAMPION JEEP CHEROKEE GRAND CHEROKEE WRANGLER 4.0"</f>
        <v>BUJIA ENCENDIDO CHAMPION JEEP CHEROKEE GRAND CHEROKEE WRANGLER 4.0</v>
      </c>
      <c r="C232" t="str">
        <f>"$ 3944,03"</f>
        <v>$ 3944,03</v>
      </c>
      <c r="D232" t="str">
        <f>"$ 3944,03"</f>
        <v>$ 3944,03</v>
      </c>
      <c r="E232" t="str">
        <f>"$ 3944,03"</f>
        <v>$ 3944,03</v>
      </c>
      <c r="F232" t="str">
        <f>"$ 3944,03"</f>
        <v>$ 3944,03</v>
      </c>
      <c r="G232" t="str">
        <f>"$ 3944,03"</f>
        <v>$ 3944,03</v>
      </c>
      <c r="H232" t="str">
        <f t="shared" si="138"/>
        <v>$ 0,00</v>
      </c>
      <c r="I232" t="str">
        <f t="shared" ref="I232:I247" si="168">"BUJIAS DE ENCENDIDO COBRE"</f>
        <v>BUJIAS DE ENCENDIDO COBRE</v>
      </c>
      <c r="J232" t="str">
        <f t="shared" si="139"/>
        <v>1</v>
      </c>
      <c r="K232" t="str">
        <f t="shared" si="160"/>
        <v>0</v>
      </c>
      <c r="L232" t="str">
        <f>"24,000"</f>
        <v>24,000</v>
      </c>
      <c r="M232" t="str">
        <f t="shared" si="140"/>
        <v xml:space="preserve"> </v>
      </c>
      <c r="N232" t="str">
        <f>"CHAMPION"</f>
        <v>CHAMPION</v>
      </c>
      <c r="O232" t="str">
        <f t="shared" ref="O232:O263" si="169">"BUJIAS"</f>
        <v>BUJIAS</v>
      </c>
      <c r="P232" t="str">
        <f t="shared" si="165"/>
        <v>0</v>
      </c>
      <c r="Q232" t="str">
        <f t="shared" si="165"/>
        <v>0</v>
      </c>
      <c r="R232" t="str">
        <f t="shared" si="166"/>
        <v>0,00</v>
      </c>
      <c r="S232" t="str">
        <f t="shared" si="166"/>
        <v>0,00</v>
      </c>
      <c r="T232" t="str">
        <f t="shared" si="159"/>
        <v xml:space="preserve"> </v>
      </c>
      <c r="U232" t="str">
        <f t="shared" si="161"/>
        <v xml:space="preserve"> </v>
      </c>
      <c r="V232" t="str">
        <f>"24,000"</f>
        <v>24,000</v>
      </c>
      <c r="W232" t="str">
        <f t="shared" si="141"/>
        <v>Lista 4</v>
      </c>
      <c r="X232" t="str">
        <f t="shared" si="142"/>
        <v>Lista 5</v>
      </c>
      <c r="Y232" t="str">
        <f t="shared" si="143"/>
        <v>Oferta Gral.</v>
      </c>
      <c r="Z232" t="str">
        <f t="shared" si="144"/>
        <v>Rubro</v>
      </c>
      <c r="AA232" t="str">
        <f t="shared" si="145"/>
        <v>Cantidad por Bulto</v>
      </c>
      <c r="AB232" t="str">
        <f t="shared" si="146"/>
        <v>INNER</v>
      </c>
      <c r="AC232" t="str">
        <f t="shared" si="147"/>
        <v>Stock en Bultos</v>
      </c>
      <c r="AD232" t="str">
        <f t="shared" si="148"/>
        <v>SubDepósito</v>
      </c>
      <c r="AE232" t="str">
        <f t="shared" si="149"/>
        <v>Marca</v>
      </c>
      <c r="AF232" t="str">
        <f t="shared" si="150"/>
        <v>Super Rubro</v>
      </c>
      <c r="AG232" t="str">
        <f t="shared" si="151"/>
        <v>ComercioExterior</v>
      </c>
      <c r="AH232" t="str">
        <f t="shared" si="152"/>
        <v>PrecioFOB</v>
      </c>
      <c r="AI232" t="str">
        <f t="shared" si="153"/>
        <v>Monto II</v>
      </c>
      <c r="AJ232" t="str">
        <f t="shared" si="154"/>
        <v>Porcentaje II</v>
      </c>
      <c r="AK232" t="str">
        <f t="shared" si="155"/>
        <v>Foto</v>
      </c>
      <c r="AL232" t="str">
        <f>"{\rtf1\ansi\ansicpg1252\deff0\deflang11274{\fonttbl{\f0\fnil\fcharset0 MS Sans Serif}} \viewkind4\uc1\pard\f0\fs16 BUJIA ENCENDIDO CHAMPION JEEP CHEROKEE GRAND CHEROKEE WRANGLER 4.0\par } "</f>
        <v xml:space="preserve">{\rtf1\ansi\ansicpg1252\deff0\deflang11274{\fonttbl{\f0\fnil\fcharset0 MS Sans Serif}} \viewkind4\uc1\pard\f0\fs16 BUJIA ENCENDIDO CHAMPION JEEP CHEROKEE GRAND CHEROKEE WRANGLER 4.0\par } </v>
      </c>
      <c r="AM232" t="str">
        <f>" "</f>
        <v xml:space="preserve"> </v>
      </c>
    </row>
    <row r="233" spans="1:39" x14ac:dyDescent="0.25">
      <c r="A233" t="str">
        <f>"LSPKR6E"</f>
        <v>LSPKR6E</v>
      </c>
      <c r="B233" t="str">
        <f>"BUJIA ENCENDIDO FIAT PALIO SIENA FIRE RENAULT MEGANE LOGAN ROSCA 16MM"</f>
        <v>BUJIA ENCENDIDO FIAT PALIO SIENA FIRE RENAULT MEGANE LOGAN ROSCA 16MM</v>
      </c>
      <c r="C233" t="str">
        <f>"$ 3199,71"</f>
        <v>$ 3199,71</v>
      </c>
      <c r="D233" t="str">
        <f>"$ 3199,71"</f>
        <v>$ 3199,71</v>
      </c>
      <c r="E233" t="str">
        <f>"$ 3199,71"</f>
        <v>$ 3199,71</v>
      </c>
      <c r="F233" t="str">
        <f>"$ 3199,71"</f>
        <v>$ 3199,71</v>
      </c>
      <c r="G233" t="str">
        <f>"$ 3199,71"</f>
        <v>$ 3199,71</v>
      </c>
      <c r="H233" t="str">
        <f t="shared" si="138"/>
        <v>$ 0,00</v>
      </c>
      <c r="I233" t="str">
        <f t="shared" si="168"/>
        <v>BUJIAS DE ENCENDIDO COBRE</v>
      </c>
      <c r="J233" t="str">
        <f t="shared" si="139"/>
        <v>1</v>
      </c>
      <c r="K233" t="str">
        <f t="shared" si="160"/>
        <v>0</v>
      </c>
      <c r="L233" t="str">
        <f>"378,000"</f>
        <v>378,000</v>
      </c>
      <c r="M233" t="str">
        <f t="shared" si="140"/>
        <v xml:space="preserve"> </v>
      </c>
      <c r="N233" t="str">
        <f>"LUCAS"</f>
        <v>LUCAS</v>
      </c>
      <c r="O233" t="str">
        <f t="shared" si="169"/>
        <v>BUJIAS</v>
      </c>
      <c r="P233" t="str">
        <f t="shared" si="165"/>
        <v>0</v>
      </c>
      <c r="Q233" t="str">
        <f t="shared" si="165"/>
        <v>0</v>
      </c>
      <c r="R233" t="str">
        <f t="shared" si="166"/>
        <v>0,00</v>
      </c>
      <c r="S233" t="str">
        <f t="shared" si="166"/>
        <v>0,00</v>
      </c>
      <c r="T233" t="str">
        <f t="shared" si="159"/>
        <v xml:space="preserve"> </v>
      </c>
      <c r="U233" t="str">
        <f t="shared" si="161"/>
        <v xml:space="preserve"> </v>
      </c>
      <c r="V233" t="str">
        <f>"378,000"</f>
        <v>378,000</v>
      </c>
      <c r="W233" t="str">
        <f t="shared" si="141"/>
        <v>Lista 4</v>
      </c>
      <c r="X233" t="str">
        <f t="shared" si="142"/>
        <v>Lista 5</v>
      </c>
      <c r="Y233" t="str">
        <f t="shared" si="143"/>
        <v>Oferta Gral.</v>
      </c>
      <c r="Z233" t="str">
        <f t="shared" si="144"/>
        <v>Rubro</v>
      </c>
      <c r="AA233" t="str">
        <f t="shared" si="145"/>
        <v>Cantidad por Bulto</v>
      </c>
      <c r="AB233" t="str">
        <f t="shared" si="146"/>
        <v>INNER</v>
      </c>
      <c r="AC233" t="str">
        <f t="shared" si="147"/>
        <v>Stock en Bultos</v>
      </c>
      <c r="AD233" t="str">
        <f t="shared" si="148"/>
        <v>SubDepósito</v>
      </c>
      <c r="AE233" t="str">
        <f t="shared" si="149"/>
        <v>Marca</v>
      </c>
      <c r="AF233" t="str">
        <f t="shared" si="150"/>
        <v>Super Rubro</v>
      </c>
      <c r="AG233" t="str">
        <f t="shared" si="151"/>
        <v>ComercioExterior</v>
      </c>
      <c r="AH233" t="str">
        <f t="shared" si="152"/>
        <v>PrecioFOB</v>
      </c>
      <c r="AI233" t="str">
        <f t="shared" si="153"/>
        <v>Monto II</v>
      </c>
      <c r="AJ233" t="str">
        <f t="shared" si="154"/>
        <v>Porcentaje II</v>
      </c>
      <c r="AK233" t="str">
        <f t="shared" si="155"/>
        <v>Foto</v>
      </c>
      <c r="AL233" t="str">
        <f>"{\rtf1\ansi\ansicpg1252\deff0\deflang11274{\fonttbl{\f0\fnil\fcharset0 MS Sans Serif}} \viewkind4\uc1\pard\f0\fs16 BUJIA ENCENDIDO FIAT PALIO SIENA FIRE RENAULT MEGANE LOGAN ROSCA 16MM\par } "</f>
        <v xml:space="preserve">{\rtf1\ansi\ansicpg1252\deff0\deflang11274{\fonttbl{\f0\fnil\fcharset0 MS Sans Serif}} \viewkind4\uc1\pard\f0\fs16 BUJIA ENCENDIDO FIAT PALIO SIENA FIRE RENAULT MEGANE LOGAN ROSCA 16MM\par } </v>
      </c>
      <c r="AM233" t="str">
        <f>"-"</f>
        <v>-</v>
      </c>
    </row>
    <row r="234" spans="1:39" x14ac:dyDescent="0.25">
      <c r="A234" t="str">
        <f>"LSP5PR03"</f>
        <v>LSP5PR03</v>
      </c>
      <c r="B234" t="str">
        <f>"BUJIA ENCENDIDO RENAULT 19 FIAT DUNA UNO PEUGEOT 504 TUERCA 21MM"</f>
        <v>BUJIA ENCENDIDO RENAULT 19 FIAT DUNA UNO PEUGEOT 504 TUERCA 21MM</v>
      </c>
      <c r="C234" t="str">
        <f>"$ 3026,35"</f>
        <v>$ 3026,35</v>
      </c>
      <c r="D234" t="str">
        <f>"$ 3026,35"</f>
        <v>$ 3026,35</v>
      </c>
      <c r="E234" t="str">
        <f>"$ 3026,35"</f>
        <v>$ 3026,35</v>
      </c>
      <c r="F234" t="str">
        <f>"$ 3026,35"</f>
        <v>$ 3026,35</v>
      </c>
      <c r="G234" t="str">
        <f>"$ 3026,35"</f>
        <v>$ 3026,35</v>
      </c>
      <c r="H234" t="str">
        <f t="shared" si="138"/>
        <v>$ 0,00</v>
      </c>
      <c r="I234" t="str">
        <f t="shared" si="168"/>
        <v>BUJIAS DE ENCENDIDO COBRE</v>
      </c>
      <c r="J234" t="str">
        <f t="shared" si="139"/>
        <v>1</v>
      </c>
      <c r="K234" t="str">
        <f t="shared" si="160"/>
        <v>0</v>
      </c>
      <c r="L234" t="str">
        <f>"328,000"</f>
        <v>328,000</v>
      </c>
      <c r="M234" t="str">
        <f t="shared" si="140"/>
        <v xml:space="preserve"> </v>
      </c>
      <c r="N234" t="str">
        <f>"LUCAS"</f>
        <v>LUCAS</v>
      </c>
      <c r="O234" t="str">
        <f t="shared" si="169"/>
        <v>BUJIAS</v>
      </c>
      <c r="P234" t="str">
        <f t="shared" si="165"/>
        <v>0</v>
      </c>
      <c r="Q234" t="str">
        <f t="shared" si="165"/>
        <v>0</v>
      </c>
      <c r="R234" t="str">
        <f t="shared" si="166"/>
        <v>0,00</v>
      </c>
      <c r="S234" t="str">
        <f t="shared" si="166"/>
        <v>0,00</v>
      </c>
      <c r="T234" t="str">
        <f t="shared" si="159"/>
        <v xml:space="preserve"> </v>
      </c>
      <c r="U234" t="str">
        <f t="shared" si="161"/>
        <v xml:space="preserve"> </v>
      </c>
      <c r="V234" t="str">
        <f>"328,000"</f>
        <v>328,000</v>
      </c>
      <c r="W234" t="str">
        <f t="shared" si="141"/>
        <v>Lista 4</v>
      </c>
      <c r="X234" t="str">
        <f t="shared" si="142"/>
        <v>Lista 5</v>
      </c>
      <c r="Y234" t="str">
        <f t="shared" si="143"/>
        <v>Oferta Gral.</v>
      </c>
      <c r="Z234" t="str">
        <f t="shared" si="144"/>
        <v>Rubro</v>
      </c>
      <c r="AA234" t="str">
        <f t="shared" si="145"/>
        <v>Cantidad por Bulto</v>
      </c>
      <c r="AB234" t="str">
        <f t="shared" si="146"/>
        <v>INNER</v>
      </c>
      <c r="AC234" t="str">
        <f t="shared" si="147"/>
        <v>Stock en Bultos</v>
      </c>
      <c r="AD234" t="str">
        <f t="shared" si="148"/>
        <v>SubDepósito</v>
      </c>
      <c r="AE234" t="str">
        <f t="shared" si="149"/>
        <v>Marca</v>
      </c>
      <c r="AF234" t="str">
        <f t="shared" si="150"/>
        <v>Super Rubro</v>
      </c>
      <c r="AG234" t="str">
        <f t="shared" si="151"/>
        <v>ComercioExterior</v>
      </c>
      <c r="AH234" t="str">
        <f t="shared" si="152"/>
        <v>PrecioFOB</v>
      </c>
      <c r="AI234" t="str">
        <f t="shared" si="153"/>
        <v>Monto II</v>
      </c>
      <c r="AJ234" t="str">
        <f t="shared" si="154"/>
        <v>Porcentaje II</v>
      </c>
      <c r="AK234" t="str">
        <f t="shared" si="155"/>
        <v>Foto</v>
      </c>
      <c r="AL234" t="str">
        <f>"{\rtf1\ansi\ansicpg1252\deff0\deflang11274{\fonttbl{\f0\fnil\fcharset0 MS Sans Serif}} \viewkind4\uc1\pard\f0\fs16 BUJIA ENCENDIDO RENAULT 19 FIAT DUNA UNO PEUGEOT 504 TUERCA 21MM\par } "</f>
        <v xml:space="preserve">{\rtf1\ansi\ansicpg1252\deff0\deflang11274{\fonttbl{\f0\fnil\fcharset0 MS Sans Serif}} \viewkind4\uc1\pard\f0\fs16 BUJIA ENCENDIDO RENAULT 19 FIAT DUNA UNO PEUGEOT 504 TUERCA 21MM\par } </v>
      </c>
      <c r="AM234" t="str">
        <f>" "</f>
        <v xml:space="preserve"> </v>
      </c>
    </row>
    <row r="235" spans="1:39" x14ac:dyDescent="0.25">
      <c r="A235" t="str">
        <f>"SR6CC"</f>
        <v>SR6CC</v>
      </c>
      <c r="B235" t="str">
        <f>"BUJIA FERRAZZI COBRE CORSA FIAT 1.8 RENAULT F3R F3P  BPR6ES"</f>
        <v>BUJIA FERRAZZI COBRE CORSA FIAT 1.8 RENAULT F3R F3P  BPR6ES</v>
      </c>
      <c r="C235" t="str">
        <f>"$ 3301,46"</f>
        <v>$ 3301,46</v>
      </c>
      <c r="D235" t="str">
        <f>"$ 3301,46"</f>
        <v>$ 3301,46</v>
      </c>
      <c r="E235" t="str">
        <f>"$ 3301,46"</f>
        <v>$ 3301,46</v>
      </c>
      <c r="F235" t="str">
        <f>"$ 3301,46"</f>
        <v>$ 3301,46</v>
      </c>
      <c r="G235" t="str">
        <f>"$ 3301,46"</f>
        <v>$ 3301,46</v>
      </c>
      <c r="H235" t="str">
        <f t="shared" si="138"/>
        <v>$ 0,00</v>
      </c>
      <c r="I235" t="str">
        <f t="shared" si="168"/>
        <v>BUJIAS DE ENCENDIDO COBRE</v>
      </c>
      <c r="J235" t="str">
        <f t="shared" si="139"/>
        <v>1</v>
      </c>
      <c r="K235" t="str">
        <f t="shared" si="160"/>
        <v>0</v>
      </c>
      <c r="L235" t="str">
        <f>"3446,000"</f>
        <v>3446,000</v>
      </c>
      <c r="M235" t="str">
        <f t="shared" si="140"/>
        <v xml:space="preserve"> </v>
      </c>
      <c r="N235" t="str">
        <f t="shared" ref="N235:N261" si="170">"FERRAZZI"</f>
        <v>FERRAZZI</v>
      </c>
      <c r="O235" t="str">
        <f t="shared" si="169"/>
        <v>BUJIAS</v>
      </c>
      <c r="P235" t="str">
        <f t="shared" si="165"/>
        <v>0</v>
      </c>
      <c r="Q235" t="str">
        <f t="shared" si="165"/>
        <v>0</v>
      </c>
      <c r="R235" t="str">
        <f t="shared" si="166"/>
        <v>0,00</v>
      </c>
      <c r="S235" t="str">
        <f t="shared" si="166"/>
        <v>0,00</v>
      </c>
      <c r="T235" t="str">
        <f t="shared" si="159"/>
        <v xml:space="preserve"> </v>
      </c>
      <c r="U235" t="str">
        <f t="shared" si="161"/>
        <v xml:space="preserve"> </v>
      </c>
      <c r="V235" t="str">
        <f>"3446,000"</f>
        <v>3446,000</v>
      </c>
      <c r="W235" t="str">
        <f t="shared" si="141"/>
        <v>Lista 4</v>
      </c>
      <c r="X235" t="str">
        <f t="shared" si="142"/>
        <v>Lista 5</v>
      </c>
      <c r="Y235" t="str">
        <f t="shared" si="143"/>
        <v>Oferta Gral.</v>
      </c>
      <c r="Z235" t="str">
        <f t="shared" si="144"/>
        <v>Rubro</v>
      </c>
      <c r="AA235" t="str">
        <f t="shared" si="145"/>
        <v>Cantidad por Bulto</v>
      </c>
      <c r="AB235" t="str">
        <f t="shared" si="146"/>
        <v>INNER</v>
      </c>
      <c r="AC235" t="str">
        <f t="shared" si="147"/>
        <v>Stock en Bultos</v>
      </c>
      <c r="AD235" t="str">
        <f t="shared" si="148"/>
        <v>SubDepósito</v>
      </c>
      <c r="AE235" t="str">
        <f t="shared" si="149"/>
        <v>Marca</v>
      </c>
      <c r="AF235" t="str">
        <f t="shared" si="150"/>
        <v>Super Rubro</v>
      </c>
      <c r="AG235" t="str">
        <f t="shared" si="151"/>
        <v>ComercioExterior</v>
      </c>
      <c r="AH235" t="str">
        <f t="shared" si="152"/>
        <v>PrecioFOB</v>
      </c>
      <c r="AI235" t="str">
        <f t="shared" si="153"/>
        <v>Monto II</v>
      </c>
      <c r="AJ235" t="str">
        <f t="shared" si="154"/>
        <v>Porcentaje II</v>
      </c>
      <c r="AK235" t="str">
        <f t="shared" si="155"/>
        <v>Foto</v>
      </c>
      <c r="AL23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5" t="str">
        <f>"-"</f>
        <v>-</v>
      </c>
    </row>
    <row r="236" spans="1:39" x14ac:dyDescent="0.25">
      <c r="A236" t="str">
        <f>"PR7CC"</f>
        <v>PR7CC</v>
      </c>
      <c r="B236" t="str">
        <f>"BUJIA FERRAZZI COBRE FIAT ARGO CRONOS FIRE EVO TORO JEEP RENEGADE 1.8 "</f>
        <v xml:space="preserve">BUJIA FERRAZZI COBRE FIAT ARGO CRONOS FIRE EVO TORO JEEP RENEGADE 1.8 </v>
      </c>
      <c r="C236" t="str">
        <f>"$ 5579,83"</f>
        <v>$ 5579,83</v>
      </c>
      <c r="D236" t="str">
        <f>"$ 5579,83"</f>
        <v>$ 5579,83</v>
      </c>
      <c r="E236" t="str">
        <f>"$ 5579,83"</f>
        <v>$ 5579,83</v>
      </c>
      <c r="F236" t="str">
        <f>"$ 5579,83"</f>
        <v>$ 5579,83</v>
      </c>
      <c r="G236" t="str">
        <f>"$ 5579,83"</f>
        <v>$ 5579,83</v>
      </c>
      <c r="H236" t="str">
        <f t="shared" si="138"/>
        <v>$ 0,00</v>
      </c>
      <c r="I236" t="str">
        <f t="shared" si="168"/>
        <v>BUJIAS DE ENCENDIDO COBRE</v>
      </c>
      <c r="J236" t="str">
        <f t="shared" si="139"/>
        <v>1</v>
      </c>
      <c r="K236" t="str">
        <f t="shared" si="160"/>
        <v>0</v>
      </c>
      <c r="L236" t="str">
        <f>"172,000"</f>
        <v>172,000</v>
      </c>
      <c r="M236" t="str">
        <f t="shared" si="140"/>
        <v xml:space="preserve"> </v>
      </c>
      <c r="N236" t="str">
        <f t="shared" si="170"/>
        <v>FERRAZZI</v>
      </c>
      <c r="O236" t="str">
        <f t="shared" si="169"/>
        <v>BUJIAS</v>
      </c>
      <c r="P236" t="str">
        <f t="shared" si="165"/>
        <v>0</v>
      </c>
      <c r="Q236" t="str">
        <f t="shared" si="165"/>
        <v>0</v>
      </c>
      <c r="R236" t="str">
        <f t="shared" si="166"/>
        <v>0,00</v>
      </c>
      <c r="S236" t="str">
        <f t="shared" si="166"/>
        <v>0,00</v>
      </c>
      <c r="T236" t="str">
        <f t="shared" si="159"/>
        <v xml:space="preserve"> </v>
      </c>
      <c r="U236" t="str">
        <f t="shared" si="161"/>
        <v xml:space="preserve"> </v>
      </c>
      <c r="V236" t="str">
        <f>"172,000"</f>
        <v>172,000</v>
      </c>
      <c r="W236" t="str">
        <f t="shared" si="141"/>
        <v>Lista 4</v>
      </c>
      <c r="X236" t="str">
        <f t="shared" si="142"/>
        <v>Lista 5</v>
      </c>
      <c r="Y236" t="str">
        <f t="shared" si="143"/>
        <v>Oferta Gral.</v>
      </c>
      <c r="Z236" t="str">
        <f t="shared" si="144"/>
        <v>Rubro</v>
      </c>
      <c r="AA236" t="str">
        <f t="shared" si="145"/>
        <v>Cantidad por Bulto</v>
      </c>
      <c r="AB236" t="str">
        <f t="shared" si="146"/>
        <v>INNER</v>
      </c>
      <c r="AC236" t="str">
        <f t="shared" si="147"/>
        <v>Stock en Bultos</v>
      </c>
      <c r="AD236" t="str">
        <f t="shared" si="148"/>
        <v>SubDepósito</v>
      </c>
      <c r="AE236" t="str">
        <f t="shared" si="149"/>
        <v>Marca</v>
      </c>
      <c r="AF236" t="str">
        <f t="shared" si="150"/>
        <v>Super Rubro</v>
      </c>
      <c r="AG236" t="str">
        <f t="shared" si="151"/>
        <v>ComercioExterior</v>
      </c>
      <c r="AH236" t="str">
        <f t="shared" si="152"/>
        <v>PrecioFOB</v>
      </c>
      <c r="AI236" t="str">
        <f t="shared" si="153"/>
        <v>Monto II</v>
      </c>
      <c r="AJ236" t="str">
        <f t="shared" si="154"/>
        <v>Porcentaje II</v>
      </c>
      <c r="AK236" t="str">
        <f t="shared" si="155"/>
        <v>Foto</v>
      </c>
      <c r="AL23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6" t="str">
        <f>" "</f>
        <v xml:space="preserve"> </v>
      </c>
    </row>
    <row r="237" spans="1:39" x14ac:dyDescent="0.25">
      <c r="A237" t="str">
        <f>"HR5CC"</f>
        <v>HR5CC</v>
      </c>
      <c r="B237" t="str">
        <f>"BUJIA FERRAZZI COBRE FORD FALCON F100 AP5FS"</f>
        <v>BUJIA FERRAZZI COBRE FORD FALCON F100 AP5FS</v>
      </c>
      <c r="C237" t="str">
        <f>"$ 4126,82"</f>
        <v>$ 4126,82</v>
      </c>
      <c r="D237" t="str">
        <f>"$ 4126,82"</f>
        <v>$ 4126,82</v>
      </c>
      <c r="E237" t="str">
        <f>"$ 4126,82"</f>
        <v>$ 4126,82</v>
      </c>
      <c r="F237" t="str">
        <f>"$ 4126,82"</f>
        <v>$ 4126,82</v>
      </c>
      <c r="G237" t="str">
        <f>"$ 4126,82"</f>
        <v>$ 4126,82</v>
      </c>
      <c r="H237" t="str">
        <f t="shared" si="138"/>
        <v>$ 0,00</v>
      </c>
      <c r="I237" t="str">
        <f t="shared" si="168"/>
        <v>BUJIAS DE ENCENDIDO COBRE</v>
      </c>
      <c r="J237" t="str">
        <f t="shared" si="139"/>
        <v>1</v>
      </c>
      <c r="K237" t="str">
        <f t="shared" si="160"/>
        <v>0</v>
      </c>
      <c r="L237" t="str">
        <f>"429,000"</f>
        <v>429,000</v>
      </c>
      <c r="M237" t="str">
        <f t="shared" si="140"/>
        <v xml:space="preserve"> </v>
      </c>
      <c r="N237" t="str">
        <f t="shared" si="170"/>
        <v>FERRAZZI</v>
      </c>
      <c r="O237" t="str">
        <f t="shared" si="169"/>
        <v>BUJIAS</v>
      </c>
      <c r="P237" t="str">
        <f t="shared" si="165"/>
        <v>0</v>
      </c>
      <c r="Q237" t="str">
        <f t="shared" si="165"/>
        <v>0</v>
      </c>
      <c r="R237" t="str">
        <f t="shared" si="166"/>
        <v>0,00</v>
      </c>
      <c r="S237" t="str">
        <f t="shared" si="166"/>
        <v>0,00</v>
      </c>
      <c r="T237" t="str">
        <f t="shared" si="159"/>
        <v xml:space="preserve"> </v>
      </c>
      <c r="U237" t="str">
        <f t="shared" si="161"/>
        <v xml:space="preserve"> </v>
      </c>
      <c r="V237" t="str">
        <f>"429,000"</f>
        <v>429,000</v>
      </c>
      <c r="W237" t="str">
        <f t="shared" si="141"/>
        <v>Lista 4</v>
      </c>
      <c r="X237" t="str">
        <f t="shared" si="142"/>
        <v>Lista 5</v>
      </c>
      <c r="Y237" t="str">
        <f t="shared" si="143"/>
        <v>Oferta Gral.</v>
      </c>
      <c r="Z237" t="str">
        <f t="shared" si="144"/>
        <v>Rubro</v>
      </c>
      <c r="AA237" t="str">
        <f t="shared" si="145"/>
        <v>Cantidad por Bulto</v>
      </c>
      <c r="AB237" t="str">
        <f t="shared" si="146"/>
        <v>INNER</v>
      </c>
      <c r="AC237" t="str">
        <f t="shared" si="147"/>
        <v>Stock en Bultos</v>
      </c>
      <c r="AD237" t="str">
        <f t="shared" si="148"/>
        <v>SubDepósito</v>
      </c>
      <c r="AE237" t="str">
        <f t="shared" si="149"/>
        <v>Marca</v>
      </c>
      <c r="AF237" t="str">
        <f t="shared" si="150"/>
        <v>Super Rubro</v>
      </c>
      <c r="AG237" t="str">
        <f t="shared" si="151"/>
        <v>ComercioExterior</v>
      </c>
      <c r="AH237" t="str">
        <f t="shared" si="152"/>
        <v>PrecioFOB</v>
      </c>
      <c r="AI237" t="str">
        <f t="shared" si="153"/>
        <v>Monto II</v>
      </c>
      <c r="AJ237" t="str">
        <f t="shared" si="154"/>
        <v>Porcentaje II</v>
      </c>
      <c r="AK237" t="str">
        <f t="shared" si="155"/>
        <v>Foto</v>
      </c>
      <c r="AL23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7" t="str">
        <f t="shared" ref="AM237:AM261" si="171">"-"</f>
        <v>-</v>
      </c>
    </row>
    <row r="238" spans="1:39" x14ac:dyDescent="0.25">
      <c r="A238" t="str">
        <f>"FR6CC"</f>
        <v>FR6CC</v>
      </c>
      <c r="B238" t="str">
        <f>"BUJIA FERRAZZI COBRE FORD ZETEC ROCAM TR6B-10"</f>
        <v>BUJIA FERRAZZI COBRE FORD ZETEC ROCAM TR6B-10</v>
      </c>
      <c r="C238" t="str">
        <f>"$ 3639,86"</f>
        <v>$ 3639,86</v>
      </c>
      <c r="D238" t="str">
        <f>"$ 3639,86"</f>
        <v>$ 3639,86</v>
      </c>
      <c r="E238" t="str">
        <f>"$ 3639,86"</f>
        <v>$ 3639,86</v>
      </c>
      <c r="F238" t="str">
        <f>"$ 3639,86"</f>
        <v>$ 3639,86</v>
      </c>
      <c r="G238" t="str">
        <f>"$ 3639,86"</f>
        <v>$ 3639,86</v>
      </c>
      <c r="H238" t="str">
        <f t="shared" si="138"/>
        <v>$ 0,00</v>
      </c>
      <c r="I238" t="str">
        <f t="shared" si="168"/>
        <v>BUJIAS DE ENCENDIDO COBRE</v>
      </c>
      <c r="J238" t="str">
        <f t="shared" si="139"/>
        <v>1</v>
      </c>
      <c r="K238" t="str">
        <f t="shared" si="160"/>
        <v>0</v>
      </c>
      <c r="L238" t="str">
        <f>"388,000"</f>
        <v>388,000</v>
      </c>
      <c r="M238" t="str">
        <f t="shared" si="140"/>
        <v xml:space="preserve"> </v>
      </c>
      <c r="N238" t="str">
        <f t="shared" si="170"/>
        <v>FERRAZZI</v>
      </c>
      <c r="O238" t="str">
        <f t="shared" si="169"/>
        <v>BUJIAS</v>
      </c>
      <c r="P238" t="str">
        <f t="shared" si="165"/>
        <v>0</v>
      </c>
      <c r="Q238" t="str">
        <f t="shared" si="165"/>
        <v>0</v>
      </c>
      <c r="R238" t="str">
        <f t="shared" si="166"/>
        <v>0,00</v>
      </c>
      <c r="S238" t="str">
        <f t="shared" si="166"/>
        <v>0,00</v>
      </c>
      <c r="T238" t="str">
        <f t="shared" si="159"/>
        <v xml:space="preserve"> </v>
      </c>
      <c r="U238" t="str">
        <f t="shared" si="161"/>
        <v xml:space="preserve"> </v>
      </c>
      <c r="V238" t="str">
        <f>"388,000"</f>
        <v>388,000</v>
      </c>
      <c r="W238" t="str">
        <f t="shared" si="141"/>
        <v>Lista 4</v>
      </c>
      <c r="X238" t="str">
        <f t="shared" si="142"/>
        <v>Lista 5</v>
      </c>
      <c r="Y238" t="str">
        <f t="shared" si="143"/>
        <v>Oferta Gral.</v>
      </c>
      <c r="Z238" t="str">
        <f t="shared" si="144"/>
        <v>Rubro</v>
      </c>
      <c r="AA238" t="str">
        <f t="shared" si="145"/>
        <v>Cantidad por Bulto</v>
      </c>
      <c r="AB238" t="str">
        <f t="shared" si="146"/>
        <v>INNER</v>
      </c>
      <c r="AC238" t="str">
        <f t="shared" si="147"/>
        <v>Stock en Bultos</v>
      </c>
      <c r="AD238" t="str">
        <f t="shared" si="148"/>
        <v>SubDepósito</v>
      </c>
      <c r="AE238" t="str">
        <f t="shared" si="149"/>
        <v>Marca</v>
      </c>
      <c r="AF238" t="str">
        <f t="shared" si="150"/>
        <v>Super Rubro</v>
      </c>
      <c r="AG238" t="str">
        <f t="shared" si="151"/>
        <v>ComercioExterior</v>
      </c>
      <c r="AH238" t="str">
        <f t="shared" si="152"/>
        <v>PrecioFOB</v>
      </c>
      <c r="AI238" t="str">
        <f t="shared" si="153"/>
        <v>Monto II</v>
      </c>
      <c r="AJ238" t="str">
        <f t="shared" si="154"/>
        <v>Porcentaje II</v>
      </c>
      <c r="AK238" t="str">
        <f t="shared" si="155"/>
        <v>Foto</v>
      </c>
      <c r="AL23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8" t="str">
        <f t="shared" si="171"/>
        <v>-</v>
      </c>
    </row>
    <row r="239" spans="1:39" x14ac:dyDescent="0.25">
      <c r="A239" t="str">
        <f>"NR8CC"</f>
        <v>NR8CC</v>
      </c>
      <c r="B239" t="str">
        <f>"BUJIA FERRAZZI COBRE HONDA YAMAHA KAWA 125 150 250 CPR8EA CPR8EB-9 CPR8EA-9"</f>
        <v>BUJIA FERRAZZI COBRE HONDA YAMAHA KAWA 125 150 250 CPR8EA CPR8EB-9 CPR8EA-9</v>
      </c>
      <c r="C239" t="str">
        <f>"$ 3631,61"</f>
        <v>$ 3631,61</v>
      </c>
      <c r="D239" t="str">
        <f>"$ 3631,61"</f>
        <v>$ 3631,61</v>
      </c>
      <c r="E239" t="str">
        <f>"$ 3631,61"</f>
        <v>$ 3631,61</v>
      </c>
      <c r="F239" t="str">
        <f>"$ 3631,61"</f>
        <v>$ 3631,61</v>
      </c>
      <c r="G239" t="str">
        <f>"$ 3631,61"</f>
        <v>$ 3631,61</v>
      </c>
      <c r="H239" t="str">
        <f t="shared" si="138"/>
        <v>$ 0,00</v>
      </c>
      <c r="I239" t="str">
        <f t="shared" si="168"/>
        <v>BUJIAS DE ENCENDIDO COBRE</v>
      </c>
      <c r="J239" t="str">
        <f t="shared" si="139"/>
        <v>1</v>
      </c>
      <c r="K239" t="str">
        <f t="shared" si="160"/>
        <v>0</v>
      </c>
      <c r="L239" t="str">
        <f>"256,000"</f>
        <v>256,000</v>
      </c>
      <c r="M239" t="str">
        <f t="shared" si="140"/>
        <v xml:space="preserve"> </v>
      </c>
      <c r="N239" t="str">
        <f t="shared" si="170"/>
        <v>FERRAZZI</v>
      </c>
      <c r="O239" t="str">
        <f t="shared" si="169"/>
        <v>BUJIAS</v>
      </c>
      <c r="P239" t="str">
        <f t="shared" si="165"/>
        <v>0</v>
      </c>
      <c r="Q239" t="str">
        <f t="shared" si="165"/>
        <v>0</v>
      </c>
      <c r="R239" t="str">
        <f t="shared" si="166"/>
        <v>0,00</v>
      </c>
      <c r="S239" t="str">
        <f t="shared" si="166"/>
        <v>0,00</v>
      </c>
      <c r="T239" t="str">
        <f t="shared" si="159"/>
        <v xml:space="preserve"> </v>
      </c>
      <c r="U239" t="str">
        <f t="shared" si="161"/>
        <v xml:space="preserve"> </v>
      </c>
      <c r="V239" t="str">
        <f>"256,000"</f>
        <v>256,000</v>
      </c>
      <c r="W239" t="str">
        <f t="shared" si="141"/>
        <v>Lista 4</v>
      </c>
      <c r="X239" t="str">
        <f t="shared" si="142"/>
        <v>Lista 5</v>
      </c>
      <c r="Y239" t="str">
        <f t="shared" si="143"/>
        <v>Oferta Gral.</v>
      </c>
      <c r="Z239" t="str">
        <f t="shared" si="144"/>
        <v>Rubro</v>
      </c>
      <c r="AA239" t="str">
        <f t="shared" si="145"/>
        <v>Cantidad por Bulto</v>
      </c>
      <c r="AB239" t="str">
        <f t="shared" si="146"/>
        <v>INNER</v>
      </c>
      <c r="AC239" t="str">
        <f t="shared" si="147"/>
        <v>Stock en Bultos</v>
      </c>
      <c r="AD239" t="str">
        <f t="shared" si="148"/>
        <v>SubDepósito</v>
      </c>
      <c r="AE239" t="str">
        <f t="shared" si="149"/>
        <v>Marca</v>
      </c>
      <c r="AF239" t="str">
        <f t="shared" si="150"/>
        <v>Super Rubro</v>
      </c>
      <c r="AG239" t="str">
        <f t="shared" si="151"/>
        <v>ComercioExterior</v>
      </c>
      <c r="AH239" t="str">
        <f t="shared" si="152"/>
        <v>PrecioFOB</v>
      </c>
      <c r="AI239" t="str">
        <f t="shared" si="153"/>
        <v>Monto II</v>
      </c>
      <c r="AJ239" t="str">
        <f t="shared" si="154"/>
        <v>Porcentaje II</v>
      </c>
      <c r="AK239" t="str">
        <f t="shared" si="155"/>
        <v>Foto</v>
      </c>
      <c r="AL239" t="str">
        <f>"{\rtf1\ansi\ansicpg1252\deff0\deflang11274{\fonttbl{\f0\fnil\fcharset0 MS Sans Serif}} \viewkind4\uc1\pard\f0\fs16 BUJIA FERRAZZI COBRE HONDA YAMAHA KAWA 125 150 250 CPR8EA CPR8EB-9 CPR8EA-9\par } "</f>
        <v xml:space="preserve">{\rtf1\ansi\ansicpg1252\deff0\deflang11274{\fonttbl{\f0\fnil\fcharset0 MS Sans Serif}} \viewkind4\uc1\pard\f0\fs16 BUJIA FERRAZZI COBRE HONDA YAMAHA KAWA 125 150 250 CPR8EA CPR8EB-9 CPR8EA-9\par } </v>
      </c>
      <c r="AM239" t="str">
        <f t="shared" si="171"/>
        <v>-</v>
      </c>
    </row>
    <row r="240" spans="1:39" x14ac:dyDescent="0.25">
      <c r="A240" t="str">
        <f>"QR8CC"</f>
        <v>QR8CC</v>
      </c>
      <c r="B240" t="str">
        <f>"BUJIA FERRAZZI COBRE MOTOS CORVEN GILERA MONDIAL 125 150CC D8EA DR8EA DR8EB"</f>
        <v>BUJIA FERRAZZI COBRE MOTOS CORVEN GILERA MONDIAL 125 150CC D8EA DR8EA DR8EB</v>
      </c>
      <c r="C240" t="str">
        <f>"$ 3136,38"</f>
        <v>$ 3136,38</v>
      </c>
      <c r="D240" t="str">
        <f>"$ 3136,38"</f>
        <v>$ 3136,38</v>
      </c>
      <c r="E240" t="str">
        <f>"$ 3136,38"</f>
        <v>$ 3136,38</v>
      </c>
      <c r="F240" t="str">
        <f>"$ 3136,38"</f>
        <v>$ 3136,38</v>
      </c>
      <c r="G240" t="str">
        <f>"$ 3136,38"</f>
        <v>$ 3136,38</v>
      </c>
      <c r="H240" t="str">
        <f t="shared" si="138"/>
        <v>$ 0,00</v>
      </c>
      <c r="I240" t="str">
        <f t="shared" si="168"/>
        <v>BUJIAS DE ENCENDIDO COBRE</v>
      </c>
      <c r="J240" t="str">
        <f t="shared" si="139"/>
        <v>1</v>
      </c>
      <c r="K240" t="str">
        <f t="shared" si="160"/>
        <v>0</v>
      </c>
      <c r="L240" t="str">
        <f>"293,000"</f>
        <v>293,000</v>
      </c>
      <c r="M240" t="str">
        <f t="shared" si="140"/>
        <v xml:space="preserve"> </v>
      </c>
      <c r="N240" t="str">
        <f t="shared" si="170"/>
        <v>FERRAZZI</v>
      </c>
      <c r="O240" t="str">
        <f t="shared" si="169"/>
        <v>BUJIAS</v>
      </c>
      <c r="P240" t="str">
        <f t="shared" si="165"/>
        <v>0</v>
      </c>
      <c r="Q240" t="str">
        <f t="shared" si="165"/>
        <v>0</v>
      </c>
      <c r="R240" t="str">
        <f t="shared" si="166"/>
        <v>0,00</v>
      </c>
      <c r="S240" t="str">
        <f t="shared" si="166"/>
        <v>0,00</v>
      </c>
      <c r="T240" t="str">
        <f t="shared" si="159"/>
        <v xml:space="preserve"> </v>
      </c>
      <c r="U240" t="str">
        <f t="shared" si="161"/>
        <v xml:space="preserve"> </v>
      </c>
      <c r="V240" t="str">
        <f>"293,000"</f>
        <v>293,000</v>
      </c>
      <c r="W240" t="str">
        <f t="shared" si="141"/>
        <v>Lista 4</v>
      </c>
      <c r="X240" t="str">
        <f t="shared" si="142"/>
        <v>Lista 5</v>
      </c>
      <c r="Y240" t="str">
        <f t="shared" si="143"/>
        <v>Oferta Gral.</v>
      </c>
      <c r="Z240" t="str">
        <f t="shared" si="144"/>
        <v>Rubro</v>
      </c>
      <c r="AA240" t="str">
        <f t="shared" si="145"/>
        <v>Cantidad por Bulto</v>
      </c>
      <c r="AB240" t="str">
        <f t="shared" si="146"/>
        <v>INNER</v>
      </c>
      <c r="AC240" t="str">
        <f t="shared" si="147"/>
        <v>Stock en Bultos</v>
      </c>
      <c r="AD240" t="str">
        <f t="shared" si="148"/>
        <v>SubDepósito</v>
      </c>
      <c r="AE240" t="str">
        <f t="shared" si="149"/>
        <v>Marca</v>
      </c>
      <c r="AF240" t="str">
        <f t="shared" si="150"/>
        <v>Super Rubro</v>
      </c>
      <c r="AG240" t="str">
        <f t="shared" si="151"/>
        <v>ComercioExterior</v>
      </c>
      <c r="AH240" t="str">
        <f t="shared" si="152"/>
        <v>PrecioFOB</v>
      </c>
      <c r="AI240" t="str">
        <f t="shared" si="153"/>
        <v>Monto II</v>
      </c>
      <c r="AJ240" t="str">
        <f t="shared" si="154"/>
        <v>Porcentaje II</v>
      </c>
      <c r="AK240" t="str">
        <f t="shared" si="155"/>
        <v>Foto</v>
      </c>
      <c r="AL240" t="str">
        <f>"{\rtf1\ansi\ansicpg1252\deff0\deflang11274{\fonttbl{\f0\fnil\fcharset0 MS Sans Serif}} \viewkind4\uc1\pard\f0\fs16 BUJIA FERRAZZI COBRE MOTOS CORVEN GILERA MONDIAL 125 150CC D8EA DR8EA DR8EB\par } "</f>
        <v xml:space="preserve">{\rtf1\ansi\ansicpg1252\deff0\deflang11274{\fonttbl{\f0\fnil\fcharset0 MS Sans Serif}} \viewkind4\uc1\pard\f0\fs16 BUJIA FERRAZZI COBRE MOTOS CORVEN GILERA MONDIAL 125 150CC D8EA DR8EA DR8EB\par } </v>
      </c>
      <c r="AM240" t="str">
        <f t="shared" si="171"/>
        <v>-</v>
      </c>
    </row>
    <row r="241" spans="1:39" x14ac:dyDescent="0.25">
      <c r="A241" t="str">
        <f>"MR7CC"</f>
        <v>MR7CC</v>
      </c>
      <c r="B241" t="str">
        <f>"BUJIA FERRAZZI COBRE MOTOS HONDA YAMAHA MOTOMEL 70 80 90 100 CC CR7HS C7HSA CR7HSA"</f>
        <v>BUJIA FERRAZZI COBRE MOTOS HONDA YAMAHA MOTOMEL 70 80 90 100 CC CR7HS C7HSA CR7HSA</v>
      </c>
      <c r="C241" t="str">
        <f>"$ 3053,86"</f>
        <v>$ 3053,86</v>
      </c>
      <c r="D241" t="str">
        <f>"$ 3053,86"</f>
        <v>$ 3053,86</v>
      </c>
      <c r="E241" t="str">
        <f>"$ 3053,86"</f>
        <v>$ 3053,86</v>
      </c>
      <c r="F241" t="str">
        <f>"$ 3053,86"</f>
        <v>$ 3053,86</v>
      </c>
      <c r="G241" t="str">
        <f>"$ 3053,86"</f>
        <v>$ 3053,86</v>
      </c>
      <c r="H241" t="str">
        <f t="shared" si="138"/>
        <v>$ 0,00</v>
      </c>
      <c r="I241" t="str">
        <f t="shared" si="168"/>
        <v>BUJIAS DE ENCENDIDO COBRE</v>
      </c>
      <c r="J241" t="str">
        <f t="shared" si="139"/>
        <v>1</v>
      </c>
      <c r="K241" t="str">
        <f t="shared" si="160"/>
        <v>0</v>
      </c>
      <c r="L241" t="str">
        <f>"130,000"</f>
        <v>130,000</v>
      </c>
      <c r="M241" t="str">
        <f t="shared" si="140"/>
        <v xml:space="preserve"> </v>
      </c>
      <c r="N241" t="str">
        <f t="shared" si="170"/>
        <v>FERRAZZI</v>
      </c>
      <c r="O241" t="str">
        <f t="shared" si="169"/>
        <v>BUJIAS</v>
      </c>
      <c r="P241" t="str">
        <f t="shared" si="165"/>
        <v>0</v>
      </c>
      <c r="Q241" t="str">
        <f t="shared" si="165"/>
        <v>0</v>
      </c>
      <c r="R241" t="str">
        <f t="shared" si="166"/>
        <v>0,00</v>
      </c>
      <c r="S241" t="str">
        <f t="shared" si="166"/>
        <v>0,00</v>
      </c>
      <c r="T241" t="str">
        <f t="shared" si="159"/>
        <v xml:space="preserve"> </v>
      </c>
      <c r="U241" t="str">
        <f t="shared" si="161"/>
        <v xml:space="preserve"> </v>
      </c>
      <c r="V241" t="str">
        <f>"130,000"</f>
        <v>130,000</v>
      </c>
      <c r="W241" t="str">
        <f t="shared" si="141"/>
        <v>Lista 4</v>
      </c>
      <c r="X241" t="str">
        <f t="shared" si="142"/>
        <v>Lista 5</v>
      </c>
      <c r="Y241" t="str">
        <f t="shared" si="143"/>
        <v>Oferta Gral.</v>
      </c>
      <c r="Z241" t="str">
        <f t="shared" si="144"/>
        <v>Rubro</v>
      </c>
      <c r="AA241" t="str">
        <f t="shared" si="145"/>
        <v>Cantidad por Bulto</v>
      </c>
      <c r="AB241" t="str">
        <f t="shared" si="146"/>
        <v>INNER</v>
      </c>
      <c r="AC241" t="str">
        <f t="shared" si="147"/>
        <v>Stock en Bultos</v>
      </c>
      <c r="AD241" t="str">
        <f t="shared" si="148"/>
        <v>SubDepósito</v>
      </c>
      <c r="AE241" t="str">
        <f t="shared" si="149"/>
        <v>Marca</v>
      </c>
      <c r="AF241" t="str">
        <f t="shared" si="150"/>
        <v>Super Rubro</v>
      </c>
      <c r="AG241" t="str">
        <f t="shared" si="151"/>
        <v>ComercioExterior</v>
      </c>
      <c r="AH241" t="str">
        <f t="shared" si="152"/>
        <v>PrecioFOB</v>
      </c>
      <c r="AI241" t="str">
        <f t="shared" si="153"/>
        <v>Monto II</v>
      </c>
      <c r="AJ241" t="str">
        <f t="shared" si="154"/>
        <v>Porcentaje II</v>
      </c>
      <c r="AK241" t="str">
        <f t="shared" si="155"/>
        <v>Foto</v>
      </c>
      <c r="AL241" t="str">
        <f>"{\rtf1\ansi\ansicpg1252\deff0\deflang11274{\fonttbl{\f0\fnil\fcharset0 MS Sans Serif}} \viewkind4\uc1\pard\f0\fs16 BUJIA FERRAZZI COBRE MOTOS HONDA YAMAHA MOTOMEL 70 80 90 100 CC CR7HS C7HSA CR7HSA\par } "</f>
        <v xml:space="preserve">{\rtf1\ansi\ansicpg1252\deff0\deflang11274{\fonttbl{\f0\fnil\fcharset0 MS Sans Serif}} \viewkind4\uc1\pard\f0\fs16 BUJIA FERRAZZI COBRE MOTOS HONDA YAMAHA MOTOMEL 70 80 90 100 CC CR7HS C7HSA CR7HSA\par } </v>
      </c>
      <c r="AM241" t="str">
        <f t="shared" si="171"/>
        <v>-</v>
      </c>
    </row>
    <row r="242" spans="1:39" x14ac:dyDescent="0.25">
      <c r="A242" t="str">
        <f>"XR5CC"</f>
        <v>XR5CC</v>
      </c>
      <c r="B242" t="str">
        <f>"BUJIA FERRAZZI COBRE PEUGEOT CITROEN 2.0 16V LFR5B"</f>
        <v>BUJIA FERRAZZI COBRE PEUGEOT CITROEN 2.0 16V LFR5B</v>
      </c>
      <c r="C242" t="str">
        <f>"$ 3631,61"</f>
        <v>$ 3631,61</v>
      </c>
      <c r="D242" t="str">
        <f>"$ 3631,61"</f>
        <v>$ 3631,61</v>
      </c>
      <c r="E242" t="str">
        <f>"$ 3631,61"</f>
        <v>$ 3631,61</v>
      </c>
      <c r="F242" t="str">
        <f>"$ 3631,61"</f>
        <v>$ 3631,61</v>
      </c>
      <c r="G242" t="str">
        <f>"$ 3631,61"</f>
        <v>$ 3631,61</v>
      </c>
      <c r="H242" t="str">
        <f t="shared" si="138"/>
        <v>$ 0,00</v>
      </c>
      <c r="I242" t="str">
        <f t="shared" si="168"/>
        <v>BUJIAS DE ENCENDIDO COBRE</v>
      </c>
      <c r="J242" t="str">
        <f t="shared" si="139"/>
        <v>1</v>
      </c>
      <c r="K242" t="str">
        <f t="shared" si="160"/>
        <v>0</v>
      </c>
      <c r="L242" t="str">
        <f>"185,000"</f>
        <v>185,000</v>
      </c>
      <c r="M242" t="str">
        <f t="shared" si="140"/>
        <v xml:space="preserve"> </v>
      </c>
      <c r="N242" t="str">
        <f t="shared" si="170"/>
        <v>FERRAZZI</v>
      </c>
      <c r="O242" t="str">
        <f t="shared" si="169"/>
        <v>BUJIAS</v>
      </c>
      <c r="P242" t="str">
        <f t="shared" si="165"/>
        <v>0</v>
      </c>
      <c r="Q242" t="str">
        <f t="shared" si="165"/>
        <v>0</v>
      </c>
      <c r="R242" t="str">
        <f t="shared" si="166"/>
        <v>0,00</v>
      </c>
      <c r="S242" t="str">
        <f t="shared" si="166"/>
        <v>0,00</v>
      </c>
      <c r="T242" t="str">
        <f t="shared" si="159"/>
        <v xml:space="preserve"> </v>
      </c>
      <c r="U242" t="str">
        <f t="shared" si="161"/>
        <v xml:space="preserve"> </v>
      </c>
      <c r="V242" t="str">
        <f>"185,000"</f>
        <v>185,000</v>
      </c>
      <c r="W242" t="str">
        <f t="shared" si="141"/>
        <v>Lista 4</v>
      </c>
      <c r="X242" t="str">
        <f t="shared" si="142"/>
        <v>Lista 5</v>
      </c>
      <c r="Y242" t="str">
        <f t="shared" si="143"/>
        <v>Oferta Gral.</v>
      </c>
      <c r="Z242" t="str">
        <f t="shared" si="144"/>
        <v>Rubro</v>
      </c>
      <c r="AA242" t="str">
        <f t="shared" si="145"/>
        <v>Cantidad por Bulto</v>
      </c>
      <c r="AB242" t="str">
        <f t="shared" si="146"/>
        <v>INNER</v>
      </c>
      <c r="AC242" t="str">
        <f t="shared" si="147"/>
        <v>Stock en Bultos</v>
      </c>
      <c r="AD242" t="str">
        <f t="shared" si="148"/>
        <v>SubDepósito</v>
      </c>
      <c r="AE242" t="str">
        <f t="shared" si="149"/>
        <v>Marca</v>
      </c>
      <c r="AF242" t="str">
        <f t="shared" si="150"/>
        <v>Super Rubro</v>
      </c>
      <c r="AG242" t="str">
        <f t="shared" si="151"/>
        <v>ComercioExterior</v>
      </c>
      <c r="AH242" t="str">
        <f t="shared" si="152"/>
        <v>PrecioFOB</v>
      </c>
      <c r="AI242" t="str">
        <f t="shared" si="153"/>
        <v>Monto II</v>
      </c>
      <c r="AJ242" t="str">
        <f t="shared" si="154"/>
        <v>Porcentaje II</v>
      </c>
      <c r="AK242" t="str">
        <f t="shared" si="155"/>
        <v>Foto</v>
      </c>
      <c r="AL24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2" t="str">
        <f t="shared" si="171"/>
        <v>-</v>
      </c>
    </row>
    <row r="243" spans="1:39" x14ac:dyDescent="0.25">
      <c r="A243" t="str">
        <f>"AR7CC"</f>
        <v>AR7CC</v>
      </c>
      <c r="B243" t="str">
        <f>"BUJIA FERRAZZI COBRE RENAULT CLIO 1.2  LZKAR7A"</f>
        <v>BUJIA FERRAZZI COBRE RENAULT CLIO 1.2  LZKAR7A</v>
      </c>
      <c r="C243" t="str">
        <f>"$ 6165,49"</f>
        <v>$ 6165,49</v>
      </c>
      <c r="D243" t="str">
        <f>"$ 6165,49"</f>
        <v>$ 6165,49</v>
      </c>
      <c r="E243" t="str">
        <f>"$ 6165,49"</f>
        <v>$ 6165,49</v>
      </c>
      <c r="F243" t="str">
        <f>"$ 6165,49"</f>
        <v>$ 6165,49</v>
      </c>
      <c r="G243" t="str">
        <f>"$ 6165,49"</f>
        <v>$ 6165,49</v>
      </c>
      <c r="H243" t="str">
        <f t="shared" si="138"/>
        <v>$ 0,00</v>
      </c>
      <c r="I243" t="str">
        <f t="shared" si="168"/>
        <v>BUJIAS DE ENCENDIDO COBRE</v>
      </c>
      <c r="J243" t="str">
        <f t="shared" si="139"/>
        <v>1</v>
      </c>
      <c r="K243" t="str">
        <f t="shared" si="160"/>
        <v>0</v>
      </c>
      <c r="L243" t="str">
        <f>"237,000"</f>
        <v>237,000</v>
      </c>
      <c r="M243" t="str">
        <f t="shared" si="140"/>
        <v xml:space="preserve"> </v>
      </c>
      <c r="N243" t="str">
        <f t="shared" si="170"/>
        <v>FERRAZZI</v>
      </c>
      <c r="O243" t="str">
        <f t="shared" si="169"/>
        <v>BUJIAS</v>
      </c>
      <c r="P243" t="str">
        <f t="shared" ref="P243:Q262" si="172">"0"</f>
        <v>0</v>
      </c>
      <c r="Q243" t="str">
        <f t="shared" si="172"/>
        <v>0</v>
      </c>
      <c r="R243" t="str">
        <f t="shared" ref="R243:S262" si="173">"0,00"</f>
        <v>0,00</v>
      </c>
      <c r="S243" t="str">
        <f t="shared" si="173"/>
        <v>0,00</v>
      </c>
      <c r="T243" t="str">
        <f t="shared" si="159"/>
        <v xml:space="preserve"> </v>
      </c>
      <c r="U243" t="str">
        <f t="shared" si="161"/>
        <v xml:space="preserve"> </v>
      </c>
      <c r="V243" t="str">
        <f>"237,000"</f>
        <v>237,000</v>
      </c>
      <c r="W243" t="str">
        <f t="shared" si="141"/>
        <v>Lista 4</v>
      </c>
      <c r="X243" t="str">
        <f t="shared" si="142"/>
        <v>Lista 5</v>
      </c>
      <c r="Y243" t="str">
        <f t="shared" si="143"/>
        <v>Oferta Gral.</v>
      </c>
      <c r="Z243" t="str">
        <f t="shared" si="144"/>
        <v>Rubro</v>
      </c>
      <c r="AA243" t="str">
        <f t="shared" si="145"/>
        <v>Cantidad por Bulto</v>
      </c>
      <c r="AB243" t="str">
        <f t="shared" si="146"/>
        <v>INNER</v>
      </c>
      <c r="AC243" t="str">
        <f t="shared" si="147"/>
        <v>Stock en Bultos</v>
      </c>
      <c r="AD243" t="str">
        <f t="shared" si="148"/>
        <v>SubDepósito</v>
      </c>
      <c r="AE243" t="str">
        <f t="shared" si="149"/>
        <v>Marca</v>
      </c>
      <c r="AF243" t="str">
        <f t="shared" si="150"/>
        <v>Super Rubro</v>
      </c>
      <c r="AG243" t="str">
        <f t="shared" si="151"/>
        <v>ComercioExterior</v>
      </c>
      <c r="AH243" t="str">
        <f t="shared" si="152"/>
        <v>PrecioFOB</v>
      </c>
      <c r="AI243" t="str">
        <f t="shared" si="153"/>
        <v>Monto II</v>
      </c>
      <c r="AJ243" t="str">
        <f t="shared" si="154"/>
        <v>Porcentaje II</v>
      </c>
      <c r="AK243" t="str">
        <f t="shared" si="155"/>
        <v>Foto</v>
      </c>
      <c r="AL24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3" t="str">
        <f t="shared" si="171"/>
        <v>-</v>
      </c>
    </row>
    <row r="244" spans="1:39" x14ac:dyDescent="0.25">
      <c r="A244" t="str">
        <f>"RR5CC"</f>
        <v>RR5CC</v>
      </c>
      <c r="B244" t="str">
        <f>"BUJIA FERRAZZI COBRE RENAULT FIAT 600 TORINO RENAULT 4    BP5HS"</f>
        <v>BUJIA FERRAZZI COBRE RENAULT FIAT 600 TORINO RENAULT 4    BP5HS</v>
      </c>
      <c r="C244" t="str">
        <f t="shared" ref="C244:G245" si="174">"$ 3301,46"</f>
        <v>$ 3301,46</v>
      </c>
      <c r="D244" t="str">
        <f t="shared" si="174"/>
        <v>$ 3301,46</v>
      </c>
      <c r="E244" t="str">
        <f t="shared" si="174"/>
        <v>$ 3301,46</v>
      </c>
      <c r="F244" t="str">
        <f t="shared" si="174"/>
        <v>$ 3301,46</v>
      </c>
      <c r="G244" t="str">
        <f t="shared" si="174"/>
        <v>$ 3301,46</v>
      </c>
      <c r="H244" t="str">
        <f t="shared" si="138"/>
        <v>$ 0,00</v>
      </c>
      <c r="I244" t="str">
        <f t="shared" si="168"/>
        <v>BUJIAS DE ENCENDIDO COBRE</v>
      </c>
      <c r="J244" t="str">
        <f t="shared" si="139"/>
        <v>1</v>
      </c>
      <c r="K244" t="str">
        <f t="shared" si="160"/>
        <v>0</v>
      </c>
      <c r="L244" t="str">
        <f>"448,000"</f>
        <v>448,000</v>
      </c>
      <c r="M244" t="str">
        <f t="shared" si="140"/>
        <v xml:space="preserve"> </v>
      </c>
      <c r="N244" t="str">
        <f t="shared" si="170"/>
        <v>FERRAZZI</v>
      </c>
      <c r="O244" t="str">
        <f t="shared" si="169"/>
        <v>BUJIAS</v>
      </c>
      <c r="P244" t="str">
        <f t="shared" si="172"/>
        <v>0</v>
      </c>
      <c r="Q244" t="str">
        <f t="shared" si="172"/>
        <v>0</v>
      </c>
      <c r="R244" t="str">
        <f t="shared" si="173"/>
        <v>0,00</v>
      </c>
      <c r="S244" t="str">
        <f t="shared" si="173"/>
        <v>0,00</v>
      </c>
      <c r="T244" t="str">
        <f t="shared" si="159"/>
        <v xml:space="preserve"> </v>
      </c>
      <c r="U244" t="str">
        <f t="shared" si="161"/>
        <v xml:space="preserve"> </v>
      </c>
      <c r="V244" t="str">
        <f>"448,000"</f>
        <v>448,000</v>
      </c>
      <c r="W244" t="str">
        <f t="shared" si="141"/>
        <v>Lista 4</v>
      </c>
      <c r="X244" t="str">
        <f t="shared" si="142"/>
        <v>Lista 5</v>
      </c>
      <c r="Y244" t="str">
        <f t="shared" si="143"/>
        <v>Oferta Gral.</v>
      </c>
      <c r="Z244" t="str">
        <f t="shared" si="144"/>
        <v>Rubro</v>
      </c>
      <c r="AA244" t="str">
        <f t="shared" si="145"/>
        <v>Cantidad por Bulto</v>
      </c>
      <c r="AB244" t="str">
        <f t="shared" si="146"/>
        <v>INNER</v>
      </c>
      <c r="AC244" t="str">
        <f t="shared" si="147"/>
        <v>Stock en Bultos</v>
      </c>
      <c r="AD244" t="str">
        <f t="shared" si="148"/>
        <v>SubDepósito</v>
      </c>
      <c r="AE244" t="str">
        <f t="shared" si="149"/>
        <v>Marca</v>
      </c>
      <c r="AF244" t="str">
        <f t="shared" si="150"/>
        <v>Super Rubro</v>
      </c>
      <c r="AG244" t="str">
        <f t="shared" si="151"/>
        <v>ComercioExterior</v>
      </c>
      <c r="AH244" t="str">
        <f t="shared" si="152"/>
        <v>PrecioFOB</v>
      </c>
      <c r="AI244" t="str">
        <f t="shared" si="153"/>
        <v>Monto II</v>
      </c>
      <c r="AJ244" t="str">
        <f t="shared" si="154"/>
        <v>Porcentaje II</v>
      </c>
      <c r="AK244" t="str">
        <f t="shared" si="155"/>
        <v>Foto</v>
      </c>
      <c r="AL244" t="str">
        <f>"{\rtf1\ansi\ansicpg1252\deff0\deflang11274{\fonttbl{\f0\fnil\fcharset0 MS Sans Serif}} \viewkind4\uc1\pard\f0\fs16 BUJIA FERRAZZI COBRE RENAULT FIAT 600 TORINO RENAULT 4    BP5HS\par } "</f>
        <v xml:space="preserve">{\rtf1\ansi\ansicpg1252\deff0\deflang11274{\fonttbl{\f0\fnil\fcharset0 MS Sans Serif}} \viewkind4\uc1\pard\f0\fs16 BUJIA FERRAZZI COBRE RENAULT FIAT 600 TORINO RENAULT 4    BP5HS\par } </v>
      </c>
      <c r="AM244" t="str">
        <f t="shared" si="171"/>
        <v>-</v>
      </c>
    </row>
    <row r="245" spans="1:39" x14ac:dyDescent="0.25">
      <c r="A245" t="str">
        <f>"SR5CC"</f>
        <v>SR5CC</v>
      </c>
      <c r="B245" t="str">
        <f>"BUJIA FERRAZZI COBRE RENAULT FIAT VW ROSCA LARGA BPR5ES"</f>
        <v>BUJIA FERRAZZI COBRE RENAULT FIAT VW ROSCA LARGA BPR5ES</v>
      </c>
      <c r="C245" t="str">
        <f t="shared" si="174"/>
        <v>$ 3301,46</v>
      </c>
      <c r="D245" t="str">
        <f t="shared" si="174"/>
        <v>$ 3301,46</v>
      </c>
      <c r="E245" t="str">
        <f t="shared" si="174"/>
        <v>$ 3301,46</v>
      </c>
      <c r="F245" t="str">
        <f t="shared" si="174"/>
        <v>$ 3301,46</v>
      </c>
      <c r="G245" t="str">
        <f t="shared" si="174"/>
        <v>$ 3301,46</v>
      </c>
      <c r="H245" t="str">
        <f t="shared" si="138"/>
        <v>$ 0,00</v>
      </c>
      <c r="I245" t="str">
        <f t="shared" si="168"/>
        <v>BUJIAS DE ENCENDIDO COBRE</v>
      </c>
      <c r="J245" t="str">
        <f t="shared" si="139"/>
        <v>1</v>
      </c>
      <c r="K245" t="str">
        <f t="shared" si="160"/>
        <v>0</v>
      </c>
      <c r="L245" t="str">
        <f>"1088,000"</f>
        <v>1088,000</v>
      </c>
      <c r="M245" t="str">
        <f t="shared" si="140"/>
        <v xml:space="preserve"> </v>
      </c>
      <c r="N245" t="str">
        <f t="shared" si="170"/>
        <v>FERRAZZI</v>
      </c>
      <c r="O245" t="str">
        <f t="shared" si="169"/>
        <v>BUJIAS</v>
      </c>
      <c r="P245" t="str">
        <f t="shared" si="172"/>
        <v>0</v>
      </c>
      <c r="Q245" t="str">
        <f t="shared" si="172"/>
        <v>0</v>
      </c>
      <c r="R245" t="str">
        <f t="shared" si="173"/>
        <v>0,00</v>
      </c>
      <c r="S245" t="str">
        <f t="shared" si="173"/>
        <v>0,00</v>
      </c>
      <c r="T245" t="str">
        <f t="shared" si="159"/>
        <v xml:space="preserve"> </v>
      </c>
      <c r="U245" t="str">
        <f t="shared" si="161"/>
        <v xml:space="preserve"> </v>
      </c>
      <c r="V245" t="str">
        <f>"1088,000"</f>
        <v>1088,000</v>
      </c>
      <c r="W245" t="str">
        <f t="shared" si="141"/>
        <v>Lista 4</v>
      </c>
      <c r="X245" t="str">
        <f t="shared" si="142"/>
        <v>Lista 5</v>
      </c>
      <c r="Y245" t="str">
        <f t="shared" si="143"/>
        <v>Oferta Gral.</v>
      </c>
      <c r="Z245" t="str">
        <f t="shared" si="144"/>
        <v>Rubro</v>
      </c>
      <c r="AA245" t="str">
        <f t="shared" si="145"/>
        <v>Cantidad por Bulto</v>
      </c>
      <c r="AB245" t="str">
        <f t="shared" si="146"/>
        <v>INNER</v>
      </c>
      <c r="AC245" t="str">
        <f t="shared" si="147"/>
        <v>Stock en Bultos</v>
      </c>
      <c r="AD245" t="str">
        <f t="shared" si="148"/>
        <v>SubDepósito</v>
      </c>
      <c r="AE245" t="str">
        <f t="shared" si="149"/>
        <v>Marca</v>
      </c>
      <c r="AF245" t="str">
        <f t="shared" si="150"/>
        <v>Super Rubro</v>
      </c>
      <c r="AG245" t="str">
        <f t="shared" si="151"/>
        <v>ComercioExterior</v>
      </c>
      <c r="AH245" t="str">
        <f t="shared" si="152"/>
        <v>PrecioFOB</v>
      </c>
      <c r="AI245" t="str">
        <f t="shared" si="153"/>
        <v>Monto II</v>
      </c>
      <c r="AJ245" t="str">
        <f t="shared" si="154"/>
        <v>Porcentaje II</v>
      </c>
      <c r="AK245" t="str">
        <f t="shared" si="155"/>
        <v>Foto</v>
      </c>
      <c r="AL245" t="str">
        <f>"{\rtf1\ansi\ansicpg1252\deff0\deflang2058{\fonttbl{\f0\fnil\fcharset0 MS Sans Serif}} \viewkind4\uc1\pard\f0\fs16 BUJIA FERRAZZI COBRE RENAULT FIAT VW ROSCA LARGA BPR5ES\par } "</f>
        <v xml:space="preserve">{\rtf1\ansi\ansicpg1252\deff0\deflang2058{\fonttbl{\f0\fnil\fcharset0 MS Sans Serif}} \viewkind4\uc1\pard\f0\fs16 BUJIA FERRAZZI COBRE RENAULT FIAT VW ROSCA LARGA BPR5ES\par } </v>
      </c>
      <c r="AM245" t="str">
        <f t="shared" si="171"/>
        <v>-</v>
      </c>
    </row>
    <row r="246" spans="1:39" x14ac:dyDescent="0.25">
      <c r="A246" t="str">
        <f>"ER5CC"</f>
        <v>ER5CC</v>
      </c>
      <c r="B246" t="str">
        <f>"BUJIA FERRAZZI COBRE TAUNUS FORD ECONOMAX RENAULT 18 FUEGO 2000"</f>
        <v>BUJIA FERRAZZI COBRE TAUNUS FORD ECONOMAX RENAULT 18 FUEGO 2000</v>
      </c>
      <c r="C246" t="str">
        <f>"$ 3417,02"</f>
        <v>$ 3417,02</v>
      </c>
      <c r="D246" t="str">
        <f>"$ 3417,02"</f>
        <v>$ 3417,02</v>
      </c>
      <c r="E246" t="str">
        <f>"$ 3417,02"</f>
        <v>$ 3417,02</v>
      </c>
      <c r="F246" t="str">
        <f>"$ 3417,02"</f>
        <v>$ 3417,02</v>
      </c>
      <c r="G246" t="str">
        <f>"$ 3417,02"</f>
        <v>$ 3417,02</v>
      </c>
      <c r="H246" t="str">
        <f t="shared" si="138"/>
        <v>$ 0,00</v>
      </c>
      <c r="I246" t="str">
        <f t="shared" si="168"/>
        <v>BUJIAS DE ENCENDIDO COBRE</v>
      </c>
      <c r="J246" t="str">
        <f t="shared" si="139"/>
        <v>1</v>
      </c>
      <c r="K246" t="str">
        <f t="shared" si="160"/>
        <v>0</v>
      </c>
      <c r="L246" t="str">
        <f>"304,000"</f>
        <v>304,000</v>
      </c>
      <c r="M246" t="str">
        <f t="shared" si="140"/>
        <v xml:space="preserve"> </v>
      </c>
      <c r="N246" t="str">
        <f t="shared" si="170"/>
        <v>FERRAZZI</v>
      </c>
      <c r="O246" t="str">
        <f t="shared" si="169"/>
        <v>BUJIAS</v>
      </c>
      <c r="P246" t="str">
        <f t="shared" si="172"/>
        <v>0</v>
      </c>
      <c r="Q246" t="str">
        <f t="shared" si="172"/>
        <v>0</v>
      </c>
      <c r="R246" t="str">
        <f t="shared" si="173"/>
        <v>0,00</v>
      </c>
      <c r="S246" t="str">
        <f t="shared" si="173"/>
        <v>0,00</v>
      </c>
      <c r="T246" t="str">
        <f t="shared" si="159"/>
        <v xml:space="preserve"> </v>
      </c>
      <c r="U246" t="str">
        <f t="shared" si="161"/>
        <v xml:space="preserve"> </v>
      </c>
      <c r="V246" t="str">
        <f>"304,000"</f>
        <v>304,000</v>
      </c>
      <c r="W246" t="str">
        <f t="shared" si="141"/>
        <v>Lista 4</v>
      </c>
      <c r="X246" t="str">
        <f t="shared" si="142"/>
        <v>Lista 5</v>
      </c>
      <c r="Y246" t="str">
        <f t="shared" si="143"/>
        <v>Oferta Gral.</v>
      </c>
      <c r="Z246" t="str">
        <f t="shared" si="144"/>
        <v>Rubro</v>
      </c>
      <c r="AA246" t="str">
        <f t="shared" si="145"/>
        <v>Cantidad por Bulto</v>
      </c>
      <c r="AB246" t="str">
        <f t="shared" si="146"/>
        <v>INNER</v>
      </c>
      <c r="AC246" t="str">
        <f t="shared" si="147"/>
        <v>Stock en Bultos</v>
      </c>
      <c r="AD246" t="str">
        <f t="shared" si="148"/>
        <v>SubDepósito</v>
      </c>
      <c r="AE246" t="str">
        <f t="shared" si="149"/>
        <v>Marca</v>
      </c>
      <c r="AF246" t="str">
        <f t="shared" si="150"/>
        <v>Super Rubro</v>
      </c>
      <c r="AG246" t="str">
        <f t="shared" si="151"/>
        <v>ComercioExterior</v>
      </c>
      <c r="AH246" t="str">
        <f t="shared" si="152"/>
        <v>PrecioFOB</v>
      </c>
      <c r="AI246" t="str">
        <f t="shared" si="153"/>
        <v>Monto II</v>
      </c>
      <c r="AJ246" t="str">
        <f t="shared" si="154"/>
        <v>Porcentaje II</v>
      </c>
      <c r="AK246" t="str">
        <f t="shared" si="155"/>
        <v>Foto</v>
      </c>
      <c r="AL246" t="str">
        <f>"{\rtf1\ansi\ansicpg1252\deff0\deflang11274{\fonttbl{\f0\fnil\fcharset0 MS Sans Serif}} \viewkind4\uc1\pard\f0\fs16 BUJIA FERRAZZI COBRE TAUNUS FORD ECONOMAX RENAULT 18 FUEGO 2000\par } "</f>
        <v xml:space="preserve">{\rtf1\ansi\ansicpg1252\deff0\deflang11274{\fonttbl{\f0\fnil\fcharset0 MS Sans Serif}} \viewkind4\uc1\pard\f0\fs16 BUJIA FERRAZZI COBRE TAUNUS FORD ECONOMAX RENAULT 18 FUEGO 2000\par } </v>
      </c>
      <c r="AM246" t="str">
        <f t="shared" si="171"/>
        <v>-</v>
      </c>
    </row>
    <row r="247" spans="1:39" x14ac:dyDescent="0.25">
      <c r="A247" t="str">
        <f>"ZR6CC"</f>
        <v>ZR6CC</v>
      </c>
      <c r="B247" t="str">
        <f>"BUJIA FERRAZZI COBRE VW BORA RENAULT 2.0 PEUGEOT FIAT CHEVROLET BKR6E"</f>
        <v>BUJIA FERRAZZI COBRE VW BORA RENAULT 2.0 PEUGEOT FIAT CHEVROLET BKR6E</v>
      </c>
      <c r="C247" t="str">
        <f>"$ 3384,01"</f>
        <v>$ 3384,01</v>
      </c>
      <c r="D247" t="str">
        <f>"$ 3384,01"</f>
        <v>$ 3384,01</v>
      </c>
      <c r="E247" t="str">
        <f>"$ 3384,01"</f>
        <v>$ 3384,01</v>
      </c>
      <c r="F247" t="str">
        <f>"$ 3384,01"</f>
        <v>$ 3384,01</v>
      </c>
      <c r="G247" t="str">
        <f>"$ 3384,01"</f>
        <v>$ 3384,01</v>
      </c>
      <c r="H247" t="str">
        <f t="shared" si="138"/>
        <v>$ 0,00</v>
      </c>
      <c r="I247" t="str">
        <f t="shared" si="168"/>
        <v>BUJIAS DE ENCENDIDO COBRE</v>
      </c>
      <c r="J247" t="str">
        <f t="shared" si="139"/>
        <v>1</v>
      </c>
      <c r="K247" t="str">
        <f t="shared" si="160"/>
        <v>0</v>
      </c>
      <c r="L247" t="str">
        <f>"1240,000"</f>
        <v>1240,000</v>
      </c>
      <c r="M247" t="str">
        <f t="shared" si="140"/>
        <v xml:space="preserve"> </v>
      </c>
      <c r="N247" t="str">
        <f t="shared" si="170"/>
        <v>FERRAZZI</v>
      </c>
      <c r="O247" t="str">
        <f t="shared" si="169"/>
        <v>BUJIAS</v>
      </c>
      <c r="P247" t="str">
        <f t="shared" si="172"/>
        <v>0</v>
      </c>
      <c r="Q247" t="str">
        <f t="shared" si="172"/>
        <v>0</v>
      </c>
      <c r="R247" t="str">
        <f t="shared" si="173"/>
        <v>0,00</v>
      </c>
      <c r="S247" t="str">
        <f t="shared" si="173"/>
        <v>0,00</v>
      </c>
      <c r="T247" t="str">
        <f t="shared" si="159"/>
        <v xml:space="preserve"> </v>
      </c>
      <c r="U247" t="str">
        <f t="shared" si="161"/>
        <v xml:space="preserve"> </v>
      </c>
      <c r="V247" t="str">
        <f>"1240,000"</f>
        <v>1240,000</v>
      </c>
      <c r="W247" t="str">
        <f t="shared" si="141"/>
        <v>Lista 4</v>
      </c>
      <c r="X247" t="str">
        <f t="shared" si="142"/>
        <v>Lista 5</v>
      </c>
      <c r="Y247" t="str">
        <f t="shared" si="143"/>
        <v>Oferta Gral.</v>
      </c>
      <c r="Z247" t="str">
        <f t="shared" si="144"/>
        <v>Rubro</v>
      </c>
      <c r="AA247" t="str">
        <f t="shared" si="145"/>
        <v>Cantidad por Bulto</v>
      </c>
      <c r="AB247" t="str">
        <f t="shared" si="146"/>
        <v>INNER</v>
      </c>
      <c r="AC247" t="str">
        <f t="shared" si="147"/>
        <v>Stock en Bultos</v>
      </c>
      <c r="AD247" t="str">
        <f t="shared" si="148"/>
        <v>SubDepósito</v>
      </c>
      <c r="AE247" t="str">
        <f t="shared" si="149"/>
        <v>Marca</v>
      </c>
      <c r="AF247" t="str">
        <f t="shared" si="150"/>
        <v>Super Rubro</v>
      </c>
      <c r="AG247" t="str">
        <f t="shared" si="151"/>
        <v>ComercioExterior</v>
      </c>
      <c r="AH247" t="str">
        <f t="shared" si="152"/>
        <v>PrecioFOB</v>
      </c>
      <c r="AI247" t="str">
        <f t="shared" si="153"/>
        <v>Monto II</v>
      </c>
      <c r="AJ247" t="str">
        <f t="shared" si="154"/>
        <v>Porcentaje II</v>
      </c>
      <c r="AK247" t="str">
        <f t="shared" si="155"/>
        <v>Foto</v>
      </c>
      <c r="AL2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7" t="str">
        <f t="shared" si="171"/>
        <v>-</v>
      </c>
    </row>
    <row r="248" spans="1:39" x14ac:dyDescent="0.25">
      <c r="A248" t="str">
        <f>"SR6IP"</f>
        <v>SR6IP</v>
      </c>
      <c r="B248" t="str">
        <f>"BUJIA FERRAZZI IRIDIUM PLATINO CHEVROLET CORSA "</f>
        <v xml:space="preserve">BUJIA FERRAZZI IRIDIUM PLATINO CHEVROLET CORSA </v>
      </c>
      <c r="C248" t="str">
        <f t="shared" ref="C248:G251" si="175">"$ 16587,20"</f>
        <v>$ 16587,20</v>
      </c>
      <c r="D248" t="str">
        <f t="shared" si="175"/>
        <v>$ 16587,20</v>
      </c>
      <c r="E248" t="str">
        <f t="shared" si="175"/>
        <v>$ 16587,20</v>
      </c>
      <c r="F248" t="str">
        <f t="shared" si="175"/>
        <v>$ 16587,20</v>
      </c>
      <c r="G248" t="str">
        <f t="shared" si="175"/>
        <v>$ 16587,20</v>
      </c>
      <c r="H248" t="str">
        <f t="shared" si="138"/>
        <v>$ 0,00</v>
      </c>
      <c r="I248" t="str">
        <f t="shared" ref="I248:I261" si="176">"BUJIAS DE ENCENDIDO IRIDIO PLATINO"</f>
        <v>BUJIAS DE ENCENDIDO IRIDIO PLATINO</v>
      </c>
      <c r="J248" t="str">
        <f t="shared" si="139"/>
        <v>1</v>
      </c>
      <c r="K248" t="str">
        <f t="shared" si="160"/>
        <v>0</v>
      </c>
      <c r="L248" t="str">
        <f>"8,000"</f>
        <v>8,000</v>
      </c>
      <c r="M248" t="str">
        <f t="shared" si="140"/>
        <v xml:space="preserve"> </v>
      </c>
      <c r="N248" t="str">
        <f t="shared" si="170"/>
        <v>FERRAZZI</v>
      </c>
      <c r="O248" t="str">
        <f t="shared" si="169"/>
        <v>BUJIAS</v>
      </c>
      <c r="P248" t="str">
        <f t="shared" si="172"/>
        <v>0</v>
      </c>
      <c r="Q248" t="str">
        <f t="shared" si="172"/>
        <v>0</v>
      </c>
      <c r="R248" t="str">
        <f t="shared" si="173"/>
        <v>0,00</v>
      </c>
      <c r="S248" t="str">
        <f t="shared" si="173"/>
        <v>0,00</v>
      </c>
      <c r="T248" t="str">
        <f t="shared" si="159"/>
        <v xml:space="preserve"> </v>
      </c>
      <c r="U248" t="str">
        <f t="shared" ref="U248:U266" si="177">" "</f>
        <v xml:space="preserve"> </v>
      </c>
      <c r="V248" t="str">
        <f>"8,000"</f>
        <v>8,000</v>
      </c>
      <c r="W248" t="str">
        <f t="shared" si="141"/>
        <v>Lista 4</v>
      </c>
      <c r="X248" t="str">
        <f t="shared" si="142"/>
        <v>Lista 5</v>
      </c>
      <c r="Y248" t="str">
        <f t="shared" si="143"/>
        <v>Oferta Gral.</v>
      </c>
      <c r="Z248" t="str">
        <f t="shared" si="144"/>
        <v>Rubro</v>
      </c>
      <c r="AA248" t="str">
        <f t="shared" si="145"/>
        <v>Cantidad por Bulto</v>
      </c>
      <c r="AB248" t="str">
        <f t="shared" si="146"/>
        <v>INNER</v>
      </c>
      <c r="AC248" t="str">
        <f t="shared" si="147"/>
        <v>Stock en Bultos</v>
      </c>
      <c r="AD248" t="str">
        <f t="shared" si="148"/>
        <v>SubDepósito</v>
      </c>
      <c r="AE248" t="str">
        <f t="shared" si="149"/>
        <v>Marca</v>
      </c>
      <c r="AF248" t="str">
        <f t="shared" si="150"/>
        <v>Super Rubro</v>
      </c>
      <c r="AG248" t="str">
        <f t="shared" si="151"/>
        <v>ComercioExterior</v>
      </c>
      <c r="AH248" t="str">
        <f t="shared" si="152"/>
        <v>PrecioFOB</v>
      </c>
      <c r="AI248" t="str">
        <f t="shared" si="153"/>
        <v>Monto II</v>
      </c>
      <c r="AJ248" t="str">
        <f t="shared" si="154"/>
        <v>Porcentaje II</v>
      </c>
      <c r="AK248" t="str">
        <f t="shared" si="155"/>
        <v>Foto</v>
      </c>
      <c r="AL248" t="str">
        <f>"{\rtf1\ansi\ansicpg1252\deff0\deflang11274{\fonttbl{\f0\fnil\fcharset0 MS Sans Serif}} \viewkind4\uc1\pard\f0\fs16 BUJIA FERRAZZI IRIDIUM PLATINO CHEVROLET CORSA \par } "</f>
        <v xml:space="preserve">{\rtf1\ansi\ansicpg1252\deff0\deflang11274{\fonttbl{\f0\fnil\fcharset0 MS Sans Serif}} \viewkind4\uc1\pard\f0\fs16 BUJIA FERRAZZI IRIDIUM PLATINO CHEVROLET CORSA \par } </v>
      </c>
      <c r="AM248" t="str">
        <f t="shared" si="171"/>
        <v>-</v>
      </c>
    </row>
    <row r="249" spans="1:39" x14ac:dyDescent="0.25">
      <c r="A249" t="str">
        <f>"RR5IP"</f>
        <v>RR5IP</v>
      </c>
      <c r="B249" t="str">
        <f>"BUJIA FERRAZZI IRIDIUM PLATINO FIAT 600 CITROEN 3CV R12 TORINO ROSCA CORTA"</f>
        <v>BUJIA FERRAZZI IRIDIUM PLATINO FIAT 600 CITROEN 3CV R12 TORINO ROSCA CORTA</v>
      </c>
      <c r="C249" t="str">
        <f t="shared" si="175"/>
        <v>$ 16587,20</v>
      </c>
      <c r="D249" t="str">
        <f t="shared" si="175"/>
        <v>$ 16587,20</v>
      </c>
      <c r="E249" t="str">
        <f t="shared" si="175"/>
        <v>$ 16587,20</v>
      </c>
      <c r="F249" t="str">
        <f t="shared" si="175"/>
        <v>$ 16587,20</v>
      </c>
      <c r="G249" t="str">
        <f t="shared" si="175"/>
        <v>$ 16587,20</v>
      </c>
      <c r="H249" t="str">
        <f t="shared" si="138"/>
        <v>$ 0,00</v>
      </c>
      <c r="I249" t="str">
        <f t="shared" si="176"/>
        <v>BUJIAS DE ENCENDIDO IRIDIO PLATINO</v>
      </c>
      <c r="J249" t="str">
        <f t="shared" si="139"/>
        <v>1</v>
      </c>
      <c r="K249" t="str">
        <f t="shared" si="160"/>
        <v>0</v>
      </c>
      <c r="L249" t="str">
        <f>"15,000"</f>
        <v>15,000</v>
      </c>
      <c r="M249" t="str">
        <f t="shared" si="140"/>
        <v xml:space="preserve"> </v>
      </c>
      <c r="N249" t="str">
        <f t="shared" si="170"/>
        <v>FERRAZZI</v>
      </c>
      <c r="O249" t="str">
        <f t="shared" si="169"/>
        <v>BUJIAS</v>
      </c>
      <c r="P249" t="str">
        <f t="shared" si="172"/>
        <v>0</v>
      </c>
      <c r="Q249" t="str">
        <f t="shared" si="172"/>
        <v>0</v>
      </c>
      <c r="R249" t="str">
        <f t="shared" si="173"/>
        <v>0,00</v>
      </c>
      <c r="S249" t="str">
        <f t="shared" si="173"/>
        <v>0,00</v>
      </c>
      <c r="T249" t="str">
        <f t="shared" si="159"/>
        <v xml:space="preserve"> </v>
      </c>
      <c r="U249" t="str">
        <f t="shared" si="177"/>
        <v xml:space="preserve"> </v>
      </c>
      <c r="V249" t="str">
        <f>"15,000"</f>
        <v>15,000</v>
      </c>
      <c r="W249" t="str">
        <f t="shared" si="141"/>
        <v>Lista 4</v>
      </c>
      <c r="X249" t="str">
        <f t="shared" si="142"/>
        <v>Lista 5</v>
      </c>
      <c r="Y249" t="str">
        <f t="shared" si="143"/>
        <v>Oferta Gral.</v>
      </c>
      <c r="Z249" t="str">
        <f t="shared" si="144"/>
        <v>Rubro</v>
      </c>
      <c r="AA249" t="str">
        <f t="shared" si="145"/>
        <v>Cantidad por Bulto</v>
      </c>
      <c r="AB249" t="str">
        <f t="shared" si="146"/>
        <v>INNER</v>
      </c>
      <c r="AC249" t="str">
        <f t="shared" si="147"/>
        <v>Stock en Bultos</v>
      </c>
      <c r="AD249" t="str">
        <f t="shared" si="148"/>
        <v>SubDepósito</v>
      </c>
      <c r="AE249" t="str">
        <f t="shared" si="149"/>
        <v>Marca</v>
      </c>
      <c r="AF249" t="str">
        <f t="shared" si="150"/>
        <v>Super Rubro</v>
      </c>
      <c r="AG249" t="str">
        <f t="shared" si="151"/>
        <v>ComercioExterior</v>
      </c>
      <c r="AH249" t="str">
        <f t="shared" si="152"/>
        <v>PrecioFOB</v>
      </c>
      <c r="AI249" t="str">
        <f t="shared" si="153"/>
        <v>Monto II</v>
      </c>
      <c r="AJ249" t="str">
        <f t="shared" si="154"/>
        <v>Porcentaje II</v>
      </c>
      <c r="AK249" t="str">
        <f t="shared" si="155"/>
        <v>Foto</v>
      </c>
      <c r="AL249" t="str">
        <f>"{\rtf1\ansi\ansicpg1252\deff0\deflang11274{\fonttbl{\f0\fnil\fcharset0 MS Sans Serif}} \viewkind4\uc1\pard\f0\fs16 BUJIA FERRAZZI IRIDIUM PLATINO FIAT 600 CITROEN 3CV R12 TORINO ROSCA CORTA\par } "</f>
        <v xml:space="preserve">{\rtf1\ansi\ansicpg1252\deff0\deflang11274{\fonttbl{\f0\fnil\fcharset0 MS Sans Serif}} \viewkind4\uc1\pard\f0\fs16 BUJIA FERRAZZI IRIDIUM PLATINO FIAT 600 CITROEN 3CV R12 TORINO ROSCA CORTA\par } </v>
      </c>
      <c r="AM249" t="str">
        <f t="shared" si="171"/>
        <v>-</v>
      </c>
    </row>
    <row r="250" spans="1:39" x14ac:dyDescent="0.25">
      <c r="A250" t="str">
        <f>"ZR5IP"</f>
        <v>ZR5IP</v>
      </c>
      <c r="B250" t="str">
        <f>"BUJIA FERRAZZI IRIDIUM PLATINO FIAT FIRE RENAULT K7M VW AUDI"</f>
        <v>BUJIA FERRAZZI IRIDIUM PLATINO FIAT FIRE RENAULT K7M VW AUDI</v>
      </c>
      <c r="C250" t="str">
        <f t="shared" si="175"/>
        <v>$ 16587,20</v>
      </c>
      <c r="D250" t="str">
        <f t="shared" si="175"/>
        <v>$ 16587,20</v>
      </c>
      <c r="E250" t="str">
        <f t="shared" si="175"/>
        <v>$ 16587,20</v>
      </c>
      <c r="F250" t="str">
        <f t="shared" si="175"/>
        <v>$ 16587,20</v>
      </c>
      <c r="G250" t="str">
        <f t="shared" si="175"/>
        <v>$ 16587,20</v>
      </c>
      <c r="H250" t="str">
        <f t="shared" si="138"/>
        <v>$ 0,00</v>
      </c>
      <c r="I250" t="str">
        <f t="shared" si="176"/>
        <v>BUJIAS DE ENCENDIDO IRIDIO PLATINO</v>
      </c>
      <c r="J250" t="str">
        <f t="shared" si="139"/>
        <v>1</v>
      </c>
      <c r="K250" t="str">
        <f t="shared" si="160"/>
        <v>0</v>
      </c>
      <c r="L250" t="str">
        <f>"-8,000"</f>
        <v>-8,000</v>
      </c>
      <c r="M250" t="str">
        <f t="shared" si="140"/>
        <v xml:space="preserve"> </v>
      </c>
      <c r="N250" t="str">
        <f t="shared" si="170"/>
        <v>FERRAZZI</v>
      </c>
      <c r="O250" t="str">
        <f t="shared" si="169"/>
        <v>BUJIAS</v>
      </c>
      <c r="P250" t="str">
        <f t="shared" si="172"/>
        <v>0</v>
      </c>
      <c r="Q250" t="str">
        <f t="shared" si="172"/>
        <v>0</v>
      </c>
      <c r="R250" t="str">
        <f t="shared" si="173"/>
        <v>0,00</v>
      </c>
      <c r="S250" t="str">
        <f t="shared" si="173"/>
        <v>0,00</v>
      </c>
      <c r="T250" t="str">
        <f t="shared" si="159"/>
        <v xml:space="preserve"> </v>
      </c>
      <c r="U250" t="str">
        <f t="shared" si="177"/>
        <v xml:space="preserve"> </v>
      </c>
      <c r="V250" t="str">
        <f>"-8,000"</f>
        <v>-8,000</v>
      </c>
      <c r="W250" t="str">
        <f t="shared" si="141"/>
        <v>Lista 4</v>
      </c>
      <c r="X250" t="str">
        <f t="shared" si="142"/>
        <v>Lista 5</v>
      </c>
      <c r="Y250" t="str">
        <f t="shared" si="143"/>
        <v>Oferta Gral.</v>
      </c>
      <c r="Z250" t="str">
        <f t="shared" si="144"/>
        <v>Rubro</v>
      </c>
      <c r="AA250" t="str">
        <f t="shared" si="145"/>
        <v>Cantidad por Bulto</v>
      </c>
      <c r="AB250" t="str">
        <f t="shared" si="146"/>
        <v>INNER</v>
      </c>
      <c r="AC250" t="str">
        <f t="shared" si="147"/>
        <v>Stock en Bultos</v>
      </c>
      <c r="AD250" t="str">
        <f t="shared" si="148"/>
        <v>SubDepósito</v>
      </c>
      <c r="AE250" t="str">
        <f t="shared" si="149"/>
        <v>Marca</v>
      </c>
      <c r="AF250" t="str">
        <f t="shared" si="150"/>
        <v>Super Rubro</v>
      </c>
      <c r="AG250" t="str">
        <f t="shared" si="151"/>
        <v>ComercioExterior</v>
      </c>
      <c r="AH250" t="str">
        <f t="shared" si="152"/>
        <v>PrecioFOB</v>
      </c>
      <c r="AI250" t="str">
        <f t="shared" si="153"/>
        <v>Monto II</v>
      </c>
      <c r="AJ250" t="str">
        <f t="shared" si="154"/>
        <v>Porcentaje II</v>
      </c>
      <c r="AK250" t="str">
        <f t="shared" si="155"/>
        <v>Foto</v>
      </c>
      <c r="AL250" t="str">
        <f>"{\rtf1\ansi\ansicpg1252\deff0\deflang11274{\fonttbl{\f0\fnil\fcharset0 MS Sans Serif}} \viewkind4\uc1\pard\f0\fs16 BUJIA FERRAZZI IRIDIUM PLATINO FIAT FIRE RENAULT K7M VW AUDI\par } "</f>
        <v xml:space="preserve">{\rtf1\ansi\ansicpg1252\deff0\deflang11274{\fonttbl{\f0\fnil\fcharset0 MS Sans Serif}} \viewkind4\uc1\pard\f0\fs16 BUJIA FERRAZZI IRIDIUM PLATINO FIAT FIRE RENAULT K7M VW AUDI\par } </v>
      </c>
      <c r="AM250" t="str">
        <f t="shared" si="171"/>
        <v>-</v>
      </c>
    </row>
    <row r="251" spans="1:39" x14ac:dyDescent="0.25">
      <c r="A251" t="str">
        <f>"SR5IP"</f>
        <v>SR5IP</v>
      </c>
      <c r="B251" t="str">
        <f>"BUJIA FERRAZZI IRIDIUM PLATINO FIAT PEUGEOT RENAULT CHEVROLET ROSCA LARGA"</f>
        <v>BUJIA FERRAZZI IRIDIUM PLATINO FIAT PEUGEOT RENAULT CHEVROLET ROSCA LARGA</v>
      </c>
      <c r="C251" t="str">
        <f t="shared" si="175"/>
        <v>$ 16587,20</v>
      </c>
      <c r="D251" t="str">
        <f t="shared" si="175"/>
        <v>$ 16587,20</v>
      </c>
      <c r="E251" t="str">
        <f t="shared" si="175"/>
        <v>$ 16587,20</v>
      </c>
      <c r="F251" t="str">
        <f t="shared" si="175"/>
        <v>$ 16587,20</v>
      </c>
      <c r="G251" t="str">
        <f t="shared" si="175"/>
        <v>$ 16587,20</v>
      </c>
      <c r="H251" t="str">
        <f t="shared" si="138"/>
        <v>$ 0,00</v>
      </c>
      <c r="I251" t="str">
        <f t="shared" si="176"/>
        <v>BUJIAS DE ENCENDIDO IRIDIO PLATINO</v>
      </c>
      <c r="J251" t="str">
        <f t="shared" si="139"/>
        <v>1</v>
      </c>
      <c r="K251" t="str">
        <f t="shared" si="160"/>
        <v>0</v>
      </c>
      <c r="L251" t="str">
        <f>"-10,000"</f>
        <v>-10,000</v>
      </c>
      <c r="M251" t="str">
        <f t="shared" si="140"/>
        <v xml:space="preserve"> </v>
      </c>
      <c r="N251" t="str">
        <f t="shared" si="170"/>
        <v>FERRAZZI</v>
      </c>
      <c r="O251" t="str">
        <f t="shared" si="169"/>
        <v>BUJIAS</v>
      </c>
      <c r="P251" t="str">
        <f t="shared" si="172"/>
        <v>0</v>
      </c>
      <c r="Q251" t="str">
        <f t="shared" si="172"/>
        <v>0</v>
      </c>
      <c r="R251" t="str">
        <f t="shared" si="173"/>
        <v>0,00</v>
      </c>
      <c r="S251" t="str">
        <f t="shared" si="173"/>
        <v>0,00</v>
      </c>
      <c r="T251" t="str">
        <f t="shared" si="159"/>
        <v xml:space="preserve"> </v>
      </c>
      <c r="U251" t="str">
        <f t="shared" si="177"/>
        <v xml:space="preserve"> </v>
      </c>
      <c r="V251" t="str">
        <f>"-10,000"</f>
        <v>-10,000</v>
      </c>
      <c r="W251" t="str">
        <f t="shared" si="141"/>
        <v>Lista 4</v>
      </c>
      <c r="X251" t="str">
        <f t="shared" si="142"/>
        <v>Lista 5</v>
      </c>
      <c r="Y251" t="str">
        <f t="shared" si="143"/>
        <v>Oferta Gral.</v>
      </c>
      <c r="Z251" t="str">
        <f t="shared" si="144"/>
        <v>Rubro</v>
      </c>
      <c r="AA251" t="str">
        <f t="shared" si="145"/>
        <v>Cantidad por Bulto</v>
      </c>
      <c r="AB251" t="str">
        <f t="shared" si="146"/>
        <v>INNER</v>
      </c>
      <c r="AC251" t="str">
        <f t="shared" si="147"/>
        <v>Stock en Bultos</v>
      </c>
      <c r="AD251" t="str">
        <f t="shared" si="148"/>
        <v>SubDepósito</v>
      </c>
      <c r="AE251" t="str">
        <f t="shared" si="149"/>
        <v>Marca</v>
      </c>
      <c r="AF251" t="str">
        <f t="shared" si="150"/>
        <v>Super Rubro</v>
      </c>
      <c r="AG251" t="str">
        <f t="shared" si="151"/>
        <v>ComercioExterior</v>
      </c>
      <c r="AH251" t="str">
        <f t="shared" si="152"/>
        <v>PrecioFOB</v>
      </c>
      <c r="AI251" t="str">
        <f t="shared" si="153"/>
        <v>Monto II</v>
      </c>
      <c r="AJ251" t="str">
        <f t="shared" si="154"/>
        <v>Porcentaje II</v>
      </c>
      <c r="AK251" t="str">
        <f t="shared" si="155"/>
        <v>Foto</v>
      </c>
      <c r="AL251" t="str">
        <f>"{\rtf1\ansi\ansicpg1252\deff0\deflang11274{\fonttbl{\f0\fnil\fcharset0 MS Sans Serif}} \viewkind4\uc1\pard\f0\fs16 BUJIA FERRAZZI IRIDIUM PLATINO FIAT PEUGEOT RENAULT CHEVROLET ROSCA LARGA\par } "</f>
        <v xml:space="preserve">{\rtf1\ansi\ansicpg1252\deff0\deflang11274{\fonttbl{\f0\fnil\fcharset0 MS Sans Serif}} \viewkind4\uc1\pard\f0\fs16 BUJIA FERRAZZI IRIDIUM PLATINO FIAT PEUGEOT RENAULT CHEVROLET ROSCA LARGA\par } </v>
      </c>
      <c r="AM251" t="str">
        <f t="shared" si="171"/>
        <v>-</v>
      </c>
    </row>
    <row r="252" spans="1:39" x14ac:dyDescent="0.25">
      <c r="A252" t="str">
        <f>"HR5IP"</f>
        <v>HR5IP</v>
      </c>
      <c r="B252" t="str">
        <f>"BUJIA FERRAZZI IRIDIUM PLATINO FORD FALCON F100 ROSCA CORTA ANCHA"</f>
        <v>BUJIA FERRAZZI IRIDIUM PLATINO FORD FALCON F100 ROSCA CORTA ANCHA</v>
      </c>
      <c r="C252" t="str">
        <f>"$ 18660,59"</f>
        <v>$ 18660,59</v>
      </c>
      <c r="D252" t="str">
        <f>"$ 18660,59"</f>
        <v>$ 18660,59</v>
      </c>
      <c r="E252" t="str">
        <f>"$ 18660,59"</f>
        <v>$ 18660,59</v>
      </c>
      <c r="F252" t="str">
        <f>"$ 18660,59"</f>
        <v>$ 18660,59</v>
      </c>
      <c r="G252" t="str">
        <f>"$ 18660,59"</f>
        <v>$ 18660,59</v>
      </c>
      <c r="H252" t="str">
        <f t="shared" si="138"/>
        <v>$ 0,00</v>
      </c>
      <c r="I252" t="str">
        <f t="shared" si="176"/>
        <v>BUJIAS DE ENCENDIDO IRIDIO PLATINO</v>
      </c>
      <c r="J252" t="str">
        <f t="shared" si="139"/>
        <v>1</v>
      </c>
      <c r="K252" t="str">
        <f t="shared" si="160"/>
        <v>0</v>
      </c>
      <c r="L252" t="str">
        <f>"-56,000"</f>
        <v>-56,000</v>
      </c>
      <c r="M252" t="str">
        <f t="shared" si="140"/>
        <v xml:space="preserve"> </v>
      </c>
      <c r="N252" t="str">
        <f t="shared" si="170"/>
        <v>FERRAZZI</v>
      </c>
      <c r="O252" t="str">
        <f t="shared" si="169"/>
        <v>BUJIAS</v>
      </c>
      <c r="P252" t="str">
        <f t="shared" si="172"/>
        <v>0</v>
      </c>
      <c r="Q252" t="str">
        <f t="shared" si="172"/>
        <v>0</v>
      </c>
      <c r="R252" t="str">
        <f t="shared" si="173"/>
        <v>0,00</v>
      </c>
      <c r="S252" t="str">
        <f t="shared" si="173"/>
        <v>0,00</v>
      </c>
      <c r="T252" t="str">
        <f t="shared" si="159"/>
        <v xml:space="preserve"> </v>
      </c>
      <c r="U252" t="str">
        <f t="shared" si="177"/>
        <v xml:space="preserve"> </v>
      </c>
      <c r="V252" t="str">
        <f>"-56,000"</f>
        <v>-56,000</v>
      </c>
      <c r="W252" t="str">
        <f t="shared" si="141"/>
        <v>Lista 4</v>
      </c>
      <c r="X252" t="str">
        <f t="shared" si="142"/>
        <v>Lista 5</v>
      </c>
      <c r="Y252" t="str">
        <f t="shared" si="143"/>
        <v>Oferta Gral.</v>
      </c>
      <c r="Z252" t="str">
        <f t="shared" si="144"/>
        <v>Rubro</v>
      </c>
      <c r="AA252" t="str">
        <f t="shared" si="145"/>
        <v>Cantidad por Bulto</v>
      </c>
      <c r="AB252" t="str">
        <f t="shared" si="146"/>
        <v>INNER</v>
      </c>
      <c r="AC252" t="str">
        <f t="shared" si="147"/>
        <v>Stock en Bultos</v>
      </c>
      <c r="AD252" t="str">
        <f t="shared" si="148"/>
        <v>SubDepósito</v>
      </c>
      <c r="AE252" t="str">
        <f t="shared" si="149"/>
        <v>Marca</v>
      </c>
      <c r="AF252" t="str">
        <f t="shared" si="150"/>
        <v>Super Rubro</v>
      </c>
      <c r="AG252" t="str">
        <f t="shared" si="151"/>
        <v>ComercioExterior</v>
      </c>
      <c r="AH252" t="str">
        <f t="shared" si="152"/>
        <v>PrecioFOB</v>
      </c>
      <c r="AI252" t="str">
        <f t="shared" si="153"/>
        <v>Monto II</v>
      </c>
      <c r="AJ252" t="str">
        <f t="shared" si="154"/>
        <v>Porcentaje II</v>
      </c>
      <c r="AK252" t="str">
        <f t="shared" si="155"/>
        <v>Foto</v>
      </c>
      <c r="AL252" t="str">
        <f>"{\rtf1\ansi\ansicpg1252\deff0\deflang11274{\fonttbl{\f0\fnil\fcharset0 MS Sans Serif}} \viewkind4\uc1\pard\f0\fs16 BUJIA FERRAZZI IRIDIUM PLATINO FORD FALCON F100 ROSCA CORTA ANCHA\par } "</f>
        <v xml:space="preserve">{\rtf1\ansi\ansicpg1252\deff0\deflang11274{\fonttbl{\f0\fnil\fcharset0 MS Sans Serif}} \viewkind4\uc1\pard\f0\fs16 BUJIA FERRAZZI IRIDIUM PLATINO FORD FALCON F100 ROSCA CORTA ANCHA\par } </v>
      </c>
      <c r="AM252" t="str">
        <f t="shared" si="171"/>
        <v>-</v>
      </c>
    </row>
    <row r="253" spans="1:39" x14ac:dyDescent="0.25">
      <c r="A253" t="str">
        <f>"FR6IP"</f>
        <v>FR6IP</v>
      </c>
      <c r="B253" t="str">
        <f>"BUJIA FERRAZZI IRIDIUM PLATINO FORD MOTOR SIGMA ZETEC ROCAM"</f>
        <v>BUJIA FERRAZZI IRIDIUM PLATINO FORD MOTOR SIGMA ZETEC ROCAM</v>
      </c>
      <c r="C253" t="str">
        <f>"$ 17001,88"</f>
        <v>$ 17001,88</v>
      </c>
      <c r="D253" t="str">
        <f>"$ 17001,88"</f>
        <v>$ 17001,88</v>
      </c>
      <c r="E253" t="str">
        <f>"$ 17001,88"</f>
        <v>$ 17001,88</v>
      </c>
      <c r="F253" t="str">
        <f>"$ 17001,88"</f>
        <v>$ 17001,88</v>
      </c>
      <c r="G253" t="str">
        <f>"$ 17001,88"</f>
        <v>$ 17001,88</v>
      </c>
      <c r="H253" t="str">
        <f t="shared" si="138"/>
        <v>$ 0,00</v>
      </c>
      <c r="I253" t="str">
        <f t="shared" si="176"/>
        <v>BUJIAS DE ENCENDIDO IRIDIO PLATINO</v>
      </c>
      <c r="J253" t="str">
        <f t="shared" si="139"/>
        <v>1</v>
      </c>
      <c r="K253" t="str">
        <f t="shared" si="160"/>
        <v>0</v>
      </c>
      <c r="L253" t="str">
        <f>"11,000"</f>
        <v>11,000</v>
      </c>
      <c r="M253" t="str">
        <f t="shared" si="140"/>
        <v xml:space="preserve"> </v>
      </c>
      <c r="N253" t="str">
        <f t="shared" si="170"/>
        <v>FERRAZZI</v>
      </c>
      <c r="O253" t="str">
        <f t="shared" si="169"/>
        <v>BUJIAS</v>
      </c>
      <c r="P253" t="str">
        <f t="shared" si="172"/>
        <v>0</v>
      </c>
      <c r="Q253" t="str">
        <f t="shared" si="172"/>
        <v>0</v>
      </c>
      <c r="R253" t="str">
        <f t="shared" si="173"/>
        <v>0,00</v>
      </c>
      <c r="S253" t="str">
        <f t="shared" si="173"/>
        <v>0,00</v>
      </c>
      <c r="T253" t="str">
        <f t="shared" si="159"/>
        <v xml:space="preserve"> </v>
      </c>
      <c r="U253" t="str">
        <f t="shared" si="177"/>
        <v xml:space="preserve"> </v>
      </c>
      <c r="V253" t="str">
        <f>"11,000"</f>
        <v>11,000</v>
      </c>
      <c r="W253" t="str">
        <f t="shared" si="141"/>
        <v>Lista 4</v>
      </c>
      <c r="X253" t="str">
        <f t="shared" si="142"/>
        <v>Lista 5</v>
      </c>
      <c r="Y253" t="str">
        <f t="shared" si="143"/>
        <v>Oferta Gral.</v>
      </c>
      <c r="Z253" t="str">
        <f t="shared" si="144"/>
        <v>Rubro</v>
      </c>
      <c r="AA253" t="str">
        <f t="shared" si="145"/>
        <v>Cantidad por Bulto</v>
      </c>
      <c r="AB253" t="str">
        <f t="shared" si="146"/>
        <v>INNER</v>
      </c>
      <c r="AC253" t="str">
        <f t="shared" si="147"/>
        <v>Stock en Bultos</v>
      </c>
      <c r="AD253" t="str">
        <f t="shared" si="148"/>
        <v>SubDepósito</v>
      </c>
      <c r="AE253" t="str">
        <f t="shared" si="149"/>
        <v>Marca</v>
      </c>
      <c r="AF253" t="str">
        <f t="shared" si="150"/>
        <v>Super Rubro</v>
      </c>
      <c r="AG253" t="str">
        <f t="shared" si="151"/>
        <v>ComercioExterior</v>
      </c>
      <c r="AH253" t="str">
        <f t="shared" si="152"/>
        <v>PrecioFOB</v>
      </c>
      <c r="AI253" t="str">
        <f t="shared" si="153"/>
        <v>Monto II</v>
      </c>
      <c r="AJ253" t="str">
        <f t="shared" si="154"/>
        <v>Porcentaje II</v>
      </c>
      <c r="AK253" t="str">
        <f t="shared" si="155"/>
        <v>Foto</v>
      </c>
      <c r="AL253" t="str">
        <f>"{\rtf1\ansi\ansicpg1252\deff0\deflang11274{\fonttbl{\f0\fnil\fcharset0 MS Sans Serif}} \viewkind4\uc1\pard\f0\fs16 BUJIA FERRAZZI IRIDIUM PLATINO FORD MOTOR SIGMA ZETEC ROCAM\par } "</f>
        <v xml:space="preserve">{\rtf1\ansi\ansicpg1252\deff0\deflang11274{\fonttbl{\f0\fnil\fcharset0 MS Sans Serif}} \viewkind4\uc1\pard\f0\fs16 BUJIA FERRAZZI IRIDIUM PLATINO FORD MOTOR SIGMA ZETEC ROCAM\par } </v>
      </c>
      <c r="AM253" t="str">
        <f t="shared" si="171"/>
        <v>-</v>
      </c>
    </row>
    <row r="254" spans="1:39" x14ac:dyDescent="0.25">
      <c r="A254" t="str">
        <f>"MR7IP"</f>
        <v>MR7IP</v>
      </c>
      <c r="B254" t="str">
        <f>"BUJIA FERRAZZI IRIDIUM PLATINO MOTOS VARIAS - C7HSA CR7HIX CR7HSA"</f>
        <v>BUJIA FERRAZZI IRIDIUM PLATINO MOTOS VARIAS - C7HSA CR7HIX CR7HSA</v>
      </c>
      <c r="C254" t="str">
        <f t="shared" ref="C254:G255" si="178">"$ 15757,85"</f>
        <v>$ 15757,85</v>
      </c>
      <c r="D254" t="str">
        <f t="shared" si="178"/>
        <v>$ 15757,85</v>
      </c>
      <c r="E254" t="str">
        <f t="shared" si="178"/>
        <v>$ 15757,85</v>
      </c>
      <c r="F254" t="str">
        <f t="shared" si="178"/>
        <v>$ 15757,85</v>
      </c>
      <c r="G254" t="str">
        <f t="shared" si="178"/>
        <v>$ 15757,85</v>
      </c>
      <c r="H254" t="str">
        <f t="shared" si="138"/>
        <v>$ 0,00</v>
      </c>
      <c r="I254" t="str">
        <f t="shared" si="176"/>
        <v>BUJIAS DE ENCENDIDO IRIDIO PLATINO</v>
      </c>
      <c r="J254" t="str">
        <f t="shared" si="139"/>
        <v>1</v>
      </c>
      <c r="K254" t="str">
        <f t="shared" si="160"/>
        <v>0</v>
      </c>
      <c r="L254" t="str">
        <f>"32,000"</f>
        <v>32,000</v>
      </c>
      <c r="M254" t="str">
        <f t="shared" si="140"/>
        <v xml:space="preserve"> </v>
      </c>
      <c r="N254" t="str">
        <f t="shared" si="170"/>
        <v>FERRAZZI</v>
      </c>
      <c r="O254" t="str">
        <f t="shared" si="169"/>
        <v>BUJIAS</v>
      </c>
      <c r="P254" t="str">
        <f t="shared" si="172"/>
        <v>0</v>
      </c>
      <c r="Q254" t="str">
        <f t="shared" si="172"/>
        <v>0</v>
      </c>
      <c r="R254" t="str">
        <f t="shared" si="173"/>
        <v>0,00</v>
      </c>
      <c r="S254" t="str">
        <f t="shared" si="173"/>
        <v>0,00</v>
      </c>
      <c r="T254" t="str">
        <f t="shared" si="159"/>
        <v xml:space="preserve"> </v>
      </c>
      <c r="U254" t="str">
        <f t="shared" si="177"/>
        <v xml:space="preserve"> </v>
      </c>
      <c r="V254" t="str">
        <f>"32,000"</f>
        <v>32,000</v>
      </c>
      <c r="W254" t="str">
        <f t="shared" si="141"/>
        <v>Lista 4</v>
      </c>
      <c r="X254" t="str">
        <f t="shared" si="142"/>
        <v>Lista 5</v>
      </c>
      <c r="Y254" t="str">
        <f t="shared" si="143"/>
        <v>Oferta Gral.</v>
      </c>
      <c r="Z254" t="str">
        <f t="shared" si="144"/>
        <v>Rubro</v>
      </c>
      <c r="AA254" t="str">
        <f t="shared" si="145"/>
        <v>Cantidad por Bulto</v>
      </c>
      <c r="AB254" t="str">
        <f t="shared" si="146"/>
        <v>INNER</v>
      </c>
      <c r="AC254" t="str">
        <f t="shared" si="147"/>
        <v>Stock en Bultos</v>
      </c>
      <c r="AD254" t="str">
        <f t="shared" si="148"/>
        <v>SubDepósito</v>
      </c>
      <c r="AE254" t="str">
        <f t="shared" si="149"/>
        <v>Marca</v>
      </c>
      <c r="AF254" t="str">
        <f t="shared" si="150"/>
        <v>Super Rubro</v>
      </c>
      <c r="AG254" t="str">
        <f t="shared" si="151"/>
        <v>ComercioExterior</v>
      </c>
      <c r="AH254" t="str">
        <f t="shared" si="152"/>
        <v>PrecioFOB</v>
      </c>
      <c r="AI254" t="str">
        <f t="shared" si="153"/>
        <v>Monto II</v>
      </c>
      <c r="AJ254" t="str">
        <f t="shared" si="154"/>
        <v>Porcentaje II</v>
      </c>
      <c r="AK254" t="str">
        <f t="shared" si="155"/>
        <v>Foto</v>
      </c>
      <c r="AL254" t="str">
        <f>"{\rtf1\ansi\ansicpg1252\deff0\deflang11274{\fonttbl{\f0\fnil\fcharset0 MS Sans Serif}} \viewkind4\uc1\pard\f0\fs16 BUJIA FERRAZZI IRIDIUM PLATINO MOTOS VARIAS - C7HSA CR7HIX CR7HSA\par } "</f>
        <v xml:space="preserve">{\rtf1\ansi\ansicpg1252\deff0\deflang11274{\fonttbl{\f0\fnil\fcharset0 MS Sans Serif}} \viewkind4\uc1\pard\f0\fs16 BUJIA FERRAZZI IRIDIUM PLATINO MOTOS VARIAS - C7HSA CR7HIX CR7HSA\par } </v>
      </c>
      <c r="AM254" t="str">
        <f t="shared" si="171"/>
        <v>-</v>
      </c>
    </row>
    <row r="255" spans="1:39" x14ac:dyDescent="0.25">
      <c r="A255" t="str">
        <f>"QR8IP"</f>
        <v>QR8IP</v>
      </c>
      <c r="B255" t="str">
        <f>"BUJIA FERRAZZI IRIDIUM PLATINO MOTOS VARIAS - D8EA DR8EA DR8EB DR8EIX"</f>
        <v>BUJIA FERRAZZI IRIDIUM PLATINO MOTOS VARIAS - D8EA DR8EA DR8EB DR8EIX</v>
      </c>
      <c r="C255" t="str">
        <f t="shared" si="178"/>
        <v>$ 15757,85</v>
      </c>
      <c r="D255" t="str">
        <f t="shared" si="178"/>
        <v>$ 15757,85</v>
      </c>
      <c r="E255" t="str">
        <f t="shared" si="178"/>
        <v>$ 15757,85</v>
      </c>
      <c r="F255" t="str">
        <f t="shared" si="178"/>
        <v>$ 15757,85</v>
      </c>
      <c r="G255" t="str">
        <f t="shared" si="178"/>
        <v>$ 15757,85</v>
      </c>
      <c r="H255" t="str">
        <f t="shared" si="138"/>
        <v>$ 0,00</v>
      </c>
      <c r="I255" t="str">
        <f t="shared" si="176"/>
        <v>BUJIAS DE ENCENDIDO IRIDIO PLATINO</v>
      </c>
      <c r="J255" t="str">
        <f t="shared" si="139"/>
        <v>1</v>
      </c>
      <c r="K255" t="str">
        <f t="shared" si="160"/>
        <v>0</v>
      </c>
      <c r="L255" t="str">
        <f>"24,000"</f>
        <v>24,000</v>
      </c>
      <c r="M255" t="str">
        <f t="shared" si="140"/>
        <v xml:space="preserve"> </v>
      </c>
      <c r="N255" t="str">
        <f t="shared" si="170"/>
        <v>FERRAZZI</v>
      </c>
      <c r="O255" t="str">
        <f t="shared" si="169"/>
        <v>BUJIAS</v>
      </c>
      <c r="P255" t="str">
        <f t="shared" si="172"/>
        <v>0</v>
      </c>
      <c r="Q255" t="str">
        <f t="shared" si="172"/>
        <v>0</v>
      </c>
      <c r="R255" t="str">
        <f t="shared" si="173"/>
        <v>0,00</v>
      </c>
      <c r="S255" t="str">
        <f t="shared" si="173"/>
        <v>0,00</v>
      </c>
      <c r="T255" t="str">
        <f t="shared" si="159"/>
        <v xml:space="preserve"> </v>
      </c>
      <c r="U255" t="str">
        <f t="shared" si="177"/>
        <v xml:space="preserve"> </v>
      </c>
      <c r="V255" t="str">
        <f>"24,000"</f>
        <v>24,000</v>
      </c>
      <c r="W255" t="str">
        <f t="shared" si="141"/>
        <v>Lista 4</v>
      </c>
      <c r="X255" t="str">
        <f t="shared" si="142"/>
        <v>Lista 5</v>
      </c>
      <c r="Y255" t="str">
        <f t="shared" si="143"/>
        <v>Oferta Gral.</v>
      </c>
      <c r="Z255" t="str">
        <f t="shared" si="144"/>
        <v>Rubro</v>
      </c>
      <c r="AA255" t="str">
        <f t="shared" si="145"/>
        <v>Cantidad por Bulto</v>
      </c>
      <c r="AB255" t="str">
        <f t="shared" si="146"/>
        <v>INNER</v>
      </c>
      <c r="AC255" t="str">
        <f t="shared" si="147"/>
        <v>Stock en Bultos</v>
      </c>
      <c r="AD255" t="str">
        <f t="shared" si="148"/>
        <v>SubDepósito</v>
      </c>
      <c r="AE255" t="str">
        <f t="shared" si="149"/>
        <v>Marca</v>
      </c>
      <c r="AF255" t="str">
        <f t="shared" si="150"/>
        <v>Super Rubro</v>
      </c>
      <c r="AG255" t="str">
        <f t="shared" si="151"/>
        <v>ComercioExterior</v>
      </c>
      <c r="AH255" t="str">
        <f t="shared" si="152"/>
        <v>PrecioFOB</v>
      </c>
      <c r="AI255" t="str">
        <f t="shared" si="153"/>
        <v>Monto II</v>
      </c>
      <c r="AJ255" t="str">
        <f t="shared" si="154"/>
        <v>Porcentaje II</v>
      </c>
      <c r="AK255" t="str">
        <f t="shared" si="155"/>
        <v>Foto</v>
      </c>
      <c r="AL255" t="str">
        <f>"{\rtf1\ansi\ansicpg1252\deff0\deflang11274{\fonttbl{\f0\fnil\fcharset0 MS Sans Serif}} \viewkind4\uc1\pard\f0\fs16 JGO. CABLES BUJ\'cdAS KANGOO/TWINGO 1.2 ENC. DUCELLIER\par } "</f>
        <v xml:space="preserve">{\rtf1\ansi\ansicpg1252\deff0\deflang11274{\fonttbl{\f0\fnil\fcharset0 MS Sans Serif}} \viewkind4\uc1\pard\f0\fs16 JGO. CABLES BUJ\'cdAS KANGOO/TWINGO 1.2 ENC. DUCELLIER\par } </v>
      </c>
      <c r="AM255" t="str">
        <f t="shared" si="171"/>
        <v>-</v>
      </c>
    </row>
    <row r="256" spans="1:39" x14ac:dyDescent="0.25">
      <c r="A256" t="str">
        <f>"NR8IP"</f>
        <v>NR8IP</v>
      </c>
      <c r="B256" t="str">
        <f>"BUJIA FERRAZZI IRIDIUM PLATINO MOTOS VARIAS CPR8EA-9 CPR8EB-9 CPR8EAIX-9"</f>
        <v>BUJIA FERRAZZI IRIDIUM PLATINO MOTOS VARIAS CPR8EA-9 CPR8EB-9 CPR8EAIX-9</v>
      </c>
      <c r="C256" t="str">
        <f>"$ 17416,54"</f>
        <v>$ 17416,54</v>
      </c>
      <c r="D256" t="str">
        <f>"$ 17416,54"</f>
        <v>$ 17416,54</v>
      </c>
      <c r="E256" t="str">
        <f>"$ 17416,54"</f>
        <v>$ 17416,54</v>
      </c>
      <c r="F256" t="str">
        <f>"$ 17416,54"</f>
        <v>$ 17416,54</v>
      </c>
      <c r="G256" t="str">
        <f>"$ 17416,54"</f>
        <v>$ 17416,54</v>
      </c>
      <c r="H256" t="str">
        <f t="shared" si="138"/>
        <v>$ 0,00</v>
      </c>
      <c r="I256" t="str">
        <f t="shared" si="176"/>
        <v>BUJIAS DE ENCENDIDO IRIDIO PLATINO</v>
      </c>
      <c r="J256" t="str">
        <f t="shared" si="139"/>
        <v>1</v>
      </c>
      <c r="K256" t="str">
        <f t="shared" si="160"/>
        <v>0</v>
      </c>
      <c r="L256" t="str">
        <f>"27,000"</f>
        <v>27,000</v>
      </c>
      <c r="M256" t="str">
        <f t="shared" si="140"/>
        <v xml:space="preserve"> </v>
      </c>
      <c r="N256" t="str">
        <f t="shared" si="170"/>
        <v>FERRAZZI</v>
      </c>
      <c r="O256" t="str">
        <f t="shared" si="169"/>
        <v>BUJIAS</v>
      </c>
      <c r="P256" t="str">
        <f t="shared" si="172"/>
        <v>0</v>
      </c>
      <c r="Q256" t="str">
        <f t="shared" si="172"/>
        <v>0</v>
      </c>
      <c r="R256" t="str">
        <f t="shared" si="173"/>
        <v>0,00</v>
      </c>
      <c r="S256" t="str">
        <f t="shared" si="173"/>
        <v>0,00</v>
      </c>
      <c r="T256" t="str">
        <f t="shared" si="159"/>
        <v xml:space="preserve"> </v>
      </c>
      <c r="U256" t="str">
        <f t="shared" si="177"/>
        <v xml:space="preserve"> </v>
      </c>
      <c r="V256" t="str">
        <f>"27,000"</f>
        <v>27,000</v>
      </c>
      <c r="W256" t="str">
        <f t="shared" si="141"/>
        <v>Lista 4</v>
      </c>
      <c r="X256" t="str">
        <f t="shared" si="142"/>
        <v>Lista 5</v>
      </c>
      <c r="Y256" t="str">
        <f t="shared" si="143"/>
        <v>Oferta Gral.</v>
      </c>
      <c r="Z256" t="str">
        <f t="shared" si="144"/>
        <v>Rubro</v>
      </c>
      <c r="AA256" t="str">
        <f t="shared" si="145"/>
        <v>Cantidad por Bulto</v>
      </c>
      <c r="AB256" t="str">
        <f t="shared" si="146"/>
        <v>INNER</v>
      </c>
      <c r="AC256" t="str">
        <f t="shared" si="147"/>
        <v>Stock en Bultos</v>
      </c>
      <c r="AD256" t="str">
        <f t="shared" si="148"/>
        <v>SubDepósito</v>
      </c>
      <c r="AE256" t="str">
        <f t="shared" si="149"/>
        <v>Marca</v>
      </c>
      <c r="AF256" t="str">
        <f t="shared" si="150"/>
        <v>Super Rubro</v>
      </c>
      <c r="AG256" t="str">
        <f t="shared" si="151"/>
        <v>ComercioExterior</v>
      </c>
      <c r="AH256" t="str">
        <f t="shared" si="152"/>
        <v>PrecioFOB</v>
      </c>
      <c r="AI256" t="str">
        <f t="shared" si="153"/>
        <v>Monto II</v>
      </c>
      <c r="AJ256" t="str">
        <f t="shared" si="154"/>
        <v>Porcentaje II</v>
      </c>
      <c r="AK256" t="str">
        <f t="shared" si="155"/>
        <v>Foto</v>
      </c>
      <c r="AL256" t="str">
        <f>"{\rtf1\ansi\ansicpg1252\deff0\deflang11274{\fonttbl{\f0\fnil\fcharset0 MS Sans Serif}} \viewkind4\uc1\pard\f0\fs16 BUJIA FERRAZZI IRIDIUM PLATINO MOTOS VARIAS CPR8EA-9 CPR8EB-9 CPR8EAIX-9\par } "</f>
        <v xml:space="preserve">{\rtf1\ansi\ansicpg1252\deff0\deflang11274{\fonttbl{\f0\fnil\fcharset0 MS Sans Serif}} \viewkind4\uc1\pard\f0\fs16 BUJIA FERRAZZI IRIDIUM PLATINO MOTOS VARIAS CPR8EA-9 CPR8EB-9 CPR8EAIX-9\par } </v>
      </c>
      <c r="AM256" t="str">
        <f t="shared" si="171"/>
        <v>-</v>
      </c>
    </row>
    <row r="257" spans="1:39" x14ac:dyDescent="0.25">
      <c r="A257" t="str">
        <f>"XR5IP"</f>
        <v>XR5IP</v>
      </c>
      <c r="B257" t="str">
        <f>"BUJIA FERRAZZI IRIDIUM PLATINO PEUGEOT 206 307 CITROEN C3 1.6 16V"</f>
        <v>BUJIA FERRAZZI IRIDIUM PLATINO PEUGEOT 206 307 CITROEN C3 1.6 16V</v>
      </c>
      <c r="C257" t="str">
        <f>"$ 17001,87"</f>
        <v>$ 17001,87</v>
      </c>
      <c r="D257" t="str">
        <f>"$ 17001,87"</f>
        <v>$ 17001,87</v>
      </c>
      <c r="E257" t="str">
        <f>"$ 17001,87"</f>
        <v>$ 17001,87</v>
      </c>
      <c r="F257" t="str">
        <f>"$ 17001,87"</f>
        <v>$ 17001,87</v>
      </c>
      <c r="G257" t="str">
        <f>"$ 17001,87"</f>
        <v>$ 17001,87</v>
      </c>
      <c r="H257" t="str">
        <f t="shared" si="138"/>
        <v>$ 0,00</v>
      </c>
      <c r="I257" t="str">
        <f t="shared" si="176"/>
        <v>BUJIAS DE ENCENDIDO IRIDIO PLATINO</v>
      </c>
      <c r="J257" t="str">
        <f t="shared" si="139"/>
        <v>1</v>
      </c>
      <c r="K257" t="str">
        <f t="shared" si="160"/>
        <v>0</v>
      </c>
      <c r="L257" t="str">
        <f>"12,000"</f>
        <v>12,000</v>
      </c>
      <c r="M257" t="str">
        <f t="shared" si="140"/>
        <v xml:space="preserve"> </v>
      </c>
      <c r="N257" t="str">
        <f t="shared" si="170"/>
        <v>FERRAZZI</v>
      </c>
      <c r="O257" t="str">
        <f t="shared" si="169"/>
        <v>BUJIAS</v>
      </c>
      <c r="P257" t="str">
        <f t="shared" si="172"/>
        <v>0</v>
      </c>
      <c r="Q257" t="str">
        <f t="shared" si="172"/>
        <v>0</v>
      </c>
      <c r="R257" t="str">
        <f t="shared" si="173"/>
        <v>0,00</v>
      </c>
      <c r="S257" t="str">
        <f t="shared" si="173"/>
        <v>0,00</v>
      </c>
      <c r="T257" t="str">
        <f t="shared" si="159"/>
        <v xml:space="preserve"> </v>
      </c>
      <c r="U257" t="str">
        <f t="shared" si="177"/>
        <v xml:space="preserve"> </v>
      </c>
      <c r="V257" t="str">
        <f>"12,000"</f>
        <v>12,000</v>
      </c>
      <c r="W257" t="str">
        <f t="shared" si="141"/>
        <v>Lista 4</v>
      </c>
      <c r="X257" t="str">
        <f t="shared" si="142"/>
        <v>Lista 5</v>
      </c>
      <c r="Y257" t="str">
        <f t="shared" si="143"/>
        <v>Oferta Gral.</v>
      </c>
      <c r="Z257" t="str">
        <f t="shared" si="144"/>
        <v>Rubro</v>
      </c>
      <c r="AA257" t="str">
        <f t="shared" si="145"/>
        <v>Cantidad por Bulto</v>
      </c>
      <c r="AB257" t="str">
        <f t="shared" si="146"/>
        <v>INNER</v>
      </c>
      <c r="AC257" t="str">
        <f t="shared" si="147"/>
        <v>Stock en Bultos</v>
      </c>
      <c r="AD257" t="str">
        <f t="shared" si="148"/>
        <v>SubDepósito</v>
      </c>
      <c r="AE257" t="str">
        <f t="shared" si="149"/>
        <v>Marca</v>
      </c>
      <c r="AF257" t="str">
        <f t="shared" si="150"/>
        <v>Super Rubro</v>
      </c>
      <c r="AG257" t="str">
        <f t="shared" si="151"/>
        <v>ComercioExterior</v>
      </c>
      <c r="AH257" t="str">
        <f t="shared" si="152"/>
        <v>PrecioFOB</v>
      </c>
      <c r="AI257" t="str">
        <f t="shared" si="153"/>
        <v>Monto II</v>
      </c>
      <c r="AJ257" t="str">
        <f t="shared" si="154"/>
        <v>Porcentaje II</v>
      </c>
      <c r="AK257" t="str">
        <f t="shared" si="155"/>
        <v>Foto</v>
      </c>
      <c r="AL257" t="str">
        <f>"{\rtf1\ansi\ansicpg1252\deff0\deflang11274{\fonttbl{\f0\fnil\fcharset0 MS Sans Serif}} \viewkind4\uc1\pard\f0\fs16 BUJIA FERRAZZI IRIDIUM PLATINO PEUGEOT 206 307 CITROEN C3 1.6 16V\par } "</f>
        <v xml:space="preserve">{\rtf1\ansi\ansicpg1252\deff0\deflang11274{\fonttbl{\f0\fnil\fcharset0 MS Sans Serif}} \viewkind4\uc1\pard\f0\fs16 BUJIA FERRAZZI IRIDIUM PLATINO PEUGEOT 206 307 CITROEN C3 1.6 16V\par } </v>
      </c>
      <c r="AM257" t="str">
        <f t="shared" si="171"/>
        <v>-</v>
      </c>
    </row>
    <row r="258" spans="1:39" x14ac:dyDescent="0.25">
      <c r="A258" t="str">
        <f>"ZR6IP"</f>
        <v>ZR6IP</v>
      </c>
      <c r="B258" t="str">
        <f>"BUJIA FERRAZZI IRIDIUM PLATINO PEUGEOT 206 8V FIAT MOTOR TORQ RENAULT 1.6 16V K4M"</f>
        <v>BUJIA FERRAZZI IRIDIUM PLATINO PEUGEOT 206 8V FIAT MOTOR TORQ RENAULT 1.6 16V K4M</v>
      </c>
      <c r="C258" t="str">
        <f t="shared" ref="C258:G259" si="179">"$ 16587,20"</f>
        <v>$ 16587,20</v>
      </c>
      <c r="D258" t="str">
        <f t="shared" si="179"/>
        <v>$ 16587,20</v>
      </c>
      <c r="E258" t="str">
        <f t="shared" si="179"/>
        <v>$ 16587,20</v>
      </c>
      <c r="F258" t="str">
        <f t="shared" si="179"/>
        <v>$ 16587,20</v>
      </c>
      <c r="G258" t="str">
        <f t="shared" si="179"/>
        <v>$ 16587,20</v>
      </c>
      <c r="H258" t="str">
        <f t="shared" si="138"/>
        <v>$ 0,00</v>
      </c>
      <c r="I258" t="str">
        <f t="shared" si="176"/>
        <v>BUJIAS DE ENCENDIDO IRIDIO PLATINO</v>
      </c>
      <c r="J258" t="str">
        <f t="shared" si="139"/>
        <v>1</v>
      </c>
      <c r="K258" t="str">
        <f t="shared" si="160"/>
        <v>0</v>
      </c>
      <c r="L258" t="str">
        <f>"10,000"</f>
        <v>10,000</v>
      </c>
      <c r="M258" t="str">
        <f t="shared" si="140"/>
        <v xml:space="preserve"> </v>
      </c>
      <c r="N258" t="str">
        <f t="shared" si="170"/>
        <v>FERRAZZI</v>
      </c>
      <c r="O258" t="str">
        <f t="shared" si="169"/>
        <v>BUJIAS</v>
      </c>
      <c r="P258" t="str">
        <f t="shared" si="172"/>
        <v>0</v>
      </c>
      <c r="Q258" t="str">
        <f t="shared" si="172"/>
        <v>0</v>
      </c>
      <c r="R258" t="str">
        <f t="shared" si="173"/>
        <v>0,00</v>
      </c>
      <c r="S258" t="str">
        <f t="shared" si="173"/>
        <v>0,00</v>
      </c>
      <c r="T258" t="str">
        <f t="shared" si="159"/>
        <v xml:space="preserve"> </v>
      </c>
      <c r="U258" t="str">
        <f t="shared" si="177"/>
        <v xml:space="preserve"> </v>
      </c>
      <c r="V258" t="str">
        <f>"10,000"</f>
        <v>10,000</v>
      </c>
      <c r="W258" t="str">
        <f t="shared" si="141"/>
        <v>Lista 4</v>
      </c>
      <c r="X258" t="str">
        <f t="shared" si="142"/>
        <v>Lista 5</v>
      </c>
      <c r="Y258" t="str">
        <f t="shared" si="143"/>
        <v>Oferta Gral.</v>
      </c>
      <c r="Z258" t="str">
        <f t="shared" si="144"/>
        <v>Rubro</v>
      </c>
      <c r="AA258" t="str">
        <f t="shared" si="145"/>
        <v>Cantidad por Bulto</v>
      </c>
      <c r="AB258" t="str">
        <f t="shared" si="146"/>
        <v>INNER</v>
      </c>
      <c r="AC258" t="str">
        <f t="shared" si="147"/>
        <v>Stock en Bultos</v>
      </c>
      <c r="AD258" t="str">
        <f t="shared" si="148"/>
        <v>SubDepósito</v>
      </c>
      <c r="AE258" t="str">
        <f t="shared" si="149"/>
        <v>Marca</v>
      </c>
      <c r="AF258" t="str">
        <f t="shared" si="150"/>
        <v>Super Rubro</v>
      </c>
      <c r="AG258" t="str">
        <f t="shared" si="151"/>
        <v>ComercioExterior</v>
      </c>
      <c r="AH258" t="str">
        <f t="shared" si="152"/>
        <v>PrecioFOB</v>
      </c>
      <c r="AI258" t="str">
        <f t="shared" si="153"/>
        <v>Monto II</v>
      </c>
      <c r="AJ258" t="str">
        <f t="shared" si="154"/>
        <v>Porcentaje II</v>
      </c>
      <c r="AK258" t="str">
        <f t="shared" si="155"/>
        <v>Foto</v>
      </c>
      <c r="AL258" t="str">
        <f>"{\rtf1\ansi\ansicpg1252\deff0\deflang11274{\fonttbl{\f0\fnil\fcharset0 MS Sans Serif}} \viewkind4\uc1\pard\f0\fs16 BUJIA FERRAZZI IRIDIUM PLATINO PEUGEOT 206 8V FIAT MOTOR TORQ RENAULT 1.6 16V K4M\par } "</f>
        <v xml:space="preserve">{\rtf1\ansi\ansicpg1252\deff0\deflang11274{\fonttbl{\f0\fnil\fcharset0 MS Sans Serif}} \viewkind4\uc1\pard\f0\fs16 BUJIA FERRAZZI IRIDIUM PLATINO PEUGEOT 206 8V FIAT MOTOR TORQ RENAULT 1.6 16V K4M\par } </v>
      </c>
      <c r="AM258" t="str">
        <f t="shared" si="171"/>
        <v>-</v>
      </c>
    </row>
    <row r="259" spans="1:39" x14ac:dyDescent="0.25">
      <c r="A259" t="str">
        <f>"ER5IP"</f>
        <v>ER5IP</v>
      </c>
      <c r="B259" t="str">
        <f>"BUJIA FERRAZZI IRIDIUM PLATINO R18 2000 FORD TAUNUS FORD MAX ECONO"</f>
        <v>BUJIA FERRAZZI IRIDIUM PLATINO R18 2000 FORD TAUNUS FORD MAX ECONO</v>
      </c>
      <c r="C259" t="str">
        <f t="shared" si="179"/>
        <v>$ 16587,20</v>
      </c>
      <c r="D259" t="str">
        <f t="shared" si="179"/>
        <v>$ 16587,20</v>
      </c>
      <c r="E259" t="str">
        <f t="shared" si="179"/>
        <v>$ 16587,20</v>
      </c>
      <c r="F259" t="str">
        <f t="shared" si="179"/>
        <v>$ 16587,20</v>
      </c>
      <c r="G259" t="str">
        <f t="shared" si="179"/>
        <v>$ 16587,20</v>
      </c>
      <c r="H259" t="str">
        <f t="shared" ref="H259:H322" si="180">"$ 0,00"</f>
        <v>$ 0,00</v>
      </c>
      <c r="I259" t="str">
        <f t="shared" si="176"/>
        <v>BUJIAS DE ENCENDIDO IRIDIO PLATINO</v>
      </c>
      <c r="J259" t="str">
        <f t="shared" ref="J259:J322" si="181">"1"</f>
        <v>1</v>
      </c>
      <c r="K259" t="str">
        <f t="shared" si="160"/>
        <v>0</v>
      </c>
      <c r="L259" t="str">
        <f>"36,000"</f>
        <v>36,000</v>
      </c>
      <c r="M259" t="str">
        <f t="shared" ref="M259:M322" si="182">" "</f>
        <v xml:space="preserve"> </v>
      </c>
      <c r="N259" t="str">
        <f t="shared" si="170"/>
        <v>FERRAZZI</v>
      </c>
      <c r="O259" t="str">
        <f t="shared" si="169"/>
        <v>BUJIAS</v>
      </c>
      <c r="P259" t="str">
        <f t="shared" si="172"/>
        <v>0</v>
      </c>
      <c r="Q259" t="str">
        <f t="shared" si="172"/>
        <v>0</v>
      </c>
      <c r="R259" t="str">
        <f t="shared" si="173"/>
        <v>0,00</v>
      </c>
      <c r="S259" t="str">
        <f t="shared" si="173"/>
        <v>0,00</v>
      </c>
      <c r="T259" t="str">
        <f t="shared" si="159"/>
        <v xml:space="preserve"> </v>
      </c>
      <c r="U259" t="str">
        <f t="shared" si="177"/>
        <v xml:space="preserve"> </v>
      </c>
      <c r="V259" t="str">
        <f>"36,000"</f>
        <v>36,000</v>
      </c>
      <c r="W259" t="str">
        <f t="shared" ref="W259:W322" si="183">"Lista 4"</f>
        <v>Lista 4</v>
      </c>
      <c r="X259" t="str">
        <f t="shared" ref="X259:X322" si="184">"Lista 5"</f>
        <v>Lista 5</v>
      </c>
      <c r="Y259" t="str">
        <f t="shared" ref="Y259:Y322" si="185">"Oferta Gral."</f>
        <v>Oferta Gral.</v>
      </c>
      <c r="Z259" t="str">
        <f t="shared" ref="Z259:Z322" si="186">"Rubro"</f>
        <v>Rubro</v>
      </c>
      <c r="AA259" t="str">
        <f t="shared" ref="AA259:AA322" si="187">"Cantidad por Bulto"</f>
        <v>Cantidad por Bulto</v>
      </c>
      <c r="AB259" t="str">
        <f t="shared" ref="AB259:AB322" si="188">"INNER"</f>
        <v>INNER</v>
      </c>
      <c r="AC259" t="str">
        <f t="shared" ref="AC259:AC322" si="189">"Stock en Bultos"</f>
        <v>Stock en Bultos</v>
      </c>
      <c r="AD259" t="str">
        <f t="shared" ref="AD259:AD322" si="190">"SubDepósito"</f>
        <v>SubDepósito</v>
      </c>
      <c r="AE259" t="str">
        <f t="shared" ref="AE259:AE322" si="191">"Marca"</f>
        <v>Marca</v>
      </c>
      <c r="AF259" t="str">
        <f t="shared" ref="AF259:AF322" si="192">"Super Rubro"</f>
        <v>Super Rubro</v>
      </c>
      <c r="AG259" t="str">
        <f t="shared" ref="AG259:AG322" si="193">"ComercioExterior"</f>
        <v>ComercioExterior</v>
      </c>
      <c r="AH259" t="str">
        <f t="shared" ref="AH259:AH322" si="194">"PrecioFOB"</f>
        <v>PrecioFOB</v>
      </c>
      <c r="AI259" t="str">
        <f t="shared" ref="AI259:AI322" si="195">"Monto II"</f>
        <v>Monto II</v>
      </c>
      <c r="AJ259" t="str">
        <f t="shared" ref="AJ259:AJ322" si="196">"Porcentaje II"</f>
        <v>Porcentaje II</v>
      </c>
      <c r="AK259" t="str">
        <f t="shared" ref="AK259:AK322" si="197">"Foto"</f>
        <v>Foto</v>
      </c>
      <c r="AL259" t="str">
        <f>"{\rtf1\ansi\ansicpg1252\deff0\deflang11274{\fonttbl{\f0\fnil\fcharset0 MS Sans Serif}} \viewkind4\uc1\pard\f0\fs16 BUJIA FERRAZZI IRIDIUM PLATINO R18 2000 FORD TAUNUS FORD MAX ECONO\par } "</f>
        <v xml:space="preserve">{\rtf1\ansi\ansicpg1252\deff0\deflang11274{\fonttbl{\f0\fnil\fcharset0 MS Sans Serif}} \viewkind4\uc1\pard\f0\fs16 BUJIA FERRAZZI IRIDIUM PLATINO R18 2000 FORD TAUNUS FORD MAX ECONO\par } </v>
      </c>
      <c r="AM259" t="str">
        <f t="shared" si="171"/>
        <v>-</v>
      </c>
    </row>
    <row r="260" spans="1:39" x14ac:dyDescent="0.25">
      <c r="A260" t="str">
        <f>"AR7IP"</f>
        <v>AR7IP</v>
      </c>
      <c r="B260" t="str">
        <f>"BUJIA FERRAZZI IRIDIUM PLATINO RENAULT CLIO MIO 1.2 D4F FLUENCE 2.0"</f>
        <v>BUJIA FERRAZZI IRIDIUM PLATINO RENAULT CLIO MIO 1.2 D4F FLUENCE 2.0</v>
      </c>
      <c r="C260" t="str">
        <f>"$ 19489,96"</f>
        <v>$ 19489,96</v>
      </c>
      <c r="D260" t="str">
        <f>"$ 19489,96"</f>
        <v>$ 19489,96</v>
      </c>
      <c r="E260" t="str">
        <f>"$ 19489,96"</f>
        <v>$ 19489,96</v>
      </c>
      <c r="F260" t="str">
        <f>"$ 19489,96"</f>
        <v>$ 19489,96</v>
      </c>
      <c r="G260" t="str">
        <f>"$ 19489,96"</f>
        <v>$ 19489,96</v>
      </c>
      <c r="H260" t="str">
        <f t="shared" si="180"/>
        <v>$ 0,00</v>
      </c>
      <c r="I260" t="str">
        <f t="shared" si="176"/>
        <v>BUJIAS DE ENCENDIDO IRIDIO PLATINO</v>
      </c>
      <c r="J260" t="str">
        <f t="shared" si="181"/>
        <v>1</v>
      </c>
      <c r="K260" t="str">
        <f t="shared" si="160"/>
        <v>0</v>
      </c>
      <c r="L260" t="str">
        <f>"15,000"</f>
        <v>15,000</v>
      </c>
      <c r="M260" t="str">
        <f t="shared" si="182"/>
        <v xml:space="preserve"> </v>
      </c>
      <c r="N260" t="str">
        <f t="shared" si="170"/>
        <v>FERRAZZI</v>
      </c>
      <c r="O260" t="str">
        <f t="shared" si="169"/>
        <v>BUJIAS</v>
      </c>
      <c r="P260" t="str">
        <f t="shared" si="172"/>
        <v>0</v>
      </c>
      <c r="Q260" t="str">
        <f t="shared" si="172"/>
        <v>0</v>
      </c>
      <c r="R260" t="str">
        <f t="shared" si="173"/>
        <v>0,00</v>
      </c>
      <c r="S260" t="str">
        <f t="shared" si="173"/>
        <v>0,00</v>
      </c>
      <c r="T260" t="str">
        <f t="shared" si="159"/>
        <v xml:space="preserve"> </v>
      </c>
      <c r="U260" t="str">
        <f t="shared" si="177"/>
        <v xml:space="preserve"> </v>
      </c>
      <c r="V260" t="str">
        <f>"15,000"</f>
        <v>15,000</v>
      </c>
      <c r="W260" t="str">
        <f t="shared" si="183"/>
        <v>Lista 4</v>
      </c>
      <c r="X260" t="str">
        <f t="shared" si="184"/>
        <v>Lista 5</v>
      </c>
      <c r="Y260" t="str">
        <f t="shared" si="185"/>
        <v>Oferta Gral.</v>
      </c>
      <c r="Z260" t="str">
        <f t="shared" si="186"/>
        <v>Rubro</v>
      </c>
      <c r="AA260" t="str">
        <f t="shared" si="187"/>
        <v>Cantidad por Bulto</v>
      </c>
      <c r="AB260" t="str">
        <f t="shared" si="188"/>
        <v>INNER</v>
      </c>
      <c r="AC260" t="str">
        <f t="shared" si="189"/>
        <v>Stock en Bultos</v>
      </c>
      <c r="AD260" t="str">
        <f t="shared" si="190"/>
        <v>SubDepósito</v>
      </c>
      <c r="AE260" t="str">
        <f t="shared" si="191"/>
        <v>Marca</v>
      </c>
      <c r="AF260" t="str">
        <f t="shared" si="192"/>
        <v>Super Rubro</v>
      </c>
      <c r="AG260" t="str">
        <f t="shared" si="193"/>
        <v>ComercioExterior</v>
      </c>
      <c r="AH260" t="str">
        <f t="shared" si="194"/>
        <v>PrecioFOB</v>
      </c>
      <c r="AI260" t="str">
        <f t="shared" si="195"/>
        <v>Monto II</v>
      </c>
      <c r="AJ260" t="str">
        <f t="shared" si="196"/>
        <v>Porcentaje II</v>
      </c>
      <c r="AK260" t="str">
        <f t="shared" si="197"/>
        <v>Foto</v>
      </c>
      <c r="AL260" t="str">
        <f>"{\rtf1\ansi\ansicpg1252\deff0\deflang11274{\fonttbl{\f0\fnil\fcharset0 MS Sans Serif}} \viewkind4\uc1\pard\f0\fs16 JGO. CABLES BUJ\'cdAS MEGANE  RXE  2.0 8V  /  SCENIC 2.0 8V TRAFIC 2000 CAP. ORIG.\par } "</f>
        <v xml:space="preserve">{\rtf1\ansi\ansicpg1252\deff0\deflang11274{\fonttbl{\f0\fnil\fcharset0 MS Sans Serif}} \viewkind4\uc1\pard\f0\fs16 JGO. CABLES BUJ\'cdAS MEGANE  RXE  2.0 8V  /  SCENIC 2.0 8V TRAFIC 2000 CAP. ORIG.\par } </v>
      </c>
      <c r="AM260" t="str">
        <f t="shared" si="171"/>
        <v>-</v>
      </c>
    </row>
    <row r="261" spans="1:39" x14ac:dyDescent="0.25">
      <c r="A261" t="str">
        <f>"ZR8IP"</f>
        <v>ZR8IP</v>
      </c>
      <c r="B261" t="str">
        <f>"BUJIA FERRAZZI IRIDIUM PLATINO VW VENTO 2.0 EQUIV. BCPR7ES BKR7EIX BKUR7ET"</f>
        <v>BUJIA FERRAZZI IRIDIUM PLATINO VW VENTO 2.0 EQUIV. BCPR7ES BKR7EIX BKUR7ET</v>
      </c>
      <c r="C261" t="str">
        <f>"$ 16587,20"</f>
        <v>$ 16587,20</v>
      </c>
      <c r="D261" t="str">
        <f>"$ 16587,20"</f>
        <v>$ 16587,20</v>
      </c>
      <c r="E261" t="str">
        <f>"$ 16587,20"</f>
        <v>$ 16587,20</v>
      </c>
      <c r="F261" t="str">
        <f>"$ 16587,20"</f>
        <v>$ 16587,20</v>
      </c>
      <c r="G261" t="str">
        <f>"$ 16587,20"</f>
        <v>$ 16587,20</v>
      </c>
      <c r="H261" t="str">
        <f t="shared" si="180"/>
        <v>$ 0,00</v>
      </c>
      <c r="I261" t="str">
        <f t="shared" si="176"/>
        <v>BUJIAS DE ENCENDIDO IRIDIO PLATINO</v>
      </c>
      <c r="J261" t="str">
        <f t="shared" si="181"/>
        <v>1</v>
      </c>
      <c r="K261" t="str">
        <f t="shared" si="160"/>
        <v>0</v>
      </c>
      <c r="L261" t="str">
        <f>"-8,000"</f>
        <v>-8,000</v>
      </c>
      <c r="M261" t="str">
        <f t="shared" si="182"/>
        <v xml:space="preserve"> </v>
      </c>
      <c r="N261" t="str">
        <f t="shared" si="170"/>
        <v>FERRAZZI</v>
      </c>
      <c r="O261" t="str">
        <f t="shared" si="169"/>
        <v>BUJIAS</v>
      </c>
      <c r="P261" t="str">
        <f t="shared" si="172"/>
        <v>0</v>
      </c>
      <c r="Q261" t="str">
        <f t="shared" si="172"/>
        <v>0</v>
      </c>
      <c r="R261" t="str">
        <f t="shared" si="173"/>
        <v>0,00</v>
      </c>
      <c r="S261" t="str">
        <f t="shared" si="173"/>
        <v>0,00</v>
      </c>
      <c r="T261" t="str">
        <f t="shared" si="159"/>
        <v xml:space="preserve"> </v>
      </c>
      <c r="U261" t="str">
        <f t="shared" si="177"/>
        <v xml:space="preserve"> </v>
      </c>
      <c r="V261" t="str">
        <f>"-8,000"</f>
        <v>-8,000</v>
      </c>
      <c r="W261" t="str">
        <f t="shared" si="183"/>
        <v>Lista 4</v>
      </c>
      <c r="X261" t="str">
        <f t="shared" si="184"/>
        <v>Lista 5</v>
      </c>
      <c r="Y261" t="str">
        <f t="shared" si="185"/>
        <v>Oferta Gral.</v>
      </c>
      <c r="Z261" t="str">
        <f t="shared" si="186"/>
        <v>Rubro</v>
      </c>
      <c r="AA261" t="str">
        <f t="shared" si="187"/>
        <v>Cantidad por Bulto</v>
      </c>
      <c r="AB261" t="str">
        <f t="shared" si="188"/>
        <v>INNER</v>
      </c>
      <c r="AC261" t="str">
        <f t="shared" si="189"/>
        <v>Stock en Bultos</v>
      </c>
      <c r="AD261" t="str">
        <f t="shared" si="190"/>
        <v>SubDepósito</v>
      </c>
      <c r="AE261" t="str">
        <f t="shared" si="191"/>
        <v>Marca</v>
      </c>
      <c r="AF261" t="str">
        <f t="shared" si="192"/>
        <v>Super Rubro</v>
      </c>
      <c r="AG261" t="str">
        <f t="shared" si="193"/>
        <v>ComercioExterior</v>
      </c>
      <c r="AH261" t="str">
        <f t="shared" si="194"/>
        <v>PrecioFOB</v>
      </c>
      <c r="AI261" t="str">
        <f t="shared" si="195"/>
        <v>Monto II</v>
      </c>
      <c r="AJ261" t="str">
        <f t="shared" si="196"/>
        <v>Porcentaje II</v>
      </c>
      <c r="AK261" t="str">
        <f t="shared" si="197"/>
        <v>Foto</v>
      </c>
      <c r="AL261" t="str">
        <f>"{\rtf1\ansi\ansicpg1252\deff0\deflang11274{\fonttbl{\f0\fnil\fcharset0 MS Sans Serif}} \viewkind4\uc1\pard\f0\fs16 BUJIA FERRAZZI IRIDIUM PLATINO VW VENTO 2.0 EQUIV. BCPR7ES BKR7EIX BKUR7ET\par } "</f>
        <v xml:space="preserve">{\rtf1\ansi\ansicpg1252\deff0\deflang11274{\fonttbl{\f0\fnil\fcharset0 MS Sans Serif}} \viewkind4\uc1\pard\f0\fs16 BUJIA FERRAZZI IRIDIUM PLATINO VW VENTO 2.0 EQUIV. BCPR7ES BKR7EIX BKUR7ET\par } </v>
      </c>
      <c r="AM261" t="str">
        <f t="shared" si="171"/>
        <v>-</v>
      </c>
    </row>
    <row r="262" spans="1:39" x14ac:dyDescent="0.25">
      <c r="A262" t="str">
        <f>"LSPR7B10"</f>
        <v>LSPR7B10</v>
      </c>
      <c r="B262" t="str">
        <f>"BUJIA LUCAS FIAT ARGO CRONOS TORO JEEP RENEGADE 1.8 FIAT UNO PALIO 1.4 FIRE EVO"</f>
        <v>BUJIA LUCAS FIAT ARGO CRONOS TORO JEEP RENEGADE 1.8 FIAT UNO PALIO 1.4 FIRE EVO</v>
      </c>
      <c r="C262" t="str">
        <f>"$ 6663,18"</f>
        <v>$ 6663,18</v>
      </c>
      <c r="D262" t="str">
        <f>"$ 6663,18"</f>
        <v>$ 6663,18</v>
      </c>
      <c r="E262" t="str">
        <f>"$ 6663,18"</f>
        <v>$ 6663,18</v>
      </c>
      <c r="F262" t="str">
        <f>"$ 2760,45"</f>
        <v>$ 2760,45</v>
      </c>
      <c r="G262" t="str">
        <f>"$ 2760,45"</f>
        <v>$ 2760,45</v>
      </c>
      <c r="H262" t="str">
        <f t="shared" si="180"/>
        <v>$ 0,00</v>
      </c>
      <c r="I262" t="str">
        <f>"BUJIAS DE ENCENDIDO COBRE"</f>
        <v>BUJIAS DE ENCENDIDO COBRE</v>
      </c>
      <c r="J262" t="str">
        <f t="shared" si="181"/>
        <v>1</v>
      </c>
      <c r="K262" t="str">
        <f t="shared" si="160"/>
        <v>0</v>
      </c>
      <c r="L262" t="str">
        <f>"168,000"</f>
        <v>168,000</v>
      </c>
      <c r="M262" t="str">
        <f t="shared" si="182"/>
        <v xml:space="preserve"> </v>
      </c>
      <c r="N262" t="str">
        <f>"LUCAS"</f>
        <v>LUCAS</v>
      </c>
      <c r="O262" t="str">
        <f t="shared" si="169"/>
        <v>BUJIAS</v>
      </c>
      <c r="P262" t="str">
        <f t="shared" si="172"/>
        <v>0</v>
      </c>
      <c r="Q262" t="str">
        <f t="shared" si="172"/>
        <v>0</v>
      </c>
      <c r="R262" t="str">
        <f t="shared" si="173"/>
        <v>0,00</v>
      </c>
      <c r="S262" t="str">
        <f t="shared" si="173"/>
        <v>0,00</v>
      </c>
      <c r="T262" t="str">
        <f t="shared" si="159"/>
        <v xml:space="preserve"> </v>
      </c>
      <c r="U262" t="str">
        <f t="shared" si="177"/>
        <v xml:space="preserve"> </v>
      </c>
      <c r="V262" t="str">
        <f>"168,000"</f>
        <v>168,000</v>
      </c>
      <c r="W262" t="str">
        <f t="shared" si="183"/>
        <v>Lista 4</v>
      </c>
      <c r="X262" t="str">
        <f t="shared" si="184"/>
        <v>Lista 5</v>
      </c>
      <c r="Y262" t="str">
        <f t="shared" si="185"/>
        <v>Oferta Gral.</v>
      </c>
      <c r="Z262" t="str">
        <f t="shared" si="186"/>
        <v>Rubro</v>
      </c>
      <c r="AA262" t="str">
        <f t="shared" si="187"/>
        <v>Cantidad por Bulto</v>
      </c>
      <c r="AB262" t="str">
        <f t="shared" si="188"/>
        <v>INNER</v>
      </c>
      <c r="AC262" t="str">
        <f t="shared" si="189"/>
        <v>Stock en Bultos</v>
      </c>
      <c r="AD262" t="str">
        <f t="shared" si="190"/>
        <v>SubDepósito</v>
      </c>
      <c r="AE262" t="str">
        <f t="shared" si="191"/>
        <v>Marca</v>
      </c>
      <c r="AF262" t="str">
        <f t="shared" si="192"/>
        <v>Super Rubro</v>
      </c>
      <c r="AG262" t="str">
        <f t="shared" si="193"/>
        <v>ComercioExterior</v>
      </c>
      <c r="AH262" t="str">
        <f t="shared" si="194"/>
        <v>PrecioFOB</v>
      </c>
      <c r="AI262" t="str">
        <f t="shared" si="195"/>
        <v>Monto II</v>
      </c>
      <c r="AJ262" t="str">
        <f t="shared" si="196"/>
        <v>Porcentaje II</v>
      </c>
      <c r="AK262" t="str">
        <f t="shared" si="197"/>
        <v>Foto</v>
      </c>
      <c r="AL262" t="str">
        <f>"{\rtf1\ansi\ansicpg1252\deff0\deflang11274{\fonttbl{\f0\fnil\fcharset0 MS Sans Serif}} \viewkind4\uc1\pard\f0\fs16 BUJIA LUCAS FIAT CRONOS ARGO MOTOR FIREFLY 1.3\par } "</f>
        <v xml:space="preserve">{\rtf1\ansi\ansicpg1252\deff0\deflang11274{\fonttbl{\f0\fnil\fcharset0 MS Sans Serif}} \viewkind4\uc1\pard\f0\fs16 BUJIA LUCAS FIAT CRONOS ARGO MOTOR FIREFLY 1.3\par } </v>
      </c>
      <c r="AM262" t="str">
        <f t="shared" ref="AM262:AM287" si="198">" "</f>
        <v xml:space="preserve"> </v>
      </c>
    </row>
    <row r="263" spans="1:39" x14ac:dyDescent="0.25">
      <c r="A263" t="str">
        <f>"LSPMAR8K-9S"</f>
        <v>LSPMAR8K-9S</v>
      </c>
      <c r="B263" t="str">
        <f>"BUJIA LUCAS FIAT CRONOS ARGO MOTOR FIREFLY 1.3"</f>
        <v>BUJIA LUCAS FIAT CRONOS ARGO MOTOR FIREFLY 1.3</v>
      </c>
      <c r="C263" t="str">
        <f>"$ 9763,83"</f>
        <v>$ 9763,83</v>
      </c>
      <c r="D263" t="str">
        <f>"$ 9763,83"</f>
        <v>$ 9763,83</v>
      </c>
      <c r="E263" t="str">
        <f>"$ 9763,83"</f>
        <v>$ 9763,83</v>
      </c>
      <c r="F263" t="str">
        <f>"$ 4045,01"</f>
        <v>$ 4045,01</v>
      </c>
      <c r="G263" t="str">
        <f>"$ 4045,01"</f>
        <v>$ 4045,01</v>
      </c>
      <c r="H263" t="str">
        <f t="shared" si="180"/>
        <v>$ 0,00</v>
      </c>
      <c r="I263" t="str">
        <f>"BUJIAS DE ENCENDIDO COBRE"</f>
        <v>BUJIAS DE ENCENDIDO COBRE</v>
      </c>
      <c r="J263" t="str">
        <f t="shared" si="181"/>
        <v>1</v>
      </c>
      <c r="K263" t="str">
        <f t="shared" si="160"/>
        <v>0</v>
      </c>
      <c r="L263" t="str">
        <f>"156,000"</f>
        <v>156,000</v>
      </c>
      <c r="M263" t="str">
        <f t="shared" si="182"/>
        <v xml:space="preserve"> </v>
      </c>
      <c r="N263" t="str">
        <f>"LUCAS"</f>
        <v>LUCAS</v>
      </c>
      <c r="O263" t="str">
        <f t="shared" si="169"/>
        <v>BUJIAS</v>
      </c>
      <c r="P263" t="str">
        <f t="shared" ref="P263:Q282" si="199">"0"</f>
        <v>0</v>
      </c>
      <c r="Q263" t="str">
        <f t="shared" si="199"/>
        <v>0</v>
      </c>
      <c r="R263" t="str">
        <f t="shared" ref="R263:S282" si="200">"0,00"</f>
        <v>0,00</v>
      </c>
      <c r="S263" t="str">
        <f t="shared" si="200"/>
        <v>0,00</v>
      </c>
      <c r="T263" t="str">
        <f t="shared" si="159"/>
        <v xml:space="preserve"> </v>
      </c>
      <c r="U263" t="str">
        <f t="shared" si="177"/>
        <v xml:space="preserve"> </v>
      </c>
      <c r="V263" t="str">
        <f>"156,000"</f>
        <v>156,000</v>
      </c>
      <c r="W263" t="str">
        <f t="shared" si="183"/>
        <v>Lista 4</v>
      </c>
      <c r="X263" t="str">
        <f t="shared" si="184"/>
        <v>Lista 5</v>
      </c>
      <c r="Y263" t="str">
        <f t="shared" si="185"/>
        <v>Oferta Gral.</v>
      </c>
      <c r="Z263" t="str">
        <f t="shared" si="186"/>
        <v>Rubro</v>
      </c>
      <c r="AA263" t="str">
        <f t="shared" si="187"/>
        <v>Cantidad por Bulto</v>
      </c>
      <c r="AB263" t="str">
        <f t="shared" si="188"/>
        <v>INNER</v>
      </c>
      <c r="AC263" t="str">
        <f t="shared" si="189"/>
        <v>Stock en Bultos</v>
      </c>
      <c r="AD263" t="str">
        <f t="shared" si="190"/>
        <v>SubDepósito</v>
      </c>
      <c r="AE263" t="str">
        <f t="shared" si="191"/>
        <v>Marca</v>
      </c>
      <c r="AF263" t="str">
        <f t="shared" si="192"/>
        <v>Super Rubro</v>
      </c>
      <c r="AG263" t="str">
        <f t="shared" si="193"/>
        <v>ComercioExterior</v>
      </c>
      <c r="AH263" t="str">
        <f t="shared" si="194"/>
        <v>PrecioFOB</v>
      </c>
      <c r="AI263" t="str">
        <f t="shared" si="195"/>
        <v>Monto II</v>
      </c>
      <c r="AJ263" t="str">
        <f t="shared" si="196"/>
        <v>Porcentaje II</v>
      </c>
      <c r="AK263" t="str">
        <f t="shared" si="197"/>
        <v>Foto</v>
      </c>
      <c r="AL263" t="str">
        <f>"{\rtf1\ansi\ansicpg1252\deff0\deflang11274{\fonttbl{\f0\fnil\fcharset0 MS Sans Serif}} \viewkind4\uc1\pard\f0\fs16 BUJIA LUCAS FIAT CRONOS ARGO MOTOR FIREFLY 1.3\par } "</f>
        <v xml:space="preserve">{\rtf1\ansi\ansicpg1252\deff0\deflang11274{\fonttbl{\f0\fnil\fcharset0 MS Sans Serif}} \viewkind4\uc1\pard\f0\fs16 BUJIA LUCAS FIAT CRONOS ARGO MOTOR FIREFLY 1.3\par } </v>
      </c>
      <c r="AM263" t="str">
        <f t="shared" si="198"/>
        <v xml:space="preserve"> </v>
      </c>
    </row>
    <row r="264" spans="1:39" x14ac:dyDescent="0.25">
      <c r="A264" t="str">
        <f>"LSPKUR5ETC-10"</f>
        <v>LSPKUR5ETC-10</v>
      </c>
      <c r="B264" t="str">
        <f>"BUJIA LUCAS VW GOL TREND FOX SURAN GOLF 1.6 BORA 2.0 3 ELECTRODOS"</f>
        <v>BUJIA LUCAS VW GOL TREND FOX SURAN GOLF 1.6 BORA 2.0 3 ELECTRODOS</v>
      </c>
      <c r="C264" t="str">
        <f>"$ 3650,45"</f>
        <v>$ 3650,45</v>
      </c>
      <c r="D264" t="str">
        <f>"$ 3650,45"</f>
        <v>$ 3650,45</v>
      </c>
      <c r="E264" t="str">
        <f>"$ 3650,45"</f>
        <v>$ 3650,45</v>
      </c>
      <c r="F264" t="str">
        <f>"$ 1512,32"</f>
        <v>$ 1512,32</v>
      </c>
      <c r="G264" t="str">
        <f>"$ 1512,32"</f>
        <v>$ 1512,32</v>
      </c>
      <c r="H264" t="str">
        <f t="shared" si="180"/>
        <v>$ 0,00</v>
      </c>
      <c r="I264" t="str">
        <f>"BUJIAS DE ENCENDIDO COBRE"</f>
        <v>BUJIAS DE ENCENDIDO COBRE</v>
      </c>
      <c r="J264" t="str">
        <f t="shared" si="181"/>
        <v>1</v>
      </c>
      <c r="K264" t="str">
        <f t="shared" si="160"/>
        <v>0</v>
      </c>
      <c r="L264" t="str">
        <f>"160,000"</f>
        <v>160,000</v>
      </c>
      <c r="M264" t="str">
        <f t="shared" si="182"/>
        <v xml:space="preserve"> </v>
      </c>
      <c r="N264" t="str">
        <f>"LUCAS"</f>
        <v>LUCAS</v>
      </c>
      <c r="O264" t="str">
        <f t="shared" ref="O264:O288" si="201">"BUJIAS"</f>
        <v>BUJIAS</v>
      </c>
      <c r="P264" t="str">
        <f t="shared" si="199"/>
        <v>0</v>
      </c>
      <c r="Q264" t="str">
        <f t="shared" si="199"/>
        <v>0</v>
      </c>
      <c r="R264" t="str">
        <f t="shared" si="200"/>
        <v>0,00</v>
      </c>
      <c r="S264" t="str">
        <f t="shared" si="200"/>
        <v>0,00</v>
      </c>
      <c r="T264" t="str">
        <f t="shared" si="159"/>
        <v xml:space="preserve"> </v>
      </c>
      <c r="U264" t="str">
        <f t="shared" si="177"/>
        <v xml:space="preserve"> </v>
      </c>
      <c r="V264" t="str">
        <f>"160,000"</f>
        <v>160,000</v>
      </c>
      <c r="W264" t="str">
        <f t="shared" si="183"/>
        <v>Lista 4</v>
      </c>
      <c r="X264" t="str">
        <f t="shared" si="184"/>
        <v>Lista 5</v>
      </c>
      <c r="Y264" t="str">
        <f t="shared" si="185"/>
        <v>Oferta Gral.</v>
      </c>
      <c r="Z264" t="str">
        <f t="shared" si="186"/>
        <v>Rubro</v>
      </c>
      <c r="AA264" t="str">
        <f t="shared" si="187"/>
        <v>Cantidad por Bulto</v>
      </c>
      <c r="AB264" t="str">
        <f t="shared" si="188"/>
        <v>INNER</v>
      </c>
      <c r="AC264" t="str">
        <f t="shared" si="189"/>
        <v>Stock en Bultos</v>
      </c>
      <c r="AD264" t="str">
        <f t="shared" si="190"/>
        <v>SubDepósito</v>
      </c>
      <c r="AE264" t="str">
        <f t="shared" si="191"/>
        <v>Marca</v>
      </c>
      <c r="AF264" t="str">
        <f t="shared" si="192"/>
        <v>Super Rubro</v>
      </c>
      <c r="AG264" t="str">
        <f t="shared" si="193"/>
        <v>ComercioExterior</v>
      </c>
      <c r="AH264" t="str">
        <f t="shared" si="194"/>
        <v>PrecioFOB</v>
      </c>
      <c r="AI264" t="str">
        <f t="shared" si="195"/>
        <v>Monto II</v>
      </c>
      <c r="AJ264" t="str">
        <f t="shared" si="196"/>
        <v>Porcentaje II</v>
      </c>
      <c r="AK264" t="str">
        <f t="shared" si="197"/>
        <v>Foto</v>
      </c>
      <c r="AL264" t="str">
        <f>"{\rtf1\ansi\ansicpg1252\deff0\deflang11274{\fonttbl{\f0\fnil\fcharset0 MS Sans Serif}} \viewkind4\uc1\pard\f0\fs16 BUJIA LUCAS VW GOL TREND FOX SURAN GOLF 1.6 BORA 2.0 3 ELECTRODOS\par } "</f>
        <v xml:space="preserve">{\rtf1\ansi\ansicpg1252\deff0\deflang11274{\fonttbl{\f0\fnil\fcharset0 MS Sans Serif}} \viewkind4\uc1\pard\f0\fs16 BUJIA LUCAS VW GOL TREND FOX SURAN GOLF 1.6 BORA 2.0 3 ELECTRODOS\par } </v>
      </c>
      <c r="AM264" t="str">
        <f t="shared" si="198"/>
        <v xml:space="preserve"> </v>
      </c>
    </row>
    <row r="265" spans="1:39" x14ac:dyDescent="0.25">
      <c r="A265" t="str">
        <f>"BPR6EY"</f>
        <v>BPR6EY</v>
      </c>
      <c r="B265" t="str">
        <f>"BUJIA NGK FIAT PEUGEOT RENAULT TUERCA 21MM"</f>
        <v>BUJIA NGK FIAT PEUGEOT RENAULT TUERCA 21MM</v>
      </c>
      <c r="C265" t="str">
        <f>"$ 4151,16"</f>
        <v>$ 4151,16</v>
      </c>
      <c r="D265" t="str">
        <f>"$ 4151,16"</f>
        <v>$ 4151,16</v>
      </c>
      <c r="E265" t="str">
        <f>"$ 4151,16"</f>
        <v>$ 4151,16</v>
      </c>
      <c r="F265" t="str">
        <f>"$ 1719,76"</f>
        <v>$ 1719,76</v>
      </c>
      <c r="G265" t="str">
        <f>"$ 1719,76"</f>
        <v>$ 1719,76</v>
      </c>
      <c r="H265" t="str">
        <f t="shared" si="180"/>
        <v>$ 0,00</v>
      </c>
      <c r="I265" t="str">
        <f>"BUJIAS DE ENCENDIDO COBRE"</f>
        <v>BUJIAS DE ENCENDIDO COBRE</v>
      </c>
      <c r="J265" t="str">
        <f t="shared" si="181"/>
        <v>1</v>
      </c>
      <c r="K265" t="str">
        <f t="shared" si="160"/>
        <v>0</v>
      </c>
      <c r="L265" t="str">
        <f>"16,000"</f>
        <v>16,000</v>
      </c>
      <c r="M265" t="str">
        <f t="shared" si="182"/>
        <v xml:space="preserve"> </v>
      </c>
      <c r="N265" t="str">
        <f>"NGK"</f>
        <v>NGK</v>
      </c>
      <c r="O265" t="str">
        <f t="shared" si="201"/>
        <v>BUJIAS</v>
      </c>
      <c r="P265" t="str">
        <f t="shared" si="199"/>
        <v>0</v>
      </c>
      <c r="Q265" t="str">
        <f t="shared" si="199"/>
        <v>0</v>
      </c>
      <c r="R265" t="str">
        <f t="shared" si="200"/>
        <v>0,00</v>
      </c>
      <c r="S265" t="str">
        <f t="shared" si="200"/>
        <v>0,00</v>
      </c>
      <c r="T265" t="str">
        <f t="shared" si="159"/>
        <v xml:space="preserve"> </v>
      </c>
      <c r="U265" t="str">
        <f t="shared" si="177"/>
        <v xml:space="preserve"> </v>
      </c>
      <c r="V265" t="str">
        <f>"16,000"</f>
        <v>16,000</v>
      </c>
      <c r="W265" t="str">
        <f t="shared" si="183"/>
        <v>Lista 4</v>
      </c>
      <c r="X265" t="str">
        <f t="shared" si="184"/>
        <v>Lista 5</v>
      </c>
      <c r="Y265" t="str">
        <f t="shared" si="185"/>
        <v>Oferta Gral.</v>
      </c>
      <c r="Z265" t="str">
        <f t="shared" si="186"/>
        <v>Rubro</v>
      </c>
      <c r="AA265" t="str">
        <f t="shared" si="187"/>
        <v>Cantidad por Bulto</v>
      </c>
      <c r="AB265" t="str">
        <f t="shared" si="188"/>
        <v>INNER</v>
      </c>
      <c r="AC265" t="str">
        <f t="shared" si="189"/>
        <v>Stock en Bultos</v>
      </c>
      <c r="AD265" t="str">
        <f t="shared" si="190"/>
        <v>SubDepósito</v>
      </c>
      <c r="AE265" t="str">
        <f t="shared" si="191"/>
        <v>Marca</v>
      </c>
      <c r="AF265" t="str">
        <f t="shared" si="192"/>
        <v>Super Rubro</v>
      </c>
      <c r="AG265" t="str">
        <f t="shared" si="193"/>
        <v>ComercioExterior</v>
      </c>
      <c r="AH265" t="str">
        <f t="shared" si="194"/>
        <v>PrecioFOB</v>
      </c>
      <c r="AI265" t="str">
        <f t="shared" si="195"/>
        <v>Monto II</v>
      </c>
      <c r="AJ265" t="str">
        <f t="shared" si="196"/>
        <v>Porcentaje II</v>
      </c>
      <c r="AK265" t="str">
        <f t="shared" si="197"/>
        <v>Foto</v>
      </c>
      <c r="AL265" t="str">
        <f>"{\rtf1\ansi\ansicpg1252\deff0\deflang11274{\fonttbl{\f0\fnil\fcharset0 MS Sans Serif}} \viewkind4\uc1\pard\f0\fs16 BUJIA NGK FIAT PEUGEOT RENAULT TUERCA 21MM\par } "</f>
        <v xml:space="preserve">{\rtf1\ansi\ansicpg1252\deff0\deflang11274{\fonttbl{\f0\fnil\fcharset0 MS Sans Serif}} \viewkind4\uc1\pard\f0\fs16 BUJIA NGK FIAT PEUGEOT RENAULT TUERCA 21MM\par } </v>
      </c>
      <c r="AM265" t="str">
        <f t="shared" si="198"/>
        <v xml:space="preserve"> </v>
      </c>
    </row>
    <row r="266" spans="1:39" x14ac:dyDescent="0.25">
      <c r="A266" t="str">
        <f>"BKR6E"</f>
        <v>BKR6E</v>
      </c>
      <c r="B266" t="str">
        <f>"BUJIA NGK VW GOL TREND FOX SURAN TUERCA 16MM"</f>
        <v>BUJIA NGK VW GOL TREND FOX SURAN TUERCA 16MM</v>
      </c>
      <c r="C266" t="str">
        <f>"$ 5081,48"</f>
        <v>$ 5081,48</v>
      </c>
      <c r="D266" t="str">
        <f>"$ 5081,48"</f>
        <v>$ 5081,48</v>
      </c>
      <c r="E266" t="str">
        <f>"$ 5081,48"</f>
        <v>$ 5081,48</v>
      </c>
      <c r="F266" t="str">
        <f>"$ 2105,18"</f>
        <v>$ 2105,18</v>
      </c>
      <c r="G266" t="str">
        <f>"$ 2105,18"</f>
        <v>$ 2105,18</v>
      </c>
      <c r="H266" t="str">
        <f t="shared" si="180"/>
        <v>$ 0,00</v>
      </c>
      <c r="I266" t="str">
        <f>"BUJIAS DE ENCENDIDO COBRE"</f>
        <v>BUJIAS DE ENCENDIDO COBRE</v>
      </c>
      <c r="J266" t="str">
        <f t="shared" si="181"/>
        <v>1</v>
      </c>
      <c r="K266" t="str">
        <f t="shared" si="160"/>
        <v>0</v>
      </c>
      <c r="L266" t="str">
        <f>"536,000"</f>
        <v>536,000</v>
      </c>
      <c r="M266" t="str">
        <f t="shared" si="182"/>
        <v xml:space="preserve"> </v>
      </c>
      <c r="N266" t="str">
        <f>"NGK"</f>
        <v>NGK</v>
      </c>
      <c r="O266" t="str">
        <f t="shared" si="201"/>
        <v>BUJIAS</v>
      </c>
      <c r="P266" t="str">
        <f t="shared" si="199"/>
        <v>0</v>
      </c>
      <c r="Q266" t="str">
        <f t="shared" si="199"/>
        <v>0</v>
      </c>
      <c r="R266" t="str">
        <f t="shared" si="200"/>
        <v>0,00</v>
      </c>
      <c r="S266" t="str">
        <f t="shared" si="200"/>
        <v>0,00</v>
      </c>
      <c r="T266" t="str">
        <f t="shared" si="159"/>
        <v xml:space="preserve"> </v>
      </c>
      <c r="U266" t="str">
        <f t="shared" si="177"/>
        <v xml:space="preserve"> </v>
      </c>
      <c r="V266" t="str">
        <f>"536,000"</f>
        <v>536,000</v>
      </c>
      <c r="W266" t="str">
        <f t="shared" si="183"/>
        <v>Lista 4</v>
      </c>
      <c r="X266" t="str">
        <f t="shared" si="184"/>
        <v>Lista 5</v>
      </c>
      <c r="Y266" t="str">
        <f t="shared" si="185"/>
        <v>Oferta Gral.</v>
      </c>
      <c r="Z266" t="str">
        <f t="shared" si="186"/>
        <v>Rubro</v>
      </c>
      <c r="AA266" t="str">
        <f t="shared" si="187"/>
        <v>Cantidad por Bulto</v>
      </c>
      <c r="AB266" t="str">
        <f t="shared" si="188"/>
        <v>INNER</v>
      </c>
      <c r="AC266" t="str">
        <f t="shared" si="189"/>
        <v>Stock en Bultos</v>
      </c>
      <c r="AD266" t="str">
        <f t="shared" si="190"/>
        <v>SubDepósito</v>
      </c>
      <c r="AE266" t="str">
        <f t="shared" si="191"/>
        <v>Marca</v>
      </c>
      <c r="AF266" t="str">
        <f t="shared" si="192"/>
        <v>Super Rubro</v>
      </c>
      <c r="AG266" t="str">
        <f t="shared" si="193"/>
        <v>ComercioExterior</v>
      </c>
      <c r="AH266" t="str">
        <f t="shared" si="194"/>
        <v>PrecioFOB</v>
      </c>
      <c r="AI266" t="str">
        <f t="shared" si="195"/>
        <v>Monto II</v>
      </c>
      <c r="AJ266" t="str">
        <f t="shared" si="196"/>
        <v>Porcentaje II</v>
      </c>
      <c r="AK266" t="str">
        <f t="shared" si="197"/>
        <v>Foto</v>
      </c>
      <c r="AL266" t="str">
        <f>"{\rtf1\ansi\ansicpg1252\deff0\deflang2058{\fonttbl{\f0\fnil\fcharset0 MS Sans Serif}} \viewkind4\uc1\pard\f0\fs16 BUJIA NGK VW GOL TREND FOX SURAN TUERCA 16MM\par } "</f>
        <v xml:space="preserve">{\rtf1\ansi\ansicpg1252\deff0\deflang2058{\fonttbl{\f0\fnil\fcharset0 MS Sans Serif}} \viewkind4\uc1\pard\f0\fs16 BUJIA NGK VW GOL TREND FOX SURAN TUERCA 16MM\par } </v>
      </c>
      <c r="AM266" t="str">
        <f t="shared" si="198"/>
        <v xml:space="preserve"> </v>
      </c>
    </row>
    <row r="267" spans="1:39" x14ac:dyDescent="0.25">
      <c r="A267" t="str">
        <f>"LEIGG008"</f>
        <v>LEIGG008</v>
      </c>
      <c r="B267" t="str">
        <f>"BUJIA PRECALENTAMIENTO CHEVROLET CORSA COMBO 1.7 DIESEL (0250202087)"</f>
        <v>BUJIA PRECALENTAMIENTO CHEVROLET CORSA COMBO 1.7 DIESEL (0250202087)</v>
      </c>
      <c r="C267" t="str">
        <f>"$ 11075,17"</f>
        <v>$ 11075,17</v>
      </c>
      <c r="D267" t="str">
        <f>"$ 11075,17"</f>
        <v>$ 11075,17</v>
      </c>
      <c r="E267" t="str">
        <f>"$ 11075,17"</f>
        <v>$ 11075,17</v>
      </c>
      <c r="F267" t="str">
        <f>"$ 4588,27"</f>
        <v>$ 4588,27</v>
      </c>
      <c r="G267" t="str">
        <f>"$ 4588,27"</f>
        <v>$ 4588,27</v>
      </c>
      <c r="H267" t="str">
        <f t="shared" si="180"/>
        <v>$ 0,00</v>
      </c>
      <c r="I267" t="str">
        <f t="shared" ref="I267:I284" si="202">"BUJIAS DE PRECALENTAMIENTO"</f>
        <v>BUJIAS DE PRECALENTAMIENTO</v>
      </c>
      <c r="J267" t="str">
        <f t="shared" si="181"/>
        <v>1</v>
      </c>
      <c r="K267" t="str">
        <f t="shared" si="160"/>
        <v>0</v>
      </c>
      <c r="L267" t="str">
        <f>"32,000"</f>
        <v>32,000</v>
      </c>
      <c r="M267" t="str">
        <f t="shared" si="182"/>
        <v xml:space="preserve"> </v>
      </c>
      <c r="N267" t="str">
        <f t="shared" ref="N267:N284" si="203">"LUCAS"</f>
        <v>LUCAS</v>
      </c>
      <c r="O267" t="str">
        <f t="shared" si="201"/>
        <v>BUJIAS</v>
      </c>
      <c r="P267" t="str">
        <f t="shared" si="199"/>
        <v>0</v>
      </c>
      <c r="Q267" t="str">
        <f t="shared" si="199"/>
        <v>0</v>
      </c>
      <c r="R267" t="str">
        <f t="shared" si="200"/>
        <v>0,00</v>
      </c>
      <c r="S267" t="str">
        <f t="shared" si="200"/>
        <v>0,00</v>
      </c>
      <c r="T267" t="str">
        <f t="shared" si="159"/>
        <v xml:space="preserve"> </v>
      </c>
      <c r="U267" t="str">
        <f>"-"</f>
        <v>-</v>
      </c>
      <c r="V267" t="str">
        <f>"32,000"</f>
        <v>32,000</v>
      </c>
      <c r="W267" t="str">
        <f t="shared" si="183"/>
        <v>Lista 4</v>
      </c>
      <c r="X267" t="str">
        <f t="shared" si="184"/>
        <v>Lista 5</v>
      </c>
      <c r="Y267" t="str">
        <f t="shared" si="185"/>
        <v>Oferta Gral.</v>
      </c>
      <c r="Z267" t="str">
        <f t="shared" si="186"/>
        <v>Rubro</v>
      </c>
      <c r="AA267" t="str">
        <f t="shared" si="187"/>
        <v>Cantidad por Bulto</v>
      </c>
      <c r="AB267" t="str">
        <f t="shared" si="188"/>
        <v>INNER</v>
      </c>
      <c r="AC267" t="str">
        <f t="shared" si="189"/>
        <v>Stock en Bultos</v>
      </c>
      <c r="AD267" t="str">
        <f t="shared" si="190"/>
        <v>SubDepósito</v>
      </c>
      <c r="AE267" t="str">
        <f t="shared" si="191"/>
        <v>Marca</v>
      </c>
      <c r="AF267" t="str">
        <f t="shared" si="192"/>
        <v>Super Rubro</v>
      </c>
      <c r="AG267" t="str">
        <f t="shared" si="193"/>
        <v>ComercioExterior</v>
      </c>
      <c r="AH267" t="str">
        <f t="shared" si="194"/>
        <v>PrecioFOB</v>
      </c>
      <c r="AI267" t="str">
        <f t="shared" si="195"/>
        <v>Monto II</v>
      </c>
      <c r="AJ267" t="str">
        <f t="shared" si="196"/>
        <v>Porcentaje II</v>
      </c>
      <c r="AK267" t="str">
        <f t="shared" si="197"/>
        <v>Foto</v>
      </c>
      <c r="AL267" t="str">
        <f>"{\rtf1\ansi\ansicpg1252\deff0\deflang11274{\fonttbl{\f0\fnil\fcharset0 MS Sans Serif}} \viewkind4\uc1\pard\f0\fs16 BUJIA PRECALENTAMIENTO CHEVROLET CORSA COMBO 1.7 DIESEL (0250202087)\par } "</f>
        <v xml:space="preserve">{\rtf1\ansi\ansicpg1252\deff0\deflang11274{\fonttbl{\f0\fnil\fcharset0 MS Sans Serif}} \viewkind4\uc1\pard\f0\fs16 BUJIA PRECALENTAMIENTO CHEVROLET CORSA COMBO 1.7 DIESEL (0250202087)\par } </v>
      </c>
      <c r="AM267" t="str">
        <f t="shared" si="198"/>
        <v xml:space="preserve"> </v>
      </c>
    </row>
    <row r="268" spans="1:39" x14ac:dyDescent="0.25">
      <c r="A268" t="str">
        <f>"LEIGG001"</f>
        <v>LEIGG001</v>
      </c>
      <c r="B268" t="str">
        <f>"BUJIA PRECALENTAMIENTO FIAT DUCATO 2.5 FORD FIESTA ESCORT 1.8D ENDURA "</f>
        <v xml:space="preserve">BUJIA PRECALENTAMIENTO FIAT DUCATO 2.5 FORD FIESTA ESCORT 1.8D ENDURA </v>
      </c>
      <c r="C268" t="str">
        <f>"$ 7283,56"</f>
        <v>$ 7283,56</v>
      </c>
      <c r="D268" t="str">
        <f>"$ 7283,56"</f>
        <v>$ 7283,56</v>
      </c>
      <c r="E268" t="str">
        <f>"$ 7283,56"</f>
        <v>$ 7283,56</v>
      </c>
      <c r="F268" t="str">
        <f>"$ 3017,47"</f>
        <v>$ 3017,47</v>
      </c>
      <c r="G268" t="str">
        <f>"$ 3017,47"</f>
        <v>$ 3017,47</v>
      </c>
      <c r="H268" t="str">
        <f t="shared" si="180"/>
        <v>$ 0,00</v>
      </c>
      <c r="I268" t="str">
        <f t="shared" si="202"/>
        <v>BUJIAS DE PRECALENTAMIENTO</v>
      </c>
      <c r="J268" t="str">
        <f t="shared" si="181"/>
        <v>1</v>
      </c>
      <c r="K268" t="str">
        <f t="shared" si="160"/>
        <v>0</v>
      </c>
      <c r="L268" t="str">
        <f>"40,000"</f>
        <v>40,000</v>
      </c>
      <c r="M268" t="str">
        <f t="shared" si="182"/>
        <v xml:space="preserve"> </v>
      </c>
      <c r="N268" t="str">
        <f t="shared" si="203"/>
        <v>LUCAS</v>
      </c>
      <c r="O268" t="str">
        <f t="shared" si="201"/>
        <v>BUJIAS</v>
      </c>
      <c r="P268" t="str">
        <f t="shared" si="199"/>
        <v>0</v>
      </c>
      <c r="Q268" t="str">
        <f t="shared" si="199"/>
        <v>0</v>
      </c>
      <c r="R268" t="str">
        <f t="shared" si="200"/>
        <v>0,00</v>
      </c>
      <c r="S268" t="str">
        <f t="shared" si="200"/>
        <v>0,00</v>
      </c>
      <c r="T268" t="str">
        <f t="shared" si="159"/>
        <v xml:space="preserve"> </v>
      </c>
      <c r="U268" t="str">
        <f>"-"</f>
        <v>-</v>
      </c>
      <c r="V268" t="str">
        <f>"40,000"</f>
        <v>40,000</v>
      </c>
      <c r="W268" t="str">
        <f t="shared" si="183"/>
        <v>Lista 4</v>
      </c>
      <c r="X268" t="str">
        <f t="shared" si="184"/>
        <v>Lista 5</v>
      </c>
      <c r="Y268" t="str">
        <f t="shared" si="185"/>
        <v>Oferta Gral.</v>
      </c>
      <c r="Z268" t="str">
        <f t="shared" si="186"/>
        <v>Rubro</v>
      </c>
      <c r="AA268" t="str">
        <f t="shared" si="187"/>
        <v>Cantidad por Bulto</v>
      </c>
      <c r="AB268" t="str">
        <f t="shared" si="188"/>
        <v>INNER</v>
      </c>
      <c r="AC268" t="str">
        <f t="shared" si="189"/>
        <v>Stock en Bultos</v>
      </c>
      <c r="AD268" t="str">
        <f t="shared" si="190"/>
        <v>SubDepósito</v>
      </c>
      <c r="AE268" t="str">
        <f t="shared" si="191"/>
        <v>Marca</v>
      </c>
      <c r="AF268" t="str">
        <f t="shared" si="192"/>
        <v>Super Rubro</v>
      </c>
      <c r="AG268" t="str">
        <f t="shared" si="193"/>
        <v>ComercioExterior</v>
      </c>
      <c r="AH268" t="str">
        <f t="shared" si="194"/>
        <v>PrecioFOB</v>
      </c>
      <c r="AI268" t="str">
        <f t="shared" si="195"/>
        <v>Monto II</v>
      </c>
      <c r="AJ268" t="str">
        <f t="shared" si="196"/>
        <v>Porcentaje II</v>
      </c>
      <c r="AK268" t="str">
        <f t="shared" si="197"/>
        <v>Foto</v>
      </c>
      <c r="AL268" t="str">
        <f>"{\rtf1\ansi\ansicpg1252\deff0\deflang11274{\fonttbl{\f0\fnil\fcharset0 MS Sans Serif}} \viewkind4\uc1\pard\f0\fs16 BUJIA PRECALENTAMIENTO FIAT DUCATO 2.5 FORD FIESTA ESCORT 1.8D ENDURA \par } "</f>
        <v xml:space="preserve">{\rtf1\ansi\ansicpg1252\deff0\deflang11274{\fonttbl{\f0\fnil\fcharset0 MS Sans Serif}} \viewkind4\uc1\pard\f0\fs16 BUJIA PRECALENTAMIENTO FIAT DUCATO 2.5 FORD FIESTA ESCORT 1.8D ENDURA \par } </v>
      </c>
      <c r="AM268" t="str">
        <f t="shared" si="198"/>
        <v xml:space="preserve"> </v>
      </c>
    </row>
    <row r="269" spans="1:39" x14ac:dyDescent="0.25">
      <c r="A269" t="str">
        <f>"LEIGG016"</f>
        <v>LEIGG016</v>
      </c>
      <c r="B269" t="str">
        <f>"BUJIA PRECALENTAMIENTO FIAT DUCATO BOXER JUMPER MASTER 2.8 (0250202002)"</f>
        <v>BUJIA PRECALENTAMIENTO FIAT DUCATO BOXER JUMPER MASTER 2.8 (0250202002)</v>
      </c>
      <c r="C269" t="str">
        <f>"$ 10811,42"</f>
        <v>$ 10811,42</v>
      </c>
      <c r="D269" t="str">
        <f>"$ 10811,42"</f>
        <v>$ 10811,42</v>
      </c>
      <c r="E269" t="str">
        <f>"$ 10811,42"</f>
        <v>$ 10811,42</v>
      </c>
      <c r="F269" t="str">
        <f>"$ 4479,00"</f>
        <v>$ 4479,00</v>
      </c>
      <c r="G269" t="str">
        <f>"$ 4479,00"</f>
        <v>$ 4479,00</v>
      </c>
      <c r="H269" t="str">
        <f t="shared" si="180"/>
        <v>$ 0,00</v>
      </c>
      <c r="I269" t="str">
        <f t="shared" si="202"/>
        <v>BUJIAS DE PRECALENTAMIENTO</v>
      </c>
      <c r="J269" t="str">
        <f t="shared" si="181"/>
        <v>1</v>
      </c>
      <c r="K269" t="str">
        <f t="shared" si="160"/>
        <v>0</v>
      </c>
      <c r="L269" t="str">
        <f>"20,000"</f>
        <v>20,000</v>
      </c>
      <c r="M269" t="str">
        <f t="shared" si="182"/>
        <v xml:space="preserve"> </v>
      </c>
      <c r="N269" t="str">
        <f t="shared" si="203"/>
        <v>LUCAS</v>
      </c>
      <c r="O269" t="str">
        <f t="shared" si="201"/>
        <v>BUJIAS</v>
      </c>
      <c r="P269" t="str">
        <f t="shared" si="199"/>
        <v>0</v>
      </c>
      <c r="Q269" t="str">
        <f t="shared" si="199"/>
        <v>0</v>
      </c>
      <c r="R269" t="str">
        <f t="shared" si="200"/>
        <v>0,00</v>
      </c>
      <c r="S269" t="str">
        <f t="shared" si="200"/>
        <v>0,00</v>
      </c>
      <c r="T269" t="str">
        <f t="shared" si="159"/>
        <v xml:space="preserve"> </v>
      </c>
      <c r="U269" t="str">
        <f>"-"</f>
        <v>-</v>
      </c>
      <c r="V269" t="str">
        <f>"20,000"</f>
        <v>20,000</v>
      </c>
      <c r="W269" t="str">
        <f t="shared" si="183"/>
        <v>Lista 4</v>
      </c>
      <c r="X269" t="str">
        <f t="shared" si="184"/>
        <v>Lista 5</v>
      </c>
      <c r="Y269" t="str">
        <f t="shared" si="185"/>
        <v>Oferta Gral.</v>
      </c>
      <c r="Z269" t="str">
        <f t="shared" si="186"/>
        <v>Rubro</v>
      </c>
      <c r="AA269" t="str">
        <f t="shared" si="187"/>
        <v>Cantidad por Bulto</v>
      </c>
      <c r="AB269" t="str">
        <f t="shared" si="188"/>
        <v>INNER</v>
      </c>
      <c r="AC269" t="str">
        <f t="shared" si="189"/>
        <v>Stock en Bultos</v>
      </c>
      <c r="AD269" t="str">
        <f t="shared" si="190"/>
        <v>SubDepósito</v>
      </c>
      <c r="AE269" t="str">
        <f t="shared" si="191"/>
        <v>Marca</v>
      </c>
      <c r="AF269" t="str">
        <f t="shared" si="192"/>
        <v>Super Rubro</v>
      </c>
      <c r="AG269" t="str">
        <f t="shared" si="193"/>
        <v>ComercioExterior</v>
      </c>
      <c r="AH269" t="str">
        <f t="shared" si="194"/>
        <v>PrecioFOB</v>
      </c>
      <c r="AI269" t="str">
        <f t="shared" si="195"/>
        <v>Monto II</v>
      </c>
      <c r="AJ269" t="str">
        <f t="shared" si="196"/>
        <v>Porcentaje II</v>
      </c>
      <c r="AK269" t="str">
        <f t="shared" si="197"/>
        <v>Foto</v>
      </c>
      <c r="AL269" t="str">
        <f>"{\rtf1\ansi\ansicpg1252\deff0\deflang11274{\fonttbl{\f0\fnil\fcharset0 MS Sans Serif}} \viewkind4\uc1\pard\f0\fs16 BUJIA PRECALENTAMIENTO FIAT DUCATO BOXER JUMPER MASTER 2.8 (0250202002)\par } "</f>
        <v xml:space="preserve">{\rtf1\ansi\ansicpg1252\deff0\deflang11274{\fonttbl{\f0\fnil\fcharset0 MS Sans Serif}} \viewkind4\uc1\pard\f0\fs16 BUJIA PRECALENTAMIENTO FIAT DUCATO BOXER JUMPER MASTER 2.8 (0250202002)\par } </v>
      </c>
      <c r="AM269" t="str">
        <f t="shared" si="198"/>
        <v xml:space="preserve"> </v>
      </c>
    </row>
    <row r="270" spans="1:39" x14ac:dyDescent="0.25">
      <c r="A270" t="str">
        <f>"LEIGG006"</f>
        <v>LEIGG006</v>
      </c>
      <c r="B270" t="str">
        <f>"BUJIA PRECALENTAMIENTO FIAT PALIO SIENA STRADA FIORINO 1.7 DIESEL "</f>
        <v xml:space="preserve">BUJIA PRECALENTAMIENTO FIAT PALIO SIENA STRADA FIORINO 1.7 DIESEL </v>
      </c>
      <c r="C270" t="str">
        <f>"$ 5646,55"</f>
        <v>$ 5646,55</v>
      </c>
      <c r="D270" t="str">
        <f>"$ 5646,55"</f>
        <v>$ 5646,55</v>
      </c>
      <c r="E270" t="str">
        <f>"$ 5646,55"</f>
        <v>$ 5646,55</v>
      </c>
      <c r="F270" t="str">
        <f>"$ 2339,28"</f>
        <v>$ 2339,28</v>
      </c>
      <c r="G270" t="str">
        <f>"$ 2339,28"</f>
        <v>$ 2339,28</v>
      </c>
      <c r="H270" t="str">
        <f t="shared" si="180"/>
        <v>$ 0,00</v>
      </c>
      <c r="I270" t="str">
        <f t="shared" si="202"/>
        <v>BUJIAS DE PRECALENTAMIENTO</v>
      </c>
      <c r="J270" t="str">
        <f t="shared" si="181"/>
        <v>1</v>
      </c>
      <c r="K270" t="str">
        <f t="shared" si="160"/>
        <v>0</v>
      </c>
      <c r="L270" t="str">
        <f>"100,000"</f>
        <v>100,000</v>
      </c>
      <c r="M270" t="str">
        <f t="shared" si="182"/>
        <v xml:space="preserve"> </v>
      </c>
      <c r="N270" t="str">
        <f t="shared" si="203"/>
        <v>LUCAS</v>
      </c>
      <c r="O270" t="str">
        <f t="shared" si="201"/>
        <v>BUJIAS</v>
      </c>
      <c r="P270" t="str">
        <f t="shared" si="199"/>
        <v>0</v>
      </c>
      <c r="Q270" t="str">
        <f t="shared" si="199"/>
        <v>0</v>
      </c>
      <c r="R270" t="str">
        <f t="shared" si="200"/>
        <v>0,00</v>
      </c>
      <c r="S270" t="str">
        <f t="shared" si="200"/>
        <v>0,00</v>
      </c>
      <c r="T270" t="str">
        <f t="shared" si="159"/>
        <v xml:space="preserve"> </v>
      </c>
      <c r="U270" t="str">
        <f>"-"</f>
        <v>-</v>
      </c>
      <c r="V270" t="str">
        <f>"100,000"</f>
        <v>100,000</v>
      </c>
      <c r="W270" t="str">
        <f t="shared" si="183"/>
        <v>Lista 4</v>
      </c>
      <c r="X270" t="str">
        <f t="shared" si="184"/>
        <v>Lista 5</v>
      </c>
      <c r="Y270" t="str">
        <f t="shared" si="185"/>
        <v>Oferta Gral.</v>
      </c>
      <c r="Z270" t="str">
        <f t="shared" si="186"/>
        <v>Rubro</v>
      </c>
      <c r="AA270" t="str">
        <f t="shared" si="187"/>
        <v>Cantidad por Bulto</v>
      </c>
      <c r="AB270" t="str">
        <f t="shared" si="188"/>
        <v>INNER</v>
      </c>
      <c r="AC270" t="str">
        <f t="shared" si="189"/>
        <v>Stock en Bultos</v>
      </c>
      <c r="AD270" t="str">
        <f t="shared" si="190"/>
        <v>SubDepósito</v>
      </c>
      <c r="AE270" t="str">
        <f t="shared" si="191"/>
        <v>Marca</v>
      </c>
      <c r="AF270" t="str">
        <f t="shared" si="192"/>
        <v>Super Rubro</v>
      </c>
      <c r="AG270" t="str">
        <f t="shared" si="193"/>
        <v>ComercioExterior</v>
      </c>
      <c r="AH270" t="str">
        <f t="shared" si="194"/>
        <v>PrecioFOB</v>
      </c>
      <c r="AI270" t="str">
        <f t="shared" si="195"/>
        <v>Monto II</v>
      </c>
      <c r="AJ270" t="str">
        <f t="shared" si="196"/>
        <v>Porcentaje II</v>
      </c>
      <c r="AK270" t="str">
        <f t="shared" si="197"/>
        <v>Foto</v>
      </c>
      <c r="AL270" t="str">
        <f>"{\rtf1\ansi\ansicpg1252\deff0\deflang11274{\fonttbl{\f0\fnil\fcharset0 MS Sans Serif}} \viewkind4\uc1\pard\f0\fs16 BUJIA PRECALENTAMIENTO FIAT PALIO SIENA STRADA FIORINO 1.7 DIESEL \par } "</f>
        <v xml:space="preserve">{\rtf1\ansi\ansicpg1252\deff0\deflang11274{\fonttbl{\f0\fnil\fcharset0 MS Sans Serif}} \viewkind4\uc1\pard\f0\fs16 BUJIA PRECALENTAMIENTO FIAT PALIO SIENA STRADA FIORINO 1.7 DIESEL \par } </v>
      </c>
      <c r="AM270" t="str">
        <f t="shared" si="198"/>
        <v xml:space="preserve"> </v>
      </c>
    </row>
    <row r="271" spans="1:39" x14ac:dyDescent="0.25">
      <c r="A271" t="str">
        <f>"LEIGG029"</f>
        <v>LEIGG029</v>
      </c>
      <c r="B271" t="str">
        <f>"BUJIA PRECALENTAMIENTO FIAT TORO JEEP RENEGADE 2.0 MULTIJET 0250403011"</f>
        <v>BUJIA PRECALENTAMIENTO FIAT TORO JEEP RENEGADE 2.0 MULTIJET 0250403011</v>
      </c>
      <c r="C271" t="str">
        <f>"$ 11601,44"</f>
        <v>$ 11601,44</v>
      </c>
      <c r="D271" t="str">
        <f>"$ 11601,44"</f>
        <v>$ 11601,44</v>
      </c>
      <c r="E271" t="str">
        <f>"$ 11601,44"</f>
        <v>$ 11601,44</v>
      </c>
      <c r="F271" t="str">
        <f>"$ 4806,30"</f>
        <v>$ 4806,30</v>
      </c>
      <c r="G271" t="str">
        <f>"$ 4806,30"</f>
        <v>$ 4806,30</v>
      </c>
      <c r="H271" t="str">
        <f t="shared" si="180"/>
        <v>$ 0,00</v>
      </c>
      <c r="I271" t="str">
        <f t="shared" si="202"/>
        <v>BUJIAS DE PRECALENTAMIENTO</v>
      </c>
      <c r="J271" t="str">
        <f t="shared" si="181"/>
        <v>1</v>
      </c>
      <c r="K271" t="str">
        <f t="shared" si="160"/>
        <v>0</v>
      </c>
      <c r="L271" t="str">
        <f>"20,000"</f>
        <v>20,000</v>
      </c>
      <c r="M271" t="str">
        <f t="shared" si="182"/>
        <v xml:space="preserve"> </v>
      </c>
      <c r="N271" t="str">
        <f t="shared" si="203"/>
        <v>LUCAS</v>
      </c>
      <c r="O271" t="str">
        <f t="shared" si="201"/>
        <v>BUJIAS</v>
      </c>
      <c r="P271" t="str">
        <f t="shared" si="199"/>
        <v>0</v>
      </c>
      <c r="Q271" t="str">
        <f t="shared" si="199"/>
        <v>0</v>
      </c>
      <c r="R271" t="str">
        <f t="shared" si="200"/>
        <v>0,00</v>
      </c>
      <c r="S271" t="str">
        <f t="shared" si="200"/>
        <v>0,00</v>
      </c>
      <c r="T271" t="str">
        <f t="shared" si="159"/>
        <v xml:space="preserve"> </v>
      </c>
      <c r="U271" t="str">
        <f>" "</f>
        <v xml:space="preserve"> </v>
      </c>
      <c r="V271" t="str">
        <f>"20,000"</f>
        <v>20,000</v>
      </c>
      <c r="W271" t="str">
        <f t="shared" si="183"/>
        <v>Lista 4</v>
      </c>
      <c r="X271" t="str">
        <f t="shared" si="184"/>
        <v>Lista 5</v>
      </c>
      <c r="Y271" t="str">
        <f t="shared" si="185"/>
        <v>Oferta Gral.</v>
      </c>
      <c r="Z271" t="str">
        <f t="shared" si="186"/>
        <v>Rubro</v>
      </c>
      <c r="AA271" t="str">
        <f t="shared" si="187"/>
        <v>Cantidad por Bulto</v>
      </c>
      <c r="AB271" t="str">
        <f t="shared" si="188"/>
        <v>INNER</v>
      </c>
      <c r="AC271" t="str">
        <f t="shared" si="189"/>
        <v>Stock en Bultos</v>
      </c>
      <c r="AD271" t="str">
        <f t="shared" si="190"/>
        <v>SubDepósito</v>
      </c>
      <c r="AE271" t="str">
        <f t="shared" si="191"/>
        <v>Marca</v>
      </c>
      <c r="AF271" t="str">
        <f t="shared" si="192"/>
        <v>Super Rubro</v>
      </c>
      <c r="AG271" t="str">
        <f t="shared" si="193"/>
        <v>ComercioExterior</v>
      </c>
      <c r="AH271" t="str">
        <f t="shared" si="194"/>
        <v>PrecioFOB</v>
      </c>
      <c r="AI271" t="str">
        <f t="shared" si="195"/>
        <v>Monto II</v>
      </c>
      <c r="AJ271" t="str">
        <f t="shared" si="196"/>
        <v>Porcentaje II</v>
      </c>
      <c r="AK271" t="str">
        <f t="shared" si="197"/>
        <v>Foto</v>
      </c>
      <c r="AL27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71" t="str">
        <f t="shared" si="198"/>
        <v xml:space="preserve"> </v>
      </c>
    </row>
    <row r="272" spans="1:39" x14ac:dyDescent="0.25">
      <c r="A272" t="str">
        <f>"LEIGG007"</f>
        <v>LEIGG007</v>
      </c>
      <c r="B272" t="str">
        <f>"BUJIA PRECALENTAMIENTO FORD ESCORT FIESTA MONDEO 1.8D (0250201049)"</f>
        <v>BUJIA PRECALENTAMIENTO FORD ESCORT FIESTA MONDEO 1.8D (0250201049)</v>
      </c>
      <c r="C272" t="str">
        <f>"$ 7283,56"</f>
        <v>$ 7283,56</v>
      </c>
      <c r="D272" t="str">
        <f>"$ 7283,56"</f>
        <v>$ 7283,56</v>
      </c>
      <c r="E272" t="str">
        <f>"$ 7283,56"</f>
        <v>$ 7283,56</v>
      </c>
      <c r="F272" t="str">
        <f>"$ 3017,47"</f>
        <v>$ 3017,47</v>
      </c>
      <c r="G272" t="str">
        <f>"$ 3017,47"</f>
        <v>$ 3017,47</v>
      </c>
      <c r="H272" t="str">
        <f t="shared" si="180"/>
        <v>$ 0,00</v>
      </c>
      <c r="I272" t="str">
        <f t="shared" si="202"/>
        <v>BUJIAS DE PRECALENTAMIENTO</v>
      </c>
      <c r="J272" t="str">
        <f t="shared" si="181"/>
        <v>1</v>
      </c>
      <c r="K272" t="str">
        <f t="shared" si="160"/>
        <v>0</v>
      </c>
      <c r="L272" t="str">
        <f>"28,000"</f>
        <v>28,000</v>
      </c>
      <c r="M272" t="str">
        <f t="shared" si="182"/>
        <v xml:space="preserve"> </v>
      </c>
      <c r="N272" t="str">
        <f t="shared" si="203"/>
        <v>LUCAS</v>
      </c>
      <c r="O272" t="str">
        <f t="shared" si="201"/>
        <v>BUJIAS</v>
      </c>
      <c r="P272" t="str">
        <f t="shared" si="199"/>
        <v>0</v>
      </c>
      <c r="Q272" t="str">
        <f t="shared" si="199"/>
        <v>0</v>
      </c>
      <c r="R272" t="str">
        <f t="shared" si="200"/>
        <v>0,00</v>
      </c>
      <c r="S272" t="str">
        <f t="shared" si="200"/>
        <v>0,00</v>
      </c>
      <c r="T272" t="str">
        <f t="shared" si="159"/>
        <v xml:space="preserve"> </v>
      </c>
      <c r="U272" t="str">
        <f t="shared" ref="U272:U284" si="204">"-"</f>
        <v>-</v>
      </c>
      <c r="V272" t="str">
        <f>"28,000"</f>
        <v>28,000</v>
      </c>
      <c r="W272" t="str">
        <f t="shared" si="183"/>
        <v>Lista 4</v>
      </c>
      <c r="X272" t="str">
        <f t="shared" si="184"/>
        <v>Lista 5</v>
      </c>
      <c r="Y272" t="str">
        <f t="shared" si="185"/>
        <v>Oferta Gral.</v>
      </c>
      <c r="Z272" t="str">
        <f t="shared" si="186"/>
        <v>Rubro</v>
      </c>
      <c r="AA272" t="str">
        <f t="shared" si="187"/>
        <v>Cantidad por Bulto</v>
      </c>
      <c r="AB272" t="str">
        <f t="shared" si="188"/>
        <v>INNER</v>
      </c>
      <c r="AC272" t="str">
        <f t="shared" si="189"/>
        <v>Stock en Bultos</v>
      </c>
      <c r="AD272" t="str">
        <f t="shared" si="190"/>
        <v>SubDepósito</v>
      </c>
      <c r="AE272" t="str">
        <f t="shared" si="191"/>
        <v>Marca</v>
      </c>
      <c r="AF272" t="str">
        <f t="shared" si="192"/>
        <v>Super Rubro</v>
      </c>
      <c r="AG272" t="str">
        <f t="shared" si="193"/>
        <v>ComercioExterior</v>
      </c>
      <c r="AH272" t="str">
        <f t="shared" si="194"/>
        <v>PrecioFOB</v>
      </c>
      <c r="AI272" t="str">
        <f t="shared" si="195"/>
        <v>Monto II</v>
      </c>
      <c r="AJ272" t="str">
        <f t="shared" si="196"/>
        <v>Porcentaje II</v>
      </c>
      <c r="AK272" t="str">
        <f t="shared" si="197"/>
        <v>Foto</v>
      </c>
      <c r="AL272" t="str">
        <f>"{\rtf1\ansi\ansicpg1252\deff0\deflang11274{\fonttbl{\f0\fnil\fcharset0 MS Sans Serif}} \viewkind4\uc1\pard\f0\fs16 BUJIA PRECALENTAMIENTO FORD ESCORT FIESTA MONDEO 1.8D (0250201049)\par } "</f>
        <v xml:space="preserve">{\rtf1\ansi\ansicpg1252\deff0\deflang11274{\fonttbl{\f0\fnil\fcharset0 MS Sans Serif}} \viewkind4\uc1\pard\f0\fs16 BUJIA PRECALENTAMIENTO FORD ESCORT FIESTA MONDEO 1.8D (0250201049)\par } </v>
      </c>
      <c r="AM272" t="str">
        <f t="shared" si="198"/>
        <v xml:space="preserve"> </v>
      </c>
    </row>
    <row r="273" spans="1:39" x14ac:dyDescent="0.25">
      <c r="A273" t="str">
        <f>"LEIGG028"</f>
        <v>LEIGG028</v>
      </c>
      <c r="B273" t="str">
        <f>"BUJIA PRECALENTAMIENTO FORD FIESTA 1.4 TDCI CITROEN C3 1.4 HDI (0250204001)"</f>
        <v>BUJIA PRECALENTAMIENTO FORD FIESTA 1.4 TDCI CITROEN C3 1.4 HDI (0250204001)</v>
      </c>
      <c r="C273" t="str">
        <f>"$ 11337,69"</f>
        <v>$ 11337,69</v>
      </c>
      <c r="D273" t="str">
        <f>"$ 11337,69"</f>
        <v>$ 11337,69</v>
      </c>
      <c r="E273" t="str">
        <f>"$ 11337,69"</f>
        <v>$ 11337,69</v>
      </c>
      <c r="F273" t="str">
        <f>"$ 4697,03"</f>
        <v>$ 4697,03</v>
      </c>
      <c r="G273" t="str">
        <f>"$ 4697,03"</f>
        <v>$ 4697,03</v>
      </c>
      <c r="H273" t="str">
        <f t="shared" si="180"/>
        <v>$ 0,00</v>
      </c>
      <c r="I273" t="str">
        <f t="shared" si="202"/>
        <v>BUJIAS DE PRECALENTAMIENTO</v>
      </c>
      <c r="J273" t="str">
        <f t="shared" si="181"/>
        <v>1</v>
      </c>
      <c r="K273" t="str">
        <f t="shared" si="160"/>
        <v>0</v>
      </c>
      <c r="L273" t="str">
        <f>"20,000"</f>
        <v>20,000</v>
      </c>
      <c r="M273" t="str">
        <f t="shared" si="182"/>
        <v xml:space="preserve"> </v>
      </c>
      <c r="N273" t="str">
        <f t="shared" si="203"/>
        <v>LUCAS</v>
      </c>
      <c r="O273" t="str">
        <f t="shared" si="201"/>
        <v>BUJIAS</v>
      </c>
      <c r="P273" t="str">
        <f t="shared" si="199"/>
        <v>0</v>
      </c>
      <c r="Q273" t="str">
        <f t="shared" si="199"/>
        <v>0</v>
      </c>
      <c r="R273" t="str">
        <f t="shared" si="200"/>
        <v>0,00</v>
      </c>
      <c r="S273" t="str">
        <f t="shared" si="200"/>
        <v>0,00</v>
      </c>
      <c r="T273" t="str">
        <f t="shared" ref="T273:T336" si="205">" "</f>
        <v xml:space="preserve"> </v>
      </c>
      <c r="U273" t="str">
        <f t="shared" si="204"/>
        <v>-</v>
      </c>
      <c r="V273" t="str">
        <f>"20,000"</f>
        <v>20,000</v>
      </c>
      <c r="W273" t="str">
        <f t="shared" si="183"/>
        <v>Lista 4</v>
      </c>
      <c r="X273" t="str">
        <f t="shared" si="184"/>
        <v>Lista 5</v>
      </c>
      <c r="Y273" t="str">
        <f t="shared" si="185"/>
        <v>Oferta Gral.</v>
      </c>
      <c r="Z273" t="str">
        <f t="shared" si="186"/>
        <v>Rubro</v>
      </c>
      <c r="AA273" t="str">
        <f t="shared" si="187"/>
        <v>Cantidad por Bulto</v>
      </c>
      <c r="AB273" t="str">
        <f t="shared" si="188"/>
        <v>INNER</v>
      </c>
      <c r="AC273" t="str">
        <f t="shared" si="189"/>
        <v>Stock en Bultos</v>
      </c>
      <c r="AD273" t="str">
        <f t="shared" si="190"/>
        <v>SubDepósito</v>
      </c>
      <c r="AE273" t="str">
        <f t="shared" si="191"/>
        <v>Marca</v>
      </c>
      <c r="AF273" t="str">
        <f t="shared" si="192"/>
        <v>Super Rubro</v>
      </c>
      <c r="AG273" t="str">
        <f t="shared" si="193"/>
        <v>ComercioExterior</v>
      </c>
      <c r="AH273" t="str">
        <f t="shared" si="194"/>
        <v>PrecioFOB</v>
      </c>
      <c r="AI273" t="str">
        <f t="shared" si="195"/>
        <v>Monto II</v>
      </c>
      <c r="AJ273" t="str">
        <f t="shared" si="196"/>
        <v>Porcentaje II</v>
      </c>
      <c r="AK273" t="str">
        <f t="shared" si="197"/>
        <v>Foto</v>
      </c>
      <c r="AL273" t="str">
        <f>"{\rtf1\ansi\ansicpg1252\deff0\deflang11274{\fonttbl{\f0\fnil\fcharset0 MS Sans Serif}} \viewkind4\uc1\pard\f0\fs16 BUJIA PRECALENTAMIENTO FORD FIESTA 1.4 TDCI CITROEN C3 1.4 HDI (0250204001)\par } "</f>
        <v xml:space="preserve">{\rtf1\ansi\ansicpg1252\deff0\deflang11274{\fonttbl{\f0\fnil\fcharset0 MS Sans Serif}} \viewkind4\uc1\pard\f0\fs16 BUJIA PRECALENTAMIENTO FORD FIESTA 1.4 TDCI CITROEN C3 1.4 HDI (0250204001)\par } </v>
      </c>
      <c r="AM273" t="str">
        <f t="shared" si="198"/>
        <v xml:space="preserve"> </v>
      </c>
    </row>
    <row r="274" spans="1:39" x14ac:dyDescent="0.25">
      <c r="A274" t="str">
        <f>"LEIGG031"</f>
        <v>LEIGG031</v>
      </c>
      <c r="B274" t="str">
        <f>"BUJIA PRECALENTAMIENTO FORD RANGER 2.2 3.2 PUMA TDCI (0250203018)"</f>
        <v>BUJIA PRECALENTAMIENTO FORD RANGER 2.2 3.2 PUMA TDCI (0250203018)</v>
      </c>
      <c r="C274" t="str">
        <f>"$ 12392,70"</f>
        <v>$ 12392,70</v>
      </c>
      <c r="D274" t="str">
        <f>"$ 12392,70"</f>
        <v>$ 12392,70</v>
      </c>
      <c r="E274" t="str">
        <f>"$ 12392,70"</f>
        <v>$ 12392,70</v>
      </c>
      <c r="F274" t="str">
        <f>"$ 5134,10"</f>
        <v>$ 5134,10</v>
      </c>
      <c r="G274" t="str">
        <f>"$ 5134,10"</f>
        <v>$ 5134,10</v>
      </c>
      <c r="H274" t="str">
        <f t="shared" si="180"/>
        <v>$ 0,00</v>
      </c>
      <c r="I274" t="str">
        <f t="shared" si="202"/>
        <v>BUJIAS DE PRECALENTAMIENTO</v>
      </c>
      <c r="J274" t="str">
        <f t="shared" si="181"/>
        <v>1</v>
      </c>
      <c r="K274" t="str">
        <f t="shared" si="160"/>
        <v>0</v>
      </c>
      <c r="L274" t="str">
        <f>"20,000"</f>
        <v>20,000</v>
      </c>
      <c r="M274" t="str">
        <f t="shared" si="182"/>
        <v xml:space="preserve"> </v>
      </c>
      <c r="N274" t="str">
        <f t="shared" si="203"/>
        <v>LUCAS</v>
      </c>
      <c r="O274" t="str">
        <f t="shared" si="201"/>
        <v>BUJIAS</v>
      </c>
      <c r="P274" t="str">
        <f t="shared" si="199"/>
        <v>0</v>
      </c>
      <c r="Q274" t="str">
        <f t="shared" si="199"/>
        <v>0</v>
      </c>
      <c r="R274" t="str">
        <f t="shared" si="200"/>
        <v>0,00</v>
      </c>
      <c r="S274" t="str">
        <f t="shared" si="200"/>
        <v>0,00</v>
      </c>
      <c r="T274" t="str">
        <f t="shared" si="205"/>
        <v xml:space="preserve"> </v>
      </c>
      <c r="U274" t="str">
        <f t="shared" si="204"/>
        <v>-</v>
      </c>
      <c r="V274" t="str">
        <f>"20,000"</f>
        <v>20,000</v>
      </c>
      <c r="W274" t="str">
        <f t="shared" si="183"/>
        <v>Lista 4</v>
      </c>
      <c r="X274" t="str">
        <f t="shared" si="184"/>
        <v>Lista 5</v>
      </c>
      <c r="Y274" t="str">
        <f t="shared" si="185"/>
        <v>Oferta Gral.</v>
      </c>
      <c r="Z274" t="str">
        <f t="shared" si="186"/>
        <v>Rubro</v>
      </c>
      <c r="AA274" t="str">
        <f t="shared" si="187"/>
        <v>Cantidad por Bulto</v>
      </c>
      <c r="AB274" t="str">
        <f t="shared" si="188"/>
        <v>INNER</v>
      </c>
      <c r="AC274" t="str">
        <f t="shared" si="189"/>
        <v>Stock en Bultos</v>
      </c>
      <c r="AD274" t="str">
        <f t="shared" si="190"/>
        <v>SubDepósito</v>
      </c>
      <c r="AE274" t="str">
        <f t="shared" si="191"/>
        <v>Marca</v>
      </c>
      <c r="AF274" t="str">
        <f t="shared" si="192"/>
        <v>Super Rubro</v>
      </c>
      <c r="AG274" t="str">
        <f t="shared" si="193"/>
        <v>ComercioExterior</v>
      </c>
      <c r="AH274" t="str">
        <f t="shared" si="194"/>
        <v>PrecioFOB</v>
      </c>
      <c r="AI274" t="str">
        <f t="shared" si="195"/>
        <v>Monto II</v>
      </c>
      <c r="AJ274" t="str">
        <f t="shared" si="196"/>
        <v>Porcentaje II</v>
      </c>
      <c r="AK274" t="str">
        <f t="shared" si="197"/>
        <v>Foto</v>
      </c>
      <c r="AL274" t="str">
        <f>"{\rtf1\ansi\ansicpg1252\deff0\deflang11274{\fonttbl{\f0\fnil\fcharset0 MS Sans Serif}} \viewkind4\uc1\pard\f0\fs16 BUJIA PRECALENTAMIENTO FORD RANGER 2.2 3.2 PUMA TDCI (0250203018)\par } "</f>
        <v xml:space="preserve">{\rtf1\ansi\ansicpg1252\deff0\deflang11274{\fonttbl{\f0\fnil\fcharset0 MS Sans Serif}} \viewkind4\uc1\pard\f0\fs16 BUJIA PRECALENTAMIENTO FORD RANGER 2.2 3.2 PUMA TDCI (0250203018)\par } </v>
      </c>
      <c r="AM274" t="str">
        <f t="shared" si="198"/>
        <v xml:space="preserve"> </v>
      </c>
    </row>
    <row r="275" spans="1:39" x14ac:dyDescent="0.25">
      <c r="A275" t="str">
        <f>"LEIGG027"</f>
        <v>LEIGG027</v>
      </c>
      <c r="B275" t="str">
        <f>"BUJIA PRECALENTAMIENTO PEUGEOT 307 CITROEN C4 2.0 HDI (0250202032)"</f>
        <v>BUJIA PRECALENTAMIENTO PEUGEOT 307 CITROEN C4 2.0 HDI (0250202032)</v>
      </c>
      <c r="C275" t="str">
        <f>"$ 12130,19"</f>
        <v>$ 12130,19</v>
      </c>
      <c r="D275" t="str">
        <f>"$ 12130,19"</f>
        <v>$ 12130,19</v>
      </c>
      <c r="E275" t="str">
        <f>"$ 12130,19"</f>
        <v>$ 12130,19</v>
      </c>
      <c r="F275" t="str">
        <f>"$ 5025,35"</f>
        <v>$ 5025,35</v>
      </c>
      <c r="G275" t="str">
        <f>"$ 5025,35"</f>
        <v>$ 5025,35</v>
      </c>
      <c r="H275" t="str">
        <f t="shared" si="180"/>
        <v>$ 0,00</v>
      </c>
      <c r="I275" t="str">
        <f t="shared" si="202"/>
        <v>BUJIAS DE PRECALENTAMIENTO</v>
      </c>
      <c r="J275" t="str">
        <f t="shared" si="181"/>
        <v>1</v>
      </c>
      <c r="K275" t="str">
        <f t="shared" si="160"/>
        <v>0</v>
      </c>
      <c r="L275" t="str">
        <f>"28,000"</f>
        <v>28,000</v>
      </c>
      <c r="M275" t="str">
        <f t="shared" si="182"/>
        <v xml:space="preserve"> </v>
      </c>
      <c r="N275" t="str">
        <f t="shared" si="203"/>
        <v>LUCAS</v>
      </c>
      <c r="O275" t="str">
        <f t="shared" si="201"/>
        <v>BUJIAS</v>
      </c>
      <c r="P275" t="str">
        <f t="shared" si="199"/>
        <v>0</v>
      </c>
      <c r="Q275" t="str">
        <f t="shared" si="199"/>
        <v>0</v>
      </c>
      <c r="R275" t="str">
        <f t="shared" si="200"/>
        <v>0,00</v>
      </c>
      <c r="S275" t="str">
        <f t="shared" si="200"/>
        <v>0,00</v>
      </c>
      <c r="T275" t="str">
        <f t="shared" si="205"/>
        <v xml:space="preserve"> </v>
      </c>
      <c r="U275" t="str">
        <f t="shared" si="204"/>
        <v>-</v>
      </c>
      <c r="V275" t="str">
        <f>"28,000"</f>
        <v>28,000</v>
      </c>
      <c r="W275" t="str">
        <f t="shared" si="183"/>
        <v>Lista 4</v>
      </c>
      <c r="X275" t="str">
        <f t="shared" si="184"/>
        <v>Lista 5</v>
      </c>
      <c r="Y275" t="str">
        <f t="shared" si="185"/>
        <v>Oferta Gral.</v>
      </c>
      <c r="Z275" t="str">
        <f t="shared" si="186"/>
        <v>Rubro</v>
      </c>
      <c r="AA275" t="str">
        <f t="shared" si="187"/>
        <v>Cantidad por Bulto</v>
      </c>
      <c r="AB275" t="str">
        <f t="shared" si="188"/>
        <v>INNER</v>
      </c>
      <c r="AC275" t="str">
        <f t="shared" si="189"/>
        <v>Stock en Bultos</v>
      </c>
      <c r="AD275" t="str">
        <f t="shared" si="190"/>
        <v>SubDepósito</v>
      </c>
      <c r="AE275" t="str">
        <f t="shared" si="191"/>
        <v>Marca</v>
      </c>
      <c r="AF275" t="str">
        <f t="shared" si="192"/>
        <v>Super Rubro</v>
      </c>
      <c r="AG275" t="str">
        <f t="shared" si="193"/>
        <v>ComercioExterior</v>
      </c>
      <c r="AH275" t="str">
        <f t="shared" si="194"/>
        <v>PrecioFOB</v>
      </c>
      <c r="AI275" t="str">
        <f t="shared" si="195"/>
        <v>Monto II</v>
      </c>
      <c r="AJ275" t="str">
        <f t="shared" si="196"/>
        <v>Porcentaje II</v>
      </c>
      <c r="AK275" t="str">
        <f t="shared" si="197"/>
        <v>Foto</v>
      </c>
      <c r="AL275" t="str">
        <f>"{\rtf1\ansi\ansicpg1252\deff0\deflang11274{\fonttbl{\f0\fnil\fcharset0 MS Sans Serif}} \viewkind4\uc1\pard\f0\fs16 BUJIA PRECALENTAMIENTO PEUGEOT 307 CITROEN C4 2.0 HDI (0250202032)\par } "</f>
        <v xml:space="preserve">{\rtf1\ansi\ansicpg1252\deff0\deflang11274{\fonttbl{\f0\fnil\fcharset0 MS Sans Serif}} \viewkind4\uc1\pard\f0\fs16 BUJIA PRECALENTAMIENTO PEUGEOT 307 CITROEN C4 2.0 HDI (0250202032)\par } </v>
      </c>
      <c r="AM275" t="str">
        <f t="shared" si="198"/>
        <v xml:space="preserve"> </v>
      </c>
    </row>
    <row r="276" spans="1:39" x14ac:dyDescent="0.25">
      <c r="A276" t="str">
        <f>"LEIGG002"</f>
        <v>LEIGG002</v>
      </c>
      <c r="B276" t="str">
        <f>"BUJIA PRECALENTAMIENTO PEUGEOT 405 PARTNER CITROEN XSARA BERLINGO 1.9 DW8"</f>
        <v>BUJIA PRECALENTAMIENTO PEUGEOT 405 PARTNER CITROEN XSARA BERLINGO 1.9 DW8</v>
      </c>
      <c r="C276" t="str">
        <f>"$ 10620,72"</f>
        <v>$ 10620,72</v>
      </c>
      <c r="D276" t="str">
        <f>"$ 10620,72"</f>
        <v>$ 10620,72</v>
      </c>
      <c r="E276" t="str">
        <f>"$ 10620,72"</f>
        <v>$ 10620,72</v>
      </c>
      <c r="F276" t="str">
        <f>"$ 4400,00"</f>
        <v>$ 4400,00</v>
      </c>
      <c r="G276" t="str">
        <f>"$ 4400,00"</f>
        <v>$ 4400,00</v>
      </c>
      <c r="H276" t="str">
        <f t="shared" si="180"/>
        <v>$ 0,00</v>
      </c>
      <c r="I276" t="str">
        <f t="shared" si="202"/>
        <v>BUJIAS DE PRECALENTAMIENTO</v>
      </c>
      <c r="J276" t="str">
        <f t="shared" si="181"/>
        <v>1</v>
      </c>
      <c r="K276" t="str">
        <f t="shared" si="160"/>
        <v>0</v>
      </c>
      <c r="L276" t="str">
        <f>"44,000"</f>
        <v>44,000</v>
      </c>
      <c r="M276" t="str">
        <f t="shared" si="182"/>
        <v xml:space="preserve"> </v>
      </c>
      <c r="N276" t="str">
        <f t="shared" si="203"/>
        <v>LUCAS</v>
      </c>
      <c r="O276" t="str">
        <f t="shared" si="201"/>
        <v>BUJIAS</v>
      </c>
      <c r="P276" t="str">
        <f t="shared" si="199"/>
        <v>0</v>
      </c>
      <c r="Q276" t="str">
        <f t="shared" si="199"/>
        <v>0</v>
      </c>
      <c r="R276" t="str">
        <f t="shared" si="200"/>
        <v>0,00</v>
      </c>
      <c r="S276" t="str">
        <f t="shared" si="200"/>
        <v>0,00</v>
      </c>
      <c r="T276" t="str">
        <f t="shared" si="205"/>
        <v xml:space="preserve"> </v>
      </c>
      <c r="U276" t="str">
        <f t="shared" si="204"/>
        <v>-</v>
      </c>
      <c r="V276" t="str">
        <f>"44,000"</f>
        <v>44,000</v>
      </c>
      <c r="W276" t="str">
        <f t="shared" si="183"/>
        <v>Lista 4</v>
      </c>
      <c r="X276" t="str">
        <f t="shared" si="184"/>
        <v>Lista 5</v>
      </c>
      <c r="Y276" t="str">
        <f t="shared" si="185"/>
        <v>Oferta Gral.</v>
      </c>
      <c r="Z276" t="str">
        <f t="shared" si="186"/>
        <v>Rubro</v>
      </c>
      <c r="AA276" t="str">
        <f t="shared" si="187"/>
        <v>Cantidad por Bulto</v>
      </c>
      <c r="AB276" t="str">
        <f t="shared" si="188"/>
        <v>INNER</v>
      </c>
      <c r="AC276" t="str">
        <f t="shared" si="189"/>
        <v>Stock en Bultos</v>
      </c>
      <c r="AD276" t="str">
        <f t="shared" si="190"/>
        <v>SubDepósito</v>
      </c>
      <c r="AE276" t="str">
        <f t="shared" si="191"/>
        <v>Marca</v>
      </c>
      <c r="AF276" t="str">
        <f t="shared" si="192"/>
        <v>Super Rubro</v>
      </c>
      <c r="AG276" t="str">
        <f t="shared" si="193"/>
        <v>ComercioExterior</v>
      </c>
      <c r="AH276" t="str">
        <f t="shared" si="194"/>
        <v>PrecioFOB</v>
      </c>
      <c r="AI276" t="str">
        <f t="shared" si="195"/>
        <v>Monto II</v>
      </c>
      <c r="AJ276" t="str">
        <f t="shared" si="196"/>
        <v>Porcentaje II</v>
      </c>
      <c r="AK276" t="str">
        <f t="shared" si="197"/>
        <v>Foto</v>
      </c>
      <c r="AL276" t="str">
        <f>"{\rtf1\ansi\ansicpg1252\deff0\deflang11274{\fonttbl{\f0\fnil\fcharset0 MS Sans Serif}} \viewkind4\uc1\pard\f0\fs16 BUJIA PRECALENTAMIENTO PEUGEOT 405 PARTNER CITROEN XSARA BERLINGO 1.9 DW8\par } "</f>
        <v xml:space="preserve">{\rtf1\ansi\ansicpg1252\deff0\deflang11274{\fonttbl{\f0\fnil\fcharset0 MS Sans Serif}} \viewkind4\uc1\pard\f0\fs16 BUJIA PRECALENTAMIENTO PEUGEOT 405 PARTNER CITROEN XSARA BERLINGO 1.9 DW8\par } </v>
      </c>
      <c r="AM276" t="str">
        <f t="shared" si="198"/>
        <v xml:space="preserve"> </v>
      </c>
    </row>
    <row r="277" spans="1:39" x14ac:dyDescent="0.25">
      <c r="A277" t="str">
        <f>"LEIGG005"</f>
        <v>LEIGG005</v>
      </c>
      <c r="B277" t="str">
        <f>"BUJIA PRECALENTAMIENTO RENAULT CLIO KANGOO TRAFIC 1.9D F8Q"</f>
        <v>BUJIA PRECALENTAMIENTO RENAULT CLIO KANGOO TRAFIC 1.9D F8Q</v>
      </c>
      <c r="C277" t="str">
        <f>"$ 9228,90"</f>
        <v>$ 9228,90</v>
      </c>
      <c r="D277" t="str">
        <f>"$ 9228,90"</f>
        <v>$ 9228,90</v>
      </c>
      <c r="E277" t="str">
        <f>"$ 9228,90"</f>
        <v>$ 9228,90</v>
      </c>
      <c r="F277" t="str">
        <f>"$ 3823,39"</f>
        <v>$ 3823,39</v>
      </c>
      <c r="G277" t="str">
        <f>"$ 3823,39"</f>
        <v>$ 3823,39</v>
      </c>
      <c r="H277" t="str">
        <f t="shared" si="180"/>
        <v>$ 0,00</v>
      </c>
      <c r="I277" t="str">
        <f t="shared" si="202"/>
        <v>BUJIAS DE PRECALENTAMIENTO</v>
      </c>
      <c r="J277" t="str">
        <f t="shared" si="181"/>
        <v>1</v>
      </c>
      <c r="K277" t="str">
        <f t="shared" si="160"/>
        <v>0</v>
      </c>
      <c r="L277" t="str">
        <f>"60,000"</f>
        <v>60,000</v>
      </c>
      <c r="M277" t="str">
        <f t="shared" si="182"/>
        <v xml:space="preserve"> </v>
      </c>
      <c r="N277" t="str">
        <f t="shared" si="203"/>
        <v>LUCAS</v>
      </c>
      <c r="O277" t="str">
        <f t="shared" si="201"/>
        <v>BUJIAS</v>
      </c>
      <c r="P277" t="str">
        <f t="shared" si="199"/>
        <v>0</v>
      </c>
      <c r="Q277" t="str">
        <f t="shared" si="199"/>
        <v>0</v>
      </c>
      <c r="R277" t="str">
        <f t="shared" si="200"/>
        <v>0,00</v>
      </c>
      <c r="S277" t="str">
        <f t="shared" si="200"/>
        <v>0,00</v>
      </c>
      <c r="T277" t="str">
        <f t="shared" si="205"/>
        <v xml:space="preserve"> </v>
      </c>
      <c r="U277" t="str">
        <f t="shared" si="204"/>
        <v>-</v>
      </c>
      <c r="V277" t="str">
        <f>"60,000"</f>
        <v>60,000</v>
      </c>
      <c r="W277" t="str">
        <f t="shared" si="183"/>
        <v>Lista 4</v>
      </c>
      <c r="X277" t="str">
        <f t="shared" si="184"/>
        <v>Lista 5</v>
      </c>
      <c r="Y277" t="str">
        <f t="shared" si="185"/>
        <v>Oferta Gral.</v>
      </c>
      <c r="Z277" t="str">
        <f t="shared" si="186"/>
        <v>Rubro</v>
      </c>
      <c r="AA277" t="str">
        <f t="shared" si="187"/>
        <v>Cantidad por Bulto</v>
      </c>
      <c r="AB277" t="str">
        <f t="shared" si="188"/>
        <v>INNER</v>
      </c>
      <c r="AC277" t="str">
        <f t="shared" si="189"/>
        <v>Stock en Bultos</v>
      </c>
      <c r="AD277" t="str">
        <f t="shared" si="190"/>
        <v>SubDepósito</v>
      </c>
      <c r="AE277" t="str">
        <f t="shared" si="191"/>
        <v>Marca</v>
      </c>
      <c r="AF277" t="str">
        <f t="shared" si="192"/>
        <v>Super Rubro</v>
      </c>
      <c r="AG277" t="str">
        <f t="shared" si="193"/>
        <v>ComercioExterior</v>
      </c>
      <c r="AH277" t="str">
        <f t="shared" si="194"/>
        <v>PrecioFOB</v>
      </c>
      <c r="AI277" t="str">
        <f t="shared" si="195"/>
        <v>Monto II</v>
      </c>
      <c r="AJ277" t="str">
        <f t="shared" si="196"/>
        <v>Porcentaje II</v>
      </c>
      <c r="AK277" t="str">
        <f t="shared" si="197"/>
        <v>Foto</v>
      </c>
      <c r="AL277" t="str">
        <f>"{\rtf1\ansi\ansicpg1252\deff0\deflang11274{\fonttbl{\f0\fnil\fcharset0 MS Sans Serif}} \viewkind4\uc1\pard\f0\fs16 BUJIA PRECALENTAMIENTO RENAULT CLIO KANGOO TRAFIC 1.9D F8Q\par } "</f>
        <v xml:space="preserve">{\rtf1\ansi\ansicpg1252\deff0\deflang11274{\fonttbl{\f0\fnil\fcharset0 MS Sans Serif}} \viewkind4\uc1\pard\f0\fs16 BUJIA PRECALENTAMIENTO RENAULT CLIO KANGOO TRAFIC 1.9D F8Q\par } </v>
      </c>
      <c r="AM277" t="str">
        <f t="shared" si="198"/>
        <v xml:space="preserve"> </v>
      </c>
    </row>
    <row r="278" spans="1:39" x14ac:dyDescent="0.25">
      <c r="A278" t="str">
        <f>"LEIGG011"</f>
        <v>LEIGG011</v>
      </c>
      <c r="B278" t="str">
        <f>"BUJIA PRECALENTAMIENTO RENAULT EXPRESS CLIO 1.9 F8Q (0250202024) "</f>
        <v xml:space="preserve">BUJIA PRECALENTAMIENTO RENAULT EXPRESS CLIO 1.9 F8Q (0250202024) </v>
      </c>
      <c r="C278" t="str">
        <f>"$ 7938,61"</f>
        <v>$ 7938,61</v>
      </c>
      <c r="D278" t="str">
        <f>"$ 7938,61"</f>
        <v>$ 7938,61</v>
      </c>
      <c r="E278" t="str">
        <f>"$ 7938,61"</f>
        <v>$ 7938,61</v>
      </c>
      <c r="F278" t="str">
        <f>"$ 3288,84"</f>
        <v>$ 3288,84</v>
      </c>
      <c r="G278" t="str">
        <f>"$ 3288,84"</f>
        <v>$ 3288,84</v>
      </c>
      <c r="H278" t="str">
        <f t="shared" si="180"/>
        <v>$ 0,00</v>
      </c>
      <c r="I278" t="str">
        <f t="shared" si="202"/>
        <v>BUJIAS DE PRECALENTAMIENTO</v>
      </c>
      <c r="J278" t="str">
        <f t="shared" si="181"/>
        <v>1</v>
      </c>
      <c r="K278" t="str">
        <f t="shared" si="160"/>
        <v>0</v>
      </c>
      <c r="L278" t="str">
        <f>"50,000"</f>
        <v>50,000</v>
      </c>
      <c r="M278" t="str">
        <f t="shared" si="182"/>
        <v xml:space="preserve"> </v>
      </c>
      <c r="N278" t="str">
        <f t="shared" si="203"/>
        <v>LUCAS</v>
      </c>
      <c r="O278" t="str">
        <f t="shared" si="201"/>
        <v>BUJIAS</v>
      </c>
      <c r="P278" t="str">
        <f t="shared" si="199"/>
        <v>0</v>
      </c>
      <c r="Q278" t="str">
        <f t="shared" si="199"/>
        <v>0</v>
      </c>
      <c r="R278" t="str">
        <f t="shared" si="200"/>
        <v>0,00</v>
      </c>
      <c r="S278" t="str">
        <f t="shared" si="200"/>
        <v>0,00</v>
      </c>
      <c r="T278" t="str">
        <f t="shared" si="205"/>
        <v xml:space="preserve"> </v>
      </c>
      <c r="U278" t="str">
        <f t="shared" si="204"/>
        <v>-</v>
      </c>
      <c r="V278" t="str">
        <f>"50,000"</f>
        <v>50,000</v>
      </c>
      <c r="W278" t="str">
        <f t="shared" si="183"/>
        <v>Lista 4</v>
      </c>
      <c r="X278" t="str">
        <f t="shared" si="184"/>
        <v>Lista 5</v>
      </c>
      <c r="Y278" t="str">
        <f t="shared" si="185"/>
        <v>Oferta Gral.</v>
      </c>
      <c r="Z278" t="str">
        <f t="shared" si="186"/>
        <v>Rubro</v>
      </c>
      <c r="AA278" t="str">
        <f t="shared" si="187"/>
        <v>Cantidad por Bulto</v>
      </c>
      <c r="AB278" t="str">
        <f t="shared" si="188"/>
        <v>INNER</v>
      </c>
      <c r="AC278" t="str">
        <f t="shared" si="189"/>
        <v>Stock en Bultos</v>
      </c>
      <c r="AD278" t="str">
        <f t="shared" si="190"/>
        <v>SubDepósito</v>
      </c>
      <c r="AE278" t="str">
        <f t="shared" si="191"/>
        <v>Marca</v>
      </c>
      <c r="AF278" t="str">
        <f t="shared" si="192"/>
        <v>Super Rubro</v>
      </c>
      <c r="AG278" t="str">
        <f t="shared" si="193"/>
        <v>ComercioExterior</v>
      </c>
      <c r="AH278" t="str">
        <f t="shared" si="194"/>
        <v>PrecioFOB</v>
      </c>
      <c r="AI278" t="str">
        <f t="shared" si="195"/>
        <v>Monto II</v>
      </c>
      <c r="AJ278" t="str">
        <f t="shared" si="196"/>
        <v>Porcentaje II</v>
      </c>
      <c r="AK278" t="str">
        <f t="shared" si="197"/>
        <v>Foto</v>
      </c>
      <c r="AL278" t="str">
        <f>"{\rtf1\ansi\ansicpg1252\deff0\deflang11274{\fonttbl{\f0\fnil\fcharset0 MS Sans Serif}} \viewkind4\uc1\pard\f0\fs16 BUJIA PRECALENTAMIENTO RENAULT EXPRESS CLIO 1.9 F8Q (0250202024) \par } "</f>
        <v xml:space="preserve">{\rtf1\ansi\ansicpg1252\deff0\deflang11274{\fonttbl{\f0\fnil\fcharset0 MS Sans Serif}} \viewkind4\uc1\pard\f0\fs16 BUJIA PRECALENTAMIENTO RENAULT EXPRESS CLIO 1.9 F8Q (0250202024) \par } </v>
      </c>
      <c r="AM278" t="str">
        <f t="shared" si="198"/>
        <v xml:space="preserve"> </v>
      </c>
    </row>
    <row r="279" spans="1:39" x14ac:dyDescent="0.25">
      <c r="A279" t="str">
        <f>"LEIGG009"</f>
        <v>LEIGG009</v>
      </c>
      <c r="B279" t="str">
        <f>"BUJIA PRECALENTAMIENTO RENAULT KANGOO 1.9D (0250202129)"</f>
        <v>BUJIA PRECALENTAMIENTO RENAULT KANGOO 1.9D (0250202129)</v>
      </c>
      <c r="C279" t="str">
        <f>"$ 10282,67"</f>
        <v>$ 10282,67</v>
      </c>
      <c r="D279" t="str">
        <f>"$ 10282,67"</f>
        <v>$ 10282,67</v>
      </c>
      <c r="E279" t="str">
        <f>"$ 10282,67"</f>
        <v>$ 10282,67</v>
      </c>
      <c r="F279" t="str">
        <f>"$ 4259,95"</f>
        <v>$ 4259,95</v>
      </c>
      <c r="G279" t="str">
        <f>"$ 4259,95"</f>
        <v>$ 4259,95</v>
      </c>
      <c r="H279" t="str">
        <f t="shared" si="180"/>
        <v>$ 0,00</v>
      </c>
      <c r="I279" t="str">
        <f t="shared" si="202"/>
        <v>BUJIAS DE PRECALENTAMIENTO</v>
      </c>
      <c r="J279" t="str">
        <f t="shared" si="181"/>
        <v>1</v>
      </c>
      <c r="K279" t="str">
        <f t="shared" ref="K279:K342" si="206">"0"</f>
        <v>0</v>
      </c>
      <c r="L279" t="str">
        <f>"48,000"</f>
        <v>48,000</v>
      </c>
      <c r="M279" t="str">
        <f t="shared" si="182"/>
        <v xml:space="preserve"> </v>
      </c>
      <c r="N279" t="str">
        <f t="shared" si="203"/>
        <v>LUCAS</v>
      </c>
      <c r="O279" t="str">
        <f t="shared" si="201"/>
        <v>BUJIAS</v>
      </c>
      <c r="P279" t="str">
        <f t="shared" si="199"/>
        <v>0</v>
      </c>
      <c r="Q279" t="str">
        <f t="shared" si="199"/>
        <v>0</v>
      </c>
      <c r="R279" t="str">
        <f t="shared" si="200"/>
        <v>0,00</v>
      </c>
      <c r="S279" t="str">
        <f t="shared" si="200"/>
        <v>0,00</v>
      </c>
      <c r="T279" t="str">
        <f t="shared" si="205"/>
        <v xml:space="preserve"> </v>
      </c>
      <c r="U279" t="str">
        <f t="shared" si="204"/>
        <v>-</v>
      </c>
      <c r="V279" t="str">
        <f>"48,000"</f>
        <v>48,000</v>
      </c>
      <c r="W279" t="str">
        <f t="shared" si="183"/>
        <v>Lista 4</v>
      </c>
      <c r="X279" t="str">
        <f t="shared" si="184"/>
        <v>Lista 5</v>
      </c>
      <c r="Y279" t="str">
        <f t="shared" si="185"/>
        <v>Oferta Gral.</v>
      </c>
      <c r="Z279" t="str">
        <f t="shared" si="186"/>
        <v>Rubro</v>
      </c>
      <c r="AA279" t="str">
        <f t="shared" si="187"/>
        <v>Cantidad por Bulto</v>
      </c>
      <c r="AB279" t="str">
        <f t="shared" si="188"/>
        <v>INNER</v>
      </c>
      <c r="AC279" t="str">
        <f t="shared" si="189"/>
        <v>Stock en Bultos</v>
      </c>
      <c r="AD279" t="str">
        <f t="shared" si="190"/>
        <v>SubDepósito</v>
      </c>
      <c r="AE279" t="str">
        <f t="shared" si="191"/>
        <v>Marca</v>
      </c>
      <c r="AF279" t="str">
        <f t="shared" si="192"/>
        <v>Super Rubro</v>
      </c>
      <c r="AG279" t="str">
        <f t="shared" si="193"/>
        <v>ComercioExterior</v>
      </c>
      <c r="AH279" t="str">
        <f t="shared" si="194"/>
        <v>PrecioFOB</v>
      </c>
      <c r="AI279" t="str">
        <f t="shared" si="195"/>
        <v>Monto II</v>
      </c>
      <c r="AJ279" t="str">
        <f t="shared" si="196"/>
        <v>Porcentaje II</v>
      </c>
      <c r="AK279" t="str">
        <f t="shared" si="197"/>
        <v>Foto</v>
      </c>
      <c r="AL279" t="str">
        <f>"{\rtf1\ansi\ansicpg1252\deff0\deflang11274{\fonttbl{\f0\fnil\fcharset0 MS Sans Serif}} \viewkind4\uc1\pard\f0\fs16 BUJIA PRECALENTAMIENTO RENAULT KANGOO 1.9D (0250202129)\par } "</f>
        <v xml:space="preserve">{\rtf1\ansi\ansicpg1252\deff0\deflang11274{\fonttbl{\f0\fnil\fcharset0 MS Sans Serif}} \viewkind4\uc1\pard\f0\fs16 BUJIA PRECALENTAMIENTO RENAULT KANGOO 1.9D (0250202129)\par } </v>
      </c>
      <c r="AM279" t="str">
        <f t="shared" si="198"/>
        <v xml:space="preserve"> </v>
      </c>
    </row>
    <row r="280" spans="1:39" x14ac:dyDescent="0.25">
      <c r="A280" t="str">
        <f>"LEIGG003"</f>
        <v>LEIGG003</v>
      </c>
      <c r="B280" t="str">
        <f>"BUJIA PRECALENTAMIENTO RENAULT LOGAN CLIO KANGOO 1.5 DCI K9K"</f>
        <v>BUJIA PRECALENTAMIENTO RENAULT LOGAN CLIO KANGOO 1.5 DCI K9K</v>
      </c>
      <c r="C280" t="str">
        <f>"$ 10811,42"</f>
        <v>$ 10811,42</v>
      </c>
      <c r="D280" t="str">
        <f>"$ 10811,42"</f>
        <v>$ 10811,42</v>
      </c>
      <c r="E280" t="str">
        <f>"$ 10811,42"</f>
        <v>$ 10811,42</v>
      </c>
      <c r="F280" t="str">
        <f>"$ 4479,00"</f>
        <v>$ 4479,00</v>
      </c>
      <c r="G280" t="str">
        <f>"$ 4479,00"</f>
        <v>$ 4479,00</v>
      </c>
      <c r="H280" t="str">
        <f t="shared" si="180"/>
        <v>$ 0,00</v>
      </c>
      <c r="I280" t="str">
        <f t="shared" si="202"/>
        <v>BUJIAS DE PRECALENTAMIENTO</v>
      </c>
      <c r="J280" t="str">
        <f t="shared" si="181"/>
        <v>1</v>
      </c>
      <c r="K280" t="str">
        <f t="shared" si="206"/>
        <v>0</v>
      </c>
      <c r="L280" t="str">
        <f>"36,000"</f>
        <v>36,000</v>
      </c>
      <c r="M280" t="str">
        <f t="shared" si="182"/>
        <v xml:space="preserve"> </v>
      </c>
      <c r="N280" t="str">
        <f t="shared" si="203"/>
        <v>LUCAS</v>
      </c>
      <c r="O280" t="str">
        <f t="shared" si="201"/>
        <v>BUJIAS</v>
      </c>
      <c r="P280" t="str">
        <f t="shared" si="199"/>
        <v>0</v>
      </c>
      <c r="Q280" t="str">
        <f t="shared" si="199"/>
        <v>0</v>
      </c>
      <c r="R280" t="str">
        <f t="shared" si="200"/>
        <v>0,00</v>
      </c>
      <c r="S280" t="str">
        <f t="shared" si="200"/>
        <v>0,00</v>
      </c>
      <c r="T280" t="str">
        <f t="shared" si="205"/>
        <v xml:space="preserve"> </v>
      </c>
      <c r="U280" t="str">
        <f t="shared" si="204"/>
        <v>-</v>
      </c>
      <c r="V280" t="str">
        <f>"36,000"</f>
        <v>36,000</v>
      </c>
      <c r="W280" t="str">
        <f t="shared" si="183"/>
        <v>Lista 4</v>
      </c>
      <c r="X280" t="str">
        <f t="shared" si="184"/>
        <v>Lista 5</v>
      </c>
      <c r="Y280" t="str">
        <f t="shared" si="185"/>
        <v>Oferta Gral.</v>
      </c>
      <c r="Z280" t="str">
        <f t="shared" si="186"/>
        <v>Rubro</v>
      </c>
      <c r="AA280" t="str">
        <f t="shared" si="187"/>
        <v>Cantidad por Bulto</v>
      </c>
      <c r="AB280" t="str">
        <f t="shared" si="188"/>
        <v>INNER</v>
      </c>
      <c r="AC280" t="str">
        <f t="shared" si="189"/>
        <v>Stock en Bultos</v>
      </c>
      <c r="AD280" t="str">
        <f t="shared" si="190"/>
        <v>SubDepósito</v>
      </c>
      <c r="AE280" t="str">
        <f t="shared" si="191"/>
        <v>Marca</v>
      </c>
      <c r="AF280" t="str">
        <f t="shared" si="192"/>
        <v>Super Rubro</v>
      </c>
      <c r="AG280" t="str">
        <f t="shared" si="193"/>
        <v>ComercioExterior</v>
      </c>
      <c r="AH280" t="str">
        <f t="shared" si="194"/>
        <v>PrecioFOB</v>
      </c>
      <c r="AI280" t="str">
        <f t="shared" si="195"/>
        <v>Monto II</v>
      </c>
      <c r="AJ280" t="str">
        <f t="shared" si="196"/>
        <v>Porcentaje II</v>
      </c>
      <c r="AK280" t="str">
        <f t="shared" si="197"/>
        <v>Foto</v>
      </c>
      <c r="AL280" t="str">
        <f>"{\rtf1\ansi\ansicpg1252\deff0\deflang11274{\fonttbl{\f0\fnil\fcharset0 MS Sans Serif}} \viewkind4\uc1\pard\f0\fs16 BUJIA PRECALENTAMIENTO RENAULT LOGAN CLIO KANGOO 1.5 DCI K9K\par } "</f>
        <v xml:space="preserve">{\rtf1\ansi\ansicpg1252\deff0\deflang11274{\fonttbl{\f0\fnil\fcharset0 MS Sans Serif}} \viewkind4\uc1\pard\f0\fs16 BUJIA PRECALENTAMIENTO RENAULT LOGAN CLIO KANGOO 1.5 DCI K9K\par } </v>
      </c>
      <c r="AM280" t="str">
        <f t="shared" si="198"/>
        <v xml:space="preserve"> </v>
      </c>
    </row>
    <row r="281" spans="1:39" x14ac:dyDescent="0.25">
      <c r="A281" t="str">
        <f>"LEIGG032"</f>
        <v>LEIGG032</v>
      </c>
      <c r="B281" t="str">
        <f>"BUJIA PRECALENTAMIENTO RENAULT MASTER 2.3 DCI "</f>
        <v xml:space="preserve">BUJIA PRECALENTAMIENTO RENAULT MASTER 2.3 DCI </v>
      </c>
      <c r="C281" t="str">
        <f>"$ 17666,53"</f>
        <v>$ 17666,53</v>
      </c>
      <c r="D281" t="str">
        <f>"$ 17666,53"</f>
        <v>$ 17666,53</v>
      </c>
      <c r="E281" t="str">
        <f>"$ 17666,53"</f>
        <v>$ 17666,53</v>
      </c>
      <c r="F281" t="str">
        <f>"$ 7318,97"</f>
        <v>$ 7318,97</v>
      </c>
      <c r="G281" t="str">
        <f>"$ 7318,97"</f>
        <v>$ 7318,97</v>
      </c>
      <c r="H281" t="str">
        <f t="shared" si="180"/>
        <v>$ 0,00</v>
      </c>
      <c r="I281" t="str">
        <f t="shared" si="202"/>
        <v>BUJIAS DE PRECALENTAMIENTO</v>
      </c>
      <c r="J281" t="str">
        <f t="shared" si="181"/>
        <v>1</v>
      </c>
      <c r="K281" t="str">
        <f t="shared" si="206"/>
        <v>0</v>
      </c>
      <c r="L281" t="str">
        <f>"20,000"</f>
        <v>20,000</v>
      </c>
      <c r="M281" t="str">
        <f t="shared" si="182"/>
        <v xml:space="preserve"> </v>
      </c>
      <c r="N281" t="str">
        <f t="shared" si="203"/>
        <v>LUCAS</v>
      </c>
      <c r="O281" t="str">
        <f t="shared" si="201"/>
        <v>BUJIAS</v>
      </c>
      <c r="P281" t="str">
        <f t="shared" si="199"/>
        <v>0</v>
      </c>
      <c r="Q281" t="str">
        <f t="shared" si="199"/>
        <v>0</v>
      </c>
      <c r="R281" t="str">
        <f t="shared" si="200"/>
        <v>0,00</v>
      </c>
      <c r="S281" t="str">
        <f t="shared" si="200"/>
        <v>0,00</v>
      </c>
      <c r="T281" t="str">
        <f t="shared" si="205"/>
        <v xml:space="preserve"> </v>
      </c>
      <c r="U281" t="str">
        <f t="shared" si="204"/>
        <v>-</v>
      </c>
      <c r="V281" t="str">
        <f>"20,000"</f>
        <v>20,000</v>
      </c>
      <c r="W281" t="str">
        <f t="shared" si="183"/>
        <v>Lista 4</v>
      </c>
      <c r="X281" t="str">
        <f t="shared" si="184"/>
        <v>Lista 5</v>
      </c>
      <c r="Y281" t="str">
        <f t="shared" si="185"/>
        <v>Oferta Gral.</v>
      </c>
      <c r="Z281" t="str">
        <f t="shared" si="186"/>
        <v>Rubro</v>
      </c>
      <c r="AA281" t="str">
        <f t="shared" si="187"/>
        <v>Cantidad por Bulto</v>
      </c>
      <c r="AB281" t="str">
        <f t="shared" si="188"/>
        <v>INNER</v>
      </c>
      <c r="AC281" t="str">
        <f t="shared" si="189"/>
        <v>Stock en Bultos</v>
      </c>
      <c r="AD281" t="str">
        <f t="shared" si="190"/>
        <v>SubDepósito</v>
      </c>
      <c r="AE281" t="str">
        <f t="shared" si="191"/>
        <v>Marca</v>
      </c>
      <c r="AF281" t="str">
        <f t="shared" si="192"/>
        <v>Super Rubro</v>
      </c>
      <c r="AG281" t="str">
        <f t="shared" si="193"/>
        <v>ComercioExterior</v>
      </c>
      <c r="AH281" t="str">
        <f t="shared" si="194"/>
        <v>PrecioFOB</v>
      </c>
      <c r="AI281" t="str">
        <f t="shared" si="195"/>
        <v>Monto II</v>
      </c>
      <c r="AJ281" t="str">
        <f t="shared" si="196"/>
        <v>Porcentaje II</v>
      </c>
      <c r="AK281" t="str">
        <f t="shared" si="197"/>
        <v>Foto</v>
      </c>
      <c r="AL281" t="str">
        <f>"{\rtf1\ansi\ansicpg1252\deff0\deflang11274{\fonttbl{\f0\fnil\fcharset0 MS Sans Serif}} \viewkind4\uc1\pard\f0\fs16 BUJIA PRECALENTAMIENTO RENAULT MASTER 2.3 DCI \par } "</f>
        <v xml:space="preserve">{\rtf1\ansi\ansicpg1252\deff0\deflang11274{\fonttbl{\f0\fnil\fcharset0 MS Sans Serif}} \viewkind4\uc1\pard\f0\fs16 BUJIA PRECALENTAMIENTO RENAULT MASTER 2.3 DCI \par } </v>
      </c>
      <c r="AM281" t="str">
        <f t="shared" si="198"/>
        <v xml:space="preserve"> </v>
      </c>
    </row>
    <row r="282" spans="1:39" x14ac:dyDescent="0.25">
      <c r="A282" t="str">
        <f>"LEIGG030"</f>
        <v>LEIGG030</v>
      </c>
      <c r="B282" t="str">
        <f>"BUJIA PRECALENTAMIENTO RENAULT MEGANE 1.9 DCI KANGOO 1.5 DCI 7701069730"</f>
        <v>BUJIA PRECALENTAMIENTO RENAULT MEGANE 1.9 DCI KANGOO 1.5 DCI 7701069730</v>
      </c>
      <c r="C282" t="str">
        <f>"$ 10282,67"</f>
        <v>$ 10282,67</v>
      </c>
      <c r="D282" t="str">
        <f>"$ 10282,67"</f>
        <v>$ 10282,67</v>
      </c>
      <c r="E282" t="str">
        <f>"$ 10282,67"</f>
        <v>$ 10282,67</v>
      </c>
      <c r="F282" t="str">
        <f>"$ 4259,95"</f>
        <v>$ 4259,95</v>
      </c>
      <c r="G282" t="str">
        <f>"$ 4259,95"</f>
        <v>$ 4259,95</v>
      </c>
      <c r="H282" t="str">
        <f t="shared" si="180"/>
        <v>$ 0,00</v>
      </c>
      <c r="I282" t="str">
        <f t="shared" si="202"/>
        <v>BUJIAS DE PRECALENTAMIENTO</v>
      </c>
      <c r="J282" t="str">
        <f t="shared" si="181"/>
        <v>1</v>
      </c>
      <c r="K282" t="str">
        <f t="shared" si="206"/>
        <v>0</v>
      </c>
      <c r="L282" t="str">
        <f>"32,000"</f>
        <v>32,000</v>
      </c>
      <c r="M282" t="str">
        <f t="shared" si="182"/>
        <v xml:space="preserve"> </v>
      </c>
      <c r="N282" t="str">
        <f t="shared" si="203"/>
        <v>LUCAS</v>
      </c>
      <c r="O282" t="str">
        <f t="shared" si="201"/>
        <v>BUJIAS</v>
      </c>
      <c r="P282" t="str">
        <f t="shared" si="199"/>
        <v>0</v>
      </c>
      <c r="Q282" t="str">
        <f t="shared" si="199"/>
        <v>0</v>
      </c>
      <c r="R282" t="str">
        <f t="shared" si="200"/>
        <v>0,00</v>
      </c>
      <c r="S282" t="str">
        <f t="shared" si="200"/>
        <v>0,00</v>
      </c>
      <c r="T282" t="str">
        <f t="shared" si="205"/>
        <v xml:space="preserve"> </v>
      </c>
      <c r="U282" t="str">
        <f t="shared" si="204"/>
        <v>-</v>
      </c>
      <c r="V282" t="str">
        <f>"32,000"</f>
        <v>32,000</v>
      </c>
      <c r="W282" t="str">
        <f t="shared" si="183"/>
        <v>Lista 4</v>
      </c>
      <c r="X282" t="str">
        <f t="shared" si="184"/>
        <v>Lista 5</v>
      </c>
      <c r="Y282" t="str">
        <f t="shared" si="185"/>
        <v>Oferta Gral.</v>
      </c>
      <c r="Z282" t="str">
        <f t="shared" si="186"/>
        <v>Rubro</v>
      </c>
      <c r="AA282" t="str">
        <f t="shared" si="187"/>
        <v>Cantidad por Bulto</v>
      </c>
      <c r="AB282" t="str">
        <f t="shared" si="188"/>
        <v>INNER</v>
      </c>
      <c r="AC282" t="str">
        <f t="shared" si="189"/>
        <v>Stock en Bultos</v>
      </c>
      <c r="AD282" t="str">
        <f t="shared" si="190"/>
        <v>SubDepósito</v>
      </c>
      <c r="AE282" t="str">
        <f t="shared" si="191"/>
        <v>Marca</v>
      </c>
      <c r="AF282" t="str">
        <f t="shared" si="192"/>
        <v>Super Rubro</v>
      </c>
      <c r="AG282" t="str">
        <f t="shared" si="193"/>
        <v>ComercioExterior</v>
      </c>
      <c r="AH282" t="str">
        <f t="shared" si="194"/>
        <v>PrecioFOB</v>
      </c>
      <c r="AI282" t="str">
        <f t="shared" si="195"/>
        <v>Monto II</v>
      </c>
      <c r="AJ282" t="str">
        <f t="shared" si="196"/>
        <v>Porcentaje II</v>
      </c>
      <c r="AK282" t="str">
        <f t="shared" si="197"/>
        <v>Foto</v>
      </c>
      <c r="AL282" t="str">
        <f>"{\rtf1\ansi\ansicpg1252\deff0\deflang11274{\fonttbl{\f0\fnil\fcharset0 MS Sans Serif}} \viewkind4\uc1\pard\f0\fs16 BUJIA PRECALENTAMIENTO RENAULT MEGANE 1.9 DCI KANGOO 1.5 DCI 7701069730\par } "</f>
        <v xml:space="preserve">{\rtf1\ansi\ansicpg1252\deff0\deflang11274{\fonttbl{\f0\fnil\fcharset0 MS Sans Serif}} \viewkind4\uc1\pard\f0\fs16 BUJIA PRECALENTAMIENTO RENAULT MEGANE 1.9 DCI KANGOO 1.5 DCI 7701069730\par } </v>
      </c>
      <c r="AM282" t="str">
        <f t="shared" si="198"/>
        <v xml:space="preserve"> </v>
      </c>
    </row>
    <row r="283" spans="1:39" x14ac:dyDescent="0.25">
      <c r="A283" t="str">
        <f>"LEIGG035"</f>
        <v>LEIGG035</v>
      </c>
      <c r="B283" t="str">
        <f>"BUJIA PRECALENTAMIENTO VW AMAROK 2.0 TDI "</f>
        <v xml:space="preserve">BUJIA PRECALENTAMIENTO VW AMAROK 2.0 TDI </v>
      </c>
      <c r="C283" t="str">
        <f>"$ 8701,39"</f>
        <v>$ 8701,39</v>
      </c>
      <c r="D283" t="str">
        <f>"$ 8701,39"</f>
        <v>$ 8701,39</v>
      </c>
      <c r="E283" t="str">
        <f>"$ 8701,39"</f>
        <v>$ 8701,39</v>
      </c>
      <c r="F283" t="str">
        <f>"$ 3604,85"</f>
        <v>$ 3604,85</v>
      </c>
      <c r="G283" t="str">
        <f>"$ 3604,85"</f>
        <v>$ 3604,85</v>
      </c>
      <c r="H283" t="str">
        <f t="shared" si="180"/>
        <v>$ 0,00</v>
      </c>
      <c r="I283" t="str">
        <f t="shared" si="202"/>
        <v>BUJIAS DE PRECALENTAMIENTO</v>
      </c>
      <c r="J283" t="str">
        <f t="shared" si="181"/>
        <v>1</v>
      </c>
      <c r="K283" t="str">
        <f t="shared" si="206"/>
        <v>0</v>
      </c>
      <c r="L283" t="str">
        <f>"20,000"</f>
        <v>20,000</v>
      </c>
      <c r="M283" t="str">
        <f t="shared" si="182"/>
        <v xml:space="preserve"> </v>
      </c>
      <c r="N283" t="str">
        <f t="shared" si="203"/>
        <v>LUCAS</v>
      </c>
      <c r="O283" t="str">
        <f t="shared" si="201"/>
        <v>BUJIAS</v>
      </c>
      <c r="P283" t="str">
        <f t="shared" ref="P283:Q302" si="207">"0"</f>
        <v>0</v>
      </c>
      <c r="Q283" t="str">
        <f t="shared" si="207"/>
        <v>0</v>
      </c>
      <c r="R283" t="str">
        <f t="shared" ref="R283:S302" si="208">"0,00"</f>
        <v>0,00</v>
      </c>
      <c r="S283" t="str">
        <f t="shared" si="208"/>
        <v>0,00</v>
      </c>
      <c r="T283" t="str">
        <f t="shared" si="205"/>
        <v xml:space="preserve"> </v>
      </c>
      <c r="U283" t="str">
        <f t="shared" si="204"/>
        <v>-</v>
      </c>
      <c r="V283" t="str">
        <f>"20,000"</f>
        <v>20,000</v>
      </c>
      <c r="W283" t="str">
        <f t="shared" si="183"/>
        <v>Lista 4</v>
      </c>
      <c r="X283" t="str">
        <f t="shared" si="184"/>
        <v>Lista 5</v>
      </c>
      <c r="Y283" t="str">
        <f t="shared" si="185"/>
        <v>Oferta Gral.</v>
      </c>
      <c r="Z283" t="str">
        <f t="shared" si="186"/>
        <v>Rubro</v>
      </c>
      <c r="AA283" t="str">
        <f t="shared" si="187"/>
        <v>Cantidad por Bulto</v>
      </c>
      <c r="AB283" t="str">
        <f t="shared" si="188"/>
        <v>INNER</v>
      </c>
      <c r="AC283" t="str">
        <f t="shared" si="189"/>
        <v>Stock en Bultos</v>
      </c>
      <c r="AD283" t="str">
        <f t="shared" si="190"/>
        <v>SubDepósito</v>
      </c>
      <c r="AE283" t="str">
        <f t="shared" si="191"/>
        <v>Marca</v>
      </c>
      <c r="AF283" t="str">
        <f t="shared" si="192"/>
        <v>Super Rubro</v>
      </c>
      <c r="AG283" t="str">
        <f t="shared" si="193"/>
        <v>ComercioExterior</v>
      </c>
      <c r="AH283" t="str">
        <f t="shared" si="194"/>
        <v>PrecioFOB</v>
      </c>
      <c r="AI283" t="str">
        <f t="shared" si="195"/>
        <v>Monto II</v>
      </c>
      <c r="AJ283" t="str">
        <f t="shared" si="196"/>
        <v>Porcentaje II</v>
      </c>
      <c r="AK283" t="str">
        <f t="shared" si="197"/>
        <v>Foto</v>
      </c>
      <c r="AL283" t="str">
        <f>"{\rtf1\ansi\ansicpg1252\deff0\deflang11274{\fonttbl{\f0\fnil\fcharset0 MS Sans Serif}} \viewkind4\uc1\pard\f0\fs16 BUJIA PRECALENTAMIENTO VW AMAROK 2.0 TDI \par } "</f>
        <v xml:space="preserve">{\rtf1\ansi\ansicpg1252\deff0\deflang11274{\fonttbl{\f0\fnil\fcharset0 MS Sans Serif}} \viewkind4\uc1\pard\f0\fs16 BUJIA PRECALENTAMIENTO VW AMAROK 2.0 TDI \par } </v>
      </c>
      <c r="AM283" t="str">
        <f t="shared" si="198"/>
        <v xml:space="preserve"> </v>
      </c>
    </row>
    <row r="284" spans="1:39" x14ac:dyDescent="0.25">
      <c r="A284" t="str">
        <f>"LEIGG004"</f>
        <v>LEIGG004</v>
      </c>
      <c r="B284" t="str">
        <f>"BUJIA PRECALENTAMIENTO VW GOL POLO SAVEIRO 1.6 1.9 DIESEL"</f>
        <v>BUJIA PRECALENTAMIENTO VW GOL POLO SAVEIRO 1.6 1.9 DIESEL</v>
      </c>
      <c r="C284" t="str">
        <f>"$ 6709,00"</f>
        <v>$ 6709,00</v>
      </c>
      <c r="D284" t="str">
        <f>"$ 6709,00"</f>
        <v>$ 6709,00</v>
      </c>
      <c r="E284" t="str">
        <f>"$ 6709,00"</f>
        <v>$ 6709,00</v>
      </c>
      <c r="F284" t="str">
        <f>"$ 2779,43"</f>
        <v>$ 2779,43</v>
      </c>
      <c r="G284" t="str">
        <f>"$ 2779,43"</f>
        <v>$ 2779,43</v>
      </c>
      <c r="H284" t="str">
        <f t="shared" si="180"/>
        <v>$ 0,00</v>
      </c>
      <c r="I284" t="str">
        <f t="shared" si="202"/>
        <v>BUJIAS DE PRECALENTAMIENTO</v>
      </c>
      <c r="J284" t="str">
        <f t="shared" si="181"/>
        <v>1</v>
      </c>
      <c r="K284" t="str">
        <f t="shared" si="206"/>
        <v>0</v>
      </c>
      <c r="L284" t="str">
        <f>"92,000"</f>
        <v>92,000</v>
      </c>
      <c r="M284" t="str">
        <f t="shared" si="182"/>
        <v xml:space="preserve"> </v>
      </c>
      <c r="N284" t="str">
        <f t="shared" si="203"/>
        <v>LUCAS</v>
      </c>
      <c r="O284" t="str">
        <f t="shared" si="201"/>
        <v>BUJIAS</v>
      </c>
      <c r="P284" t="str">
        <f t="shared" si="207"/>
        <v>0</v>
      </c>
      <c r="Q284" t="str">
        <f t="shared" si="207"/>
        <v>0</v>
      </c>
      <c r="R284" t="str">
        <f t="shared" si="208"/>
        <v>0,00</v>
      </c>
      <c r="S284" t="str">
        <f t="shared" si="208"/>
        <v>0,00</v>
      </c>
      <c r="T284" t="str">
        <f t="shared" si="205"/>
        <v xml:space="preserve"> </v>
      </c>
      <c r="U284" t="str">
        <f t="shared" si="204"/>
        <v>-</v>
      </c>
      <c r="V284" t="str">
        <f>"92,000"</f>
        <v>92,000</v>
      </c>
      <c r="W284" t="str">
        <f t="shared" si="183"/>
        <v>Lista 4</v>
      </c>
      <c r="X284" t="str">
        <f t="shared" si="184"/>
        <v>Lista 5</v>
      </c>
      <c r="Y284" t="str">
        <f t="shared" si="185"/>
        <v>Oferta Gral.</v>
      </c>
      <c r="Z284" t="str">
        <f t="shared" si="186"/>
        <v>Rubro</v>
      </c>
      <c r="AA284" t="str">
        <f t="shared" si="187"/>
        <v>Cantidad por Bulto</v>
      </c>
      <c r="AB284" t="str">
        <f t="shared" si="188"/>
        <v>INNER</v>
      </c>
      <c r="AC284" t="str">
        <f t="shared" si="189"/>
        <v>Stock en Bultos</v>
      </c>
      <c r="AD284" t="str">
        <f t="shared" si="190"/>
        <v>SubDepósito</v>
      </c>
      <c r="AE284" t="str">
        <f t="shared" si="191"/>
        <v>Marca</v>
      </c>
      <c r="AF284" t="str">
        <f t="shared" si="192"/>
        <v>Super Rubro</v>
      </c>
      <c r="AG284" t="str">
        <f t="shared" si="193"/>
        <v>ComercioExterior</v>
      </c>
      <c r="AH284" t="str">
        <f t="shared" si="194"/>
        <v>PrecioFOB</v>
      </c>
      <c r="AI284" t="str">
        <f t="shared" si="195"/>
        <v>Monto II</v>
      </c>
      <c r="AJ284" t="str">
        <f t="shared" si="196"/>
        <v>Porcentaje II</v>
      </c>
      <c r="AK284" t="str">
        <f t="shared" si="197"/>
        <v>Foto</v>
      </c>
      <c r="AL284" t="str">
        <f>"{\rtf1\ansi\ansicpg1252\deff0\deflang11274{\fonttbl{\f0\fnil\fcharset0 MS Sans Serif}} \viewkind4\uc1\pard\f0\fs16 BUJIA PRECALENTAMIENTO VW GOL POLO SAVEIRO 1.6 1.9 DIESEL\par } "</f>
        <v xml:space="preserve">{\rtf1\ansi\ansicpg1252\deff0\deflang11274{\fonttbl{\f0\fnil\fcharset0 MS Sans Serif}} \viewkind4\uc1\pard\f0\fs16 BUJIA PRECALENTAMIENTO VW GOL POLO SAVEIRO 1.6 1.9 DIESEL\par } </v>
      </c>
      <c r="AM284" t="str">
        <f t="shared" si="198"/>
        <v xml:space="preserve"> </v>
      </c>
    </row>
    <row r="285" spans="1:39" x14ac:dyDescent="0.25">
      <c r="A285" t="str">
        <f>"SR8IP"</f>
        <v>SR8IP</v>
      </c>
      <c r="B285" t="str">
        <f>"BUJIAS FERRAZZI IRIDIUM PLATINO ROSCA LARGA FRIA GRADO 8 "</f>
        <v xml:space="preserve">BUJIAS FERRAZZI IRIDIUM PLATINO ROSCA LARGA FRIA GRADO 8 </v>
      </c>
      <c r="C285" t="str">
        <f>"$ 16587,20"</f>
        <v>$ 16587,20</v>
      </c>
      <c r="D285" t="str">
        <f>"$ 16587,20"</f>
        <v>$ 16587,20</v>
      </c>
      <c r="E285" t="str">
        <f>"$ 16587,20"</f>
        <v>$ 16587,20</v>
      </c>
      <c r="F285" t="str">
        <f>"$ 16587,20"</f>
        <v>$ 16587,20</v>
      </c>
      <c r="G285" t="str">
        <f>"$ 16587,20"</f>
        <v>$ 16587,20</v>
      </c>
      <c r="H285" t="str">
        <f t="shared" si="180"/>
        <v>$ 0,00</v>
      </c>
      <c r="I285" t="str">
        <f>"BUJIAS DE ENCENDIDO IRIDIO PLATINO"</f>
        <v>BUJIAS DE ENCENDIDO IRIDIO PLATINO</v>
      </c>
      <c r="J285" t="str">
        <f t="shared" si="181"/>
        <v>1</v>
      </c>
      <c r="K285" t="str">
        <f t="shared" si="206"/>
        <v>0</v>
      </c>
      <c r="L285" t="str">
        <f>"16,000"</f>
        <v>16,000</v>
      </c>
      <c r="M285" t="str">
        <f t="shared" si="182"/>
        <v xml:space="preserve"> </v>
      </c>
      <c r="N285" t="str">
        <f>"FERRAZZI"</f>
        <v>FERRAZZI</v>
      </c>
      <c r="O285" t="str">
        <f t="shared" si="201"/>
        <v>BUJIAS</v>
      </c>
      <c r="P285" t="str">
        <f t="shared" si="207"/>
        <v>0</v>
      </c>
      <c r="Q285" t="str">
        <f t="shared" si="207"/>
        <v>0</v>
      </c>
      <c r="R285" t="str">
        <f t="shared" si="208"/>
        <v>0,00</v>
      </c>
      <c r="S285" t="str">
        <f t="shared" si="208"/>
        <v>0,00</v>
      </c>
      <c r="T285" t="str">
        <f t="shared" si="205"/>
        <v xml:space="preserve"> </v>
      </c>
      <c r="U285" t="str">
        <f t="shared" ref="U285:U348" si="209">" "</f>
        <v xml:space="preserve"> </v>
      </c>
      <c r="V285" t="str">
        <f>"16,000"</f>
        <v>16,000</v>
      </c>
      <c r="W285" t="str">
        <f t="shared" si="183"/>
        <v>Lista 4</v>
      </c>
      <c r="X285" t="str">
        <f t="shared" si="184"/>
        <v>Lista 5</v>
      </c>
      <c r="Y285" t="str">
        <f t="shared" si="185"/>
        <v>Oferta Gral.</v>
      </c>
      <c r="Z285" t="str">
        <f t="shared" si="186"/>
        <v>Rubro</v>
      </c>
      <c r="AA285" t="str">
        <f t="shared" si="187"/>
        <v>Cantidad por Bulto</v>
      </c>
      <c r="AB285" t="str">
        <f t="shared" si="188"/>
        <v>INNER</v>
      </c>
      <c r="AC285" t="str">
        <f t="shared" si="189"/>
        <v>Stock en Bultos</v>
      </c>
      <c r="AD285" t="str">
        <f t="shared" si="190"/>
        <v>SubDepósito</v>
      </c>
      <c r="AE285" t="str">
        <f t="shared" si="191"/>
        <v>Marca</v>
      </c>
      <c r="AF285" t="str">
        <f t="shared" si="192"/>
        <v>Super Rubro</v>
      </c>
      <c r="AG285" t="str">
        <f t="shared" si="193"/>
        <v>ComercioExterior</v>
      </c>
      <c r="AH285" t="str">
        <f t="shared" si="194"/>
        <v>PrecioFOB</v>
      </c>
      <c r="AI285" t="str">
        <f t="shared" si="195"/>
        <v>Monto II</v>
      </c>
      <c r="AJ285" t="str">
        <f t="shared" si="196"/>
        <v>Porcentaje II</v>
      </c>
      <c r="AK285" t="str">
        <f t="shared" si="197"/>
        <v>Foto</v>
      </c>
      <c r="AL28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85" t="str">
        <f t="shared" si="198"/>
        <v xml:space="preserve"> </v>
      </c>
    </row>
    <row r="286" spans="1:39" x14ac:dyDescent="0.25">
      <c r="A286" t="str">
        <f>"LSPR6A10EG"</f>
        <v>LSPR6A10EG</v>
      </c>
      <c r="B286" t="str">
        <f>"BUJÍA DE ENCENDIDO VW UP 1.0 3 CILINDROS"</f>
        <v>BUJÍA DE ENCENDIDO VW UP 1.0 3 CILINDROS</v>
      </c>
      <c r="C286" t="str">
        <f>"$ 4914,73"</f>
        <v>$ 4914,73</v>
      </c>
      <c r="D286" t="str">
        <f>"$ 4914,73"</f>
        <v>$ 4914,73</v>
      </c>
      <c r="E286" t="str">
        <f>"$ 4914,73"</f>
        <v>$ 4914,73</v>
      </c>
      <c r="F286" t="str">
        <f>"$ 4914,73"</f>
        <v>$ 4914,73</v>
      </c>
      <c r="G286" t="str">
        <f>"$ 4914,73"</f>
        <v>$ 4914,73</v>
      </c>
      <c r="H286" t="str">
        <f t="shared" si="180"/>
        <v>$ 0,00</v>
      </c>
      <c r="I286" t="str">
        <f>"BUJIAS DE ENCENDIDO COBRE"</f>
        <v>BUJIAS DE ENCENDIDO COBRE</v>
      </c>
      <c r="J286" t="str">
        <f t="shared" si="181"/>
        <v>1</v>
      </c>
      <c r="K286" t="str">
        <f t="shared" si="206"/>
        <v>0</v>
      </c>
      <c r="L286" t="str">
        <f>"43,000"</f>
        <v>43,000</v>
      </c>
      <c r="M286" t="str">
        <f t="shared" si="182"/>
        <v xml:space="preserve"> </v>
      </c>
      <c r="N286" t="str">
        <f>"LUCAS"</f>
        <v>LUCAS</v>
      </c>
      <c r="O286" t="str">
        <f t="shared" si="201"/>
        <v>BUJIAS</v>
      </c>
      <c r="P286" t="str">
        <f t="shared" si="207"/>
        <v>0</v>
      </c>
      <c r="Q286" t="str">
        <f t="shared" si="207"/>
        <v>0</v>
      </c>
      <c r="R286" t="str">
        <f t="shared" si="208"/>
        <v>0,00</v>
      </c>
      <c r="S286" t="str">
        <f t="shared" si="208"/>
        <v>0,00</v>
      </c>
      <c r="T286" t="str">
        <f t="shared" si="205"/>
        <v xml:space="preserve"> </v>
      </c>
      <c r="U286" t="str">
        <f t="shared" si="209"/>
        <v xml:space="preserve"> </v>
      </c>
      <c r="V286" t="str">
        <f>"43,000"</f>
        <v>43,000</v>
      </c>
      <c r="W286" t="str">
        <f t="shared" si="183"/>
        <v>Lista 4</v>
      </c>
      <c r="X286" t="str">
        <f t="shared" si="184"/>
        <v>Lista 5</v>
      </c>
      <c r="Y286" t="str">
        <f t="shared" si="185"/>
        <v>Oferta Gral.</v>
      </c>
      <c r="Z286" t="str">
        <f t="shared" si="186"/>
        <v>Rubro</v>
      </c>
      <c r="AA286" t="str">
        <f t="shared" si="187"/>
        <v>Cantidad por Bulto</v>
      </c>
      <c r="AB286" t="str">
        <f t="shared" si="188"/>
        <v>INNER</v>
      </c>
      <c r="AC286" t="str">
        <f t="shared" si="189"/>
        <v>Stock en Bultos</v>
      </c>
      <c r="AD286" t="str">
        <f t="shared" si="190"/>
        <v>SubDepósito</v>
      </c>
      <c r="AE286" t="str">
        <f t="shared" si="191"/>
        <v>Marca</v>
      </c>
      <c r="AF286" t="str">
        <f t="shared" si="192"/>
        <v>Super Rubro</v>
      </c>
      <c r="AG286" t="str">
        <f t="shared" si="193"/>
        <v>ComercioExterior</v>
      </c>
      <c r="AH286" t="str">
        <f t="shared" si="194"/>
        <v>PrecioFOB</v>
      </c>
      <c r="AI286" t="str">
        <f t="shared" si="195"/>
        <v>Monto II</v>
      </c>
      <c r="AJ286" t="str">
        <f t="shared" si="196"/>
        <v>Porcentaje II</v>
      </c>
      <c r="AK286" t="str">
        <f t="shared" si="197"/>
        <v>Foto</v>
      </c>
      <c r="AL286" t="str">
        <f>"{\rtf1\ansi\ansicpg1252\deff0\deflang11274{\fonttbl{\f0\fnil\fcharset0 MS Sans Serif}} \viewkind4\uc1\pard\f0\fs16 BUJ\'cdA DE ENCENDIDO VW UP 1.0 3 CILINDROS\par } "</f>
        <v xml:space="preserve">{\rtf1\ansi\ansicpg1252\deff0\deflang11274{\fonttbl{\f0\fnil\fcharset0 MS Sans Serif}} \viewkind4\uc1\pard\f0\fs16 BUJ\'cdA DE ENCENDIDO VW UP 1.0 3 CILINDROS\par } </v>
      </c>
      <c r="AM286" t="str">
        <f t="shared" si="198"/>
        <v xml:space="preserve"> </v>
      </c>
    </row>
    <row r="287" spans="1:39" x14ac:dyDescent="0.25">
      <c r="A287" t="str">
        <f>"GR8CC"</f>
        <v>GR8CC</v>
      </c>
      <c r="B287" t="str">
        <f>"BUJÍA FERRAZZI COBRE FIAT ARGO CRONOS 1.3 FIREFLY"</f>
        <v>BUJÍA FERRAZZI COBRE FIAT ARGO CRONOS 1.3 FIREFLY</v>
      </c>
      <c r="C287" t="str">
        <f>"$ 8123,60"</f>
        <v>$ 8123,60</v>
      </c>
      <c r="D287" t="str">
        <f>"$ 8123,60"</f>
        <v>$ 8123,60</v>
      </c>
      <c r="E287" t="str">
        <f>"$ 8123,60"</f>
        <v>$ 8123,60</v>
      </c>
      <c r="F287" t="str">
        <f>"$ 8123,60"</f>
        <v>$ 8123,60</v>
      </c>
      <c r="G287" t="str">
        <f>"$ 8123,60"</f>
        <v>$ 8123,60</v>
      </c>
      <c r="H287" t="str">
        <f t="shared" si="180"/>
        <v>$ 0,00</v>
      </c>
      <c r="I287" t="str">
        <f>"BUJIAS DE ENCENDIDO COBRE"</f>
        <v>BUJIAS DE ENCENDIDO COBRE</v>
      </c>
      <c r="J287" t="str">
        <f t="shared" si="181"/>
        <v>1</v>
      </c>
      <c r="K287" t="str">
        <f t="shared" si="206"/>
        <v>0</v>
      </c>
      <c r="L287" t="str">
        <f>"176,000"</f>
        <v>176,000</v>
      </c>
      <c r="M287" t="str">
        <f t="shared" si="182"/>
        <v xml:space="preserve"> </v>
      </c>
      <c r="N287" t="str">
        <f>"FERRAZZI"</f>
        <v>FERRAZZI</v>
      </c>
      <c r="O287" t="str">
        <f t="shared" si="201"/>
        <v>BUJIAS</v>
      </c>
      <c r="P287" t="str">
        <f t="shared" si="207"/>
        <v>0</v>
      </c>
      <c r="Q287" t="str">
        <f t="shared" si="207"/>
        <v>0</v>
      </c>
      <c r="R287" t="str">
        <f t="shared" si="208"/>
        <v>0,00</v>
      </c>
      <c r="S287" t="str">
        <f t="shared" si="208"/>
        <v>0,00</v>
      </c>
      <c r="T287" t="str">
        <f t="shared" si="205"/>
        <v xml:space="preserve"> </v>
      </c>
      <c r="U287" t="str">
        <f t="shared" si="209"/>
        <v xml:space="preserve"> </v>
      </c>
      <c r="V287" t="str">
        <f>"176,000"</f>
        <v>176,000</v>
      </c>
      <c r="W287" t="str">
        <f t="shared" si="183"/>
        <v>Lista 4</v>
      </c>
      <c r="X287" t="str">
        <f t="shared" si="184"/>
        <v>Lista 5</v>
      </c>
      <c r="Y287" t="str">
        <f t="shared" si="185"/>
        <v>Oferta Gral.</v>
      </c>
      <c r="Z287" t="str">
        <f t="shared" si="186"/>
        <v>Rubro</v>
      </c>
      <c r="AA287" t="str">
        <f t="shared" si="187"/>
        <v>Cantidad por Bulto</v>
      </c>
      <c r="AB287" t="str">
        <f t="shared" si="188"/>
        <v>INNER</v>
      </c>
      <c r="AC287" t="str">
        <f t="shared" si="189"/>
        <v>Stock en Bultos</v>
      </c>
      <c r="AD287" t="str">
        <f t="shared" si="190"/>
        <v>SubDepósito</v>
      </c>
      <c r="AE287" t="str">
        <f t="shared" si="191"/>
        <v>Marca</v>
      </c>
      <c r="AF287" t="str">
        <f t="shared" si="192"/>
        <v>Super Rubro</v>
      </c>
      <c r="AG287" t="str">
        <f t="shared" si="193"/>
        <v>ComercioExterior</v>
      </c>
      <c r="AH287" t="str">
        <f t="shared" si="194"/>
        <v>PrecioFOB</v>
      </c>
      <c r="AI287" t="str">
        <f t="shared" si="195"/>
        <v>Monto II</v>
      </c>
      <c r="AJ287" t="str">
        <f t="shared" si="196"/>
        <v>Porcentaje II</v>
      </c>
      <c r="AK287" t="str">
        <f t="shared" si="197"/>
        <v>Foto</v>
      </c>
      <c r="AL28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87" t="str">
        <f t="shared" si="198"/>
        <v xml:space="preserve"> </v>
      </c>
    </row>
    <row r="288" spans="1:39" x14ac:dyDescent="0.25">
      <c r="A288" t="str">
        <f>"ZR5CC"</f>
        <v>ZR5CC</v>
      </c>
      <c r="B288" t="str">
        <f>"BUJÍA FERRAZZI COBRE VW GOL FIAT FIRE RENAULT K7M BKR5E"</f>
        <v>BUJÍA FERRAZZI COBRE VW GOL FIAT FIRE RENAULT K7M BKR5E</v>
      </c>
      <c r="C288" t="str">
        <f>"$ 3384,01"</f>
        <v>$ 3384,01</v>
      </c>
      <c r="D288" t="str">
        <f>"$ 3384,01"</f>
        <v>$ 3384,01</v>
      </c>
      <c r="E288" t="str">
        <f>"$ 3384,01"</f>
        <v>$ 3384,01</v>
      </c>
      <c r="F288" t="str">
        <f>"$ 3384,01"</f>
        <v>$ 3384,01</v>
      </c>
      <c r="G288" t="str">
        <f>"$ 3384,01"</f>
        <v>$ 3384,01</v>
      </c>
      <c r="H288" t="str">
        <f t="shared" si="180"/>
        <v>$ 0,00</v>
      </c>
      <c r="I288" t="str">
        <f>"BUJIAS DE ENCENDIDO COBRE"</f>
        <v>BUJIAS DE ENCENDIDO COBRE</v>
      </c>
      <c r="J288" t="str">
        <f t="shared" si="181"/>
        <v>1</v>
      </c>
      <c r="K288" t="str">
        <f t="shared" si="206"/>
        <v>0</v>
      </c>
      <c r="L288" t="str">
        <f>"-8,000"</f>
        <v>-8,000</v>
      </c>
      <c r="M288" t="str">
        <f t="shared" si="182"/>
        <v xml:space="preserve"> </v>
      </c>
      <c r="N288" t="str">
        <f>"FERRAZZI"</f>
        <v>FERRAZZI</v>
      </c>
      <c r="O288" t="str">
        <f t="shared" si="201"/>
        <v>BUJIAS</v>
      </c>
      <c r="P288" t="str">
        <f t="shared" si="207"/>
        <v>0</v>
      </c>
      <c r="Q288" t="str">
        <f t="shared" si="207"/>
        <v>0</v>
      </c>
      <c r="R288" t="str">
        <f t="shared" si="208"/>
        <v>0,00</v>
      </c>
      <c r="S288" t="str">
        <f t="shared" si="208"/>
        <v>0,00</v>
      </c>
      <c r="T288" t="str">
        <f t="shared" si="205"/>
        <v xml:space="preserve"> </v>
      </c>
      <c r="U288" t="str">
        <f t="shared" si="209"/>
        <v xml:space="preserve"> </v>
      </c>
      <c r="V288" t="str">
        <f>"-8,000"</f>
        <v>-8,000</v>
      </c>
      <c r="W288" t="str">
        <f t="shared" si="183"/>
        <v>Lista 4</v>
      </c>
      <c r="X288" t="str">
        <f t="shared" si="184"/>
        <v>Lista 5</v>
      </c>
      <c r="Y288" t="str">
        <f t="shared" si="185"/>
        <v>Oferta Gral.</v>
      </c>
      <c r="Z288" t="str">
        <f t="shared" si="186"/>
        <v>Rubro</v>
      </c>
      <c r="AA288" t="str">
        <f t="shared" si="187"/>
        <v>Cantidad por Bulto</v>
      </c>
      <c r="AB288" t="str">
        <f t="shared" si="188"/>
        <v>INNER</v>
      </c>
      <c r="AC288" t="str">
        <f t="shared" si="189"/>
        <v>Stock en Bultos</v>
      </c>
      <c r="AD288" t="str">
        <f t="shared" si="190"/>
        <v>SubDepósito</v>
      </c>
      <c r="AE288" t="str">
        <f t="shared" si="191"/>
        <v>Marca</v>
      </c>
      <c r="AF288" t="str">
        <f t="shared" si="192"/>
        <v>Super Rubro</v>
      </c>
      <c r="AG288" t="str">
        <f t="shared" si="193"/>
        <v>ComercioExterior</v>
      </c>
      <c r="AH288" t="str">
        <f t="shared" si="194"/>
        <v>PrecioFOB</v>
      </c>
      <c r="AI288" t="str">
        <f t="shared" si="195"/>
        <v>Monto II</v>
      </c>
      <c r="AJ288" t="str">
        <f t="shared" si="196"/>
        <v>Porcentaje II</v>
      </c>
      <c r="AK288" t="str">
        <f t="shared" si="197"/>
        <v>Foto</v>
      </c>
      <c r="AL28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" t="str">
        <f t="shared" ref="AM288:AM319" si="210">"-"</f>
        <v>-</v>
      </c>
    </row>
    <row r="289" spans="1:39" x14ac:dyDescent="0.25">
      <c r="A289" t="str">
        <f>"FI731"</f>
        <v>FI731</v>
      </c>
      <c r="B289" t="str">
        <f>"BULBO DE ELECTROVENTILADOR 88°/79°"</f>
        <v>BULBO DE ELECTROVENTILADOR 88°/79°</v>
      </c>
      <c r="C289" t="str">
        <f>"$ 7782,59"</f>
        <v>$ 7782,59</v>
      </c>
      <c r="D289" t="str">
        <f>"$ 7782,59"</f>
        <v>$ 7782,59</v>
      </c>
      <c r="E289" t="str">
        <f>"$ 7782,59"</f>
        <v>$ 7782,59</v>
      </c>
      <c r="F289" t="str">
        <f>"$ 7782,59"</f>
        <v>$ 7782,59</v>
      </c>
      <c r="G289" t="str">
        <f>"$ 7782,59"</f>
        <v>$ 7782,59</v>
      </c>
      <c r="H289" t="str">
        <f t="shared" si="180"/>
        <v>$ 0,00</v>
      </c>
      <c r="I289" t="str">
        <f>"BULBO ELECTROVENTILADOR"</f>
        <v>BULBO ELECTROVENTILADOR</v>
      </c>
      <c r="J289" t="str">
        <f t="shared" si="181"/>
        <v>1</v>
      </c>
      <c r="K289" t="str">
        <f t="shared" si="206"/>
        <v>0</v>
      </c>
      <c r="L289" t="str">
        <f>"50,000"</f>
        <v>50,000</v>
      </c>
      <c r="M289" t="str">
        <f t="shared" si="182"/>
        <v xml:space="preserve"> </v>
      </c>
      <c r="N289" t="str">
        <f t="shared" ref="N289:N320" si="211">"FISPA"</f>
        <v>FISPA</v>
      </c>
      <c r="O289" t="str">
        <f t="shared" ref="O289:O320" si="212">"BULBOS"</f>
        <v>BULBOS</v>
      </c>
      <c r="P289" t="str">
        <f t="shared" si="207"/>
        <v>0</v>
      </c>
      <c r="Q289" t="str">
        <f t="shared" si="207"/>
        <v>0</v>
      </c>
      <c r="R289" t="str">
        <f t="shared" si="208"/>
        <v>0,00</v>
      </c>
      <c r="S289" t="str">
        <f t="shared" si="208"/>
        <v>0,00</v>
      </c>
      <c r="T289" t="str">
        <f t="shared" si="205"/>
        <v xml:space="preserve"> </v>
      </c>
      <c r="U289" t="str">
        <f t="shared" si="209"/>
        <v xml:space="preserve"> </v>
      </c>
      <c r="V289" t="str">
        <f>"50,000"</f>
        <v>50,000</v>
      </c>
      <c r="W289" t="str">
        <f t="shared" si="183"/>
        <v>Lista 4</v>
      </c>
      <c r="X289" t="str">
        <f t="shared" si="184"/>
        <v>Lista 5</v>
      </c>
      <c r="Y289" t="str">
        <f t="shared" si="185"/>
        <v>Oferta Gral.</v>
      </c>
      <c r="Z289" t="str">
        <f t="shared" si="186"/>
        <v>Rubro</v>
      </c>
      <c r="AA289" t="str">
        <f t="shared" si="187"/>
        <v>Cantidad por Bulto</v>
      </c>
      <c r="AB289" t="str">
        <f t="shared" si="188"/>
        <v>INNER</v>
      </c>
      <c r="AC289" t="str">
        <f t="shared" si="189"/>
        <v>Stock en Bultos</v>
      </c>
      <c r="AD289" t="str">
        <f t="shared" si="190"/>
        <v>SubDepósito</v>
      </c>
      <c r="AE289" t="str">
        <f t="shared" si="191"/>
        <v>Marca</v>
      </c>
      <c r="AF289" t="str">
        <f t="shared" si="192"/>
        <v>Super Rubro</v>
      </c>
      <c r="AG289" t="str">
        <f t="shared" si="193"/>
        <v>ComercioExterior</v>
      </c>
      <c r="AH289" t="str">
        <f t="shared" si="194"/>
        <v>PrecioFOB</v>
      </c>
      <c r="AI289" t="str">
        <f t="shared" si="195"/>
        <v>Monto II</v>
      </c>
      <c r="AJ289" t="str">
        <f t="shared" si="196"/>
        <v>Porcentaje II</v>
      </c>
      <c r="AK289" t="str">
        <f t="shared" si="197"/>
        <v>Foto</v>
      </c>
      <c r="AL28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9" t="str">
        <f t="shared" si="210"/>
        <v>-</v>
      </c>
    </row>
    <row r="290" spans="1:39" x14ac:dyDescent="0.25">
      <c r="A290" t="str">
        <f>"FI714"</f>
        <v>FI714</v>
      </c>
      <c r="B290" t="str">
        <f>"BULBO ELECTROVENT. FORD/ VW         90-95/90-102"</f>
        <v>BULBO ELECTROVENT. FORD/ VW         90-95/90-102</v>
      </c>
      <c r="C290" t="str">
        <f>"$ 12579,68"</f>
        <v>$ 12579,68</v>
      </c>
      <c r="D290" t="str">
        <f>"$ 12579,68"</f>
        <v>$ 12579,68</v>
      </c>
      <c r="E290" t="str">
        <f>"$ 12579,68"</f>
        <v>$ 12579,68</v>
      </c>
      <c r="F290" t="str">
        <f>"$ 12579,68"</f>
        <v>$ 12579,68</v>
      </c>
      <c r="G290" t="str">
        <f>"$ 12579,68"</f>
        <v>$ 12579,68</v>
      </c>
      <c r="H290" t="str">
        <f t="shared" si="180"/>
        <v>$ 0,00</v>
      </c>
      <c r="I290" t="str">
        <f>"BULBO ELECTROVENTILADOR"</f>
        <v>BULBO ELECTROVENTILADOR</v>
      </c>
      <c r="J290" t="str">
        <f t="shared" si="181"/>
        <v>1</v>
      </c>
      <c r="K290" t="str">
        <f t="shared" si="206"/>
        <v>0</v>
      </c>
      <c r="L290" t="str">
        <f>"17,000"</f>
        <v>17,000</v>
      </c>
      <c r="M290" t="str">
        <f t="shared" si="182"/>
        <v xml:space="preserve"> </v>
      </c>
      <c r="N290" t="str">
        <f t="shared" si="211"/>
        <v>FISPA</v>
      </c>
      <c r="O290" t="str">
        <f t="shared" si="212"/>
        <v>BULBOS</v>
      </c>
      <c r="P290" t="str">
        <f t="shared" si="207"/>
        <v>0</v>
      </c>
      <c r="Q290" t="str">
        <f t="shared" si="207"/>
        <v>0</v>
      </c>
      <c r="R290" t="str">
        <f t="shared" si="208"/>
        <v>0,00</v>
      </c>
      <c r="S290" t="str">
        <f t="shared" si="208"/>
        <v>0,00</v>
      </c>
      <c r="T290" t="str">
        <f t="shared" si="205"/>
        <v xml:space="preserve"> </v>
      </c>
      <c r="U290" t="str">
        <f t="shared" si="209"/>
        <v xml:space="preserve"> </v>
      </c>
      <c r="V290" t="str">
        <f>"17,000"</f>
        <v>17,000</v>
      </c>
      <c r="W290" t="str">
        <f t="shared" si="183"/>
        <v>Lista 4</v>
      </c>
      <c r="X290" t="str">
        <f t="shared" si="184"/>
        <v>Lista 5</v>
      </c>
      <c r="Y290" t="str">
        <f t="shared" si="185"/>
        <v>Oferta Gral.</v>
      </c>
      <c r="Z290" t="str">
        <f t="shared" si="186"/>
        <v>Rubro</v>
      </c>
      <c r="AA290" t="str">
        <f t="shared" si="187"/>
        <v>Cantidad por Bulto</v>
      </c>
      <c r="AB290" t="str">
        <f t="shared" si="188"/>
        <v>INNER</v>
      </c>
      <c r="AC290" t="str">
        <f t="shared" si="189"/>
        <v>Stock en Bultos</v>
      </c>
      <c r="AD290" t="str">
        <f t="shared" si="190"/>
        <v>SubDepósito</v>
      </c>
      <c r="AE290" t="str">
        <f t="shared" si="191"/>
        <v>Marca</v>
      </c>
      <c r="AF290" t="str">
        <f t="shared" si="192"/>
        <v>Super Rubro</v>
      </c>
      <c r="AG290" t="str">
        <f t="shared" si="193"/>
        <v>ComercioExterior</v>
      </c>
      <c r="AH290" t="str">
        <f t="shared" si="194"/>
        <v>PrecioFOB</v>
      </c>
      <c r="AI290" t="str">
        <f t="shared" si="195"/>
        <v>Monto II</v>
      </c>
      <c r="AJ290" t="str">
        <f t="shared" si="196"/>
        <v>Porcentaje II</v>
      </c>
      <c r="AK290" t="str">
        <f t="shared" si="197"/>
        <v>Foto</v>
      </c>
      <c r="AL29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0" t="str">
        <f t="shared" si="210"/>
        <v>-</v>
      </c>
    </row>
    <row r="291" spans="1:39" x14ac:dyDescent="0.25">
      <c r="A291" t="str">
        <f>"FI730"</f>
        <v>FI730</v>
      </c>
      <c r="B291" t="str">
        <f>"BULBO ELECTROVENT. P504/505 D      TEMP: 68º-82º"</f>
        <v>BULBO ELECTROVENT. P504/505 D      TEMP: 68º-82º</v>
      </c>
      <c r="C291" t="str">
        <f>"$ 7513,88"</f>
        <v>$ 7513,88</v>
      </c>
      <c r="D291" t="str">
        <f>"$ 7513,88"</f>
        <v>$ 7513,88</v>
      </c>
      <c r="E291" t="str">
        <f>"$ 7513,88"</f>
        <v>$ 7513,88</v>
      </c>
      <c r="F291" t="str">
        <f>"$ 7513,88"</f>
        <v>$ 7513,88</v>
      </c>
      <c r="G291" t="str">
        <f>"$ 7513,88"</f>
        <v>$ 7513,88</v>
      </c>
      <c r="H291" t="str">
        <f t="shared" si="180"/>
        <v>$ 0,00</v>
      </c>
      <c r="I291" t="str">
        <f>"BULBO ELECTROVENTILADOR"</f>
        <v>BULBO ELECTROVENTILADOR</v>
      </c>
      <c r="J291" t="str">
        <f t="shared" si="181"/>
        <v>1</v>
      </c>
      <c r="K291" t="str">
        <f t="shared" si="206"/>
        <v>0</v>
      </c>
      <c r="L291" t="str">
        <f>"31,000"</f>
        <v>31,000</v>
      </c>
      <c r="M291" t="str">
        <f t="shared" si="182"/>
        <v xml:space="preserve"> </v>
      </c>
      <c r="N291" t="str">
        <f t="shared" si="211"/>
        <v>FISPA</v>
      </c>
      <c r="O291" t="str">
        <f t="shared" si="212"/>
        <v>BULBOS</v>
      </c>
      <c r="P291" t="str">
        <f t="shared" si="207"/>
        <v>0</v>
      </c>
      <c r="Q291" t="str">
        <f t="shared" si="207"/>
        <v>0</v>
      </c>
      <c r="R291" t="str">
        <f t="shared" si="208"/>
        <v>0,00</v>
      </c>
      <c r="S291" t="str">
        <f t="shared" si="208"/>
        <v>0,00</v>
      </c>
      <c r="T291" t="str">
        <f t="shared" si="205"/>
        <v xml:space="preserve"> </v>
      </c>
      <c r="U291" t="str">
        <f t="shared" si="209"/>
        <v xml:space="preserve"> </v>
      </c>
      <c r="V291" t="str">
        <f>"31,000"</f>
        <v>31,000</v>
      </c>
      <c r="W291" t="str">
        <f t="shared" si="183"/>
        <v>Lista 4</v>
      </c>
      <c r="X291" t="str">
        <f t="shared" si="184"/>
        <v>Lista 5</v>
      </c>
      <c r="Y291" t="str">
        <f t="shared" si="185"/>
        <v>Oferta Gral.</v>
      </c>
      <c r="Z291" t="str">
        <f t="shared" si="186"/>
        <v>Rubro</v>
      </c>
      <c r="AA291" t="str">
        <f t="shared" si="187"/>
        <v>Cantidad por Bulto</v>
      </c>
      <c r="AB291" t="str">
        <f t="shared" si="188"/>
        <v>INNER</v>
      </c>
      <c r="AC291" t="str">
        <f t="shared" si="189"/>
        <v>Stock en Bultos</v>
      </c>
      <c r="AD291" t="str">
        <f t="shared" si="190"/>
        <v>SubDepósito</v>
      </c>
      <c r="AE291" t="str">
        <f t="shared" si="191"/>
        <v>Marca</v>
      </c>
      <c r="AF291" t="str">
        <f t="shared" si="192"/>
        <v>Super Rubro</v>
      </c>
      <c r="AG291" t="str">
        <f t="shared" si="193"/>
        <v>ComercioExterior</v>
      </c>
      <c r="AH291" t="str">
        <f t="shared" si="194"/>
        <v>PrecioFOB</v>
      </c>
      <c r="AI291" t="str">
        <f t="shared" si="195"/>
        <v>Monto II</v>
      </c>
      <c r="AJ291" t="str">
        <f t="shared" si="196"/>
        <v>Porcentaje II</v>
      </c>
      <c r="AK291" t="str">
        <f t="shared" si="197"/>
        <v>Foto</v>
      </c>
      <c r="AL29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1" t="str">
        <f t="shared" si="210"/>
        <v>-</v>
      </c>
    </row>
    <row r="292" spans="1:39" x14ac:dyDescent="0.25">
      <c r="A292" t="str">
        <f>"FI729"</f>
        <v>FI729</v>
      </c>
      <c r="B292" t="str">
        <f>"BULBO ELECTROVENTILADOR RENAULT PEUGEOT 92º 82º"</f>
        <v>BULBO ELECTROVENTILADOR RENAULT PEUGEOT 92º 82º</v>
      </c>
      <c r="C292" t="str">
        <f>"$ 8620,90"</f>
        <v>$ 8620,90</v>
      </c>
      <c r="D292" t="str">
        <f>"$ 8620,90"</f>
        <v>$ 8620,90</v>
      </c>
      <c r="E292" t="str">
        <f>"$ 8620,90"</f>
        <v>$ 8620,90</v>
      </c>
      <c r="F292" t="str">
        <f>"$ 8620,90"</f>
        <v>$ 8620,90</v>
      </c>
      <c r="G292" t="str">
        <f>"$ 8620,90"</f>
        <v>$ 8620,90</v>
      </c>
      <c r="H292" t="str">
        <f t="shared" si="180"/>
        <v>$ 0,00</v>
      </c>
      <c r="I292" t="str">
        <f>"BULBO ELECTROVENTILADOR"</f>
        <v>BULBO ELECTROVENTILADOR</v>
      </c>
      <c r="J292" t="str">
        <f t="shared" si="181"/>
        <v>1</v>
      </c>
      <c r="K292" t="str">
        <f t="shared" si="206"/>
        <v>0</v>
      </c>
      <c r="L292" t="str">
        <f>"15,000"</f>
        <v>15,000</v>
      </c>
      <c r="M292" t="str">
        <f t="shared" si="182"/>
        <v xml:space="preserve"> </v>
      </c>
      <c r="N292" t="str">
        <f t="shared" si="211"/>
        <v>FISPA</v>
      </c>
      <c r="O292" t="str">
        <f t="shared" si="212"/>
        <v>BULBOS</v>
      </c>
      <c r="P292" t="str">
        <f t="shared" si="207"/>
        <v>0</v>
      </c>
      <c r="Q292" t="str">
        <f t="shared" si="207"/>
        <v>0</v>
      </c>
      <c r="R292" t="str">
        <f t="shared" si="208"/>
        <v>0,00</v>
      </c>
      <c r="S292" t="str">
        <f t="shared" si="208"/>
        <v>0,00</v>
      </c>
      <c r="T292" t="str">
        <f t="shared" si="205"/>
        <v xml:space="preserve"> </v>
      </c>
      <c r="U292" t="str">
        <f t="shared" si="209"/>
        <v xml:space="preserve"> </v>
      </c>
      <c r="V292" t="str">
        <f>"15,000"</f>
        <v>15,000</v>
      </c>
      <c r="W292" t="str">
        <f t="shared" si="183"/>
        <v>Lista 4</v>
      </c>
      <c r="X292" t="str">
        <f t="shared" si="184"/>
        <v>Lista 5</v>
      </c>
      <c r="Y292" t="str">
        <f t="shared" si="185"/>
        <v>Oferta Gral.</v>
      </c>
      <c r="Z292" t="str">
        <f t="shared" si="186"/>
        <v>Rubro</v>
      </c>
      <c r="AA292" t="str">
        <f t="shared" si="187"/>
        <v>Cantidad por Bulto</v>
      </c>
      <c r="AB292" t="str">
        <f t="shared" si="188"/>
        <v>INNER</v>
      </c>
      <c r="AC292" t="str">
        <f t="shared" si="189"/>
        <v>Stock en Bultos</v>
      </c>
      <c r="AD292" t="str">
        <f t="shared" si="190"/>
        <v>SubDepósito</v>
      </c>
      <c r="AE292" t="str">
        <f t="shared" si="191"/>
        <v>Marca</v>
      </c>
      <c r="AF292" t="str">
        <f t="shared" si="192"/>
        <v>Super Rubro</v>
      </c>
      <c r="AG292" t="str">
        <f t="shared" si="193"/>
        <v>ComercioExterior</v>
      </c>
      <c r="AH292" t="str">
        <f t="shared" si="194"/>
        <v>PrecioFOB</v>
      </c>
      <c r="AI292" t="str">
        <f t="shared" si="195"/>
        <v>Monto II</v>
      </c>
      <c r="AJ292" t="str">
        <f t="shared" si="196"/>
        <v>Porcentaje II</v>
      </c>
      <c r="AK292" t="str">
        <f t="shared" si="197"/>
        <v>Foto</v>
      </c>
      <c r="AL292" t="str">
        <f>"{\rtf1\ansi\ansicpg1252\deff0\deflang11274{\fonttbl{\f0\fnil\fcharset0 MS Sans Serif}} \viewkind4\uc1\pard\f0\fs16 BOBINA ENC. RENAULT CLIO I, CLIO II, KANGOO, MEGANE, TWINGO\par } "</f>
        <v xml:space="preserve">{\rtf1\ansi\ansicpg1252\deff0\deflang11274{\fonttbl{\f0\fnil\fcharset0 MS Sans Serif}} \viewkind4\uc1\pard\f0\fs16 BOBINA ENC. RENAULT CLIO I, CLIO II, KANGOO, MEGANE, TWINGO\par } </v>
      </c>
      <c r="AM292" t="str">
        <f t="shared" si="210"/>
        <v>-</v>
      </c>
    </row>
    <row r="293" spans="1:39" x14ac:dyDescent="0.25">
      <c r="A293" t="str">
        <f>"FI342"</f>
        <v>FI342</v>
      </c>
      <c r="B293" t="str">
        <f>"BULBO PRESION ACEITE  CHRYSLER / DODGE 300 3.5 99&lt;2010 / AVENGER 96&lt;1999 / CARAVAN 94&lt;2007 "</f>
        <v xml:space="preserve">BULBO PRESION ACEITE  CHRYSLER / DODGE 300 3.5 99&lt;2010 / AVENGER 96&lt;1999 / CARAVAN 94&lt;2007 </v>
      </c>
      <c r="C293" t="str">
        <f>"$ 23238,79"</f>
        <v>$ 23238,79</v>
      </c>
      <c r="D293" t="str">
        <f>"$ 23238,79"</f>
        <v>$ 23238,79</v>
      </c>
      <c r="E293" t="str">
        <f>"$ 23238,79"</f>
        <v>$ 23238,79</v>
      </c>
      <c r="F293" t="str">
        <f>"$ 23238,79"</f>
        <v>$ 23238,79</v>
      </c>
      <c r="G293" t="str">
        <f>"$ 23238,79"</f>
        <v>$ 23238,79</v>
      </c>
      <c r="H293" t="str">
        <f t="shared" si="180"/>
        <v>$ 0,00</v>
      </c>
      <c r="I293" t="str">
        <f t="shared" ref="I293:I335" si="213">"BULBO PRESION DE ACEITE"</f>
        <v>BULBO PRESION DE ACEITE</v>
      </c>
      <c r="J293" t="str">
        <f t="shared" si="181"/>
        <v>1</v>
      </c>
      <c r="K293" t="str">
        <f t="shared" si="206"/>
        <v>0</v>
      </c>
      <c r="L293" t="str">
        <f>"0,000"</f>
        <v>0,000</v>
      </c>
      <c r="M293" t="str">
        <f t="shared" si="182"/>
        <v xml:space="preserve"> </v>
      </c>
      <c r="N293" t="str">
        <f t="shared" si="211"/>
        <v>FISPA</v>
      </c>
      <c r="O293" t="str">
        <f t="shared" si="212"/>
        <v>BULBOS</v>
      </c>
      <c r="P293" t="str">
        <f t="shared" si="207"/>
        <v>0</v>
      </c>
      <c r="Q293" t="str">
        <f t="shared" si="207"/>
        <v>0</v>
      </c>
      <c r="R293" t="str">
        <f t="shared" si="208"/>
        <v>0,00</v>
      </c>
      <c r="S293" t="str">
        <f t="shared" si="208"/>
        <v>0,00</v>
      </c>
      <c r="T293" t="str">
        <f t="shared" si="205"/>
        <v xml:space="preserve"> </v>
      </c>
      <c r="U293" t="str">
        <f t="shared" si="209"/>
        <v xml:space="preserve"> </v>
      </c>
      <c r="V293" t="str">
        <f>"0,000"</f>
        <v>0,000</v>
      </c>
      <c r="W293" t="str">
        <f t="shared" si="183"/>
        <v>Lista 4</v>
      </c>
      <c r="X293" t="str">
        <f t="shared" si="184"/>
        <v>Lista 5</v>
      </c>
      <c r="Y293" t="str">
        <f t="shared" si="185"/>
        <v>Oferta Gral.</v>
      </c>
      <c r="Z293" t="str">
        <f t="shared" si="186"/>
        <v>Rubro</v>
      </c>
      <c r="AA293" t="str">
        <f t="shared" si="187"/>
        <v>Cantidad por Bulto</v>
      </c>
      <c r="AB293" t="str">
        <f t="shared" si="188"/>
        <v>INNER</v>
      </c>
      <c r="AC293" t="str">
        <f t="shared" si="189"/>
        <v>Stock en Bultos</v>
      </c>
      <c r="AD293" t="str">
        <f t="shared" si="190"/>
        <v>SubDepósito</v>
      </c>
      <c r="AE293" t="str">
        <f t="shared" si="191"/>
        <v>Marca</v>
      </c>
      <c r="AF293" t="str">
        <f t="shared" si="192"/>
        <v>Super Rubro</v>
      </c>
      <c r="AG293" t="str">
        <f t="shared" si="193"/>
        <v>ComercioExterior</v>
      </c>
      <c r="AH293" t="str">
        <f t="shared" si="194"/>
        <v>PrecioFOB</v>
      </c>
      <c r="AI293" t="str">
        <f t="shared" si="195"/>
        <v>Monto II</v>
      </c>
      <c r="AJ293" t="str">
        <f t="shared" si="196"/>
        <v>Porcentaje II</v>
      </c>
      <c r="AK293" t="str">
        <f t="shared" si="197"/>
        <v>Foto</v>
      </c>
      <c r="AL293" t="str">
        <f>"{\rtf1\ansi\ansicpg1252\deff0\deflang11274{\fonttbl{\f0\fnil\fcharset0 MS Sans Serif}} \viewkind4\uc1\pard\f0\fs16 BULBO PRESION ACEITE  CHRYSLER / DODGE 300 3.5 99&lt;2010 / AVENGER 96&lt;1999 / CARAVAN 94&lt;2007 \par } "</f>
        <v xml:space="preserve">{\rtf1\ansi\ansicpg1252\deff0\deflang11274{\fonttbl{\f0\fnil\fcharset0 MS Sans Serif}} \viewkind4\uc1\pard\f0\fs16 BULBO PRESION ACEITE  CHRYSLER / DODGE 300 3.5 99&lt;2010 / AVENGER 96&lt;1999 / CARAVAN 94&lt;2007 \par } </v>
      </c>
      <c r="AM293" t="str">
        <f t="shared" si="210"/>
        <v>-</v>
      </c>
    </row>
    <row r="294" spans="1:39" x14ac:dyDescent="0.25">
      <c r="A294" t="str">
        <f>"FI300"</f>
        <v>FI300</v>
      </c>
      <c r="B294" t="str">
        <f>"BULBO PRESION ACEITE  FIAT 147 - DUCATO 1.9D/TD 2.5D/TD - DUNA - FIORINO 1.7D - UNO 1.0 1.3  0.3BAR"</f>
        <v>BULBO PRESION ACEITE  FIAT 147 - DUCATO 1.9D/TD 2.5D/TD - DUNA - FIORINO 1.7D - UNO 1.0 1.3  0.3BAR</v>
      </c>
      <c r="C294" t="str">
        <f>"$ 3706,17"</f>
        <v>$ 3706,17</v>
      </c>
      <c r="D294" t="str">
        <f>"$ 3706,17"</f>
        <v>$ 3706,17</v>
      </c>
      <c r="E294" t="str">
        <f>"$ 3706,17"</f>
        <v>$ 3706,17</v>
      </c>
      <c r="F294" t="str">
        <f>"$ 3706,17"</f>
        <v>$ 3706,17</v>
      </c>
      <c r="G294" t="str">
        <f>"$ 3706,17"</f>
        <v>$ 3706,17</v>
      </c>
      <c r="H294" t="str">
        <f t="shared" si="180"/>
        <v>$ 0,00</v>
      </c>
      <c r="I294" t="str">
        <f t="shared" si="213"/>
        <v>BULBO PRESION DE ACEITE</v>
      </c>
      <c r="J294" t="str">
        <f t="shared" si="181"/>
        <v>1</v>
      </c>
      <c r="K294" t="str">
        <f t="shared" si="206"/>
        <v>0</v>
      </c>
      <c r="L294" t="str">
        <f>"6,000"</f>
        <v>6,000</v>
      </c>
      <c r="M294" t="str">
        <f t="shared" si="182"/>
        <v xml:space="preserve"> </v>
      </c>
      <c r="N294" t="str">
        <f t="shared" si="211"/>
        <v>FISPA</v>
      </c>
      <c r="O294" t="str">
        <f t="shared" si="212"/>
        <v>BULBOS</v>
      </c>
      <c r="P294" t="str">
        <f t="shared" si="207"/>
        <v>0</v>
      </c>
      <c r="Q294" t="str">
        <f t="shared" si="207"/>
        <v>0</v>
      </c>
      <c r="R294" t="str">
        <f t="shared" si="208"/>
        <v>0,00</v>
      </c>
      <c r="S294" t="str">
        <f t="shared" si="208"/>
        <v>0,00</v>
      </c>
      <c r="T294" t="str">
        <f t="shared" si="205"/>
        <v xml:space="preserve"> </v>
      </c>
      <c r="U294" t="str">
        <f t="shared" si="209"/>
        <v xml:space="preserve"> </v>
      </c>
      <c r="V294" t="str">
        <f>"6,000"</f>
        <v>6,000</v>
      </c>
      <c r="W294" t="str">
        <f t="shared" si="183"/>
        <v>Lista 4</v>
      </c>
      <c r="X294" t="str">
        <f t="shared" si="184"/>
        <v>Lista 5</v>
      </c>
      <c r="Y294" t="str">
        <f t="shared" si="185"/>
        <v>Oferta Gral.</v>
      </c>
      <c r="Z294" t="str">
        <f t="shared" si="186"/>
        <v>Rubro</v>
      </c>
      <c r="AA294" t="str">
        <f t="shared" si="187"/>
        <v>Cantidad por Bulto</v>
      </c>
      <c r="AB294" t="str">
        <f t="shared" si="188"/>
        <v>INNER</v>
      </c>
      <c r="AC294" t="str">
        <f t="shared" si="189"/>
        <v>Stock en Bultos</v>
      </c>
      <c r="AD294" t="str">
        <f t="shared" si="190"/>
        <v>SubDepósito</v>
      </c>
      <c r="AE294" t="str">
        <f t="shared" si="191"/>
        <v>Marca</v>
      </c>
      <c r="AF294" t="str">
        <f t="shared" si="192"/>
        <v>Super Rubro</v>
      </c>
      <c r="AG294" t="str">
        <f t="shared" si="193"/>
        <v>ComercioExterior</v>
      </c>
      <c r="AH294" t="str">
        <f t="shared" si="194"/>
        <v>PrecioFOB</v>
      </c>
      <c r="AI294" t="str">
        <f t="shared" si="195"/>
        <v>Monto II</v>
      </c>
      <c r="AJ294" t="str">
        <f t="shared" si="196"/>
        <v>Porcentaje II</v>
      </c>
      <c r="AK294" t="str">
        <f t="shared" si="197"/>
        <v>Foto</v>
      </c>
      <c r="AL294" t="str">
        <f t="shared" ref="AL294:AL302" si="214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4" t="str">
        <f t="shared" si="210"/>
        <v>-</v>
      </c>
    </row>
    <row r="295" spans="1:39" x14ac:dyDescent="0.25">
      <c r="A295" t="str">
        <f>"FI301"</f>
        <v>FI301</v>
      </c>
      <c r="B295" t="str">
        <f>"BULBO PRESION ACEITE A ROMEO - FIAT - CHEVROLET - CITRÖEN -PEUGEOT MOTOR 1.4 - 1.6  0.35BAR"</f>
        <v>BULBO PRESION ACEITE A ROMEO - FIAT - CHEVROLET - CITRÖEN -PEUGEOT MOTOR 1.4 - 1.6  0.35BAR</v>
      </c>
      <c r="C295" t="str">
        <f>"$ 4512,29"</f>
        <v>$ 4512,29</v>
      </c>
      <c r="D295" t="str">
        <f>"$ 4512,29"</f>
        <v>$ 4512,29</v>
      </c>
      <c r="E295" t="str">
        <f>"$ 4512,29"</f>
        <v>$ 4512,29</v>
      </c>
      <c r="F295" t="str">
        <f>"$ 4512,29"</f>
        <v>$ 4512,29</v>
      </c>
      <c r="G295" t="str">
        <f>"$ 4512,29"</f>
        <v>$ 4512,29</v>
      </c>
      <c r="H295" t="str">
        <f t="shared" si="180"/>
        <v>$ 0,00</v>
      </c>
      <c r="I295" t="str">
        <f t="shared" si="213"/>
        <v>BULBO PRESION DE ACEITE</v>
      </c>
      <c r="J295" t="str">
        <f t="shared" si="181"/>
        <v>1</v>
      </c>
      <c r="K295" t="str">
        <f t="shared" si="206"/>
        <v>0</v>
      </c>
      <c r="L295" t="str">
        <f>"40,000"</f>
        <v>40,000</v>
      </c>
      <c r="M295" t="str">
        <f t="shared" si="182"/>
        <v xml:space="preserve"> </v>
      </c>
      <c r="N295" t="str">
        <f t="shared" si="211"/>
        <v>FISPA</v>
      </c>
      <c r="O295" t="str">
        <f t="shared" si="212"/>
        <v>BULBOS</v>
      </c>
      <c r="P295" t="str">
        <f t="shared" si="207"/>
        <v>0</v>
      </c>
      <c r="Q295" t="str">
        <f t="shared" si="207"/>
        <v>0</v>
      </c>
      <c r="R295" t="str">
        <f t="shared" si="208"/>
        <v>0,00</v>
      </c>
      <c r="S295" t="str">
        <f t="shared" si="208"/>
        <v>0,00</v>
      </c>
      <c r="T295" t="str">
        <f t="shared" si="205"/>
        <v xml:space="preserve"> </v>
      </c>
      <c r="U295" t="str">
        <f t="shared" si="209"/>
        <v xml:space="preserve"> </v>
      </c>
      <c r="V295" t="str">
        <f>"40,000"</f>
        <v>40,000</v>
      </c>
      <c r="W295" t="str">
        <f t="shared" si="183"/>
        <v>Lista 4</v>
      </c>
      <c r="X295" t="str">
        <f t="shared" si="184"/>
        <v>Lista 5</v>
      </c>
      <c r="Y295" t="str">
        <f t="shared" si="185"/>
        <v>Oferta Gral.</v>
      </c>
      <c r="Z295" t="str">
        <f t="shared" si="186"/>
        <v>Rubro</v>
      </c>
      <c r="AA295" t="str">
        <f t="shared" si="187"/>
        <v>Cantidad por Bulto</v>
      </c>
      <c r="AB295" t="str">
        <f t="shared" si="188"/>
        <v>INNER</v>
      </c>
      <c r="AC295" t="str">
        <f t="shared" si="189"/>
        <v>Stock en Bultos</v>
      </c>
      <c r="AD295" t="str">
        <f t="shared" si="190"/>
        <v>SubDepósito</v>
      </c>
      <c r="AE295" t="str">
        <f t="shared" si="191"/>
        <v>Marca</v>
      </c>
      <c r="AF295" t="str">
        <f t="shared" si="192"/>
        <v>Super Rubro</v>
      </c>
      <c r="AG295" t="str">
        <f t="shared" si="193"/>
        <v>ComercioExterior</v>
      </c>
      <c r="AH295" t="str">
        <f t="shared" si="194"/>
        <v>PrecioFOB</v>
      </c>
      <c r="AI295" t="str">
        <f t="shared" si="195"/>
        <v>Monto II</v>
      </c>
      <c r="AJ295" t="str">
        <f t="shared" si="196"/>
        <v>Porcentaje II</v>
      </c>
      <c r="AK295" t="str">
        <f t="shared" si="197"/>
        <v>Foto</v>
      </c>
      <c r="AL295" t="str">
        <f t="shared" si="214"/>
        <v xml:space="preserve">{\rtf1\ansi\deff0{\fonttbl{\f0\fnil\fcharset0 MS Sans Serif}} \viewkind4\uc1\pard\lang11274\f0\fs16\par } </v>
      </c>
      <c r="AM295" t="str">
        <f t="shared" si="210"/>
        <v>-</v>
      </c>
    </row>
    <row r="296" spans="1:39" x14ac:dyDescent="0.25">
      <c r="A296" t="str">
        <f>"FI340"</f>
        <v>FI340</v>
      </c>
      <c r="B296" t="str">
        <f>"BULBO PRESION ACEITE AUDI A3  VW GOLF V / PASSAT VI 2.0 FSI / TOURAN 2.0 FSI / VENTO 2.– 2.0 TFSI"</f>
        <v>BULBO PRESION ACEITE AUDI A3  VW GOLF V / PASSAT VI 2.0 FSI / TOURAN 2.0 FSI / VENTO 2.– 2.0 TFSI</v>
      </c>
      <c r="C296" t="str">
        <f>"$ 6062,62"</f>
        <v>$ 6062,62</v>
      </c>
      <c r="D296" t="str">
        <f>"$ 6062,62"</f>
        <v>$ 6062,62</v>
      </c>
      <c r="E296" t="str">
        <f>"$ 6062,62"</f>
        <v>$ 6062,62</v>
      </c>
      <c r="F296" t="str">
        <f>"$ 6062,62"</f>
        <v>$ 6062,62</v>
      </c>
      <c r="G296" t="str">
        <f>"$ 6062,62"</f>
        <v>$ 6062,62</v>
      </c>
      <c r="H296" t="str">
        <f t="shared" si="180"/>
        <v>$ 0,00</v>
      </c>
      <c r="I296" t="str">
        <f t="shared" si="213"/>
        <v>BULBO PRESION DE ACEITE</v>
      </c>
      <c r="J296" t="str">
        <f t="shared" si="181"/>
        <v>1</v>
      </c>
      <c r="K296" t="str">
        <f t="shared" si="206"/>
        <v>0</v>
      </c>
      <c r="L296" t="str">
        <f>"0,000"</f>
        <v>0,000</v>
      </c>
      <c r="M296" t="str">
        <f t="shared" si="182"/>
        <v xml:space="preserve"> </v>
      </c>
      <c r="N296" t="str">
        <f t="shared" si="211"/>
        <v>FISPA</v>
      </c>
      <c r="O296" t="str">
        <f t="shared" si="212"/>
        <v>BULBOS</v>
      </c>
      <c r="P296" t="str">
        <f t="shared" si="207"/>
        <v>0</v>
      </c>
      <c r="Q296" t="str">
        <f t="shared" si="207"/>
        <v>0</v>
      </c>
      <c r="R296" t="str">
        <f t="shared" si="208"/>
        <v>0,00</v>
      </c>
      <c r="S296" t="str">
        <f t="shared" si="208"/>
        <v>0,00</v>
      </c>
      <c r="T296" t="str">
        <f t="shared" si="205"/>
        <v xml:space="preserve"> </v>
      </c>
      <c r="U296" t="str">
        <f t="shared" si="209"/>
        <v xml:space="preserve"> </v>
      </c>
      <c r="V296" t="str">
        <f>"0,000"</f>
        <v>0,000</v>
      </c>
      <c r="W296" t="str">
        <f t="shared" si="183"/>
        <v>Lista 4</v>
      </c>
      <c r="X296" t="str">
        <f t="shared" si="184"/>
        <v>Lista 5</v>
      </c>
      <c r="Y296" t="str">
        <f t="shared" si="185"/>
        <v>Oferta Gral.</v>
      </c>
      <c r="Z296" t="str">
        <f t="shared" si="186"/>
        <v>Rubro</v>
      </c>
      <c r="AA296" t="str">
        <f t="shared" si="187"/>
        <v>Cantidad por Bulto</v>
      </c>
      <c r="AB296" t="str">
        <f t="shared" si="188"/>
        <v>INNER</v>
      </c>
      <c r="AC296" t="str">
        <f t="shared" si="189"/>
        <v>Stock en Bultos</v>
      </c>
      <c r="AD296" t="str">
        <f t="shared" si="190"/>
        <v>SubDepósito</v>
      </c>
      <c r="AE296" t="str">
        <f t="shared" si="191"/>
        <v>Marca</v>
      </c>
      <c r="AF296" t="str">
        <f t="shared" si="192"/>
        <v>Super Rubro</v>
      </c>
      <c r="AG296" t="str">
        <f t="shared" si="193"/>
        <v>ComercioExterior</v>
      </c>
      <c r="AH296" t="str">
        <f t="shared" si="194"/>
        <v>PrecioFOB</v>
      </c>
      <c r="AI296" t="str">
        <f t="shared" si="195"/>
        <v>Monto II</v>
      </c>
      <c r="AJ296" t="str">
        <f t="shared" si="196"/>
        <v>Porcentaje II</v>
      </c>
      <c r="AK296" t="str">
        <f t="shared" si="197"/>
        <v>Foto</v>
      </c>
      <c r="AL296" t="str">
        <f t="shared" si="214"/>
        <v xml:space="preserve">{\rtf1\ansi\deff0{\fonttbl{\f0\fnil\fcharset0 MS Sans Serif}} \viewkind4\uc1\pard\lang11274\f0\fs16\par } </v>
      </c>
      <c r="AM296" t="str">
        <f t="shared" si="210"/>
        <v>-</v>
      </c>
    </row>
    <row r="297" spans="1:39" x14ac:dyDescent="0.25">
      <c r="A297" t="str">
        <f>"FI325"</f>
        <v>FI325</v>
      </c>
      <c r="B297" t="str">
        <f>"BULBO PRESION ACEITE AUDI A3 -  A4 - A6 - TT - VW BORA - CADDY - GOLF IV - PASSAT - 1.4BAR"</f>
        <v>BULBO PRESION ACEITE AUDI A3 -  A4 - A6 - TT - VW BORA - CADDY - GOLF IV - PASSAT - 1.4BAR</v>
      </c>
      <c r="C297" t="str">
        <f>"$ 5390,23"</f>
        <v>$ 5390,23</v>
      </c>
      <c r="D297" t="str">
        <f>"$ 5390,23"</f>
        <v>$ 5390,23</v>
      </c>
      <c r="E297" t="str">
        <f>"$ 5390,23"</f>
        <v>$ 5390,23</v>
      </c>
      <c r="F297" t="str">
        <f>"$ 5390,23"</f>
        <v>$ 5390,23</v>
      </c>
      <c r="G297" t="str">
        <f>"$ 5390,23"</f>
        <v>$ 5390,23</v>
      </c>
      <c r="H297" t="str">
        <f t="shared" si="180"/>
        <v>$ 0,00</v>
      </c>
      <c r="I297" t="str">
        <f t="shared" si="213"/>
        <v>BULBO PRESION DE ACEITE</v>
      </c>
      <c r="J297" t="str">
        <f t="shared" si="181"/>
        <v>1</v>
      </c>
      <c r="K297" t="str">
        <f t="shared" si="206"/>
        <v>0</v>
      </c>
      <c r="L297" t="str">
        <f>"0,000"</f>
        <v>0,000</v>
      </c>
      <c r="M297" t="str">
        <f t="shared" si="182"/>
        <v xml:space="preserve"> </v>
      </c>
      <c r="N297" t="str">
        <f t="shared" si="211"/>
        <v>FISPA</v>
      </c>
      <c r="O297" t="str">
        <f t="shared" si="212"/>
        <v>BULBOS</v>
      </c>
      <c r="P297" t="str">
        <f t="shared" si="207"/>
        <v>0</v>
      </c>
      <c r="Q297" t="str">
        <f t="shared" si="207"/>
        <v>0</v>
      </c>
      <c r="R297" t="str">
        <f t="shared" si="208"/>
        <v>0,00</v>
      </c>
      <c r="S297" t="str">
        <f t="shared" si="208"/>
        <v>0,00</v>
      </c>
      <c r="T297" t="str">
        <f t="shared" si="205"/>
        <v xml:space="preserve"> </v>
      </c>
      <c r="U297" t="str">
        <f t="shared" si="209"/>
        <v xml:space="preserve"> </v>
      </c>
      <c r="V297" t="str">
        <f>"0,000"</f>
        <v>0,000</v>
      </c>
      <c r="W297" t="str">
        <f t="shared" si="183"/>
        <v>Lista 4</v>
      </c>
      <c r="X297" t="str">
        <f t="shared" si="184"/>
        <v>Lista 5</v>
      </c>
      <c r="Y297" t="str">
        <f t="shared" si="185"/>
        <v>Oferta Gral.</v>
      </c>
      <c r="Z297" t="str">
        <f t="shared" si="186"/>
        <v>Rubro</v>
      </c>
      <c r="AA297" t="str">
        <f t="shared" si="187"/>
        <v>Cantidad por Bulto</v>
      </c>
      <c r="AB297" t="str">
        <f t="shared" si="188"/>
        <v>INNER</v>
      </c>
      <c r="AC297" t="str">
        <f t="shared" si="189"/>
        <v>Stock en Bultos</v>
      </c>
      <c r="AD297" t="str">
        <f t="shared" si="190"/>
        <v>SubDepósito</v>
      </c>
      <c r="AE297" t="str">
        <f t="shared" si="191"/>
        <v>Marca</v>
      </c>
      <c r="AF297" t="str">
        <f t="shared" si="192"/>
        <v>Super Rubro</v>
      </c>
      <c r="AG297" t="str">
        <f t="shared" si="193"/>
        <v>ComercioExterior</v>
      </c>
      <c r="AH297" t="str">
        <f t="shared" si="194"/>
        <v>PrecioFOB</v>
      </c>
      <c r="AI297" t="str">
        <f t="shared" si="195"/>
        <v>Monto II</v>
      </c>
      <c r="AJ297" t="str">
        <f t="shared" si="196"/>
        <v>Porcentaje II</v>
      </c>
      <c r="AK297" t="str">
        <f t="shared" si="197"/>
        <v>Foto</v>
      </c>
      <c r="AL297" t="str">
        <f t="shared" si="214"/>
        <v xml:space="preserve">{\rtf1\ansi\deff0{\fonttbl{\f0\fnil\fcharset0 MS Sans Serif}} \viewkind4\uc1\pard\lang11274\f0\fs16\par } </v>
      </c>
      <c r="AM297" t="str">
        <f t="shared" si="210"/>
        <v>-</v>
      </c>
    </row>
    <row r="298" spans="1:39" x14ac:dyDescent="0.25">
      <c r="A298" t="str">
        <f>"FI324"</f>
        <v>FI324</v>
      </c>
      <c r="B298" t="str">
        <f>"BULBO PRESION ACEITE AUDI A3 - A4 - A6 - TT -VW  BORA - CADDY - GOLF IV - PASSAT/POLO  0.9BAR"</f>
        <v>BULBO PRESION ACEITE AUDI A3 - A4 - A6 - TT -VW  BORA - CADDY - GOLF IV - PASSAT/POLO  0.9BAR</v>
      </c>
      <c r="C298" t="str">
        <f t="shared" ref="C298:G299" si="215">"$ 5133,91"</f>
        <v>$ 5133,91</v>
      </c>
      <c r="D298" t="str">
        <f t="shared" si="215"/>
        <v>$ 5133,91</v>
      </c>
      <c r="E298" t="str">
        <f t="shared" si="215"/>
        <v>$ 5133,91</v>
      </c>
      <c r="F298" t="str">
        <f t="shared" si="215"/>
        <v>$ 5133,91</v>
      </c>
      <c r="G298" t="str">
        <f t="shared" si="215"/>
        <v>$ 5133,91</v>
      </c>
      <c r="H298" t="str">
        <f t="shared" si="180"/>
        <v>$ 0,00</v>
      </c>
      <c r="I298" t="str">
        <f t="shared" si="213"/>
        <v>BULBO PRESION DE ACEITE</v>
      </c>
      <c r="J298" t="str">
        <f t="shared" si="181"/>
        <v>1</v>
      </c>
      <c r="K298" t="str">
        <f t="shared" si="206"/>
        <v>0</v>
      </c>
      <c r="L298" t="str">
        <f>"23,000"</f>
        <v>23,000</v>
      </c>
      <c r="M298" t="str">
        <f t="shared" si="182"/>
        <v xml:space="preserve"> </v>
      </c>
      <c r="N298" t="str">
        <f t="shared" si="211"/>
        <v>FISPA</v>
      </c>
      <c r="O298" t="str">
        <f t="shared" si="212"/>
        <v>BULBOS</v>
      </c>
      <c r="P298" t="str">
        <f t="shared" si="207"/>
        <v>0</v>
      </c>
      <c r="Q298" t="str">
        <f t="shared" si="207"/>
        <v>0</v>
      </c>
      <c r="R298" t="str">
        <f t="shared" si="208"/>
        <v>0,00</v>
      </c>
      <c r="S298" t="str">
        <f t="shared" si="208"/>
        <v>0,00</v>
      </c>
      <c r="T298" t="str">
        <f t="shared" si="205"/>
        <v xml:space="preserve"> </v>
      </c>
      <c r="U298" t="str">
        <f t="shared" si="209"/>
        <v xml:space="preserve"> </v>
      </c>
      <c r="V298" t="str">
        <f>"23,000"</f>
        <v>23,000</v>
      </c>
      <c r="W298" t="str">
        <f t="shared" si="183"/>
        <v>Lista 4</v>
      </c>
      <c r="X298" t="str">
        <f t="shared" si="184"/>
        <v>Lista 5</v>
      </c>
      <c r="Y298" t="str">
        <f t="shared" si="185"/>
        <v>Oferta Gral.</v>
      </c>
      <c r="Z298" t="str">
        <f t="shared" si="186"/>
        <v>Rubro</v>
      </c>
      <c r="AA298" t="str">
        <f t="shared" si="187"/>
        <v>Cantidad por Bulto</v>
      </c>
      <c r="AB298" t="str">
        <f t="shared" si="188"/>
        <v>INNER</v>
      </c>
      <c r="AC298" t="str">
        <f t="shared" si="189"/>
        <v>Stock en Bultos</v>
      </c>
      <c r="AD298" t="str">
        <f t="shared" si="190"/>
        <v>SubDepósito</v>
      </c>
      <c r="AE298" t="str">
        <f t="shared" si="191"/>
        <v>Marca</v>
      </c>
      <c r="AF298" t="str">
        <f t="shared" si="192"/>
        <v>Super Rubro</v>
      </c>
      <c r="AG298" t="str">
        <f t="shared" si="193"/>
        <v>ComercioExterior</v>
      </c>
      <c r="AH298" t="str">
        <f t="shared" si="194"/>
        <v>PrecioFOB</v>
      </c>
      <c r="AI298" t="str">
        <f t="shared" si="195"/>
        <v>Monto II</v>
      </c>
      <c r="AJ298" t="str">
        <f t="shared" si="196"/>
        <v>Porcentaje II</v>
      </c>
      <c r="AK298" t="str">
        <f t="shared" si="197"/>
        <v>Foto</v>
      </c>
      <c r="AL298" t="str">
        <f t="shared" si="214"/>
        <v xml:space="preserve">{\rtf1\ansi\deff0{\fonttbl{\f0\fnil\fcharset0 MS Sans Serif}} \viewkind4\uc1\pard\lang11274\f0\fs16\par } </v>
      </c>
      <c r="AM298" t="str">
        <f t="shared" si="210"/>
        <v>-</v>
      </c>
    </row>
    <row r="299" spans="1:39" x14ac:dyDescent="0.25">
      <c r="A299" t="str">
        <f>"FI323"</f>
        <v>FI323</v>
      </c>
      <c r="B299" t="str">
        <f>"BULBO PRESION ACEITE AUDI A3 -VW BORA - GOLF 2.8 24V - GOLF IV 1.6 1.9TDI 2.0  POLO 0.25 BAR"</f>
        <v>BULBO PRESION ACEITE AUDI A3 -VW BORA - GOLF 2.8 24V - GOLF IV 1.6 1.9TDI 2.0  POLO 0.25 BAR</v>
      </c>
      <c r="C299" t="str">
        <f t="shared" si="215"/>
        <v>$ 5133,91</v>
      </c>
      <c r="D299" t="str">
        <f t="shared" si="215"/>
        <v>$ 5133,91</v>
      </c>
      <c r="E299" t="str">
        <f t="shared" si="215"/>
        <v>$ 5133,91</v>
      </c>
      <c r="F299" t="str">
        <f t="shared" si="215"/>
        <v>$ 5133,91</v>
      </c>
      <c r="G299" t="str">
        <f t="shared" si="215"/>
        <v>$ 5133,91</v>
      </c>
      <c r="H299" t="str">
        <f t="shared" si="180"/>
        <v>$ 0,00</v>
      </c>
      <c r="I299" t="str">
        <f t="shared" si="213"/>
        <v>BULBO PRESION DE ACEITE</v>
      </c>
      <c r="J299" t="str">
        <f t="shared" si="181"/>
        <v>1</v>
      </c>
      <c r="K299" t="str">
        <f t="shared" si="206"/>
        <v>0</v>
      </c>
      <c r="L299" t="str">
        <f>"0,000"</f>
        <v>0,000</v>
      </c>
      <c r="M299" t="str">
        <f t="shared" si="182"/>
        <v xml:space="preserve"> </v>
      </c>
      <c r="N299" t="str">
        <f t="shared" si="211"/>
        <v>FISPA</v>
      </c>
      <c r="O299" t="str">
        <f t="shared" si="212"/>
        <v>BULBOS</v>
      </c>
      <c r="P299" t="str">
        <f t="shared" si="207"/>
        <v>0</v>
      </c>
      <c r="Q299" t="str">
        <f t="shared" si="207"/>
        <v>0</v>
      </c>
      <c r="R299" t="str">
        <f t="shared" si="208"/>
        <v>0,00</v>
      </c>
      <c r="S299" t="str">
        <f t="shared" si="208"/>
        <v>0,00</v>
      </c>
      <c r="T299" t="str">
        <f t="shared" si="205"/>
        <v xml:space="preserve"> </v>
      </c>
      <c r="U299" t="str">
        <f t="shared" si="209"/>
        <v xml:space="preserve"> </v>
      </c>
      <c r="V299" t="str">
        <f>"0,000"</f>
        <v>0,000</v>
      </c>
      <c r="W299" t="str">
        <f t="shared" si="183"/>
        <v>Lista 4</v>
      </c>
      <c r="X299" t="str">
        <f t="shared" si="184"/>
        <v>Lista 5</v>
      </c>
      <c r="Y299" t="str">
        <f t="shared" si="185"/>
        <v>Oferta Gral.</v>
      </c>
      <c r="Z299" t="str">
        <f t="shared" si="186"/>
        <v>Rubro</v>
      </c>
      <c r="AA299" t="str">
        <f t="shared" si="187"/>
        <v>Cantidad por Bulto</v>
      </c>
      <c r="AB299" t="str">
        <f t="shared" si="188"/>
        <v>INNER</v>
      </c>
      <c r="AC299" t="str">
        <f t="shared" si="189"/>
        <v>Stock en Bultos</v>
      </c>
      <c r="AD299" t="str">
        <f t="shared" si="190"/>
        <v>SubDepósito</v>
      </c>
      <c r="AE299" t="str">
        <f t="shared" si="191"/>
        <v>Marca</v>
      </c>
      <c r="AF299" t="str">
        <f t="shared" si="192"/>
        <v>Super Rubro</v>
      </c>
      <c r="AG299" t="str">
        <f t="shared" si="193"/>
        <v>ComercioExterior</v>
      </c>
      <c r="AH299" t="str">
        <f t="shared" si="194"/>
        <v>PrecioFOB</v>
      </c>
      <c r="AI299" t="str">
        <f t="shared" si="195"/>
        <v>Monto II</v>
      </c>
      <c r="AJ299" t="str">
        <f t="shared" si="196"/>
        <v>Porcentaje II</v>
      </c>
      <c r="AK299" t="str">
        <f t="shared" si="197"/>
        <v>Foto</v>
      </c>
      <c r="AL299" t="str">
        <f t="shared" si="214"/>
        <v xml:space="preserve">{\rtf1\ansi\deff0{\fonttbl{\f0\fnil\fcharset0 MS Sans Serif}} \viewkind4\uc1\pard\lang11274\f0\fs16\par } </v>
      </c>
      <c r="AM299" t="str">
        <f t="shared" si="210"/>
        <v>-</v>
      </c>
    </row>
    <row r="300" spans="1:39" x14ac:dyDescent="0.25">
      <c r="A300" t="str">
        <f>"FI322"</f>
        <v>FI322</v>
      </c>
      <c r="B300" t="str">
        <f>"BULBO PRESION ACEITE AUDI A3 1.9TDI VW BORA - GOLF - FOX /PASSAT -0,7BAR - TODOS TDI - SDI"</f>
        <v>BULBO PRESION ACEITE AUDI A3 1.9TDI VW BORA - GOLF - FOX /PASSAT -0,7BAR - TODOS TDI - SDI</v>
      </c>
      <c r="C300" t="str">
        <f>"$ 7427,20"</f>
        <v>$ 7427,20</v>
      </c>
      <c r="D300" t="str">
        <f>"$ 7427,20"</f>
        <v>$ 7427,20</v>
      </c>
      <c r="E300" t="str">
        <f>"$ 7427,20"</f>
        <v>$ 7427,20</v>
      </c>
      <c r="F300" t="str">
        <f>"$ 7427,20"</f>
        <v>$ 7427,20</v>
      </c>
      <c r="G300" t="str">
        <f>"$ 7427,20"</f>
        <v>$ 7427,20</v>
      </c>
      <c r="H300" t="str">
        <f t="shared" si="180"/>
        <v>$ 0,00</v>
      </c>
      <c r="I300" t="str">
        <f t="shared" si="213"/>
        <v>BULBO PRESION DE ACEITE</v>
      </c>
      <c r="J300" t="str">
        <f t="shared" si="181"/>
        <v>1</v>
      </c>
      <c r="K300" t="str">
        <f t="shared" si="206"/>
        <v>0</v>
      </c>
      <c r="L300" t="str">
        <f>"0,000"</f>
        <v>0,000</v>
      </c>
      <c r="M300" t="str">
        <f t="shared" si="182"/>
        <v xml:space="preserve"> </v>
      </c>
      <c r="N300" t="str">
        <f t="shared" si="211"/>
        <v>FISPA</v>
      </c>
      <c r="O300" t="str">
        <f t="shared" si="212"/>
        <v>BULBOS</v>
      </c>
      <c r="P300" t="str">
        <f t="shared" si="207"/>
        <v>0</v>
      </c>
      <c r="Q300" t="str">
        <f t="shared" si="207"/>
        <v>0</v>
      </c>
      <c r="R300" t="str">
        <f t="shared" si="208"/>
        <v>0,00</v>
      </c>
      <c r="S300" t="str">
        <f t="shared" si="208"/>
        <v>0,00</v>
      </c>
      <c r="T300" t="str">
        <f t="shared" si="205"/>
        <v xml:space="preserve"> </v>
      </c>
      <c r="U300" t="str">
        <f t="shared" si="209"/>
        <v xml:space="preserve"> </v>
      </c>
      <c r="V300" t="str">
        <f>"0,000"</f>
        <v>0,000</v>
      </c>
      <c r="W300" t="str">
        <f t="shared" si="183"/>
        <v>Lista 4</v>
      </c>
      <c r="X300" t="str">
        <f t="shared" si="184"/>
        <v>Lista 5</v>
      </c>
      <c r="Y300" t="str">
        <f t="shared" si="185"/>
        <v>Oferta Gral.</v>
      </c>
      <c r="Z300" t="str">
        <f t="shared" si="186"/>
        <v>Rubro</v>
      </c>
      <c r="AA300" t="str">
        <f t="shared" si="187"/>
        <v>Cantidad por Bulto</v>
      </c>
      <c r="AB300" t="str">
        <f t="shared" si="188"/>
        <v>INNER</v>
      </c>
      <c r="AC300" t="str">
        <f t="shared" si="189"/>
        <v>Stock en Bultos</v>
      </c>
      <c r="AD300" t="str">
        <f t="shared" si="190"/>
        <v>SubDepósito</v>
      </c>
      <c r="AE300" t="str">
        <f t="shared" si="191"/>
        <v>Marca</v>
      </c>
      <c r="AF300" t="str">
        <f t="shared" si="192"/>
        <v>Super Rubro</v>
      </c>
      <c r="AG300" t="str">
        <f t="shared" si="193"/>
        <v>ComercioExterior</v>
      </c>
      <c r="AH300" t="str">
        <f t="shared" si="194"/>
        <v>PrecioFOB</v>
      </c>
      <c r="AI300" t="str">
        <f t="shared" si="195"/>
        <v>Monto II</v>
      </c>
      <c r="AJ300" t="str">
        <f t="shared" si="196"/>
        <v>Porcentaje II</v>
      </c>
      <c r="AK300" t="str">
        <f t="shared" si="197"/>
        <v>Foto</v>
      </c>
      <c r="AL300" t="str">
        <f t="shared" si="214"/>
        <v xml:space="preserve">{\rtf1\ansi\deff0{\fonttbl{\f0\fnil\fcharset0 MS Sans Serif}} \viewkind4\uc1\pard\lang11274\f0\fs16\par } </v>
      </c>
      <c r="AM300" t="str">
        <f t="shared" si="210"/>
        <v>-</v>
      </c>
    </row>
    <row r="301" spans="1:39" x14ac:dyDescent="0.25">
      <c r="A301" t="str">
        <f>"FI327"</f>
        <v>FI327</v>
      </c>
      <c r="B301" t="str">
        <f>"BULBO PRESION ACEITE AUDI A4 - A6 - VW BORA - CADDY - GOLF - FOX - POLO - 0.5BAR"</f>
        <v>BULBO PRESION ACEITE AUDI A4 - A6 - VW BORA - CADDY - GOLF - FOX - POLO - 0.5BAR</v>
      </c>
      <c r="C301" t="str">
        <f>"$ 6567,83"</f>
        <v>$ 6567,83</v>
      </c>
      <c r="D301" t="str">
        <f>"$ 6567,83"</f>
        <v>$ 6567,83</v>
      </c>
      <c r="E301" t="str">
        <f>"$ 6567,83"</f>
        <v>$ 6567,83</v>
      </c>
      <c r="F301" t="str">
        <f>"$ 6567,83"</f>
        <v>$ 6567,83</v>
      </c>
      <c r="G301" t="str">
        <f>"$ 6567,83"</f>
        <v>$ 6567,83</v>
      </c>
      <c r="H301" t="str">
        <f t="shared" si="180"/>
        <v>$ 0,00</v>
      </c>
      <c r="I301" t="str">
        <f t="shared" si="213"/>
        <v>BULBO PRESION DE ACEITE</v>
      </c>
      <c r="J301" t="str">
        <f t="shared" si="181"/>
        <v>1</v>
      </c>
      <c r="K301" t="str">
        <f t="shared" si="206"/>
        <v>0</v>
      </c>
      <c r="L301" t="str">
        <f>"38,000"</f>
        <v>38,000</v>
      </c>
      <c r="M301" t="str">
        <f t="shared" si="182"/>
        <v xml:space="preserve"> </v>
      </c>
      <c r="N301" t="str">
        <f t="shared" si="211"/>
        <v>FISPA</v>
      </c>
      <c r="O301" t="str">
        <f t="shared" si="212"/>
        <v>BULBOS</v>
      </c>
      <c r="P301" t="str">
        <f t="shared" si="207"/>
        <v>0</v>
      </c>
      <c r="Q301" t="str">
        <f t="shared" si="207"/>
        <v>0</v>
      </c>
      <c r="R301" t="str">
        <f t="shared" si="208"/>
        <v>0,00</v>
      </c>
      <c r="S301" t="str">
        <f t="shared" si="208"/>
        <v>0,00</v>
      </c>
      <c r="T301" t="str">
        <f t="shared" si="205"/>
        <v xml:space="preserve"> </v>
      </c>
      <c r="U301" t="str">
        <f t="shared" si="209"/>
        <v xml:space="preserve"> </v>
      </c>
      <c r="V301" t="str">
        <f>"38,000"</f>
        <v>38,000</v>
      </c>
      <c r="W301" t="str">
        <f t="shared" si="183"/>
        <v>Lista 4</v>
      </c>
      <c r="X301" t="str">
        <f t="shared" si="184"/>
        <v>Lista 5</v>
      </c>
      <c r="Y301" t="str">
        <f t="shared" si="185"/>
        <v>Oferta Gral.</v>
      </c>
      <c r="Z301" t="str">
        <f t="shared" si="186"/>
        <v>Rubro</v>
      </c>
      <c r="AA301" t="str">
        <f t="shared" si="187"/>
        <v>Cantidad por Bulto</v>
      </c>
      <c r="AB301" t="str">
        <f t="shared" si="188"/>
        <v>INNER</v>
      </c>
      <c r="AC301" t="str">
        <f t="shared" si="189"/>
        <v>Stock en Bultos</v>
      </c>
      <c r="AD301" t="str">
        <f t="shared" si="190"/>
        <v>SubDepósito</v>
      </c>
      <c r="AE301" t="str">
        <f t="shared" si="191"/>
        <v>Marca</v>
      </c>
      <c r="AF301" t="str">
        <f t="shared" si="192"/>
        <v>Super Rubro</v>
      </c>
      <c r="AG301" t="str">
        <f t="shared" si="193"/>
        <v>ComercioExterior</v>
      </c>
      <c r="AH301" t="str">
        <f t="shared" si="194"/>
        <v>PrecioFOB</v>
      </c>
      <c r="AI301" t="str">
        <f t="shared" si="195"/>
        <v>Monto II</v>
      </c>
      <c r="AJ301" t="str">
        <f t="shared" si="196"/>
        <v>Porcentaje II</v>
      </c>
      <c r="AK301" t="str">
        <f t="shared" si="197"/>
        <v>Foto</v>
      </c>
      <c r="AL301" t="str">
        <f t="shared" si="214"/>
        <v xml:space="preserve">{\rtf1\ansi\deff0{\fonttbl{\f0\fnil\fcharset0 MS Sans Serif}} \viewkind4\uc1\pard\lang11274\f0\fs16\par } </v>
      </c>
      <c r="AM301" t="str">
        <f t="shared" si="210"/>
        <v>-</v>
      </c>
    </row>
    <row r="302" spans="1:39" x14ac:dyDescent="0.25">
      <c r="A302" t="str">
        <f>"FI312"</f>
        <v>FI312</v>
      </c>
      <c r="B302" t="str">
        <f>"BULBO PRESION ACEITE BERLINGO P306/405/406 - PARTNER/BOXER - LAGUNA 3.0I DUCATO - 0.5BAR"</f>
        <v>BULBO PRESION ACEITE BERLINGO P306/405/406 - PARTNER/BOXER - LAGUNA 3.0I DUCATO - 0.5BAR</v>
      </c>
      <c r="C302" t="str">
        <f>"$ 4597,73"</f>
        <v>$ 4597,73</v>
      </c>
      <c r="D302" t="str">
        <f>"$ 4597,73"</f>
        <v>$ 4597,73</v>
      </c>
      <c r="E302" t="str">
        <f>"$ 4597,73"</f>
        <v>$ 4597,73</v>
      </c>
      <c r="F302" t="str">
        <f>"$ 4597,73"</f>
        <v>$ 4597,73</v>
      </c>
      <c r="G302" t="str">
        <f>"$ 4597,73"</f>
        <v>$ 4597,73</v>
      </c>
      <c r="H302" t="str">
        <f t="shared" si="180"/>
        <v>$ 0,00</v>
      </c>
      <c r="I302" t="str">
        <f t="shared" si="213"/>
        <v>BULBO PRESION DE ACEITE</v>
      </c>
      <c r="J302" t="str">
        <f t="shared" si="181"/>
        <v>1</v>
      </c>
      <c r="K302" t="str">
        <f t="shared" si="206"/>
        <v>0</v>
      </c>
      <c r="L302" t="str">
        <f>"0,000"</f>
        <v>0,000</v>
      </c>
      <c r="M302" t="str">
        <f t="shared" si="182"/>
        <v xml:space="preserve"> </v>
      </c>
      <c r="N302" t="str">
        <f t="shared" si="211"/>
        <v>FISPA</v>
      </c>
      <c r="O302" t="str">
        <f t="shared" si="212"/>
        <v>BULBOS</v>
      </c>
      <c r="P302" t="str">
        <f t="shared" si="207"/>
        <v>0</v>
      </c>
      <c r="Q302" t="str">
        <f t="shared" si="207"/>
        <v>0</v>
      </c>
      <c r="R302" t="str">
        <f t="shared" si="208"/>
        <v>0,00</v>
      </c>
      <c r="S302" t="str">
        <f t="shared" si="208"/>
        <v>0,00</v>
      </c>
      <c r="T302" t="str">
        <f t="shared" si="205"/>
        <v xml:space="preserve"> </v>
      </c>
      <c r="U302" t="str">
        <f t="shared" si="209"/>
        <v xml:space="preserve"> </v>
      </c>
      <c r="V302" t="str">
        <f>"0,000"</f>
        <v>0,000</v>
      </c>
      <c r="W302" t="str">
        <f t="shared" si="183"/>
        <v>Lista 4</v>
      </c>
      <c r="X302" t="str">
        <f t="shared" si="184"/>
        <v>Lista 5</v>
      </c>
      <c r="Y302" t="str">
        <f t="shared" si="185"/>
        <v>Oferta Gral.</v>
      </c>
      <c r="Z302" t="str">
        <f t="shared" si="186"/>
        <v>Rubro</v>
      </c>
      <c r="AA302" t="str">
        <f t="shared" si="187"/>
        <v>Cantidad por Bulto</v>
      </c>
      <c r="AB302" t="str">
        <f t="shared" si="188"/>
        <v>INNER</v>
      </c>
      <c r="AC302" t="str">
        <f t="shared" si="189"/>
        <v>Stock en Bultos</v>
      </c>
      <c r="AD302" t="str">
        <f t="shared" si="190"/>
        <v>SubDepósito</v>
      </c>
      <c r="AE302" t="str">
        <f t="shared" si="191"/>
        <v>Marca</v>
      </c>
      <c r="AF302" t="str">
        <f t="shared" si="192"/>
        <v>Super Rubro</v>
      </c>
      <c r="AG302" t="str">
        <f t="shared" si="193"/>
        <v>ComercioExterior</v>
      </c>
      <c r="AH302" t="str">
        <f t="shared" si="194"/>
        <v>PrecioFOB</v>
      </c>
      <c r="AI302" t="str">
        <f t="shared" si="195"/>
        <v>Monto II</v>
      </c>
      <c r="AJ302" t="str">
        <f t="shared" si="196"/>
        <v>Porcentaje II</v>
      </c>
      <c r="AK302" t="str">
        <f t="shared" si="197"/>
        <v>Foto</v>
      </c>
      <c r="AL302" t="str">
        <f t="shared" si="214"/>
        <v xml:space="preserve">{\rtf1\ansi\deff0{\fonttbl{\f0\fnil\fcharset0 MS Sans Serif}} \viewkind4\uc1\pard\lang11274\f0\fs16\par } </v>
      </c>
      <c r="AM302" t="str">
        <f t="shared" si="210"/>
        <v>-</v>
      </c>
    </row>
    <row r="303" spans="1:39" x14ac:dyDescent="0.25">
      <c r="A303" t="str">
        <f>"FI338"</f>
        <v>FI338</v>
      </c>
      <c r="B303" t="str">
        <f>"BULBO PRESION ACEITE BMW SERIE 1/3/5/6/7/ X3/X5/X6/Z3/Z4 "</f>
        <v xml:space="preserve">BULBO PRESION ACEITE BMW SERIE 1/3/5/6/7/ X3/X5/X6/Z3/Z4 </v>
      </c>
      <c r="C303" t="str">
        <f>"$ 4383,51"</f>
        <v>$ 4383,51</v>
      </c>
      <c r="D303" t="str">
        <f>"$ 4383,51"</f>
        <v>$ 4383,51</v>
      </c>
      <c r="E303" t="str">
        <f>"$ 4383,51"</f>
        <v>$ 4383,51</v>
      </c>
      <c r="F303" t="str">
        <f>"$ 4383,51"</f>
        <v>$ 4383,51</v>
      </c>
      <c r="G303" t="str">
        <f>"$ 4383,51"</f>
        <v>$ 4383,51</v>
      </c>
      <c r="H303" t="str">
        <f t="shared" si="180"/>
        <v>$ 0,00</v>
      </c>
      <c r="I303" t="str">
        <f t="shared" si="213"/>
        <v>BULBO PRESION DE ACEITE</v>
      </c>
      <c r="J303" t="str">
        <f t="shared" si="181"/>
        <v>1</v>
      </c>
      <c r="K303" t="str">
        <f t="shared" si="206"/>
        <v>0</v>
      </c>
      <c r="L303" t="str">
        <f>"0,000"</f>
        <v>0,000</v>
      </c>
      <c r="M303" t="str">
        <f t="shared" si="182"/>
        <v xml:space="preserve"> </v>
      </c>
      <c r="N303" t="str">
        <f t="shared" si="211"/>
        <v>FISPA</v>
      </c>
      <c r="O303" t="str">
        <f t="shared" si="212"/>
        <v>BULBOS</v>
      </c>
      <c r="P303" t="str">
        <f t="shared" ref="P303:Q322" si="216">"0"</f>
        <v>0</v>
      </c>
      <c r="Q303" t="str">
        <f t="shared" si="216"/>
        <v>0</v>
      </c>
      <c r="R303" t="str">
        <f t="shared" ref="R303:S322" si="217">"0,00"</f>
        <v>0,00</v>
      </c>
      <c r="S303" t="str">
        <f t="shared" si="217"/>
        <v>0,00</v>
      </c>
      <c r="T303" t="str">
        <f t="shared" si="205"/>
        <v xml:space="preserve"> </v>
      </c>
      <c r="U303" t="str">
        <f t="shared" si="209"/>
        <v xml:space="preserve"> </v>
      </c>
      <c r="V303" t="str">
        <f>"0,000"</f>
        <v>0,000</v>
      </c>
      <c r="W303" t="str">
        <f t="shared" si="183"/>
        <v>Lista 4</v>
      </c>
      <c r="X303" t="str">
        <f t="shared" si="184"/>
        <v>Lista 5</v>
      </c>
      <c r="Y303" t="str">
        <f t="shared" si="185"/>
        <v>Oferta Gral.</v>
      </c>
      <c r="Z303" t="str">
        <f t="shared" si="186"/>
        <v>Rubro</v>
      </c>
      <c r="AA303" t="str">
        <f t="shared" si="187"/>
        <v>Cantidad por Bulto</v>
      </c>
      <c r="AB303" t="str">
        <f t="shared" si="188"/>
        <v>INNER</v>
      </c>
      <c r="AC303" t="str">
        <f t="shared" si="189"/>
        <v>Stock en Bultos</v>
      </c>
      <c r="AD303" t="str">
        <f t="shared" si="190"/>
        <v>SubDepósito</v>
      </c>
      <c r="AE303" t="str">
        <f t="shared" si="191"/>
        <v>Marca</v>
      </c>
      <c r="AF303" t="str">
        <f t="shared" si="192"/>
        <v>Super Rubro</v>
      </c>
      <c r="AG303" t="str">
        <f t="shared" si="193"/>
        <v>ComercioExterior</v>
      </c>
      <c r="AH303" t="str">
        <f t="shared" si="194"/>
        <v>PrecioFOB</v>
      </c>
      <c r="AI303" t="str">
        <f t="shared" si="195"/>
        <v>Monto II</v>
      </c>
      <c r="AJ303" t="str">
        <f t="shared" si="196"/>
        <v>Porcentaje II</v>
      </c>
      <c r="AK303" t="str">
        <f t="shared" si="197"/>
        <v>Foto</v>
      </c>
      <c r="AL30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3" t="str">
        <f t="shared" si="210"/>
        <v>-</v>
      </c>
    </row>
    <row r="304" spans="1:39" x14ac:dyDescent="0.25">
      <c r="A304" t="str">
        <f>"FI344"</f>
        <v>FI344</v>
      </c>
      <c r="B304" t="str">
        <f>"BULBO PRESION ACEITE CHEVROLET ASTRA G 2 VOLUMI 1.2 16V 09/00  - ASTRA G STATION WAGON 1.4"</f>
        <v>BULBO PRESION ACEITE CHEVROLET ASTRA G 2 VOLUMI 1.2 16V 09/00  - ASTRA G STATION WAGON 1.4</v>
      </c>
      <c r="C304" t="str">
        <f>"$ 5192,11"</f>
        <v>$ 5192,11</v>
      </c>
      <c r="D304" t="str">
        <f>"$ 5192,11"</f>
        <v>$ 5192,11</v>
      </c>
      <c r="E304" t="str">
        <f>"$ 5192,11"</f>
        <v>$ 5192,11</v>
      </c>
      <c r="F304" t="str">
        <f>"$ 5192,11"</f>
        <v>$ 5192,11</v>
      </c>
      <c r="G304" t="str">
        <f>"$ 5192,11"</f>
        <v>$ 5192,11</v>
      </c>
      <c r="H304" t="str">
        <f t="shared" si="180"/>
        <v>$ 0,00</v>
      </c>
      <c r="I304" t="str">
        <f t="shared" si="213"/>
        <v>BULBO PRESION DE ACEITE</v>
      </c>
      <c r="J304" t="str">
        <f t="shared" si="181"/>
        <v>1</v>
      </c>
      <c r="K304" t="str">
        <f t="shared" si="206"/>
        <v>0</v>
      </c>
      <c r="L304" t="str">
        <f>"0,000"</f>
        <v>0,000</v>
      </c>
      <c r="M304" t="str">
        <f t="shared" si="182"/>
        <v xml:space="preserve"> </v>
      </c>
      <c r="N304" t="str">
        <f t="shared" si="211"/>
        <v>FISPA</v>
      </c>
      <c r="O304" t="str">
        <f t="shared" si="212"/>
        <v>BULBOS</v>
      </c>
      <c r="P304" t="str">
        <f t="shared" si="216"/>
        <v>0</v>
      </c>
      <c r="Q304" t="str">
        <f t="shared" si="216"/>
        <v>0</v>
      </c>
      <c r="R304" t="str">
        <f t="shared" si="217"/>
        <v>0,00</v>
      </c>
      <c r="S304" t="str">
        <f t="shared" si="217"/>
        <v>0,00</v>
      </c>
      <c r="T304" t="str">
        <f t="shared" si="205"/>
        <v xml:space="preserve"> </v>
      </c>
      <c r="U304" t="str">
        <f t="shared" si="209"/>
        <v xml:space="preserve"> </v>
      </c>
      <c r="V304" t="str">
        <f>"0,000"</f>
        <v>0,000</v>
      </c>
      <c r="W304" t="str">
        <f t="shared" si="183"/>
        <v>Lista 4</v>
      </c>
      <c r="X304" t="str">
        <f t="shared" si="184"/>
        <v>Lista 5</v>
      </c>
      <c r="Y304" t="str">
        <f t="shared" si="185"/>
        <v>Oferta Gral.</v>
      </c>
      <c r="Z304" t="str">
        <f t="shared" si="186"/>
        <v>Rubro</v>
      </c>
      <c r="AA304" t="str">
        <f t="shared" si="187"/>
        <v>Cantidad por Bulto</v>
      </c>
      <c r="AB304" t="str">
        <f t="shared" si="188"/>
        <v>INNER</v>
      </c>
      <c r="AC304" t="str">
        <f t="shared" si="189"/>
        <v>Stock en Bultos</v>
      </c>
      <c r="AD304" t="str">
        <f t="shared" si="190"/>
        <v>SubDepósito</v>
      </c>
      <c r="AE304" t="str">
        <f t="shared" si="191"/>
        <v>Marca</v>
      </c>
      <c r="AF304" t="str">
        <f t="shared" si="192"/>
        <v>Super Rubro</v>
      </c>
      <c r="AG304" t="str">
        <f t="shared" si="193"/>
        <v>ComercioExterior</v>
      </c>
      <c r="AH304" t="str">
        <f t="shared" si="194"/>
        <v>PrecioFOB</v>
      </c>
      <c r="AI304" t="str">
        <f t="shared" si="195"/>
        <v>Monto II</v>
      </c>
      <c r="AJ304" t="str">
        <f t="shared" si="196"/>
        <v>Porcentaje II</v>
      </c>
      <c r="AK304" t="str">
        <f t="shared" si="197"/>
        <v>Foto</v>
      </c>
      <c r="AL30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4" t="str">
        <f t="shared" si="210"/>
        <v>-</v>
      </c>
    </row>
    <row r="305" spans="1:39" x14ac:dyDescent="0.25">
      <c r="A305" t="str">
        <f>"FI320"</f>
        <v>FI320</v>
      </c>
      <c r="B305" t="str">
        <f>"BULBO PRESION ACEITE CITROEN C3 1.4 1.6 - P306 1.6 2.0 2.0HDI - 307 - 406 - 407 - 607  PARTNER"</f>
        <v>BULBO PRESION ACEITE CITROEN C3 1.4 1.6 - P306 1.6 2.0 2.0HDI - 307 - 406 - 407 - 607  PARTNER</v>
      </c>
      <c r="C305" t="str">
        <f>"$ 6895,98"</f>
        <v>$ 6895,98</v>
      </c>
      <c r="D305" t="str">
        <f>"$ 6895,98"</f>
        <v>$ 6895,98</v>
      </c>
      <c r="E305" t="str">
        <f>"$ 6895,98"</f>
        <v>$ 6895,98</v>
      </c>
      <c r="F305" t="str">
        <f>"$ 6895,98"</f>
        <v>$ 6895,98</v>
      </c>
      <c r="G305" t="str">
        <f>"$ 6895,98"</f>
        <v>$ 6895,98</v>
      </c>
      <c r="H305" t="str">
        <f t="shared" si="180"/>
        <v>$ 0,00</v>
      </c>
      <c r="I305" t="str">
        <f t="shared" si="213"/>
        <v>BULBO PRESION DE ACEITE</v>
      </c>
      <c r="J305" t="str">
        <f t="shared" si="181"/>
        <v>1</v>
      </c>
      <c r="K305" t="str">
        <f t="shared" si="206"/>
        <v>0</v>
      </c>
      <c r="L305" t="str">
        <f>"6,000"</f>
        <v>6,000</v>
      </c>
      <c r="M305" t="str">
        <f t="shared" si="182"/>
        <v xml:space="preserve"> </v>
      </c>
      <c r="N305" t="str">
        <f t="shared" si="211"/>
        <v>FISPA</v>
      </c>
      <c r="O305" t="str">
        <f t="shared" si="212"/>
        <v>BULBOS</v>
      </c>
      <c r="P305" t="str">
        <f t="shared" si="216"/>
        <v>0</v>
      </c>
      <c r="Q305" t="str">
        <f t="shared" si="216"/>
        <v>0</v>
      </c>
      <c r="R305" t="str">
        <f t="shared" si="217"/>
        <v>0,00</v>
      </c>
      <c r="S305" t="str">
        <f t="shared" si="217"/>
        <v>0,00</v>
      </c>
      <c r="T305" t="str">
        <f t="shared" si="205"/>
        <v xml:space="preserve"> </v>
      </c>
      <c r="U305" t="str">
        <f t="shared" si="209"/>
        <v xml:space="preserve"> </v>
      </c>
      <c r="V305" t="str">
        <f>"6,000"</f>
        <v>6,000</v>
      </c>
      <c r="W305" t="str">
        <f t="shared" si="183"/>
        <v>Lista 4</v>
      </c>
      <c r="X305" t="str">
        <f t="shared" si="184"/>
        <v>Lista 5</v>
      </c>
      <c r="Y305" t="str">
        <f t="shared" si="185"/>
        <v>Oferta Gral.</v>
      </c>
      <c r="Z305" t="str">
        <f t="shared" si="186"/>
        <v>Rubro</v>
      </c>
      <c r="AA305" t="str">
        <f t="shared" si="187"/>
        <v>Cantidad por Bulto</v>
      </c>
      <c r="AB305" t="str">
        <f t="shared" si="188"/>
        <v>INNER</v>
      </c>
      <c r="AC305" t="str">
        <f t="shared" si="189"/>
        <v>Stock en Bultos</v>
      </c>
      <c r="AD305" t="str">
        <f t="shared" si="190"/>
        <v>SubDepósito</v>
      </c>
      <c r="AE305" t="str">
        <f t="shared" si="191"/>
        <v>Marca</v>
      </c>
      <c r="AF305" t="str">
        <f t="shared" si="192"/>
        <v>Super Rubro</v>
      </c>
      <c r="AG305" t="str">
        <f t="shared" si="193"/>
        <v>ComercioExterior</v>
      </c>
      <c r="AH305" t="str">
        <f t="shared" si="194"/>
        <v>PrecioFOB</v>
      </c>
      <c r="AI305" t="str">
        <f t="shared" si="195"/>
        <v>Monto II</v>
      </c>
      <c r="AJ305" t="str">
        <f t="shared" si="196"/>
        <v>Porcentaje II</v>
      </c>
      <c r="AK305" t="str">
        <f t="shared" si="197"/>
        <v>Foto</v>
      </c>
      <c r="AL30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5" t="str">
        <f t="shared" si="210"/>
        <v>-</v>
      </c>
    </row>
    <row r="306" spans="1:39" x14ac:dyDescent="0.25">
      <c r="A306" t="str">
        <f>"FI341"</f>
        <v>FI341</v>
      </c>
      <c r="B306" t="str">
        <f>"BULBO PRESION ACEITE CLIO II 1.2 16V / KANGOO 1.2 16V / LOGAN 1.2 16V / SANDERO 1.2 16V "</f>
        <v xml:space="preserve">BULBO PRESION ACEITE CLIO II 1.2 16V / KANGOO 1.2 16V / LOGAN 1.2 16V / SANDERO 1.2 16V </v>
      </c>
      <c r="C306" t="str">
        <f>"$ 4409,51"</f>
        <v>$ 4409,51</v>
      </c>
      <c r="D306" t="str">
        <f>"$ 4409,51"</f>
        <v>$ 4409,51</v>
      </c>
      <c r="E306" t="str">
        <f>"$ 4409,51"</f>
        <v>$ 4409,51</v>
      </c>
      <c r="F306" t="str">
        <f>"$ 4409,51"</f>
        <v>$ 4409,51</v>
      </c>
      <c r="G306" t="str">
        <f>"$ 4409,51"</f>
        <v>$ 4409,51</v>
      </c>
      <c r="H306" t="str">
        <f t="shared" si="180"/>
        <v>$ 0,00</v>
      </c>
      <c r="I306" t="str">
        <f t="shared" si="213"/>
        <v>BULBO PRESION DE ACEITE</v>
      </c>
      <c r="J306" t="str">
        <f t="shared" si="181"/>
        <v>1</v>
      </c>
      <c r="K306" t="str">
        <f t="shared" si="206"/>
        <v>0</v>
      </c>
      <c r="L306" t="str">
        <f>"0,000"</f>
        <v>0,000</v>
      </c>
      <c r="M306" t="str">
        <f t="shared" si="182"/>
        <v xml:space="preserve"> </v>
      </c>
      <c r="N306" t="str">
        <f t="shared" si="211"/>
        <v>FISPA</v>
      </c>
      <c r="O306" t="str">
        <f t="shared" si="212"/>
        <v>BULBOS</v>
      </c>
      <c r="P306" t="str">
        <f t="shared" si="216"/>
        <v>0</v>
      </c>
      <c r="Q306" t="str">
        <f t="shared" si="216"/>
        <v>0</v>
      </c>
      <c r="R306" t="str">
        <f t="shared" si="217"/>
        <v>0,00</v>
      </c>
      <c r="S306" t="str">
        <f t="shared" si="217"/>
        <v>0,00</v>
      </c>
      <c r="T306" t="str">
        <f t="shared" si="205"/>
        <v xml:space="preserve"> </v>
      </c>
      <c r="U306" t="str">
        <f t="shared" si="209"/>
        <v xml:space="preserve"> </v>
      </c>
      <c r="V306" t="str">
        <f>"0,000"</f>
        <v>0,000</v>
      </c>
      <c r="W306" t="str">
        <f t="shared" si="183"/>
        <v>Lista 4</v>
      </c>
      <c r="X306" t="str">
        <f t="shared" si="184"/>
        <v>Lista 5</v>
      </c>
      <c r="Y306" t="str">
        <f t="shared" si="185"/>
        <v>Oferta Gral.</v>
      </c>
      <c r="Z306" t="str">
        <f t="shared" si="186"/>
        <v>Rubro</v>
      </c>
      <c r="AA306" t="str">
        <f t="shared" si="187"/>
        <v>Cantidad por Bulto</v>
      </c>
      <c r="AB306" t="str">
        <f t="shared" si="188"/>
        <v>INNER</v>
      </c>
      <c r="AC306" t="str">
        <f t="shared" si="189"/>
        <v>Stock en Bultos</v>
      </c>
      <c r="AD306" t="str">
        <f t="shared" si="190"/>
        <v>SubDepósito</v>
      </c>
      <c r="AE306" t="str">
        <f t="shared" si="191"/>
        <v>Marca</v>
      </c>
      <c r="AF306" t="str">
        <f t="shared" si="192"/>
        <v>Super Rubro</v>
      </c>
      <c r="AG306" t="str">
        <f t="shared" si="193"/>
        <v>ComercioExterior</v>
      </c>
      <c r="AH306" t="str">
        <f t="shared" si="194"/>
        <v>PrecioFOB</v>
      </c>
      <c r="AI306" t="str">
        <f t="shared" si="195"/>
        <v>Monto II</v>
      </c>
      <c r="AJ306" t="str">
        <f t="shared" si="196"/>
        <v>Porcentaje II</v>
      </c>
      <c r="AK306" t="str">
        <f t="shared" si="197"/>
        <v>Foto</v>
      </c>
      <c r="AL30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6" t="str">
        <f t="shared" si="210"/>
        <v>-</v>
      </c>
    </row>
    <row r="307" spans="1:39" x14ac:dyDescent="0.25">
      <c r="A307" t="str">
        <f>"FI336"</f>
        <v>FI336</v>
      </c>
      <c r="B307" t="str">
        <f>"BULBO PRESION ACEITE DAIHATSU APPLAUSE/CHARADE MAZDA 626/929 TOYOTA COROLLA/HILUX"</f>
        <v>BULBO PRESION ACEITE DAIHATSU APPLAUSE/CHARADE MAZDA 626/929 TOYOTA COROLLA/HILUX</v>
      </c>
      <c r="C307" t="str">
        <f>"$ 4411,99"</f>
        <v>$ 4411,99</v>
      </c>
      <c r="D307" t="str">
        <f>"$ 4411,99"</f>
        <v>$ 4411,99</v>
      </c>
      <c r="E307" t="str">
        <f>"$ 4411,99"</f>
        <v>$ 4411,99</v>
      </c>
      <c r="F307" t="str">
        <f>"$ 4411,99"</f>
        <v>$ 4411,99</v>
      </c>
      <c r="G307" t="str">
        <f>"$ 4411,99"</f>
        <v>$ 4411,99</v>
      </c>
      <c r="H307" t="str">
        <f t="shared" si="180"/>
        <v>$ 0,00</v>
      </c>
      <c r="I307" t="str">
        <f t="shared" si="213"/>
        <v>BULBO PRESION DE ACEITE</v>
      </c>
      <c r="J307" t="str">
        <f t="shared" si="181"/>
        <v>1</v>
      </c>
      <c r="K307" t="str">
        <f t="shared" si="206"/>
        <v>0</v>
      </c>
      <c r="L307" t="str">
        <f>"0,000"</f>
        <v>0,000</v>
      </c>
      <c r="M307" t="str">
        <f t="shared" si="182"/>
        <v xml:space="preserve"> </v>
      </c>
      <c r="N307" t="str">
        <f t="shared" si="211"/>
        <v>FISPA</v>
      </c>
      <c r="O307" t="str">
        <f t="shared" si="212"/>
        <v>BULBOS</v>
      </c>
      <c r="P307" t="str">
        <f t="shared" si="216"/>
        <v>0</v>
      </c>
      <c r="Q307" t="str">
        <f t="shared" si="216"/>
        <v>0</v>
      </c>
      <c r="R307" t="str">
        <f t="shared" si="217"/>
        <v>0,00</v>
      </c>
      <c r="S307" t="str">
        <f t="shared" si="217"/>
        <v>0,00</v>
      </c>
      <c r="T307" t="str">
        <f t="shared" si="205"/>
        <v xml:space="preserve"> </v>
      </c>
      <c r="U307" t="str">
        <f t="shared" si="209"/>
        <v xml:space="preserve"> </v>
      </c>
      <c r="V307" t="str">
        <f>"0,000"</f>
        <v>0,000</v>
      </c>
      <c r="W307" t="str">
        <f t="shared" si="183"/>
        <v>Lista 4</v>
      </c>
      <c r="X307" t="str">
        <f t="shared" si="184"/>
        <v>Lista 5</v>
      </c>
      <c r="Y307" t="str">
        <f t="shared" si="185"/>
        <v>Oferta Gral.</v>
      </c>
      <c r="Z307" t="str">
        <f t="shared" si="186"/>
        <v>Rubro</v>
      </c>
      <c r="AA307" t="str">
        <f t="shared" si="187"/>
        <v>Cantidad por Bulto</v>
      </c>
      <c r="AB307" t="str">
        <f t="shared" si="188"/>
        <v>INNER</v>
      </c>
      <c r="AC307" t="str">
        <f t="shared" si="189"/>
        <v>Stock en Bultos</v>
      </c>
      <c r="AD307" t="str">
        <f t="shared" si="190"/>
        <v>SubDepósito</v>
      </c>
      <c r="AE307" t="str">
        <f t="shared" si="191"/>
        <v>Marca</v>
      </c>
      <c r="AF307" t="str">
        <f t="shared" si="192"/>
        <v>Super Rubro</v>
      </c>
      <c r="AG307" t="str">
        <f t="shared" si="193"/>
        <v>ComercioExterior</v>
      </c>
      <c r="AH307" t="str">
        <f t="shared" si="194"/>
        <v>PrecioFOB</v>
      </c>
      <c r="AI307" t="str">
        <f t="shared" si="195"/>
        <v>Monto II</v>
      </c>
      <c r="AJ307" t="str">
        <f t="shared" si="196"/>
        <v>Porcentaje II</v>
      </c>
      <c r="AK307" t="str">
        <f t="shared" si="197"/>
        <v>Foto</v>
      </c>
      <c r="AL30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7" t="str">
        <f t="shared" si="210"/>
        <v>-</v>
      </c>
    </row>
    <row r="308" spans="1:39" x14ac:dyDescent="0.25">
      <c r="A308" t="str">
        <f>"FI319"</f>
        <v>FI319</v>
      </c>
      <c r="B308" t="str">
        <f>"BULBO PRESION ACEITE DUCATO 1.9TD 2.5TD - FIORINO 1.7D CONTACTO DE PLATA - 0.3BAR"</f>
        <v>BULBO PRESION ACEITE DUCATO 1.9TD 2.5TD - FIORINO 1.7D CONTACTO DE PLATA - 0.3BAR</v>
      </c>
      <c r="C308" t="str">
        <f>"$ 6463,82"</f>
        <v>$ 6463,82</v>
      </c>
      <c r="D308" t="str">
        <f>"$ 6463,82"</f>
        <v>$ 6463,82</v>
      </c>
      <c r="E308" t="str">
        <f>"$ 6463,82"</f>
        <v>$ 6463,82</v>
      </c>
      <c r="F308" t="str">
        <f>"$ 6463,82"</f>
        <v>$ 6463,82</v>
      </c>
      <c r="G308" t="str">
        <f>"$ 6463,82"</f>
        <v>$ 6463,82</v>
      </c>
      <c r="H308" t="str">
        <f t="shared" si="180"/>
        <v>$ 0,00</v>
      </c>
      <c r="I308" t="str">
        <f t="shared" si="213"/>
        <v>BULBO PRESION DE ACEITE</v>
      </c>
      <c r="J308" t="str">
        <f t="shared" si="181"/>
        <v>1</v>
      </c>
      <c r="K308" t="str">
        <f t="shared" si="206"/>
        <v>0</v>
      </c>
      <c r="L308" t="str">
        <f>"0,000"</f>
        <v>0,000</v>
      </c>
      <c r="M308" t="str">
        <f t="shared" si="182"/>
        <v xml:space="preserve"> </v>
      </c>
      <c r="N308" t="str">
        <f t="shared" si="211"/>
        <v>FISPA</v>
      </c>
      <c r="O308" t="str">
        <f t="shared" si="212"/>
        <v>BULBOS</v>
      </c>
      <c r="P308" t="str">
        <f t="shared" si="216"/>
        <v>0</v>
      </c>
      <c r="Q308" t="str">
        <f t="shared" si="216"/>
        <v>0</v>
      </c>
      <c r="R308" t="str">
        <f t="shared" si="217"/>
        <v>0,00</v>
      </c>
      <c r="S308" t="str">
        <f t="shared" si="217"/>
        <v>0,00</v>
      </c>
      <c r="T308" t="str">
        <f t="shared" si="205"/>
        <v xml:space="preserve"> </v>
      </c>
      <c r="U308" t="str">
        <f t="shared" si="209"/>
        <v xml:space="preserve"> </v>
      </c>
      <c r="V308" t="str">
        <f>"0,000"</f>
        <v>0,000</v>
      </c>
      <c r="W308" t="str">
        <f t="shared" si="183"/>
        <v>Lista 4</v>
      </c>
      <c r="X308" t="str">
        <f t="shared" si="184"/>
        <v>Lista 5</v>
      </c>
      <c r="Y308" t="str">
        <f t="shared" si="185"/>
        <v>Oferta Gral.</v>
      </c>
      <c r="Z308" t="str">
        <f t="shared" si="186"/>
        <v>Rubro</v>
      </c>
      <c r="AA308" t="str">
        <f t="shared" si="187"/>
        <v>Cantidad por Bulto</v>
      </c>
      <c r="AB308" t="str">
        <f t="shared" si="188"/>
        <v>INNER</v>
      </c>
      <c r="AC308" t="str">
        <f t="shared" si="189"/>
        <v>Stock en Bultos</v>
      </c>
      <c r="AD308" t="str">
        <f t="shared" si="190"/>
        <v>SubDepósito</v>
      </c>
      <c r="AE308" t="str">
        <f t="shared" si="191"/>
        <v>Marca</v>
      </c>
      <c r="AF308" t="str">
        <f t="shared" si="192"/>
        <v>Super Rubro</v>
      </c>
      <c r="AG308" t="str">
        <f t="shared" si="193"/>
        <v>ComercioExterior</v>
      </c>
      <c r="AH308" t="str">
        <f t="shared" si="194"/>
        <v>PrecioFOB</v>
      </c>
      <c r="AI308" t="str">
        <f t="shared" si="195"/>
        <v>Monto II</v>
      </c>
      <c r="AJ308" t="str">
        <f t="shared" si="196"/>
        <v>Porcentaje II</v>
      </c>
      <c r="AK308" t="str">
        <f t="shared" si="197"/>
        <v>Foto</v>
      </c>
      <c r="AL30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8" t="str">
        <f t="shared" si="210"/>
        <v>-</v>
      </c>
    </row>
    <row r="309" spans="1:39" x14ac:dyDescent="0.25">
      <c r="A309" t="str">
        <f>"FI308"</f>
        <v>FI308</v>
      </c>
      <c r="B309" t="str">
        <f>"BULBO PRESION ACEITE ESCORT GOL/SAVEIRO/POINTER/POLO TODOS MOTOR AUDI 1.8/2.0 - 0.30BAR"</f>
        <v>BULBO PRESION ACEITE ESCORT GOL/SAVEIRO/POINTER/POLO TODOS MOTOR AUDI 1.8/2.0 - 0.30BAR</v>
      </c>
      <c r="C309" t="str">
        <f>"$ 3584,82"</f>
        <v>$ 3584,82</v>
      </c>
      <c r="D309" t="str">
        <f>"$ 3584,82"</f>
        <v>$ 3584,82</v>
      </c>
      <c r="E309" t="str">
        <f>"$ 3584,82"</f>
        <v>$ 3584,82</v>
      </c>
      <c r="F309" t="str">
        <f>"$ 3584,82"</f>
        <v>$ 3584,82</v>
      </c>
      <c r="G309" t="str">
        <f>"$ 3584,82"</f>
        <v>$ 3584,82</v>
      </c>
      <c r="H309" t="str">
        <f t="shared" si="180"/>
        <v>$ 0,00</v>
      </c>
      <c r="I309" t="str">
        <f t="shared" si="213"/>
        <v>BULBO PRESION DE ACEITE</v>
      </c>
      <c r="J309" t="str">
        <f t="shared" si="181"/>
        <v>1</v>
      </c>
      <c r="K309" t="str">
        <f t="shared" si="206"/>
        <v>0</v>
      </c>
      <c r="L309" t="str">
        <f>"17,000"</f>
        <v>17,000</v>
      </c>
      <c r="M309" t="str">
        <f t="shared" si="182"/>
        <v xml:space="preserve"> </v>
      </c>
      <c r="N309" t="str">
        <f t="shared" si="211"/>
        <v>FISPA</v>
      </c>
      <c r="O309" t="str">
        <f t="shared" si="212"/>
        <v>BULBOS</v>
      </c>
      <c r="P309" t="str">
        <f t="shared" si="216"/>
        <v>0</v>
      </c>
      <c r="Q309" t="str">
        <f t="shared" si="216"/>
        <v>0</v>
      </c>
      <c r="R309" t="str">
        <f t="shared" si="217"/>
        <v>0,00</v>
      </c>
      <c r="S309" t="str">
        <f t="shared" si="217"/>
        <v>0,00</v>
      </c>
      <c r="T309" t="str">
        <f t="shared" si="205"/>
        <v xml:space="preserve"> </v>
      </c>
      <c r="U309" t="str">
        <f t="shared" si="209"/>
        <v xml:space="preserve"> </v>
      </c>
      <c r="V309" t="str">
        <f>"17,000"</f>
        <v>17,000</v>
      </c>
      <c r="W309" t="str">
        <f t="shared" si="183"/>
        <v>Lista 4</v>
      </c>
      <c r="X309" t="str">
        <f t="shared" si="184"/>
        <v>Lista 5</v>
      </c>
      <c r="Y309" t="str">
        <f t="shared" si="185"/>
        <v>Oferta Gral.</v>
      </c>
      <c r="Z309" t="str">
        <f t="shared" si="186"/>
        <v>Rubro</v>
      </c>
      <c r="AA309" t="str">
        <f t="shared" si="187"/>
        <v>Cantidad por Bulto</v>
      </c>
      <c r="AB309" t="str">
        <f t="shared" si="188"/>
        <v>INNER</v>
      </c>
      <c r="AC309" t="str">
        <f t="shared" si="189"/>
        <v>Stock en Bultos</v>
      </c>
      <c r="AD309" t="str">
        <f t="shared" si="190"/>
        <v>SubDepósito</v>
      </c>
      <c r="AE309" t="str">
        <f t="shared" si="191"/>
        <v>Marca</v>
      </c>
      <c r="AF309" t="str">
        <f t="shared" si="192"/>
        <v>Super Rubro</v>
      </c>
      <c r="AG309" t="str">
        <f t="shared" si="193"/>
        <v>ComercioExterior</v>
      </c>
      <c r="AH309" t="str">
        <f t="shared" si="194"/>
        <v>PrecioFOB</v>
      </c>
      <c r="AI309" t="str">
        <f t="shared" si="195"/>
        <v>Monto II</v>
      </c>
      <c r="AJ309" t="str">
        <f t="shared" si="196"/>
        <v>Porcentaje II</v>
      </c>
      <c r="AK309" t="str">
        <f t="shared" si="197"/>
        <v>Foto</v>
      </c>
      <c r="AL30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9" t="str">
        <f t="shared" si="210"/>
        <v>-</v>
      </c>
    </row>
    <row r="310" spans="1:39" x14ac:dyDescent="0.25">
      <c r="A310" t="str">
        <f>"FI329"</f>
        <v>FI329</v>
      </c>
      <c r="B310" t="str">
        <f>"BULBO PRESION ACEITE ESCORT/FOCUS 1.6/1.8/ 2.0I 16V KA/TRANSIT P BOXER  ZETEC ROCAM - 0.4BAR"</f>
        <v>BULBO PRESION ACEITE ESCORT/FOCUS 1.6/1.8/ 2.0I 16V KA/TRANSIT P BOXER  ZETEC ROCAM - 0.4BAR</v>
      </c>
      <c r="C310" t="str">
        <f>"$ 4966,74"</f>
        <v>$ 4966,74</v>
      </c>
      <c r="D310" t="str">
        <f>"$ 4966,74"</f>
        <v>$ 4966,74</v>
      </c>
      <c r="E310" t="str">
        <f>"$ 4966,74"</f>
        <v>$ 4966,74</v>
      </c>
      <c r="F310" t="str">
        <f>"$ 4966,74"</f>
        <v>$ 4966,74</v>
      </c>
      <c r="G310" t="str">
        <f>"$ 4966,74"</f>
        <v>$ 4966,74</v>
      </c>
      <c r="H310" t="str">
        <f t="shared" si="180"/>
        <v>$ 0,00</v>
      </c>
      <c r="I310" t="str">
        <f t="shared" si="213"/>
        <v>BULBO PRESION DE ACEITE</v>
      </c>
      <c r="J310" t="str">
        <f t="shared" si="181"/>
        <v>1</v>
      </c>
      <c r="K310" t="str">
        <f t="shared" si="206"/>
        <v>0</v>
      </c>
      <c r="L310" t="str">
        <f>"0,000"</f>
        <v>0,000</v>
      </c>
      <c r="M310" t="str">
        <f t="shared" si="182"/>
        <v xml:space="preserve"> </v>
      </c>
      <c r="N310" t="str">
        <f t="shared" si="211"/>
        <v>FISPA</v>
      </c>
      <c r="O310" t="str">
        <f t="shared" si="212"/>
        <v>BULBOS</v>
      </c>
      <c r="P310" t="str">
        <f t="shared" si="216"/>
        <v>0</v>
      </c>
      <c r="Q310" t="str">
        <f t="shared" si="216"/>
        <v>0</v>
      </c>
      <c r="R310" t="str">
        <f t="shared" si="217"/>
        <v>0,00</v>
      </c>
      <c r="S310" t="str">
        <f t="shared" si="217"/>
        <v>0,00</v>
      </c>
      <c r="T310" t="str">
        <f t="shared" si="205"/>
        <v xml:space="preserve"> </v>
      </c>
      <c r="U310" t="str">
        <f t="shared" si="209"/>
        <v xml:space="preserve"> </v>
      </c>
      <c r="V310" t="str">
        <f>"0,000"</f>
        <v>0,000</v>
      </c>
      <c r="W310" t="str">
        <f t="shared" si="183"/>
        <v>Lista 4</v>
      </c>
      <c r="X310" t="str">
        <f t="shared" si="184"/>
        <v>Lista 5</v>
      </c>
      <c r="Y310" t="str">
        <f t="shared" si="185"/>
        <v>Oferta Gral.</v>
      </c>
      <c r="Z310" t="str">
        <f t="shared" si="186"/>
        <v>Rubro</v>
      </c>
      <c r="AA310" t="str">
        <f t="shared" si="187"/>
        <v>Cantidad por Bulto</v>
      </c>
      <c r="AB310" t="str">
        <f t="shared" si="188"/>
        <v>INNER</v>
      </c>
      <c r="AC310" t="str">
        <f t="shared" si="189"/>
        <v>Stock en Bultos</v>
      </c>
      <c r="AD310" t="str">
        <f t="shared" si="190"/>
        <v>SubDepósito</v>
      </c>
      <c r="AE310" t="str">
        <f t="shared" si="191"/>
        <v>Marca</v>
      </c>
      <c r="AF310" t="str">
        <f t="shared" si="192"/>
        <v>Super Rubro</v>
      </c>
      <c r="AG310" t="str">
        <f t="shared" si="193"/>
        <v>ComercioExterior</v>
      </c>
      <c r="AH310" t="str">
        <f t="shared" si="194"/>
        <v>PrecioFOB</v>
      </c>
      <c r="AI310" t="str">
        <f t="shared" si="195"/>
        <v>Monto II</v>
      </c>
      <c r="AJ310" t="str">
        <f t="shared" si="196"/>
        <v>Porcentaje II</v>
      </c>
      <c r="AK310" t="str">
        <f t="shared" si="197"/>
        <v>Foto</v>
      </c>
      <c r="AL31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0" t="str">
        <f t="shared" si="210"/>
        <v>-</v>
      </c>
    </row>
    <row r="311" spans="1:39" x14ac:dyDescent="0.25">
      <c r="A311" t="str">
        <f>"FI313"</f>
        <v>FI313</v>
      </c>
      <c r="B311" t="str">
        <f>"BULBO PRESION ACEITE FIAT PALIO - SIENA 0.5BAR"</f>
        <v>BULBO PRESION ACEITE FIAT PALIO - SIENA 0.5BAR</v>
      </c>
      <c r="C311" t="str">
        <f>"$ 4512,29"</f>
        <v>$ 4512,29</v>
      </c>
      <c r="D311" t="str">
        <f>"$ 4512,29"</f>
        <v>$ 4512,29</v>
      </c>
      <c r="E311" t="str">
        <f>"$ 4512,29"</f>
        <v>$ 4512,29</v>
      </c>
      <c r="F311" t="str">
        <f>"$ 4512,29"</f>
        <v>$ 4512,29</v>
      </c>
      <c r="G311" t="str">
        <f>"$ 4512,29"</f>
        <v>$ 4512,29</v>
      </c>
      <c r="H311" t="str">
        <f t="shared" si="180"/>
        <v>$ 0,00</v>
      </c>
      <c r="I311" t="str">
        <f t="shared" si="213"/>
        <v>BULBO PRESION DE ACEITE</v>
      </c>
      <c r="J311" t="str">
        <f t="shared" si="181"/>
        <v>1</v>
      </c>
      <c r="K311" t="str">
        <f t="shared" si="206"/>
        <v>0</v>
      </c>
      <c r="L311" t="str">
        <f>"34,000"</f>
        <v>34,000</v>
      </c>
      <c r="M311" t="str">
        <f t="shared" si="182"/>
        <v xml:space="preserve"> </v>
      </c>
      <c r="N311" t="str">
        <f t="shared" si="211"/>
        <v>FISPA</v>
      </c>
      <c r="O311" t="str">
        <f t="shared" si="212"/>
        <v>BULBOS</v>
      </c>
      <c r="P311" t="str">
        <f t="shared" si="216"/>
        <v>0</v>
      </c>
      <c r="Q311" t="str">
        <f t="shared" si="216"/>
        <v>0</v>
      </c>
      <c r="R311" t="str">
        <f t="shared" si="217"/>
        <v>0,00</v>
      </c>
      <c r="S311" t="str">
        <f t="shared" si="217"/>
        <v>0,00</v>
      </c>
      <c r="T311" t="str">
        <f t="shared" si="205"/>
        <v xml:space="preserve"> </v>
      </c>
      <c r="U311" t="str">
        <f t="shared" si="209"/>
        <v xml:space="preserve"> </v>
      </c>
      <c r="V311" t="str">
        <f>"34,000"</f>
        <v>34,000</v>
      </c>
      <c r="W311" t="str">
        <f t="shared" si="183"/>
        <v>Lista 4</v>
      </c>
      <c r="X311" t="str">
        <f t="shared" si="184"/>
        <v>Lista 5</v>
      </c>
      <c r="Y311" t="str">
        <f t="shared" si="185"/>
        <v>Oferta Gral.</v>
      </c>
      <c r="Z311" t="str">
        <f t="shared" si="186"/>
        <v>Rubro</v>
      </c>
      <c r="AA311" t="str">
        <f t="shared" si="187"/>
        <v>Cantidad por Bulto</v>
      </c>
      <c r="AB311" t="str">
        <f t="shared" si="188"/>
        <v>INNER</v>
      </c>
      <c r="AC311" t="str">
        <f t="shared" si="189"/>
        <v>Stock en Bultos</v>
      </c>
      <c r="AD311" t="str">
        <f t="shared" si="190"/>
        <v>SubDepósito</v>
      </c>
      <c r="AE311" t="str">
        <f t="shared" si="191"/>
        <v>Marca</v>
      </c>
      <c r="AF311" t="str">
        <f t="shared" si="192"/>
        <v>Super Rubro</v>
      </c>
      <c r="AG311" t="str">
        <f t="shared" si="193"/>
        <v>ComercioExterior</v>
      </c>
      <c r="AH311" t="str">
        <f t="shared" si="194"/>
        <v>PrecioFOB</v>
      </c>
      <c r="AI311" t="str">
        <f t="shared" si="195"/>
        <v>Monto II</v>
      </c>
      <c r="AJ311" t="str">
        <f t="shared" si="196"/>
        <v>Porcentaje II</v>
      </c>
      <c r="AK311" t="str">
        <f t="shared" si="197"/>
        <v>Foto</v>
      </c>
      <c r="AL311" t="str">
        <f>" "</f>
        <v xml:space="preserve"> </v>
      </c>
      <c r="AM311" t="str">
        <f t="shared" si="210"/>
        <v>-</v>
      </c>
    </row>
    <row r="312" spans="1:39" x14ac:dyDescent="0.25">
      <c r="A312" t="str">
        <f>"FI302"</f>
        <v>FI302</v>
      </c>
      <c r="B312" t="str">
        <f>"BULBO PRESION ACEITE FIAT UNO - 600 - 1500 - 1600 - SEAT IBIZA 0.3BAR"</f>
        <v>BULBO PRESION ACEITE FIAT UNO - 600 - 1500 - 1600 - SEAT IBIZA 0.3BAR</v>
      </c>
      <c r="C312" t="str">
        <f>"$ 4411,99"</f>
        <v>$ 4411,99</v>
      </c>
      <c r="D312" t="str">
        <f>"$ 4411,99"</f>
        <v>$ 4411,99</v>
      </c>
      <c r="E312" t="str">
        <f>"$ 4411,99"</f>
        <v>$ 4411,99</v>
      </c>
      <c r="F312" t="str">
        <f>"$ 4411,99"</f>
        <v>$ 4411,99</v>
      </c>
      <c r="G312" t="str">
        <f>"$ 4411,99"</f>
        <v>$ 4411,99</v>
      </c>
      <c r="H312" t="str">
        <f t="shared" si="180"/>
        <v>$ 0,00</v>
      </c>
      <c r="I312" t="str">
        <f t="shared" si="213"/>
        <v>BULBO PRESION DE ACEITE</v>
      </c>
      <c r="J312" t="str">
        <f t="shared" si="181"/>
        <v>1</v>
      </c>
      <c r="K312" t="str">
        <f t="shared" si="206"/>
        <v>0</v>
      </c>
      <c r="L312" t="str">
        <f>"28,000"</f>
        <v>28,000</v>
      </c>
      <c r="M312" t="str">
        <f t="shared" si="182"/>
        <v xml:space="preserve"> </v>
      </c>
      <c r="N312" t="str">
        <f t="shared" si="211"/>
        <v>FISPA</v>
      </c>
      <c r="O312" t="str">
        <f t="shared" si="212"/>
        <v>BULBOS</v>
      </c>
      <c r="P312" t="str">
        <f t="shared" si="216"/>
        <v>0</v>
      </c>
      <c r="Q312" t="str">
        <f t="shared" si="216"/>
        <v>0</v>
      </c>
      <c r="R312" t="str">
        <f t="shared" si="217"/>
        <v>0,00</v>
      </c>
      <c r="S312" t="str">
        <f t="shared" si="217"/>
        <v>0,00</v>
      </c>
      <c r="T312" t="str">
        <f t="shared" si="205"/>
        <v xml:space="preserve"> </v>
      </c>
      <c r="U312" t="str">
        <f t="shared" si="209"/>
        <v xml:space="preserve"> </v>
      </c>
      <c r="V312" t="str">
        <f>"28,000"</f>
        <v>28,000</v>
      </c>
      <c r="W312" t="str">
        <f t="shared" si="183"/>
        <v>Lista 4</v>
      </c>
      <c r="X312" t="str">
        <f t="shared" si="184"/>
        <v>Lista 5</v>
      </c>
      <c r="Y312" t="str">
        <f t="shared" si="185"/>
        <v>Oferta Gral.</v>
      </c>
      <c r="Z312" t="str">
        <f t="shared" si="186"/>
        <v>Rubro</v>
      </c>
      <c r="AA312" t="str">
        <f t="shared" si="187"/>
        <v>Cantidad por Bulto</v>
      </c>
      <c r="AB312" t="str">
        <f t="shared" si="188"/>
        <v>INNER</v>
      </c>
      <c r="AC312" t="str">
        <f t="shared" si="189"/>
        <v>Stock en Bultos</v>
      </c>
      <c r="AD312" t="str">
        <f t="shared" si="190"/>
        <v>SubDepósito</v>
      </c>
      <c r="AE312" t="str">
        <f t="shared" si="191"/>
        <v>Marca</v>
      </c>
      <c r="AF312" t="str">
        <f t="shared" si="192"/>
        <v>Super Rubro</v>
      </c>
      <c r="AG312" t="str">
        <f t="shared" si="193"/>
        <v>ComercioExterior</v>
      </c>
      <c r="AH312" t="str">
        <f t="shared" si="194"/>
        <v>PrecioFOB</v>
      </c>
      <c r="AI312" t="str">
        <f t="shared" si="195"/>
        <v>Monto II</v>
      </c>
      <c r="AJ312" t="str">
        <f t="shared" si="196"/>
        <v>Porcentaje II</v>
      </c>
      <c r="AK312" t="str">
        <f t="shared" si="197"/>
        <v>Foto</v>
      </c>
      <c r="AL312" t="str">
        <f>" "</f>
        <v xml:space="preserve"> </v>
      </c>
      <c r="AM312" t="str">
        <f t="shared" si="210"/>
        <v>-</v>
      </c>
    </row>
    <row r="313" spans="1:39" x14ac:dyDescent="0.25">
      <c r="A313" t="str">
        <f>"FI343"</f>
        <v>FI343</v>
      </c>
      <c r="B313" t="str">
        <f>"BULBO PRESION ACEITE FORD ECOSPORT 1.6 / ESCORT 1.6 / FIESTA 1.6 / FOCUS 1.6 / KA 1.6 TODOS"</f>
        <v>BULBO PRESION ACEITE FORD ECOSPORT 1.6 / ESCORT 1.6 / FIESTA 1.6 / FOCUS 1.6 / KA 1.6 TODOS</v>
      </c>
      <c r="C313" t="str">
        <f>"$ 12749,32"</f>
        <v>$ 12749,32</v>
      </c>
      <c r="D313" t="str">
        <f>"$ 12749,32"</f>
        <v>$ 12749,32</v>
      </c>
      <c r="E313" t="str">
        <f>"$ 12749,32"</f>
        <v>$ 12749,32</v>
      </c>
      <c r="F313" t="str">
        <f>"$ 12749,32"</f>
        <v>$ 12749,32</v>
      </c>
      <c r="G313" t="str">
        <f>"$ 12749,32"</f>
        <v>$ 12749,32</v>
      </c>
      <c r="H313" t="str">
        <f t="shared" si="180"/>
        <v>$ 0,00</v>
      </c>
      <c r="I313" t="str">
        <f t="shared" si="213"/>
        <v>BULBO PRESION DE ACEITE</v>
      </c>
      <c r="J313" t="str">
        <f t="shared" si="181"/>
        <v>1</v>
      </c>
      <c r="K313" t="str">
        <f t="shared" si="206"/>
        <v>0</v>
      </c>
      <c r="L313" t="str">
        <f>"0,000"</f>
        <v>0,000</v>
      </c>
      <c r="M313" t="str">
        <f t="shared" si="182"/>
        <v xml:space="preserve"> </v>
      </c>
      <c r="N313" t="str">
        <f t="shared" si="211"/>
        <v>FISPA</v>
      </c>
      <c r="O313" t="str">
        <f t="shared" si="212"/>
        <v>BULBOS</v>
      </c>
      <c r="P313" t="str">
        <f t="shared" si="216"/>
        <v>0</v>
      </c>
      <c r="Q313" t="str">
        <f t="shared" si="216"/>
        <v>0</v>
      </c>
      <c r="R313" t="str">
        <f t="shared" si="217"/>
        <v>0,00</v>
      </c>
      <c r="S313" t="str">
        <f t="shared" si="217"/>
        <v>0,00</v>
      </c>
      <c r="T313" t="str">
        <f t="shared" si="205"/>
        <v xml:space="preserve"> </v>
      </c>
      <c r="U313" t="str">
        <f t="shared" si="209"/>
        <v xml:space="preserve"> </v>
      </c>
      <c r="V313" t="str">
        <f>"0,000"</f>
        <v>0,000</v>
      </c>
      <c r="W313" t="str">
        <f t="shared" si="183"/>
        <v>Lista 4</v>
      </c>
      <c r="X313" t="str">
        <f t="shared" si="184"/>
        <v>Lista 5</v>
      </c>
      <c r="Y313" t="str">
        <f t="shared" si="185"/>
        <v>Oferta Gral.</v>
      </c>
      <c r="Z313" t="str">
        <f t="shared" si="186"/>
        <v>Rubro</v>
      </c>
      <c r="AA313" t="str">
        <f t="shared" si="187"/>
        <v>Cantidad por Bulto</v>
      </c>
      <c r="AB313" t="str">
        <f t="shared" si="188"/>
        <v>INNER</v>
      </c>
      <c r="AC313" t="str">
        <f t="shared" si="189"/>
        <v>Stock en Bultos</v>
      </c>
      <c r="AD313" t="str">
        <f t="shared" si="190"/>
        <v>SubDepósito</v>
      </c>
      <c r="AE313" t="str">
        <f t="shared" si="191"/>
        <v>Marca</v>
      </c>
      <c r="AF313" t="str">
        <f t="shared" si="192"/>
        <v>Super Rubro</v>
      </c>
      <c r="AG313" t="str">
        <f t="shared" si="193"/>
        <v>ComercioExterior</v>
      </c>
      <c r="AH313" t="str">
        <f t="shared" si="194"/>
        <v>PrecioFOB</v>
      </c>
      <c r="AI313" t="str">
        <f t="shared" si="195"/>
        <v>Monto II</v>
      </c>
      <c r="AJ313" t="str">
        <f t="shared" si="196"/>
        <v>Porcentaje II</v>
      </c>
      <c r="AK313" t="str">
        <f t="shared" si="197"/>
        <v>Foto</v>
      </c>
      <c r="AL31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3" t="str">
        <f t="shared" si="210"/>
        <v>-</v>
      </c>
    </row>
    <row r="314" spans="1:39" x14ac:dyDescent="0.25">
      <c r="A314" t="str">
        <f>"FI315"</f>
        <v>FI315</v>
      </c>
      <c r="B314" t="str">
        <f>"BULBO PRESION ACEITE FORD ESCORT- FIESTA - FOCUS- KA - MONDEO - ORION - SIERRA -  0.3BAR"</f>
        <v>BULBO PRESION ACEITE FORD ESCORT- FIESTA - FOCUS- KA - MONDEO - ORION - SIERRA -  0.3BAR</v>
      </c>
      <c r="C314" t="str">
        <f>"$ 5463,29"</f>
        <v>$ 5463,29</v>
      </c>
      <c r="D314" t="str">
        <f>"$ 5463,29"</f>
        <v>$ 5463,29</v>
      </c>
      <c r="E314" t="str">
        <f>"$ 5463,29"</f>
        <v>$ 5463,29</v>
      </c>
      <c r="F314" t="str">
        <f>"$ 5463,29"</f>
        <v>$ 5463,29</v>
      </c>
      <c r="G314" t="str">
        <f>"$ 5463,29"</f>
        <v>$ 5463,29</v>
      </c>
      <c r="H314" t="str">
        <f t="shared" si="180"/>
        <v>$ 0,00</v>
      </c>
      <c r="I314" t="str">
        <f t="shared" si="213"/>
        <v>BULBO PRESION DE ACEITE</v>
      </c>
      <c r="J314" t="str">
        <f t="shared" si="181"/>
        <v>1</v>
      </c>
      <c r="K314" t="str">
        <f t="shared" si="206"/>
        <v>0</v>
      </c>
      <c r="L314" t="str">
        <f>"0,000"</f>
        <v>0,000</v>
      </c>
      <c r="M314" t="str">
        <f t="shared" si="182"/>
        <v xml:space="preserve"> </v>
      </c>
      <c r="N314" t="str">
        <f t="shared" si="211"/>
        <v>FISPA</v>
      </c>
      <c r="O314" t="str">
        <f t="shared" si="212"/>
        <v>BULBOS</v>
      </c>
      <c r="P314" t="str">
        <f t="shared" si="216"/>
        <v>0</v>
      </c>
      <c r="Q314" t="str">
        <f t="shared" si="216"/>
        <v>0</v>
      </c>
      <c r="R314" t="str">
        <f t="shared" si="217"/>
        <v>0,00</v>
      </c>
      <c r="S314" t="str">
        <f t="shared" si="217"/>
        <v>0,00</v>
      </c>
      <c r="T314" t="str">
        <f t="shared" si="205"/>
        <v xml:space="preserve"> </v>
      </c>
      <c r="U314" t="str">
        <f t="shared" si="209"/>
        <v xml:space="preserve"> </v>
      </c>
      <c r="V314" t="str">
        <f>"0,000"</f>
        <v>0,000</v>
      </c>
      <c r="W314" t="str">
        <f t="shared" si="183"/>
        <v>Lista 4</v>
      </c>
      <c r="X314" t="str">
        <f t="shared" si="184"/>
        <v>Lista 5</v>
      </c>
      <c r="Y314" t="str">
        <f t="shared" si="185"/>
        <v>Oferta Gral.</v>
      </c>
      <c r="Z314" t="str">
        <f t="shared" si="186"/>
        <v>Rubro</v>
      </c>
      <c r="AA314" t="str">
        <f t="shared" si="187"/>
        <v>Cantidad por Bulto</v>
      </c>
      <c r="AB314" t="str">
        <f t="shared" si="188"/>
        <v>INNER</v>
      </c>
      <c r="AC314" t="str">
        <f t="shared" si="189"/>
        <v>Stock en Bultos</v>
      </c>
      <c r="AD314" t="str">
        <f t="shared" si="190"/>
        <v>SubDepósito</v>
      </c>
      <c r="AE314" t="str">
        <f t="shared" si="191"/>
        <v>Marca</v>
      </c>
      <c r="AF314" t="str">
        <f t="shared" si="192"/>
        <v>Super Rubro</v>
      </c>
      <c r="AG314" t="str">
        <f t="shared" si="193"/>
        <v>ComercioExterior</v>
      </c>
      <c r="AH314" t="str">
        <f t="shared" si="194"/>
        <v>PrecioFOB</v>
      </c>
      <c r="AI314" t="str">
        <f t="shared" si="195"/>
        <v>Monto II</v>
      </c>
      <c r="AJ314" t="str">
        <f t="shared" si="196"/>
        <v>Porcentaje II</v>
      </c>
      <c r="AK314" t="str">
        <f t="shared" si="197"/>
        <v>Foto</v>
      </c>
      <c r="AL31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4" t="str">
        <f t="shared" si="210"/>
        <v>-</v>
      </c>
    </row>
    <row r="315" spans="1:39" x14ac:dyDescent="0.25">
      <c r="A315" t="str">
        <f>"FI330"</f>
        <v>FI330</v>
      </c>
      <c r="B315" t="str">
        <f>"BULBO PRESION ACEITE FORD FIESTA - FOCUS - MONDEO 1.8 / 2.0 16V - TRANSIT TDCI 0.25BAR"</f>
        <v>BULBO PRESION ACEITE FORD FIESTA - FOCUS - MONDEO 1.8 / 2.0 16V - TRANSIT TDCI 0.25BAR</v>
      </c>
      <c r="C315" t="str">
        <f>"$ 4522,20"</f>
        <v>$ 4522,20</v>
      </c>
      <c r="D315" t="str">
        <f>"$ 4522,20"</f>
        <v>$ 4522,20</v>
      </c>
      <c r="E315" t="str">
        <f>"$ 4522,20"</f>
        <v>$ 4522,20</v>
      </c>
      <c r="F315" t="str">
        <f>"$ 4522,20"</f>
        <v>$ 4522,20</v>
      </c>
      <c r="G315" t="str">
        <f>"$ 4522,20"</f>
        <v>$ 4522,20</v>
      </c>
      <c r="H315" t="str">
        <f t="shared" si="180"/>
        <v>$ 0,00</v>
      </c>
      <c r="I315" t="str">
        <f t="shared" si="213"/>
        <v>BULBO PRESION DE ACEITE</v>
      </c>
      <c r="J315" t="str">
        <f t="shared" si="181"/>
        <v>1</v>
      </c>
      <c r="K315" t="str">
        <f t="shared" si="206"/>
        <v>0</v>
      </c>
      <c r="L315" t="str">
        <f>"22,000"</f>
        <v>22,000</v>
      </c>
      <c r="M315" t="str">
        <f t="shared" si="182"/>
        <v xml:space="preserve"> </v>
      </c>
      <c r="N315" t="str">
        <f t="shared" si="211"/>
        <v>FISPA</v>
      </c>
      <c r="O315" t="str">
        <f t="shared" si="212"/>
        <v>BULBOS</v>
      </c>
      <c r="P315" t="str">
        <f t="shared" si="216"/>
        <v>0</v>
      </c>
      <c r="Q315" t="str">
        <f t="shared" si="216"/>
        <v>0</v>
      </c>
      <c r="R315" t="str">
        <f t="shared" si="217"/>
        <v>0,00</v>
      </c>
      <c r="S315" t="str">
        <f t="shared" si="217"/>
        <v>0,00</v>
      </c>
      <c r="T315" t="str">
        <f t="shared" si="205"/>
        <v xml:space="preserve"> </v>
      </c>
      <c r="U315" t="str">
        <f t="shared" si="209"/>
        <v xml:space="preserve"> </v>
      </c>
      <c r="V315" t="str">
        <f>"22,000"</f>
        <v>22,000</v>
      </c>
      <c r="W315" t="str">
        <f t="shared" si="183"/>
        <v>Lista 4</v>
      </c>
      <c r="X315" t="str">
        <f t="shared" si="184"/>
        <v>Lista 5</v>
      </c>
      <c r="Y315" t="str">
        <f t="shared" si="185"/>
        <v>Oferta Gral.</v>
      </c>
      <c r="Z315" t="str">
        <f t="shared" si="186"/>
        <v>Rubro</v>
      </c>
      <c r="AA315" t="str">
        <f t="shared" si="187"/>
        <v>Cantidad por Bulto</v>
      </c>
      <c r="AB315" t="str">
        <f t="shared" si="188"/>
        <v>INNER</v>
      </c>
      <c r="AC315" t="str">
        <f t="shared" si="189"/>
        <v>Stock en Bultos</v>
      </c>
      <c r="AD315" t="str">
        <f t="shared" si="190"/>
        <v>SubDepósito</v>
      </c>
      <c r="AE315" t="str">
        <f t="shared" si="191"/>
        <v>Marca</v>
      </c>
      <c r="AF315" t="str">
        <f t="shared" si="192"/>
        <v>Super Rubro</v>
      </c>
      <c r="AG315" t="str">
        <f t="shared" si="193"/>
        <v>ComercioExterior</v>
      </c>
      <c r="AH315" t="str">
        <f t="shared" si="194"/>
        <v>PrecioFOB</v>
      </c>
      <c r="AI315" t="str">
        <f t="shared" si="195"/>
        <v>Monto II</v>
      </c>
      <c r="AJ315" t="str">
        <f t="shared" si="196"/>
        <v>Porcentaje II</v>
      </c>
      <c r="AK315" t="str">
        <f t="shared" si="197"/>
        <v>Foto</v>
      </c>
      <c r="AL31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5" t="str">
        <f t="shared" si="210"/>
        <v>-</v>
      </c>
    </row>
    <row r="316" spans="1:39" x14ac:dyDescent="0.25">
      <c r="A316" t="str">
        <f>"FI331"</f>
        <v>FI331</v>
      </c>
      <c r="B316" t="str">
        <f>"BULBO PRESION ACEITE FORD MONDEO 2.0 16V - TRANSIT 2.4 16V - 0.6BAR"</f>
        <v>BULBO PRESION ACEITE FORD MONDEO 2.0 16V - TRANSIT 2.4 16V - 0.6BAR</v>
      </c>
      <c r="C316" t="str">
        <f>"$ 4636,12"</f>
        <v>$ 4636,12</v>
      </c>
      <c r="D316" t="str">
        <f>"$ 4636,12"</f>
        <v>$ 4636,12</v>
      </c>
      <c r="E316" t="str">
        <f>"$ 4636,12"</f>
        <v>$ 4636,12</v>
      </c>
      <c r="F316" t="str">
        <f>"$ 4636,12"</f>
        <v>$ 4636,12</v>
      </c>
      <c r="G316" t="str">
        <f>"$ 4636,12"</f>
        <v>$ 4636,12</v>
      </c>
      <c r="H316" t="str">
        <f t="shared" si="180"/>
        <v>$ 0,00</v>
      </c>
      <c r="I316" t="str">
        <f t="shared" si="213"/>
        <v>BULBO PRESION DE ACEITE</v>
      </c>
      <c r="J316" t="str">
        <f t="shared" si="181"/>
        <v>1</v>
      </c>
      <c r="K316" t="str">
        <f t="shared" si="206"/>
        <v>0</v>
      </c>
      <c r="L316" t="str">
        <f>"8,000"</f>
        <v>8,000</v>
      </c>
      <c r="M316" t="str">
        <f t="shared" si="182"/>
        <v xml:space="preserve"> </v>
      </c>
      <c r="N316" t="str">
        <f t="shared" si="211"/>
        <v>FISPA</v>
      </c>
      <c r="O316" t="str">
        <f t="shared" si="212"/>
        <v>BULBOS</v>
      </c>
      <c r="P316" t="str">
        <f t="shared" si="216"/>
        <v>0</v>
      </c>
      <c r="Q316" t="str">
        <f t="shared" si="216"/>
        <v>0</v>
      </c>
      <c r="R316" t="str">
        <f t="shared" si="217"/>
        <v>0,00</v>
      </c>
      <c r="S316" t="str">
        <f t="shared" si="217"/>
        <v>0,00</v>
      </c>
      <c r="T316" t="str">
        <f t="shared" si="205"/>
        <v xml:space="preserve"> </v>
      </c>
      <c r="U316" t="str">
        <f t="shared" si="209"/>
        <v xml:space="preserve"> </v>
      </c>
      <c r="V316" t="str">
        <f>"8,000"</f>
        <v>8,000</v>
      </c>
      <c r="W316" t="str">
        <f t="shared" si="183"/>
        <v>Lista 4</v>
      </c>
      <c r="X316" t="str">
        <f t="shared" si="184"/>
        <v>Lista 5</v>
      </c>
      <c r="Y316" t="str">
        <f t="shared" si="185"/>
        <v>Oferta Gral.</v>
      </c>
      <c r="Z316" t="str">
        <f t="shared" si="186"/>
        <v>Rubro</v>
      </c>
      <c r="AA316" t="str">
        <f t="shared" si="187"/>
        <v>Cantidad por Bulto</v>
      </c>
      <c r="AB316" t="str">
        <f t="shared" si="188"/>
        <v>INNER</v>
      </c>
      <c r="AC316" t="str">
        <f t="shared" si="189"/>
        <v>Stock en Bultos</v>
      </c>
      <c r="AD316" t="str">
        <f t="shared" si="190"/>
        <v>SubDepósito</v>
      </c>
      <c r="AE316" t="str">
        <f t="shared" si="191"/>
        <v>Marca</v>
      </c>
      <c r="AF316" t="str">
        <f t="shared" si="192"/>
        <v>Super Rubro</v>
      </c>
      <c r="AG316" t="str">
        <f t="shared" si="193"/>
        <v>ComercioExterior</v>
      </c>
      <c r="AH316" t="str">
        <f t="shared" si="194"/>
        <v>PrecioFOB</v>
      </c>
      <c r="AI316" t="str">
        <f t="shared" si="195"/>
        <v>Monto II</v>
      </c>
      <c r="AJ316" t="str">
        <f t="shared" si="196"/>
        <v>Porcentaje II</v>
      </c>
      <c r="AK316" t="str">
        <f t="shared" si="197"/>
        <v>Foto</v>
      </c>
      <c r="AL316" t="str">
        <f>" "</f>
        <v xml:space="preserve"> </v>
      </c>
      <c r="AM316" t="str">
        <f t="shared" si="210"/>
        <v>-</v>
      </c>
    </row>
    <row r="317" spans="1:39" x14ac:dyDescent="0.25">
      <c r="A317" t="str">
        <f>"FI333"</f>
        <v>FI333</v>
      </c>
      <c r="B317" t="str">
        <f>"BULBO PRESION ACEITE FORD RANGER 2.5D/TD - HONDA ACCORD 1.6 2.2 - CIVIC - PRELUDE 1.8 2.2 "</f>
        <v xml:space="preserve">BULBO PRESION ACEITE FORD RANGER 2.5D/TD - HONDA ACCORD 1.6 2.2 - CIVIC - PRELUDE 1.8 2.2 </v>
      </c>
      <c r="C317" t="str">
        <f>"$ 4383,51"</f>
        <v>$ 4383,51</v>
      </c>
      <c r="D317" t="str">
        <f>"$ 4383,51"</f>
        <v>$ 4383,51</v>
      </c>
      <c r="E317" t="str">
        <f>"$ 4383,51"</f>
        <v>$ 4383,51</v>
      </c>
      <c r="F317" t="str">
        <f>"$ 4383,51"</f>
        <v>$ 4383,51</v>
      </c>
      <c r="G317" t="str">
        <f>"$ 4383,51"</f>
        <v>$ 4383,51</v>
      </c>
      <c r="H317" t="str">
        <f t="shared" si="180"/>
        <v>$ 0,00</v>
      </c>
      <c r="I317" t="str">
        <f t="shared" si="213"/>
        <v>BULBO PRESION DE ACEITE</v>
      </c>
      <c r="J317" t="str">
        <f t="shared" si="181"/>
        <v>1</v>
      </c>
      <c r="K317" t="str">
        <f t="shared" si="206"/>
        <v>0</v>
      </c>
      <c r="L317" t="str">
        <f>"0,000"</f>
        <v>0,000</v>
      </c>
      <c r="M317" t="str">
        <f t="shared" si="182"/>
        <v xml:space="preserve"> </v>
      </c>
      <c r="N317" t="str">
        <f t="shared" si="211"/>
        <v>FISPA</v>
      </c>
      <c r="O317" t="str">
        <f t="shared" si="212"/>
        <v>BULBOS</v>
      </c>
      <c r="P317" t="str">
        <f t="shared" si="216"/>
        <v>0</v>
      </c>
      <c r="Q317" t="str">
        <f t="shared" si="216"/>
        <v>0</v>
      </c>
      <c r="R317" t="str">
        <f t="shared" si="217"/>
        <v>0,00</v>
      </c>
      <c r="S317" t="str">
        <f t="shared" si="217"/>
        <v>0,00</v>
      </c>
      <c r="T317" t="str">
        <f t="shared" si="205"/>
        <v xml:space="preserve"> </v>
      </c>
      <c r="U317" t="str">
        <f t="shared" si="209"/>
        <v xml:space="preserve"> </v>
      </c>
      <c r="V317" t="str">
        <f>"0,000"</f>
        <v>0,000</v>
      </c>
      <c r="W317" t="str">
        <f t="shared" si="183"/>
        <v>Lista 4</v>
      </c>
      <c r="X317" t="str">
        <f t="shared" si="184"/>
        <v>Lista 5</v>
      </c>
      <c r="Y317" t="str">
        <f t="shared" si="185"/>
        <v>Oferta Gral.</v>
      </c>
      <c r="Z317" t="str">
        <f t="shared" si="186"/>
        <v>Rubro</v>
      </c>
      <c r="AA317" t="str">
        <f t="shared" si="187"/>
        <v>Cantidad por Bulto</v>
      </c>
      <c r="AB317" t="str">
        <f t="shared" si="188"/>
        <v>INNER</v>
      </c>
      <c r="AC317" t="str">
        <f t="shared" si="189"/>
        <v>Stock en Bultos</v>
      </c>
      <c r="AD317" t="str">
        <f t="shared" si="190"/>
        <v>SubDepósito</v>
      </c>
      <c r="AE317" t="str">
        <f t="shared" si="191"/>
        <v>Marca</v>
      </c>
      <c r="AF317" t="str">
        <f t="shared" si="192"/>
        <v>Super Rubro</v>
      </c>
      <c r="AG317" t="str">
        <f t="shared" si="193"/>
        <v>ComercioExterior</v>
      </c>
      <c r="AH317" t="str">
        <f t="shared" si="194"/>
        <v>PrecioFOB</v>
      </c>
      <c r="AI317" t="str">
        <f t="shared" si="195"/>
        <v>Monto II</v>
      </c>
      <c r="AJ317" t="str">
        <f t="shared" si="196"/>
        <v>Porcentaje II</v>
      </c>
      <c r="AK317" t="str">
        <f t="shared" si="197"/>
        <v>Foto</v>
      </c>
      <c r="AL31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7" t="str">
        <f t="shared" si="210"/>
        <v>-</v>
      </c>
    </row>
    <row r="318" spans="1:39" x14ac:dyDescent="0.25">
      <c r="A318" t="str">
        <f>"FI314"</f>
        <v>FI314</v>
      </c>
      <c r="B318" t="str">
        <f>"BULBO PRESION ACEITE GM ASTRA - AVEO - CAPTIVA 2.0 DIESEL - CORSA VECTRA -  ZAFIRA - 0.5BAR"</f>
        <v>BULBO PRESION ACEITE GM ASTRA - AVEO - CAPTIVA 2.0 DIESEL - CORSA VECTRA -  ZAFIRA - 0.5BAR</v>
      </c>
      <c r="C318" t="str">
        <f>"$ 3922,87"</f>
        <v>$ 3922,87</v>
      </c>
      <c r="D318" t="str">
        <f>"$ 3922,87"</f>
        <v>$ 3922,87</v>
      </c>
      <c r="E318" t="str">
        <f>"$ 3922,87"</f>
        <v>$ 3922,87</v>
      </c>
      <c r="F318" t="str">
        <f>"$ 3922,87"</f>
        <v>$ 3922,87</v>
      </c>
      <c r="G318" t="str">
        <f>"$ 3922,87"</f>
        <v>$ 3922,87</v>
      </c>
      <c r="H318" t="str">
        <f t="shared" si="180"/>
        <v>$ 0,00</v>
      </c>
      <c r="I318" t="str">
        <f t="shared" si="213"/>
        <v>BULBO PRESION DE ACEITE</v>
      </c>
      <c r="J318" t="str">
        <f t="shared" si="181"/>
        <v>1</v>
      </c>
      <c r="K318" t="str">
        <f t="shared" si="206"/>
        <v>0</v>
      </c>
      <c r="L318" t="str">
        <f>"50,000"</f>
        <v>50,000</v>
      </c>
      <c r="M318" t="str">
        <f t="shared" si="182"/>
        <v xml:space="preserve"> </v>
      </c>
      <c r="N318" t="str">
        <f t="shared" si="211"/>
        <v>FISPA</v>
      </c>
      <c r="O318" t="str">
        <f t="shared" si="212"/>
        <v>BULBOS</v>
      </c>
      <c r="P318" t="str">
        <f t="shared" si="216"/>
        <v>0</v>
      </c>
      <c r="Q318" t="str">
        <f t="shared" si="216"/>
        <v>0</v>
      </c>
      <c r="R318" t="str">
        <f t="shared" si="217"/>
        <v>0,00</v>
      </c>
      <c r="S318" t="str">
        <f t="shared" si="217"/>
        <v>0,00</v>
      </c>
      <c r="T318" t="str">
        <f t="shared" si="205"/>
        <v xml:space="preserve"> </v>
      </c>
      <c r="U318" t="str">
        <f t="shared" si="209"/>
        <v xml:space="preserve"> </v>
      </c>
      <c r="V318" t="str">
        <f>"50,000"</f>
        <v>50,000</v>
      </c>
      <c r="W318" t="str">
        <f t="shared" si="183"/>
        <v>Lista 4</v>
      </c>
      <c r="X318" t="str">
        <f t="shared" si="184"/>
        <v>Lista 5</v>
      </c>
      <c r="Y318" t="str">
        <f t="shared" si="185"/>
        <v>Oferta Gral.</v>
      </c>
      <c r="Z318" t="str">
        <f t="shared" si="186"/>
        <v>Rubro</v>
      </c>
      <c r="AA318" t="str">
        <f t="shared" si="187"/>
        <v>Cantidad por Bulto</v>
      </c>
      <c r="AB318" t="str">
        <f t="shared" si="188"/>
        <v>INNER</v>
      </c>
      <c r="AC318" t="str">
        <f t="shared" si="189"/>
        <v>Stock en Bultos</v>
      </c>
      <c r="AD318" t="str">
        <f t="shared" si="190"/>
        <v>SubDepósito</v>
      </c>
      <c r="AE318" t="str">
        <f t="shared" si="191"/>
        <v>Marca</v>
      </c>
      <c r="AF318" t="str">
        <f t="shared" si="192"/>
        <v>Super Rubro</v>
      </c>
      <c r="AG318" t="str">
        <f t="shared" si="193"/>
        <v>ComercioExterior</v>
      </c>
      <c r="AH318" t="str">
        <f t="shared" si="194"/>
        <v>PrecioFOB</v>
      </c>
      <c r="AI318" t="str">
        <f t="shared" si="195"/>
        <v>Monto II</v>
      </c>
      <c r="AJ318" t="str">
        <f t="shared" si="196"/>
        <v>Porcentaje II</v>
      </c>
      <c r="AK318" t="str">
        <f t="shared" si="197"/>
        <v>Foto</v>
      </c>
      <c r="AL31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8" t="str">
        <f t="shared" si="210"/>
        <v>-</v>
      </c>
    </row>
    <row r="319" spans="1:39" x14ac:dyDescent="0.25">
      <c r="A319" t="str">
        <f>"FI326"</f>
        <v>FI326</v>
      </c>
      <c r="B319" t="str">
        <f>"BULBO PRESION ACEITE GOLF IV - SHARAN - TRANSPORTER - SEAT - CORDOBA - 1.8BAR"</f>
        <v>BULBO PRESION ACEITE GOLF IV - SHARAN - TRANSPORTER - SEAT - CORDOBA - 1.8BAR</v>
      </c>
      <c r="C319" t="str">
        <f>"$ 6735,00"</f>
        <v>$ 6735,00</v>
      </c>
      <c r="D319" t="str">
        <f>"$ 6735,00"</f>
        <v>$ 6735,00</v>
      </c>
      <c r="E319" t="str">
        <f>"$ 6735,00"</f>
        <v>$ 6735,00</v>
      </c>
      <c r="F319" t="str">
        <f>"$ 6735,00"</f>
        <v>$ 6735,00</v>
      </c>
      <c r="G319" t="str">
        <f>"$ 6735,00"</f>
        <v>$ 6735,00</v>
      </c>
      <c r="H319" t="str">
        <f t="shared" si="180"/>
        <v>$ 0,00</v>
      </c>
      <c r="I319" t="str">
        <f t="shared" si="213"/>
        <v>BULBO PRESION DE ACEITE</v>
      </c>
      <c r="J319" t="str">
        <f t="shared" si="181"/>
        <v>1</v>
      </c>
      <c r="K319" t="str">
        <f t="shared" si="206"/>
        <v>0</v>
      </c>
      <c r="L319" t="str">
        <f t="shared" ref="L319:L324" si="218">"0,000"</f>
        <v>0,000</v>
      </c>
      <c r="M319" t="str">
        <f t="shared" si="182"/>
        <v xml:space="preserve"> </v>
      </c>
      <c r="N319" t="str">
        <f t="shared" si="211"/>
        <v>FISPA</v>
      </c>
      <c r="O319" t="str">
        <f t="shared" si="212"/>
        <v>BULBOS</v>
      </c>
      <c r="P319" t="str">
        <f t="shared" si="216"/>
        <v>0</v>
      </c>
      <c r="Q319" t="str">
        <f t="shared" si="216"/>
        <v>0</v>
      </c>
      <c r="R319" t="str">
        <f t="shared" si="217"/>
        <v>0,00</v>
      </c>
      <c r="S319" t="str">
        <f t="shared" si="217"/>
        <v>0,00</v>
      </c>
      <c r="T319" t="str">
        <f t="shared" si="205"/>
        <v xml:space="preserve"> </v>
      </c>
      <c r="U319" t="str">
        <f t="shared" si="209"/>
        <v xml:space="preserve"> </v>
      </c>
      <c r="V319" t="str">
        <f t="shared" ref="V319:V324" si="219">"0,000"</f>
        <v>0,000</v>
      </c>
      <c r="W319" t="str">
        <f t="shared" si="183"/>
        <v>Lista 4</v>
      </c>
      <c r="X319" t="str">
        <f t="shared" si="184"/>
        <v>Lista 5</v>
      </c>
      <c r="Y319" t="str">
        <f t="shared" si="185"/>
        <v>Oferta Gral.</v>
      </c>
      <c r="Z319" t="str">
        <f t="shared" si="186"/>
        <v>Rubro</v>
      </c>
      <c r="AA319" t="str">
        <f t="shared" si="187"/>
        <v>Cantidad por Bulto</v>
      </c>
      <c r="AB319" t="str">
        <f t="shared" si="188"/>
        <v>INNER</v>
      </c>
      <c r="AC319" t="str">
        <f t="shared" si="189"/>
        <v>Stock en Bultos</v>
      </c>
      <c r="AD319" t="str">
        <f t="shared" si="190"/>
        <v>SubDepósito</v>
      </c>
      <c r="AE319" t="str">
        <f t="shared" si="191"/>
        <v>Marca</v>
      </c>
      <c r="AF319" t="str">
        <f t="shared" si="192"/>
        <v>Super Rubro</v>
      </c>
      <c r="AG319" t="str">
        <f t="shared" si="193"/>
        <v>ComercioExterior</v>
      </c>
      <c r="AH319" t="str">
        <f t="shared" si="194"/>
        <v>PrecioFOB</v>
      </c>
      <c r="AI319" t="str">
        <f t="shared" si="195"/>
        <v>Monto II</v>
      </c>
      <c r="AJ319" t="str">
        <f t="shared" si="196"/>
        <v>Porcentaje II</v>
      </c>
      <c r="AK319" t="str">
        <f t="shared" si="197"/>
        <v>Foto</v>
      </c>
      <c r="AL31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9" t="str">
        <f t="shared" si="210"/>
        <v>-</v>
      </c>
    </row>
    <row r="320" spans="1:39" x14ac:dyDescent="0.25">
      <c r="A320" t="str">
        <f>"FI337"</f>
        <v>FI337</v>
      </c>
      <c r="B320" t="str">
        <f>"BULBO PRESION ACEITE HONDA ACCORD/CIVIC HYUNDAI ACCENT/ELANTRA -  NISSAN SENTRA"</f>
        <v>BULBO PRESION ACEITE HONDA ACCORD/CIVIC HYUNDAI ACCENT/ELANTRA -  NISSAN SENTRA</v>
      </c>
      <c r="C320" t="str">
        <f>"$ 4366,17"</f>
        <v>$ 4366,17</v>
      </c>
      <c r="D320" t="str">
        <f>"$ 4366,17"</f>
        <v>$ 4366,17</v>
      </c>
      <c r="E320" t="str">
        <f>"$ 4366,17"</f>
        <v>$ 4366,17</v>
      </c>
      <c r="F320" t="str">
        <f>"$ 4366,17"</f>
        <v>$ 4366,17</v>
      </c>
      <c r="G320" t="str">
        <f>"$ 4366,17"</f>
        <v>$ 4366,17</v>
      </c>
      <c r="H320" t="str">
        <f t="shared" si="180"/>
        <v>$ 0,00</v>
      </c>
      <c r="I320" t="str">
        <f t="shared" si="213"/>
        <v>BULBO PRESION DE ACEITE</v>
      </c>
      <c r="J320" t="str">
        <f t="shared" si="181"/>
        <v>1</v>
      </c>
      <c r="K320" t="str">
        <f t="shared" si="206"/>
        <v>0</v>
      </c>
      <c r="L320" t="str">
        <f t="shared" si="218"/>
        <v>0,000</v>
      </c>
      <c r="M320" t="str">
        <f t="shared" si="182"/>
        <v xml:space="preserve"> </v>
      </c>
      <c r="N320" t="str">
        <f t="shared" si="211"/>
        <v>FISPA</v>
      </c>
      <c r="O320" t="str">
        <f t="shared" si="212"/>
        <v>BULBOS</v>
      </c>
      <c r="P320" t="str">
        <f t="shared" si="216"/>
        <v>0</v>
      </c>
      <c r="Q320" t="str">
        <f t="shared" si="216"/>
        <v>0</v>
      </c>
      <c r="R320" t="str">
        <f t="shared" si="217"/>
        <v>0,00</v>
      </c>
      <c r="S320" t="str">
        <f t="shared" si="217"/>
        <v>0,00</v>
      </c>
      <c r="T320" t="str">
        <f t="shared" si="205"/>
        <v xml:space="preserve"> </v>
      </c>
      <c r="U320" t="str">
        <f t="shared" si="209"/>
        <v xml:space="preserve"> </v>
      </c>
      <c r="V320" t="str">
        <f t="shared" si="219"/>
        <v>0,000</v>
      </c>
      <c r="W320" t="str">
        <f t="shared" si="183"/>
        <v>Lista 4</v>
      </c>
      <c r="X320" t="str">
        <f t="shared" si="184"/>
        <v>Lista 5</v>
      </c>
      <c r="Y320" t="str">
        <f t="shared" si="185"/>
        <v>Oferta Gral.</v>
      </c>
      <c r="Z320" t="str">
        <f t="shared" si="186"/>
        <v>Rubro</v>
      </c>
      <c r="AA320" t="str">
        <f t="shared" si="187"/>
        <v>Cantidad por Bulto</v>
      </c>
      <c r="AB320" t="str">
        <f t="shared" si="188"/>
        <v>INNER</v>
      </c>
      <c r="AC320" t="str">
        <f t="shared" si="189"/>
        <v>Stock en Bultos</v>
      </c>
      <c r="AD320" t="str">
        <f t="shared" si="190"/>
        <v>SubDepósito</v>
      </c>
      <c r="AE320" t="str">
        <f t="shared" si="191"/>
        <v>Marca</v>
      </c>
      <c r="AF320" t="str">
        <f t="shared" si="192"/>
        <v>Super Rubro</v>
      </c>
      <c r="AG320" t="str">
        <f t="shared" si="193"/>
        <v>ComercioExterior</v>
      </c>
      <c r="AH320" t="str">
        <f t="shared" si="194"/>
        <v>PrecioFOB</v>
      </c>
      <c r="AI320" t="str">
        <f t="shared" si="195"/>
        <v>Monto II</v>
      </c>
      <c r="AJ320" t="str">
        <f t="shared" si="196"/>
        <v>Porcentaje II</v>
      </c>
      <c r="AK320" t="str">
        <f t="shared" si="197"/>
        <v>Foto</v>
      </c>
      <c r="AL32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20" t="str">
        <f t="shared" ref="AM320:AM351" si="220">"-"</f>
        <v>-</v>
      </c>
    </row>
    <row r="321" spans="1:39" x14ac:dyDescent="0.25">
      <c r="A321" t="str">
        <f>"FI339"</f>
        <v>FI339</v>
      </c>
      <c r="B321" t="str">
        <f>"BULBO PRESION ACEITE HYUNDAI ACCENT CRDI - ATOS CRDI - GRANDEUR CRDI -H100 TCI-TD "</f>
        <v xml:space="preserve">BULBO PRESION ACEITE HYUNDAI ACCENT CRDI - ATOS CRDI - GRANDEUR CRDI -H100 TCI-TD </v>
      </c>
      <c r="C321" t="str">
        <f>"$ 5554,92"</f>
        <v>$ 5554,92</v>
      </c>
      <c r="D321" t="str">
        <f>"$ 5554,92"</f>
        <v>$ 5554,92</v>
      </c>
      <c r="E321" t="str">
        <f>"$ 5554,92"</f>
        <v>$ 5554,92</v>
      </c>
      <c r="F321" t="str">
        <f>"$ 5554,92"</f>
        <v>$ 5554,92</v>
      </c>
      <c r="G321" t="str">
        <f>"$ 5554,92"</f>
        <v>$ 5554,92</v>
      </c>
      <c r="H321" t="str">
        <f t="shared" si="180"/>
        <v>$ 0,00</v>
      </c>
      <c r="I321" t="str">
        <f t="shared" si="213"/>
        <v>BULBO PRESION DE ACEITE</v>
      </c>
      <c r="J321" t="str">
        <f t="shared" si="181"/>
        <v>1</v>
      </c>
      <c r="K321" t="str">
        <f t="shared" si="206"/>
        <v>0</v>
      </c>
      <c r="L321" t="str">
        <f t="shared" si="218"/>
        <v>0,000</v>
      </c>
      <c r="M321" t="str">
        <f t="shared" si="182"/>
        <v xml:space="preserve"> </v>
      </c>
      <c r="N321" t="str">
        <f t="shared" ref="N321:N352" si="221">"FISPA"</f>
        <v>FISPA</v>
      </c>
      <c r="O321" t="str">
        <f t="shared" ref="O321:O352" si="222">"BULBOS"</f>
        <v>BULBOS</v>
      </c>
      <c r="P321" t="str">
        <f t="shared" si="216"/>
        <v>0</v>
      </c>
      <c r="Q321" t="str">
        <f t="shared" si="216"/>
        <v>0</v>
      </c>
      <c r="R321" t="str">
        <f t="shared" si="217"/>
        <v>0,00</v>
      </c>
      <c r="S321" t="str">
        <f t="shared" si="217"/>
        <v>0,00</v>
      </c>
      <c r="T321" t="str">
        <f t="shared" si="205"/>
        <v xml:space="preserve"> </v>
      </c>
      <c r="U321" t="str">
        <f t="shared" si="209"/>
        <v xml:space="preserve"> </v>
      </c>
      <c r="V321" t="str">
        <f t="shared" si="219"/>
        <v>0,000</v>
      </c>
      <c r="W321" t="str">
        <f t="shared" si="183"/>
        <v>Lista 4</v>
      </c>
      <c r="X321" t="str">
        <f t="shared" si="184"/>
        <v>Lista 5</v>
      </c>
      <c r="Y321" t="str">
        <f t="shared" si="185"/>
        <v>Oferta Gral.</v>
      </c>
      <c r="Z321" t="str">
        <f t="shared" si="186"/>
        <v>Rubro</v>
      </c>
      <c r="AA321" t="str">
        <f t="shared" si="187"/>
        <v>Cantidad por Bulto</v>
      </c>
      <c r="AB321" t="str">
        <f t="shared" si="188"/>
        <v>INNER</v>
      </c>
      <c r="AC321" t="str">
        <f t="shared" si="189"/>
        <v>Stock en Bultos</v>
      </c>
      <c r="AD321" t="str">
        <f t="shared" si="190"/>
        <v>SubDepósito</v>
      </c>
      <c r="AE321" t="str">
        <f t="shared" si="191"/>
        <v>Marca</v>
      </c>
      <c r="AF321" t="str">
        <f t="shared" si="192"/>
        <v>Super Rubro</v>
      </c>
      <c r="AG321" t="str">
        <f t="shared" si="193"/>
        <v>ComercioExterior</v>
      </c>
      <c r="AH321" t="str">
        <f t="shared" si="194"/>
        <v>PrecioFOB</v>
      </c>
      <c r="AI321" t="str">
        <f t="shared" si="195"/>
        <v>Monto II</v>
      </c>
      <c r="AJ321" t="str">
        <f t="shared" si="196"/>
        <v>Porcentaje II</v>
      </c>
      <c r="AK321" t="str">
        <f t="shared" si="197"/>
        <v>Foto</v>
      </c>
      <c r="AL32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21" t="str">
        <f t="shared" si="220"/>
        <v>-</v>
      </c>
    </row>
    <row r="322" spans="1:39" x14ac:dyDescent="0.25">
      <c r="A322" t="str">
        <f>"FI321"</f>
        <v>FI321</v>
      </c>
      <c r="B322" t="str">
        <f>"BULBO PRESION ACEITE KANGOO 1.5 1.6 -MEGANE 1.8 1.9D 2.0  CLIO I/II 1.4 1.5 - TRAFIC 1.9D 0.2BAR"</f>
        <v>BULBO PRESION ACEITE KANGOO 1.5 1.6 -MEGANE 1.8 1.9D 2.0  CLIO I/II 1.4 1.5 - TRAFIC 1.9D 0.2BAR</v>
      </c>
      <c r="C322" t="str">
        <f>"$ 3213,34"</f>
        <v>$ 3213,34</v>
      </c>
      <c r="D322" t="str">
        <f>"$ 3213,34"</f>
        <v>$ 3213,34</v>
      </c>
      <c r="E322" t="str">
        <f>"$ 3213,34"</f>
        <v>$ 3213,34</v>
      </c>
      <c r="F322" t="str">
        <f>"$ 3213,34"</f>
        <v>$ 3213,34</v>
      </c>
      <c r="G322" t="str">
        <f>"$ 3213,34"</f>
        <v>$ 3213,34</v>
      </c>
      <c r="H322" t="str">
        <f t="shared" si="180"/>
        <v>$ 0,00</v>
      </c>
      <c r="I322" t="str">
        <f t="shared" si="213"/>
        <v>BULBO PRESION DE ACEITE</v>
      </c>
      <c r="J322" t="str">
        <f t="shared" si="181"/>
        <v>1</v>
      </c>
      <c r="K322" t="str">
        <f t="shared" si="206"/>
        <v>0</v>
      </c>
      <c r="L322" t="str">
        <f t="shared" si="218"/>
        <v>0,000</v>
      </c>
      <c r="M322" t="str">
        <f t="shared" si="182"/>
        <v xml:space="preserve"> </v>
      </c>
      <c r="N322" t="str">
        <f t="shared" si="221"/>
        <v>FISPA</v>
      </c>
      <c r="O322" t="str">
        <f t="shared" si="222"/>
        <v>BULBOS</v>
      </c>
      <c r="P322" t="str">
        <f t="shared" si="216"/>
        <v>0</v>
      </c>
      <c r="Q322" t="str">
        <f t="shared" si="216"/>
        <v>0</v>
      </c>
      <c r="R322" t="str">
        <f t="shared" si="217"/>
        <v>0,00</v>
      </c>
      <c r="S322" t="str">
        <f t="shared" si="217"/>
        <v>0,00</v>
      </c>
      <c r="T322" t="str">
        <f t="shared" si="205"/>
        <v xml:space="preserve"> </v>
      </c>
      <c r="U322" t="str">
        <f t="shared" si="209"/>
        <v xml:space="preserve"> </v>
      </c>
      <c r="V322" t="str">
        <f t="shared" si="219"/>
        <v>0,000</v>
      </c>
      <c r="W322" t="str">
        <f t="shared" si="183"/>
        <v>Lista 4</v>
      </c>
      <c r="X322" t="str">
        <f t="shared" si="184"/>
        <v>Lista 5</v>
      </c>
      <c r="Y322" t="str">
        <f t="shared" si="185"/>
        <v>Oferta Gral.</v>
      </c>
      <c r="Z322" t="str">
        <f t="shared" si="186"/>
        <v>Rubro</v>
      </c>
      <c r="AA322" t="str">
        <f t="shared" si="187"/>
        <v>Cantidad por Bulto</v>
      </c>
      <c r="AB322" t="str">
        <f t="shared" si="188"/>
        <v>INNER</v>
      </c>
      <c r="AC322" t="str">
        <f t="shared" si="189"/>
        <v>Stock en Bultos</v>
      </c>
      <c r="AD322" t="str">
        <f t="shared" si="190"/>
        <v>SubDepósito</v>
      </c>
      <c r="AE322" t="str">
        <f t="shared" si="191"/>
        <v>Marca</v>
      </c>
      <c r="AF322" t="str">
        <f t="shared" si="192"/>
        <v>Super Rubro</v>
      </c>
      <c r="AG322" t="str">
        <f t="shared" si="193"/>
        <v>ComercioExterior</v>
      </c>
      <c r="AH322" t="str">
        <f t="shared" si="194"/>
        <v>PrecioFOB</v>
      </c>
      <c r="AI322" t="str">
        <f t="shared" si="195"/>
        <v>Monto II</v>
      </c>
      <c r="AJ322" t="str">
        <f t="shared" si="196"/>
        <v>Porcentaje II</v>
      </c>
      <c r="AK322" t="str">
        <f t="shared" si="197"/>
        <v>Foto</v>
      </c>
      <c r="AL3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22" t="str">
        <f t="shared" si="220"/>
        <v>-</v>
      </c>
    </row>
    <row r="323" spans="1:39" x14ac:dyDescent="0.25">
      <c r="A323" t="str">
        <f>"FI345"</f>
        <v>FI345</v>
      </c>
      <c r="B323" t="str">
        <f>"BULBO PRESION ACEITE MERCEDES BENZ SPRINTER"</f>
        <v>BULBO PRESION ACEITE MERCEDES BENZ SPRINTER</v>
      </c>
      <c r="C323" t="str">
        <f>"$ 6305,32"</f>
        <v>$ 6305,32</v>
      </c>
      <c r="D323" t="str">
        <f>"$ 6305,32"</f>
        <v>$ 6305,32</v>
      </c>
      <c r="E323" t="str">
        <f>"$ 6305,32"</f>
        <v>$ 6305,32</v>
      </c>
      <c r="F323" t="str">
        <f>"$ 6305,32"</f>
        <v>$ 6305,32</v>
      </c>
      <c r="G323" t="str">
        <f>"$ 6305,32"</f>
        <v>$ 6305,32</v>
      </c>
      <c r="H323" t="str">
        <f t="shared" ref="H323:H386" si="223">"$ 0,00"</f>
        <v>$ 0,00</v>
      </c>
      <c r="I323" t="str">
        <f t="shared" si="213"/>
        <v>BULBO PRESION DE ACEITE</v>
      </c>
      <c r="J323" t="str">
        <f t="shared" ref="J323:J386" si="224">"1"</f>
        <v>1</v>
      </c>
      <c r="K323" t="str">
        <f t="shared" si="206"/>
        <v>0</v>
      </c>
      <c r="L323" t="str">
        <f t="shared" si="218"/>
        <v>0,000</v>
      </c>
      <c r="M323" t="str">
        <f t="shared" ref="M323:M386" si="225">" "</f>
        <v xml:space="preserve"> </v>
      </c>
      <c r="N323" t="str">
        <f t="shared" si="221"/>
        <v>FISPA</v>
      </c>
      <c r="O323" t="str">
        <f t="shared" si="222"/>
        <v>BULBOS</v>
      </c>
      <c r="P323" t="str">
        <f t="shared" ref="P323:Q342" si="226">"0"</f>
        <v>0</v>
      </c>
      <c r="Q323" t="str">
        <f t="shared" si="226"/>
        <v>0</v>
      </c>
      <c r="R323" t="str">
        <f t="shared" ref="R323:S342" si="227">"0,00"</f>
        <v>0,00</v>
      </c>
      <c r="S323" t="str">
        <f t="shared" si="227"/>
        <v>0,00</v>
      </c>
      <c r="T323" t="str">
        <f t="shared" si="205"/>
        <v xml:space="preserve"> </v>
      </c>
      <c r="U323" t="str">
        <f t="shared" si="209"/>
        <v xml:space="preserve"> </v>
      </c>
      <c r="V323" t="str">
        <f t="shared" si="219"/>
        <v>0,000</v>
      </c>
      <c r="W323" t="str">
        <f t="shared" ref="W323:W386" si="228">"Lista 4"</f>
        <v>Lista 4</v>
      </c>
      <c r="X323" t="str">
        <f t="shared" ref="X323:X386" si="229">"Lista 5"</f>
        <v>Lista 5</v>
      </c>
      <c r="Y323" t="str">
        <f t="shared" ref="Y323:Y386" si="230">"Oferta Gral."</f>
        <v>Oferta Gral.</v>
      </c>
      <c r="Z323" t="str">
        <f t="shared" ref="Z323:Z386" si="231">"Rubro"</f>
        <v>Rubro</v>
      </c>
      <c r="AA323" t="str">
        <f t="shared" ref="AA323:AA386" si="232">"Cantidad por Bulto"</f>
        <v>Cantidad por Bulto</v>
      </c>
      <c r="AB323" t="str">
        <f t="shared" ref="AB323:AB386" si="233">"INNER"</f>
        <v>INNER</v>
      </c>
      <c r="AC323" t="str">
        <f t="shared" ref="AC323:AC386" si="234">"Stock en Bultos"</f>
        <v>Stock en Bultos</v>
      </c>
      <c r="AD323" t="str">
        <f t="shared" ref="AD323:AD386" si="235">"SubDepósito"</f>
        <v>SubDepósito</v>
      </c>
      <c r="AE323" t="str">
        <f t="shared" ref="AE323:AE386" si="236">"Marca"</f>
        <v>Marca</v>
      </c>
      <c r="AF323" t="str">
        <f t="shared" ref="AF323:AF386" si="237">"Super Rubro"</f>
        <v>Super Rubro</v>
      </c>
      <c r="AG323" t="str">
        <f t="shared" ref="AG323:AG386" si="238">"ComercioExterior"</f>
        <v>ComercioExterior</v>
      </c>
      <c r="AH323" t="str">
        <f t="shared" ref="AH323:AH386" si="239">"PrecioFOB"</f>
        <v>PrecioFOB</v>
      </c>
      <c r="AI323" t="str">
        <f t="shared" ref="AI323:AI386" si="240">"Monto II"</f>
        <v>Monto II</v>
      </c>
      <c r="AJ323" t="str">
        <f t="shared" ref="AJ323:AJ386" si="241">"Porcentaje II"</f>
        <v>Porcentaje II</v>
      </c>
      <c r="AK323" t="str">
        <f t="shared" ref="AK323:AK386" si="242">"Foto"</f>
        <v>Foto</v>
      </c>
      <c r="AL323" t="str">
        <f>" "</f>
        <v xml:space="preserve"> </v>
      </c>
      <c r="AM323" t="str">
        <f t="shared" si="220"/>
        <v>-</v>
      </c>
    </row>
    <row r="324" spans="1:39" x14ac:dyDescent="0.25">
      <c r="A324" t="str">
        <f>"FI306"</f>
        <v>FI306</v>
      </c>
      <c r="B324" t="str">
        <f>"BULBO PRESION ACEITE PEUGEOT 106 - 205 - 306 - 405 - 505 GLD - GRD - SRD - PARTNER"</f>
        <v>BULBO PRESION ACEITE PEUGEOT 106 - 205 - 306 - 405 - 505 GLD - GRD - SRD - PARTNER</v>
      </c>
      <c r="C324" t="str">
        <f>"$ 3330,97"</f>
        <v>$ 3330,97</v>
      </c>
      <c r="D324" t="str">
        <f>"$ 3330,97"</f>
        <v>$ 3330,97</v>
      </c>
      <c r="E324" t="str">
        <f>"$ 3330,97"</f>
        <v>$ 3330,97</v>
      </c>
      <c r="F324" t="str">
        <f>"$ 3330,97"</f>
        <v>$ 3330,97</v>
      </c>
      <c r="G324" t="str">
        <f>"$ 3330,97"</f>
        <v>$ 3330,97</v>
      </c>
      <c r="H324" t="str">
        <f t="shared" si="223"/>
        <v>$ 0,00</v>
      </c>
      <c r="I324" t="str">
        <f t="shared" si="213"/>
        <v>BULBO PRESION DE ACEITE</v>
      </c>
      <c r="J324" t="str">
        <f t="shared" si="224"/>
        <v>1</v>
      </c>
      <c r="K324" t="str">
        <f t="shared" si="206"/>
        <v>0</v>
      </c>
      <c r="L324" t="str">
        <f t="shared" si="218"/>
        <v>0,000</v>
      </c>
      <c r="M324" t="str">
        <f t="shared" si="225"/>
        <v xml:space="preserve"> </v>
      </c>
      <c r="N324" t="str">
        <f t="shared" si="221"/>
        <v>FISPA</v>
      </c>
      <c r="O324" t="str">
        <f t="shared" si="222"/>
        <v>BULBOS</v>
      </c>
      <c r="P324" t="str">
        <f t="shared" si="226"/>
        <v>0</v>
      </c>
      <c r="Q324" t="str">
        <f t="shared" si="226"/>
        <v>0</v>
      </c>
      <c r="R324" t="str">
        <f t="shared" si="227"/>
        <v>0,00</v>
      </c>
      <c r="S324" t="str">
        <f t="shared" si="227"/>
        <v>0,00</v>
      </c>
      <c r="T324" t="str">
        <f t="shared" si="205"/>
        <v xml:space="preserve"> </v>
      </c>
      <c r="U324" t="str">
        <f t="shared" si="209"/>
        <v xml:space="preserve"> </v>
      </c>
      <c r="V324" t="str">
        <f t="shared" si="219"/>
        <v>0,000</v>
      </c>
      <c r="W324" t="str">
        <f t="shared" si="228"/>
        <v>Lista 4</v>
      </c>
      <c r="X324" t="str">
        <f t="shared" si="229"/>
        <v>Lista 5</v>
      </c>
      <c r="Y324" t="str">
        <f t="shared" si="230"/>
        <v>Oferta Gral.</v>
      </c>
      <c r="Z324" t="str">
        <f t="shared" si="231"/>
        <v>Rubro</v>
      </c>
      <c r="AA324" t="str">
        <f t="shared" si="232"/>
        <v>Cantidad por Bulto</v>
      </c>
      <c r="AB324" t="str">
        <f t="shared" si="233"/>
        <v>INNER</v>
      </c>
      <c r="AC324" t="str">
        <f t="shared" si="234"/>
        <v>Stock en Bultos</v>
      </c>
      <c r="AD324" t="str">
        <f t="shared" si="235"/>
        <v>SubDepósito</v>
      </c>
      <c r="AE324" t="str">
        <f t="shared" si="236"/>
        <v>Marca</v>
      </c>
      <c r="AF324" t="str">
        <f t="shared" si="237"/>
        <v>Super Rubro</v>
      </c>
      <c r="AG324" t="str">
        <f t="shared" si="238"/>
        <v>ComercioExterior</v>
      </c>
      <c r="AH324" t="str">
        <f t="shared" si="239"/>
        <v>PrecioFOB</v>
      </c>
      <c r="AI324" t="str">
        <f t="shared" si="240"/>
        <v>Monto II</v>
      </c>
      <c r="AJ324" t="str">
        <f t="shared" si="241"/>
        <v>Porcentaje II</v>
      </c>
      <c r="AK324" t="str">
        <f t="shared" si="242"/>
        <v>Foto</v>
      </c>
      <c r="AL32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24" t="str">
        <f t="shared" si="220"/>
        <v>-</v>
      </c>
    </row>
    <row r="325" spans="1:39" x14ac:dyDescent="0.25">
      <c r="A325" t="str">
        <f>"FI305"</f>
        <v>FI305</v>
      </c>
      <c r="B325" t="str">
        <f>"BULBO PRESION ACEITE RENAULT 19 - 21 - CLIO - EXPRESS - KANGOO -LAGUNA - MEGANE"</f>
        <v>BULBO PRESION ACEITE RENAULT 19 - 21 - CLIO - EXPRESS - KANGOO -LAGUNA - MEGANE</v>
      </c>
      <c r="C325" t="str">
        <f>"$ 4225,01"</f>
        <v>$ 4225,01</v>
      </c>
      <c r="D325" t="str">
        <f>"$ 4225,01"</f>
        <v>$ 4225,01</v>
      </c>
      <c r="E325" t="str">
        <f>"$ 4225,01"</f>
        <v>$ 4225,01</v>
      </c>
      <c r="F325" t="str">
        <f>"$ 4225,01"</f>
        <v>$ 4225,01</v>
      </c>
      <c r="G325" t="str">
        <f>"$ 4225,01"</f>
        <v>$ 4225,01</v>
      </c>
      <c r="H325" t="str">
        <f t="shared" si="223"/>
        <v>$ 0,00</v>
      </c>
      <c r="I325" t="str">
        <f t="shared" si="213"/>
        <v>BULBO PRESION DE ACEITE</v>
      </c>
      <c r="J325" t="str">
        <f t="shared" si="224"/>
        <v>1</v>
      </c>
      <c r="K325" t="str">
        <f t="shared" si="206"/>
        <v>0</v>
      </c>
      <c r="L325" t="str">
        <f>"32,000"</f>
        <v>32,000</v>
      </c>
      <c r="M325" t="str">
        <f t="shared" si="225"/>
        <v xml:space="preserve"> </v>
      </c>
      <c r="N325" t="str">
        <f t="shared" si="221"/>
        <v>FISPA</v>
      </c>
      <c r="O325" t="str">
        <f t="shared" si="222"/>
        <v>BULBOS</v>
      </c>
      <c r="P325" t="str">
        <f t="shared" si="226"/>
        <v>0</v>
      </c>
      <c r="Q325" t="str">
        <f t="shared" si="226"/>
        <v>0</v>
      </c>
      <c r="R325" t="str">
        <f t="shared" si="227"/>
        <v>0,00</v>
      </c>
      <c r="S325" t="str">
        <f t="shared" si="227"/>
        <v>0,00</v>
      </c>
      <c r="T325" t="str">
        <f t="shared" si="205"/>
        <v xml:space="preserve"> </v>
      </c>
      <c r="U325" t="str">
        <f t="shared" si="209"/>
        <v xml:space="preserve"> </v>
      </c>
      <c r="V325" t="str">
        <f>"32,000"</f>
        <v>32,000</v>
      </c>
      <c r="W325" t="str">
        <f t="shared" si="228"/>
        <v>Lista 4</v>
      </c>
      <c r="X325" t="str">
        <f t="shared" si="229"/>
        <v>Lista 5</v>
      </c>
      <c r="Y325" t="str">
        <f t="shared" si="230"/>
        <v>Oferta Gral.</v>
      </c>
      <c r="Z325" t="str">
        <f t="shared" si="231"/>
        <v>Rubro</v>
      </c>
      <c r="AA325" t="str">
        <f t="shared" si="232"/>
        <v>Cantidad por Bulto</v>
      </c>
      <c r="AB325" t="str">
        <f t="shared" si="233"/>
        <v>INNER</v>
      </c>
      <c r="AC325" t="str">
        <f t="shared" si="234"/>
        <v>Stock en Bultos</v>
      </c>
      <c r="AD325" t="str">
        <f t="shared" si="235"/>
        <v>SubDepósito</v>
      </c>
      <c r="AE325" t="str">
        <f t="shared" si="236"/>
        <v>Marca</v>
      </c>
      <c r="AF325" t="str">
        <f t="shared" si="237"/>
        <v>Super Rubro</v>
      </c>
      <c r="AG325" t="str">
        <f t="shared" si="238"/>
        <v>ComercioExterior</v>
      </c>
      <c r="AH325" t="str">
        <f t="shared" si="239"/>
        <v>PrecioFOB</v>
      </c>
      <c r="AI325" t="str">
        <f t="shared" si="240"/>
        <v>Monto II</v>
      </c>
      <c r="AJ325" t="str">
        <f t="shared" si="241"/>
        <v>Porcentaje II</v>
      </c>
      <c r="AK325" t="str">
        <f t="shared" si="242"/>
        <v>Foto</v>
      </c>
      <c r="AL325" t="str">
        <f>" "</f>
        <v xml:space="preserve"> </v>
      </c>
      <c r="AM325" t="str">
        <f t="shared" si="220"/>
        <v>-</v>
      </c>
    </row>
    <row r="326" spans="1:39" x14ac:dyDescent="0.25">
      <c r="A326" t="str">
        <f>"FI310"</f>
        <v>FI310</v>
      </c>
      <c r="B326" t="str">
        <f>"BULBO PRESION ACEITE RENAULT 19 - 21 - CLIO - TRAFIC - TWINGO - 0.3BAR"</f>
        <v>BULBO PRESION ACEITE RENAULT 19 - 21 - CLIO - TRAFIC - TWINGO - 0.3BAR</v>
      </c>
      <c r="C326" t="str">
        <f>"$ 4203,96"</f>
        <v>$ 4203,96</v>
      </c>
      <c r="D326" t="str">
        <f>"$ 4203,96"</f>
        <v>$ 4203,96</v>
      </c>
      <c r="E326" t="str">
        <f>"$ 4203,96"</f>
        <v>$ 4203,96</v>
      </c>
      <c r="F326" t="str">
        <f>"$ 4203,96"</f>
        <v>$ 4203,96</v>
      </c>
      <c r="G326" t="str">
        <f>"$ 4203,96"</f>
        <v>$ 4203,96</v>
      </c>
      <c r="H326" t="str">
        <f t="shared" si="223"/>
        <v>$ 0,00</v>
      </c>
      <c r="I326" t="str">
        <f t="shared" si="213"/>
        <v>BULBO PRESION DE ACEITE</v>
      </c>
      <c r="J326" t="str">
        <f t="shared" si="224"/>
        <v>1</v>
      </c>
      <c r="K326" t="str">
        <f t="shared" si="206"/>
        <v>0</v>
      </c>
      <c r="L326" t="str">
        <f>"0,000"</f>
        <v>0,000</v>
      </c>
      <c r="M326" t="str">
        <f t="shared" si="225"/>
        <v xml:space="preserve"> </v>
      </c>
      <c r="N326" t="str">
        <f t="shared" si="221"/>
        <v>FISPA</v>
      </c>
      <c r="O326" t="str">
        <f t="shared" si="222"/>
        <v>BULBOS</v>
      </c>
      <c r="P326" t="str">
        <f t="shared" si="226"/>
        <v>0</v>
      </c>
      <c r="Q326" t="str">
        <f t="shared" si="226"/>
        <v>0</v>
      </c>
      <c r="R326" t="str">
        <f t="shared" si="227"/>
        <v>0,00</v>
      </c>
      <c r="S326" t="str">
        <f t="shared" si="227"/>
        <v>0,00</v>
      </c>
      <c r="T326" t="str">
        <f t="shared" si="205"/>
        <v xml:space="preserve"> </v>
      </c>
      <c r="U326" t="str">
        <f t="shared" si="209"/>
        <v xml:space="preserve"> </v>
      </c>
      <c r="V326" t="str">
        <f>"0,000"</f>
        <v>0,000</v>
      </c>
      <c r="W326" t="str">
        <f t="shared" si="228"/>
        <v>Lista 4</v>
      </c>
      <c r="X326" t="str">
        <f t="shared" si="229"/>
        <v>Lista 5</v>
      </c>
      <c r="Y326" t="str">
        <f t="shared" si="230"/>
        <v>Oferta Gral.</v>
      </c>
      <c r="Z326" t="str">
        <f t="shared" si="231"/>
        <v>Rubro</v>
      </c>
      <c r="AA326" t="str">
        <f t="shared" si="232"/>
        <v>Cantidad por Bulto</v>
      </c>
      <c r="AB326" t="str">
        <f t="shared" si="233"/>
        <v>INNER</v>
      </c>
      <c r="AC326" t="str">
        <f t="shared" si="234"/>
        <v>Stock en Bultos</v>
      </c>
      <c r="AD326" t="str">
        <f t="shared" si="235"/>
        <v>SubDepósito</v>
      </c>
      <c r="AE326" t="str">
        <f t="shared" si="236"/>
        <v>Marca</v>
      </c>
      <c r="AF326" t="str">
        <f t="shared" si="237"/>
        <v>Super Rubro</v>
      </c>
      <c r="AG326" t="str">
        <f t="shared" si="238"/>
        <v>ComercioExterior</v>
      </c>
      <c r="AH326" t="str">
        <f t="shared" si="239"/>
        <v>PrecioFOB</v>
      </c>
      <c r="AI326" t="str">
        <f t="shared" si="240"/>
        <v>Monto II</v>
      </c>
      <c r="AJ326" t="str">
        <f t="shared" si="241"/>
        <v>Porcentaje II</v>
      </c>
      <c r="AK326" t="str">
        <f t="shared" si="242"/>
        <v>Foto</v>
      </c>
      <c r="AL326" t="str">
        <f t="shared" ref="AL326:AL333" si="243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26" t="str">
        <f t="shared" si="220"/>
        <v>-</v>
      </c>
    </row>
    <row r="327" spans="1:39" x14ac:dyDescent="0.25">
      <c r="A327" t="str">
        <f>"FI311"</f>
        <v>FI311</v>
      </c>
      <c r="B327" t="str">
        <f>"BULBO PRESION ACEITE RENAULT 19 - 21 - EXPRESS - KANGOO - MEGANE - TRAFIC - CLIO - LAGUNA - 0.2BAR"</f>
        <v>BULBO PRESION ACEITE RENAULT 19 - 21 - EXPRESS - KANGOO - MEGANE - TRAFIC - CLIO - LAGUNA - 0.2BAR</v>
      </c>
      <c r="C327" t="str">
        <f>"$ 3110,56"</f>
        <v>$ 3110,56</v>
      </c>
      <c r="D327" t="str">
        <f>"$ 3110,56"</f>
        <v>$ 3110,56</v>
      </c>
      <c r="E327" t="str">
        <f>"$ 3110,56"</f>
        <v>$ 3110,56</v>
      </c>
      <c r="F327" t="str">
        <f>"$ 3110,56"</f>
        <v>$ 3110,56</v>
      </c>
      <c r="G327" t="str">
        <f>"$ 3110,56"</f>
        <v>$ 3110,56</v>
      </c>
      <c r="H327" t="str">
        <f t="shared" si="223"/>
        <v>$ 0,00</v>
      </c>
      <c r="I327" t="str">
        <f t="shared" si="213"/>
        <v>BULBO PRESION DE ACEITE</v>
      </c>
      <c r="J327" t="str">
        <f t="shared" si="224"/>
        <v>1</v>
      </c>
      <c r="K327" t="str">
        <f t="shared" si="206"/>
        <v>0</v>
      </c>
      <c r="L327" t="str">
        <f>"20,000"</f>
        <v>20,000</v>
      </c>
      <c r="M327" t="str">
        <f t="shared" si="225"/>
        <v xml:space="preserve"> </v>
      </c>
      <c r="N327" t="str">
        <f t="shared" si="221"/>
        <v>FISPA</v>
      </c>
      <c r="O327" t="str">
        <f t="shared" si="222"/>
        <v>BULBOS</v>
      </c>
      <c r="P327" t="str">
        <f t="shared" si="226"/>
        <v>0</v>
      </c>
      <c r="Q327" t="str">
        <f t="shared" si="226"/>
        <v>0</v>
      </c>
      <c r="R327" t="str">
        <f t="shared" si="227"/>
        <v>0,00</v>
      </c>
      <c r="S327" t="str">
        <f t="shared" si="227"/>
        <v>0,00</v>
      </c>
      <c r="T327" t="str">
        <f t="shared" si="205"/>
        <v xml:space="preserve"> </v>
      </c>
      <c r="U327" t="str">
        <f t="shared" si="209"/>
        <v xml:space="preserve"> </v>
      </c>
      <c r="V327" t="str">
        <f>"20,000"</f>
        <v>20,000</v>
      </c>
      <c r="W327" t="str">
        <f t="shared" si="228"/>
        <v>Lista 4</v>
      </c>
      <c r="X327" t="str">
        <f t="shared" si="229"/>
        <v>Lista 5</v>
      </c>
      <c r="Y327" t="str">
        <f t="shared" si="230"/>
        <v>Oferta Gral.</v>
      </c>
      <c r="Z327" t="str">
        <f t="shared" si="231"/>
        <v>Rubro</v>
      </c>
      <c r="AA327" t="str">
        <f t="shared" si="232"/>
        <v>Cantidad por Bulto</v>
      </c>
      <c r="AB327" t="str">
        <f t="shared" si="233"/>
        <v>INNER</v>
      </c>
      <c r="AC327" t="str">
        <f t="shared" si="234"/>
        <v>Stock en Bultos</v>
      </c>
      <c r="AD327" t="str">
        <f t="shared" si="235"/>
        <v>SubDepósito</v>
      </c>
      <c r="AE327" t="str">
        <f t="shared" si="236"/>
        <v>Marca</v>
      </c>
      <c r="AF327" t="str">
        <f t="shared" si="237"/>
        <v>Super Rubro</v>
      </c>
      <c r="AG327" t="str">
        <f t="shared" si="238"/>
        <v>ComercioExterior</v>
      </c>
      <c r="AH327" t="str">
        <f t="shared" si="239"/>
        <v>PrecioFOB</v>
      </c>
      <c r="AI327" t="str">
        <f t="shared" si="240"/>
        <v>Monto II</v>
      </c>
      <c r="AJ327" t="str">
        <f t="shared" si="241"/>
        <v>Porcentaje II</v>
      </c>
      <c r="AK327" t="str">
        <f t="shared" si="242"/>
        <v>Foto</v>
      </c>
      <c r="AL327" t="str">
        <f t="shared" si="243"/>
        <v xml:space="preserve">{\rtf1\ansi\deff0{\fonttbl{\f0\fnil\fcharset0 MS Sans Serif}} \viewkind4\uc1\pard\lang11274\f0\fs16\par } </v>
      </c>
      <c r="AM327" t="str">
        <f t="shared" si="220"/>
        <v>-</v>
      </c>
    </row>
    <row r="328" spans="1:39" x14ac:dyDescent="0.25">
      <c r="A328" t="str">
        <f>"FI309"</f>
        <v>FI309</v>
      </c>
      <c r="B328" t="str">
        <f>"BULBO PRESION ACEITE RENAULT 9 - 11 - 19 - 21 - CLIO - EXPRESS - TRAFIC - LAGUNA - MEGANE  0.5BAR"</f>
        <v>BULBO PRESION ACEITE RENAULT 9 - 11 - 19 - 21 - CLIO - EXPRESS - TRAFIC - LAGUNA - MEGANE  0.5BAR</v>
      </c>
      <c r="C328" t="str">
        <f>"$ 3198,48"</f>
        <v>$ 3198,48</v>
      </c>
      <c r="D328" t="str">
        <f>"$ 3198,48"</f>
        <v>$ 3198,48</v>
      </c>
      <c r="E328" t="str">
        <f>"$ 3198,48"</f>
        <v>$ 3198,48</v>
      </c>
      <c r="F328" t="str">
        <f>"$ 3198,48"</f>
        <v>$ 3198,48</v>
      </c>
      <c r="G328" t="str">
        <f>"$ 3198,48"</f>
        <v>$ 3198,48</v>
      </c>
      <c r="H328" t="str">
        <f t="shared" si="223"/>
        <v>$ 0,00</v>
      </c>
      <c r="I328" t="str">
        <f t="shared" si="213"/>
        <v>BULBO PRESION DE ACEITE</v>
      </c>
      <c r="J328" t="str">
        <f t="shared" si="224"/>
        <v>1</v>
      </c>
      <c r="K328" t="str">
        <f t="shared" si="206"/>
        <v>0</v>
      </c>
      <c r="L328" t="str">
        <f>"0,000"</f>
        <v>0,000</v>
      </c>
      <c r="M328" t="str">
        <f t="shared" si="225"/>
        <v xml:space="preserve"> </v>
      </c>
      <c r="N328" t="str">
        <f t="shared" si="221"/>
        <v>FISPA</v>
      </c>
      <c r="O328" t="str">
        <f t="shared" si="222"/>
        <v>BULBOS</v>
      </c>
      <c r="P328" t="str">
        <f t="shared" si="226"/>
        <v>0</v>
      </c>
      <c r="Q328" t="str">
        <f t="shared" si="226"/>
        <v>0</v>
      </c>
      <c r="R328" t="str">
        <f t="shared" si="227"/>
        <v>0,00</v>
      </c>
      <c r="S328" t="str">
        <f t="shared" si="227"/>
        <v>0,00</v>
      </c>
      <c r="T328" t="str">
        <f t="shared" si="205"/>
        <v xml:space="preserve"> </v>
      </c>
      <c r="U328" t="str">
        <f t="shared" si="209"/>
        <v xml:space="preserve"> </v>
      </c>
      <c r="V328" t="str">
        <f>"0,000"</f>
        <v>0,000</v>
      </c>
      <c r="W328" t="str">
        <f t="shared" si="228"/>
        <v>Lista 4</v>
      </c>
      <c r="X328" t="str">
        <f t="shared" si="229"/>
        <v>Lista 5</v>
      </c>
      <c r="Y328" t="str">
        <f t="shared" si="230"/>
        <v>Oferta Gral.</v>
      </c>
      <c r="Z328" t="str">
        <f t="shared" si="231"/>
        <v>Rubro</v>
      </c>
      <c r="AA328" t="str">
        <f t="shared" si="232"/>
        <v>Cantidad por Bulto</v>
      </c>
      <c r="AB328" t="str">
        <f t="shared" si="233"/>
        <v>INNER</v>
      </c>
      <c r="AC328" t="str">
        <f t="shared" si="234"/>
        <v>Stock en Bultos</v>
      </c>
      <c r="AD328" t="str">
        <f t="shared" si="235"/>
        <v>SubDepósito</v>
      </c>
      <c r="AE328" t="str">
        <f t="shared" si="236"/>
        <v>Marca</v>
      </c>
      <c r="AF328" t="str">
        <f t="shared" si="237"/>
        <v>Super Rubro</v>
      </c>
      <c r="AG328" t="str">
        <f t="shared" si="238"/>
        <v>ComercioExterior</v>
      </c>
      <c r="AH328" t="str">
        <f t="shared" si="239"/>
        <v>PrecioFOB</v>
      </c>
      <c r="AI328" t="str">
        <f t="shared" si="240"/>
        <v>Monto II</v>
      </c>
      <c r="AJ328" t="str">
        <f t="shared" si="241"/>
        <v>Porcentaje II</v>
      </c>
      <c r="AK328" t="str">
        <f t="shared" si="242"/>
        <v>Foto</v>
      </c>
      <c r="AL328" t="str">
        <f t="shared" si="243"/>
        <v xml:space="preserve">{\rtf1\ansi\deff0{\fonttbl{\f0\fnil\fcharset0 MS Sans Serif}} \viewkind4\uc1\pard\lang11274\f0\fs16\par } </v>
      </c>
      <c r="AM328" t="str">
        <f t="shared" si="220"/>
        <v>-</v>
      </c>
    </row>
    <row r="329" spans="1:39" x14ac:dyDescent="0.25">
      <c r="A329" t="str">
        <f>"FI334"</f>
        <v>FI334</v>
      </c>
      <c r="B329" t="str">
        <f>"BULBO PRESION ACEITE RENAULT CLIO II 1.4 16V/1.6 16V, GRAND SCENIC 1.6/1.9/2.0"</f>
        <v>BULBO PRESION ACEITE RENAULT CLIO II 1.4 16V/1.6 16V, GRAND SCENIC 1.6/1.9/2.0</v>
      </c>
      <c r="C329" t="str">
        <f>"$ 6656,99"</f>
        <v>$ 6656,99</v>
      </c>
      <c r="D329" t="str">
        <f>"$ 6656,99"</f>
        <v>$ 6656,99</v>
      </c>
      <c r="E329" t="str">
        <f>"$ 6656,99"</f>
        <v>$ 6656,99</v>
      </c>
      <c r="F329" t="str">
        <f>"$ 6656,99"</f>
        <v>$ 6656,99</v>
      </c>
      <c r="G329" t="str">
        <f>"$ 6656,99"</f>
        <v>$ 6656,99</v>
      </c>
      <c r="H329" t="str">
        <f t="shared" si="223"/>
        <v>$ 0,00</v>
      </c>
      <c r="I329" t="str">
        <f t="shared" si="213"/>
        <v>BULBO PRESION DE ACEITE</v>
      </c>
      <c r="J329" t="str">
        <f t="shared" si="224"/>
        <v>1</v>
      </c>
      <c r="K329" t="str">
        <f t="shared" si="206"/>
        <v>0</v>
      </c>
      <c r="L329" t="str">
        <f>"0,000"</f>
        <v>0,000</v>
      </c>
      <c r="M329" t="str">
        <f t="shared" si="225"/>
        <v xml:space="preserve"> </v>
      </c>
      <c r="N329" t="str">
        <f t="shared" si="221"/>
        <v>FISPA</v>
      </c>
      <c r="O329" t="str">
        <f t="shared" si="222"/>
        <v>BULBOS</v>
      </c>
      <c r="P329" t="str">
        <f t="shared" si="226"/>
        <v>0</v>
      </c>
      <c r="Q329" t="str">
        <f t="shared" si="226"/>
        <v>0</v>
      </c>
      <c r="R329" t="str">
        <f t="shared" si="227"/>
        <v>0,00</v>
      </c>
      <c r="S329" t="str">
        <f t="shared" si="227"/>
        <v>0,00</v>
      </c>
      <c r="T329" t="str">
        <f t="shared" si="205"/>
        <v xml:space="preserve"> </v>
      </c>
      <c r="U329" t="str">
        <f t="shared" si="209"/>
        <v xml:space="preserve"> </v>
      </c>
      <c r="V329" t="str">
        <f>"0,000"</f>
        <v>0,000</v>
      </c>
      <c r="W329" t="str">
        <f t="shared" si="228"/>
        <v>Lista 4</v>
      </c>
      <c r="X329" t="str">
        <f t="shared" si="229"/>
        <v>Lista 5</v>
      </c>
      <c r="Y329" t="str">
        <f t="shared" si="230"/>
        <v>Oferta Gral.</v>
      </c>
      <c r="Z329" t="str">
        <f t="shared" si="231"/>
        <v>Rubro</v>
      </c>
      <c r="AA329" t="str">
        <f t="shared" si="232"/>
        <v>Cantidad por Bulto</v>
      </c>
      <c r="AB329" t="str">
        <f t="shared" si="233"/>
        <v>INNER</v>
      </c>
      <c r="AC329" t="str">
        <f t="shared" si="234"/>
        <v>Stock en Bultos</v>
      </c>
      <c r="AD329" t="str">
        <f t="shared" si="235"/>
        <v>SubDepósito</v>
      </c>
      <c r="AE329" t="str">
        <f t="shared" si="236"/>
        <v>Marca</v>
      </c>
      <c r="AF329" t="str">
        <f t="shared" si="237"/>
        <v>Super Rubro</v>
      </c>
      <c r="AG329" t="str">
        <f t="shared" si="238"/>
        <v>ComercioExterior</v>
      </c>
      <c r="AH329" t="str">
        <f t="shared" si="239"/>
        <v>PrecioFOB</v>
      </c>
      <c r="AI329" t="str">
        <f t="shared" si="240"/>
        <v>Monto II</v>
      </c>
      <c r="AJ329" t="str">
        <f t="shared" si="241"/>
        <v>Porcentaje II</v>
      </c>
      <c r="AK329" t="str">
        <f t="shared" si="242"/>
        <v>Foto</v>
      </c>
      <c r="AL329" t="str">
        <f t="shared" si="243"/>
        <v xml:space="preserve">{\rtf1\ansi\deff0{\fonttbl{\f0\fnil\fcharset0 MS Sans Serif}} \viewkind4\uc1\pard\lang11274\f0\fs16\par } </v>
      </c>
      <c r="AM329" t="str">
        <f t="shared" si="220"/>
        <v>-</v>
      </c>
    </row>
    <row r="330" spans="1:39" x14ac:dyDescent="0.25">
      <c r="A330" t="str">
        <f>"FI335"</f>
        <v>FI335</v>
      </c>
      <c r="B330" t="str">
        <f>"BULBO PRESION ACEITE RENAULT LOGAN 1.5/1.6 - MEGANE II 1.6 - SANDERO/STEPWAY 1.6 - SYMBOL 1.5"</f>
        <v>BULBO PRESION ACEITE RENAULT LOGAN 1.5/1.6 - MEGANE II 1.6 - SANDERO/STEPWAY 1.6 - SYMBOL 1.5</v>
      </c>
      <c r="C330" t="str">
        <f>"$ 5281,26"</f>
        <v>$ 5281,26</v>
      </c>
      <c r="D330" t="str">
        <f>"$ 5281,26"</f>
        <v>$ 5281,26</v>
      </c>
      <c r="E330" t="str">
        <f>"$ 5281,26"</f>
        <v>$ 5281,26</v>
      </c>
      <c r="F330" t="str">
        <f>"$ 5281,26"</f>
        <v>$ 5281,26</v>
      </c>
      <c r="G330" t="str">
        <f>"$ 5281,26"</f>
        <v>$ 5281,26</v>
      </c>
      <c r="H330" t="str">
        <f t="shared" si="223"/>
        <v>$ 0,00</v>
      </c>
      <c r="I330" t="str">
        <f t="shared" si="213"/>
        <v>BULBO PRESION DE ACEITE</v>
      </c>
      <c r="J330" t="str">
        <f t="shared" si="224"/>
        <v>1</v>
      </c>
      <c r="K330" t="str">
        <f t="shared" si="206"/>
        <v>0</v>
      </c>
      <c r="L330" t="str">
        <f>"0,000"</f>
        <v>0,000</v>
      </c>
      <c r="M330" t="str">
        <f t="shared" si="225"/>
        <v xml:space="preserve"> </v>
      </c>
      <c r="N330" t="str">
        <f t="shared" si="221"/>
        <v>FISPA</v>
      </c>
      <c r="O330" t="str">
        <f t="shared" si="222"/>
        <v>BULBOS</v>
      </c>
      <c r="P330" t="str">
        <f t="shared" si="226"/>
        <v>0</v>
      </c>
      <c r="Q330" t="str">
        <f t="shared" si="226"/>
        <v>0</v>
      </c>
      <c r="R330" t="str">
        <f t="shared" si="227"/>
        <v>0,00</v>
      </c>
      <c r="S330" t="str">
        <f t="shared" si="227"/>
        <v>0,00</v>
      </c>
      <c r="T330" t="str">
        <f t="shared" si="205"/>
        <v xml:space="preserve"> </v>
      </c>
      <c r="U330" t="str">
        <f t="shared" si="209"/>
        <v xml:space="preserve"> </v>
      </c>
      <c r="V330" t="str">
        <f>"0,000"</f>
        <v>0,000</v>
      </c>
      <c r="W330" t="str">
        <f t="shared" si="228"/>
        <v>Lista 4</v>
      </c>
      <c r="X330" t="str">
        <f t="shared" si="229"/>
        <v>Lista 5</v>
      </c>
      <c r="Y330" t="str">
        <f t="shared" si="230"/>
        <v>Oferta Gral.</v>
      </c>
      <c r="Z330" t="str">
        <f t="shared" si="231"/>
        <v>Rubro</v>
      </c>
      <c r="AA330" t="str">
        <f t="shared" si="232"/>
        <v>Cantidad por Bulto</v>
      </c>
      <c r="AB330" t="str">
        <f t="shared" si="233"/>
        <v>INNER</v>
      </c>
      <c r="AC330" t="str">
        <f t="shared" si="234"/>
        <v>Stock en Bultos</v>
      </c>
      <c r="AD330" t="str">
        <f t="shared" si="235"/>
        <v>SubDepósito</v>
      </c>
      <c r="AE330" t="str">
        <f t="shared" si="236"/>
        <v>Marca</v>
      </c>
      <c r="AF330" t="str">
        <f t="shared" si="237"/>
        <v>Super Rubro</v>
      </c>
      <c r="AG330" t="str">
        <f t="shared" si="238"/>
        <v>ComercioExterior</v>
      </c>
      <c r="AH330" t="str">
        <f t="shared" si="239"/>
        <v>PrecioFOB</v>
      </c>
      <c r="AI330" t="str">
        <f t="shared" si="240"/>
        <v>Monto II</v>
      </c>
      <c r="AJ330" t="str">
        <f t="shared" si="241"/>
        <v>Porcentaje II</v>
      </c>
      <c r="AK330" t="str">
        <f t="shared" si="242"/>
        <v>Foto</v>
      </c>
      <c r="AL330" t="str">
        <f t="shared" si="243"/>
        <v xml:space="preserve">{\rtf1\ansi\deff0{\fonttbl{\f0\fnil\fcharset0 MS Sans Serif}} \viewkind4\uc1\pard\lang11274\f0\fs16\par } </v>
      </c>
      <c r="AM330" t="str">
        <f t="shared" si="220"/>
        <v>-</v>
      </c>
    </row>
    <row r="331" spans="1:39" x14ac:dyDescent="0.25">
      <c r="A331" t="str">
        <f>"FI316"</f>
        <v>FI316</v>
      </c>
      <c r="B331" t="str">
        <f>"BULBO PRESION ACEITE VW GOL - GOLF - PASSAT - POLO CLASSIC 1.6 / 1.8 - 1.4BAR - AISLANTE NEGRO"</f>
        <v>BULBO PRESION ACEITE VW GOL - GOLF - PASSAT - POLO CLASSIC 1.6 / 1.8 - 1.4BAR - AISLANTE NEGRO</v>
      </c>
      <c r="C331" t="str">
        <f t="shared" ref="C331:G332" si="244">"$ 5984,60"</f>
        <v>$ 5984,60</v>
      </c>
      <c r="D331" t="str">
        <f t="shared" si="244"/>
        <v>$ 5984,60</v>
      </c>
      <c r="E331" t="str">
        <f t="shared" si="244"/>
        <v>$ 5984,60</v>
      </c>
      <c r="F331" t="str">
        <f t="shared" si="244"/>
        <v>$ 5984,60</v>
      </c>
      <c r="G331" t="str">
        <f t="shared" si="244"/>
        <v>$ 5984,60</v>
      </c>
      <c r="H331" t="str">
        <f t="shared" si="223"/>
        <v>$ 0,00</v>
      </c>
      <c r="I331" t="str">
        <f t="shared" si="213"/>
        <v>BULBO PRESION DE ACEITE</v>
      </c>
      <c r="J331" t="str">
        <f t="shared" si="224"/>
        <v>1</v>
      </c>
      <c r="K331" t="str">
        <f t="shared" si="206"/>
        <v>0</v>
      </c>
      <c r="L331" t="str">
        <f>"26,000"</f>
        <v>26,000</v>
      </c>
      <c r="M331" t="str">
        <f t="shared" si="225"/>
        <v xml:space="preserve"> </v>
      </c>
      <c r="N331" t="str">
        <f t="shared" si="221"/>
        <v>FISPA</v>
      </c>
      <c r="O331" t="str">
        <f t="shared" si="222"/>
        <v>BULBOS</v>
      </c>
      <c r="P331" t="str">
        <f t="shared" si="226"/>
        <v>0</v>
      </c>
      <c r="Q331" t="str">
        <f t="shared" si="226"/>
        <v>0</v>
      </c>
      <c r="R331" t="str">
        <f t="shared" si="227"/>
        <v>0,00</v>
      </c>
      <c r="S331" t="str">
        <f t="shared" si="227"/>
        <v>0,00</v>
      </c>
      <c r="T331" t="str">
        <f t="shared" si="205"/>
        <v xml:space="preserve"> </v>
      </c>
      <c r="U331" t="str">
        <f t="shared" si="209"/>
        <v xml:space="preserve"> </v>
      </c>
      <c r="V331" t="str">
        <f>"26,000"</f>
        <v>26,000</v>
      </c>
      <c r="W331" t="str">
        <f t="shared" si="228"/>
        <v>Lista 4</v>
      </c>
      <c r="X331" t="str">
        <f t="shared" si="229"/>
        <v>Lista 5</v>
      </c>
      <c r="Y331" t="str">
        <f t="shared" si="230"/>
        <v>Oferta Gral.</v>
      </c>
      <c r="Z331" t="str">
        <f t="shared" si="231"/>
        <v>Rubro</v>
      </c>
      <c r="AA331" t="str">
        <f t="shared" si="232"/>
        <v>Cantidad por Bulto</v>
      </c>
      <c r="AB331" t="str">
        <f t="shared" si="233"/>
        <v>INNER</v>
      </c>
      <c r="AC331" t="str">
        <f t="shared" si="234"/>
        <v>Stock en Bultos</v>
      </c>
      <c r="AD331" t="str">
        <f t="shared" si="235"/>
        <v>SubDepósito</v>
      </c>
      <c r="AE331" t="str">
        <f t="shared" si="236"/>
        <v>Marca</v>
      </c>
      <c r="AF331" t="str">
        <f t="shared" si="237"/>
        <v>Super Rubro</v>
      </c>
      <c r="AG331" t="str">
        <f t="shared" si="238"/>
        <v>ComercioExterior</v>
      </c>
      <c r="AH331" t="str">
        <f t="shared" si="239"/>
        <v>PrecioFOB</v>
      </c>
      <c r="AI331" t="str">
        <f t="shared" si="240"/>
        <v>Monto II</v>
      </c>
      <c r="AJ331" t="str">
        <f t="shared" si="241"/>
        <v>Porcentaje II</v>
      </c>
      <c r="AK331" t="str">
        <f t="shared" si="242"/>
        <v>Foto</v>
      </c>
      <c r="AL331" t="str">
        <f t="shared" si="243"/>
        <v xml:space="preserve">{\rtf1\ansi\deff0{\fonttbl{\f0\fnil\fcharset0 MS Sans Serif}} \viewkind4\uc1\pard\lang11274\f0\fs16\par } </v>
      </c>
      <c r="AM331" t="str">
        <f t="shared" si="220"/>
        <v>-</v>
      </c>
    </row>
    <row r="332" spans="1:39" x14ac:dyDescent="0.25">
      <c r="A332" t="str">
        <f>"FI317"</f>
        <v>FI317</v>
      </c>
      <c r="B332" t="str">
        <f>"BULBO PRESION ACEITE VW GOL 1.9D - GOLF III 1.6 1.8 1.9D - PASSAT/ POLO 1.6 1.7 1.8 1.9 TD"</f>
        <v>BULBO PRESION ACEITE VW GOL 1.9D - GOLF III 1.6 1.8 1.9D - PASSAT/ POLO 1.6 1.7 1.8 1.9 TD</v>
      </c>
      <c r="C332" t="str">
        <f t="shared" si="244"/>
        <v>$ 5984,60</v>
      </c>
      <c r="D332" t="str">
        <f t="shared" si="244"/>
        <v>$ 5984,60</v>
      </c>
      <c r="E332" t="str">
        <f t="shared" si="244"/>
        <v>$ 5984,60</v>
      </c>
      <c r="F332" t="str">
        <f t="shared" si="244"/>
        <v>$ 5984,60</v>
      </c>
      <c r="G332" t="str">
        <f t="shared" si="244"/>
        <v>$ 5984,60</v>
      </c>
      <c r="H332" t="str">
        <f t="shared" si="223"/>
        <v>$ 0,00</v>
      </c>
      <c r="I332" t="str">
        <f t="shared" si="213"/>
        <v>BULBO PRESION DE ACEITE</v>
      </c>
      <c r="J332" t="str">
        <f t="shared" si="224"/>
        <v>1</v>
      </c>
      <c r="K332" t="str">
        <f t="shared" si="206"/>
        <v>0</v>
      </c>
      <c r="L332" t="str">
        <f>"26,000"</f>
        <v>26,000</v>
      </c>
      <c r="M332" t="str">
        <f t="shared" si="225"/>
        <v xml:space="preserve"> </v>
      </c>
      <c r="N332" t="str">
        <f t="shared" si="221"/>
        <v>FISPA</v>
      </c>
      <c r="O332" t="str">
        <f t="shared" si="222"/>
        <v>BULBOS</v>
      </c>
      <c r="P332" t="str">
        <f t="shared" si="226"/>
        <v>0</v>
      </c>
      <c r="Q332" t="str">
        <f t="shared" si="226"/>
        <v>0</v>
      </c>
      <c r="R332" t="str">
        <f t="shared" si="227"/>
        <v>0,00</v>
      </c>
      <c r="S332" t="str">
        <f t="shared" si="227"/>
        <v>0,00</v>
      </c>
      <c r="T332" t="str">
        <f t="shared" si="205"/>
        <v xml:space="preserve"> </v>
      </c>
      <c r="U332" t="str">
        <f t="shared" si="209"/>
        <v xml:space="preserve"> </v>
      </c>
      <c r="V332" t="str">
        <f>"26,000"</f>
        <v>26,000</v>
      </c>
      <c r="W332" t="str">
        <f t="shared" si="228"/>
        <v>Lista 4</v>
      </c>
      <c r="X332" t="str">
        <f t="shared" si="229"/>
        <v>Lista 5</v>
      </c>
      <c r="Y332" t="str">
        <f t="shared" si="230"/>
        <v>Oferta Gral.</v>
      </c>
      <c r="Z332" t="str">
        <f t="shared" si="231"/>
        <v>Rubro</v>
      </c>
      <c r="AA332" t="str">
        <f t="shared" si="232"/>
        <v>Cantidad por Bulto</v>
      </c>
      <c r="AB332" t="str">
        <f t="shared" si="233"/>
        <v>INNER</v>
      </c>
      <c r="AC332" t="str">
        <f t="shared" si="234"/>
        <v>Stock en Bultos</v>
      </c>
      <c r="AD332" t="str">
        <f t="shared" si="235"/>
        <v>SubDepósito</v>
      </c>
      <c r="AE332" t="str">
        <f t="shared" si="236"/>
        <v>Marca</v>
      </c>
      <c r="AF332" t="str">
        <f t="shared" si="237"/>
        <v>Super Rubro</v>
      </c>
      <c r="AG332" t="str">
        <f t="shared" si="238"/>
        <v>ComercioExterior</v>
      </c>
      <c r="AH332" t="str">
        <f t="shared" si="239"/>
        <v>PrecioFOB</v>
      </c>
      <c r="AI332" t="str">
        <f t="shared" si="240"/>
        <v>Monto II</v>
      </c>
      <c r="AJ332" t="str">
        <f t="shared" si="241"/>
        <v>Porcentaje II</v>
      </c>
      <c r="AK332" t="str">
        <f t="shared" si="242"/>
        <v>Foto</v>
      </c>
      <c r="AL332" t="str">
        <f t="shared" si="243"/>
        <v xml:space="preserve">{\rtf1\ansi\deff0{\fonttbl{\f0\fnil\fcharset0 MS Sans Serif}} \viewkind4\uc1\pard\lang11274\f0\fs16\par } </v>
      </c>
      <c r="AM332" t="str">
        <f t="shared" si="220"/>
        <v>-</v>
      </c>
    </row>
    <row r="333" spans="1:39" x14ac:dyDescent="0.25">
      <c r="A333" t="str">
        <f>"FI318"</f>
        <v>FI318</v>
      </c>
      <c r="B333" t="str">
        <f>"BULBO PRESION ACEITE VW GOL 2.0 16V - GOLF IV/ POLO 1.6I / 1.8I - PASSAT 1.8 1.9 2.0- 1.8BAR"</f>
        <v>BULBO PRESION ACEITE VW GOL 2.0 16V - GOLF IV/ POLO 1.6I / 1.8I - PASSAT 1.8 1.9 2.0- 1.8BAR</v>
      </c>
      <c r="C333" t="str">
        <f>"$ 3967,45"</f>
        <v>$ 3967,45</v>
      </c>
      <c r="D333" t="str">
        <f>"$ 3967,45"</f>
        <v>$ 3967,45</v>
      </c>
      <c r="E333" t="str">
        <f>"$ 3967,45"</f>
        <v>$ 3967,45</v>
      </c>
      <c r="F333" t="str">
        <f>"$ 3967,45"</f>
        <v>$ 3967,45</v>
      </c>
      <c r="G333" t="str">
        <f>"$ 3967,45"</f>
        <v>$ 3967,45</v>
      </c>
      <c r="H333" t="str">
        <f t="shared" si="223"/>
        <v>$ 0,00</v>
      </c>
      <c r="I333" t="str">
        <f t="shared" si="213"/>
        <v>BULBO PRESION DE ACEITE</v>
      </c>
      <c r="J333" t="str">
        <f t="shared" si="224"/>
        <v>1</v>
      </c>
      <c r="K333" t="str">
        <f t="shared" si="206"/>
        <v>0</v>
      </c>
      <c r="L333" t="str">
        <f>"26,000"</f>
        <v>26,000</v>
      </c>
      <c r="M333" t="str">
        <f t="shared" si="225"/>
        <v xml:space="preserve"> </v>
      </c>
      <c r="N333" t="str">
        <f t="shared" si="221"/>
        <v>FISPA</v>
      </c>
      <c r="O333" t="str">
        <f t="shared" si="222"/>
        <v>BULBOS</v>
      </c>
      <c r="P333" t="str">
        <f t="shared" si="226"/>
        <v>0</v>
      </c>
      <c r="Q333" t="str">
        <f t="shared" si="226"/>
        <v>0</v>
      </c>
      <c r="R333" t="str">
        <f t="shared" si="227"/>
        <v>0,00</v>
      </c>
      <c r="S333" t="str">
        <f t="shared" si="227"/>
        <v>0,00</v>
      </c>
      <c r="T333" t="str">
        <f t="shared" si="205"/>
        <v xml:space="preserve"> </v>
      </c>
      <c r="U333" t="str">
        <f t="shared" si="209"/>
        <v xml:space="preserve"> </v>
      </c>
      <c r="V333" t="str">
        <f>"26,000"</f>
        <v>26,000</v>
      </c>
      <c r="W333" t="str">
        <f t="shared" si="228"/>
        <v>Lista 4</v>
      </c>
      <c r="X333" t="str">
        <f t="shared" si="229"/>
        <v>Lista 5</v>
      </c>
      <c r="Y333" t="str">
        <f t="shared" si="230"/>
        <v>Oferta Gral.</v>
      </c>
      <c r="Z333" t="str">
        <f t="shared" si="231"/>
        <v>Rubro</v>
      </c>
      <c r="AA333" t="str">
        <f t="shared" si="232"/>
        <v>Cantidad por Bulto</v>
      </c>
      <c r="AB333" t="str">
        <f t="shared" si="233"/>
        <v>INNER</v>
      </c>
      <c r="AC333" t="str">
        <f t="shared" si="234"/>
        <v>Stock en Bultos</v>
      </c>
      <c r="AD333" t="str">
        <f t="shared" si="235"/>
        <v>SubDepósito</v>
      </c>
      <c r="AE333" t="str">
        <f t="shared" si="236"/>
        <v>Marca</v>
      </c>
      <c r="AF333" t="str">
        <f t="shared" si="237"/>
        <v>Super Rubro</v>
      </c>
      <c r="AG333" t="str">
        <f t="shared" si="238"/>
        <v>ComercioExterior</v>
      </c>
      <c r="AH333" t="str">
        <f t="shared" si="239"/>
        <v>PrecioFOB</v>
      </c>
      <c r="AI333" t="str">
        <f t="shared" si="240"/>
        <v>Monto II</v>
      </c>
      <c r="AJ333" t="str">
        <f t="shared" si="241"/>
        <v>Porcentaje II</v>
      </c>
      <c r="AK333" t="str">
        <f t="shared" si="242"/>
        <v>Foto</v>
      </c>
      <c r="AL333" t="str">
        <f t="shared" si="243"/>
        <v xml:space="preserve">{\rtf1\ansi\deff0{\fonttbl{\f0\fnil\fcharset0 MS Sans Serif}} \viewkind4\uc1\pard\lang11274\f0\fs16\par } </v>
      </c>
      <c r="AM333" t="str">
        <f t="shared" si="220"/>
        <v>-</v>
      </c>
    </row>
    <row r="334" spans="1:39" x14ac:dyDescent="0.25">
      <c r="A334" t="str">
        <f>"FI328"</f>
        <v>FI328</v>
      </c>
      <c r="B334" t="str">
        <f>"BULBO PRESION ACEITE VW GOLF - PASSAT - POLO - 0.5BAR"</f>
        <v>BULBO PRESION ACEITE VW GOLF - PASSAT - POLO - 0.5BAR</v>
      </c>
      <c r="C334" t="str">
        <f>"$ 3926,58"</f>
        <v>$ 3926,58</v>
      </c>
      <c r="D334" t="str">
        <f>"$ 3926,58"</f>
        <v>$ 3926,58</v>
      </c>
      <c r="E334" t="str">
        <f>"$ 3926,58"</f>
        <v>$ 3926,58</v>
      </c>
      <c r="F334" t="str">
        <f>"$ 3926,58"</f>
        <v>$ 3926,58</v>
      </c>
      <c r="G334" t="str">
        <f>"$ 3926,58"</f>
        <v>$ 3926,58</v>
      </c>
      <c r="H334" t="str">
        <f t="shared" si="223"/>
        <v>$ 0,00</v>
      </c>
      <c r="I334" t="str">
        <f t="shared" si="213"/>
        <v>BULBO PRESION DE ACEITE</v>
      </c>
      <c r="J334" t="str">
        <f t="shared" si="224"/>
        <v>1</v>
      </c>
      <c r="K334" t="str">
        <f t="shared" si="206"/>
        <v>0</v>
      </c>
      <c r="L334" t="str">
        <f t="shared" ref="L334:L349" si="245">"0,000"</f>
        <v>0,000</v>
      </c>
      <c r="M334" t="str">
        <f t="shared" si="225"/>
        <v xml:space="preserve"> </v>
      </c>
      <c r="N334" t="str">
        <f t="shared" si="221"/>
        <v>FISPA</v>
      </c>
      <c r="O334" t="str">
        <f t="shared" si="222"/>
        <v>BULBOS</v>
      </c>
      <c r="P334" t="str">
        <f t="shared" si="226"/>
        <v>0</v>
      </c>
      <c r="Q334" t="str">
        <f t="shared" si="226"/>
        <v>0</v>
      </c>
      <c r="R334" t="str">
        <f t="shared" si="227"/>
        <v>0,00</v>
      </c>
      <c r="S334" t="str">
        <f t="shared" si="227"/>
        <v>0,00</v>
      </c>
      <c r="T334" t="str">
        <f t="shared" si="205"/>
        <v xml:space="preserve"> </v>
      </c>
      <c r="U334" t="str">
        <f t="shared" si="209"/>
        <v xml:space="preserve"> </v>
      </c>
      <c r="V334" t="str">
        <f t="shared" ref="V334:V349" si="246">"0,000"</f>
        <v>0,000</v>
      </c>
      <c r="W334" t="str">
        <f t="shared" si="228"/>
        <v>Lista 4</v>
      </c>
      <c r="X334" t="str">
        <f t="shared" si="229"/>
        <v>Lista 5</v>
      </c>
      <c r="Y334" t="str">
        <f t="shared" si="230"/>
        <v>Oferta Gral.</v>
      </c>
      <c r="Z334" t="str">
        <f t="shared" si="231"/>
        <v>Rubro</v>
      </c>
      <c r="AA334" t="str">
        <f t="shared" si="232"/>
        <v>Cantidad por Bulto</v>
      </c>
      <c r="AB334" t="str">
        <f t="shared" si="233"/>
        <v>INNER</v>
      </c>
      <c r="AC334" t="str">
        <f t="shared" si="234"/>
        <v>Stock en Bultos</v>
      </c>
      <c r="AD334" t="str">
        <f t="shared" si="235"/>
        <v>SubDepósito</v>
      </c>
      <c r="AE334" t="str">
        <f t="shared" si="236"/>
        <v>Marca</v>
      </c>
      <c r="AF334" t="str">
        <f t="shared" si="237"/>
        <v>Super Rubro</v>
      </c>
      <c r="AG334" t="str">
        <f t="shared" si="238"/>
        <v>ComercioExterior</v>
      </c>
      <c r="AH334" t="str">
        <f t="shared" si="239"/>
        <v>PrecioFOB</v>
      </c>
      <c r="AI334" t="str">
        <f t="shared" si="240"/>
        <v>Monto II</v>
      </c>
      <c r="AJ334" t="str">
        <f t="shared" si="241"/>
        <v>Porcentaje II</v>
      </c>
      <c r="AK334" t="str">
        <f t="shared" si="242"/>
        <v>Foto</v>
      </c>
      <c r="AL334" t="str">
        <f>" "</f>
        <v xml:space="preserve"> </v>
      </c>
      <c r="AM334" t="str">
        <f t="shared" si="220"/>
        <v>-</v>
      </c>
    </row>
    <row r="335" spans="1:39" x14ac:dyDescent="0.25">
      <c r="A335" t="str">
        <f>"FI304"</f>
        <v>FI304</v>
      </c>
      <c r="B335" t="str">
        <f>"BULBO PRESION ACEITE VW PASSAT 1.6 TDI 2.0- GACEL/GOL/SAVEIRO FORD GALAXY/ESCORT- 0.3BAR"</f>
        <v>BULBO PRESION ACEITE VW PASSAT 1.6 TDI 2.0- GACEL/GOL/SAVEIRO FORD GALAXY/ESCORT- 0.3BAR</v>
      </c>
      <c r="C335" t="str">
        <f>"$ 3688,83"</f>
        <v>$ 3688,83</v>
      </c>
      <c r="D335" t="str">
        <f>"$ 3688,83"</f>
        <v>$ 3688,83</v>
      </c>
      <c r="E335" t="str">
        <f>"$ 3688,83"</f>
        <v>$ 3688,83</v>
      </c>
      <c r="F335" t="str">
        <f>"$ 3688,83"</f>
        <v>$ 3688,83</v>
      </c>
      <c r="G335" t="str">
        <f>"$ 3688,83"</f>
        <v>$ 3688,83</v>
      </c>
      <c r="H335" t="str">
        <f t="shared" si="223"/>
        <v>$ 0,00</v>
      </c>
      <c r="I335" t="str">
        <f t="shared" si="213"/>
        <v>BULBO PRESION DE ACEITE</v>
      </c>
      <c r="J335" t="str">
        <f t="shared" si="224"/>
        <v>1</v>
      </c>
      <c r="K335" t="str">
        <f t="shared" si="206"/>
        <v>0</v>
      </c>
      <c r="L335" t="str">
        <f t="shared" si="245"/>
        <v>0,000</v>
      </c>
      <c r="M335" t="str">
        <f t="shared" si="225"/>
        <v xml:space="preserve"> </v>
      </c>
      <c r="N335" t="str">
        <f t="shared" si="221"/>
        <v>FISPA</v>
      </c>
      <c r="O335" t="str">
        <f t="shared" si="222"/>
        <v>BULBOS</v>
      </c>
      <c r="P335" t="str">
        <f t="shared" si="226"/>
        <v>0</v>
      </c>
      <c r="Q335" t="str">
        <f t="shared" si="226"/>
        <v>0</v>
      </c>
      <c r="R335" t="str">
        <f t="shared" si="227"/>
        <v>0,00</v>
      </c>
      <c r="S335" t="str">
        <f t="shared" si="227"/>
        <v>0,00</v>
      </c>
      <c r="T335" t="str">
        <f t="shared" si="205"/>
        <v xml:space="preserve"> </v>
      </c>
      <c r="U335" t="str">
        <f t="shared" si="209"/>
        <v xml:space="preserve"> </v>
      </c>
      <c r="V335" t="str">
        <f t="shared" si="246"/>
        <v>0,000</v>
      </c>
      <c r="W335" t="str">
        <f t="shared" si="228"/>
        <v>Lista 4</v>
      </c>
      <c r="X335" t="str">
        <f t="shared" si="229"/>
        <v>Lista 5</v>
      </c>
      <c r="Y335" t="str">
        <f t="shared" si="230"/>
        <v>Oferta Gral.</v>
      </c>
      <c r="Z335" t="str">
        <f t="shared" si="231"/>
        <v>Rubro</v>
      </c>
      <c r="AA335" t="str">
        <f t="shared" si="232"/>
        <v>Cantidad por Bulto</v>
      </c>
      <c r="AB335" t="str">
        <f t="shared" si="233"/>
        <v>INNER</v>
      </c>
      <c r="AC335" t="str">
        <f t="shared" si="234"/>
        <v>Stock en Bultos</v>
      </c>
      <c r="AD335" t="str">
        <f t="shared" si="235"/>
        <v>SubDepósito</v>
      </c>
      <c r="AE335" t="str">
        <f t="shared" si="236"/>
        <v>Marca</v>
      </c>
      <c r="AF335" t="str">
        <f t="shared" si="237"/>
        <v>Super Rubro</v>
      </c>
      <c r="AG335" t="str">
        <f t="shared" si="238"/>
        <v>ComercioExterior</v>
      </c>
      <c r="AH335" t="str">
        <f t="shared" si="239"/>
        <v>PrecioFOB</v>
      </c>
      <c r="AI335" t="str">
        <f t="shared" si="240"/>
        <v>Monto II</v>
      </c>
      <c r="AJ335" t="str">
        <f t="shared" si="241"/>
        <v>Porcentaje II</v>
      </c>
      <c r="AK335" t="str">
        <f t="shared" si="242"/>
        <v>Foto</v>
      </c>
      <c r="AL335" t="str">
        <f t="shared" ref="AL335:AL344" si="247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35" t="str">
        <f t="shared" si="220"/>
        <v>-</v>
      </c>
    </row>
    <row r="336" spans="1:39" x14ac:dyDescent="0.25">
      <c r="A336" t="str">
        <f>"FI566"</f>
        <v>FI566</v>
      </c>
      <c r="B336" t="str">
        <f>"BULBO TEMP   VW BORA 1.9TDI -  GOLF II 1.6D GOLF III 1.6/1.9TD/GTD/TDI - GOLF IV 1.9TDI"</f>
        <v>BULBO TEMP   VW BORA 1.9TDI -  GOLF II 1.6D GOLF III 1.6/1.9TD/GTD/TDI - GOLF IV 1.9TDI</v>
      </c>
      <c r="C336" t="str">
        <f>"$ 11403,31"</f>
        <v>$ 11403,31</v>
      </c>
      <c r="D336" t="str">
        <f>"$ 11403,31"</f>
        <v>$ 11403,31</v>
      </c>
      <c r="E336" t="str">
        <f>"$ 11403,31"</f>
        <v>$ 11403,31</v>
      </c>
      <c r="F336" t="str">
        <f>"$ 11403,31"</f>
        <v>$ 11403,31</v>
      </c>
      <c r="G336" t="str">
        <f>"$ 11403,31"</f>
        <v>$ 11403,31</v>
      </c>
      <c r="H336" t="str">
        <f t="shared" si="223"/>
        <v>$ 0,00</v>
      </c>
      <c r="I336" t="str">
        <f t="shared" ref="I336:I367" si="248">"BULBO DE TEMPERATURA"</f>
        <v>BULBO DE TEMPERATURA</v>
      </c>
      <c r="J336" t="str">
        <f t="shared" si="224"/>
        <v>1</v>
      </c>
      <c r="K336" t="str">
        <f t="shared" si="206"/>
        <v>0</v>
      </c>
      <c r="L336" t="str">
        <f t="shared" si="245"/>
        <v>0,000</v>
      </c>
      <c r="M336" t="str">
        <f t="shared" si="225"/>
        <v xml:space="preserve"> </v>
      </c>
      <c r="N336" t="str">
        <f t="shared" si="221"/>
        <v>FISPA</v>
      </c>
      <c r="O336" t="str">
        <f t="shared" si="222"/>
        <v>BULBOS</v>
      </c>
      <c r="P336" t="str">
        <f t="shared" si="226"/>
        <v>0</v>
      </c>
      <c r="Q336" t="str">
        <f t="shared" si="226"/>
        <v>0</v>
      </c>
      <c r="R336" t="str">
        <f t="shared" si="227"/>
        <v>0,00</v>
      </c>
      <c r="S336" t="str">
        <f t="shared" si="227"/>
        <v>0,00</v>
      </c>
      <c r="T336" t="str">
        <f t="shared" si="205"/>
        <v xml:space="preserve"> </v>
      </c>
      <c r="U336" t="str">
        <f t="shared" si="209"/>
        <v xml:space="preserve"> </v>
      </c>
      <c r="V336" t="str">
        <f t="shared" si="246"/>
        <v>0,000</v>
      </c>
      <c r="W336" t="str">
        <f t="shared" si="228"/>
        <v>Lista 4</v>
      </c>
      <c r="X336" t="str">
        <f t="shared" si="229"/>
        <v>Lista 5</v>
      </c>
      <c r="Y336" t="str">
        <f t="shared" si="230"/>
        <v>Oferta Gral.</v>
      </c>
      <c r="Z336" t="str">
        <f t="shared" si="231"/>
        <v>Rubro</v>
      </c>
      <c r="AA336" t="str">
        <f t="shared" si="232"/>
        <v>Cantidad por Bulto</v>
      </c>
      <c r="AB336" t="str">
        <f t="shared" si="233"/>
        <v>INNER</v>
      </c>
      <c r="AC336" t="str">
        <f t="shared" si="234"/>
        <v>Stock en Bultos</v>
      </c>
      <c r="AD336" t="str">
        <f t="shared" si="235"/>
        <v>SubDepósito</v>
      </c>
      <c r="AE336" t="str">
        <f t="shared" si="236"/>
        <v>Marca</v>
      </c>
      <c r="AF336" t="str">
        <f t="shared" si="237"/>
        <v>Super Rubro</v>
      </c>
      <c r="AG336" t="str">
        <f t="shared" si="238"/>
        <v>ComercioExterior</v>
      </c>
      <c r="AH336" t="str">
        <f t="shared" si="239"/>
        <v>PrecioFOB</v>
      </c>
      <c r="AI336" t="str">
        <f t="shared" si="240"/>
        <v>Monto II</v>
      </c>
      <c r="AJ336" t="str">
        <f t="shared" si="241"/>
        <v>Porcentaje II</v>
      </c>
      <c r="AK336" t="str">
        <f t="shared" si="242"/>
        <v>Foto</v>
      </c>
      <c r="AL336" t="str">
        <f t="shared" si="247"/>
        <v xml:space="preserve">{\rtf1\ansi\deff0{\fonttbl{\f0\fnil\fcharset0 MS Sans Serif}} \viewkind4\uc1\pard\lang11274\f0\fs16\par } </v>
      </c>
      <c r="AM336" t="str">
        <f t="shared" si="220"/>
        <v>-</v>
      </c>
    </row>
    <row r="337" spans="1:39" x14ac:dyDescent="0.25">
      <c r="A337" t="str">
        <f>"FI568"</f>
        <v>FI568</v>
      </c>
      <c r="B337" t="str">
        <f>"BULBO TEMP  PEUGEOT 106 1.3 - 106 II 1.1I/1.4I/1.6I - 306 1.4SL/1.6SR/1.8 16V/2.0 - 405 III 2.0 - 406 1.8/16V "</f>
        <v xml:space="preserve">BULBO TEMP  PEUGEOT 106 1.3 - 106 II 1.1I/1.4I/1.6I - 306 1.4SL/1.6SR/1.8 16V/2.0 - 405 III 2.0 - 406 1.8/16V </v>
      </c>
      <c r="C337" t="str">
        <f>"$ 4522,20"</f>
        <v>$ 4522,20</v>
      </c>
      <c r="D337" t="str">
        <f>"$ 4522,20"</f>
        <v>$ 4522,20</v>
      </c>
      <c r="E337" t="str">
        <f>"$ 4522,20"</f>
        <v>$ 4522,20</v>
      </c>
      <c r="F337" t="str">
        <f>"$ 4522,20"</f>
        <v>$ 4522,20</v>
      </c>
      <c r="G337" t="str">
        <f>"$ 4522,20"</f>
        <v>$ 4522,20</v>
      </c>
      <c r="H337" t="str">
        <f t="shared" si="223"/>
        <v>$ 0,00</v>
      </c>
      <c r="I337" t="str">
        <f t="shared" si="248"/>
        <v>BULBO DE TEMPERATURA</v>
      </c>
      <c r="J337" t="str">
        <f t="shared" si="224"/>
        <v>1</v>
      </c>
      <c r="K337" t="str">
        <f t="shared" si="206"/>
        <v>0</v>
      </c>
      <c r="L337" t="str">
        <f t="shared" si="245"/>
        <v>0,000</v>
      </c>
      <c r="M337" t="str">
        <f t="shared" si="225"/>
        <v xml:space="preserve"> </v>
      </c>
      <c r="N337" t="str">
        <f t="shared" si="221"/>
        <v>FISPA</v>
      </c>
      <c r="O337" t="str">
        <f t="shared" si="222"/>
        <v>BULBOS</v>
      </c>
      <c r="P337" t="str">
        <f t="shared" si="226"/>
        <v>0</v>
      </c>
      <c r="Q337" t="str">
        <f t="shared" si="226"/>
        <v>0</v>
      </c>
      <c r="R337" t="str">
        <f t="shared" si="227"/>
        <v>0,00</v>
      </c>
      <c r="S337" t="str">
        <f t="shared" si="227"/>
        <v>0,00</v>
      </c>
      <c r="T337" t="str">
        <f t="shared" ref="T337:T400" si="249">" "</f>
        <v xml:space="preserve"> </v>
      </c>
      <c r="U337" t="str">
        <f t="shared" si="209"/>
        <v xml:space="preserve"> </v>
      </c>
      <c r="V337" t="str">
        <f t="shared" si="246"/>
        <v>0,000</v>
      </c>
      <c r="W337" t="str">
        <f t="shared" si="228"/>
        <v>Lista 4</v>
      </c>
      <c r="X337" t="str">
        <f t="shared" si="229"/>
        <v>Lista 5</v>
      </c>
      <c r="Y337" t="str">
        <f t="shared" si="230"/>
        <v>Oferta Gral.</v>
      </c>
      <c r="Z337" t="str">
        <f t="shared" si="231"/>
        <v>Rubro</v>
      </c>
      <c r="AA337" t="str">
        <f t="shared" si="232"/>
        <v>Cantidad por Bulto</v>
      </c>
      <c r="AB337" t="str">
        <f t="shared" si="233"/>
        <v>INNER</v>
      </c>
      <c r="AC337" t="str">
        <f t="shared" si="234"/>
        <v>Stock en Bultos</v>
      </c>
      <c r="AD337" t="str">
        <f t="shared" si="235"/>
        <v>SubDepósito</v>
      </c>
      <c r="AE337" t="str">
        <f t="shared" si="236"/>
        <v>Marca</v>
      </c>
      <c r="AF337" t="str">
        <f t="shared" si="237"/>
        <v>Super Rubro</v>
      </c>
      <c r="AG337" t="str">
        <f t="shared" si="238"/>
        <v>ComercioExterior</v>
      </c>
      <c r="AH337" t="str">
        <f t="shared" si="239"/>
        <v>PrecioFOB</v>
      </c>
      <c r="AI337" t="str">
        <f t="shared" si="240"/>
        <v>Monto II</v>
      </c>
      <c r="AJ337" t="str">
        <f t="shared" si="241"/>
        <v>Porcentaje II</v>
      </c>
      <c r="AK337" t="str">
        <f t="shared" si="242"/>
        <v>Foto</v>
      </c>
      <c r="AL337" t="str">
        <f t="shared" si="247"/>
        <v xml:space="preserve">{\rtf1\ansi\deff0{\fonttbl{\f0\fnil\fcharset0 MS Sans Serif}} \viewkind4\uc1\pard\lang11274\f0\fs16\par } </v>
      </c>
      <c r="AM337" t="str">
        <f t="shared" si="220"/>
        <v>-</v>
      </c>
    </row>
    <row r="338" spans="1:39" x14ac:dyDescent="0.25">
      <c r="A338" t="str">
        <f>"FI575"</f>
        <v>FI575</v>
      </c>
      <c r="B338" t="str">
        <f>"BULBO TEMP  PEUGEOT 106 1.4 / 1.6 - 306 1.6  VW BORA 1.6 - GOLF II GLX / GTI - GOLF III 1.6 / 1.8 / 2.0"</f>
        <v>BULBO TEMP  PEUGEOT 106 1.4 / 1.6 - 306 1.6  VW BORA 1.6 - GOLF II GLX / GTI - GOLF III 1.6 / 1.8 / 2.0</v>
      </c>
      <c r="C338" t="str">
        <f>"$ 8238,27"</f>
        <v>$ 8238,27</v>
      </c>
      <c r="D338" t="str">
        <f>"$ 8238,27"</f>
        <v>$ 8238,27</v>
      </c>
      <c r="E338" t="str">
        <f>"$ 8238,27"</f>
        <v>$ 8238,27</v>
      </c>
      <c r="F338" t="str">
        <f>"$ 8238,27"</f>
        <v>$ 8238,27</v>
      </c>
      <c r="G338" t="str">
        <f>"$ 8238,27"</f>
        <v>$ 8238,27</v>
      </c>
      <c r="H338" t="str">
        <f t="shared" si="223"/>
        <v>$ 0,00</v>
      </c>
      <c r="I338" t="str">
        <f t="shared" si="248"/>
        <v>BULBO DE TEMPERATURA</v>
      </c>
      <c r="J338" t="str">
        <f t="shared" si="224"/>
        <v>1</v>
      </c>
      <c r="K338" t="str">
        <f t="shared" si="206"/>
        <v>0</v>
      </c>
      <c r="L338" t="str">
        <f t="shared" si="245"/>
        <v>0,000</v>
      </c>
      <c r="M338" t="str">
        <f t="shared" si="225"/>
        <v xml:space="preserve"> </v>
      </c>
      <c r="N338" t="str">
        <f t="shared" si="221"/>
        <v>FISPA</v>
      </c>
      <c r="O338" t="str">
        <f t="shared" si="222"/>
        <v>BULBOS</v>
      </c>
      <c r="P338" t="str">
        <f t="shared" si="226"/>
        <v>0</v>
      </c>
      <c r="Q338" t="str">
        <f t="shared" si="226"/>
        <v>0</v>
      </c>
      <c r="R338" t="str">
        <f t="shared" si="227"/>
        <v>0,00</v>
      </c>
      <c r="S338" t="str">
        <f t="shared" si="227"/>
        <v>0,00</v>
      </c>
      <c r="T338" t="str">
        <f t="shared" si="249"/>
        <v xml:space="preserve"> </v>
      </c>
      <c r="U338" t="str">
        <f t="shared" si="209"/>
        <v xml:space="preserve"> </v>
      </c>
      <c r="V338" t="str">
        <f t="shared" si="246"/>
        <v>0,000</v>
      </c>
      <c r="W338" t="str">
        <f t="shared" si="228"/>
        <v>Lista 4</v>
      </c>
      <c r="X338" t="str">
        <f t="shared" si="229"/>
        <v>Lista 5</v>
      </c>
      <c r="Y338" t="str">
        <f t="shared" si="230"/>
        <v>Oferta Gral.</v>
      </c>
      <c r="Z338" t="str">
        <f t="shared" si="231"/>
        <v>Rubro</v>
      </c>
      <c r="AA338" t="str">
        <f t="shared" si="232"/>
        <v>Cantidad por Bulto</v>
      </c>
      <c r="AB338" t="str">
        <f t="shared" si="233"/>
        <v>INNER</v>
      </c>
      <c r="AC338" t="str">
        <f t="shared" si="234"/>
        <v>Stock en Bultos</v>
      </c>
      <c r="AD338" t="str">
        <f t="shared" si="235"/>
        <v>SubDepósito</v>
      </c>
      <c r="AE338" t="str">
        <f t="shared" si="236"/>
        <v>Marca</v>
      </c>
      <c r="AF338" t="str">
        <f t="shared" si="237"/>
        <v>Super Rubro</v>
      </c>
      <c r="AG338" t="str">
        <f t="shared" si="238"/>
        <v>ComercioExterior</v>
      </c>
      <c r="AH338" t="str">
        <f t="shared" si="239"/>
        <v>PrecioFOB</v>
      </c>
      <c r="AI338" t="str">
        <f t="shared" si="240"/>
        <v>Monto II</v>
      </c>
      <c r="AJ338" t="str">
        <f t="shared" si="241"/>
        <v>Porcentaje II</v>
      </c>
      <c r="AK338" t="str">
        <f t="shared" si="242"/>
        <v>Foto</v>
      </c>
      <c r="AL338" t="str">
        <f t="shared" si="247"/>
        <v xml:space="preserve">{\rtf1\ansi\deff0{\fonttbl{\f0\fnil\fcharset0 MS Sans Serif}} \viewkind4\uc1\pard\lang11274\f0\fs16\par } </v>
      </c>
      <c r="AM338" t="str">
        <f t="shared" si="220"/>
        <v>-</v>
      </c>
    </row>
    <row r="339" spans="1:39" x14ac:dyDescent="0.25">
      <c r="A339" t="str">
        <f>"FI515"</f>
        <v>FI515</v>
      </c>
      <c r="B339" t="str">
        <f>"BULBO TEMP  PEUGEOT 106 I 1.1/1.4 - 205 II 1.1 - 306 1.4 - 405 I &amp; II 1.6 - 605 2.0"</f>
        <v>BULBO TEMP  PEUGEOT 106 I 1.1/1.4 - 205 II 1.1 - 306 1.4 - 405 I &amp; II 1.6 - 605 2.0</v>
      </c>
      <c r="C339" t="str">
        <f>"$ 5840,96"</f>
        <v>$ 5840,96</v>
      </c>
      <c r="D339" t="str">
        <f>"$ 5840,96"</f>
        <v>$ 5840,96</v>
      </c>
      <c r="E339" t="str">
        <f>"$ 5840,96"</f>
        <v>$ 5840,96</v>
      </c>
      <c r="F339" t="str">
        <f>"$ 5840,96"</f>
        <v>$ 5840,96</v>
      </c>
      <c r="G339" t="str">
        <f>"$ 5840,96"</f>
        <v>$ 5840,96</v>
      </c>
      <c r="H339" t="str">
        <f t="shared" si="223"/>
        <v>$ 0,00</v>
      </c>
      <c r="I339" t="str">
        <f t="shared" si="248"/>
        <v>BULBO DE TEMPERATURA</v>
      </c>
      <c r="J339" t="str">
        <f t="shared" si="224"/>
        <v>1</v>
      </c>
      <c r="K339" t="str">
        <f t="shared" si="206"/>
        <v>0</v>
      </c>
      <c r="L339" t="str">
        <f t="shared" si="245"/>
        <v>0,000</v>
      </c>
      <c r="M339" t="str">
        <f t="shared" si="225"/>
        <v xml:space="preserve"> </v>
      </c>
      <c r="N339" t="str">
        <f t="shared" si="221"/>
        <v>FISPA</v>
      </c>
      <c r="O339" t="str">
        <f t="shared" si="222"/>
        <v>BULBOS</v>
      </c>
      <c r="P339" t="str">
        <f t="shared" si="226"/>
        <v>0</v>
      </c>
      <c r="Q339" t="str">
        <f t="shared" si="226"/>
        <v>0</v>
      </c>
      <c r="R339" t="str">
        <f t="shared" si="227"/>
        <v>0,00</v>
      </c>
      <c r="S339" t="str">
        <f t="shared" si="227"/>
        <v>0,00</v>
      </c>
      <c r="T339" t="str">
        <f t="shared" si="249"/>
        <v xml:space="preserve"> </v>
      </c>
      <c r="U339" t="str">
        <f t="shared" si="209"/>
        <v xml:space="preserve"> </v>
      </c>
      <c r="V339" t="str">
        <f t="shared" si="246"/>
        <v>0,000</v>
      </c>
      <c r="W339" t="str">
        <f t="shared" si="228"/>
        <v>Lista 4</v>
      </c>
      <c r="X339" t="str">
        <f t="shared" si="229"/>
        <v>Lista 5</v>
      </c>
      <c r="Y339" t="str">
        <f t="shared" si="230"/>
        <v>Oferta Gral.</v>
      </c>
      <c r="Z339" t="str">
        <f t="shared" si="231"/>
        <v>Rubro</v>
      </c>
      <c r="AA339" t="str">
        <f t="shared" si="232"/>
        <v>Cantidad por Bulto</v>
      </c>
      <c r="AB339" t="str">
        <f t="shared" si="233"/>
        <v>INNER</v>
      </c>
      <c r="AC339" t="str">
        <f t="shared" si="234"/>
        <v>Stock en Bultos</v>
      </c>
      <c r="AD339" t="str">
        <f t="shared" si="235"/>
        <v>SubDepósito</v>
      </c>
      <c r="AE339" t="str">
        <f t="shared" si="236"/>
        <v>Marca</v>
      </c>
      <c r="AF339" t="str">
        <f t="shared" si="237"/>
        <v>Super Rubro</v>
      </c>
      <c r="AG339" t="str">
        <f t="shared" si="238"/>
        <v>ComercioExterior</v>
      </c>
      <c r="AH339" t="str">
        <f t="shared" si="239"/>
        <v>PrecioFOB</v>
      </c>
      <c r="AI339" t="str">
        <f t="shared" si="240"/>
        <v>Monto II</v>
      </c>
      <c r="AJ339" t="str">
        <f t="shared" si="241"/>
        <v>Porcentaje II</v>
      </c>
      <c r="AK339" t="str">
        <f t="shared" si="242"/>
        <v>Foto</v>
      </c>
      <c r="AL339" t="str">
        <f t="shared" si="247"/>
        <v xml:space="preserve">{\rtf1\ansi\deff0{\fonttbl{\f0\fnil\fcharset0 MS Sans Serif}} \viewkind4\uc1\pard\lang11274\f0\fs16\par } </v>
      </c>
      <c r="AM339" t="str">
        <f t="shared" si="220"/>
        <v>-</v>
      </c>
    </row>
    <row r="340" spans="1:39" x14ac:dyDescent="0.25">
      <c r="A340" t="str">
        <f>"FI517"</f>
        <v>FI517</v>
      </c>
      <c r="B340" t="str">
        <f>"BULBO TEMP  PEUGEOT 106 I 1.4/1.5D - 205 - 306 - 405 I 1.4/1.6/1.9/D - 406 1.8/1.9D/2.0/HDI"</f>
        <v>BULBO TEMP  PEUGEOT 106 I 1.4/1.5D - 205 - 306 - 405 I 1.4/1.6/1.9/D - 406 1.8/1.9D/2.0/HDI</v>
      </c>
      <c r="C340" t="str">
        <f>"$ 14607,98"</f>
        <v>$ 14607,98</v>
      </c>
      <c r="D340" t="str">
        <f>"$ 14607,98"</f>
        <v>$ 14607,98</v>
      </c>
      <c r="E340" t="str">
        <f>"$ 14607,98"</f>
        <v>$ 14607,98</v>
      </c>
      <c r="F340" t="str">
        <f>"$ 14607,98"</f>
        <v>$ 14607,98</v>
      </c>
      <c r="G340" t="str">
        <f>"$ 14607,98"</f>
        <v>$ 14607,98</v>
      </c>
      <c r="H340" t="str">
        <f t="shared" si="223"/>
        <v>$ 0,00</v>
      </c>
      <c r="I340" t="str">
        <f t="shared" si="248"/>
        <v>BULBO DE TEMPERATURA</v>
      </c>
      <c r="J340" t="str">
        <f t="shared" si="224"/>
        <v>1</v>
      </c>
      <c r="K340" t="str">
        <f t="shared" si="206"/>
        <v>0</v>
      </c>
      <c r="L340" t="str">
        <f t="shared" si="245"/>
        <v>0,000</v>
      </c>
      <c r="M340" t="str">
        <f t="shared" si="225"/>
        <v xml:space="preserve"> </v>
      </c>
      <c r="N340" t="str">
        <f t="shared" si="221"/>
        <v>FISPA</v>
      </c>
      <c r="O340" t="str">
        <f t="shared" si="222"/>
        <v>BULBOS</v>
      </c>
      <c r="P340" t="str">
        <f t="shared" si="226"/>
        <v>0</v>
      </c>
      <c r="Q340" t="str">
        <f t="shared" si="226"/>
        <v>0</v>
      </c>
      <c r="R340" t="str">
        <f t="shared" si="227"/>
        <v>0,00</v>
      </c>
      <c r="S340" t="str">
        <f t="shared" si="227"/>
        <v>0,00</v>
      </c>
      <c r="T340" t="str">
        <f t="shared" si="249"/>
        <v xml:space="preserve"> </v>
      </c>
      <c r="U340" t="str">
        <f t="shared" si="209"/>
        <v xml:space="preserve"> </v>
      </c>
      <c r="V340" t="str">
        <f t="shared" si="246"/>
        <v>0,000</v>
      </c>
      <c r="W340" t="str">
        <f t="shared" si="228"/>
        <v>Lista 4</v>
      </c>
      <c r="X340" t="str">
        <f t="shared" si="229"/>
        <v>Lista 5</v>
      </c>
      <c r="Y340" t="str">
        <f t="shared" si="230"/>
        <v>Oferta Gral.</v>
      </c>
      <c r="Z340" t="str">
        <f t="shared" si="231"/>
        <v>Rubro</v>
      </c>
      <c r="AA340" t="str">
        <f t="shared" si="232"/>
        <v>Cantidad por Bulto</v>
      </c>
      <c r="AB340" t="str">
        <f t="shared" si="233"/>
        <v>INNER</v>
      </c>
      <c r="AC340" t="str">
        <f t="shared" si="234"/>
        <v>Stock en Bultos</v>
      </c>
      <c r="AD340" t="str">
        <f t="shared" si="235"/>
        <v>SubDepósito</v>
      </c>
      <c r="AE340" t="str">
        <f t="shared" si="236"/>
        <v>Marca</v>
      </c>
      <c r="AF340" t="str">
        <f t="shared" si="237"/>
        <v>Super Rubro</v>
      </c>
      <c r="AG340" t="str">
        <f t="shared" si="238"/>
        <v>ComercioExterior</v>
      </c>
      <c r="AH340" t="str">
        <f t="shared" si="239"/>
        <v>PrecioFOB</v>
      </c>
      <c r="AI340" t="str">
        <f t="shared" si="240"/>
        <v>Monto II</v>
      </c>
      <c r="AJ340" t="str">
        <f t="shared" si="241"/>
        <v>Porcentaje II</v>
      </c>
      <c r="AK340" t="str">
        <f t="shared" si="242"/>
        <v>Foto</v>
      </c>
      <c r="AL340" t="str">
        <f t="shared" si="247"/>
        <v xml:space="preserve">{\rtf1\ansi\deff0{\fonttbl{\f0\fnil\fcharset0 MS Sans Serif}} \viewkind4\uc1\pard\lang11274\f0\fs16\par } </v>
      </c>
      <c r="AM340" t="str">
        <f t="shared" si="220"/>
        <v>-</v>
      </c>
    </row>
    <row r="341" spans="1:39" x14ac:dyDescent="0.25">
      <c r="A341" t="str">
        <f>"FI584"</f>
        <v>FI584</v>
      </c>
      <c r="B341" t="str">
        <f>"BULBO TEMP  TOYOTA 4 RUNNER 2.0 TD - CAMRY 2.2 - CARINA 2.0 I - CELICA 2.0 I 16V / 2.0 I TURBO 4WD"</f>
        <v>BULBO TEMP  TOYOTA 4 RUNNER 2.0 TD - CAMRY 2.2 - CARINA 2.0 I - CELICA 2.0 I 16V / 2.0 I TURBO 4WD</v>
      </c>
      <c r="C341" t="str">
        <f>"$ 4865,20"</f>
        <v>$ 4865,20</v>
      </c>
      <c r="D341" t="str">
        <f>"$ 4865,20"</f>
        <v>$ 4865,20</v>
      </c>
      <c r="E341" t="str">
        <f>"$ 4865,20"</f>
        <v>$ 4865,20</v>
      </c>
      <c r="F341" t="str">
        <f>"$ 4865,20"</f>
        <v>$ 4865,20</v>
      </c>
      <c r="G341" t="str">
        <f>"$ 4865,20"</f>
        <v>$ 4865,20</v>
      </c>
      <c r="H341" t="str">
        <f t="shared" si="223"/>
        <v>$ 0,00</v>
      </c>
      <c r="I341" t="str">
        <f t="shared" si="248"/>
        <v>BULBO DE TEMPERATURA</v>
      </c>
      <c r="J341" t="str">
        <f t="shared" si="224"/>
        <v>1</v>
      </c>
      <c r="K341" t="str">
        <f t="shared" si="206"/>
        <v>0</v>
      </c>
      <c r="L341" t="str">
        <f t="shared" si="245"/>
        <v>0,000</v>
      </c>
      <c r="M341" t="str">
        <f t="shared" si="225"/>
        <v xml:space="preserve"> </v>
      </c>
      <c r="N341" t="str">
        <f t="shared" si="221"/>
        <v>FISPA</v>
      </c>
      <c r="O341" t="str">
        <f t="shared" si="222"/>
        <v>BULBOS</v>
      </c>
      <c r="P341" t="str">
        <f t="shared" si="226"/>
        <v>0</v>
      </c>
      <c r="Q341" t="str">
        <f t="shared" si="226"/>
        <v>0</v>
      </c>
      <c r="R341" t="str">
        <f t="shared" si="227"/>
        <v>0,00</v>
      </c>
      <c r="S341" t="str">
        <f t="shared" si="227"/>
        <v>0,00</v>
      </c>
      <c r="T341" t="str">
        <f t="shared" si="249"/>
        <v xml:space="preserve"> </v>
      </c>
      <c r="U341" t="str">
        <f t="shared" si="209"/>
        <v xml:space="preserve"> </v>
      </c>
      <c r="V341" t="str">
        <f t="shared" si="246"/>
        <v>0,000</v>
      </c>
      <c r="W341" t="str">
        <f t="shared" si="228"/>
        <v>Lista 4</v>
      </c>
      <c r="X341" t="str">
        <f t="shared" si="229"/>
        <v>Lista 5</v>
      </c>
      <c r="Y341" t="str">
        <f t="shared" si="230"/>
        <v>Oferta Gral.</v>
      </c>
      <c r="Z341" t="str">
        <f t="shared" si="231"/>
        <v>Rubro</v>
      </c>
      <c r="AA341" t="str">
        <f t="shared" si="232"/>
        <v>Cantidad por Bulto</v>
      </c>
      <c r="AB341" t="str">
        <f t="shared" si="233"/>
        <v>INNER</v>
      </c>
      <c r="AC341" t="str">
        <f t="shared" si="234"/>
        <v>Stock en Bultos</v>
      </c>
      <c r="AD341" t="str">
        <f t="shared" si="235"/>
        <v>SubDepósito</v>
      </c>
      <c r="AE341" t="str">
        <f t="shared" si="236"/>
        <v>Marca</v>
      </c>
      <c r="AF341" t="str">
        <f t="shared" si="237"/>
        <v>Super Rubro</v>
      </c>
      <c r="AG341" t="str">
        <f t="shared" si="238"/>
        <v>ComercioExterior</v>
      </c>
      <c r="AH341" t="str">
        <f t="shared" si="239"/>
        <v>PrecioFOB</v>
      </c>
      <c r="AI341" t="str">
        <f t="shared" si="240"/>
        <v>Monto II</v>
      </c>
      <c r="AJ341" t="str">
        <f t="shared" si="241"/>
        <v>Porcentaje II</v>
      </c>
      <c r="AK341" t="str">
        <f t="shared" si="242"/>
        <v>Foto</v>
      </c>
      <c r="AL341" t="str">
        <f t="shared" si="247"/>
        <v xml:space="preserve">{\rtf1\ansi\deff0{\fonttbl{\f0\fnil\fcharset0 MS Sans Serif}} \viewkind4\uc1\pard\lang11274\f0\fs16\par } </v>
      </c>
      <c r="AM341" t="str">
        <f t="shared" si="220"/>
        <v>-</v>
      </c>
    </row>
    <row r="342" spans="1:39" x14ac:dyDescent="0.25">
      <c r="A342" t="str">
        <f>"FI525"</f>
        <v>FI525</v>
      </c>
      <c r="B342" t="str">
        <f>"BULBO TEMP  VW GOLF II 1.6/D - GOLF III 1.8 - PASSAT 1.8/1.9TD/2.0 - SHARAN 1.9TDI "</f>
        <v xml:space="preserve">BULBO TEMP  VW GOLF II 1.6/D - GOLF III 1.8 - PASSAT 1.8/1.9TD/2.0 - SHARAN 1.9TDI </v>
      </c>
      <c r="C342" t="str">
        <f>"$ 9015,91"</f>
        <v>$ 9015,91</v>
      </c>
      <c r="D342" t="str">
        <f>"$ 9015,91"</f>
        <v>$ 9015,91</v>
      </c>
      <c r="E342" t="str">
        <f>"$ 9015,91"</f>
        <v>$ 9015,91</v>
      </c>
      <c r="F342" t="str">
        <f>"$ 9015,91"</f>
        <v>$ 9015,91</v>
      </c>
      <c r="G342" t="str">
        <f>"$ 9015,91"</f>
        <v>$ 9015,91</v>
      </c>
      <c r="H342" t="str">
        <f t="shared" si="223"/>
        <v>$ 0,00</v>
      </c>
      <c r="I342" t="str">
        <f t="shared" si="248"/>
        <v>BULBO DE TEMPERATURA</v>
      </c>
      <c r="J342" t="str">
        <f t="shared" si="224"/>
        <v>1</v>
      </c>
      <c r="K342" t="str">
        <f t="shared" si="206"/>
        <v>0</v>
      </c>
      <c r="L342" t="str">
        <f t="shared" si="245"/>
        <v>0,000</v>
      </c>
      <c r="M342" t="str">
        <f t="shared" si="225"/>
        <v xml:space="preserve"> </v>
      </c>
      <c r="N342" t="str">
        <f t="shared" si="221"/>
        <v>FISPA</v>
      </c>
      <c r="O342" t="str">
        <f t="shared" si="222"/>
        <v>BULBOS</v>
      </c>
      <c r="P342" t="str">
        <f t="shared" si="226"/>
        <v>0</v>
      </c>
      <c r="Q342" t="str">
        <f t="shared" si="226"/>
        <v>0</v>
      </c>
      <c r="R342" t="str">
        <f t="shared" si="227"/>
        <v>0,00</v>
      </c>
      <c r="S342" t="str">
        <f t="shared" si="227"/>
        <v>0,00</v>
      </c>
      <c r="T342" t="str">
        <f t="shared" si="249"/>
        <v xml:space="preserve"> </v>
      </c>
      <c r="U342" t="str">
        <f t="shared" si="209"/>
        <v xml:space="preserve"> </v>
      </c>
      <c r="V342" t="str">
        <f t="shared" si="246"/>
        <v>0,000</v>
      </c>
      <c r="W342" t="str">
        <f t="shared" si="228"/>
        <v>Lista 4</v>
      </c>
      <c r="X342" t="str">
        <f t="shared" si="229"/>
        <v>Lista 5</v>
      </c>
      <c r="Y342" t="str">
        <f t="shared" si="230"/>
        <v>Oferta Gral.</v>
      </c>
      <c r="Z342" t="str">
        <f t="shared" si="231"/>
        <v>Rubro</v>
      </c>
      <c r="AA342" t="str">
        <f t="shared" si="232"/>
        <v>Cantidad por Bulto</v>
      </c>
      <c r="AB342" t="str">
        <f t="shared" si="233"/>
        <v>INNER</v>
      </c>
      <c r="AC342" t="str">
        <f t="shared" si="234"/>
        <v>Stock en Bultos</v>
      </c>
      <c r="AD342" t="str">
        <f t="shared" si="235"/>
        <v>SubDepósito</v>
      </c>
      <c r="AE342" t="str">
        <f t="shared" si="236"/>
        <v>Marca</v>
      </c>
      <c r="AF342" t="str">
        <f t="shared" si="237"/>
        <v>Super Rubro</v>
      </c>
      <c r="AG342" t="str">
        <f t="shared" si="238"/>
        <v>ComercioExterior</v>
      </c>
      <c r="AH342" t="str">
        <f t="shared" si="239"/>
        <v>PrecioFOB</v>
      </c>
      <c r="AI342" t="str">
        <f t="shared" si="240"/>
        <v>Monto II</v>
      </c>
      <c r="AJ342" t="str">
        <f t="shared" si="241"/>
        <v>Porcentaje II</v>
      </c>
      <c r="AK342" t="str">
        <f t="shared" si="242"/>
        <v>Foto</v>
      </c>
      <c r="AL342" t="str">
        <f t="shared" si="247"/>
        <v xml:space="preserve">{\rtf1\ansi\deff0{\fonttbl{\f0\fnil\fcharset0 MS Sans Serif}} \viewkind4\uc1\pard\lang11274\f0\fs16\par } </v>
      </c>
      <c r="AM342" t="str">
        <f t="shared" si="220"/>
        <v>-</v>
      </c>
    </row>
    <row r="343" spans="1:39" x14ac:dyDescent="0.25">
      <c r="A343" t="str">
        <f>"FI560"</f>
        <v>FI560</v>
      </c>
      <c r="B343" t="str">
        <f>"BULBO TEMP - VOLKSWAGEN BORA 1.4/1.6/1.8/T/1.9SDI/TDI/2.0 - FOX 1.2/1.4/TDI/1.6 - GOL"</f>
        <v>BULBO TEMP - VOLKSWAGEN BORA 1.4/1.6/1.8/T/1.9SDI/TDI/2.0 - FOX 1.2/1.4/TDI/1.6 - GOL</v>
      </c>
      <c r="C343" t="str">
        <f>"$ 6010,61"</f>
        <v>$ 6010,61</v>
      </c>
      <c r="D343" t="str">
        <f>"$ 6010,61"</f>
        <v>$ 6010,61</v>
      </c>
      <c r="E343" t="str">
        <f>"$ 6010,61"</f>
        <v>$ 6010,61</v>
      </c>
      <c r="F343" t="str">
        <f>"$ 6010,61"</f>
        <v>$ 6010,61</v>
      </c>
      <c r="G343" t="str">
        <f>"$ 6010,61"</f>
        <v>$ 6010,61</v>
      </c>
      <c r="H343" t="str">
        <f t="shared" si="223"/>
        <v>$ 0,00</v>
      </c>
      <c r="I343" t="str">
        <f t="shared" si="248"/>
        <v>BULBO DE TEMPERATURA</v>
      </c>
      <c r="J343" t="str">
        <f t="shared" si="224"/>
        <v>1</v>
      </c>
      <c r="K343" t="str">
        <f t="shared" ref="K343:K406" si="250">"0"</f>
        <v>0</v>
      </c>
      <c r="L343" t="str">
        <f t="shared" si="245"/>
        <v>0,000</v>
      </c>
      <c r="M343" t="str">
        <f t="shared" si="225"/>
        <v xml:space="preserve"> </v>
      </c>
      <c r="N343" t="str">
        <f t="shared" si="221"/>
        <v>FISPA</v>
      </c>
      <c r="O343" t="str">
        <f t="shared" si="222"/>
        <v>BULBOS</v>
      </c>
      <c r="P343" t="str">
        <f t="shared" ref="P343:Q362" si="251">"0"</f>
        <v>0</v>
      </c>
      <c r="Q343" t="str">
        <f t="shared" si="251"/>
        <v>0</v>
      </c>
      <c r="R343" t="str">
        <f t="shared" ref="R343:S362" si="252">"0,00"</f>
        <v>0,00</v>
      </c>
      <c r="S343" t="str">
        <f t="shared" si="252"/>
        <v>0,00</v>
      </c>
      <c r="T343" t="str">
        <f t="shared" si="249"/>
        <v xml:space="preserve"> </v>
      </c>
      <c r="U343" t="str">
        <f t="shared" si="209"/>
        <v xml:space="preserve"> </v>
      </c>
      <c r="V343" t="str">
        <f t="shared" si="246"/>
        <v>0,000</v>
      </c>
      <c r="W343" t="str">
        <f t="shared" si="228"/>
        <v>Lista 4</v>
      </c>
      <c r="X343" t="str">
        <f t="shared" si="229"/>
        <v>Lista 5</v>
      </c>
      <c r="Y343" t="str">
        <f t="shared" si="230"/>
        <v>Oferta Gral.</v>
      </c>
      <c r="Z343" t="str">
        <f t="shared" si="231"/>
        <v>Rubro</v>
      </c>
      <c r="AA343" t="str">
        <f t="shared" si="232"/>
        <v>Cantidad por Bulto</v>
      </c>
      <c r="AB343" t="str">
        <f t="shared" si="233"/>
        <v>INNER</v>
      </c>
      <c r="AC343" t="str">
        <f t="shared" si="234"/>
        <v>Stock en Bultos</v>
      </c>
      <c r="AD343" t="str">
        <f t="shared" si="235"/>
        <v>SubDepósito</v>
      </c>
      <c r="AE343" t="str">
        <f t="shared" si="236"/>
        <v>Marca</v>
      </c>
      <c r="AF343" t="str">
        <f t="shared" si="237"/>
        <v>Super Rubro</v>
      </c>
      <c r="AG343" t="str">
        <f t="shared" si="238"/>
        <v>ComercioExterior</v>
      </c>
      <c r="AH343" t="str">
        <f t="shared" si="239"/>
        <v>PrecioFOB</v>
      </c>
      <c r="AI343" t="str">
        <f t="shared" si="240"/>
        <v>Monto II</v>
      </c>
      <c r="AJ343" t="str">
        <f t="shared" si="241"/>
        <v>Porcentaje II</v>
      </c>
      <c r="AK343" t="str">
        <f t="shared" si="242"/>
        <v>Foto</v>
      </c>
      <c r="AL343" t="str">
        <f t="shared" si="247"/>
        <v xml:space="preserve">{\rtf1\ansi\deff0{\fonttbl{\f0\fnil\fcharset0 MS Sans Serif}} \viewkind4\uc1\pard\lang11274\f0\fs16\par } </v>
      </c>
      <c r="AM343" t="str">
        <f t="shared" si="220"/>
        <v>-</v>
      </c>
    </row>
    <row r="344" spans="1:39" x14ac:dyDescent="0.25">
      <c r="A344" t="str">
        <f>"FI559"</f>
        <v>FI559</v>
      </c>
      <c r="B344" t="str">
        <f>"BULBO TEMP - VOLKSWAGEN PASSAT 1.6I/1.8I/1.9TDI/2.0/TDI/2.5TDI -  102 - 97°C"</f>
        <v>BULBO TEMP - VOLKSWAGEN PASSAT 1.6I/1.8I/1.9TDI/2.0/TDI/2.5TDI -  102 - 97°C</v>
      </c>
      <c r="C344" t="str">
        <f>"$ 9698,20"</f>
        <v>$ 9698,20</v>
      </c>
      <c r="D344" t="str">
        <f>"$ 9698,20"</f>
        <v>$ 9698,20</v>
      </c>
      <c r="E344" t="str">
        <f>"$ 9698,20"</f>
        <v>$ 9698,20</v>
      </c>
      <c r="F344" t="str">
        <f>"$ 9698,20"</f>
        <v>$ 9698,20</v>
      </c>
      <c r="G344" t="str">
        <f>"$ 9698,20"</f>
        <v>$ 9698,20</v>
      </c>
      <c r="H344" t="str">
        <f t="shared" si="223"/>
        <v>$ 0,00</v>
      </c>
      <c r="I344" t="str">
        <f t="shared" si="248"/>
        <v>BULBO DE TEMPERATURA</v>
      </c>
      <c r="J344" t="str">
        <f t="shared" si="224"/>
        <v>1</v>
      </c>
      <c r="K344" t="str">
        <f t="shared" si="250"/>
        <v>0</v>
      </c>
      <c r="L344" t="str">
        <f t="shared" si="245"/>
        <v>0,000</v>
      </c>
      <c r="M344" t="str">
        <f t="shared" si="225"/>
        <v xml:space="preserve"> </v>
      </c>
      <c r="N344" t="str">
        <f t="shared" si="221"/>
        <v>FISPA</v>
      </c>
      <c r="O344" t="str">
        <f t="shared" si="222"/>
        <v>BULBOS</v>
      </c>
      <c r="P344" t="str">
        <f t="shared" si="251"/>
        <v>0</v>
      </c>
      <c r="Q344" t="str">
        <f t="shared" si="251"/>
        <v>0</v>
      </c>
      <c r="R344" t="str">
        <f t="shared" si="252"/>
        <v>0,00</v>
      </c>
      <c r="S344" t="str">
        <f t="shared" si="252"/>
        <v>0,00</v>
      </c>
      <c r="T344" t="str">
        <f t="shared" si="249"/>
        <v xml:space="preserve"> </v>
      </c>
      <c r="U344" t="str">
        <f t="shared" si="209"/>
        <v xml:space="preserve"> </v>
      </c>
      <c r="V344" t="str">
        <f t="shared" si="246"/>
        <v>0,000</v>
      </c>
      <c r="W344" t="str">
        <f t="shared" si="228"/>
        <v>Lista 4</v>
      </c>
      <c r="X344" t="str">
        <f t="shared" si="229"/>
        <v>Lista 5</v>
      </c>
      <c r="Y344" t="str">
        <f t="shared" si="230"/>
        <v>Oferta Gral.</v>
      </c>
      <c r="Z344" t="str">
        <f t="shared" si="231"/>
        <v>Rubro</v>
      </c>
      <c r="AA344" t="str">
        <f t="shared" si="232"/>
        <v>Cantidad por Bulto</v>
      </c>
      <c r="AB344" t="str">
        <f t="shared" si="233"/>
        <v>INNER</v>
      </c>
      <c r="AC344" t="str">
        <f t="shared" si="234"/>
        <v>Stock en Bultos</v>
      </c>
      <c r="AD344" t="str">
        <f t="shared" si="235"/>
        <v>SubDepósito</v>
      </c>
      <c r="AE344" t="str">
        <f t="shared" si="236"/>
        <v>Marca</v>
      </c>
      <c r="AF344" t="str">
        <f t="shared" si="237"/>
        <v>Super Rubro</v>
      </c>
      <c r="AG344" t="str">
        <f t="shared" si="238"/>
        <v>ComercioExterior</v>
      </c>
      <c r="AH344" t="str">
        <f t="shared" si="239"/>
        <v>PrecioFOB</v>
      </c>
      <c r="AI344" t="str">
        <f t="shared" si="240"/>
        <v>Monto II</v>
      </c>
      <c r="AJ344" t="str">
        <f t="shared" si="241"/>
        <v>Porcentaje II</v>
      </c>
      <c r="AK344" t="str">
        <f t="shared" si="242"/>
        <v>Foto</v>
      </c>
      <c r="AL344" t="str">
        <f t="shared" si="247"/>
        <v xml:space="preserve">{\rtf1\ansi\deff0{\fonttbl{\f0\fnil\fcharset0 MS Sans Serif}} \viewkind4\uc1\pard\lang11274\f0\fs16\par } </v>
      </c>
      <c r="AM344" t="str">
        <f t="shared" si="220"/>
        <v>-</v>
      </c>
    </row>
    <row r="345" spans="1:39" x14ac:dyDescent="0.25">
      <c r="A345" t="str">
        <f>"FI508"</f>
        <v>FI508</v>
      </c>
      <c r="B345" t="str">
        <f>"BULBO TEMP A ROMEO 145/146/155 /CITR. JUMPER 2.8HDI/FIATBRAVO/DUCATO 1.9TD/2.5TD/2.8TD"</f>
        <v>BULBO TEMP A ROMEO 145/146/155 /CITR. JUMPER 2.8HDI/FIATBRAVO/DUCATO 1.9TD/2.5TD/2.8TD</v>
      </c>
      <c r="C345" t="str">
        <f>"$ 5324,60"</f>
        <v>$ 5324,60</v>
      </c>
      <c r="D345" t="str">
        <f>"$ 5324,60"</f>
        <v>$ 5324,60</v>
      </c>
      <c r="E345" t="str">
        <f>"$ 5324,60"</f>
        <v>$ 5324,60</v>
      </c>
      <c r="F345" t="str">
        <f>"$ 5324,60"</f>
        <v>$ 5324,60</v>
      </c>
      <c r="G345" t="str">
        <f>"$ 5324,60"</f>
        <v>$ 5324,60</v>
      </c>
      <c r="H345" t="str">
        <f t="shared" si="223"/>
        <v>$ 0,00</v>
      </c>
      <c r="I345" t="str">
        <f t="shared" si="248"/>
        <v>BULBO DE TEMPERATURA</v>
      </c>
      <c r="J345" t="str">
        <f t="shared" si="224"/>
        <v>1</v>
      </c>
      <c r="K345" t="str">
        <f t="shared" si="250"/>
        <v>0</v>
      </c>
      <c r="L345" t="str">
        <f t="shared" si="245"/>
        <v>0,000</v>
      </c>
      <c r="M345" t="str">
        <f t="shared" si="225"/>
        <v xml:space="preserve"> </v>
      </c>
      <c r="N345" t="str">
        <f t="shared" si="221"/>
        <v>FISPA</v>
      </c>
      <c r="O345" t="str">
        <f t="shared" si="222"/>
        <v>BULBOS</v>
      </c>
      <c r="P345" t="str">
        <f t="shared" si="251"/>
        <v>0</v>
      </c>
      <c r="Q345" t="str">
        <f t="shared" si="251"/>
        <v>0</v>
      </c>
      <c r="R345" t="str">
        <f t="shared" si="252"/>
        <v>0,00</v>
      </c>
      <c r="S345" t="str">
        <f t="shared" si="252"/>
        <v>0,00</v>
      </c>
      <c r="T345" t="str">
        <f t="shared" si="249"/>
        <v xml:space="preserve"> </v>
      </c>
      <c r="U345" t="str">
        <f t="shared" si="209"/>
        <v xml:space="preserve"> </v>
      </c>
      <c r="V345" t="str">
        <f t="shared" si="246"/>
        <v>0,000</v>
      </c>
      <c r="W345" t="str">
        <f t="shared" si="228"/>
        <v>Lista 4</v>
      </c>
      <c r="X345" t="str">
        <f t="shared" si="229"/>
        <v>Lista 5</v>
      </c>
      <c r="Y345" t="str">
        <f t="shared" si="230"/>
        <v>Oferta Gral.</v>
      </c>
      <c r="Z345" t="str">
        <f t="shared" si="231"/>
        <v>Rubro</v>
      </c>
      <c r="AA345" t="str">
        <f t="shared" si="232"/>
        <v>Cantidad por Bulto</v>
      </c>
      <c r="AB345" t="str">
        <f t="shared" si="233"/>
        <v>INNER</v>
      </c>
      <c r="AC345" t="str">
        <f t="shared" si="234"/>
        <v>Stock en Bultos</v>
      </c>
      <c r="AD345" t="str">
        <f t="shared" si="235"/>
        <v>SubDepósito</v>
      </c>
      <c r="AE345" t="str">
        <f t="shared" si="236"/>
        <v>Marca</v>
      </c>
      <c r="AF345" t="str">
        <f t="shared" si="237"/>
        <v>Super Rubro</v>
      </c>
      <c r="AG345" t="str">
        <f t="shared" si="238"/>
        <v>ComercioExterior</v>
      </c>
      <c r="AH345" t="str">
        <f t="shared" si="239"/>
        <v>PrecioFOB</v>
      </c>
      <c r="AI345" t="str">
        <f t="shared" si="240"/>
        <v>Monto II</v>
      </c>
      <c r="AJ345" t="str">
        <f t="shared" si="241"/>
        <v>Porcentaje II</v>
      </c>
      <c r="AK345" t="str">
        <f t="shared" si="242"/>
        <v>Foto</v>
      </c>
      <c r="AL34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45" t="str">
        <f t="shared" si="220"/>
        <v>-</v>
      </c>
    </row>
    <row r="346" spans="1:39" x14ac:dyDescent="0.25">
      <c r="A346" t="str">
        <f>"FI503"</f>
        <v>FI503</v>
      </c>
      <c r="B346" t="str">
        <f>"BULBO TEMP A ROMEO/BMW/CITRÖEN/VW/FIAT/PEUGEOT/RENAULT"</f>
        <v>BULBO TEMP A ROMEO/BMW/CITRÖEN/VW/FIAT/PEUGEOT/RENAULT</v>
      </c>
      <c r="C346" t="str">
        <f>"$ 5626,74"</f>
        <v>$ 5626,74</v>
      </c>
      <c r="D346" t="str">
        <f>"$ 5626,74"</f>
        <v>$ 5626,74</v>
      </c>
      <c r="E346" t="str">
        <f>"$ 5626,74"</f>
        <v>$ 5626,74</v>
      </c>
      <c r="F346" t="str">
        <f>"$ 5626,74"</f>
        <v>$ 5626,74</v>
      </c>
      <c r="G346" t="str">
        <f>"$ 5626,74"</f>
        <v>$ 5626,74</v>
      </c>
      <c r="H346" t="str">
        <f t="shared" si="223"/>
        <v>$ 0,00</v>
      </c>
      <c r="I346" t="str">
        <f t="shared" si="248"/>
        <v>BULBO DE TEMPERATURA</v>
      </c>
      <c r="J346" t="str">
        <f t="shared" si="224"/>
        <v>1</v>
      </c>
      <c r="K346" t="str">
        <f t="shared" si="250"/>
        <v>0</v>
      </c>
      <c r="L346" t="str">
        <f t="shared" si="245"/>
        <v>0,000</v>
      </c>
      <c r="M346" t="str">
        <f t="shared" si="225"/>
        <v xml:space="preserve"> </v>
      </c>
      <c r="N346" t="str">
        <f t="shared" si="221"/>
        <v>FISPA</v>
      </c>
      <c r="O346" t="str">
        <f t="shared" si="222"/>
        <v>BULBOS</v>
      </c>
      <c r="P346" t="str">
        <f t="shared" si="251"/>
        <v>0</v>
      </c>
      <c r="Q346" t="str">
        <f t="shared" si="251"/>
        <v>0</v>
      </c>
      <c r="R346" t="str">
        <f t="shared" si="252"/>
        <v>0,00</v>
      </c>
      <c r="S346" t="str">
        <f t="shared" si="252"/>
        <v>0,00</v>
      </c>
      <c r="T346" t="str">
        <f t="shared" si="249"/>
        <v xml:space="preserve"> </v>
      </c>
      <c r="U346" t="str">
        <f t="shared" si="209"/>
        <v xml:space="preserve"> </v>
      </c>
      <c r="V346" t="str">
        <f t="shared" si="246"/>
        <v>0,000</v>
      </c>
      <c r="W346" t="str">
        <f t="shared" si="228"/>
        <v>Lista 4</v>
      </c>
      <c r="X346" t="str">
        <f t="shared" si="229"/>
        <v>Lista 5</v>
      </c>
      <c r="Y346" t="str">
        <f t="shared" si="230"/>
        <v>Oferta Gral.</v>
      </c>
      <c r="Z346" t="str">
        <f t="shared" si="231"/>
        <v>Rubro</v>
      </c>
      <c r="AA346" t="str">
        <f t="shared" si="232"/>
        <v>Cantidad por Bulto</v>
      </c>
      <c r="AB346" t="str">
        <f t="shared" si="233"/>
        <v>INNER</v>
      </c>
      <c r="AC346" t="str">
        <f t="shared" si="234"/>
        <v>Stock en Bultos</v>
      </c>
      <c r="AD346" t="str">
        <f t="shared" si="235"/>
        <v>SubDepósito</v>
      </c>
      <c r="AE346" t="str">
        <f t="shared" si="236"/>
        <v>Marca</v>
      </c>
      <c r="AF346" t="str">
        <f t="shared" si="237"/>
        <v>Super Rubro</v>
      </c>
      <c r="AG346" t="str">
        <f t="shared" si="238"/>
        <v>ComercioExterior</v>
      </c>
      <c r="AH346" t="str">
        <f t="shared" si="239"/>
        <v>PrecioFOB</v>
      </c>
      <c r="AI346" t="str">
        <f t="shared" si="240"/>
        <v>Monto II</v>
      </c>
      <c r="AJ346" t="str">
        <f t="shared" si="241"/>
        <v>Porcentaje II</v>
      </c>
      <c r="AK346" t="str">
        <f t="shared" si="242"/>
        <v>Foto</v>
      </c>
      <c r="AL346" t="str">
        <f>" "</f>
        <v xml:space="preserve"> </v>
      </c>
      <c r="AM346" t="str">
        <f t="shared" si="220"/>
        <v>-</v>
      </c>
    </row>
    <row r="347" spans="1:39" x14ac:dyDescent="0.25">
      <c r="A347" t="str">
        <f>"FI500"</f>
        <v>FI500</v>
      </c>
      <c r="B347" t="str">
        <f>"BULBO TEMP A.ROMEO/BMW/CITROEN/FIAT/JEEP/PEUGEOT/VW GOLF 1.8I"</f>
        <v>BULBO TEMP A.ROMEO/BMW/CITROEN/FIAT/JEEP/PEUGEOT/VW GOLF 1.8I</v>
      </c>
      <c r="C347" t="str">
        <f>"$ 6161,68"</f>
        <v>$ 6161,68</v>
      </c>
      <c r="D347" t="str">
        <f>"$ 6161,68"</f>
        <v>$ 6161,68</v>
      </c>
      <c r="E347" t="str">
        <f>"$ 6161,68"</f>
        <v>$ 6161,68</v>
      </c>
      <c r="F347" t="str">
        <f>"$ 6161,68"</f>
        <v>$ 6161,68</v>
      </c>
      <c r="G347" t="str">
        <f>"$ 6161,68"</f>
        <v>$ 6161,68</v>
      </c>
      <c r="H347" t="str">
        <f t="shared" si="223"/>
        <v>$ 0,00</v>
      </c>
      <c r="I347" t="str">
        <f t="shared" si="248"/>
        <v>BULBO DE TEMPERATURA</v>
      </c>
      <c r="J347" t="str">
        <f t="shared" si="224"/>
        <v>1</v>
      </c>
      <c r="K347" t="str">
        <f t="shared" si="250"/>
        <v>0</v>
      </c>
      <c r="L347" t="str">
        <f t="shared" si="245"/>
        <v>0,000</v>
      </c>
      <c r="M347" t="str">
        <f t="shared" si="225"/>
        <v xml:space="preserve"> </v>
      </c>
      <c r="N347" t="str">
        <f t="shared" si="221"/>
        <v>FISPA</v>
      </c>
      <c r="O347" t="str">
        <f t="shared" si="222"/>
        <v>BULBOS</v>
      </c>
      <c r="P347" t="str">
        <f t="shared" si="251"/>
        <v>0</v>
      </c>
      <c r="Q347" t="str">
        <f t="shared" si="251"/>
        <v>0</v>
      </c>
      <c r="R347" t="str">
        <f t="shared" si="252"/>
        <v>0,00</v>
      </c>
      <c r="S347" t="str">
        <f t="shared" si="252"/>
        <v>0,00</v>
      </c>
      <c r="T347" t="str">
        <f t="shared" si="249"/>
        <v xml:space="preserve"> </v>
      </c>
      <c r="U347" t="str">
        <f t="shared" si="209"/>
        <v xml:space="preserve"> </v>
      </c>
      <c r="V347" t="str">
        <f t="shared" si="246"/>
        <v>0,000</v>
      </c>
      <c r="W347" t="str">
        <f t="shared" si="228"/>
        <v>Lista 4</v>
      </c>
      <c r="X347" t="str">
        <f t="shared" si="229"/>
        <v>Lista 5</v>
      </c>
      <c r="Y347" t="str">
        <f t="shared" si="230"/>
        <v>Oferta Gral.</v>
      </c>
      <c r="Z347" t="str">
        <f t="shared" si="231"/>
        <v>Rubro</v>
      </c>
      <c r="AA347" t="str">
        <f t="shared" si="232"/>
        <v>Cantidad por Bulto</v>
      </c>
      <c r="AB347" t="str">
        <f t="shared" si="233"/>
        <v>INNER</v>
      </c>
      <c r="AC347" t="str">
        <f t="shared" si="234"/>
        <v>Stock en Bultos</v>
      </c>
      <c r="AD347" t="str">
        <f t="shared" si="235"/>
        <v>SubDepósito</v>
      </c>
      <c r="AE347" t="str">
        <f t="shared" si="236"/>
        <v>Marca</v>
      </c>
      <c r="AF347" t="str">
        <f t="shared" si="237"/>
        <v>Super Rubro</v>
      </c>
      <c r="AG347" t="str">
        <f t="shared" si="238"/>
        <v>ComercioExterior</v>
      </c>
      <c r="AH347" t="str">
        <f t="shared" si="239"/>
        <v>PrecioFOB</v>
      </c>
      <c r="AI347" t="str">
        <f t="shared" si="240"/>
        <v>Monto II</v>
      </c>
      <c r="AJ347" t="str">
        <f t="shared" si="241"/>
        <v>Porcentaje II</v>
      </c>
      <c r="AK347" t="str">
        <f t="shared" si="242"/>
        <v>Foto</v>
      </c>
      <c r="AL347" t="str">
        <f>" "</f>
        <v xml:space="preserve"> </v>
      </c>
      <c r="AM347" t="str">
        <f t="shared" si="220"/>
        <v>-</v>
      </c>
    </row>
    <row r="348" spans="1:39" x14ac:dyDescent="0.25">
      <c r="A348" t="str">
        <f>"FI562A"</f>
        <v>FI562A</v>
      </c>
      <c r="B348" t="str">
        <f>"BULBO TEMP ALFA 147 1.6 16V T.SPARK ECO - 147 1.9 JTDM 8V / 16V - IDEA 1.4 / 1.4 16V - PALIO 1.0I - 1.0I 16V"</f>
        <v>BULBO TEMP ALFA 147 1.6 16V T.SPARK ECO - 147 1.9 JTDM 8V / 16V - IDEA 1.4 / 1.4 16V - PALIO 1.0I - 1.0I 16V</v>
      </c>
      <c r="C348" t="str">
        <f>"$ 7949,75"</f>
        <v>$ 7949,75</v>
      </c>
      <c r="D348" t="str">
        <f>"$ 7949,75"</f>
        <v>$ 7949,75</v>
      </c>
      <c r="E348" t="str">
        <f>"$ 7949,75"</f>
        <v>$ 7949,75</v>
      </c>
      <c r="F348" t="str">
        <f>"$ 7949,75"</f>
        <v>$ 7949,75</v>
      </c>
      <c r="G348" t="str">
        <f>"$ 7949,75"</f>
        <v>$ 7949,75</v>
      </c>
      <c r="H348" t="str">
        <f t="shared" si="223"/>
        <v>$ 0,00</v>
      </c>
      <c r="I348" t="str">
        <f t="shared" si="248"/>
        <v>BULBO DE TEMPERATURA</v>
      </c>
      <c r="J348" t="str">
        <f t="shared" si="224"/>
        <v>1</v>
      </c>
      <c r="K348" t="str">
        <f t="shared" si="250"/>
        <v>0</v>
      </c>
      <c r="L348" t="str">
        <f t="shared" si="245"/>
        <v>0,000</v>
      </c>
      <c r="M348" t="str">
        <f t="shared" si="225"/>
        <v xml:space="preserve"> </v>
      </c>
      <c r="N348" t="str">
        <f t="shared" si="221"/>
        <v>FISPA</v>
      </c>
      <c r="O348" t="str">
        <f t="shared" si="222"/>
        <v>BULBOS</v>
      </c>
      <c r="P348" t="str">
        <f t="shared" si="251"/>
        <v>0</v>
      </c>
      <c r="Q348" t="str">
        <f t="shared" si="251"/>
        <v>0</v>
      </c>
      <c r="R348" t="str">
        <f t="shared" si="252"/>
        <v>0,00</v>
      </c>
      <c r="S348" t="str">
        <f t="shared" si="252"/>
        <v>0,00</v>
      </c>
      <c r="T348" t="str">
        <f t="shared" si="249"/>
        <v xml:space="preserve"> </v>
      </c>
      <c r="U348" t="str">
        <f t="shared" si="209"/>
        <v xml:space="preserve"> </v>
      </c>
      <c r="V348" t="str">
        <f t="shared" si="246"/>
        <v>0,000</v>
      </c>
      <c r="W348" t="str">
        <f t="shared" si="228"/>
        <v>Lista 4</v>
      </c>
      <c r="X348" t="str">
        <f t="shared" si="229"/>
        <v>Lista 5</v>
      </c>
      <c r="Y348" t="str">
        <f t="shared" si="230"/>
        <v>Oferta Gral.</v>
      </c>
      <c r="Z348" t="str">
        <f t="shared" si="231"/>
        <v>Rubro</v>
      </c>
      <c r="AA348" t="str">
        <f t="shared" si="232"/>
        <v>Cantidad por Bulto</v>
      </c>
      <c r="AB348" t="str">
        <f t="shared" si="233"/>
        <v>INNER</v>
      </c>
      <c r="AC348" t="str">
        <f t="shared" si="234"/>
        <v>Stock en Bultos</v>
      </c>
      <c r="AD348" t="str">
        <f t="shared" si="235"/>
        <v>SubDepósito</v>
      </c>
      <c r="AE348" t="str">
        <f t="shared" si="236"/>
        <v>Marca</v>
      </c>
      <c r="AF348" t="str">
        <f t="shared" si="237"/>
        <v>Super Rubro</v>
      </c>
      <c r="AG348" t="str">
        <f t="shared" si="238"/>
        <v>ComercioExterior</v>
      </c>
      <c r="AH348" t="str">
        <f t="shared" si="239"/>
        <v>PrecioFOB</v>
      </c>
      <c r="AI348" t="str">
        <f t="shared" si="240"/>
        <v>Monto II</v>
      </c>
      <c r="AJ348" t="str">
        <f t="shared" si="241"/>
        <v>Porcentaje II</v>
      </c>
      <c r="AK348" t="str">
        <f t="shared" si="242"/>
        <v>Foto</v>
      </c>
      <c r="AL34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48" t="str">
        <f t="shared" si="220"/>
        <v>-</v>
      </c>
    </row>
    <row r="349" spans="1:39" x14ac:dyDescent="0.25">
      <c r="A349" t="str">
        <f>"FI501"</f>
        <v>FI501</v>
      </c>
      <c r="B349" t="str">
        <f>"BULBO TEMP ALFA ROMEO 155 - 164 - GTV - FIAT UNO 1.6 R MPI -CORSA MPFI/KADETT/MONZA"</f>
        <v>BULBO TEMP ALFA ROMEO 155 - 164 - GTV - FIAT UNO 1.6 R MPI -CORSA MPFI/KADETT/MONZA</v>
      </c>
      <c r="C349" t="str">
        <f>"$ 5670,08"</f>
        <v>$ 5670,08</v>
      </c>
      <c r="D349" t="str">
        <f>"$ 5670,08"</f>
        <v>$ 5670,08</v>
      </c>
      <c r="E349" t="str">
        <f>"$ 5670,08"</f>
        <v>$ 5670,08</v>
      </c>
      <c r="F349" t="str">
        <f>"$ 5670,08"</f>
        <v>$ 5670,08</v>
      </c>
      <c r="G349" t="str">
        <f>"$ 5670,08"</f>
        <v>$ 5670,08</v>
      </c>
      <c r="H349" t="str">
        <f t="shared" si="223"/>
        <v>$ 0,00</v>
      </c>
      <c r="I349" t="str">
        <f t="shared" si="248"/>
        <v>BULBO DE TEMPERATURA</v>
      </c>
      <c r="J349" t="str">
        <f t="shared" si="224"/>
        <v>1</v>
      </c>
      <c r="K349" t="str">
        <f t="shared" si="250"/>
        <v>0</v>
      </c>
      <c r="L349" t="str">
        <f t="shared" si="245"/>
        <v>0,000</v>
      </c>
      <c r="M349" t="str">
        <f t="shared" si="225"/>
        <v xml:space="preserve"> </v>
      </c>
      <c r="N349" t="str">
        <f t="shared" si="221"/>
        <v>FISPA</v>
      </c>
      <c r="O349" t="str">
        <f t="shared" si="222"/>
        <v>BULBOS</v>
      </c>
      <c r="P349" t="str">
        <f t="shared" si="251"/>
        <v>0</v>
      </c>
      <c r="Q349" t="str">
        <f t="shared" si="251"/>
        <v>0</v>
      </c>
      <c r="R349" t="str">
        <f t="shared" si="252"/>
        <v>0,00</v>
      </c>
      <c r="S349" t="str">
        <f t="shared" si="252"/>
        <v>0,00</v>
      </c>
      <c r="T349" t="str">
        <f t="shared" si="249"/>
        <v xml:space="preserve"> </v>
      </c>
      <c r="U349" t="str">
        <f t="shared" ref="U349:U412" si="253">" "</f>
        <v xml:space="preserve"> </v>
      </c>
      <c r="V349" t="str">
        <f t="shared" si="246"/>
        <v>0,000</v>
      </c>
      <c r="W349" t="str">
        <f t="shared" si="228"/>
        <v>Lista 4</v>
      </c>
      <c r="X349" t="str">
        <f t="shared" si="229"/>
        <v>Lista 5</v>
      </c>
      <c r="Y349" t="str">
        <f t="shared" si="230"/>
        <v>Oferta Gral.</v>
      </c>
      <c r="Z349" t="str">
        <f t="shared" si="231"/>
        <v>Rubro</v>
      </c>
      <c r="AA349" t="str">
        <f t="shared" si="232"/>
        <v>Cantidad por Bulto</v>
      </c>
      <c r="AB349" t="str">
        <f t="shared" si="233"/>
        <v>INNER</v>
      </c>
      <c r="AC349" t="str">
        <f t="shared" si="234"/>
        <v>Stock en Bultos</v>
      </c>
      <c r="AD349" t="str">
        <f t="shared" si="235"/>
        <v>SubDepósito</v>
      </c>
      <c r="AE349" t="str">
        <f t="shared" si="236"/>
        <v>Marca</v>
      </c>
      <c r="AF349" t="str">
        <f t="shared" si="237"/>
        <v>Super Rubro</v>
      </c>
      <c r="AG349" t="str">
        <f t="shared" si="238"/>
        <v>ComercioExterior</v>
      </c>
      <c r="AH349" t="str">
        <f t="shared" si="239"/>
        <v>PrecioFOB</v>
      </c>
      <c r="AI349" t="str">
        <f t="shared" si="240"/>
        <v>Monto II</v>
      </c>
      <c r="AJ349" t="str">
        <f t="shared" si="241"/>
        <v>Porcentaje II</v>
      </c>
      <c r="AK349" t="str">
        <f t="shared" si="242"/>
        <v>Foto</v>
      </c>
      <c r="AL349" t="str">
        <f>" "</f>
        <v xml:space="preserve"> </v>
      </c>
      <c r="AM349" t="str">
        <f t="shared" si="220"/>
        <v>-</v>
      </c>
    </row>
    <row r="350" spans="1:39" x14ac:dyDescent="0.25">
      <c r="A350" t="str">
        <f>"FI563"</f>
        <v>FI563</v>
      </c>
      <c r="B350" t="str">
        <f>"BULBO TEMP AUDI A3 1.4TFSI/1.9TDI/2.0/TDI - A4 1.6/1.8T/2.0TDI/2.4/3.0 SEAT - IBIZA 1.4/1.6/1.8T/1.9SDI"</f>
        <v>BULBO TEMP AUDI A3 1.4TFSI/1.9TDI/2.0/TDI - A4 1.6/1.8T/2.0TDI/2.4/3.0 SEAT - IBIZA 1.4/1.6/1.8T/1.9SDI</v>
      </c>
      <c r="C350" t="str">
        <f>"$ 9820,79"</f>
        <v>$ 9820,79</v>
      </c>
      <c r="D350" t="str">
        <f>"$ 9820,79"</f>
        <v>$ 9820,79</v>
      </c>
      <c r="E350" t="str">
        <f>"$ 9820,79"</f>
        <v>$ 9820,79</v>
      </c>
      <c r="F350" t="str">
        <f>"$ 9820,79"</f>
        <v>$ 9820,79</v>
      </c>
      <c r="G350" t="str">
        <f>"$ 9820,79"</f>
        <v>$ 9820,79</v>
      </c>
      <c r="H350" t="str">
        <f t="shared" si="223"/>
        <v>$ 0,00</v>
      </c>
      <c r="I350" t="str">
        <f t="shared" si="248"/>
        <v>BULBO DE TEMPERATURA</v>
      </c>
      <c r="J350" t="str">
        <f t="shared" si="224"/>
        <v>1</v>
      </c>
      <c r="K350" t="str">
        <f t="shared" si="250"/>
        <v>0</v>
      </c>
      <c r="L350" t="str">
        <f>"49,000"</f>
        <v>49,000</v>
      </c>
      <c r="M350" t="str">
        <f t="shared" si="225"/>
        <v xml:space="preserve"> </v>
      </c>
      <c r="N350" t="str">
        <f t="shared" si="221"/>
        <v>FISPA</v>
      </c>
      <c r="O350" t="str">
        <f t="shared" si="222"/>
        <v>BULBOS</v>
      </c>
      <c r="P350" t="str">
        <f t="shared" si="251"/>
        <v>0</v>
      </c>
      <c r="Q350" t="str">
        <f t="shared" si="251"/>
        <v>0</v>
      </c>
      <c r="R350" t="str">
        <f t="shared" si="252"/>
        <v>0,00</v>
      </c>
      <c r="S350" t="str">
        <f t="shared" si="252"/>
        <v>0,00</v>
      </c>
      <c r="T350" t="str">
        <f t="shared" si="249"/>
        <v xml:space="preserve"> </v>
      </c>
      <c r="U350" t="str">
        <f t="shared" si="253"/>
        <v xml:space="preserve"> </v>
      </c>
      <c r="V350" t="str">
        <f>"49,000"</f>
        <v>49,000</v>
      </c>
      <c r="W350" t="str">
        <f t="shared" si="228"/>
        <v>Lista 4</v>
      </c>
      <c r="X350" t="str">
        <f t="shared" si="229"/>
        <v>Lista 5</v>
      </c>
      <c r="Y350" t="str">
        <f t="shared" si="230"/>
        <v>Oferta Gral.</v>
      </c>
      <c r="Z350" t="str">
        <f t="shared" si="231"/>
        <v>Rubro</v>
      </c>
      <c r="AA350" t="str">
        <f t="shared" si="232"/>
        <v>Cantidad por Bulto</v>
      </c>
      <c r="AB350" t="str">
        <f t="shared" si="233"/>
        <v>INNER</v>
      </c>
      <c r="AC350" t="str">
        <f t="shared" si="234"/>
        <v>Stock en Bultos</v>
      </c>
      <c r="AD350" t="str">
        <f t="shared" si="235"/>
        <v>SubDepósito</v>
      </c>
      <c r="AE350" t="str">
        <f t="shared" si="236"/>
        <v>Marca</v>
      </c>
      <c r="AF350" t="str">
        <f t="shared" si="237"/>
        <v>Super Rubro</v>
      </c>
      <c r="AG350" t="str">
        <f t="shared" si="238"/>
        <v>ComercioExterior</v>
      </c>
      <c r="AH350" t="str">
        <f t="shared" si="239"/>
        <v>PrecioFOB</v>
      </c>
      <c r="AI350" t="str">
        <f t="shared" si="240"/>
        <v>Monto II</v>
      </c>
      <c r="AJ350" t="str">
        <f t="shared" si="241"/>
        <v>Porcentaje II</v>
      </c>
      <c r="AK350" t="str">
        <f t="shared" si="242"/>
        <v>Foto</v>
      </c>
      <c r="AL35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0" t="str">
        <f t="shared" si="220"/>
        <v>-</v>
      </c>
    </row>
    <row r="351" spans="1:39" x14ac:dyDescent="0.25">
      <c r="A351" t="str">
        <f>"FI546"</f>
        <v>FI546</v>
      </c>
      <c r="B351" t="str">
        <f>"BULBO TEMP AUDI A3 1.8T/1.9TDI A4 1.8T/QUATTRO/1.9TDI"</f>
        <v>BULBO TEMP AUDI A3 1.8T/1.9TDI A4 1.8T/QUATTRO/1.9TDI</v>
      </c>
      <c r="C351" t="str">
        <f>"$ 10013,97"</f>
        <v>$ 10013,97</v>
      </c>
      <c r="D351" t="str">
        <f>"$ 10013,97"</f>
        <v>$ 10013,97</v>
      </c>
      <c r="E351" t="str">
        <f>"$ 10013,97"</f>
        <v>$ 10013,97</v>
      </c>
      <c r="F351" t="str">
        <f>"$ 10013,97"</f>
        <v>$ 10013,97</v>
      </c>
      <c r="G351" t="str">
        <f>"$ 10013,97"</f>
        <v>$ 10013,97</v>
      </c>
      <c r="H351" t="str">
        <f t="shared" si="223"/>
        <v>$ 0,00</v>
      </c>
      <c r="I351" t="str">
        <f t="shared" si="248"/>
        <v>BULBO DE TEMPERATURA</v>
      </c>
      <c r="J351" t="str">
        <f t="shared" si="224"/>
        <v>1</v>
      </c>
      <c r="K351" t="str">
        <f t="shared" si="250"/>
        <v>0</v>
      </c>
      <c r="L351" t="str">
        <f t="shared" ref="L351:L360" si="254">"0,000"</f>
        <v>0,000</v>
      </c>
      <c r="M351" t="str">
        <f t="shared" si="225"/>
        <v xml:space="preserve"> </v>
      </c>
      <c r="N351" t="str">
        <f t="shared" si="221"/>
        <v>FISPA</v>
      </c>
      <c r="O351" t="str">
        <f t="shared" si="222"/>
        <v>BULBOS</v>
      </c>
      <c r="P351" t="str">
        <f t="shared" si="251"/>
        <v>0</v>
      </c>
      <c r="Q351" t="str">
        <f t="shared" si="251"/>
        <v>0</v>
      </c>
      <c r="R351" t="str">
        <f t="shared" si="252"/>
        <v>0,00</v>
      </c>
      <c r="S351" t="str">
        <f t="shared" si="252"/>
        <v>0,00</v>
      </c>
      <c r="T351" t="str">
        <f t="shared" si="249"/>
        <v xml:space="preserve"> </v>
      </c>
      <c r="U351" t="str">
        <f t="shared" si="253"/>
        <v xml:space="preserve"> </v>
      </c>
      <c r="V351" t="str">
        <f t="shared" ref="V351:V360" si="255">"0,000"</f>
        <v>0,000</v>
      </c>
      <c r="W351" t="str">
        <f t="shared" si="228"/>
        <v>Lista 4</v>
      </c>
      <c r="X351" t="str">
        <f t="shared" si="229"/>
        <v>Lista 5</v>
      </c>
      <c r="Y351" t="str">
        <f t="shared" si="230"/>
        <v>Oferta Gral.</v>
      </c>
      <c r="Z351" t="str">
        <f t="shared" si="231"/>
        <v>Rubro</v>
      </c>
      <c r="AA351" t="str">
        <f t="shared" si="232"/>
        <v>Cantidad por Bulto</v>
      </c>
      <c r="AB351" t="str">
        <f t="shared" si="233"/>
        <v>INNER</v>
      </c>
      <c r="AC351" t="str">
        <f t="shared" si="234"/>
        <v>Stock en Bultos</v>
      </c>
      <c r="AD351" t="str">
        <f t="shared" si="235"/>
        <v>SubDepósito</v>
      </c>
      <c r="AE351" t="str">
        <f t="shared" si="236"/>
        <v>Marca</v>
      </c>
      <c r="AF351" t="str">
        <f t="shared" si="237"/>
        <v>Super Rubro</v>
      </c>
      <c r="AG351" t="str">
        <f t="shared" si="238"/>
        <v>ComercioExterior</v>
      </c>
      <c r="AH351" t="str">
        <f t="shared" si="239"/>
        <v>PrecioFOB</v>
      </c>
      <c r="AI351" t="str">
        <f t="shared" si="240"/>
        <v>Monto II</v>
      </c>
      <c r="AJ351" t="str">
        <f t="shared" si="241"/>
        <v>Porcentaje II</v>
      </c>
      <c r="AK351" t="str">
        <f t="shared" si="242"/>
        <v>Foto</v>
      </c>
      <c r="AL35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1" t="str">
        <f t="shared" si="220"/>
        <v>-</v>
      </c>
    </row>
    <row r="352" spans="1:39" x14ac:dyDescent="0.25">
      <c r="A352" t="str">
        <f>"FI545"</f>
        <v>FI545</v>
      </c>
      <c r="B352" t="str">
        <f>"BULBO TEMP AUDI A3 1.8T/QUATTRO/1.9TDI - A4 1.6/1.8"</f>
        <v>BULBO TEMP AUDI A3 1.8T/QUATTRO/1.9TDI - A4 1.6/1.8</v>
      </c>
      <c r="C352" t="str">
        <f>"$ 9538,47"</f>
        <v>$ 9538,47</v>
      </c>
      <c r="D352" t="str">
        <f>"$ 9538,47"</f>
        <v>$ 9538,47</v>
      </c>
      <c r="E352" t="str">
        <f>"$ 9538,47"</f>
        <v>$ 9538,47</v>
      </c>
      <c r="F352" t="str">
        <f>"$ 9538,47"</f>
        <v>$ 9538,47</v>
      </c>
      <c r="G352" t="str">
        <f>"$ 9538,47"</f>
        <v>$ 9538,47</v>
      </c>
      <c r="H352" t="str">
        <f t="shared" si="223"/>
        <v>$ 0,00</v>
      </c>
      <c r="I352" t="str">
        <f t="shared" si="248"/>
        <v>BULBO DE TEMPERATURA</v>
      </c>
      <c r="J352" t="str">
        <f t="shared" si="224"/>
        <v>1</v>
      </c>
      <c r="K352" t="str">
        <f t="shared" si="250"/>
        <v>0</v>
      </c>
      <c r="L352" t="str">
        <f t="shared" si="254"/>
        <v>0,000</v>
      </c>
      <c r="M352" t="str">
        <f t="shared" si="225"/>
        <v xml:space="preserve"> </v>
      </c>
      <c r="N352" t="str">
        <f t="shared" si="221"/>
        <v>FISPA</v>
      </c>
      <c r="O352" t="str">
        <f t="shared" si="222"/>
        <v>BULBOS</v>
      </c>
      <c r="P352" t="str">
        <f t="shared" si="251"/>
        <v>0</v>
      </c>
      <c r="Q352" t="str">
        <f t="shared" si="251"/>
        <v>0</v>
      </c>
      <c r="R352" t="str">
        <f t="shared" si="252"/>
        <v>0,00</v>
      </c>
      <c r="S352" t="str">
        <f t="shared" si="252"/>
        <v>0,00</v>
      </c>
      <c r="T352" t="str">
        <f t="shared" si="249"/>
        <v xml:space="preserve"> </v>
      </c>
      <c r="U352" t="str">
        <f t="shared" si="253"/>
        <v xml:space="preserve"> </v>
      </c>
      <c r="V352" t="str">
        <f t="shared" si="255"/>
        <v>0,000</v>
      </c>
      <c r="W352" t="str">
        <f t="shared" si="228"/>
        <v>Lista 4</v>
      </c>
      <c r="X352" t="str">
        <f t="shared" si="229"/>
        <v>Lista 5</v>
      </c>
      <c r="Y352" t="str">
        <f t="shared" si="230"/>
        <v>Oferta Gral.</v>
      </c>
      <c r="Z352" t="str">
        <f t="shared" si="231"/>
        <v>Rubro</v>
      </c>
      <c r="AA352" t="str">
        <f t="shared" si="232"/>
        <v>Cantidad por Bulto</v>
      </c>
      <c r="AB352" t="str">
        <f t="shared" si="233"/>
        <v>INNER</v>
      </c>
      <c r="AC352" t="str">
        <f t="shared" si="234"/>
        <v>Stock en Bultos</v>
      </c>
      <c r="AD352" t="str">
        <f t="shared" si="235"/>
        <v>SubDepósito</v>
      </c>
      <c r="AE352" t="str">
        <f t="shared" si="236"/>
        <v>Marca</v>
      </c>
      <c r="AF352" t="str">
        <f t="shared" si="237"/>
        <v>Super Rubro</v>
      </c>
      <c r="AG352" t="str">
        <f t="shared" si="238"/>
        <v>ComercioExterior</v>
      </c>
      <c r="AH352" t="str">
        <f t="shared" si="239"/>
        <v>PrecioFOB</v>
      </c>
      <c r="AI352" t="str">
        <f t="shared" si="240"/>
        <v>Monto II</v>
      </c>
      <c r="AJ352" t="str">
        <f t="shared" si="241"/>
        <v>Porcentaje II</v>
      </c>
      <c r="AK352" t="str">
        <f t="shared" si="242"/>
        <v>Foto</v>
      </c>
      <c r="AL35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2" t="str">
        <f t="shared" ref="AM352:AM383" si="256">"-"</f>
        <v>-</v>
      </c>
    </row>
    <row r="353" spans="1:39" x14ac:dyDescent="0.25">
      <c r="A353" t="str">
        <f>"FI547"</f>
        <v>FI547</v>
      </c>
      <c r="B353" t="str">
        <f>"BULBO TEMP AUDI A3 1.8T/QUATTRO/1.9TDI/QUATTRO/2.0TDI - A4 &amp; A6 1.6/1.8/1.8"</f>
        <v>BULBO TEMP AUDI A3 1.8T/QUATTRO/1.9TDI/QUATTRO/2.0TDI - A4 &amp; A6 1.6/1.8/1.8</v>
      </c>
      <c r="C353" t="str">
        <f>"$ 8976,29"</f>
        <v>$ 8976,29</v>
      </c>
      <c r="D353" t="str">
        <f>"$ 8976,29"</f>
        <v>$ 8976,29</v>
      </c>
      <c r="E353" t="str">
        <f>"$ 8976,29"</f>
        <v>$ 8976,29</v>
      </c>
      <c r="F353" t="str">
        <f>"$ 8976,29"</f>
        <v>$ 8976,29</v>
      </c>
      <c r="G353" t="str">
        <f>"$ 8976,29"</f>
        <v>$ 8976,29</v>
      </c>
      <c r="H353" t="str">
        <f t="shared" si="223"/>
        <v>$ 0,00</v>
      </c>
      <c r="I353" t="str">
        <f t="shared" si="248"/>
        <v>BULBO DE TEMPERATURA</v>
      </c>
      <c r="J353" t="str">
        <f t="shared" si="224"/>
        <v>1</v>
      </c>
      <c r="K353" t="str">
        <f t="shared" si="250"/>
        <v>0</v>
      </c>
      <c r="L353" t="str">
        <f t="shared" si="254"/>
        <v>0,000</v>
      </c>
      <c r="M353" t="str">
        <f t="shared" si="225"/>
        <v xml:space="preserve"> </v>
      </c>
      <c r="N353" t="str">
        <f t="shared" ref="N353:N384" si="257">"FISPA"</f>
        <v>FISPA</v>
      </c>
      <c r="O353" t="str">
        <f t="shared" ref="O353:O384" si="258">"BULBOS"</f>
        <v>BULBOS</v>
      </c>
      <c r="P353" t="str">
        <f t="shared" si="251"/>
        <v>0</v>
      </c>
      <c r="Q353" t="str">
        <f t="shared" si="251"/>
        <v>0</v>
      </c>
      <c r="R353" t="str">
        <f t="shared" si="252"/>
        <v>0,00</v>
      </c>
      <c r="S353" t="str">
        <f t="shared" si="252"/>
        <v>0,00</v>
      </c>
      <c r="T353" t="str">
        <f t="shared" si="249"/>
        <v xml:space="preserve"> </v>
      </c>
      <c r="U353" t="str">
        <f t="shared" si="253"/>
        <v xml:space="preserve"> </v>
      </c>
      <c r="V353" t="str">
        <f t="shared" si="255"/>
        <v>0,000</v>
      </c>
      <c r="W353" t="str">
        <f t="shared" si="228"/>
        <v>Lista 4</v>
      </c>
      <c r="X353" t="str">
        <f t="shared" si="229"/>
        <v>Lista 5</v>
      </c>
      <c r="Y353" t="str">
        <f t="shared" si="230"/>
        <v>Oferta Gral.</v>
      </c>
      <c r="Z353" t="str">
        <f t="shared" si="231"/>
        <v>Rubro</v>
      </c>
      <c r="AA353" t="str">
        <f t="shared" si="232"/>
        <v>Cantidad por Bulto</v>
      </c>
      <c r="AB353" t="str">
        <f t="shared" si="233"/>
        <v>INNER</v>
      </c>
      <c r="AC353" t="str">
        <f t="shared" si="234"/>
        <v>Stock en Bultos</v>
      </c>
      <c r="AD353" t="str">
        <f t="shared" si="235"/>
        <v>SubDepósito</v>
      </c>
      <c r="AE353" t="str">
        <f t="shared" si="236"/>
        <v>Marca</v>
      </c>
      <c r="AF353" t="str">
        <f t="shared" si="237"/>
        <v>Super Rubro</v>
      </c>
      <c r="AG353" t="str">
        <f t="shared" si="238"/>
        <v>ComercioExterior</v>
      </c>
      <c r="AH353" t="str">
        <f t="shared" si="239"/>
        <v>PrecioFOB</v>
      </c>
      <c r="AI353" t="str">
        <f t="shared" si="240"/>
        <v>Monto II</v>
      </c>
      <c r="AJ353" t="str">
        <f t="shared" si="241"/>
        <v>Porcentaje II</v>
      </c>
      <c r="AK353" t="str">
        <f t="shared" si="242"/>
        <v>Foto</v>
      </c>
      <c r="AL35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3" t="str">
        <f t="shared" si="256"/>
        <v>-</v>
      </c>
    </row>
    <row r="354" spans="1:39" x14ac:dyDescent="0.25">
      <c r="A354" t="str">
        <f>"FI502"</f>
        <v>FI502</v>
      </c>
      <c r="B354" t="str">
        <f>"BULBO TEMP AUDI A4 - A6 - SEAT IBIZA - TOLEDO - VW GOLF II 1.6 - PASSAT 1.8 - POINTER"</f>
        <v>BULBO TEMP AUDI A4 - A6 - SEAT IBIZA - TOLEDO - VW GOLF II 1.6 - PASSAT 1.8 - POINTER</v>
      </c>
      <c r="C354" t="str">
        <f>"$ 4865,20"</f>
        <v>$ 4865,20</v>
      </c>
      <c r="D354" t="str">
        <f>"$ 4865,20"</f>
        <v>$ 4865,20</v>
      </c>
      <c r="E354" t="str">
        <f>"$ 4865,20"</f>
        <v>$ 4865,20</v>
      </c>
      <c r="F354" t="str">
        <f>"$ 4865,20"</f>
        <v>$ 4865,20</v>
      </c>
      <c r="G354" t="str">
        <f>"$ 4865,20"</f>
        <v>$ 4865,20</v>
      </c>
      <c r="H354" t="str">
        <f t="shared" si="223"/>
        <v>$ 0,00</v>
      </c>
      <c r="I354" t="str">
        <f t="shared" si="248"/>
        <v>BULBO DE TEMPERATURA</v>
      </c>
      <c r="J354" t="str">
        <f t="shared" si="224"/>
        <v>1</v>
      </c>
      <c r="K354" t="str">
        <f t="shared" si="250"/>
        <v>0</v>
      </c>
      <c r="L354" t="str">
        <f t="shared" si="254"/>
        <v>0,000</v>
      </c>
      <c r="M354" t="str">
        <f t="shared" si="225"/>
        <v xml:space="preserve"> </v>
      </c>
      <c r="N354" t="str">
        <f t="shared" si="257"/>
        <v>FISPA</v>
      </c>
      <c r="O354" t="str">
        <f t="shared" si="258"/>
        <v>BULBOS</v>
      </c>
      <c r="P354" t="str">
        <f t="shared" si="251"/>
        <v>0</v>
      </c>
      <c r="Q354" t="str">
        <f t="shared" si="251"/>
        <v>0</v>
      </c>
      <c r="R354" t="str">
        <f t="shared" si="252"/>
        <v>0,00</v>
      </c>
      <c r="S354" t="str">
        <f t="shared" si="252"/>
        <v>0,00</v>
      </c>
      <c r="T354" t="str">
        <f t="shared" si="249"/>
        <v xml:space="preserve"> </v>
      </c>
      <c r="U354" t="str">
        <f t="shared" si="253"/>
        <v xml:space="preserve"> </v>
      </c>
      <c r="V354" t="str">
        <f t="shared" si="255"/>
        <v>0,000</v>
      </c>
      <c r="W354" t="str">
        <f t="shared" si="228"/>
        <v>Lista 4</v>
      </c>
      <c r="X354" t="str">
        <f t="shared" si="229"/>
        <v>Lista 5</v>
      </c>
      <c r="Y354" t="str">
        <f t="shared" si="230"/>
        <v>Oferta Gral.</v>
      </c>
      <c r="Z354" t="str">
        <f t="shared" si="231"/>
        <v>Rubro</v>
      </c>
      <c r="AA354" t="str">
        <f t="shared" si="232"/>
        <v>Cantidad por Bulto</v>
      </c>
      <c r="AB354" t="str">
        <f t="shared" si="233"/>
        <v>INNER</v>
      </c>
      <c r="AC354" t="str">
        <f t="shared" si="234"/>
        <v>Stock en Bultos</v>
      </c>
      <c r="AD354" t="str">
        <f t="shared" si="235"/>
        <v>SubDepósito</v>
      </c>
      <c r="AE354" t="str">
        <f t="shared" si="236"/>
        <v>Marca</v>
      </c>
      <c r="AF354" t="str">
        <f t="shared" si="237"/>
        <v>Super Rubro</v>
      </c>
      <c r="AG354" t="str">
        <f t="shared" si="238"/>
        <v>ComercioExterior</v>
      </c>
      <c r="AH354" t="str">
        <f t="shared" si="239"/>
        <v>PrecioFOB</v>
      </c>
      <c r="AI354" t="str">
        <f t="shared" si="240"/>
        <v>Monto II</v>
      </c>
      <c r="AJ354" t="str">
        <f t="shared" si="241"/>
        <v>Porcentaje II</v>
      </c>
      <c r="AK354" t="str">
        <f t="shared" si="242"/>
        <v>Foto</v>
      </c>
      <c r="AL354" t="str">
        <f>" "</f>
        <v xml:space="preserve"> </v>
      </c>
      <c r="AM354" t="str">
        <f t="shared" si="256"/>
        <v>-</v>
      </c>
    </row>
    <row r="355" spans="1:39" x14ac:dyDescent="0.25">
      <c r="A355" t="str">
        <f>"FI544"</f>
        <v>FI544</v>
      </c>
      <c r="B355" t="str">
        <f>"BULBO TEMP AUDI A4 1.8/QUATTRO/1.9TDI/2.8 - A6 2.6/2.8 - VOLKSWAGEN AISLANTE NEGRO"</f>
        <v>BULBO TEMP AUDI A4 1.8/QUATTRO/1.9TDI/2.8 - A6 2.6/2.8 - VOLKSWAGEN AISLANTE NEGRO</v>
      </c>
      <c r="C355" t="str">
        <f>"$ 12029,88"</f>
        <v>$ 12029,88</v>
      </c>
      <c r="D355" t="str">
        <f>"$ 12029,88"</f>
        <v>$ 12029,88</v>
      </c>
      <c r="E355" t="str">
        <f>"$ 12029,88"</f>
        <v>$ 12029,88</v>
      </c>
      <c r="F355" t="str">
        <f>"$ 12029,88"</f>
        <v>$ 12029,88</v>
      </c>
      <c r="G355" t="str">
        <f>"$ 12029,88"</f>
        <v>$ 12029,88</v>
      </c>
      <c r="H355" t="str">
        <f t="shared" si="223"/>
        <v>$ 0,00</v>
      </c>
      <c r="I355" t="str">
        <f t="shared" si="248"/>
        <v>BULBO DE TEMPERATURA</v>
      </c>
      <c r="J355" t="str">
        <f t="shared" si="224"/>
        <v>1</v>
      </c>
      <c r="K355" t="str">
        <f t="shared" si="250"/>
        <v>0</v>
      </c>
      <c r="L355" t="str">
        <f t="shared" si="254"/>
        <v>0,000</v>
      </c>
      <c r="M355" t="str">
        <f t="shared" si="225"/>
        <v xml:space="preserve"> </v>
      </c>
      <c r="N355" t="str">
        <f t="shared" si="257"/>
        <v>FISPA</v>
      </c>
      <c r="O355" t="str">
        <f t="shared" si="258"/>
        <v>BULBOS</v>
      </c>
      <c r="P355" t="str">
        <f t="shared" si="251"/>
        <v>0</v>
      </c>
      <c r="Q355" t="str">
        <f t="shared" si="251"/>
        <v>0</v>
      </c>
      <c r="R355" t="str">
        <f t="shared" si="252"/>
        <v>0,00</v>
      </c>
      <c r="S355" t="str">
        <f t="shared" si="252"/>
        <v>0,00</v>
      </c>
      <c r="T355" t="str">
        <f t="shared" si="249"/>
        <v xml:space="preserve"> </v>
      </c>
      <c r="U355" t="str">
        <f t="shared" si="253"/>
        <v xml:space="preserve"> </v>
      </c>
      <c r="V355" t="str">
        <f t="shared" si="255"/>
        <v>0,000</v>
      </c>
      <c r="W355" t="str">
        <f t="shared" si="228"/>
        <v>Lista 4</v>
      </c>
      <c r="X355" t="str">
        <f t="shared" si="229"/>
        <v>Lista 5</v>
      </c>
      <c r="Y355" t="str">
        <f t="shared" si="230"/>
        <v>Oferta Gral.</v>
      </c>
      <c r="Z355" t="str">
        <f t="shared" si="231"/>
        <v>Rubro</v>
      </c>
      <c r="AA355" t="str">
        <f t="shared" si="232"/>
        <v>Cantidad por Bulto</v>
      </c>
      <c r="AB355" t="str">
        <f t="shared" si="233"/>
        <v>INNER</v>
      </c>
      <c r="AC355" t="str">
        <f t="shared" si="234"/>
        <v>Stock en Bultos</v>
      </c>
      <c r="AD355" t="str">
        <f t="shared" si="235"/>
        <v>SubDepósito</v>
      </c>
      <c r="AE355" t="str">
        <f t="shared" si="236"/>
        <v>Marca</v>
      </c>
      <c r="AF355" t="str">
        <f t="shared" si="237"/>
        <v>Super Rubro</v>
      </c>
      <c r="AG355" t="str">
        <f t="shared" si="238"/>
        <v>ComercioExterior</v>
      </c>
      <c r="AH355" t="str">
        <f t="shared" si="239"/>
        <v>PrecioFOB</v>
      </c>
      <c r="AI355" t="str">
        <f t="shared" si="240"/>
        <v>Monto II</v>
      </c>
      <c r="AJ355" t="str">
        <f t="shared" si="241"/>
        <v>Porcentaje II</v>
      </c>
      <c r="AK355" t="str">
        <f t="shared" si="242"/>
        <v>Foto</v>
      </c>
      <c r="AL355" t="str">
        <f>" "</f>
        <v xml:space="preserve"> </v>
      </c>
      <c r="AM355" t="str">
        <f t="shared" si="256"/>
        <v>-</v>
      </c>
    </row>
    <row r="356" spans="1:39" x14ac:dyDescent="0.25">
      <c r="A356" t="str">
        <f>"FI510"</f>
        <v>FI510</v>
      </c>
      <c r="B356" t="str">
        <f>"BULBO TEMP AUDI A6 2.5TDI -VW - BMW 530 - 730 - 740 - 850 - FORD ESCORT IV 1.6 - VW GOLF III 2.0GTI"</f>
        <v>BULBO TEMP AUDI A6 2.5TDI -VW - BMW 530 - 730 - 740 - 850 - FORD ESCORT IV 1.6 - VW GOLF III 2.0GTI</v>
      </c>
      <c r="C356" t="str">
        <f>"$ 6779,58"</f>
        <v>$ 6779,58</v>
      </c>
      <c r="D356" t="str">
        <f>"$ 6779,58"</f>
        <v>$ 6779,58</v>
      </c>
      <c r="E356" t="str">
        <f>"$ 6779,58"</f>
        <v>$ 6779,58</v>
      </c>
      <c r="F356" t="str">
        <f>"$ 6779,58"</f>
        <v>$ 6779,58</v>
      </c>
      <c r="G356" t="str">
        <f>"$ 6779,58"</f>
        <v>$ 6779,58</v>
      </c>
      <c r="H356" t="str">
        <f t="shared" si="223"/>
        <v>$ 0,00</v>
      </c>
      <c r="I356" t="str">
        <f t="shared" si="248"/>
        <v>BULBO DE TEMPERATURA</v>
      </c>
      <c r="J356" t="str">
        <f t="shared" si="224"/>
        <v>1</v>
      </c>
      <c r="K356" t="str">
        <f t="shared" si="250"/>
        <v>0</v>
      </c>
      <c r="L356" t="str">
        <f t="shared" si="254"/>
        <v>0,000</v>
      </c>
      <c r="M356" t="str">
        <f t="shared" si="225"/>
        <v xml:space="preserve"> </v>
      </c>
      <c r="N356" t="str">
        <f t="shared" si="257"/>
        <v>FISPA</v>
      </c>
      <c r="O356" t="str">
        <f t="shared" si="258"/>
        <v>BULBOS</v>
      </c>
      <c r="P356" t="str">
        <f t="shared" si="251"/>
        <v>0</v>
      </c>
      <c r="Q356" t="str">
        <f t="shared" si="251"/>
        <v>0</v>
      </c>
      <c r="R356" t="str">
        <f t="shared" si="252"/>
        <v>0,00</v>
      </c>
      <c r="S356" t="str">
        <f t="shared" si="252"/>
        <v>0,00</v>
      </c>
      <c r="T356" t="str">
        <f t="shared" si="249"/>
        <v xml:space="preserve"> </v>
      </c>
      <c r="U356" t="str">
        <f t="shared" si="253"/>
        <v xml:space="preserve"> </v>
      </c>
      <c r="V356" t="str">
        <f t="shared" si="255"/>
        <v>0,000</v>
      </c>
      <c r="W356" t="str">
        <f t="shared" si="228"/>
        <v>Lista 4</v>
      </c>
      <c r="X356" t="str">
        <f t="shared" si="229"/>
        <v>Lista 5</v>
      </c>
      <c r="Y356" t="str">
        <f t="shared" si="230"/>
        <v>Oferta Gral.</v>
      </c>
      <c r="Z356" t="str">
        <f t="shared" si="231"/>
        <v>Rubro</v>
      </c>
      <c r="AA356" t="str">
        <f t="shared" si="232"/>
        <v>Cantidad por Bulto</v>
      </c>
      <c r="AB356" t="str">
        <f t="shared" si="233"/>
        <v>INNER</v>
      </c>
      <c r="AC356" t="str">
        <f t="shared" si="234"/>
        <v>Stock en Bultos</v>
      </c>
      <c r="AD356" t="str">
        <f t="shared" si="235"/>
        <v>SubDepósito</v>
      </c>
      <c r="AE356" t="str">
        <f t="shared" si="236"/>
        <v>Marca</v>
      </c>
      <c r="AF356" t="str">
        <f t="shared" si="237"/>
        <v>Super Rubro</v>
      </c>
      <c r="AG356" t="str">
        <f t="shared" si="238"/>
        <v>ComercioExterior</v>
      </c>
      <c r="AH356" t="str">
        <f t="shared" si="239"/>
        <v>PrecioFOB</v>
      </c>
      <c r="AI356" t="str">
        <f t="shared" si="240"/>
        <v>Monto II</v>
      </c>
      <c r="AJ356" t="str">
        <f t="shared" si="241"/>
        <v>Porcentaje II</v>
      </c>
      <c r="AK356" t="str">
        <f t="shared" si="242"/>
        <v>Foto</v>
      </c>
      <c r="AL35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6" t="str">
        <f t="shared" si="256"/>
        <v>-</v>
      </c>
    </row>
    <row r="357" spans="1:39" x14ac:dyDescent="0.25">
      <c r="A357" t="str">
        <f>"FI565"</f>
        <v>FI565</v>
      </c>
      <c r="B357" t="str">
        <f>"BULBO TEMP CHEVROLET  CORSA A 1.4I - VECTRA A 2.0I  FIAT BRAVO 1.4 - FIORINO 1.4/1.5/1.6 - MAREA 2.0"</f>
        <v>BULBO TEMP CHEVROLET  CORSA A 1.4I - VECTRA A 2.0I  FIAT BRAVO 1.4 - FIORINO 1.4/1.5/1.6 - MAREA 2.0</v>
      </c>
      <c r="C357" t="str">
        <f>"$ 5569,78"</f>
        <v>$ 5569,78</v>
      </c>
      <c r="D357" t="str">
        <f>"$ 5569,78"</f>
        <v>$ 5569,78</v>
      </c>
      <c r="E357" t="str">
        <f>"$ 5569,78"</f>
        <v>$ 5569,78</v>
      </c>
      <c r="F357" t="str">
        <f>"$ 5569,78"</f>
        <v>$ 5569,78</v>
      </c>
      <c r="G357" t="str">
        <f>"$ 5569,78"</f>
        <v>$ 5569,78</v>
      </c>
      <c r="H357" t="str">
        <f t="shared" si="223"/>
        <v>$ 0,00</v>
      </c>
      <c r="I357" t="str">
        <f t="shared" si="248"/>
        <v>BULBO DE TEMPERATURA</v>
      </c>
      <c r="J357" t="str">
        <f t="shared" si="224"/>
        <v>1</v>
      </c>
      <c r="K357" t="str">
        <f t="shared" si="250"/>
        <v>0</v>
      </c>
      <c r="L357" t="str">
        <f t="shared" si="254"/>
        <v>0,000</v>
      </c>
      <c r="M357" t="str">
        <f t="shared" si="225"/>
        <v xml:space="preserve"> </v>
      </c>
      <c r="N357" t="str">
        <f t="shared" si="257"/>
        <v>FISPA</v>
      </c>
      <c r="O357" t="str">
        <f t="shared" si="258"/>
        <v>BULBOS</v>
      </c>
      <c r="P357" t="str">
        <f t="shared" si="251"/>
        <v>0</v>
      </c>
      <c r="Q357" t="str">
        <f t="shared" si="251"/>
        <v>0</v>
      </c>
      <c r="R357" t="str">
        <f t="shared" si="252"/>
        <v>0,00</v>
      </c>
      <c r="S357" t="str">
        <f t="shared" si="252"/>
        <v>0,00</v>
      </c>
      <c r="T357" t="str">
        <f t="shared" si="249"/>
        <v xml:space="preserve"> </v>
      </c>
      <c r="U357" t="str">
        <f t="shared" si="253"/>
        <v xml:space="preserve"> </v>
      </c>
      <c r="V357" t="str">
        <f t="shared" si="255"/>
        <v>0,000</v>
      </c>
      <c r="W357" t="str">
        <f t="shared" si="228"/>
        <v>Lista 4</v>
      </c>
      <c r="X357" t="str">
        <f t="shared" si="229"/>
        <v>Lista 5</v>
      </c>
      <c r="Y357" t="str">
        <f t="shared" si="230"/>
        <v>Oferta Gral.</v>
      </c>
      <c r="Z357" t="str">
        <f t="shared" si="231"/>
        <v>Rubro</v>
      </c>
      <c r="AA357" t="str">
        <f t="shared" si="232"/>
        <v>Cantidad por Bulto</v>
      </c>
      <c r="AB357" t="str">
        <f t="shared" si="233"/>
        <v>INNER</v>
      </c>
      <c r="AC357" t="str">
        <f t="shared" si="234"/>
        <v>Stock en Bultos</v>
      </c>
      <c r="AD357" t="str">
        <f t="shared" si="235"/>
        <v>SubDepósito</v>
      </c>
      <c r="AE357" t="str">
        <f t="shared" si="236"/>
        <v>Marca</v>
      </c>
      <c r="AF357" t="str">
        <f t="shared" si="237"/>
        <v>Super Rubro</v>
      </c>
      <c r="AG357" t="str">
        <f t="shared" si="238"/>
        <v>ComercioExterior</v>
      </c>
      <c r="AH357" t="str">
        <f t="shared" si="239"/>
        <v>PrecioFOB</v>
      </c>
      <c r="AI357" t="str">
        <f t="shared" si="240"/>
        <v>Monto II</v>
      </c>
      <c r="AJ357" t="str">
        <f t="shared" si="241"/>
        <v>Porcentaje II</v>
      </c>
      <c r="AK357" t="str">
        <f t="shared" si="242"/>
        <v>Foto</v>
      </c>
      <c r="AL35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7" t="str">
        <f t="shared" si="256"/>
        <v>-</v>
      </c>
    </row>
    <row r="358" spans="1:39" x14ac:dyDescent="0.25">
      <c r="A358" t="str">
        <f>"FI582"</f>
        <v>FI582</v>
      </c>
      <c r="B358" t="str">
        <f>"BULBO TEMP CHEVROLET CORSA A 1.4I - VECTRA A 2.0I / TD"</f>
        <v>BULBO TEMP CHEVROLET CORSA A 1.4I - VECTRA A 2.0I / TD</v>
      </c>
      <c r="C358" t="str">
        <f>"$ 4208,91"</f>
        <v>$ 4208,91</v>
      </c>
      <c r="D358" t="str">
        <f>"$ 4208,91"</f>
        <v>$ 4208,91</v>
      </c>
      <c r="E358" t="str">
        <f>"$ 4208,91"</f>
        <v>$ 4208,91</v>
      </c>
      <c r="F358" t="str">
        <f>"$ 4208,91"</f>
        <v>$ 4208,91</v>
      </c>
      <c r="G358" t="str">
        <f>"$ 4208,91"</f>
        <v>$ 4208,91</v>
      </c>
      <c r="H358" t="str">
        <f t="shared" si="223"/>
        <v>$ 0,00</v>
      </c>
      <c r="I358" t="str">
        <f t="shared" si="248"/>
        <v>BULBO DE TEMPERATURA</v>
      </c>
      <c r="J358" t="str">
        <f t="shared" si="224"/>
        <v>1</v>
      </c>
      <c r="K358" t="str">
        <f t="shared" si="250"/>
        <v>0</v>
      </c>
      <c r="L358" t="str">
        <f t="shared" si="254"/>
        <v>0,000</v>
      </c>
      <c r="M358" t="str">
        <f t="shared" si="225"/>
        <v xml:space="preserve"> </v>
      </c>
      <c r="N358" t="str">
        <f t="shared" si="257"/>
        <v>FISPA</v>
      </c>
      <c r="O358" t="str">
        <f t="shared" si="258"/>
        <v>BULBOS</v>
      </c>
      <c r="P358" t="str">
        <f t="shared" si="251"/>
        <v>0</v>
      </c>
      <c r="Q358" t="str">
        <f t="shared" si="251"/>
        <v>0</v>
      </c>
      <c r="R358" t="str">
        <f t="shared" si="252"/>
        <v>0,00</v>
      </c>
      <c r="S358" t="str">
        <f t="shared" si="252"/>
        <v>0,00</v>
      </c>
      <c r="T358" t="str">
        <f t="shared" si="249"/>
        <v xml:space="preserve"> </v>
      </c>
      <c r="U358" t="str">
        <f t="shared" si="253"/>
        <v xml:space="preserve"> </v>
      </c>
      <c r="V358" t="str">
        <f t="shared" si="255"/>
        <v>0,000</v>
      </c>
      <c r="W358" t="str">
        <f t="shared" si="228"/>
        <v>Lista 4</v>
      </c>
      <c r="X358" t="str">
        <f t="shared" si="229"/>
        <v>Lista 5</v>
      </c>
      <c r="Y358" t="str">
        <f t="shared" si="230"/>
        <v>Oferta Gral.</v>
      </c>
      <c r="Z358" t="str">
        <f t="shared" si="231"/>
        <v>Rubro</v>
      </c>
      <c r="AA358" t="str">
        <f t="shared" si="232"/>
        <v>Cantidad por Bulto</v>
      </c>
      <c r="AB358" t="str">
        <f t="shared" si="233"/>
        <v>INNER</v>
      </c>
      <c r="AC358" t="str">
        <f t="shared" si="234"/>
        <v>Stock en Bultos</v>
      </c>
      <c r="AD358" t="str">
        <f t="shared" si="235"/>
        <v>SubDepósito</v>
      </c>
      <c r="AE358" t="str">
        <f t="shared" si="236"/>
        <v>Marca</v>
      </c>
      <c r="AF358" t="str">
        <f t="shared" si="237"/>
        <v>Super Rubro</v>
      </c>
      <c r="AG358" t="str">
        <f t="shared" si="238"/>
        <v>ComercioExterior</v>
      </c>
      <c r="AH358" t="str">
        <f t="shared" si="239"/>
        <v>PrecioFOB</v>
      </c>
      <c r="AI358" t="str">
        <f t="shared" si="240"/>
        <v>Monto II</v>
      </c>
      <c r="AJ358" t="str">
        <f t="shared" si="241"/>
        <v>Porcentaje II</v>
      </c>
      <c r="AK358" t="str">
        <f t="shared" si="242"/>
        <v>Foto</v>
      </c>
      <c r="AL358" t="str">
        <f>" "</f>
        <v xml:space="preserve"> </v>
      </c>
      <c r="AM358" t="str">
        <f t="shared" si="256"/>
        <v>-</v>
      </c>
    </row>
    <row r="359" spans="1:39" x14ac:dyDescent="0.25">
      <c r="A359" t="str">
        <f>"FI507"</f>
        <v>FI507</v>
      </c>
      <c r="B359" t="str">
        <f>"BULBO TEMP CITROEN AX 1.4 - ZX 1.4/1.6/1.8/1.9 - BERLINGO 1.4/1.8/D/1.9D - JUMPER 2.0 -"</f>
        <v>BULBO TEMP CITROEN AX 1.4 - ZX 1.4/1.6/1.8/1.9 - BERLINGO 1.4/1.8/D/1.9D - JUMPER 2.0 -</v>
      </c>
      <c r="C359" t="str">
        <f>"$ 6385,81"</f>
        <v>$ 6385,81</v>
      </c>
      <c r="D359" t="str">
        <f>"$ 6385,81"</f>
        <v>$ 6385,81</v>
      </c>
      <c r="E359" t="str">
        <f>"$ 6385,81"</f>
        <v>$ 6385,81</v>
      </c>
      <c r="F359" t="str">
        <f>"$ 6385,81"</f>
        <v>$ 6385,81</v>
      </c>
      <c r="G359" t="str">
        <f>"$ 6385,81"</f>
        <v>$ 6385,81</v>
      </c>
      <c r="H359" t="str">
        <f t="shared" si="223"/>
        <v>$ 0,00</v>
      </c>
      <c r="I359" t="str">
        <f t="shared" si="248"/>
        <v>BULBO DE TEMPERATURA</v>
      </c>
      <c r="J359" t="str">
        <f t="shared" si="224"/>
        <v>1</v>
      </c>
      <c r="K359" t="str">
        <f t="shared" si="250"/>
        <v>0</v>
      </c>
      <c r="L359" t="str">
        <f t="shared" si="254"/>
        <v>0,000</v>
      </c>
      <c r="M359" t="str">
        <f t="shared" si="225"/>
        <v xml:space="preserve"> </v>
      </c>
      <c r="N359" t="str">
        <f t="shared" si="257"/>
        <v>FISPA</v>
      </c>
      <c r="O359" t="str">
        <f t="shared" si="258"/>
        <v>BULBOS</v>
      </c>
      <c r="P359" t="str">
        <f t="shared" si="251"/>
        <v>0</v>
      </c>
      <c r="Q359" t="str">
        <f t="shared" si="251"/>
        <v>0</v>
      </c>
      <c r="R359" t="str">
        <f t="shared" si="252"/>
        <v>0,00</v>
      </c>
      <c r="S359" t="str">
        <f t="shared" si="252"/>
        <v>0,00</v>
      </c>
      <c r="T359" t="str">
        <f t="shared" si="249"/>
        <v xml:space="preserve"> </v>
      </c>
      <c r="U359" t="str">
        <f t="shared" si="253"/>
        <v xml:space="preserve"> </v>
      </c>
      <c r="V359" t="str">
        <f t="shared" si="255"/>
        <v>0,000</v>
      </c>
      <c r="W359" t="str">
        <f t="shared" si="228"/>
        <v>Lista 4</v>
      </c>
      <c r="X359" t="str">
        <f t="shared" si="229"/>
        <v>Lista 5</v>
      </c>
      <c r="Y359" t="str">
        <f t="shared" si="230"/>
        <v>Oferta Gral.</v>
      </c>
      <c r="Z359" t="str">
        <f t="shared" si="231"/>
        <v>Rubro</v>
      </c>
      <c r="AA359" t="str">
        <f t="shared" si="232"/>
        <v>Cantidad por Bulto</v>
      </c>
      <c r="AB359" t="str">
        <f t="shared" si="233"/>
        <v>INNER</v>
      </c>
      <c r="AC359" t="str">
        <f t="shared" si="234"/>
        <v>Stock en Bultos</v>
      </c>
      <c r="AD359" t="str">
        <f t="shared" si="235"/>
        <v>SubDepósito</v>
      </c>
      <c r="AE359" t="str">
        <f t="shared" si="236"/>
        <v>Marca</v>
      </c>
      <c r="AF359" t="str">
        <f t="shared" si="237"/>
        <v>Super Rubro</v>
      </c>
      <c r="AG359" t="str">
        <f t="shared" si="238"/>
        <v>ComercioExterior</v>
      </c>
      <c r="AH359" t="str">
        <f t="shared" si="239"/>
        <v>PrecioFOB</v>
      </c>
      <c r="AI359" t="str">
        <f t="shared" si="240"/>
        <v>Monto II</v>
      </c>
      <c r="AJ359" t="str">
        <f t="shared" si="241"/>
        <v>Porcentaje II</v>
      </c>
      <c r="AK359" t="str">
        <f t="shared" si="242"/>
        <v>Foto</v>
      </c>
      <c r="AL359" t="str">
        <f t="shared" ref="AL359:AL366" si="259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9" t="str">
        <f t="shared" si="256"/>
        <v>-</v>
      </c>
    </row>
    <row r="360" spans="1:39" x14ac:dyDescent="0.25">
      <c r="A360" t="str">
        <f>"FI557"</f>
        <v>FI557</v>
      </c>
      <c r="B360" t="str">
        <f>"BULBO TEMP CITROEN BERLINGO 1.4/1.6 - C3/C4 .16 -P206/306/307 1.4/1.6 - 118°C"</f>
        <v>BULBO TEMP CITROEN BERLINGO 1.4/1.6 - C3/C4 .16 -P206/306/307 1.4/1.6 - 118°C</v>
      </c>
      <c r="C360" t="str">
        <f>"$ 11007,07"</f>
        <v>$ 11007,07</v>
      </c>
      <c r="D360" t="str">
        <f>"$ 11007,07"</f>
        <v>$ 11007,07</v>
      </c>
      <c r="E360" t="str">
        <f>"$ 11007,07"</f>
        <v>$ 11007,07</v>
      </c>
      <c r="F360" t="str">
        <f>"$ 11007,07"</f>
        <v>$ 11007,07</v>
      </c>
      <c r="G360" t="str">
        <f>"$ 11007,07"</f>
        <v>$ 11007,07</v>
      </c>
      <c r="H360" t="str">
        <f t="shared" si="223"/>
        <v>$ 0,00</v>
      </c>
      <c r="I360" t="str">
        <f t="shared" si="248"/>
        <v>BULBO DE TEMPERATURA</v>
      </c>
      <c r="J360" t="str">
        <f t="shared" si="224"/>
        <v>1</v>
      </c>
      <c r="K360" t="str">
        <f t="shared" si="250"/>
        <v>0</v>
      </c>
      <c r="L360" t="str">
        <f t="shared" si="254"/>
        <v>0,000</v>
      </c>
      <c r="M360" t="str">
        <f t="shared" si="225"/>
        <v xml:space="preserve"> </v>
      </c>
      <c r="N360" t="str">
        <f t="shared" si="257"/>
        <v>FISPA</v>
      </c>
      <c r="O360" t="str">
        <f t="shared" si="258"/>
        <v>BULBOS</v>
      </c>
      <c r="P360" t="str">
        <f t="shared" si="251"/>
        <v>0</v>
      </c>
      <c r="Q360" t="str">
        <f t="shared" si="251"/>
        <v>0</v>
      </c>
      <c r="R360" t="str">
        <f t="shared" si="252"/>
        <v>0,00</v>
      </c>
      <c r="S360" t="str">
        <f t="shared" si="252"/>
        <v>0,00</v>
      </c>
      <c r="T360" t="str">
        <f t="shared" si="249"/>
        <v xml:space="preserve"> </v>
      </c>
      <c r="U360" t="str">
        <f t="shared" si="253"/>
        <v xml:space="preserve"> </v>
      </c>
      <c r="V360" t="str">
        <f t="shared" si="255"/>
        <v>0,000</v>
      </c>
      <c r="W360" t="str">
        <f t="shared" si="228"/>
        <v>Lista 4</v>
      </c>
      <c r="X360" t="str">
        <f t="shared" si="229"/>
        <v>Lista 5</v>
      </c>
      <c r="Y360" t="str">
        <f t="shared" si="230"/>
        <v>Oferta Gral.</v>
      </c>
      <c r="Z360" t="str">
        <f t="shared" si="231"/>
        <v>Rubro</v>
      </c>
      <c r="AA360" t="str">
        <f t="shared" si="232"/>
        <v>Cantidad por Bulto</v>
      </c>
      <c r="AB360" t="str">
        <f t="shared" si="233"/>
        <v>INNER</v>
      </c>
      <c r="AC360" t="str">
        <f t="shared" si="234"/>
        <v>Stock en Bultos</v>
      </c>
      <c r="AD360" t="str">
        <f t="shared" si="235"/>
        <v>SubDepósito</v>
      </c>
      <c r="AE360" t="str">
        <f t="shared" si="236"/>
        <v>Marca</v>
      </c>
      <c r="AF360" t="str">
        <f t="shared" si="237"/>
        <v>Super Rubro</v>
      </c>
      <c r="AG360" t="str">
        <f t="shared" si="238"/>
        <v>ComercioExterior</v>
      </c>
      <c r="AH360" t="str">
        <f t="shared" si="239"/>
        <v>PrecioFOB</v>
      </c>
      <c r="AI360" t="str">
        <f t="shared" si="240"/>
        <v>Monto II</v>
      </c>
      <c r="AJ360" t="str">
        <f t="shared" si="241"/>
        <v>Porcentaje II</v>
      </c>
      <c r="AK360" t="str">
        <f t="shared" si="242"/>
        <v>Foto</v>
      </c>
      <c r="AL360" t="str">
        <f t="shared" si="259"/>
        <v xml:space="preserve">{\rtf1\ansi\deff0{\fonttbl{\f0\fnil\fcharset0 MS Sans Serif}} \viewkind4\uc1\pard\lang11274\f0\fs16\par } </v>
      </c>
      <c r="AM360" t="str">
        <f t="shared" si="256"/>
        <v>-</v>
      </c>
    </row>
    <row r="361" spans="1:39" x14ac:dyDescent="0.25">
      <c r="A361" t="str">
        <f>"FI564"</f>
        <v>FI564</v>
      </c>
      <c r="B361" t="str">
        <f>"BULBO TEMP CITROEN BERLINGO 1.6/1.6 16V P206 1.4 16V / 1.6 16V 307 1.4 16V / 1.6 16V - PARTNER 1.6"</f>
        <v>BULBO TEMP CITROEN BERLINGO 1.6/1.6 16V P206 1.4 16V / 1.6 16V 307 1.4 16V / 1.6 16V - PARTNER 1.6</v>
      </c>
      <c r="C361" t="str">
        <f>"$ 9001,05"</f>
        <v>$ 9001,05</v>
      </c>
      <c r="D361" t="str">
        <f>"$ 9001,05"</f>
        <v>$ 9001,05</v>
      </c>
      <c r="E361" t="str">
        <f>"$ 9001,05"</f>
        <v>$ 9001,05</v>
      </c>
      <c r="F361" t="str">
        <f>"$ 9001,05"</f>
        <v>$ 9001,05</v>
      </c>
      <c r="G361" t="str">
        <f>"$ 9001,05"</f>
        <v>$ 9001,05</v>
      </c>
      <c r="H361" t="str">
        <f t="shared" si="223"/>
        <v>$ 0,00</v>
      </c>
      <c r="I361" t="str">
        <f t="shared" si="248"/>
        <v>BULBO DE TEMPERATURA</v>
      </c>
      <c r="J361" t="str">
        <f t="shared" si="224"/>
        <v>1</v>
      </c>
      <c r="K361" t="str">
        <f t="shared" si="250"/>
        <v>0</v>
      </c>
      <c r="L361" t="str">
        <f>"6,000"</f>
        <v>6,000</v>
      </c>
      <c r="M361" t="str">
        <f t="shared" si="225"/>
        <v xml:space="preserve"> </v>
      </c>
      <c r="N361" t="str">
        <f t="shared" si="257"/>
        <v>FISPA</v>
      </c>
      <c r="O361" t="str">
        <f t="shared" si="258"/>
        <v>BULBOS</v>
      </c>
      <c r="P361" t="str">
        <f t="shared" si="251"/>
        <v>0</v>
      </c>
      <c r="Q361" t="str">
        <f t="shared" si="251"/>
        <v>0</v>
      </c>
      <c r="R361" t="str">
        <f t="shared" si="252"/>
        <v>0,00</v>
      </c>
      <c r="S361" t="str">
        <f t="shared" si="252"/>
        <v>0,00</v>
      </c>
      <c r="T361" t="str">
        <f t="shared" si="249"/>
        <v xml:space="preserve"> </v>
      </c>
      <c r="U361" t="str">
        <f t="shared" si="253"/>
        <v xml:space="preserve"> </v>
      </c>
      <c r="V361" t="str">
        <f>"6,000"</f>
        <v>6,000</v>
      </c>
      <c r="W361" t="str">
        <f t="shared" si="228"/>
        <v>Lista 4</v>
      </c>
      <c r="X361" t="str">
        <f t="shared" si="229"/>
        <v>Lista 5</v>
      </c>
      <c r="Y361" t="str">
        <f t="shared" si="230"/>
        <v>Oferta Gral.</v>
      </c>
      <c r="Z361" t="str">
        <f t="shared" si="231"/>
        <v>Rubro</v>
      </c>
      <c r="AA361" t="str">
        <f t="shared" si="232"/>
        <v>Cantidad por Bulto</v>
      </c>
      <c r="AB361" t="str">
        <f t="shared" si="233"/>
        <v>INNER</v>
      </c>
      <c r="AC361" t="str">
        <f t="shared" si="234"/>
        <v>Stock en Bultos</v>
      </c>
      <c r="AD361" t="str">
        <f t="shared" si="235"/>
        <v>SubDepósito</v>
      </c>
      <c r="AE361" t="str">
        <f t="shared" si="236"/>
        <v>Marca</v>
      </c>
      <c r="AF361" t="str">
        <f t="shared" si="237"/>
        <v>Super Rubro</v>
      </c>
      <c r="AG361" t="str">
        <f t="shared" si="238"/>
        <v>ComercioExterior</v>
      </c>
      <c r="AH361" t="str">
        <f t="shared" si="239"/>
        <v>PrecioFOB</v>
      </c>
      <c r="AI361" t="str">
        <f t="shared" si="240"/>
        <v>Monto II</v>
      </c>
      <c r="AJ361" t="str">
        <f t="shared" si="241"/>
        <v>Porcentaje II</v>
      </c>
      <c r="AK361" t="str">
        <f t="shared" si="242"/>
        <v>Foto</v>
      </c>
      <c r="AL361" t="str">
        <f t="shared" si="259"/>
        <v xml:space="preserve">{\rtf1\ansi\deff0{\fonttbl{\f0\fnil\fcharset0 MS Sans Serif}} \viewkind4\uc1\pard\lang11274\f0\fs16\par } </v>
      </c>
      <c r="AM361" t="str">
        <f t="shared" si="256"/>
        <v>-</v>
      </c>
    </row>
    <row r="362" spans="1:39" x14ac:dyDescent="0.25">
      <c r="A362" t="str">
        <f>"FI576"</f>
        <v>FI576</v>
      </c>
      <c r="B362" t="str">
        <f>"BULBO TEMP CITROËN BERLINGO - JUMPY - XSARA - PEUGEOT 206 - 306 PARTNER TODOS 1.9 D"</f>
        <v>BULBO TEMP CITROËN BERLINGO - JUMPY - XSARA - PEUGEOT 206 - 306 PARTNER TODOS 1.9 D</v>
      </c>
      <c r="C362" t="str">
        <f>"$ 13504,68"</f>
        <v>$ 13504,68</v>
      </c>
      <c r="D362" t="str">
        <f>"$ 13504,68"</f>
        <v>$ 13504,68</v>
      </c>
      <c r="E362" t="str">
        <f>"$ 13504,68"</f>
        <v>$ 13504,68</v>
      </c>
      <c r="F362" t="str">
        <f>"$ 13504,68"</f>
        <v>$ 13504,68</v>
      </c>
      <c r="G362" t="str">
        <f>"$ 13504,68"</f>
        <v>$ 13504,68</v>
      </c>
      <c r="H362" t="str">
        <f t="shared" si="223"/>
        <v>$ 0,00</v>
      </c>
      <c r="I362" t="str">
        <f t="shared" si="248"/>
        <v>BULBO DE TEMPERATURA</v>
      </c>
      <c r="J362" t="str">
        <f t="shared" si="224"/>
        <v>1</v>
      </c>
      <c r="K362" t="str">
        <f t="shared" si="250"/>
        <v>0</v>
      </c>
      <c r="L362" t="str">
        <f>"10,000"</f>
        <v>10,000</v>
      </c>
      <c r="M362" t="str">
        <f t="shared" si="225"/>
        <v xml:space="preserve"> </v>
      </c>
      <c r="N362" t="str">
        <f t="shared" si="257"/>
        <v>FISPA</v>
      </c>
      <c r="O362" t="str">
        <f t="shared" si="258"/>
        <v>BULBOS</v>
      </c>
      <c r="P362" t="str">
        <f t="shared" si="251"/>
        <v>0</v>
      </c>
      <c r="Q362" t="str">
        <f t="shared" si="251"/>
        <v>0</v>
      </c>
      <c r="R362" t="str">
        <f t="shared" si="252"/>
        <v>0,00</v>
      </c>
      <c r="S362" t="str">
        <f t="shared" si="252"/>
        <v>0,00</v>
      </c>
      <c r="T362" t="str">
        <f t="shared" si="249"/>
        <v xml:space="preserve"> </v>
      </c>
      <c r="U362" t="str">
        <f t="shared" si="253"/>
        <v xml:space="preserve"> </v>
      </c>
      <c r="V362" t="str">
        <f>"10,000"</f>
        <v>10,000</v>
      </c>
      <c r="W362" t="str">
        <f t="shared" si="228"/>
        <v>Lista 4</v>
      </c>
      <c r="X362" t="str">
        <f t="shared" si="229"/>
        <v>Lista 5</v>
      </c>
      <c r="Y362" t="str">
        <f t="shared" si="230"/>
        <v>Oferta Gral.</v>
      </c>
      <c r="Z362" t="str">
        <f t="shared" si="231"/>
        <v>Rubro</v>
      </c>
      <c r="AA362" t="str">
        <f t="shared" si="232"/>
        <v>Cantidad por Bulto</v>
      </c>
      <c r="AB362" t="str">
        <f t="shared" si="233"/>
        <v>INNER</v>
      </c>
      <c r="AC362" t="str">
        <f t="shared" si="234"/>
        <v>Stock en Bultos</v>
      </c>
      <c r="AD362" t="str">
        <f t="shared" si="235"/>
        <v>SubDepósito</v>
      </c>
      <c r="AE362" t="str">
        <f t="shared" si="236"/>
        <v>Marca</v>
      </c>
      <c r="AF362" t="str">
        <f t="shared" si="237"/>
        <v>Super Rubro</v>
      </c>
      <c r="AG362" t="str">
        <f t="shared" si="238"/>
        <v>ComercioExterior</v>
      </c>
      <c r="AH362" t="str">
        <f t="shared" si="239"/>
        <v>PrecioFOB</v>
      </c>
      <c r="AI362" t="str">
        <f t="shared" si="240"/>
        <v>Monto II</v>
      </c>
      <c r="AJ362" t="str">
        <f t="shared" si="241"/>
        <v>Porcentaje II</v>
      </c>
      <c r="AK362" t="str">
        <f t="shared" si="242"/>
        <v>Foto</v>
      </c>
      <c r="AL362" t="str">
        <f t="shared" si="259"/>
        <v xml:space="preserve">{\rtf1\ansi\deff0{\fonttbl{\f0\fnil\fcharset0 MS Sans Serif}} \viewkind4\uc1\pard\lang11274\f0\fs16\par } </v>
      </c>
      <c r="AM362" t="str">
        <f t="shared" si="256"/>
        <v>-</v>
      </c>
    </row>
    <row r="363" spans="1:39" x14ac:dyDescent="0.25">
      <c r="A363" t="str">
        <f>"FI534"</f>
        <v>FI534</v>
      </c>
      <c r="B363" t="str">
        <f>"BULBO TEMP CITRÖEN AX 1.5D - JUMPER 2.5D/XSARA 1.5D - P106 I &amp; II 1.5D - BOXER 2.5D - 35ºC"</f>
        <v>BULBO TEMP CITRÖEN AX 1.5D - JUMPER 2.5D/XSARA 1.5D - P106 I &amp; II 1.5D - BOXER 2.5D - 35ºC</v>
      </c>
      <c r="C363" t="str">
        <f>"$ 13883,59"</f>
        <v>$ 13883,59</v>
      </c>
      <c r="D363" t="str">
        <f>"$ 13883,59"</f>
        <v>$ 13883,59</v>
      </c>
      <c r="E363" t="str">
        <f>"$ 13883,59"</f>
        <v>$ 13883,59</v>
      </c>
      <c r="F363" t="str">
        <f>"$ 13883,59"</f>
        <v>$ 13883,59</v>
      </c>
      <c r="G363" t="str">
        <f>"$ 13883,59"</f>
        <v>$ 13883,59</v>
      </c>
      <c r="H363" t="str">
        <f t="shared" si="223"/>
        <v>$ 0,00</v>
      </c>
      <c r="I363" t="str">
        <f t="shared" si="248"/>
        <v>BULBO DE TEMPERATURA</v>
      </c>
      <c r="J363" t="str">
        <f t="shared" si="224"/>
        <v>1</v>
      </c>
      <c r="K363" t="str">
        <f t="shared" si="250"/>
        <v>0</v>
      </c>
      <c r="L363" t="str">
        <f>"0,000"</f>
        <v>0,000</v>
      </c>
      <c r="M363" t="str">
        <f t="shared" si="225"/>
        <v xml:space="preserve"> </v>
      </c>
      <c r="N363" t="str">
        <f t="shared" si="257"/>
        <v>FISPA</v>
      </c>
      <c r="O363" t="str">
        <f t="shared" si="258"/>
        <v>BULBOS</v>
      </c>
      <c r="P363" t="str">
        <f t="shared" ref="P363:Q382" si="260">"0"</f>
        <v>0</v>
      </c>
      <c r="Q363" t="str">
        <f t="shared" si="260"/>
        <v>0</v>
      </c>
      <c r="R363" t="str">
        <f t="shared" ref="R363:S382" si="261">"0,00"</f>
        <v>0,00</v>
      </c>
      <c r="S363" t="str">
        <f t="shared" si="261"/>
        <v>0,00</v>
      </c>
      <c r="T363" t="str">
        <f t="shared" si="249"/>
        <v xml:space="preserve"> </v>
      </c>
      <c r="U363" t="str">
        <f t="shared" si="253"/>
        <v xml:space="preserve"> </v>
      </c>
      <c r="V363" t="str">
        <f>"0,000"</f>
        <v>0,000</v>
      </c>
      <c r="W363" t="str">
        <f t="shared" si="228"/>
        <v>Lista 4</v>
      </c>
      <c r="X363" t="str">
        <f t="shared" si="229"/>
        <v>Lista 5</v>
      </c>
      <c r="Y363" t="str">
        <f t="shared" si="230"/>
        <v>Oferta Gral.</v>
      </c>
      <c r="Z363" t="str">
        <f t="shared" si="231"/>
        <v>Rubro</v>
      </c>
      <c r="AA363" t="str">
        <f t="shared" si="232"/>
        <v>Cantidad por Bulto</v>
      </c>
      <c r="AB363" t="str">
        <f t="shared" si="233"/>
        <v>INNER</v>
      </c>
      <c r="AC363" t="str">
        <f t="shared" si="234"/>
        <v>Stock en Bultos</v>
      </c>
      <c r="AD363" t="str">
        <f t="shared" si="235"/>
        <v>SubDepósito</v>
      </c>
      <c r="AE363" t="str">
        <f t="shared" si="236"/>
        <v>Marca</v>
      </c>
      <c r="AF363" t="str">
        <f t="shared" si="237"/>
        <v>Super Rubro</v>
      </c>
      <c r="AG363" t="str">
        <f t="shared" si="238"/>
        <v>ComercioExterior</v>
      </c>
      <c r="AH363" t="str">
        <f t="shared" si="239"/>
        <v>PrecioFOB</v>
      </c>
      <c r="AI363" t="str">
        <f t="shared" si="240"/>
        <v>Monto II</v>
      </c>
      <c r="AJ363" t="str">
        <f t="shared" si="241"/>
        <v>Porcentaje II</v>
      </c>
      <c r="AK363" t="str">
        <f t="shared" si="242"/>
        <v>Foto</v>
      </c>
      <c r="AL363" t="str">
        <f t="shared" si="259"/>
        <v xml:space="preserve">{\rtf1\ansi\deff0{\fonttbl{\f0\fnil\fcharset0 MS Sans Serif}} \viewkind4\uc1\pard\lang11274\f0\fs16\par } </v>
      </c>
      <c r="AM363" t="str">
        <f t="shared" si="256"/>
        <v>-</v>
      </c>
    </row>
    <row r="364" spans="1:39" x14ac:dyDescent="0.25">
      <c r="A364" t="str">
        <f>"FI549"</f>
        <v>FI549</v>
      </c>
      <c r="B364" t="str">
        <f>"BULBO TEMP CITRÖEN BERLINGO 1.4 - C3 1.4/HDI/1.6  PEUGEOT 106 II 1.1I/1.4I/1.6 - 206 1.4/1.6 "</f>
        <v xml:space="preserve">BULBO TEMP CITRÖEN BERLINGO 1.4 - C3 1.4/HDI/1.6  PEUGEOT 106 II 1.1I/1.4I/1.6 - 206 1.4/1.6 </v>
      </c>
      <c r="C364" t="str">
        <f>"$ 6342,47"</f>
        <v>$ 6342,47</v>
      </c>
      <c r="D364" t="str">
        <f>"$ 6342,47"</f>
        <v>$ 6342,47</v>
      </c>
      <c r="E364" t="str">
        <f>"$ 6342,47"</f>
        <v>$ 6342,47</v>
      </c>
      <c r="F364" t="str">
        <f>"$ 6342,47"</f>
        <v>$ 6342,47</v>
      </c>
      <c r="G364" t="str">
        <f>"$ 6342,47"</f>
        <v>$ 6342,47</v>
      </c>
      <c r="H364" t="str">
        <f t="shared" si="223"/>
        <v>$ 0,00</v>
      </c>
      <c r="I364" t="str">
        <f t="shared" si="248"/>
        <v>BULBO DE TEMPERATURA</v>
      </c>
      <c r="J364" t="str">
        <f t="shared" si="224"/>
        <v>1</v>
      </c>
      <c r="K364" t="str">
        <f t="shared" si="250"/>
        <v>0</v>
      </c>
      <c r="L364" t="str">
        <f>"5,000"</f>
        <v>5,000</v>
      </c>
      <c r="M364" t="str">
        <f t="shared" si="225"/>
        <v xml:space="preserve"> </v>
      </c>
      <c r="N364" t="str">
        <f t="shared" si="257"/>
        <v>FISPA</v>
      </c>
      <c r="O364" t="str">
        <f t="shared" si="258"/>
        <v>BULBOS</v>
      </c>
      <c r="P364" t="str">
        <f t="shared" si="260"/>
        <v>0</v>
      </c>
      <c r="Q364" t="str">
        <f t="shared" si="260"/>
        <v>0</v>
      </c>
      <c r="R364" t="str">
        <f t="shared" si="261"/>
        <v>0,00</v>
      </c>
      <c r="S364" t="str">
        <f t="shared" si="261"/>
        <v>0,00</v>
      </c>
      <c r="T364" t="str">
        <f t="shared" si="249"/>
        <v xml:space="preserve"> </v>
      </c>
      <c r="U364" t="str">
        <f t="shared" si="253"/>
        <v xml:space="preserve"> </v>
      </c>
      <c r="V364" t="str">
        <f>"5,000"</f>
        <v>5,000</v>
      </c>
      <c r="W364" t="str">
        <f t="shared" si="228"/>
        <v>Lista 4</v>
      </c>
      <c r="X364" t="str">
        <f t="shared" si="229"/>
        <v>Lista 5</v>
      </c>
      <c r="Y364" t="str">
        <f t="shared" si="230"/>
        <v>Oferta Gral.</v>
      </c>
      <c r="Z364" t="str">
        <f t="shared" si="231"/>
        <v>Rubro</v>
      </c>
      <c r="AA364" t="str">
        <f t="shared" si="232"/>
        <v>Cantidad por Bulto</v>
      </c>
      <c r="AB364" t="str">
        <f t="shared" si="233"/>
        <v>INNER</v>
      </c>
      <c r="AC364" t="str">
        <f t="shared" si="234"/>
        <v>Stock en Bultos</v>
      </c>
      <c r="AD364" t="str">
        <f t="shared" si="235"/>
        <v>SubDepósito</v>
      </c>
      <c r="AE364" t="str">
        <f t="shared" si="236"/>
        <v>Marca</v>
      </c>
      <c r="AF364" t="str">
        <f t="shared" si="237"/>
        <v>Super Rubro</v>
      </c>
      <c r="AG364" t="str">
        <f t="shared" si="238"/>
        <v>ComercioExterior</v>
      </c>
      <c r="AH364" t="str">
        <f t="shared" si="239"/>
        <v>PrecioFOB</v>
      </c>
      <c r="AI364" t="str">
        <f t="shared" si="240"/>
        <v>Monto II</v>
      </c>
      <c r="AJ364" t="str">
        <f t="shared" si="241"/>
        <v>Porcentaje II</v>
      </c>
      <c r="AK364" t="str">
        <f t="shared" si="242"/>
        <v>Foto</v>
      </c>
      <c r="AL364" t="str">
        <f t="shared" si="259"/>
        <v xml:space="preserve">{\rtf1\ansi\deff0{\fonttbl{\f0\fnil\fcharset0 MS Sans Serif}} \viewkind4\uc1\pard\lang11274\f0\fs16\par } </v>
      </c>
      <c r="AM364" t="str">
        <f t="shared" si="256"/>
        <v>-</v>
      </c>
    </row>
    <row r="365" spans="1:39" x14ac:dyDescent="0.25">
      <c r="A365" t="str">
        <f>"FI550"</f>
        <v>FI550</v>
      </c>
      <c r="B365" t="str">
        <f>"BULBO TEMP CITRÖEN BERLINGO 1.4/1.6/1.9D - C3 1.4/1.6 - C4 1.6 P206 1.6/1.9D/2.0"</f>
        <v>BULBO TEMP CITRÖEN BERLINGO 1.4/1.6/1.9D - C3 1.4/1.6 - C4 1.6 P206 1.6/1.9D/2.0</v>
      </c>
      <c r="C365" t="str">
        <f>"$ 6305,32"</f>
        <v>$ 6305,32</v>
      </c>
      <c r="D365" t="str">
        <f>"$ 6305,32"</f>
        <v>$ 6305,32</v>
      </c>
      <c r="E365" t="str">
        <f>"$ 6305,32"</f>
        <v>$ 6305,32</v>
      </c>
      <c r="F365" t="str">
        <f>"$ 6305,32"</f>
        <v>$ 6305,32</v>
      </c>
      <c r="G365" t="str">
        <f>"$ 6305,32"</f>
        <v>$ 6305,32</v>
      </c>
      <c r="H365" t="str">
        <f t="shared" si="223"/>
        <v>$ 0,00</v>
      </c>
      <c r="I365" t="str">
        <f t="shared" si="248"/>
        <v>BULBO DE TEMPERATURA</v>
      </c>
      <c r="J365" t="str">
        <f t="shared" si="224"/>
        <v>1</v>
      </c>
      <c r="K365" t="str">
        <f t="shared" si="250"/>
        <v>0</v>
      </c>
      <c r="L365" t="str">
        <f>"32,000"</f>
        <v>32,000</v>
      </c>
      <c r="M365" t="str">
        <f t="shared" si="225"/>
        <v xml:space="preserve"> </v>
      </c>
      <c r="N365" t="str">
        <f t="shared" si="257"/>
        <v>FISPA</v>
      </c>
      <c r="O365" t="str">
        <f t="shared" si="258"/>
        <v>BULBOS</v>
      </c>
      <c r="P365" t="str">
        <f t="shared" si="260"/>
        <v>0</v>
      </c>
      <c r="Q365" t="str">
        <f t="shared" si="260"/>
        <v>0</v>
      </c>
      <c r="R365" t="str">
        <f t="shared" si="261"/>
        <v>0,00</v>
      </c>
      <c r="S365" t="str">
        <f t="shared" si="261"/>
        <v>0,00</v>
      </c>
      <c r="T365" t="str">
        <f t="shared" si="249"/>
        <v xml:space="preserve"> </v>
      </c>
      <c r="U365" t="str">
        <f t="shared" si="253"/>
        <v xml:space="preserve"> </v>
      </c>
      <c r="V365" t="str">
        <f>"32,000"</f>
        <v>32,000</v>
      </c>
      <c r="W365" t="str">
        <f t="shared" si="228"/>
        <v>Lista 4</v>
      </c>
      <c r="X365" t="str">
        <f t="shared" si="229"/>
        <v>Lista 5</v>
      </c>
      <c r="Y365" t="str">
        <f t="shared" si="230"/>
        <v>Oferta Gral.</v>
      </c>
      <c r="Z365" t="str">
        <f t="shared" si="231"/>
        <v>Rubro</v>
      </c>
      <c r="AA365" t="str">
        <f t="shared" si="232"/>
        <v>Cantidad por Bulto</v>
      </c>
      <c r="AB365" t="str">
        <f t="shared" si="233"/>
        <v>INNER</v>
      </c>
      <c r="AC365" t="str">
        <f t="shared" si="234"/>
        <v>Stock en Bultos</v>
      </c>
      <c r="AD365" t="str">
        <f t="shared" si="235"/>
        <v>SubDepósito</v>
      </c>
      <c r="AE365" t="str">
        <f t="shared" si="236"/>
        <v>Marca</v>
      </c>
      <c r="AF365" t="str">
        <f t="shared" si="237"/>
        <v>Super Rubro</v>
      </c>
      <c r="AG365" t="str">
        <f t="shared" si="238"/>
        <v>ComercioExterior</v>
      </c>
      <c r="AH365" t="str">
        <f t="shared" si="239"/>
        <v>PrecioFOB</v>
      </c>
      <c r="AI365" t="str">
        <f t="shared" si="240"/>
        <v>Monto II</v>
      </c>
      <c r="AJ365" t="str">
        <f t="shared" si="241"/>
        <v>Porcentaje II</v>
      </c>
      <c r="AK365" t="str">
        <f t="shared" si="242"/>
        <v>Foto</v>
      </c>
      <c r="AL365" t="str">
        <f t="shared" si="259"/>
        <v xml:space="preserve">{\rtf1\ansi\deff0{\fonttbl{\f0\fnil\fcharset0 MS Sans Serif}} \viewkind4\uc1\pard\lang11274\f0\fs16\par } </v>
      </c>
      <c r="AM365" t="str">
        <f t="shared" si="256"/>
        <v>-</v>
      </c>
    </row>
    <row r="366" spans="1:39" x14ac:dyDescent="0.25">
      <c r="A366" t="str">
        <f>"FI542"</f>
        <v>FI542</v>
      </c>
      <c r="B366" t="str">
        <f>"BULBO TEMP CITRÖEN BERLINGO 1.4/1.8I PEUGEOT 206 1.4 - 306 1.4/1.6 - PARTNER 1.4I - 117ºC"</f>
        <v>BULBO TEMP CITRÖEN BERLINGO 1.4/1.8I PEUGEOT 206 1.4 - 306 1.4/1.6 - PARTNER 1.4I - 117ºC</v>
      </c>
      <c r="C366" t="str">
        <f>"$ 14663,70"</f>
        <v>$ 14663,70</v>
      </c>
      <c r="D366" t="str">
        <f>"$ 14663,70"</f>
        <v>$ 14663,70</v>
      </c>
      <c r="E366" t="str">
        <f>"$ 14663,70"</f>
        <v>$ 14663,70</v>
      </c>
      <c r="F366" t="str">
        <f>"$ 14663,70"</f>
        <v>$ 14663,70</v>
      </c>
      <c r="G366" t="str">
        <f>"$ 14663,70"</f>
        <v>$ 14663,70</v>
      </c>
      <c r="H366" t="str">
        <f t="shared" si="223"/>
        <v>$ 0,00</v>
      </c>
      <c r="I366" t="str">
        <f t="shared" si="248"/>
        <v>BULBO DE TEMPERATURA</v>
      </c>
      <c r="J366" t="str">
        <f t="shared" si="224"/>
        <v>1</v>
      </c>
      <c r="K366" t="str">
        <f t="shared" si="250"/>
        <v>0</v>
      </c>
      <c r="L366" t="str">
        <f>"0,000"</f>
        <v>0,000</v>
      </c>
      <c r="M366" t="str">
        <f t="shared" si="225"/>
        <v xml:space="preserve"> </v>
      </c>
      <c r="N366" t="str">
        <f t="shared" si="257"/>
        <v>FISPA</v>
      </c>
      <c r="O366" t="str">
        <f t="shared" si="258"/>
        <v>BULBOS</v>
      </c>
      <c r="P366" t="str">
        <f t="shared" si="260"/>
        <v>0</v>
      </c>
      <c r="Q366" t="str">
        <f t="shared" si="260"/>
        <v>0</v>
      </c>
      <c r="R366" t="str">
        <f t="shared" si="261"/>
        <v>0,00</v>
      </c>
      <c r="S366" t="str">
        <f t="shared" si="261"/>
        <v>0,00</v>
      </c>
      <c r="T366" t="str">
        <f t="shared" si="249"/>
        <v xml:space="preserve"> </v>
      </c>
      <c r="U366" t="str">
        <f t="shared" si="253"/>
        <v xml:space="preserve"> </v>
      </c>
      <c r="V366" t="str">
        <f>"0,000"</f>
        <v>0,000</v>
      </c>
      <c r="W366" t="str">
        <f t="shared" si="228"/>
        <v>Lista 4</v>
      </c>
      <c r="X366" t="str">
        <f t="shared" si="229"/>
        <v>Lista 5</v>
      </c>
      <c r="Y366" t="str">
        <f t="shared" si="230"/>
        <v>Oferta Gral.</v>
      </c>
      <c r="Z366" t="str">
        <f t="shared" si="231"/>
        <v>Rubro</v>
      </c>
      <c r="AA366" t="str">
        <f t="shared" si="232"/>
        <v>Cantidad por Bulto</v>
      </c>
      <c r="AB366" t="str">
        <f t="shared" si="233"/>
        <v>INNER</v>
      </c>
      <c r="AC366" t="str">
        <f t="shared" si="234"/>
        <v>Stock en Bultos</v>
      </c>
      <c r="AD366" t="str">
        <f t="shared" si="235"/>
        <v>SubDepósito</v>
      </c>
      <c r="AE366" t="str">
        <f t="shared" si="236"/>
        <v>Marca</v>
      </c>
      <c r="AF366" t="str">
        <f t="shared" si="237"/>
        <v>Super Rubro</v>
      </c>
      <c r="AG366" t="str">
        <f t="shared" si="238"/>
        <v>ComercioExterior</v>
      </c>
      <c r="AH366" t="str">
        <f t="shared" si="239"/>
        <v>PrecioFOB</v>
      </c>
      <c r="AI366" t="str">
        <f t="shared" si="240"/>
        <v>Monto II</v>
      </c>
      <c r="AJ366" t="str">
        <f t="shared" si="241"/>
        <v>Porcentaje II</v>
      </c>
      <c r="AK366" t="str">
        <f t="shared" si="242"/>
        <v>Foto</v>
      </c>
      <c r="AL366" t="str">
        <f t="shared" si="259"/>
        <v xml:space="preserve">{\rtf1\ansi\deff0{\fonttbl{\f0\fnil\fcharset0 MS Sans Serif}} \viewkind4\uc1\pard\lang11274\f0\fs16\par } </v>
      </c>
      <c r="AM366" t="str">
        <f t="shared" si="256"/>
        <v>-</v>
      </c>
    </row>
    <row r="367" spans="1:39" x14ac:dyDescent="0.25">
      <c r="A367" t="str">
        <f>"FI555"</f>
        <v>FI555</v>
      </c>
      <c r="B367" t="str">
        <f>"BULBO TEMP CITRÖEN BERLINGO 1.8I/1.9D -  XSARA 1.5D/1.8D/I/1.9D/1.4HDI/2.0HDI DUCATO 1.9/D/TD/2.0 "</f>
        <v xml:space="preserve">BULBO TEMP CITRÖEN BERLINGO 1.8I/1.9D -  XSARA 1.5D/1.8D/I/1.9D/1.4HDI/2.0HDI DUCATO 1.9/D/TD/2.0 </v>
      </c>
      <c r="C367" t="str">
        <f>"$ 9921,09"</f>
        <v>$ 9921,09</v>
      </c>
      <c r="D367" t="str">
        <f>"$ 9921,09"</f>
        <v>$ 9921,09</v>
      </c>
      <c r="E367" t="str">
        <f>"$ 9921,09"</f>
        <v>$ 9921,09</v>
      </c>
      <c r="F367" t="str">
        <f>"$ 9921,09"</f>
        <v>$ 9921,09</v>
      </c>
      <c r="G367" t="str">
        <f>"$ 9921,09"</f>
        <v>$ 9921,09</v>
      </c>
      <c r="H367" t="str">
        <f t="shared" si="223"/>
        <v>$ 0,00</v>
      </c>
      <c r="I367" t="str">
        <f t="shared" si="248"/>
        <v>BULBO DE TEMPERATURA</v>
      </c>
      <c r="J367" t="str">
        <f t="shared" si="224"/>
        <v>1</v>
      </c>
      <c r="K367" t="str">
        <f t="shared" si="250"/>
        <v>0</v>
      </c>
      <c r="L367" t="str">
        <f>"0,000"</f>
        <v>0,000</v>
      </c>
      <c r="M367" t="str">
        <f t="shared" si="225"/>
        <v xml:space="preserve"> </v>
      </c>
      <c r="N367" t="str">
        <f t="shared" si="257"/>
        <v>FISPA</v>
      </c>
      <c r="O367" t="str">
        <f t="shared" si="258"/>
        <v>BULBOS</v>
      </c>
      <c r="P367" t="str">
        <f t="shared" si="260"/>
        <v>0</v>
      </c>
      <c r="Q367" t="str">
        <f t="shared" si="260"/>
        <v>0</v>
      </c>
      <c r="R367" t="str">
        <f t="shared" si="261"/>
        <v>0,00</v>
      </c>
      <c r="S367" t="str">
        <f t="shared" si="261"/>
        <v>0,00</v>
      </c>
      <c r="T367" t="str">
        <f t="shared" si="249"/>
        <v xml:space="preserve"> </v>
      </c>
      <c r="U367" t="str">
        <f t="shared" si="253"/>
        <v xml:space="preserve"> </v>
      </c>
      <c r="V367" t="str">
        <f>"0,000"</f>
        <v>0,000</v>
      </c>
      <c r="W367" t="str">
        <f t="shared" si="228"/>
        <v>Lista 4</v>
      </c>
      <c r="X367" t="str">
        <f t="shared" si="229"/>
        <v>Lista 5</v>
      </c>
      <c r="Y367" t="str">
        <f t="shared" si="230"/>
        <v>Oferta Gral.</v>
      </c>
      <c r="Z367" t="str">
        <f t="shared" si="231"/>
        <v>Rubro</v>
      </c>
      <c r="AA367" t="str">
        <f t="shared" si="232"/>
        <v>Cantidad por Bulto</v>
      </c>
      <c r="AB367" t="str">
        <f t="shared" si="233"/>
        <v>INNER</v>
      </c>
      <c r="AC367" t="str">
        <f t="shared" si="234"/>
        <v>Stock en Bultos</v>
      </c>
      <c r="AD367" t="str">
        <f t="shared" si="235"/>
        <v>SubDepósito</v>
      </c>
      <c r="AE367" t="str">
        <f t="shared" si="236"/>
        <v>Marca</v>
      </c>
      <c r="AF367" t="str">
        <f t="shared" si="237"/>
        <v>Super Rubro</v>
      </c>
      <c r="AG367" t="str">
        <f t="shared" si="238"/>
        <v>ComercioExterior</v>
      </c>
      <c r="AH367" t="str">
        <f t="shared" si="239"/>
        <v>PrecioFOB</v>
      </c>
      <c r="AI367" t="str">
        <f t="shared" si="240"/>
        <v>Monto II</v>
      </c>
      <c r="AJ367" t="str">
        <f t="shared" si="241"/>
        <v>Porcentaje II</v>
      </c>
      <c r="AK367" t="str">
        <f t="shared" si="242"/>
        <v>Foto</v>
      </c>
      <c r="AL36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67" t="str">
        <f t="shared" si="256"/>
        <v>-</v>
      </c>
    </row>
    <row r="368" spans="1:39" x14ac:dyDescent="0.25">
      <c r="A368" t="str">
        <f>"FI533"</f>
        <v>FI533</v>
      </c>
      <c r="B368" t="str">
        <f>"BULBO TEMP CITRÖEN BERLINGO 1.9D  P206/306/PARTNER 1.9D - FIAT SCUDO 1.9D 122ºC"</f>
        <v>BULBO TEMP CITRÖEN BERLINGO 1.9D  P206/306/PARTNER 1.9D - FIAT SCUDO 1.9D 122ºC</v>
      </c>
      <c r="C368" t="str">
        <f>"$ 10371,83"</f>
        <v>$ 10371,83</v>
      </c>
      <c r="D368" t="str">
        <f>"$ 10371,83"</f>
        <v>$ 10371,83</v>
      </c>
      <c r="E368" t="str">
        <f>"$ 10371,83"</f>
        <v>$ 10371,83</v>
      </c>
      <c r="F368" t="str">
        <f>"$ 10371,83"</f>
        <v>$ 10371,83</v>
      </c>
      <c r="G368" t="str">
        <f>"$ 10371,83"</f>
        <v>$ 10371,83</v>
      </c>
      <c r="H368" t="str">
        <f t="shared" si="223"/>
        <v>$ 0,00</v>
      </c>
      <c r="I368" t="str">
        <f t="shared" ref="I368:I399" si="262">"BULBO DE TEMPERATURA"</f>
        <v>BULBO DE TEMPERATURA</v>
      </c>
      <c r="J368" t="str">
        <f t="shared" si="224"/>
        <v>1</v>
      </c>
      <c r="K368" t="str">
        <f t="shared" si="250"/>
        <v>0</v>
      </c>
      <c r="L368" t="str">
        <f>"0,000"</f>
        <v>0,000</v>
      </c>
      <c r="M368" t="str">
        <f t="shared" si="225"/>
        <v xml:space="preserve"> </v>
      </c>
      <c r="N368" t="str">
        <f t="shared" si="257"/>
        <v>FISPA</v>
      </c>
      <c r="O368" t="str">
        <f t="shared" si="258"/>
        <v>BULBOS</v>
      </c>
      <c r="P368" t="str">
        <f t="shared" si="260"/>
        <v>0</v>
      </c>
      <c r="Q368" t="str">
        <f t="shared" si="260"/>
        <v>0</v>
      </c>
      <c r="R368" t="str">
        <f t="shared" si="261"/>
        <v>0,00</v>
      </c>
      <c r="S368" t="str">
        <f t="shared" si="261"/>
        <v>0,00</v>
      </c>
      <c r="T368" t="str">
        <f t="shared" si="249"/>
        <v xml:space="preserve"> </v>
      </c>
      <c r="U368" t="str">
        <f t="shared" si="253"/>
        <v xml:space="preserve"> </v>
      </c>
      <c r="V368" t="str">
        <f>"0,000"</f>
        <v>0,000</v>
      </c>
      <c r="W368" t="str">
        <f t="shared" si="228"/>
        <v>Lista 4</v>
      </c>
      <c r="X368" t="str">
        <f t="shared" si="229"/>
        <v>Lista 5</v>
      </c>
      <c r="Y368" t="str">
        <f t="shared" si="230"/>
        <v>Oferta Gral.</v>
      </c>
      <c r="Z368" t="str">
        <f t="shared" si="231"/>
        <v>Rubro</v>
      </c>
      <c r="AA368" t="str">
        <f t="shared" si="232"/>
        <v>Cantidad por Bulto</v>
      </c>
      <c r="AB368" t="str">
        <f t="shared" si="233"/>
        <v>INNER</v>
      </c>
      <c r="AC368" t="str">
        <f t="shared" si="234"/>
        <v>Stock en Bultos</v>
      </c>
      <c r="AD368" t="str">
        <f t="shared" si="235"/>
        <v>SubDepósito</v>
      </c>
      <c r="AE368" t="str">
        <f t="shared" si="236"/>
        <v>Marca</v>
      </c>
      <c r="AF368" t="str">
        <f t="shared" si="237"/>
        <v>Super Rubro</v>
      </c>
      <c r="AG368" t="str">
        <f t="shared" si="238"/>
        <v>ComercioExterior</v>
      </c>
      <c r="AH368" t="str">
        <f t="shared" si="239"/>
        <v>PrecioFOB</v>
      </c>
      <c r="AI368" t="str">
        <f t="shared" si="240"/>
        <v>Monto II</v>
      </c>
      <c r="AJ368" t="str">
        <f t="shared" si="241"/>
        <v>Porcentaje II</v>
      </c>
      <c r="AK368" t="str">
        <f t="shared" si="242"/>
        <v>Foto</v>
      </c>
      <c r="AL36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68" t="str">
        <f t="shared" si="256"/>
        <v>-</v>
      </c>
    </row>
    <row r="369" spans="1:39" x14ac:dyDescent="0.25">
      <c r="A369" t="str">
        <f>"FI527"</f>
        <v>FI527</v>
      </c>
      <c r="B369" t="str">
        <f>"BULBO TEMP CITRÖEN BERLINGO 1.9D - PEUGEOT 106/306/406 1.9TD BOXER 1.9D/2.5D "</f>
        <v xml:space="preserve">BULBO TEMP CITRÖEN BERLINGO 1.9D - PEUGEOT 106/306/406 1.9TD BOXER 1.9D/2.5D </v>
      </c>
      <c r="C369" t="str">
        <f>"$ 5833,53"</f>
        <v>$ 5833,53</v>
      </c>
      <c r="D369" t="str">
        <f>"$ 5833,53"</f>
        <v>$ 5833,53</v>
      </c>
      <c r="E369" t="str">
        <f>"$ 5833,53"</f>
        <v>$ 5833,53</v>
      </c>
      <c r="F369" t="str">
        <f>"$ 5833,53"</f>
        <v>$ 5833,53</v>
      </c>
      <c r="G369" t="str">
        <f>"$ 5833,53"</f>
        <v>$ 5833,53</v>
      </c>
      <c r="H369" t="str">
        <f t="shared" si="223"/>
        <v>$ 0,00</v>
      </c>
      <c r="I369" t="str">
        <f t="shared" si="262"/>
        <v>BULBO DE TEMPERATURA</v>
      </c>
      <c r="J369" t="str">
        <f t="shared" si="224"/>
        <v>1</v>
      </c>
      <c r="K369" t="str">
        <f t="shared" si="250"/>
        <v>0</v>
      </c>
      <c r="L369" t="str">
        <f>"0,000"</f>
        <v>0,000</v>
      </c>
      <c r="M369" t="str">
        <f t="shared" si="225"/>
        <v xml:space="preserve"> </v>
      </c>
      <c r="N369" t="str">
        <f t="shared" si="257"/>
        <v>FISPA</v>
      </c>
      <c r="O369" t="str">
        <f t="shared" si="258"/>
        <v>BULBOS</v>
      </c>
      <c r="P369" t="str">
        <f t="shared" si="260"/>
        <v>0</v>
      </c>
      <c r="Q369" t="str">
        <f t="shared" si="260"/>
        <v>0</v>
      </c>
      <c r="R369" t="str">
        <f t="shared" si="261"/>
        <v>0,00</v>
      </c>
      <c r="S369" t="str">
        <f t="shared" si="261"/>
        <v>0,00</v>
      </c>
      <c r="T369" t="str">
        <f t="shared" si="249"/>
        <v xml:space="preserve"> </v>
      </c>
      <c r="U369" t="str">
        <f t="shared" si="253"/>
        <v xml:space="preserve"> </v>
      </c>
      <c r="V369" t="str">
        <f>"0,000"</f>
        <v>0,000</v>
      </c>
      <c r="W369" t="str">
        <f t="shared" si="228"/>
        <v>Lista 4</v>
      </c>
      <c r="X369" t="str">
        <f t="shared" si="229"/>
        <v>Lista 5</v>
      </c>
      <c r="Y369" t="str">
        <f t="shared" si="230"/>
        <v>Oferta Gral.</v>
      </c>
      <c r="Z369" t="str">
        <f t="shared" si="231"/>
        <v>Rubro</v>
      </c>
      <c r="AA369" t="str">
        <f t="shared" si="232"/>
        <v>Cantidad por Bulto</v>
      </c>
      <c r="AB369" t="str">
        <f t="shared" si="233"/>
        <v>INNER</v>
      </c>
      <c r="AC369" t="str">
        <f t="shared" si="234"/>
        <v>Stock en Bultos</v>
      </c>
      <c r="AD369" t="str">
        <f t="shared" si="235"/>
        <v>SubDepósito</v>
      </c>
      <c r="AE369" t="str">
        <f t="shared" si="236"/>
        <v>Marca</v>
      </c>
      <c r="AF369" t="str">
        <f t="shared" si="237"/>
        <v>Super Rubro</v>
      </c>
      <c r="AG369" t="str">
        <f t="shared" si="238"/>
        <v>ComercioExterior</v>
      </c>
      <c r="AH369" t="str">
        <f t="shared" si="239"/>
        <v>PrecioFOB</v>
      </c>
      <c r="AI369" t="str">
        <f t="shared" si="240"/>
        <v>Monto II</v>
      </c>
      <c r="AJ369" t="str">
        <f t="shared" si="241"/>
        <v>Porcentaje II</v>
      </c>
      <c r="AK369" t="str">
        <f t="shared" si="242"/>
        <v>Foto</v>
      </c>
      <c r="AL36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69" t="str">
        <f t="shared" si="256"/>
        <v>-</v>
      </c>
    </row>
    <row r="370" spans="1:39" x14ac:dyDescent="0.25">
      <c r="A370" t="str">
        <f>"FI552"</f>
        <v>FI552</v>
      </c>
      <c r="B370" t="str">
        <f>"BULBO TEMP CITRÖEN JUMPER 2.0HDI/2.2HDI - XSARA 2.0HDI - P206 - 306 2.0HDI - PARTNER 2.0HD"</f>
        <v>BULBO TEMP CITRÖEN JUMPER 2.0HDI/2.2HDI - XSARA 2.0HDI - P206 - 306 2.0HDI - PARTNER 2.0HD</v>
      </c>
      <c r="C370" t="str">
        <f>"$ 5840,96"</f>
        <v>$ 5840,96</v>
      </c>
      <c r="D370" t="str">
        <f>"$ 5840,96"</f>
        <v>$ 5840,96</v>
      </c>
      <c r="E370" t="str">
        <f>"$ 5840,96"</f>
        <v>$ 5840,96</v>
      </c>
      <c r="F370" t="str">
        <f>"$ 5840,96"</f>
        <v>$ 5840,96</v>
      </c>
      <c r="G370" t="str">
        <f>"$ 5840,96"</f>
        <v>$ 5840,96</v>
      </c>
      <c r="H370" t="str">
        <f t="shared" si="223"/>
        <v>$ 0,00</v>
      </c>
      <c r="I370" t="str">
        <f t="shared" si="262"/>
        <v>BULBO DE TEMPERATURA</v>
      </c>
      <c r="J370" t="str">
        <f t="shared" si="224"/>
        <v>1</v>
      </c>
      <c r="K370" t="str">
        <f t="shared" si="250"/>
        <v>0</v>
      </c>
      <c r="L370" t="str">
        <f>"8,000"</f>
        <v>8,000</v>
      </c>
      <c r="M370" t="str">
        <f t="shared" si="225"/>
        <v xml:space="preserve"> </v>
      </c>
      <c r="N370" t="str">
        <f t="shared" si="257"/>
        <v>FISPA</v>
      </c>
      <c r="O370" t="str">
        <f t="shared" si="258"/>
        <v>BULBOS</v>
      </c>
      <c r="P370" t="str">
        <f t="shared" si="260"/>
        <v>0</v>
      </c>
      <c r="Q370" t="str">
        <f t="shared" si="260"/>
        <v>0</v>
      </c>
      <c r="R370" t="str">
        <f t="shared" si="261"/>
        <v>0,00</v>
      </c>
      <c r="S370" t="str">
        <f t="shared" si="261"/>
        <v>0,00</v>
      </c>
      <c r="T370" t="str">
        <f t="shared" si="249"/>
        <v xml:space="preserve"> </v>
      </c>
      <c r="U370" t="str">
        <f t="shared" si="253"/>
        <v xml:space="preserve"> </v>
      </c>
      <c r="V370" t="str">
        <f>"8,000"</f>
        <v>8,000</v>
      </c>
      <c r="W370" t="str">
        <f t="shared" si="228"/>
        <v>Lista 4</v>
      </c>
      <c r="X370" t="str">
        <f t="shared" si="229"/>
        <v>Lista 5</v>
      </c>
      <c r="Y370" t="str">
        <f t="shared" si="230"/>
        <v>Oferta Gral.</v>
      </c>
      <c r="Z370" t="str">
        <f t="shared" si="231"/>
        <v>Rubro</v>
      </c>
      <c r="AA370" t="str">
        <f t="shared" si="232"/>
        <v>Cantidad por Bulto</v>
      </c>
      <c r="AB370" t="str">
        <f t="shared" si="233"/>
        <v>INNER</v>
      </c>
      <c r="AC370" t="str">
        <f t="shared" si="234"/>
        <v>Stock en Bultos</v>
      </c>
      <c r="AD370" t="str">
        <f t="shared" si="235"/>
        <v>SubDepósito</v>
      </c>
      <c r="AE370" t="str">
        <f t="shared" si="236"/>
        <v>Marca</v>
      </c>
      <c r="AF370" t="str">
        <f t="shared" si="237"/>
        <v>Super Rubro</v>
      </c>
      <c r="AG370" t="str">
        <f t="shared" si="238"/>
        <v>ComercioExterior</v>
      </c>
      <c r="AH370" t="str">
        <f t="shared" si="239"/>
        <v>PrecioFOB</v>
      </c>
      <c r="AI370" t="str">
        <f t="shared" si="240"/>
        <v>Monto II</v>
      </c>
      <c r="AJ370" t="str">
        <f t="shared" si="241"/>
        <v>Porcentaje II</v>
      </c>
      <c r="AK370" t="str">
        <f t="shared" si="242"/>
        <v>Foto</v>
      </c>
      <c r="AL37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0" t="str">
        <f t="shared" si="256"/>
        <v>-</v>
      </c>
    </row>
    <row r="371" spans="1:39" x14ac:dyDescent="0.25">
      <c r="A371" t="str">
        <f>"FI556"</f>
        <v>FI556</v>
      </c>
      <c r="B371" t="str">
        <f>"BULBO TEMP CITRÖEN JUMPER 2.5 TD - PEUGEOT BOXER 2.5 TD AISLANTE VERDE - ARO NEGRO"</f>
        <v>BULBO TEMP CITRÖEN JUMPER 2.5 TD - PEUGEOT BOXER 2.5 TD AISLANTE VERDE - ARO NEGRO</v>
      </c>
      <c r="C371" t="str">
        <f>"$ 7679,14"</f>
        <v>$ 7679,14</v>
      </c>
      <c r="D371" t="str">
        <f>"$ 7679,14"</f>
        <v>$ 7679,14</v>
      </c>
      <c r="E371" t="str">
        <f>"$ 7679,14"</f>
        <v>$ 7679,14</v>
      </c>
      <c r="F371" t="str">
        <f>"$ 7679,14"</f>
        <v>$ 7679,14</v>
      </c>
      <c r="G371" t="str">
        <f>"$ 7679,14"</f>
        <v>$ 7679,14</v>
      </c>
      <c r="H371" t="str">
        <f t="shared" si="223"/>
        <v>$ 0,00</v>
      </c>
      <c r="I371" t="str">
        <f t="shared" si="262"/>
        <v>BULBO DE TEMPERATURA</v>
      </c>
      <c r="J371" t="str">
        <f t="shared" si="224"/>
        <v>1</v>
      </c>
      <c r="K371" t="str">
        <f t="shared" si="250"/>
        <v>0</v>
      </c>
      <c r="L371" t="str">
        <f t="shared" ref="L371:L376" si="263">"0,000"</f>
        <v>0,000</v>
      </c>
      <c r="M371" t="str">
        <f t="shared" si="225"/>
        <v xml:space="preserve"> </v>
      </c>
      <c r="N371" t="str">
        <f t="shared" si="257"/>
        <v>FISPA</v>
      </c>
      <c r="O371" t="str">
        <f t="shared" si="258"/>
        <v>BULBOS</v>
      </c>
      <c r="P371" t="str">
        <f t="shared" si="260"/>
        <v>0</v>
      </c>
      <c r="Q371" t="str">
        <f t="shared" si="260"/>
        <v>0</v>
      </c>
      <c r="R371" t="str">
        <f t="shared" si="261"/>
        <v>0,00</v>
      </c>
      <c r="S371" t="str">
        <f t="shared" si="261"/>
        <v>0,00</v>
      </c>
      <c r="T371" t="str">
        <f t="shared" si="249"/>
        <v xml:space="preserve"> </v>
      </c>
      <c r="U371" t="str">
        <f t="shared" si="253"/>
        <v xml:space="preserve"> </v>
      </c>
      <c r="V371" t="str">
        <f t="shared" ref="V371:V376" si="264">"0,000"</f>
        <v>0,000</v>
      </c>
      <c r="W371" t="str">
        <f t="shared" si="228"/>
        <v>Lista 4</v>
      </c>
      <c r="X371" t="str">
        <f t="shared" si="229"/>
        <v>Lista 5</v>
      </c>
      <c r="Y371" t="str">
        <f t="shared" si="230"/>
        <v>Oferta Gral.</v>
      </c>
      <c r="Z371" t="str">
        <f t="shared" si="231"/>
        <v>Rubro</v>
      </c>
      <c r="AA371" t="str">
        <f t="shared" si="232"/>
        <v>Cantidad por Bulto</v>
      </c>
      <c r="AB371" t="str">
        <f t="shared" si="233"/>
        <v>INNER</v>
      </c>
      <c r="AC371" t="str">
        <f t="shared" si="234"/>
        <v>Stock en Bultos</v>
      </c>
      <c r="AD371" t="str">
        <f t="shared" si="235"/>
        <v>SubDepósito</v>
      </c>
      <c r="AE371" t="str">
        <f t="shared" si="236"/>
        <v>Marca</v>
      </c>
      <c r="AF371" t="str">
        <f t="shared" si="237"/>
        <v>Super Rubro</v>
      </c>
      <c r="AG371" t="str">
        <f t="shared" si="238"/>
        <v>ComercioExterior</v>
      </c>
      <c r="AH371" t="str">
        <f t="shared" si="239"/>
        <v>PrecioFOB</v>
      </c>
      <c r="AI371" t="str">
        <f t="shared" si="240"/>
        <v>Monto II</v>
      </c>
      <c r="AJ371" t="str">
        <f t="shared" si="241"/>
        <v>Porcentaje II</v>
      </c>
      <c r="AK371" t="str">
        <f t="shared" si="242"/>
        <v>Foto</v>
      </c>
      <c r="AL371" t="str">
        <f>" "</f>
        <v xml:space="preserve"> </v>
      </c>
      <c r="AM371" t="str">
        <f t="shared" si="256"/>
        <v>-</v>
      </c>
    </row>
    <row r="372" spans="1:39" x14ac:dyDescent="0.25">
      <c r="A372" t="str">
        <f>"FI528"</f>
        <v>FI528</v>
      </c>
      <c r="B372" t="str">
        <f>"BULBO TEMP CLIO II 1.9D - KANGOO 1.9/DTI -  MEGANE SCENIC 1.9D/DTI/2.0I - TRAFIC 1.9D"</f>
        <v>BULBO TEMP CLIO II 1.9D - KANGOO 1.9/DTI -  MEGANE SCENIC 1.9D/DTI/2.0I - TRAFIC 1.9D</v>
      </c>
      <c r="C372" t="str">
        <f>"$ 7012,38"</f>
        <v>$ 7012,38</v>
      </c>
      <c r="D372" t="str">
        <f>"$ 7012,38"</f>
        <v>$ 7012,38</v>
      </c>
      <c r="E372" t="str">
        <f>"$ 7012,38"</f>
        <v>$ 7012,38</v>
      </c>
      <c r="F372" t="str">
        <f>"$ 7012,38"</f>
        <v>$ 7012,38</v>
      </c>
      <c r="G372" t="str">
        <f>"$ 7012,38"</f>
        <v>$ 7012,38</v>
      </c>
      <c r="H372" t="str">
        <f t="shared" si="223"/>
        <v>$ 0,00</v>
      </c>
      <c r="I372" t="str">
        <f t="shared" si="262"/>
        <v>BULBO DE TEMPERATURA</v>
      </c>
      <c r="J372" t="str">
        <f t="shared" si="224"/>
        <v>1</v>
      </c>
      <c r="K372" t="str">
        <f t="shared" si="250"/>
        <v>0</v>
      </c>
      <c r="L372" t="str">
        <f t="shared" si="263"/>
        <v>0,000</v>
      </c>
      <c r="M372" t="str">
        <f t="shared" si="225"/>
        <v xml:space="preserve"> </v>
      </c>
      <c r="N372" t="str">
        <f t="shared" si="257"/>
        <v>FISPA</v>
      </c>
      <c r="O372" t="str">
        <f t="shared" si="258"/>
        <v>BULBOS</v>
      </c>
      <c r="P372" t="str">
        <f t="shared" si="260"/>
        <v>0</v>
      </c>
      <c r="Q372" t="str">
        <f t="shared" si="260"/>
        <v>0</v>
      </c>
      <c r="R372" t="str">
        <f t="shared" si="261"/>
        <v>0,00</v>
      </c>
      <c r="S372" t="str">
        <f t="shared" si="261"/>
        <v>0,00</v>
      </c>
      <c r="T372" t="str">
        <f t="shared" si="249"/>
        <v xml:space="preserve"> </v>
      </c>
      <c r="U372" t="str">
        <f t="shared" si="253"/>
        <v xml:space="preserve"> </v>
      </c>
      <c r="V372" t="str">
        <f t="shared" si="264"/>
        <v>0,000</v>
      </c>
      <c r="W372" t="str">
        <f t="shared" si="228"/>
        <v>Lista 4</v>
      </c>
      <c r="X372" t="str">
        <f t="shared" si="229"/>
        <v>Lista 5</v>
      </c>
      <c r="Y372" t="str">
        <f t="shared" si="230"/>
        <v>Oferta Gral.</v>
      </c>
      <c r="Z372" t="str">
        <f t="shared" si="231"/>
        <v>Rubro</v>
      </c>
      <c r="AA372" t="str">
        <f t="shared" si="232"/>
        <v>Cantidad por Bulto</v>
      </c>
      <c r="AB372" t="str">
        <f t="shared" si="233"/>
        <v>INNER</v>
      </c>
      <c r="AC372" t="str">
        <f t="shared" si="234"/>
        <v>Stock en Bultos</v>
      </c>
      <c r="AD372" t="str">
        <f t="shared" si="235"/>
        <v>SubDepósito</v>
      </c>
      <c r="AE372" t="str">
        <f t="shared" si="236"/>
        <v>Marca</v>
      </c>
      <c r="AF372" t="str">
        <f t="shared" si="237"/>
        <v>Super Rubro</v>
      </c>
      <c r="AG372" t="str">
        <f t="shared" si="238"/>
        <v>ComercioExterior</v>
      </c>
      <c r="AH372" t="str">
        <f t="shared" si="239"/>
        <v>PrecioFOB</v>
      </c>
      <c r="AI372" t="str">
        <f t="shared" si="240"/>
        <v>Monto II</v>
      </c>
      <c r="AJ372" t="str">
        <f t="shared" si="241"/>
        <v>Porcentaje II</v>
      </c>
      <c r="AK372" t="str">
        <f t="shared" si="242"/>
        <v>Foto</v>
      </c>
      <c r="AL37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72" t="str">
        <f t="shared" si="256"/>
        <v>-</v>
      </c>
    </row>
    <row r="373" spans="1:39" x14ac:dyDescent="0.25">
      <c r="A373" t="str">
        <f>"FI577"</f>
        <v>FI577</v>
      </c>
      <c r="B373" t="str">
        <f>"BULBO TEMP DAEWOO TODOS ISUZU TODOS "</f>
        <v xml:space="preserve">BULBO TEMP DAEWOO TODOS ISUZU TODOS </v>
      </c>
      <c r="C373" t="str">
        <f>"$ 6608,70"</f>
        <v>$ 6608,70</v>
      </c>
      <c r="D373" t="str">
        <f>"$ 6608,70"</f>
        <v>$ 6608,70</v>
      </c>
      <c r="E373" t="str">
        <f>"$ 6608,70"</f>
        <v>$ 6608,70</v>
      </c>
      <c r="F373" t="str">
        <f>"$ 6608,70"</f>
        <v>$ 6608,70</v>
      </c>
      <c r="G373" t="str">
        <f>"$ 6608,70"</f>
        <v>$ 6608,70</v>
      </c>
      <c r="H373" t="str">
        <f t="shared" si="223"/>
        <v>$ 0,00</v>
      </c>
      <c r="I373" t="str">
        <f t="shared" si="262"/>
        <v>BULBO DE TEMPERATURA</v>
      </c>
      <c r="J373" t="str">
        <f t="shared" si="224"/>
        <v>1</v>
      </c>
      <c r="K373" t="str">
        <f t="shared" si="250"/>
        <v>0</v>
      </c>
      <c r="L373" t="str">
        <f t="shared" si="263"/>
        <v>0,000</v>
      </c>
      <c r="M373" t="str">
        <f t="shared" si="225"/>
        <v xml:space="preserve"> </v>
      </c>
      <c r="N373" t="str">
        <f t="shared" si="257"/>
        <v>FISPA</v>
      </c>
      <c r="O373" t="str">
        <f t="shared" si="258"/>
        <v>BULBOS</v>
      </c>
      <c r="P373" t="str">
        <f t="shared" si="260"/>
        <v>0</v>
      </c>
      <c r="Q373" t="str">
        <f t="shared" si="260"/>
        <v>0</v>
      </c>
      <c r="R373" t="str">
        <f t="shared" si="261"/>
        <v>0,00</v>
      </c>
      <c r="S373" t="str">
        <f t="shared" si="261"/>
        <v>0,00</v>
      </c>
      <c r="T373" t="str">
        <f t="shared" si="249"/>
        <v xml:space="preserve"> </v>
      </c>
      <c r="U373" t="str">
        <f t="shared" si="253"/>
        <v xml:space="preserve"> </v>
      </c>
      <c r="V373" t="str">
        <f t="shared" si="264"/>
        <v>0,000</v>
      </c>
      <c r="W373" t="str">
        <f t="shared" si="228"/>
        <v>Lista 4</v>
      </c>
      <c r="X373" t="str">
        <f t="shared" si="229"/>
        <v>Lista 5</v>
      </c>
      <c r="Y373" t="str">
        <f t="shared" si="230"/>
        <v>Oferta Gral.</v>
      </c>
      <c r="Z373" t="str">
        <f t="shared" si="231"/>
        <v>Rubro</v>
      </c>
      <c r="AA373" t="str">
        <f t="shared" si="232"/>
        <v>Cantidad por Bulto</v>
      </c>
      <c r="AB373" t="str">
        <f t="shared" si="233"/>
        <v>INNER</v>
      </c>
      <c r="AC373" t="str">
        <f t="shared" si="234"/>
        <v>Stock en Bultos</v>
      </c>
      <c r="AD373" t="str">
        <f t="shared" si="235"/>
        <v>SubDepósito</v>
      </c>
      <c r="AE373" t="str">
        <f t="shared" si="236"/>
        <v>Marca</v>
      </c>
      <c r="AF373" t="str">
        <f t="shared" si="237"/>
        <v>Super Rubro</v>
      </c>
      <c r="AG373" t="str">
        <f t="shared" si="238"/>
        <v>ComercioExterior</v>
      </c>
      <c r="AH373" t="str">
        <f t="shared" si="239"/>
        <v>PrecioFOB</v>
      </c>
      <c r="AI373" t="str">
        <f t="shared" si="240"/>
        <v>Monto II</v>
      </c>
      <c r="AJ373" t="str">
        <f t="shared" si="241"/>
        <v>Porcentaje II</v>
      </c>
      <c r="AK373" t="str">
        <f t="shared" si="242"/>
        <v>Foto</v>
      </c>
      <c r="AL37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73" t="str">
        <f t="shared" si="256"/>
        <v>-</v>
      </c>
    </row>
    <row r="374" spans="1:39" x14ac:dyDescent="0.25">
      <c r="A374" t="str">
        <f>"FI536"</f>
        <v>FI536</v>
      </c>
      <c r="B374" t="str">
        <f>"BULBO TEMP FIAT BRAVA &amp; BRAVO 1.9JTD - DUCATO 3.0D/2.3JTD/2.8JTD - MAREA 1.9JTD"</f>
        <v>BULBO TEMP FIAT BRAVA &amp; BRAVO 1.9JTD - DUCATO 3.0D/2.3JTD/2.8JTD - MAREA 1.9JTD</v>
      </c>
      <c r="C374" t="str">
        <f>"$ 6710,24"</f>
        <v>$ 6710,24</v>
      </c>
      <c r="D374" t="str">
        <f>"$ 6710,24"</f>
        <v>$ 6710,24</v>
      </c>
      <c r="E374" t="str">
        <f>"$ 6710,24"</f>
        <v>$ 6710,24</v>
      </c>
      <c r="F374" t="str">
        <f>"$ 6710,24"</f>
        <v>$ 6710,24</v>
      </c>
      <c r="G374" t="str">
        <f>"$ 6710,24"</f>
        <v>$ 6710,24</v>
      </c>
      <c r="H374" t="str">
        <f t="shared" si="223"/>
        <v>$ 0,00</v>
      </c>
      <c r="I374" t="str">
        <f t="shared" si="262"/>
        <v>BULBO DE TEMPERATURA</v>
      </c>
      <c r="J374" t="str">
        <f t="shared" si="224"/>
        <v>1</v>
      </c>
      <c r="K374" t="str">
        <f t="shared" si="250"/>
        <v>0</v>
      </c>
      <c r="L374" t="str">
        <f t="shared" si="263"/>
        <v>0,000</v>
      </c>
      <c r="M374" t="str">
        <f t="shared" si="225"/>
        <v xml:space="preserve"> </v>
      </c>
      <c r="N374" t="str">
        <f t="shared" si="257"/>
        <v>FISPA</v>
      </c>
      <c r="O374" t="str">
        <f t="shared" si="258"/>
        <v>BULBOS</v>
      </c>
      <c r="P374" t="str">
        <f t="shared" si="260"/>
        <v>0</v>
      </c>
      <c r="Q374" t="str">
        <f t="shared" si="260"/>
        <v>0</v>
      </c>
      <c r="R374" t="str">
        <f t="shared" si="261"/>
        <v>0,00</v>
      </c>
      <c r="S374" t="str">
        <f t="shared" si="261"/>
        <v>0,00</v>
      </c>
      <c r="T374" t="str">
        <f t="shared" si="249"/>
        <v xml:space="preserve"> </v>
      </c>
      <c r="U374" t="str">
        <f t="shared" si="253"/>
        <v xml:space="preserve"> </v>
      </c>
      <c r="V374" t="str">
        <f t="shared" si="264"/>
        <v>0,000</v>
      </c>
      <c r="W374" t="str">
        <f t="shared" si="228"/>
        <v>Lista 4</v>
      </c>
      <c r="X374" t="str">
        <f t="shared" si="229"/>
        <v>Lista 5</v>
      </c>
      <c r="Y374" t="str">
        <f t="shared" si="230"/>
        <v>Oferta Gral.</v>
      </c>
      <c r="Z374" t="str">
        <f t="shared" si="231"/>
        <v>Rubro</v>
      </c>
      <c r="AA374" t="str">
        <f t="shared" si="232"/>
        <v>Cantidad por Bulto</v>
      </c>
      <c r="AB374" t="str">
        <f t="shared" si="233"/>
        <v>INNER</v>
      </c>
      <c r="AC374" t="str">
        <f t="shared" si="234"/>
        <v>Stock en Bultos</v>
      </c>
      <c r="AD374" t="str">
        <f t="shared" si="235"/>
        <v>SubDepósito</v>
      </c>
      <c r="AE374" t="str">
        <f t="shared" si="236"/>
        <v>Marca</v>
      </c>
      <c r="AF374" t="str">
        <f t="shared" si="237"/>
        <v>Super Rubro</v>
      </c>
      <c r="AG374" t="str">
        <f t="shared" si="238"/>
        <v>ComercioExterior</v>
      </c>
      <c r="AH374" t="str">
        <f t="shared" si="239"/>
        <v>PrecioFOB</v>
      </c>
      <c r="AI374" t="str">
        <f t="shared" si="240"/>
        <v>Monto II</v>
      </c>
      <c r="AJ374" t="str">
        <f t="shared" si="241"/>
        <v>Porcentaje II</v>
      </c>
      <c r="AK374" t="str">
        <f t="shared" si="242"/>
        <v>Foto</v>
      </c>
      <c r="AL37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4" t="str">
        <f t="shared" si="256"/>
        <v>-</v>
      </c>
    </row>
    <row r="375" spans="1:39" x14ac:dyDescent="0.25">
      <c r="A375" t="str">
        <f>"FI511"</f>
        <v>FI511</v>
      </c>
      <c r="B375" t="str">
        <f>"BULBO TEMP FIAT BRAVA - BRAVO - MAREA - PALIO - SIENA - RENAULT 21 - CLIO"</f>
        <v>BULBO TEMP FIAT BRAVA - BRAVO - MAREA - PALIO - SIENA - RENAULT 21 - CLIO</v>
      </c>
      <c r="C375" t="str">
        <f>"$ 5906,59"</f>
        <v>$ 5906,59</v>
      </c>
      <c r="D375" t="str">
        <f>"$ 5906,59"</f>
        <v>$ 5906,59</v>
      </c>
      <c r="E375" t="str">
        <f>"$ 5906,59"</f>
        <v>$ 5906,59</v>
      </c>
      <c r="F375" t="str">
        <f>"$ 5906,59"</f>
        <v>$ 5906,59</v>
      </c>
      <c r="G375" t="str">
        <f>"$ 5906,59"</f>
        <v>$ 5906,59</v>
      </c>
      <c r="H375" t="str">
        <f t="shared" si="223"/>
        <v>$ 0,00</v>
      </c>
      <c r="I375" t="str">
        <f t="shared" si="262"/>
        <v>BULBO DE TEMPERATURA</v>
      </c>
      <c r="J375" t="str">
        <f t="shared" si="224"/>
        <v>1</v>
      </c>
      <c r="K375" t="str">
        <f t="shared" si="250"/>
        <v>0</v>
      </c>
      <c r="L375" t="str">
        <f t="shared" si="263"/>
        <v>0,000</v>
      </c>
      <c r="M375" t="str">
        <f t="shared" si="225"/>
        <v xml:space="preserve"> </v>
      </c>
      <c r="N375" t="str">
        <f t="shared" si="257"/>
        <v>FISPA</v>
      </c>
      <c r="O375" t="str">
        <f t="shared" si="258"/>
        <v>BULBOS</v>
      </c>
      <c r="P375" t="str">
        <f t="shared" si="260"/>
        <v>0</v>
      </c>
      <c r="Q375" t="str">
        <f t="shared" si="260"/>
        <v>0</v>
      </c>
      <c r="R375" t="str">
        <f t="shared" si="261"/>
        <v>0,00</v>
      </c>
      <c r="S375" t="str">
        <f t="shared" si="261"/>
        <v>0,00</v>
      </c>
      <c r="T375" t="str">
        <f t="shared" si="249"/>
        <v xml:space="preserve"> </v>
      </c>
      <c r="U375" t="str">
        <f t="shared" si="253"/>
        <v xml:space="preserve"> </v>
      </c>
      <c r="V375" t="str">
        <f t="shared" si="264"/>
        <v>0,000</v>
      </c>
      <c r="W375" t="str">
        <f t="shared" si="228"/>
        <v>Lista 4</v>
      </c>
      <c r="X375" t="str">
        <f t="shared" si="229"/>
        <v>Lista 5</v>
      </c>
      <c r="Y375" t="str">
        <f t="shared" si="230"/>
        <v>Oferta Gral.</v>
      </c>
      <c r="Z375" t="str">
        <f t="shared" si="231"/>
        <v>Rubro</v>
      </c>
      <c r="AA375" t="str">
        <f t="shared" si="232"/>
        <v>Cantidad por Bulto</v>
      </c>
      <c r="AB375" t="str">
        <f t="shared" si="233"/>
        <v>INNER</v>
      </c>
      <c r="AC375" t="str">
        <f t="shared" si="234"/>
        <v>Stock en Bultos</v>
      </c>
      <c r="AD375" t="str">
        <f t="shared" si="235"/>
        <v>SubDepósito</v>
      </c>
      <c r="AE375" t="str">
        <f t="shared" si="236"/>
        <v>Marca</v>
      </c>
      <c r="AF375" t="str">
        <f t="shared" si="237"/>
        <v>Super Rubro</v>
      </c>
      <c r="AG375" t="str">
        <f t="shared" si="238"/>
        <v>ComercioExterior</v>
      </c>
      <c r="AH375" t="str">
        <f t="shared" si="239"/>
        <v>PrecioFOB</v>
      </c>
      <c r="AI375" t="str">
        <f t="shared" si="240"/>
        <v>Monto II</v>
      </c>
      <c r="AJ375" t="str">
        <f t="shared" si="241"/>
        <v>Porcentaje II</v>
      </c>
      <c r="AK375" t="str">
        <f t="shared" si="242"/>
        <v>Foto</v>
      </c>
      <c r="AL37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5" t="str">
        <f t="shared" si="256"/>
        <v>-</v>
      </c>
    </row>
    <row r="376" spans="1:39" x14ac:dyDescent="0.25">
      <c r="A376" t="str">
        <f>"FI532"</f>
        <v>FI532</v>
      </c>
      <c r="B376" t="str">
        <f>"BULBO TEMP FIAT BRAVA 1.9JTD - BRAVO 1.6/1.8GT/1.9TD - MAREA 1.6/1.9JTD/2.0 - PALIO 1.6 - SIENA"</f>
        <v>BULBO TEMP FIAT BRAVA 1.9JTD - BRAVO 1.6/1.8GT/1.9TD - MAREA 1.6/1.9JTD/2.0 - PALIO 1.6 - SIENA</v>
      </c>
      <c r="C376" t="str">
        <f>"$ 9817,08"</f>
        <v>$ 9817,08</v>
      </c>
      <c r="D376" t="str">
        <f>"$ 9817,08"</f>
        <v>$ 9817,08</v>
      </c>
      <c r="E376" t="str">
        <f>"$ 9817,08"</f>
        <v>$ 9817,08</v>
      </c>
      <c r="F376" t="str">
        <f>"$ 9817,08"</f>
        <v>$ 9817,08</v>
      </c>
      <c r="G376" t="str">
        <f>"$ 9817,08"</f>
        <v>$ 9817,08</v>
      </c>
      <c r="H376" t="str">
        <f t="shared" si="223"/>
        <v>$ 0,00</v>
      </c>
      <c r="I376" t="str">
        <f t="shared" si="262"/>
        <v>BULBO DE TEMPERATURA</v>
      </c>
      <c r="J376" t="str">
        <f t="shared" si="224"/>
        <v>1</v>
      </c>
      <c r="K376" t="str">
        <f t="shared" si="250"/>
        <v>0</v>
      </c>
      <c r="L376" t="str">
        <f t="shared" si="263"/>
        <v>0,000</v>
      </c>
      <c r="M376" t="str">
        <f t="shared" si="225"/>
        <v xml:space="preserve"> </v>
      </c>
      <c r="N376" t="str">
        <f t="shared" si="257"/>
        <v>FISPA</v>
      </c>
      <c r="O376" t="str">
        <f t="shared" si="258"/>
        <v>BULBOS</v>
      </c>
      <c r="P376" t="str">
        <f t="shared" si="260"/>
        <v>0</v>
      </c>
      <c r="Q376" t="str">
        <f t="shared" si="260"/>
        <v>0</v>
      </c>
      <c r="R376" t="str">
        <f t="shared" si="261"/>
        <v>0,00</v>
      </c>
      <c r="S376" t="str">
        <f t="shared" si="261"/>
        <v>0,00</v>
      </c>
      <c r="T376" t="str">
        <f t="shared" si="249"/>
        <v xml:space="preserve"> </v>
      </c>
      <c r="U376" t="str">
        <f t="shared" si="253"/>
        <v xml:space="preserve"> </v>
      </c>
      <c r="V376" t="str">
        <f t="shared" si="264"/>
        <v>0,000</v>
      </c>
      <c r="W376" t="str">
        <f t="shared" si="228"/>
        <v>Lista 4</v>
      </c>
      <c r="X376" t="str">
        <f t="shared" si="229"/>
        <v>Lista 5</v>
      </c>
      <c r="Y376" t="str">
        <f t="shared" si="230"/>
        <v>Oferta Gral.</v>
      </c>
      <c r="Z376" t="str">
        <f t="shared" si="231"/>
        <v>Rubro</v>
      </c>
      <c r="AA376" t="str">
        <f t="shared" si="232"/>
        <v>Cantidad por Bulto</v>
      </c>
      <c r="AB376" t="str">
        <f t="shared" si="233"/>
        <v>INNER</v>
      </c>
      <c r="AC376" t="str">
        <f t="shared" si="234"/>
        <v>Stock en Bultos</v>
      </c>
      <c r="AD376" t="str">
        <f t="shared" si="235"/>
        <v>SubDepósito</v>
      </c>
      <c r="AE376" t="str">
        <f t="shared" si="236"/>
        <v>Marca</v>
      </c>
      <c r="AF376" t="str">
        <f t="shared" si="237"/>
        <v>Super Rubro</v>
      </c>
      <c r="AG376" t="str">
        <f t="shared" si="238"/>
        <v>ComercioExterior</v>
      </c>
      <c r="AH376" t="str">
        <f t="shared" si="239"/>
        <v>PrecioFOB</v>
      </c>
      <c r="AI376" t="str">
        <f t="shared" si="240"/>
        <v>Monto II</v>
      </c>
      <c r="AJ376" t="str">
        <f t="shared" si="241"/>
        <v>Porcentaje II</v>
      </c>
      <c r="AK376" t="str">
        <f t="shared" si="242"/>
        <v>Foto</v>
      </c>
      <c r="AL37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6" t="str">
        <f t="shared" si="256"/>
        <v>-</v>
      </c>
    </row>
    <row r="377" spans="1:39" x14ac:dyDescent="0.25">
      <c r="A377" t="str">
        <f>"FI562"</f>
        <v>FI562</v>
      </c>
      <c r="B377" t="str">
        <f>"BULBO TEMP FIAT DOBLO 1.2 - PALIO 1.0I - 1.0I 16V - 1.3I 16V - 1.6I 16V - SIENA 1.4"</f>
        <v>BULBO TEMP FIAT DOBLO 1.2 - PALIO 1.0I - 1.0I 16V - 1.3I 16V - 1.6I 16V - SIENA 1.4</v>
      </c>
      <c r="C377" t="str">
        <f>"$ 11653,45"</f>
        <v>$ 11653,45</v>
      </c>
      <c r="D377" t="str">
        <f>"$ 11653,45"</f>
        <v>$ 11653,45</v>
      </c>
      <c r="E377" t="str">
        <f>"$ 11653,45"</f>
        <v>$ 11653,45</v>
      </c>
      <c r="F377" t="str">
        <f>"$ 11653,45"</f>
        <v>$ 11653,45</v>
      </c>
      <c r="G377" t="str">
        <f>"$ 11653,45"</f>
        <v>$ 11653,45</v>
      </c>
      <c r="H377" t="str">
        <f t="shared" si="223"/>
        <v>$ 0,00</v>
      </c>
      <c r="I377" t="str">
        <f t="shared" si="262"/>
        <v>BULBO DE TEMPERATURA</v>
      </c>
      <c r="J377" t="str">
        <f t="shared" si="224"/>
        <v>1</v>
      </c>
      <c r="K377" t="str">
        <f t="shared" si="250"/>
        <v>0</v>
      </c>
      <c r="L377" t="str">
        <f>"-10,000"</f>
        <v>-10,000</v>
      </c>
      <c r="M377" t="str">
        <f t="shared" si="225"/>
        <v xml:space="preserve"> </v>
      </c>
      <c r="N377" t="str">
        <f t="shared" si="257"/>
        <v>FISPA</v>
      </c>
      <c r="O377" t="str">
        <f t="shared" si="258"/>
        <v>BULBOS</v>
      </c>
      <c r="P377" t="str">
        <f t="shared" si="260"/>
        <v>0</v>
      </c>
      <c r="Q377" t="str">
        <f t="shared" si="260"/>
        <v>0</v>
      </c>
      <c r="R377" t="str">
        <f t="shared" si="261"/>
        <v>0,00</v>
      </c>
      <c r="S377" t="str">
        <f t="shared" si="261"/>
        <v>0,00</v>
      </c>
      <c r="T377" t="str">
        <f t="shared" si="249"/>
        <v xml:space="preserve"> </v>
      </c>
      <c r="U377" t="str">
        <f t="shared" si="253"/>
        <v xml:space="preserve"> </v>
      </c>
      <c r="V377" t="str">
        <f>"-10,000"</f>
        <v>-10,000</v>
      </c>
      <c r="W377" t="str">
        <f t="shared" si="228"/>
        <v>Lista 4</v>
      </c>
      <c r="X377" t="str">
        <f t="shared" si="229"/>
        <v>Lista 5</v>
      </c>
      <c r="Y377" t="str">
        <f t="shared" si="230"/>
        <v>Oferta Gral.</v>
      </c>
      <c r="Z377" t="str">
        <f t="shared" si="231"/>
        <v>Rubro</v>
      </c>
      <c r="AA377" t="str">
        <f t="shared" si="232"/>
        <v>Cantidad por Bulto</v>
      </c>
      <c r="AB377" t="str">
        <f t="shared" si="233"/>
        <v>INNER</v>
      </c>
      <c r="AC377" t="str">
        <f t="shared" si="234"/>
        <v>Stock en Bultos</v>
      </c>
      <c r="AD377" t="str">
        <f t="shared" si="235"/>
        <v>SubDepósito</v>
      </c>
      <c r="AE377" t="str">
        <f t="shared" si="236"/>
        <v>Marca</v>
      </c>
      <c r="AF377" t="str">
        <f t="shared" si="237"/>
        <v>Super Rubro</v>
      </c>
      <c r="AG377" t="str">
        <f t="shared" si="238"/>
        <v>ComercioExterior</v>
      </c>
      <c r="AH377" t="str">
        <f t="shared" si="239"/>
        <v>PrecioFOB</v>
      </c>
      <c r="AI377" t="str">
        <f t="shared" si="240"/>
        <v>Monto II</v>
      </c>
      <c r="AJ377" t="str">
        <f t="shared" si="241"/>
        <v>Porcentaje II</v>
      </c>
      <c r="AK377" t="str">
        <f t="shared" si="242"/>
        <v>Foto</v>
      </c>
      <c r="AL377" t="str">
        <f>" "</f>
        <v xml:space="preserve"> </v>
      </c>
      <c r="AM377" t="str">
        <f t="shared" si="256"/>
        <v>-</v>
      </c>
    </row>
    <row r="378" spans="1:39" x14ac:dyDescent="0.25">
      <c r="A378" t="str">
        <f>"FI537"</f>
        <v>FI537</v>
      </c>
      <c r="B378" t="str">
        <f>"BULBO TEMP FIAT PUNTO 1.3D - 1.9D/JTD - DOBLO 1.2/1.9D/JTD - IDEA 1.4 16V - PALIO WEEKEND 1.6 16V"</f>
        <v>BULBO TEMP FIAT PUNTO 1.3D - 1.9D/JTD - DOBLO 1.2/1.9D/JTD - IDEA 1.4 16V - PALIO WEEKEND 1.6 16V</v>
      </c>
      <c r="C378" t="str">
        <f>"$ 8448,78"</f>
        <v>$ 8448,78</v>
      </c>
      <c r="D378" t="str">
        <f>"$ 8448,78"</f>
        <v>$ 8448,78</v>
      </c>
      <c r="E378" t="str">
        <f>"$ 8448,78"</f>
        <v>$ 8448,78</v>
      </c>
      <c r="F378" t="str">
        <f>"$ 8448,78"</f>
        <v>$ 8448,78</v>
      </c>
      <c r="G378" t="str">
        <f>"$ 8448,78"</f>
        <v>$ 8448,78</v>
      </c>
      <c r="H378" t="str">
        <f t="shared" si="223"/>
        <v>$ 0,00</v>
      </c>
      <c r="I378" t="str">
        <f t="shared" si="262"/>
        <v>BULBO DE TEMPERATURA</v>
      </c>
      <c r="J378" t="str">
        <f t="shared" si="224"/>
        <v>1</v>
      </c>
      <c r="K378" t="str">
        <f t="shared" si="250"/>
        <v>0</v>
      </c>
      <c r="L378" t="str">
        <f>"26,000"</f>
        <v>26,000</v>
      </c>
      <c r="M378" t="str">
        <f t="shared" si="225"/>
        <v xml:space="preserve"> </v>
      </c>
      <c r="N378" t="str">
        <f t="shared" si="257"/>
        <v>FISPA</v>
      </c>
      <c r="O378" t="str">
        <f t="shared" si="258"/>
        <v>BULBOS</v>
      </c>
      <c r="P378" t="str">
        <f t="shared" si="260"/>
        <v>0</v>
      </c>
      <c r="Q378" t="str">
        <f t="shared" si="260"/>
        <v>0</v>
      </c>
      <c r="R378" t="str">
        <f t="shared" si="261"/>
        <v>0,00</v>
      </c>
      <c r="S378" t="str">
        <f t="shared" si="261"/>
        <v>0,00</v>
      </c>
      <c r="T378" t="str">
        <f t="shared" si="249"/>
        <v xml:space="preserve"> </v>
      </c>
      <c r="U378" t="str">
        <f t="shared" si="253"/>
        <v xml:space="preserve"> </v>
      </c>
      <c r="V378" t="str">
        <f>"26,000"</f>
        <v>26,000</v>
      </c>
      <c r="W378" t="str">
        <f t="shared" si="228"/>
        <v>Lista 4</v>
      </c>
      <c r="X378" t="str">
        <f t="shared" si="229"/>
        <v>Lista 5</v>
      </c>
      <c r="Y378" t="str">
        <f t="shared" si="230"/>
        <v>Oferta Gral.</v>
      </c>
      <c r="Z378" t="str">
        <f t="shared" si="231"/>
        <v>Rubro</v>
      </c>
      <c r="AA378" t="str">
        <f t="shared" si="232"/>
        <v>Cantidad por Bulto</v>
      </c>
      <c r="AB378" t="str">
        <f t="shared" si="233"/>
        <v>INNER</v>
      </c>
      <c r="AC378" t="str">
        <f t="shared" si="234"/>
        <v>Stock en Bultos</v>
      </c>
      <c r="AD378" t="str">
        <f t="shared" si="235"/>
        <v>SubDepósito</v>
      </c>
      <c r="AE378" t="str">
        <f t="shared" si="236"/>
        <v>Marca</v>
      </c>
      <c r="AF378" t="str">
        <f t="shared" si="237"/>
        <v>Super Rubro</v>
      </c>
      <c r="AG378" t="str">
        <f t="shared" si="238"/>
        <v>ComercioExterior</v>
      </c>
      <c r="AH378" t="str">
        <f t="shared" si="239"/>
        <v>PrecioFOB</v>
      </c>
      <c r="AI378" t="str">
        <f t="shared" si="240"/>
        <v>Monto II</v>
      </c>
      <c r="AJ378" t="str">
        <f t="shared" si="241"/>
        <v>Porcentaje II</v>
      </c>
      <c r="AK378" t="str">
        <f t="shared" si="242"/>
        <v>Foto</v>
      </c>
      <c r="AL37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8" t="str">
        <f t="shared" si="256"/>
        <v>-</v>
      </c>
    </row>
    <row r="379" spans="1:39" x14ac:dyDescent="0.25">
      <c r="A379" t="str">
        <f>"FI513"</f>
        <v>FI513</v>
      </c>
      <c r="B379" t="str">
        <f>"BULBO TEMP FIAT TEMPRA - TIPO - UNO TODOS 1.4IE - 1.6  IE"</f>
        <v>BULBO TEMP FIAT TEMPRA - TIPO - UNO TODOS 1.4IE - 1.6  IE</v>
      </c>
      <c r="C379" t="str">
        <f>"$ 5649,03"</f>
        <v>$ 5649,03</v>
      </c>
      <c r="D379" t="str">
        <f>"$ 5649,03"</f>
        <v>$ 5649,03</v>
      </c>
      <c r="E379" t="str">
        <f>"$ 5649,03"</f>
        <v>$ 5649,03</v>
      </c>
      <c r="F379" t="str">
        <f>"$ 5649,03"</f>
        <v>$ 5649,03</v>
      </c>
      <c r="G379" t="str">
        <f>"$ 5649,03"</f>
        <v>$ 5649,03</v>
      </c>
      <c r="H379" t="str">
        <f t="shared" si="223"/>
        <v>$ 0,00</v>
      </c>
      <c r="I379" t="str">
        <f t="shared" si="262"/>
        <v>BULBO DE TEMPERATURA</v>
      </c>
      <c r="J379" t="str">
        <f t="shared" si="224"/>
        <v>1</v>
      </c>
      <c r="K379" t="str">
        <f t="shared" si="250"/>
        <v>0</v>
      </c>
      <c r="L379" t="str">
        <f>"0,000"</f>
        <v>0,000</v>
      </c>
      <c r="M379" t="str">
        <f t="shared" si="225"/>
        <v xml:space="preserve"> </v>
      </c>
      <c r="N379" t="str">
        <f t="shared" si="257"/>
        <v>FISPA</v>
      </c>
      <c r="O379" t="str">
        <f t="shared" si="258"/>
        <v>BULBOS</v>
      </c>
      <c r="P379" t="str">
        <f t="shared" si="260"/>
        <v>0</v>
      </c>
      <c r="Q379" t="str">
        <f t="shared" si="260"/>
        <v>0</v>
      </c>
      <c r="R379" t="str">
        <f t="shared" si="261"/>
        <v>0,00</v>
      </c>
      <c r="S379" t="str">
        <f t="shared" si="261"/>
        <v>0,00</v>
      </c>
      <c r="T379" t="str">
        <f t="shared" si="249"/>
        <v xml:space="preserve"> </v>
      </c>
      <c r="U379" t="str">
        <f t="shared" si="253"/>
        <v xml:space="preserve"> </v>
      </c>
      <c r="V379" t="str">
        <f>"0,000"</f>
        <v>0,000</v>
      </c>
      <c r="W379" t="str">
        <f t="shared" si="228"/>
        <v>Lista 4</v>
      </c>
      <c r="X379" t="str">
        <f t="shared" si="229"/>
        <v>Lista 5</v>
      </c>
      <c r="Y379" t="str">
        <f t="shared" si="230"/>
        <v>Oferta Gral.</v>
      </c>
      <c r="Z379" t="str">
        <f t="shared" si="231"/>
        <v>Rubro</v>
      </c>
      <c r="AA379" t="str">
        <f t="shared" si="232"/>
        <v>Cantidad por Bulto</v>
      </c>
      <c r="AB379" t="str">
        <f t="shared" si="233"/>
        <v>INNER</v>
      </c>
      <c r="AC379" t="str">
        <f t="shared" si="234"/>
        <v>Stock en Bultos</v>
      </c>
      <c r="AD379" t="str">
        <f t="shared" si="235"/>
        <v>SubDepósito</v>
      </c>
      <c r="AE379" t="str">
        <f t="shared" si="236"/>
        <v>Marca</v>
      </c>
      <c r="AF379" t="str">
        <f t="shared" si="237"/>
        <v>Super Rubro</v>
      </c>
      <c r="AG379" t="str">
        <f t="shared" si="238"/>
        <v>ComercioExterior</v>
      </c>
      <c r="AH379" t="str">
        <f t="shared" si="239"/>
        <v>PrecioFOB</v>
      </c>
      <c r="AI379" t="str">
        <f t="shared" si="240"/>
        <v>Monto II</v>
      </c>
      <c r="AJ379" t="str">
        <f t="shared" si="241"/>
        <v>Porcentaje II</v>
      </c>
      <c r="AK379" t="str">
        <f t="shared" si="242"/>
        <v>Foto</v>
      </c>
      <c r="AL379" t="str">
        <f>" "</f>
        <v xml:space="preserve"> </v>
      </c>
      <c r="AM379" t="str">
        <f t="shared" si="256"/>
        <v>-</v>
      </c>
    </row>
    <row r="380" spans="1:39" x14ac:dyDescent="0.25">
      <c r="A380" t="str">
        <f>"FI570"</f>
        <v>FI570</v>
      </c>
      <c r="B380" t="str">
        <f>"BULBO TEMP FIESTA IV 1.4 Y 1.6 - FOCUS I,II Y III 1.4 , 1.6 , 1.8 , 2.0 - MONDEO I II III Y IV - RANGER IV"</f>
        <v>BULBO TEMP FIESTA IV 1.4 Y 1.6 - FOCUS I,II Y III 1.4 , 1.6 , 1.8 , 2.0 - MONDEO I II III Y IV - RANGER IV</v>
      </c>
      <c r="C380" t="str">
        <f>"$ 7692,19"</f>
        <v>$ 7692,19</v>
      </c>
      <c r="D380" t="str">
        <f>"$ 7692,19"</f>
        <v>$ 7692,19</v>
      </c>
      <c r="E380" t="str">
        <f>"$ 7692,19"</f>
        <v>$ 7692,19</v>
      </c>
      <c r="F380" t="str">
        <f>"$ 7692,19"</f>
        <v>$ 7692,19</v>
      </c>
      <c r="G380" t="str">
        <f>"$ 7692,19"</f>
        <v>$ 7692,19</v>
      </c>
      <c r="H380" t="str">
        <f t="shared" si="223"/>
        <v>$ 0,00</v>
      </c>
      <c r="I380" t="str">
        <f t="shared" si="262"/>
        <v>BULBO DE TEMPERATURA</v>
      </c>
      <c r="J380" t="str">
        <f t="shared" si="224"/>
        <v>1</v>
      </c>
      <c r="K380" t="str">
        <f t="shared" si="250"/>
        <v>0</v>
      </c>
      <c r="L380" t="str">
        <f>"7,000"</f>
        <v>7,000</v>
      </c>
      <c r="M380" t="str">
        <f t="shared" si="225"/>
        <v xml:space="preserve"> </v>
      </c>
      <c r="N380" t="str">
        <f t="shared" si="257"/>
        <v>FISPA</v>
      </c>
      <c r="O380" t="str">
        <f t="shared" si="258"/>
        <v>BULBOS</v>
      </c>
      <c r="P380" t="str">
        <f t="shared" si="260"/>
        <v>0</v>
      </c>
      <c r="Q380" t="str">
        <f t="shared" si="260"/>
        <v>0</v>
      </c>
      <c r="R380" t="str">
        <f t="shared" si="261"/>
        <v>0,00</v>
      </c>
      <c r="S380" t="str">
        <f t="shared" si="261"/>
        <v>0,00</v>
      </c>
      <c r="T380" t="str">
        <f t="shared" si="249"/>
        <v xml:space="preserve"> </v>
      </c>
      <c r="U380" t="str">
        <f t="shared" si="253"/>
        <v xml:space="preserve"> </v>
      </c>
      <c r="V380" t="str">
        <f>"7,000"</f>
        <v>7,000</v>
      </c>
      <c r="W380" t="str">
        <f t="shared" si="228"/>
        <v>Lista 4</v>
      </c>
      <c r="X380" t="str">
        <f t="shared" si="229"/>
        <v>Lista 5</v>
      </c>
      <c r="Y380" t="str">
        <f t="shared" si="230"/>
        <v>Oferta Gral.</v>
      </c>
      <c r="Z380" t="str">
        <f t="shared" si="231"/>
        <v>Rubro</v>
      </c>
      <c r="AA380" t="str">
        <f t="shared" si="232"/>
        <v>Cantidad por Bulto</v>
      </c>
      <c r="AB380" t="str">
        <f t="shared" si="233"/>
        <v>INNER</v>
      </c>
      <c r="AC380" t="str">
        <f t="shared" si="234"/>
        <v>Stock en Bultos</v>
      </c>
      <c r="AD380" t="str">
        <f t="shared" si="235"/>
        <v>SubDepósito</v>
      </c>
      <c r="AE380" t="str">
        <f t="shared" si="236"/>
        <v>Marca</v>
      </c>
      <c r="AF380" t="str">
        <f t="shared" si="237"/>
        <v>Super Rubro</v>
      </c>
      <c r="AG380" t="str">
        <f t="shared" si="238"/>
        <v>ComercioExterior</v>
      </c>
      <c r="AH380" t="str">
        <f t="shared" si="239"/>
        <v>PrecioFOB</v>
      </c>
      <c r="AI380" t="str">
        <f t="shared" si="240"/>
        <v>Monto II</v>
      </c>
      <c r="AJ380" t="str">
        <f t="shared" si="241"/>
        <v>Porcentaje II</v>
      </c>
      <c r="AK380" t="str">
        <f t="shared" si="242"/>
        <v>Foto</v>
      </c>
      <c r="AL38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80" t="str">
        <f t="shared" si="256"/>
        <v>-</v>
      </c>
    </row>
    <row r="381" spans="1:39" x14ac:dyDescent="0.25">
      <c r="A381" t="str">
        <f>"FI505"</f>
        <v>FI505</v>
      </c>
      <c r="B381" t="str">
        <f>"BULBO TEMP FORD ESCORT - VW GOL - POINTER - SANTANA - QUANTUM"</f>
        <v>BULBO TEMP FORD ESCORT - VW GOL - POINTER - SANTANA - QUANTUM</v>
      </c>
      <c r="C381" t="str">
        <f>"$ 6681,76"</f>
        <v>$ 6681,76</v>
      </c>
      <c r="D381" t="str">
        <f>"$ 6681,76"</f>
        <v>$ 6681,76</v>
      </c>
      <c r="E381" t="str">
        <f>"$ 6681,76"</f>
        <v>$ 6681,76</v>
      </c>
      <c r="F381" t="str">
        <f>"$ 6681,76"</f>
        <v>$ 6681,76</v>
      </c>
      <c r="G381" t="str">
        <f>"$ 6681,76"</f>
        <v>$ 6681,76</v>
      </c>
      <c r="H381" t="str">
        <f t="shared" si="223"/>
        <v>$ 0,00</v>
      </c>
      <c r="I381" t="str">
        <f t="shared" si="262"/>
        <v>BULBO DE TEMPERATURA</v>
      </c>
      <c r="J381" t="str">
        <f t="shared" si="224"/>
        <v>1</v>
      </c>
      <c r="K381" t="str">
        <f t="shared" si="250"/>
        <v>0</v>
      </c>
      <c r="L381" t="str">
        <f>"0,000"</f>
        <v>0,000</v>
      </c>
      <c r="M381" t="str">
        <f t="shared" si="225"/>
        <v xml:space="preserve"> </v>
      </c>
      <c r="N381" t="str">
        <f t="shared" si="257"/>
        <v>FISPA</v>
      </c>
      <c r="O381" t="str">
        <f t="shared" si="258"/>
        <v>BULBOS</v>
      </c>
      <c r="P381" t="str">
        <f t="shared" si="260"/>
        <v>0</v>
      </c>
      <c r="Q381" t="str">
        <f t="shared" si="260"/>
        <v>0</v>
      </c>
      <c r="R381" t="str">
        <f t="shared" si="261"/>
        <v>0,00</v>
      </c>
      <c r="S381" t="str">
        <f t="shared" si="261"/>
        <v>0,00</v>
      </c>
      <c r="T381" t="str">
        <f t="shared" si="249"/>
        <v xml:space="preserve"> </v>
      </c>
      <c r="U381" t="str">
        <f t="shared" si="253"/>
        <v xml:space="preserve"> </v>
      </c>
      <c r="V381" t="str">
        <f>"0,000"</f>
        <v>0,000</v>
      </c>
      <c r="W381" t="str">
        <f t="shared" si="228"/>
        <v>Lista 4</v>
      </c>
      <c r="X381" t="str">
        <f t="shared" si="229"/>
        <v>Lista 5</v>
      </c>
      <c r="Y381" t="str">
        <f t="shared" si="230"/>
        <v>Oferta Gral.</v>
      </c>
      <c r="Z381" t="str">
        <f t="shared" si="231"/>
        <v>Rubro</v>
      </c>
      <c r="AA381" t="str">
        <f t="shared" si="232"/>
        <v>Cantidad por Bulto</v>
      </c>
      <c r="AB381" t="str">
        <f t="shared" si="233"/>
        <v>INNER</v>
      </c>
      <c r="AC381" t="str">
        <f t="shared" si="234"/>
        <v>Stock en Bultos</v>
      </c>
      <c r="AD381" t="str">
        <f t="shared" si="235"/>
        <v>SubDepósito</v>
      </c>
      <c r="AE381" t="str">
        <f t="shared" si="236"/>
        <v>Marca</v>
      </c>
      <c r="AF381" t="str">
        <f t="shared" si="237"/>
        <v>Super Rubro</v>
      </c>
      <c r="AG381" t="str">
        <f t="shared" si="238"/>
        <v>ComercioExterior</v>
      </c>
      <c r="AH381" t="str">
        <f t="shared" si="239"/>
        <v>PrecioFOB</v>
      </c>
      <c r="AI381" t="str">
        <f t="shared" si="240"/>
        <v>Monto II</v>
      </c>
      <c r="AJ381" t="str">
        <f t="shared" si="241"/>
        <v>Porcentaje II</v>
      </c>
      <c r="AK381" t="str">
        <f t="shared" si="242"/>
        <v>Foto</v>
      </c>
      <c r="AL381" t="str">
        <f>" "</f>
        <v xml:space="preserve"> </v>
      </c>
      <c r="AM381" t="str">
        <f t="shared" si="256"/>
        <v>-</v>
      </c>
    </row>
    <row r="382" spans="1:39" x14ac:dyDescent="0.25">
      <c r="A382" t="str">
        <f>"FI540"</f>
        <v>FI540</v>
      </c>
      <c r="B382" t="str">
        <f>"BULBO TEMP FORD ESCORT VII ZETEC 1.8 16V - MONDEOII &amp; III 1.8I 2.0I - FIESTA V - FOCUS 2.0 - "</f>
        <v xml:space="preserve">BULBO TEMP FORD ESCORT VII ZETEC 1.8 16V - MONDEOII &amp; III 1.8I 2.0I - FIESTA V - FOCUS 2.0 - </v>
      </c>
      <c r="C382" t="str">
        <f>"$ 5488,05"</f>
        <v>$ 5488,05</v>
      </c>
      <c r="D382" t="str">
        <f>"$ 5488,05"</f>
        <v>$ 5488,05</v>
      </c>
      <c r="E382" t="str">
        <f>"$ 5488,05"</f>
        <v>$ 5488,05</v>
      </c>
      <c r="F382" t="str">
        <f>"$ 5488,05"</f>
        <v>$ 5488,05</v>
      </c>
      <c r="G382" t="str">
        <f>"$ 5488,05"</f>
        <v>$ 5488,05</v>
      </c>
      <c r="H382" t="str">
        <f t="shared" si="223"/>
        <v>$ 0,00</v>
      </c>
      <c r="I382" t="str">
        <f t="shared" si="262"/>
        <v>BULBO DE TEMPERATURA</v>
      </c>
      <c r="J382" t="str">
        <f t="shared" si="224"/>
        <v>1</v>
      </c>
      <c r="K382" t="str">
        <f t="shared" si="250"/>
        <v>0</v>
      </c>
      <c r="L382" t="str">
        <f>"10,000"</f>
        <v>10,000</v>
      </c>
      <c r="M382" t="str">
        <f t="shared" si="225"/>
        <v xml:space="preserve"> </v>
      </c>
      <c r="N382" t="str">
        <f t="shared" si="257"/>
        <v>FISPA</v>
      </c>
      <c r="O382" t="str">
        <f t="shared" si="258"/>
        <v>BULBOS</v>
      </c>
      <c r="P382" t="str">
        <f t="shared" si="260"/>
        <v>0</v>
      </c>
      <c r="Q382" t="str">
        <f t="shared" si="260"/>
        <v>0</v>
      </c>
      <c r="R382" t="str">
        <f t="shared" si="261"/>
        <v>0,00</v>
      </c>
      <c r="S382" t="str">
        <f t="shared" si="261"/>
        <v>0,00</v>
      </c>
      <c r="T382" t="str">
        <f t="shared" si="249"/>
        <v xml:space="preserve"> </v>
      </c>
      <c r="U382" t="str">
        <f t="shared" si="253"/>
        <v xml:space="preserve"> </v>
      </c>
      <c r="V382" t="str">
        <f>"10,000"</f>
        <v>10,000</v>
      </c>
      <c r="W382" t="str">
        <f t="shared" si="228"/>
        <v>Lista 4</v>
      </c>
      <c r="X382" t="str">
        <f t="shared" si="229"/>
        <v>Lista 5</v>
      </c>
      <c r="Y382" t="str">
        <f t="shared" si="230"/>
        <v>Oferta Gral.</v>
      </c>
      <c r="Z382" t="str">
        <f t="shared" si="231"/>
        <v>Rubro</v>
      </c>
      <c r="AA382" t="str">
        <f t="shared" si="232"/>
        <v>Cantidad por Bulto</v>
      </c>
      <c r="AB382" t="str">
        <f t="shared" si="233"/>
        <v>INNER</v>
      </c>
      <c r="AC382" t="str">
        <f t="shared" si="234"/>
        <v>Stock en Bultos</v>
      </c>
      <c r="AD382" t="str">
        <f t="shared" si="235"/>
        <v>SubDepósito</v>
      </c>
      <c r="AE382" t="str">
        <f t="shared" si="236"/>
        <v>Marca</v>
      </c>
      <c r="AF382" t="str">
        <f t="shared" si="237"/>
        <v>Super Rubro</v>
      </c>
      <c r="AG382" t="str">
        <f t="shared" si="238"/>
        <v>ComercioExterior</v>
      </c>
      <c r="AH382" t="str">
        <f t="shared" si="239"/>
        <v>PrecioFOB</v>
      </c>
      <c r="AI382" t="str">
        <f t="shared" si="240"/>
        <v>Monto II</v>
      </c>
      <c r="AJ382" t="str">
        <f t="shared" si="241"/>
        <v>Porcentaje II</v>
      </c>
      <c r="AK382" t="str">
        <f t="shared" si="242"/>
        <v>Foto</v>
      </c>
      <c r="AL382" t="str">
        <f t="shared" ref="AL382:AL388" si="265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82" t="str">
        <f t="shared" si="256"/>
        <v>-</v>
      </c>
    </row>
    <row r="383" spans="1:39" x14ac:dyDescent="0.25">
      <c r="A383" t="str">
        <f>"FI526"</f>
        <v>FI526</v>
      </c>
      <c r="B383" t="str">
        <f>"BULBO TEMP FORD ESCORT/FIESTA 1.3 - FIESTA II &amp; III 1.4/1.8D - MONDEO 1.8TD - MONDEO II 1.8I/2.0I/2.5"</f>
        <v>BULBO TEMP FORD ESCORT/FIESTA 1.3 - FIESTA II &amp; III 1.4/1.8D - MONDEO 1.8TD - MONDEO II 1.8I/2.0I/2.5</v>
      </c>
      <c r="C383" t="str">
        <f>"$ 6514,59"</f>
        <v>$ 6514,59</v>
      </c>
      <c r="D383" t="str">
        <f>"$ 6514,59"</f>
        <v>$ 6514,59</v>
      </c>
      <c r="E383" t="str">
        <f>"$ 6514,59"</f>
        <v>$ 6514,59</v>
      </c>
      <c r="F383" t="str">
        <f>"$ 6514,59"</f>
        <v>$ 6514,59</v>
      </c>
      <c r="G383" t="str">
        <f>"$ 6514,59"</f>
        <v>$ 6514,59</v>
      </c>
      <c r="H383" t="str">
        <f t="shared" si="223"/>
        <v>$ 0,00</v>
      </c>
      <c r="I383" t="str">
        <f t="shared" si="262"/>
        <v>BULBO DE TEMPERATURA</v>
      </c>
      <c r="J383" t="str">
        <f t="shared" si="224"/>
        <v>1</v>
      </c>
      <c r="K383" t="str">
        <f t="shared" si="250"/>
        <v>0</v>
      </c>
      <c r="L383" t="str">
        <f>"0,000"</f>
        <v>0,000</v>
      </c>
      <c r="M383" t="str">
        <f t="shared" si="225"/>
        <v xml:space="preserve"> </v>
      </c>
      <c r="N383" t="str">
        <f t="shared" si="257"/>
        <v>FISPA</v>
      </c>
      <c r="O383" t="str">
        <f t="shared" si="258"/>
        <v>BULBOS</v>
      </c>
      <c r="P383" t="str">
        <f t="shared" ref="P383:Q402" si="266">"0"</f>
        <v>0</v>
      </c>
      <c r="Q383" t="str">
        <f t="shared" si="266"/>
        <v>0</v>
      </c>
      <c r="R383" t="str">
        <f t="shared" ref="R383:S402" si="267">"0,00"</f>
        <v>0,00</v>
      </c>
      <c r="S383" t="str">
        <f t="shared" si="267"/>
        <v>0,00</v>
      </c>
      <c r="T383" t="str">
        <f t="shared" si="249"/>
        <v xml:space="preserve"> </v>
      </c>
      <c r="U383" t="str">
        <f t="shared" si="253"/>
        <v xml:space="preserve"> </v>
      </c>
      <c r="V383" t="str">
        <f>"0,000"</f>
        <v>0,000</v>
      </c>
      <c r="W383" t="str">
        <f t="shared" si="228"/>
        <v>Lista 4</v>
      </c>
      <c r="X383" t="str">
        <f t="shared" si="229"/>
        <v>Lista 5</v>
      </c>
      <c r="Y383" t="str">
        <f t="shared" si="230"/>
        <v>Oferta Gral.</v>
      </c>
      <c r="Z383" t="str">
        <f t="shared" si="231"/>
        <v>Rubro</v>
      </c>
      <c r="AA383" t="str">
        <f t="shared" si="232"/>
        <v>Cantidad por Bulto</v>
      </c>
      <c r="AB383" t="str">
        <f t="shared" si="233"/>
        <v>INNER</v>
      </c>
      <c r="AC383" t="str">
        <f t="shared" si="234"/>
        <v>Stock en Bultos</v>
      </c>
      <c r="AD383" t="str">
        <f t="shared" si="235"/>
        <v>SubDepósito</v>
      </c>
      <c r="AE383" t="str">
        <f t="shared" si="236"/>
        <v>Marca</v>
      </c>
      <c r="AF383" t="str">
        <f t="shared" si="237"/>
        <v>Super Rubro</v>
      </c>
      <c r="AG383" t="str">
        <f t="shared" si="238"/>
        <v>ComercioExterior</v>
      </c>
      <c r="AH383" t="str">
        <f t="shared" si="239"/>
        <v>PrecioFOB</v>
      </c>
      <c r="AI383" t="str">
        <f t="shared" si="240"/>
        <v>Monto II</v>
      </c>
      <c r="AJ383" t="str">
        <f t="shared" si="241"/>
        <v>Porcentaje II</v>
      </c>
      <c r="AK383" t="str">
        <f t="shared" si="242"/>
        <v>Foto</v>
      </c>
      <c r="AL383" t="str">
        <f t="shared" si="265"/>
        <v xml:space="preserve">{\rtf1\ansi\deff0{\fonttbl{\f0\fnil\fcharset0 MS Sans Serif}} \viewkind4\uc1\pard\lang11274\f0\fs16\par } </v>
      </c>
      <c r="AM383" t="str">
        <f t="shared" si="256"/>
        <v>-</v>
      </c>
    </row>
    <row r="384" spans="1:39" x14ac:dyDescent="0.25">
      <c r="A384" t="str">
        <f>"FI541"</f>
        <v>FI541</v>
      </c>
      <c r="B384" t="str">
        <f>"BULBO TEMP FORD ESCORT/FIESTA/FOCUS 1.6 16V - KA 1.3I/1.6I-  ZETEC - ROCAM AISLANTE GRIS"</f>
        <v>BULBO TEMP FORD ESCORT/FIESTA/FOCUS 1.6 16V - KA 1.3I/1.6I-  ZETEC - ROCAM AISLANTE GRIS</v>
      </c>
      <c r="C384" t="str">
        <f>"$ 7663,71"</f>
        <v>$ 7663,71</v>
      </c>
      <c r="D384" t="str">
        <f>"$ 7663,71"</f>
        <v>$ 7663,71</v>
      </c>
      <c r="E384" t="str">
        <f>"$ 7663,71"</f>
        <v>$ 7663,71</v>
      </c>
      <c r="F384" t="str">
        <f>"$ 7663,71"</f>
        <v>$ 7663,71</v>
      </c>
      <c r="G384" t="str">
        <f>"$ 7663,71"</f>
        <v>$ 7663,71</v>
      </c>
      <c r="H384" t="str">
        <f t="shared" si="223"/>
        <v>$ 0,00</v>
      </c>
      <c r="I384" t="str">
        <f t="shared" si="262"/>
        <v>BULBO DE TEMPERATURA</v>
      </c>
      <c r="J384" t="str">
        <f t="shared" si="224"/>
        <v>1</v>
      </c>
      <c r="K384" t="str">
        <f t="shared" si="250"/>
        <v>0</v>
      </c>
      <c r="L384" t="str">
        <f>"23,000"</f>
        <v>23,000</v>
      </c>
      <c r="M384" t="str">
        <f t="shared" si="225"/>
        <v xml:space="preserve"> </v>
      </c>
      <c r="N384" t="str">
        <f t="shared" si="257"/>
        <v>FISPA</v>
      </c>
      <c r="O384" t="str">
        <f t="shared" si="258"/>
        <v>BULBOS</v>
      </c>
      <c r="P384" t="str">
        <f t="shared" si="266"/>
        <v>0</v>
      </c>
      <c r="Q384" t="str">
        <f t="shared" si="266"/>
        <v>0</v>
      </c>
      <c r="R384" t="str">
        <f t="shared" si="267"/>
        <v>0,00</v>
      </c>
      <c r="S384" t="str">
        <f t="shared" si="267"/>
        <v>0,00</v>
      </c>
      <c r="T384" t="str">
        <f t="shared" si="249"/>
        <v xml:space="preserve"> </v>
      </c>
      <c r="U384" t="str">
        <f t="shared" si="253"/>
        <v xml:space="preserve"> </v>
      </c>
      <c r="V384" t="str">
        <f>"23,000"</f>
        <v>23,000</v>
      </c>
      <c r="W384" t="str">
        <f t="shared" si="228"/>
        <v>Lista 4</v>
      </c>
      <c r="X384" t="str">
        <f t="shared" si="229"/>
        <v>Lista 5</v>
      </c>
      <c r="Y384" t="str">
        <f t="shared" si="230"/>
        <v>Oferta Gral.</v>
      </c>
      <c r="Z384" t="str">
        <f t="shared" si="231"/>
        <v>Rubro</v>
      </c>
      <c r="AA384" t="str">
        <f t="shared" si="232"/>
        <v>Cantidad por Bulto</v>
      </c>
      <c r="AB384" t="str">
        <f t="shared" si="233"/>
        <v>INNER</v>
      </c>
      <c r="AC384" t="str">
        <f t="shared" si="234"/>
        <v>Stock en Bultos</v>
      </c>
      <c r="AD384" t="str">
        <f t="shared" si="235"/>
        <v>SubDepósito</v>
      </c>
      <c r="AE384" t="str">
        <f t="shared" si="236"/>
        <v>Marca</v>
      </c>
      <c r="AF384" t="str">
        <f t="shared" si="237"/>
        <v>Super Rubro</v>
      </c>
      <c r="AG384" t="str">
        <f t="shared" si="238"/>
        <v>ComercioExterior</v>
      </c>
      <c r="AH384" t="str">
        <f t="shared" si="239"/>
        <v>PrecioFOB</v>
      </c>
      <c r="AI384" t="str">
        <f t="shared" si="240"/>
        <v>Monto II</v>
      </c>
      <c r="AJ384" t="str">
        <f t="shared" si="241"/>
        <v>Porcentaje II</v>
      </c>
      <c r="AK384" t="str">
        <f t="shared" si="242"/>
        <v>Foto</v>
      </c>
      <c r="AL384" t="str">
        <f t="shared" si="265"/>
        <v xml:space="preserve">{\rtf1\ansi\deff0{\fonttbl{\f0\fnil\fcharset0 MS Sans Serif}} \viewkind4\uc1\pard\lang11274\f0\fs16\par } </v>
      </c>
      <c r="AM384" t="str">
        <f t="shared" ref="AM384:AM415" si="268">"-"</f>
        <v>-</v>
      </c>
    </row>
    <row r="385" spans="1:39" x14ac:dyDescent="0.25">
      <c r="A385" t="str">
        <f>"FI523"</f>
        <v>FI523</v>
      </c>
      <c r="B385" t="str">
        <f>"BULBO TEMP FORD ESCORT/FIESTA/KA/ FOCUS II 1.6/1.6/1.8TDCI/2.0 - TRANSIT "</f>
        <v xml:space="preserve">BULBO TEMP FORD ESCORT/FIESTA/KA/ FOCUS II 1.6/1.6/1.8TDCI/2.0 - TRANSIT </v>
      </c>
      <c r="C385" t="str">
        <f>"$ 6357,33"</f>
        <v>$ 6357,33</v>
      </c>
      <c r="D385" t="str">
        <f>"$ 6357,33"</f>
        <v>$ 6357,33</v>
      </c>
      <c r="E385" t="str">
        <f>"$ 6357,33"</f>
        <v>$ 6357,33</v>
      </c>
      <c r="F385" t="str">
        <f>"$ 6357,33"</f>
        <v>$ 6357,33</v>
      </c>
      <c r="G385" t="str">
        <f>"$ 6357,33"</f>
        <v>$ 6357,33</v>
      </c>
      <c r="H385" t="str">
        <f t="shared" si="223"/>
        <v>$ 0,00</v>
      </c>
      <c r="I385" t="str">
        <f t="shared" si="262"/>
        <v>BULBO DE TEMPERATURA</v>
      </c>
      <c r="J385" t="str">
        <f t="shared" si="224"/>
        <v>1</v>
      </c>
      <c r="K385" t="str">
        <f t="shared" si="250"/>
        <v>0</v>
      </c>
      <c r="L385" t="str">
        <f>"8,000"</f>
        <v>8,000</v>
      </c>
      <c r="M385" t="str">
        <f t="shared" si="225"/>
        <v xml:space="preserve"> </v>
      </c>
      <c r="N385" t="str">
        <f t="shared" ref="N385:N419" si="269">"FISPA"</f>
        <v>FISPA</v>
      </c>
      <c r="O385" t="str">
        <f t="shared" ref="O385:O419" si="270">"BULBOS"</f>
        <v>BULBOS</v>
      </c>
      <c r="P385" t="str">
        <f t="shared" si="266"/>
        <v>0</v>
      </c>
      <c r="Q385" t="str">
        <f t="shared" si="266"/>
        <v>0</v>
      </c>
      <c r="R385" t="str">
        <f t="shared" si="267"/>
        <v>0,00</v>
      </c>
      <c r="S385" t="str">
        <f t="shared" si="267"/>
        <v>0,00</v>
      </c>
      <c r="T385" t="str">
        <f t="shared" si="249"/>
        <v xml:space="preserve"> </v>
      </c>
      <c r="U385" t="str">
        <f t="shared" si="253"/>
        <v xml:space="preserve"> </v>
      </c>
      <c r="V385" t="str">
        <f>"8,000"</f>
        <v>8,000</v>
      </c>
      <c r="W385" t="str">
        <f t="shared" si="228"/>
        <v>Lista 4</v>
      </c>
      <c r="X385" t="str">
        <f t="shared" si="229"/>
        <v>Lista 5</v>
      </c>
      <c r="Y385" t="str">
        <f t="shared" si="230"/>
        <v>Oferta Gral.</v>
      </c>
      <c r="Z385" t="str">
        <f t="shared" si="231"/>
        <v>Rubro</v>
      </c>
      <c r="AA385" t="str">
        <f t="shared" si="232"/>
        <v>Cantidad por Bulto</v>
      </c>
      <c r="AB385" t="str">
        <f t="shared" si="233"/>
        <v>INNER</v>
      </c>
      <c r="AC385" t="str">
        <f t="shared" si="234"/>
        <v>Stock en Bultos</v>
      </c>
      <c r="AD385" t="str">
        <f t="shared" si="235"/>
        <v>SubDepósito</v>
      </c>
      <c r="AE385" t="str">
        <f t="shared" si="236"/>
        <v>Marca</v>
      </c>
      <c r="AF385" t="str">
        <f t="shared" si="237"/>
        <v>Super Rubro</v>
      </c>
      <c r="AG385" t="str">
        <f t="shared" si="238"/>
        <v>ComercioExterior</v>
      </c>
      <c r="AH385" t="str">
        <f t="shared" si="239"/>
        <v>PrecioFOB</v>
      </c>
      <c r="AI385" t="str">
        <f t="shared" si="240"/>
        <v>Monto II</v>
      </c>
      <c r="AJ385" t="str">
        <f t="shared" si="241"/>
        <v>Porcentaje II</v>
      </c>
      <c r="AK385" t="str">
        <f t="shared" si="242"/>
        <v>Foto</v>
      </c>
      <c r="AL385" t="str">
        <f t="shared" si="265"/>
        <v xml:space="preserve">{\rtf1\ansi\deff0{\fonttbl{\f0\fnil\fcharset0 MS Sans Serif}} \viewkind4\uc1\pard\lang11274\f0\fs16\par } </v>
      </c>
      <c r="AM385" t="str">
        <f t="shared" si="268"/>
        <v>-</v>
      </c>
    </row>
    <row r="386" spans="1:39" x14ac:dyDescent="0.25">
      <c r="A386" t="str">
        <f>"FI519"</f>
        <v>FI519</v>
      </c>
      <c r="B386" t="str">
        <f>"BULBO TEMP FORD ESCORT/FOCUS/MONDEO I 6 II 1.8/2.0 TRANSIT 1.8 - 2.0 16V ZETEC "</f>
        <v xml:space="preserve">BULBO TEMP FORD ESCORT/FOCUS/MONDEO I 6 II 1.8/2.0 TRANSIT 1.8 - 2.0 16V ZETEC </v>
      </c>
      <c r="C386" t="str">
        <f>"$ 6972,75"</f>
        <v>$ 6972,75</v>
      </c>
      <c r="D386" t="str">
        <f>"$ 6972,75"</f>
        <v>$ 6972,75</v>
      </c>
      <c r="E386" t="str">
        <f>"$ 6972,75"</f>
        <v>$ 6972,75</v>
      </c>
      <c r="F386" t="str">
        <f>"$ 6972,75"</f>
        <v>$ 6972,75</v>
      </c>
      <c r="G386" t="str">
        <f>"$ 6972,75"</f>
        <v>$ 6972,75</v>
      </c>
      <c r="H386" t="str">
        <f t="shared" si="223"/>
        <v>$ 0,00</v>
      </c>
      <c r="I386" t="str">
        <f t="shared" si="262"/>
        <v>BULBO DE TEMPERATURA</v>
      </c>
      <c r="J386" t="str">
        <f t="shared" si="224"/>
        <v>1</v>
      </c>
      <c r="K386" t="str">
        <f t="shared" si="250"/>
        <v>0</v>
      </c>
      <c r="L386" t="str">
        <f>"0,000"</f>
        <v>0,000</v>
      </c>
      <c r="M386" t="str">
        <f t="shared" si="225"/>
        <v xml:space="preserve"> </v>
      </c>
      <c r="N386" t="str">
        <f t="shared" si="269"/>
        <v>FISPA</v>
      </c>
      <c r="O386" t="str">
        <f t="shared" si="270"/>
        <v>BULBOS</v>
      </c>
      <c r="P386" t="str">
        <f t="shared" si="266"/>
        <v>0</v>
      </c>
      <c r="Q386" t="str">
        <f t="shared" si="266"/>
        <v>0</v>
      </c>
      <c r="R386" t="str">
        <f t="shared" si="267"/>
        <v>0,00</v>
      </c>
      <c r="S386" t="str">
        <f t="shared" si="267"/>
        <v>0,00</v>
      </c>
      <c r="T386" t="str">
        <f t="shared" si="249"/>
        <v xml:space="preserve"> </v>
      </c>
      <c r="U386" t="str">
        <f t="shared" si="253"/>
        <v xml:space="preserve"> </v>
      </c>
      <c r="V386" t="str">
        <f>"0,000"</f>
        <v>0,000</v>
      </c>
      <c r="W386" t="str">
        <f t="shared" si="228"/>
        <v>Lista 4</v>
      </c>
      <c r="X386" t="str">
        <f t="shared" si="229"/>
        <v>Lista 5</v>
      </c>
      <c r="Y386" t="str">
        <f t="shared" si="230"/>
        <v>Oferta Gral.</v>
      </c>
      <c r="Z386" t="str">
        <f t="shared" si="231"/>
        <v>Rubro</v>
      </c>
      <c r="AA386" t="str">
        <f t="shared" si="232"/>
        <v>Cantidad por Bulto</v>
      </c>
      <c r="AB386" t="str">
        <f t="shared" si="233"/>
        <v>INNER</v>
      </c>
      <c r="AC386" t="str">
        <f t="shared" si="234"/>
        <v>Stock en Bultos</v>
      </c>
      <c r="AD386" t="str">
        <f t="shared" si="235"/>
        <v>SubDepósito</v>
      </c>
      <c r="AE386" t="str">
        <f t="shared" si="236"/>
        <v>Marca</v>
      </c>
      <c r="AF386" t="str">
        <f t="shared" si="237"/>
        <v>Super Rubro</v>
      </c>
      <c r="AG386" t="str">
        <f t="shared" si="238"/>
        <v>ComercioExterior</v>
      </c>
      <c r="AH386" t="str">
        <f t="shared" si="239"/>
        <v>PrecioFOB</v>
      </c>
      <c r="AI386" t="str">
        <f t="shared" si="240"/>
        <v>Monto II</v>
      </c>
      <c r="AJ386" t="str">
        <f t="shared" si="241"/>
        <v>Porcentaje II</v>
      </c>
      <c r="AK386" t="str">
        <f t="shared" si="242"/>
        <v>Foto</v>
      </c>
      <c r="AL386" t="str">
        <f t="shared" si="265"/>
        <v xml:space="preserve">{\rtf1\ansi\deff0{\fonttbl{\f0\fnil\fcharset0 MS Sans Serif}} \viewkind4\uc1\pard\lang11274\f0\fs16\par } </v>
      </c>
      <c r="AM386" t="str">
        <f t="shared" si="268"/>
        <v>-</v>
      </c>
    </row>
    <row r="387" spans="1:39" x14ac:dyDescent="0.25">
      <c r="A387" t="str">
        <f>"FI569"</f>
        <v>FI569</v>
      </c>
      <c r="B387" t="str">
        <f>"BULBO TEMP FORD EXPLORER 1997&lt;2000 - MUSTANG 1996&lt;1998 - RANGER 2.3 2001&lt;2011 – 4.0 1997&lt;2001 "</f>
        <v xml:space="preserve">BULBO TEMP FORD EXPLORER 1997&lt;2000 - MUSTANG 1996&lt;1998 - RANGER 2.3 2001&lt;2011 – 4.0 1997&lt;2001 </v>
      </c>
      <c r="C387" t="str">
        <f>"$ 8271,71"</f>
        <v>$ 8271,71</v>
      </c>
      <c r="D387" t="str">
        <f>"$ 8271,71"</f>
        <v>$ 8271,71</v>
      </c>
      <c r="E387" t="str">
        <f>"$ 8271,71"</f>
        <v>$ 8271,71</v>
      </c>
      <c r="F387" t="str">
        <f>"$ 8271,71"</f>
        <v>$ 8271,71</v>
      </c>
      <c r="G387" t="str">
        <f>"$ 8271,71"</f>
        <v>$ 8271,71</v>
      </c>
      <c r="H387" t="str">
        <f t="shared" ref="H387:H450" si="271">"$ 0,00"</f>
        <v>$ 0,00</v>
      </c>
      <c r="I387" t="str">
        <f t="shared" si="262"/>
        <v>BULBO DE TEMPERATURA</v>
      </c>
      <c r="J387" t="str">
        <f t="shared" ref="J387:J450" si="272">"1"</f>
        <v>1</v>
      </c>
      <c r="K387" t="str">
        <f t="shared" si="250"/>
        <v>0</v>
      </c>
      <c r="L387" t="str">
        <f>"0,000"</f>
        <v>0,000</v>
      </c>
      <c r="M387" t="str">
        <f t="shared" ref="M387:M450" si="273">" "</f>
        <v xml:space="preserve"> </v>
      </c>
      <c r="N387" t="str">
        <f t="shared" si="269"/>
        <v>FISPA</v>
      </c>
      <c r="O387" t="str">
        <f t="shared" si="270"/>
        <v>BULBOS</v>
      </c>
      <c r="P387" t="str">
        <f t="shared" si="266"/>
        <v>0</v>
      </c>
      <c r="Q387" t="str">
        <f t="shared" si="266"/>
        <v>0</v>
      </c>
      <c r="R387" t="str">
        <f t="shared" si="267"/>
        <v>0,00</v>
      </c>
      <c r="S387" t="str">
        <f t="shared" si="267"/>
        <v>0,00</v>
      </c>
      <c r="T387" t="str">
        <f t="shared" si="249"/>
        <v xml:space="preserve"> </v>
      </c>
      <c r="U387" t="str">
        <f t="shared" si="253"/>
        <v xml:space="preserve"> </v>
      </c>
      <c r="V387" t="str">
        <f>"0,000"</f>
        <v>0,000</v>
      </c>
      <c r="W387" t="str">
        <f t="shared" ref="W387:W450" si="274">"Lista 4"</f>
        <v>Lista 4</v>
      </c>
      <c r="X387" t="str">
        <f t="shared" ref="X387:X450" si="275">"Lista 5"</f>
        <v>Lista 5</v>
      </c>
      <c r="Y387" t="str">
        <f t="shared" ref="Y387:Y450" si="276">"Oferta Gral."</f>
        <v>Oferta Gral.</v>
      </c>
      <c r="Z387" t="str">
        <f t="shared" ref="Z387:Z450" si="277">"Rubro"</f>
        <v>Rubro</v>
      </c>
      <c r="AA387" t="str">
        <f t="shared" ref="AA387:AA450" si="278">"Cantidad por Bulto"</f>
        <v>Cantidad por Bulto</v>
      </c>
      <c r="AB387" t="str">
        <f t="shared" ref="AB387:AB450" si="279">"INNER"</f>
        <v>INNER</v>
      </c>
      <c r="AC387" t="str">
        <f t="shared" ref="AC387:AC450" si="280">"Stock en Bultos"</f>
        <v>Stock en Bultos</v>
      </c>
      <c r="AD387" t="str">
        <f t="shared" ref="AD387:AD450" si="281">"SubDepósito"</f>
        <v>SubDepósito</v>
      </c>
      <c r="AE387" t="str">
        <f t="shared" ref="AE387:AE450" si="282">"Marca"</f>
        <v>Marca</v>
      </c>
      <c r="AF387" t="str">
        <f t="shared" ref="AF387:AF450" si="283">"Super Rubro"</f>
        <v>Super Rubro</v>
      </c>
      <c r="AG387" t="str">
        <f t="shared" ref="AG387:AG450" si="284">"ComercioExterior"</f>
        <v>ComercioExterior</v>
      </c>
      <c r="AH387" t="str">
        <f t="shared" ref="AH387:AH450" si="285">"PrecioFOB"</f>
        <v>PrecioFOB</v>
      </c>
      <c r="AI387" t="str">
        <f t="shared" ref="AI387:AI450" si="286">"Monto II"</f>
        <v>Monto II</v>
      </c>
      <c r="AJ387" t="str">
        <f t="shared" ref="AJ387:AJ450" si="287">"Porcentaje II"</f>
        <v>Porcentaje II</v>
      </c>
      <c r="AK387" t="str">
        <f t="shared" ref="AK387:AK450" si="288">"Foto"</f>
        <v>Foto</v>
      </c>
      <c r="AL387" t="str">
        <f t="shared" si="265"/>
        <v xml:space="preserve">{\rtf1\ansi\deff0{\fonttbl{\f0\fnil\fcharset0 MS Sans Serif}} \viewkind4\uc1\pard\lang11274\f0\fs16\par } </v>
      </c>
      <c r="AM387" t="str">
        <f t="shared" si="268"/>
        <v>-</v>
      </c>
    </row>
    <row r="388" spans="1:39" x14ac:dyDescent="0.25">
      <c r="A388" t="str">
        <f>"FI539"</f>
        <v>FI539</v>
      </c>
      <c r="B388" t="str">
        <f>"BULBO TEMP FORD FIESTA IV 1.8DI - ESCORT VI 1.6I 16V/1.8I 16V - VII 1.6/1.8 16V - MONDEO II 1.8TS"</f>
        <v>BULBO TEMP FORD FIESTA IV 1.8DI - ESCORT VI 1.6I 16V/1.8I 16V - VII 1.6/1.8 16V - MONDEO II 1.8TS</v>
      </c>
      <c r="C388" t="str">
        <f>"$ 5649,03"</f>
        <v>$ 5649,03</v>
      </c>
      <c r="D388" t="str">
        <f>"$ 5649,03"</f>
        <v>$ 5649,03</v>
      </c>
      <c r="E388" t="str">
        <f>"$ 5649,03"</f>
        <v>$ 5649,03</v>
      </c>
      <c r="F388" t="str">
        <f>"$ 5649,03"</f>
        <v>$ 5649,03</v>
      </c>
      <c r="G388" t="str">
        <f>"$ 5649,03"</f>
        <v>$ 5649,03</v>
      </c>
      <c r="H388" t="str">
        <f t="shared" si="271"/>
        <v>$ 0,00</v>
      </c>
      <c r="I388" t="str">
        <f t="shared" si="262"/>
        <v>BULBO DE TEMPERATURA</v>
      </c>
      <c r="J388" t="str">
        <f t="shared" si="272"/>
        <v>1</v>
      </c>
      <c r="K388" t="str">
        <f t="shared" si="250"/>
        <v>0</v>
      </c>
      <c r="L388" t="str">
        <f>"0,000"</f>
        <v>0,000</v>
      </c>
      <c r="M388" t="str">
        <f t="shared" si="273"/>
        <v xml:space="preserve"> </v>
      </c>
      <c r="N388" t="str">
        <f t="shared" si="269"/>
        <v>FISPA</v>
      </c>
      <c r="O388" t="str">
        <f t="shared" si="270"/>
        <v>BULBOS</v>
      </c>
      <c r="P388" t="str">
        <f t="shared" si="266"/>
        <v>0</v>
      </c>
      <c r="Q388" t="str">
        <f t="shared" si="266"/>
        <v>0</v>
      </c>
      <c r="R388" t="str">
        <f t="shared" si="267"/>
        <v>0,00</v>
      </c>
      <c r="S388" t="str">
        <f t="shared" si="267"/>
        <v>0,00</v>
      </c>
      <c r="T388" t="str">
        <f t="shared" si="249"/>
        <v xml:space="preserve"> </v>
      </c>
      <c r="U388" t="str">
        <f t="shared" si="253"/>
        <v xml:space="preserve"> </v>
      </c>
      <c r="V388" t="str">
        <f>"0,000"</f>
        <v>0,000</v>
      </c>
      <c r="W388" t="str">
        <f t="shared" si="274"/>
        <v>Lista 4</v>
      </c>
      <c r="X388" t="str">
        <f t="shared" si="275"/>
        <v>Lista 5</v>
      </c>
      <c r="Y388" t="str">
        <f t="shared" si="276"/>
        <v>Oferta Gral.</v>
      </c>
      <c r="Z388" t="str">
        <f t="shared" si="277"/>
        <v>Rubro</v>
      </c>
      <c r="AA388" t="str">
        <f t="shared" si="278"/>
        <v>Cantidad por Bulto</v>
      </c>
      <c r="AB388" t="str">
        <f t="shared" si="279"/>
        <v>INNER</v>
      </c>
      <c r="AC388" t="str">
        <f t="shared" si="280"/>
        <v>Stock en Bultos</v>
      </c>
      <c r="AD388" t="str">
        <f t="shared" si="281"/>
        <v>SubDepósito</v>
      </c>
      <c r="AE388" t="str">
        <f t="shared" si="282"/>
        <v>Marca</v>
      </c>
      <c r="AF388" t="str">
        <f t="shared" si="283"/>
        <v>Super Rubro</v>
      </c>
      <c r="AG388" t="str">
        <f t="shared" si="284"/>
        <v>ComercioExterior</v>
      </c>
      <c r="AH388" t="str">
        <f t="shared" si="285"/>
        <v>PrecioFOB</v>
      </c>
      <c r="AI388" t="str">
        <f t="shared" si="286"/>
        <v>Monto II</v>
      </c>
      <c r="AJ388" t="str">
        <f t="shared" si="287"/>
        <v>Porcentaje II</v>
      </c>
      <c r="AK388" t="str">
        <f t="shared" si="288"/>
        <v>Foto</v>
      </c>
      <c r="AL388" t="str">
        <f t="shared" si="265"/>
        <v xml:space="preserve">{\rtf1\ansi\deff0{\fonttbl{\f0\fnil\fcharset0 MS Sans Serif}} \viewkind4\uc1\pard\lang11274\f0\fs16\par } </v>
      </c>
      <c r="AM388" t="str">
        <f t="shared" si="268"/>
        <v>-</v>
      </c>
    </row>
    <row r="389" spans="1:39" x14ac:dyDescent="0.25">
      <c r="A389" t="str">
        <f>"FI554"</f>
        <v>FI554</v>
      </c>
      <c r="B389" t="str">
        <f>"BULBO TEMP FORD FIESTA V 1.3 1.4 1.6 - FOCUS II 1.6TDCI P 206 1.6 HDI - 207 1.4HDI - 307 1.6/HDI"</f>
        <v>BULBO TEMP FORD FIESTA V 1.3 1.4 1.6 - FOCUS II 1.6TDCI P 206 1.6 HDI - 207 1.4HDI - 307 1.6/HDI</v>
      </c>
      <c r="C389" t="str">
        <f>"$ 7338,04"</f>
        <v>$ 7338,04</v>
      </c>
      <c r="D389" t="str">
        <f>"$ 7338,04"</f>
        <v>$ 7338,04</v>
      </c>
      <c r="E389" t="str">
        <f>"$ 7338,04"</f>
        <v>$ 7338,04</v>
      </c>
      <c r="F389" t="str">
        <f>"$ 7338,04"</f>
        <v>$ 7338,04</v>
      </c>
      <c r="G389" t="str">
        <f>"$ 7338,04"</f>
        <v>$ 7338,04</v>
      </c>
      <c r="H389" t="str">
        <f t="shared" si="271"/>
        <v>$ 0,00</v>
      </c>
      <c r="I389" t="str">
        <f t="shared" si="262"/>
        <v>BULBO DE TEMPERATURA</v>
      </c>
      <c r="J389" t="str">
        <f t="shared" si="272"/>
        <v>1</v>
      </c>
      <c r="K389" t="str">
        <f t="shared" si="250"/>
        <v>0</v>
      </c>
      <c r="L389" t="str">
        <f>"6,000"</f>
        <v>6,000</v>
      </c>
      <c r="M389" t="str">
        <f t="shared" si="273"/>
        <v xml:space="preserve"> </v>
      </c>
      <c r="N389" t="str">
        <f t="shared" si="269"/>
        <v>FISPA</v>
      </c>
      <c r="O389" t="str">
        <f t="shared" si="270"/>
        <v>BULBOS</v>
      </c>
      <c r="P389" t="str">
        <f t="shared" si="266"/>
        <v>0</v>
      </c>
      <c r="Q389" t="str">
        <f t="shared" si="266"/>
        <v>0</v>
      </c>
      <c r="R389" t="str">
        <f t="shared" si="267"/>
        <v>0,00</v>
      </c>
      <c r="S389" t="str">
        <f t="shared" si="267"/>
        <v>0,00</v>
      </c>
      <c r="T389" t="str">
        <f t="shared" si="249"/>
        <v xml:space="preserve"> </v>
      </c>
      <c r="U389" t="str">
        <f t="shared" si="253"/>
        <v xml:space="preserve"> </v>
      </c>
      <c r="V389" t="str">
        <f>"6,000"</f>
        <v>6,000</v>
      </c>
      <c r="W389" t="str">
        <f t="shared" si="274"/>
        <v>Lista 4</v>
      </c>
      <c r="X389" t="str">
        <f t="shared" si="275"/>
        <v>Lista 5</v>
      </c>
      <c r="Y389" t="str">
        <f t="shared" si="276"/>
        <v>Oferta Gral.</v>
      </c>
      <c r="Z389" t="str">
        <f t="shared" si="277"/>
        <v>Rubro</v>
      </c>
      <c r="AA389" t="str">
        <f t="shared" si="278"/>
        <v>Cantidad por Bulto</v>
      </c>
      <c r="AB389" t="str">
        <f t="shared" si="279"/>
        <v>INNER</v>
      </c>
      <c r="AC389" t="str">
        <f t="shared" si="280"/>
        <v>Stock en Bultos</v>
      </c>
      <c r="AD389" t="str">
        <f t="shared" si="281"/>
        <v>SubDepósito</v>
      </c>
      <c r="AE389" t="str">
        <f t="shared" si="282"/>
        <v>Marca</v>
      </c>
      <c r="AF389" t="str">
        <f t="shared" si="283"/>
        <v>Super Rubro</v>
      </c>
      <c r="AG389" t="str">
        <f t="shared" si="284"/>
        <v>ComercioExterior</v>
      </c>
      <c r="AH389" t="str">
        <f t="shared" si="285"/>
        <v>PrecioFOB</v>
      </c>
      <c r="AI389" t="str">
        <f t="shared" si="286"/>
        <v>Monto II</v>
      </c>
      <c r="AJ389" t="str">
        <f t="shared" si="287"/>
        <v>Porcentaje II</v>
      </c>
      <c r="AK389" t="str">
        <f t="shared" si="288"/>
        <v>Foto</v>
      </c>
      <c r="AL389" t="str">
        <f>"{\rtf1\ansi\ansicpg1252\deff0\deflang11274{\fonttbl{\f0\fnil\fcharset0 MS Sans Serif}} \viewkind4\uc1\pard\f0\fs16 BULBO TEMP FORD FIESTA V 1.3 1.4 1.6 - FOCUS II 1.6TDCI P 206 1.6 HDI - 207 1.4HDI - 307 1.6/HDI\par } "</f>
        <v xml:space="preserve">{\rtf1\ansi\ansicpg1252\deff0\deflang11274{\fonttbl{\f0\fnil\fcharset0 MS Sans Serif}} \viewkind4\uc1\pard\f0\fs16 BULBO TEMP FORD FIESTA V 1.3 1.4 1.6 - FOCUS II 1.6TDCI P 206 1.6 HDI - 207 1.4HDI - 307 1.6/HDI\par } </v>
      </c>
      <c r="AM389" t="str">
        <f t="shared" si="268"/>
        <v>-</v>
      </c>
    </row>
    <row r="390" spans="1:39" x14ac:dyDescent="0.25">
      <c r="A390" t="str">
        <f>"FI588"</f>
        <v>FI588</v>
      </c>
      <c r="B390" t="str">
        <f>"BULBO TEMP FORD RANGER 2.5 D / TD / 4X4 - MAZDA TODOS -SUZUKI TODOS - TOYOTA TODOS"</f>
        <v>BULBO TEMP FORD RANGER 2.5 D / TD / 4X4 - MAZDA TODOS -SUZUKI TODOS - TOYOTA TODOS</v>
      </c>
      <c r="C390" t="str">
        <f>"$ 7813,54"</f>
        <v>$ 7813,54</v>
      </c>
      <c r="D390" t="str">
        <f>"$ 7813,54"</f>
        <v>$ 7813,54</v>
      </c>
      <c r="E390" t="str">
        <f>"$ 7813,54"</f>
        <v>$ 7813,54</v>
      </c>
      <c r="F390" t="str">
        <f>"$ 7813,54"</f>
        <v>$ 7813,54</v>
      </c>
      <c r="G390" t="str">
        <f>"$ 7813,54"</f>
        <v>$ 7813,54</v>
      </c>
      <c r="H390" t="str">
        <f t="shared" si="271"/>
        <v>$ 0,00</v>
      </c>
      <c r="I390" t="str">
        <f t="shared" si="262"/>
        <v>BULBO DE TEMPERATURA</v>
      </c>
      <c r="J390" t="str">
        <f t="shared" si="272"/>
        <v>1</v>
      </c>
      <c r="K390" t="str">
        <f t="shared" si="250"/>
        <v>0</v>
      </c>
      <c r="L390" t="str">
        <f>"0,000"</f>
        <v>0,000</v>
      </c>
      <c r="M390" t="str">
        <f t="shared" si="273"/>
        <v xml:space="preserve"> </v>
      </c>
      <c r="N390" t="str">
        <f t="shared" si="269"/>
        <v>FISPA</v>
      </c>
      <c r="O390" t="str">
        <f t="shared" si="270"/>
        <v>BULBOS</v>
      </c>
      <c r="P390" t="str">
        <f t="shared" si="266"/>
        <v>0</v>
      </c>
      <c r="Q390" t="str">
        <f t="shared" si="266"/>
        <v>0</v>
      </c>
      <c r="R390" t="str">
        <f t="shared" si="267"/>
        <v>0,00</v>
      </c>
      <c r="S390" t="str">
        <f t="shared" si="267"/>
        <v>0,00</v>
      </c>
      <c r="T390" t="str">
        <f t="shared" si="249"/>
        <v xml:space="preserve"> </v>
      </c>
      <c r="U390" t="str">
        <f t="shared" si="253"/>
        <v xml:space="preserve"> </v>
      </c>
      <c r="V390" t="str">
        <f>"0,000"</f>
        <v>0,000</v>
      </c>
      <c r="W390" t="str">
        <f t="shared" si="274"/>
        <v>Lista 4</v>
      </c>
      <c r="X390" t="str">
        <f t="shared" si="275"/>
        <v>Lista 5</v>
      </c>
      <c r="Y390" t="str">
        <f t="shared" si="276"/>
        <v>Oferta Gral.</v>
      </c>
      <c r="Z390" t="str">
        <f t="shared" si="277"/>
        <v>Rubro</v>
      </c>
      <c r="AA390" t="str">
        <f t="shared" si="278"/>
        <v>Cantidad por Bulto</v>
      </c>
      <c r="AB390" t="str">
        <f t="shared" si="279"/>
        <v>INNER</v>
      </c>
      <c r="AC390" t="str">
        <f t="shared" si="280"/>
        <v>Stock en Bultos</v>
      </c>
      <c r="AD390" t="str">
        <f t="shared" si="281"/>
        <v>SubDepósito</v>
      </c>
      <c r="AE390" t="str">
        <f t="shared" si="282"/>
        <v>Marca</v>
      </c>
      <c r="AF390" t="str">
        <f t="shared" si="283"/>
        <v>Super Rubro</v>
      </c>
      <c r="AG390" t="str">
        <f t="shared" si="284"/>
        <v>ComercioExterior</v>
      </c>
      <c r="AH390" t="str">
        <f t="shared" si="285"/>
        <v>PrecioFOB</v>
      </c>
      <c r="AI390" t="str">
        <f t="shared" si="286"/>
        <v>Monto II</v>
      </c>
      <c r="AJ390" t="str">
        <f t="shared" si="287"/>
        <v>Porcentaje II</v>
      </c>
      <c r="AK390" t="str">
        <f t="shared" si="288"/>
        <v>Foto</v>
      </c>
      <c r="AL390" t="str">
        <f>" "</f>
        <v xml:space="preserve"> </v>
      </c>
      <c r="AM390" t="str">
        <f t="shared" si="268"/>
        <v>-</v>
      </c>
    </row>
    <row r="391" spans="1:39" x14ac:dyDescent="0.25">
      <c r="A391" t="str">
        <f>"FI506"</f>
        <v>FI506</v>
      </c>
      <c r="B391" t="str">
        <f>"BULBO TEMP GM ASTRA - BLAZER - CORSA - FUN - MERIVA - MONZA - S10 - CAPTIVA 2.4"</f>
        <v>BULBO TEMP GM ASTRA - BLAZER - CORSA - FUN - MERIVA - MONZA - S10 - CAPTIVA 2.4</v>
      </c>
      <c r="C391" t="str">
        <f>"$ 6102,24"</f>
        <v>$ 6102,24</v>
      </c>
      <c r="D391" t="str">
        <f>"$ 6102,24"</f>
        <v>$ 6102,24</v>
      </c>
      <c r="E391" t="str">
        <f>"$ 6102,24"</f>
        <v>$ 6102,24</v>
      </c>
      <c r="F391" t="str">
        <f>"$ 6102,24"</f>
        <v>$ 6102,24</v>
      </c>
      <c r="G391" t="str">
        <f>"$ 6102,24"</f>
        <v>$ 6102,24</v>
      </c>
      <c r="H391" t="str">
        <f t="shared" si="271"/>
        <v>$ 0,00</v>
      </c>
      <c r="I391" t="str">
        <f t="shared" si="262"/>
        <v>BULBO DE TEMPERATURA</v>
      </c>
      <c r="J391" t="str">
        <f t="shared" si="272"/>
        <v>1</v>
      </c>
      <c r="K391" t="str">
        <f t="shared" si="250"/>
        <v>0</v>
      </c>
      <c r="L391" t="str">
        <f>"22,000"</f>
        <v>22,000</v>
      </c>
      <c r="M391" t="str">
        <f t="shared" si="273"/>
        <v xml:space="preserve"> </v>
      </c>
      <c r="N391" t="str">
        <f t="shared" si="269"/>
        <v>FISPA</v>
      </c>
      <c r="O391" t="str">
        <f t="shared" si="270"/>
        <v>BULBOS</v>
      </c>
      <c r="P391" t="str">
        <f t="shared" si="266"/>
        <v>0</v>
      </c>
      <c r="Q391" t="str">
        <f t="shared" si="266"/>
        <v>0</v>
      </c>
      <c r="R391" t="str">
        <f t="shared" si="267"/>
        <v>0,00</v>
      </c>
      <c r="S391" t="str">
        <f t="shared" si="267"/>
        <v>0,00</v>
      </c>
      <c r="T391" t="str">
        <f t="shared" si="249"/>
        <v xml:space="preserve"> </v>
      </c>
      <c r="U391" t="str">
        <f t="shared" si="253"/>
        <v xml:space="preserve"> </v>
      </c>
      <c r="V391" t="str">
        <f>"22,000"</f>
        <v>22,000</v>
      </c>
      <c r="W391" t="str">
        <f t="shared" si="274"/>
        <v>Lista 4</v>
      </c>
      <c r="X391" t="str">
        <f t="shared" si="275"/>
        <v>Lista 5</v>
      </c>
      <c r="Y391" t="str">
        <f t="shared" si="276"/>
        <v>Oferta Gral.</v>
      </c>
      <c r="Z391" t="str">
        <f t="shared" si="277"/>
        <v>Rubro</v>
      </c>
      <c r="AA391" t="str">
        <f t="shared" si="278"/>
        <v>Cantidad por Bulto</v>
      </c>
      <c r="AB391" t="str">
        <f t="shared" si="279"/>
        <v>INNER</v>
      </c>
      <c r="AC391" t="str">
        <f t="shared" si="280"/>
        <v>Stock en Bultos</v>
      </c>
      <c r="AD391" t="str">
        <f t="shared" si="281"/>
        <v>SubDepósito</v>
      </c>
      <c r="AE391" t="str">
        <f t="shared" si="282"/>
        <v>Marca</v>
      </c>
      <c r="AF391" t="str">
        <f t="shared" si="283"/>
        <v>Super Rubro</v>
      </c>
      <c r="AG391" t="str">
        <f t="shared" si="284"/>
        <v>ComercioExterior</v>
      </c>
      <c r="AH391" t="str">
        <f t="shared" si="285"/>
        <v>PrecioFOB</v>
      </c>
      <c r="AI391" t="str">
        <f t="shared" si="286"/>
        <v>Monto II</v>
      </c>
      <c r="AJ391" t="str">
        <f t="shared" si="287"/>
        <v>Porcentaje II</v>
      </c>
      <c r="AK391" t="str">
        <f t="shared" si="288"/>
        <v>Foto</v>
      </c>
      <c r="AL39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1" t="str">
        <f t="shared" si="268"/>
        <v>-</v>
      </c>
    </row>
    <row r="392" spans="1:39" x14ac:dyDescent="0.25">
      <c r="A392" t="str">
        <f>"FI553"</f>
        <v>FI553</v>
      </c>
      <c r="B392" t="str">
        <f>"BULBO TEMP GM ASTRA F &amp; H - CORSA 1.4/1.6 - CRUZE 1.8 - FUN - MERIVA - TIGRA - A ROMEO 145/146 1.4IE"</f>
        <v>BULBO TEMP GM ASTRA F &amp; H - CORSA 1.4/1.6 - CRUZE 1.8 - FUN - MERIVA - TIGRA - A ROMEO 145/146 1.4IE</v>
      </c>
      <c r="C392" t="str">
        <f>"$ 12463,28"</f>
        <v>$ 12463,28</v>
      </c>
      <c r="D392" t="str">
        <f>"$ 12463,28"</f>
        <v>$ 12463,28</v>
      </c>
      <c r="E392" t="str">
        <f>"$ 12463,28"</f>
        <v>$ 12463,28</v>
      </c>
      <c r="F392" t="str">
        <f>"$ 12463,28"</f>
        <v>$ 12463,28</v>
      </c>
      <c r="G392" t="str">
        <f>"$ 12463,28"</f>
        <v>$ 12463,28</v>
      </c>
      <c r="H392" t="str">
        <f t="shared" si="271"/>
        <v>$ 0,00</v>
      </c>
      <c r="I392" t="str">
        <f t="shared" si="262"/>
        <v>BULBO DE TEMPERATURA</v>
      </c>
      <c r="J392" t="str">
        <f t="shared" si="272"/>
        <v>1</v>
      </c>
      <c r="K392" t="str">
        <f t="shared" si="250"/>
        <v>0</v>
      </c>
      <c r="L392" t="str">
        <f t="shared" ref="L392:L399" si="289">"0,000"</f>
        <v>0,000</v>
      </c>
      <c r="M392" t="str">
        <f t="shared" si="273"/>
        <v xml:space="preserve"> </v>
      </c>
      <c r="N392" t="str">
        <f t="shared" si="269"/>
        <v>FISPA</v>
      </c>
      <c r="O392" t="str">
        <f t="shared" si="270"/>
        <v>BULBOS</v>
      </c>
      <c r="P392" t="str">
        <f t="shared" si="266"/>
        <v>0</v>
      </c>
      <c r="Q392" t="str">
        <f t="shared" si="266"/>
        <v>0</v>
      </c>
      <c r="R392" t="str">
        <f t="shared" si="267"/>
        <v>0,00</v>
      </c>
      <c r="S392" t="str">
        <f t="shared" si="267"/>
        <v>0,00</v>
      </c>
      <c r="T392" t="str">
        <f t="shared" si="249"/>
        <v xml:space="preserve"> </v>
      </c>
      <c r="U392" t="str">
        <f t="shared" si="253"/>
        <v xml:space="preserve"> </v>
      </c>
      <c r="V392" t="str">
        <f t="shared" ref="V392:V399" si="290">"0,000"</f>
        <v>0,000</v>
      </c>
      <c r="W392" t="str">
        <f t="shared" si="274"/>
        <v>Lista 4</v>
      </c>
      <c r="X392" t="str">
        <f t="shared" si="275"/>
        <v>Lista 5</v>
      </c>
      <c r="Y392" t="str">
        <f t="shared" si="276"/>
        <v>Oferta Gral.</v>
      </c>
      <c r="Z392" t="str">
        <f t="shared" si="277"/>
        <v>Rubro</v>
      </c>
      <c r="AA392" t="str">
        <f t="shared" si="278"/>
        <v>Cantidad por Bulto</v>
      </c>
      <c r="AB392" t="str">
        <f t="shared" si="279"/>
        <v>INNER</v>
      </c>
      <c r="AC392" t="str">
        <f t="shared" si="280"/>
        <v>Stock en Bultos</v>
      </c>
      <c r="AD392" t="str">
        <f t="shared" si="281"/>
        <v>SubDepósito</v>
      </c>
      <c r="AE392" t="str">
        <f t="shared" si="282"/>
        <v>Marca</v>
      </c>
      <c r="AF392" t="str">
        <f t="shared" si="283"/>
        <v>Super Rubro</v>
      </c>
      <c r="AG392" t="str">
        <f t="shared" si="284"/>
        <v>ComercioExterior</v>
      </c>
      <c r="AH392" t="str">
        <f t="shared" si="285"/>
        <v>PrecioFOB</v>
      </c>
      <c r="AI392" t="str">
        <f t="shared" si="286"/>
        <v>Monto II</v>
      </c>
      <c r="AJ392" t="str">
        <f t="shared" si="287"/>
        <v>Porcentaje II</v>
      </c>
      <c r="AK392" t="str">
        <f t="shared" si="288"/>
        <v>Foto</v>
      </c>
      <c r="AL39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2" t="str">
        <f t="shared" si="268"/>
        <v>-</v>
      </c>
    </row>
    <row r="393" spans="1:39" x14ac:dyDescent="0.25">
      <c r="A393" t="str">
        <f>"FI579"</f>
        <v>FI579</v>
      </c>
      <c r="B393" t="str">
        <f>"BULBO TEMP ISUZU PICKUP 2.5 TD MITSUBISHI 3000 GT / COLT /  LANCER "</f>
        <v xml:space="preserve">BULBO TEMP ISUZU PICKUP 2.5 TD MITSUBISHI 3000 GT / COLT /  LANCER </v>
      </c>
      <c r="C393" t="str">
        <f>"$ 7326,90"</f>
        <v>$ 7326,90</v>
      </c>
      <c r="D393" t="str">
        <f>"$ 7326,90"</f>
        <v>$ 7326,90</v>
      </c>
      <c r="E393" t="str">
        <f>"$ 7326,90"</f>
        <v>$ 7326,90</v>
      </c>
      <c r="F393" t="str">
        <f>"$ 7326,90"</f>
        <v>$ 7326,90</v>
      </c>
      <c r="G393" t="str">
        <f>"$ 7326,90"</f>
        <v>$ 7326,90</v>
      </c>
      <c r="H393" t="str">
        <f t="shared" si="271"/>
        <v>$ 0,00</v>
      </c>
      <c r="I393" t="str">
        <f t="shared" si="262"/>
        <v>BULBO DE TEMPERATURA</v>
      </c>
      <c r="J393" t="str">
        <f t="shared" si="272"/>
        <v>1</v>
      </c>
      <c r="K393" t="str">
        <f t="shared" si="250"/>
        <v>0</v>
      </c>
      <c r="L393" t="str">
        <f t="shared" si="289"/>
        <v>0,000</v>
      </c>
      <c r="M393" t="str">
        <f t="shared" si="273"/>
        <v xml:space="preserve"> </v>
      </c>
      <c r="N393" t="str">
        <f t="shared" si="269"/>
        <v>FISPA</v>
      </c>
      <c r="O393" t="str">
        <f t="shared" si="270"/>
        <v>BULBOS</v>
      </c>
      <c r="P393" t="str">
        <f t="shared" si="266"/>
        <v>0</v>
      </c>
      <c r="Q393" t="str">
        <f t="shared" si="266"/>
        <v>0</v>
      </c>
      <c r="R393" t="str">
        <f t="shared" si="267"/>
        <v>0,00</v>
      </c>
      <c r="S393" t="str">
        <f t="shared" si="267"/>
        <v>0,00</v>
      </c>
      <c r="T393" t="str">
        <f t="shared" si="249"/>
        <v xml:space="preserve"> </v>
      </c>
      <c r="U393" t="str">
        <f t="shared" si="253"/>
        <v xml:space="preserve"> </v>
      </c>
      <c r="V393" t="str">
        <f t="shared" si="290"/>
        <v>0,000</v>
      </c>
      <c r="W393" t="str">
        <f t="shared" si="274"/>
        <v>Lista 4</v>
      </c>
      <c r="X393" t="str">
        <f t="shared" si="275"/>
        <v>Lista 5</v>
      </c>
      <c r="Y393" t="str">
        <f t="shared" si="276"/>
        <v>Oferta Gral.</v>
      </c>
      <c r="Z393" t="str">
        <f t="shared" si="277"/>
        <v>Rubro</v>
      </c>
      <c r="AA393" t="str">
        <f t="shared" si="278"/>
        <v>Cantidad por Bulto</v>
      </c>
      <c r="AB393" t="str">
        <f t="shared" si="279"/>
        <v>INNER</v>
      </c>
      <c r="AC393" t="str">
        <f t="shared" si="280"/>
        <v>Stock en Bultos</v>
      </c>
      <c r="AD393" t="str">
        <f t="shared" si="281"/>
        <v>SubDepósito</v>
      </c>
      <c r="AE393" t="str">
        <f t="shared" si="282"/>
        <v>Marca</v>
      </c>
      <c r="AF393" t="str">
        <f t="shared" si="283"/>
        <v>Super Rubro</v>
      </c>
      <c r="AG393" t="str">
        <f t="shared" si="284"/>
        <v>ComercioExterior</v>
      </c>
      <c r="AH393" t="str">
        <f t="shared" si="285"/>
        <v>PrecioFOB</v>
      </c>
      <c r="AI393" t="str">
        <f t="shared" si="286"/>
        <v>Monto II</v>
      </c>
      <c r="AJ393" t="str">
        <f t="shared" si="287"/>
        <v>Porcentaje II</v>
      </c>
      <c r="AK393" t="str">
        <f t="shared" si="288"/>
        <v>Foto</v>
      </c>
      <c r="AL39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3" t="str">
        <f t="shared" si="268"/>
        <v>-</v>
      </c>
    </row>
    <row r="394" spans="1:39" x14ac:dyDescent="0.25">
      <c r="A394" t="str">
        <f>"FI587"</f>
        <v>FI587</v>
      </c>
      <c r="B394" t="str">
        <f>"BULBO TEMP KIA CARNIVAL 2.9 / 2.5 V6 SPORTAGE 2.0 / 2.0I 16V - NISSAN 200 -240 - 300 1.8 / 2.0 / 2.4 "</f>
        <v xml:space="preserve">BULBO TEMP KIA CARNIVAL 2.9 / 2.5 V6 SPORTAGE 2.0 / 2.0I 16V - NISSAN 200 -240 - 300 1.8 / 2.0 / 2.4 </v>
      </c>
      <c r="C394" t="str">
        <f>"$ 6249,60"</f>
        <v>$ 6249,60</v>
      </c>
      <c r="D394" t="str">
        <f>"$ 6249,60"</f>
        <v>$ 6249,60</v>
      </c>
      <c r="E394" t="str">
        <f>"$ 6249,60"</f>
        <v>$ 6249,60</v>
      </c>
      <c r="F394" t="str">
        <f>"$ 6249,60"</f>
        <v>$ 6249,60</v>
      </c>
      <c r="G394" t="str">
        <f>"$ 6249,60"</f>
        <v>$ 6249,60</v>
      </c>
      <c r="H394" t="str">
        <f t="shared" si="271"/>
        <v>$ 0,00</v>
      </c>
      <c r="I394" t="str">
        <f t="shared" si="262"/>
        <v>BULBO DE TEMPERATURA</v>
      </c>
      <c r="J394" t="str">
        <f t="shared" si="272"/>
        <v>1</v>
      </c>
      <c r="K394" t="str">
        <f t="shared" si="250"/>
        <v>0</v>
      </c>
      <c r="L394" t="str">
        <f t="shared" si="289"/>
        <v>0,000</v>
      </c>
      <c r="M394" t="str">
        <f t="shared" si="273"/>
        <v xml:space="preserve"> </v>
      </c>
      <c r="N394" t="str">
        <f t="shared" si="269"/>
        <v>FISPA</v>
      </c>
      <c r="O394" t="str">
        <f t="shared" si="270"/>
        <v>BULBOS</v>
      </c>
      <c r="P394" t="str">
        <f t="shared" si="266"/>
        <v>0</v>
      </c>
      <c r="Q394" t="str">
        <f t="shared" si="266"/>
        <v>0</v>
      </c>
      <c r="R394" t="str">
        <f t="shared" si="267"/>
        <v>0,00</v>
      </c>
      <c r="S394" t="str">
        <f t="shared" si="267"/>
        <v>0,00</v>
      </c>
      <c r="T394" t="str">
        <f t="shared" si="249"/>
        <v xml:space="preserve"> </v>
      </c>
      <c r="U394" t="str">
        <f t="shared" si="253"/>
        <v xml:space="preserve"> </v>
      </c>
      <c r="V394" t="str">
        <f t="shared" si="290"/>
        <v>0,000</v>
      </c>
      <c r="W394" t="str">
        <f t="shared" si="274"/>
        <v>Lista 4</v>
      </c>
      <c r="X394" t="str">
        <f t="shared" si="275"/>
        <v>Lista 5</v>
      </c>
      <c r="Y394" t="str">
        <f t="shared" si="276"/>
        <v>Oferta Gral.</v>
      </c>
      <c r="Z394" t="str">
        <f t="shared" si="277"/>
        <v>Rubro</v>
      </c>
      <c r="AA394" t="str">
        <f t="shared" si="278"/>
        <v>Cantidad por Bulto</v>
      </c>
      <c r="AB394" t="str">
        <f t="shared" si="279"/>
        <v>INNER</v>
      </c>
      <c r="AC394" t="str">
        <f t="shared" si="280"/>
        <v>Stock en Bultos</v>
      </c>
      <c r="AD394" t="str">
        <f t="shared" si="281"/>
        <v>SubDepósito</v>
      </c>
      <c r="AE394" t="str">
        <f t="shared" si="282"/>
        <v>Marca</v>
      </c>
      <c r="AF394" t="str">
        <f t="shared" si="283"/>
        <v>Super Rubro</v>
      </c>
      <c r="AG394" t="str">
        <f t="shared" si="284"/>
        <v>ComercioExterior</v>
      </c>
      <c r="AH394" t="str">
        <f t="shared" si="285"/>
        <v>PrecioFOB</v>
      </c>
      <c r="AI394" t="str">
        <f t="shared" si="286"/>
        <v>Monto II</v>
      </c>
      <c r="AJ394" t="str">
        <f t="shared" si="287"/>
        <v>Porcentaje II</v>
      </c>
      <c r="AK394" t="str">
        <f t="shared" si="288"/>
        <v>Foto</v>
      </c>
      <c r="AL39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4" t="str">
        <f t="shared" si="268"/>
        <v>-</v>
      </c>
    </row>
    <row r="395" spans="1:39" x14ac:dyDescent="0.25">
      <c r="A395" t="str">
        <f>"FI586"</f>
        <v>FI586</v>
      </c>
      <c r="B395" t="str">
        <f>"BULBO TEMP KIA SPORTAGE 2.0 95/97 -SUZUKI SIDEKICK 1.6 89/90 - SWIFT GTI 1.3 "</f>
        <v xml:space="preserve">BULBO TEMP KIA SPORTAGE 2.0 95/97 -SUZUKI SIDEKICK 1.6 89/90 - SWIFT GTI 1.3 </v>
      </c>
      <c r="C395" t="str">
        <f>"$ 6258,26"</f>
        <v>$ 6258,26</v>
      </c>
      <c r="D395" t="str">
        <f>"$ 6258,26"</f>
        <v>$ 6258,26</v>
      </c>
      <c r="E395" t="str">
        <f>"$ 6258,26"</f>
        <v>$ 6258,26</v>
      </c>
      <c r="F395" t="str">
        <f>"$ 6258,26"</f>
        <v>$ 6258,26</v>
      </c>
      <c r="G395" t="str">
        <f>"$ 6258,26"</f>
        <v>$ 6258,26</v>
      </c>
      <c r="H395" t="str">
        <f t="shared" si="271"/>
        <v>$ 0,00</v>
      </c>
      <c r="I395" t="str">
        <f t="shared" si="262"/>
        <v>BULBO DE TEMPERATURA</v>
      </c>
      <c r="J395" t="str">
        <f t="shared" si="272"/>
        <v>1</v>
      </c>
      <c r="K395" t="str">
        <f t="shared" si="250"/>
        <v>0</v>
      </c>
      <c r="L395" t="str">
        <f t="shared" si="289"/>
        <v>0,000</v>
      </c>
      <c r="M395" t="str">
        <f t="shared" si="273"/>
        <v xml:space="preserve"> </v>
      </c>
      <c r="N395" t="str">
        <f t="shared" si="269"/>
        <v>FISPA</v>
      </c>
      <c r="O395" t="str">
        <f t="shared" si="270"/>
        <v>BULBOS</v>
      </c>
      <c r="P395" t="str">
        <f t="shared" si="266"/>
        <v>0</v>
      </c>
      <c r="Q395" t="str">
        <f t="shared" si="266"/>
        <v>0</v>
      </c>
      <c r="R395" t="str">
        <f t="shared" si="267"/>
        <v>0,00</v>
      </c>
      <c r="S395" t="str">
        <f t="shared" si="267"/>
        <v>0,00</v>
      </c>
      <c r="T395" t="str">
        <f t="shared" si="249"/>
        <v xml:space="preserve"> </v>
      </c>
      <c r="U395" t="str">
        <f t="shared" si="253"/>
        <v xml:space="preserve"> </v>
      </c>
      <c r="V395" t="str">
        <f t="shared" si="290"/>
        <v>0,000</v>
      </c>
      <c r="W395" t="str">
        <f t="shared" si="274"/>
        <v>Lista 4</v>
      </c>
      <c r="X395" t="str">
        <f t="shared" si="275"/>
        <v>Lista 5</v>
      </c>
      <c r="Y395" t="str">
        <f t="shared" si="276"/>
        <v>Oferta Gral.</v>
      </c>
      <c r="Z395" t="str">
        <f t="shared" si="277"/>
        <v>Rubro</v>
      </c>
      <c r="AA395" t="str">
        <f t="shared" si="278"/>
        <v>Cantidad por Bulto</v>
      </c>
      <c r="AB395" t="str">
        <f t="shared" si="279"/>
        <v>INNER</v>
      </c>
      <c r="AC395" t="str">
        <f t="shared" si="280"/>
        <v>Stock en Bultos</v>
      </c>
      <c r="AD395" t="str">
        <f t="shared" si="281"/>
        <v>SubDepósito</v>
      </c>
      <c r="AE395" t="str">
        <f t="shared" si="282"/>
        <v>Marca</v>
      </c>
      <c r="AF395" t="str">
        <f t="shared" si="283"/>
        <v>Super Rubro</v>
      </c>
      <c r="AG395" t="str">
        <f t="shared" si="284"/>
        <v>ComercioExterior</v>
      </c>
      <c r="AH395" t="str">
        <f t="shared" si="285"/>
        <v>PrecioFOB</v>
      </c>
      <c r="AI395" t="str">
        <f t="shared" si="286"/>
        <v>Monto II</v>
      </c>
      <c r="AJ395" t="str">
        <f t="shared" si="287"/>
        <v>Porcentaje II</v>
      </c>
      <c r="AK395" t="str">
        <f t="shared" si="288"/>
        <v>Foto</v>
      </c>
      <c r="AL39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5" t="str">
        <f t="shared" si="268"/>
        <v>-</v>
      </c>
    </row>
    <row r="396" spans="1:39" x14ac:dyDescent="0.25">
      <c r="A396" t="str">
        <f>"FI538"</f>
        <v>FI538</v>
      </c>
      <c r="B396" t="str">
        <f>"BULBO TEMP P106/206/306 1.4/1.6I RENAULT CLIO I 1.2 - CLIO II 1.2/1.4/1.9D - CLIO III 1.2 16V/1.4 16V / "</f>
        <v xml:space="preserve">BULBO TEMP P106/206/306 1.4/1.6I RENAULT CLIO I 1.2 - CLIO II 1.2/1.4/1.9D - CLIO III 1.2 16V/1.4 16V / </v>
      </c>
      <c r="C396" t="str">
        <f>"$ 9740,31"</f>
        <v>$ 9740,31</v>
      </c>
      <c r="D396" t="str">
        <f>"$ 9740,31"</f>
        <v>$ 9740,31</v>
      </c>
      <c r="E396" t="str">
        <f>"$ 9740,31"</f>
        <v>$ 9740,31</v>
      </c>
      <c r="F396" t="str">
        <f>"$ 9740,31"</f>
        <v>$ 9740,31</v>
      </c>
      <c r="G396" t="str">
        <f>"$ 9740,31"</f>
        <v>$ 9740,31</v>
      </c>
      <c r="H396" t="str">
        <f t="shared" si="271"/>
        <v>$ 0,00</v>
      </c>
      <c r="I396" t="str">
        <f t="shared" si="262"/>
        <v>BULBO DE TEMPERATURA</v>
      </c>
      <c r="J396" t="str">
        <f t="shared" si="272"/>
        <v>1</v>
      </c>
      <c r="K396" t="str">
        <f t="shared" si="250"/>
        <v>0</v>
      </c>
      <c r="L396" t="str">
        <f t="shared" si="289"/>
        <v>0,000</v>
      </c>
      <c r="M396" t="str">
        <f t="shared" si="273"/>
        <v xml:space="preserve"> </v>
      </c>
      <c r="N396" t="str">
        <f t="shared" si="269"/>
        <v>FISPA</v>
      </c>
      <c r="O396" t="str">
        <f t="shared" si="270"/>
        <v>BULBOS</v>
      </c>
      <c r="P396" t="str">
        <f t="shared" si="266"/>
        <v>0</v>
      </c>
      <c r="Q396" t="str">
        <f t="shared" si="266"/>
        <v>0</v>
      </c>
      <c r="R396" t="str">
        <f t="shared" si="267"/>
        <v>0,00</v>
      </c>
      <c r="S396" t="str">
        <f t="shared" si="267"/>
        <v>0,00</v>
      </c>
      <c r="T396" t="str">
        <f t="shared" si="249"/>
        <v xml:space="preserve"> </v>
      </c>
      <c r="U396" t="str">
        <f t="shared" si="253"/>
        <v xml:space="preserve"> </v>
      </c>
      <c r="V396" t="str">
        <f t="shared" si="290"/>
        <v>0,000</v>
      </c>
      <c r="W396" t="str">
        <f t="shared" si="274"/>
        <v>Lista 4</v>
      </c>
      <c r="X396" t="str">
        <f t="shared" si="275"/>
        <v>Lista 5</v>
      </c>
      <c r="Y396" t="str">
        <f t="shared" si="276"/>
        <v>Oferta Gral.</v>
      </c>
      <c r="Z396" t="str">
        <f t="shared" si="277"/>
        <v>Rubro</v>
      </c>
      <c r="AA396" t="str">
        <f t="shared" si="278"/>
        <v>Cantidad por Bulto</v>
      </c>
      <c r="AB396" t="str">
        <f t="shared" si="279"/>
        <v>INNER</v>
      </c>
      <c r="AC396" t="str">
        <f t="shared" si="280"/>
        <v>Stock en Bultos</v>
      </c>
      <c r="AD396" t="str">
        <f t="shared" si="281"/>
        <v>SubDepósito</v>
      </c>
      <c r="AE396" t="str">
        <f t="shared" si="282"/>
        <v>Marca</v>
      </c>
      <c r="AF396" t="str">
        <f t="shared" si="283"/>
        <v>Super Rubro</v>
      </c>
      <c r="AG396" t="str">
        <f t="shared" si="284"/>
        <v>ComercioExterior</v>
      </c>
      <c r="AH396" t="str">
        <f t="shared" si="285"/>
        <v>PrecioFOB</v>
      </c>
      <c r="AI396" t="str">
        <f t="shared" si="286"/>
        <v>Monto II</v>
      </c>
      <c r="AJ396" t="str">
        <f t="shared" si="287"/>
        <v>Porcentaje II</v>
      </c>
      <c r="AK396" t="str">
        <f t="shared" si="288"/>
        <v>Foto</v>
      </c>
      <c r="AL39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6" t="str">
        <f t="shared" si="268"/>
        <v>-</v>
      </c>
    </row>
    <row r="397" spans="1:39" x14ac:dyDescent="0.25">
      <c r="A397" t="str">
        <f>"FI574"</f>
        <v>FI574</v>
      </c>
      <c r="B397" t="str">
        <f>"BULBO TEMP P206 1.6 - 306 1.6 SR – BREAK 1.6 – CABRIO 1.6 RENAULT CLIO II 1.0 / 1.2   "</f>
        <v xml:space="preserve">BULBO TEMP P206 1.6 - 306 1.6 SR – BREAK 1.6 – CABRIO 1.6 RENAULT CLIO II 1.0 / 1.2   </v>
      </c>
      <c r="C397" t="str">
        <f>"$ 14425,96"</f>
        <v>$ 14425,96</v>
      </c>
      <c r="D397" t="str">
        <f>"$ 14425,96"</f>
        <v>$ 14425,96</v>
      </c>
      <c r="E397" t="str">
        <f>"$ 14425,96"</f>
        <v>$ 14425,96</v>
      </c>
      <c r="F397" t="str">
        <f>"$ 14425,96"</f>
        <v>$ 14425,96</v>
      </c>
      <c r="G397" t="str">
        <f>"$ 14425,96"</f>
        <v>$ 14425,96</v>
      </c>
      <c r="H397" t="str">
        <f t="shared" si="271"/>
        <v>$ 0,00</v>
      </c>
      <c r="I397" t="str">
        <f t="shared" si="262"/>
        <v>BULBO DE TEMPERATURA</v>
      </c>
      <c r="J397" t="str">
        <f t="shared" si="272"/>
        <v>1</v>
      </c>
      <c r="K397" t="str">
        <f t="shared" si="250"/>
        <v>0</v>
      </c>
      <c r="L397" t="str">
        <f t="shared" si="289"/>
        <v>0,000</v>
      </c>
      <c r="M397" t="str">
        <f t="shared" si="273"/>
        <v xml:space="preserve"> </v>
      </c>
      <c r="N397" t="str">
        <f t="shared" si="269"/>
        <v>FISPA</v>
      </c>
      <c r="O397" t="str">
        <f t="shared" si="270"/>
        <v>BULBOS</v>
      </c>
      <c r="P397" t="str">
        <f t="shared" si="266"/>
        <v>0</v>
      </c>
      <c r="Q397" t="str">
        <f t="shared" si="266"/>
        <v>0</v>
      </c>
      <c r="R397" t="str">
        <f t="shared" si="267"/>
        <v>0,00</v>
      </c>
      <c r="S397" t="str">
        <f t="shared" si="267"/>
        <v>0,00</v>
      </c>
      <c r="T397" t="str">
        <f t="shared" si="249"/>
        <v xml:space="preserve"> </v>
      </c>
      <c r="U397" t="str">
        <f t="shared" si="253"/>
        <v xml:space="preserve"> </v>
      </c>
      <c r="V397" t="str">
        <f t="shared" si="290"/>
        <v>0,000</v>
      </c>
      <c r="W397" t="str">
        <f t="shared" si="274"/>
        <v>Lista 4</v>
      </c>
      <c r="X397" t="str">
        <f t="shared" si="275"/>
        <v>Lista 5</v>
      </c>
      <c r="Y397" t="str">
        <f t="shared" si="276"/>
        <v>Oferta Gral.</v>
      </c>
      <c r="Z397" t="str">
        <f t="shared" si="277"/>
        <v>Rubro</v>
      </c>
      <c r="AA397" t="str">
        <f t="shared" si="278"/>
        <v>Cantidad por Bulto</v>
      </c>
      <c r="AB397" t="str">
        <f t="shared" si="279"/>
        <v>INNER</v>
      </c>
      <c r="AC397" t="str">
        <f t="shared" si="280"/>
        <v>Stock en Bultos</v>
      </c>
      <c r="AD397" t="str">
        <f t="shared" si="281"/>
        <v>SubDepósito</v>
      </c>
      <c r="AE397" t="str">
        <f t="shared" si="282"/>
        <v>Marca</v>
      </c>
      <c r="AF397" t="str">
        <f t="shared" si="283"/>
        <v>Super Rubro</v>
      </c>
      <c r="AG397" t="str">
        <f t="shared" si="284"/>
        <v>ComercioExterior</v>
      </c>
      <c r="AH397" t="str">
        <f t="shared" si="285"/>
        <v>PrecioFOB</v>
      </c>
      <c r="AI397" t="str">
        <f t="shared" si="286"/>
        <v>Monto II</v>
      </c>
      <c r="AJ397" t="str">
        <f t="shared" si="287"/>
        <v>Porcentaje II</v>
      </c>
      <c r="AK397" t="str">
        <f t="shared" si="288"/>
        <v>Foto</v>
      </c>
      <c r="AL39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7" t="str">
        <f t="shared" si="268"/>
        <v>-</v>
      </c>
    </row>
    <row r="398" spans="1:39" x14ac:dyDescent="0.25">
      <c r="A398" t="str">
        <f>"FI531"</f>
        <v>FI531</v>
      </c>
      <c r="B398" t="str">
        <f>"BULBO TEMP P206 1.9D - 306 1.9D - EXPERT 1.9D - PARTNER 1.9 D - FIAT SCUDO 1.9D - 50ºC - AISLANTE VERDE"</f>
        <v>BULBO TEMP P206 1.9D - 306 1.9D - EXPERT 1.9D - PARTNER 1.9 D - FIAT SCUDO 1.9D - 50ºC - AISLANTE VERDE</v>
      </c>
      <c r="C398" t="str">
        <f>"$ 10371,83"</f>
        <v>$ 10371,83</v>
      </c>
      <c r="D398" t="str">
        <f>"$ 10371,83"</f>
        <v>$ 10371,83</v>
      </c>
      <c r="E398" t="str">
        <f>"$ 10371,83"</f>
        <v>$ 10371,83</v>
      </c>
      <c r="F398" t="str">
        <f>"$ 10371,83"</f>
        <v>$ 10371,83</v>
      </c>
      <c r="G398" t="str">
        <f>"$ 10371,83"</f>
        <v>$ 10371,83</v>
      </c>
      <c r="H398" t="str">
        <f t="shared" si="271"/>
        <v>$ 0,00</v>
      </c>
      <c r="I398" t="str">
        <f t="shared" si="262"/>
        <v>BULBO DE TEMPERATURA</v>
      </c>
      <c r="J398" t="str">
        <f t="shared" si="272"/>
        <v>1</v>
      </c>
      <c r="K398" t="str">
        <f t="shared" si="250"/>
        <v>0</v>
      </c>
      <c r="L398" t="str">
        <f t="shared" si="289"/>
        <v>0,000</v>
      </c>
      <c r="M398" t="str">
        <f t="shared" si="273"/>
        <v xml:space="preserve"> </v>
      </c>
      <c r="N398" t="str">
        <f t="shared" si="269"/>
        <v>FISPA</v>
      </c>
      <c r="O398" t="str">
        <f t="shared" si="270"/>
        <v>BULBOS</v>
      </c>
      <c r="P398" t="str">
        <f t="shared" si="266"/>
        <v>0</v>
      </c>
      <c r="Q398" t="str">
        <f t="shared" si="266"/>
        <v>0</v>
      </c>
      <c r="R398" t="str">
        <f t="shared" si="267"/>
        <v>0,00</v>
      </c>
      <c r="S398" t="str">
        <f t="shared" si="267"/>
        <v>0,00</v>
      </c>
      <c r="T398" t="str">
        <f t="shared" si="249"/>
        <v xml:space="preserve"> </v>
      </c>
      <c r="U398" t="str">
        <f t="shared" si="253"/>
        <v xml:space="preserve"> </v>
      </c>
      <c r="V398" t="str">
        <f t="shared" si="290"/>
        <v>0,000</v>
      </c>
      <c r="W398" t="str">
        <f t="shared" si="274"/>
        <v>Lista 4</v>
      </c>
      <c r="X398" t="str">
        <f t="shared" si="275"/>
        <v>Lista 5</v>
      </c>
      <c r="Y398" t="str">
        <f t="shared" si="276"/>
        <v>Oferta Gral.</v>
      </c>
      <c r="Z398" t="str">
        <f t="shared" si="277"/>
        <v>Rubro</v>
      </c>
      <c r="AA398" t="str">
        <f t="shared" si="278"/>
        <v>Cantidad por Bulto</v>
      </c>
      <c r="AB398" t="str">
        <f t="shared" si="279"/>
        <v>INNER</v>
      </c>
      <c r="AC398" t="str">
        <f t="shared" si="280"/>
        <v>Stock en Bultos</v>
      </c>
      <c r="AD398" t="str">
        <f t="shared" si="281"/>
        <v>SubDepósito</v>
      </c>
      <c r="AE398" t="str">
        <f t="shared" si="282"/>
        <v>Marca</v>
      </c>
      <c r="AF398" t="str">
        <f t="shared" si="283"/>
        <v>Super Rubro</v>
      </c>
      <c r="AG398" t="str">
        <f t="shared" si="284"/>
        <v>ComercioExterior</v>
      </c>
      <c r="AH398" t="str">
        <f t="shared" si="285"/>
        <v>PrecioFOB</v>
      </c>
      <c r="AI398" t="str">
        <f t="shared" si="286"/>
        <v>Monto II</v>
      </c>
      <c r="AJ398" t="str">
        <f t="shared" si="287"/>
        <v>Porcentaje II</v>
      </c>
      <c r="AK398" t="str">
        <f t="shared" si="288"/>
        <v>Foto</v>
      </c>
      <c r="AL39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8" t="str">
        <f t="shared" si="268"/>
        <v>-</v>
      </c>
    </row>
    <row r="399" spans="1:39" x14ac:dyDescent="0.25">
      <c r="A399" t="str">
        <f>"FI571"</f>
        <v>FI571</v>
      </c>
      <c r="B399" t="str">
        <f>"BULBO TEMP P307 2.0 HDI / 407 2.0 HDI / TODOS 2.0 HDI CLIO /MEGANE/KANGOO 1.5 DCI "</f>
        <v xml:space="preserve">BULBO TEMP P307 2.0 HDI / 407 2.0 HDI / TODOS 2.0 HDI CLIO /MEGANE/KANGOO 1.5 DCI </v>
      </c>
      <c r="C399" t="str">
        <f>"$ 9067,92"</f>
        <v>$ 9067,92</v>
      </c>
      <c r="D399" t="str">
        <f>"$ 9067,92"</f>
        <v>$ 9067,92</v>
      </c>
      <c r="E399" t="str">
        <f>"$ 9067,92"</f>
        <v>$ 9067,92</v>
      </c>
      <c r="F399" t="str">
        <f>"$ 9067,92"</f>
        <v>$ 9067,92</v>
      </c>
      <c r="G399" t="str">
        <f>"$ 9067,92"</f>
        <v>$ 9067,92</v>
      </c>
      <c r="H399" t="str">
        <f t="shared" si="271"/>
        <v>$ 0,00</v>
      </c>
      <c r="I399" t="str">
        <f t="shared" si="262"/>
        <v>BULBO DE TEMPERATURA</v>
      </c>
      <c r="J399" t="str">
        <f t="shared" si="272"/>
        <v>1</v>
      </c>
      <c r="K399" t="str">
        <f t="shared" si="250"/>
        <v>0</v>
      </c>
      <c r="L399" t="str">
        <f t="shared" si="289"/>
        <v>0,000</v>
      </c>
      <c r="M399" t="str">
        <f t="shared" si="273"/>
        <v xml:space="preserve"> </v>
      </c>
      <c r="N399" t="str">
        <f t="shared" si="269"/>
        <v>FISPA</v>
      </c>
      <c r="O399" t="str">
        <f t="shared" si="270"/>
        <v>BULBOS</v>
      </c>
      <c r="P399" t="str">
        <f t="shared" si="266"/>
        <v>0</v>
      </c>
      <c r="Q399" t="str">
        <f t="shared" si="266"/>
        <v>0</v>
      </c>
      <c r="R399" t="str">
        <f t="shared" si="267"/>
        <v>0,00</v>
      </c>
      <c r="S399" t="str">
        <f t="shared" si="267"/>
        <v>0,00</v>
      </c>
      <c r="T399" t="str">
        <f t="shared" si="249"/>
        <v xml:space="preserve"> </v>
      </c>
      <c r="U399" t="str">
        <f t="shared" si="253"/>
        <v xml:space="preserve"> </v>
      </c>
      <c r="V399" t="str">
        <f t="shared" si="290"/>
        <v>0,000</v>
      </c>
      <c r="W399" t="str">
        <f t="shared" si="274"/>
        <v>Lista 4</v>
      </c>
      <c r="X399" t="str">
        <f t="shared" si="275"/>
        <v>Lista 5</v>
      </c>
      <c r="Y399" t="str">
        <f t="shared" si="276"/>
        <v>Oferta Gral.</v>
      </c>
      <c r="Z399" t="str">
        <f t="shared" si="277"/>
        <v>Rubro</v>
      </c>
      <c r="AA399" t="str">
        <f t="shared" si="278"/>
        <v>Cantidad por Bulto</v>
      </c>
      <c r="AB399" t="str">
        <f t="shared" si="279"/>
        <v>INNER</v>
      </c>
      <c r="AC399" t="str">
        <f t="shared" si="280"/>
        <v>Stock en Bultos</v>
      </c>
      <c r="AD399" t="str">
        <f t="shared" si="281"/>
        <v>SubDepósito</v>
      </c>
      <c r="AE399" t="str">
        <f t="shared" si="282"/>
        <v>Marca</v>
      </c>
      <c r="AF399" t="str">
        <f t="shared" si="283"/>
        <v>Super Rubro</v>
      </c>
      <c r="AG399" t="str">
        <f t="shared" si="284"/>
        <v>ComercioExterior</v>
      </c>
      <c r="AH399" t="str">
        <f t="shared" si="285"/>
        <v>PrecioFOB</v>
      </c>
      <c r="AI399" t="str">
        <f t="shared" si="286"/>
        <v>Monto II</v>
      </c>
      <c r="AJ399" t="str">
        <f t="shared" si="287"/>
        <v>Porcentaje II</v>
      </c>
      <c r="AK399" t="str">
        <f t="shared" si="288"/>
        <v>Foto</v>
      </c>
      <c r="AL39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9" t="str">
        <f t="shared" si="268"/>
        <v>-</v>
      </c>
    </row>
    <row r="400" spans="1:39" x14ac:dyDescent="0.25">
      <c r="A400" t="str">
        <f>"FI572"</f>
        <v>FI572</v>
      </c>
      <c r="B400" t="str">
        <f>"BULBO TEMP PEUGEOT 106 II 1.4I - 206 1.1I / 1.4I / 1.6I - 306 1.4 / 1.6 - 406 1.4 / 1.6 / 3.0 V6 - PARTNER 1.4"</f>
        <v>BULBO TEMP PEUGEOT 106 II 1.4I - 206 1.1I / 1.4I / 1.6I - 306 1.4 / 1.6 - 406 1.4 / 1.6 / 3.0 V6 - PARTNER 1.4</v>
      </c>
      <c r="C400" t="str">
        <f>"$ 8271,71"</f>
        <v>$ 8271,71</v>
      </c>
      <c r="D400" t="str">
        <f>"$ 8271,71"</f>
        <v>$ 8271,71</v>
      </c>
      <c r="E400" t="str">
        <f>"$ 8271,71"</f>
        <v>$ 8271,71</v>
      </c>
      <c r="F400" t="str">
        <f>"$ 8271,71"</f>
        <v>$ 8271,71</v>
      </c>
      <c r="G400" t="str">
        <f>"$ 8271,71"</f>
        <v>$ 8271,71</v>
      </c>
      <c r="H400" t="str">
        <f t="shared" si="271"/>
        <v>$ 0,00</v>
      </c>
      <c r="I400" t="str">
        <f t="shared" ref="I400:I419" si="291">"BULBO DE TEMPERATURA"</f>
        <v>BULBO DE TEMPERATURA</v>
      </c>
      <c r="J400" t="str">
        <f t="shared" si="272"/>
        <v>1</v>
      </c>
      <c r="K400" t="str">
        <f t="shared" si="250"/>
        <v>0</v>
      </c>
      <c r="L400" t="str">
        <f>"8,000"</f>
        <v>8,000</v>
      </c>
      <c r="M400" t="str">
        <f t="shared" si="273"/>
        <v xml:space="preserve"> </v>
      </c>
      <c r="N400" t="str">
        <f t="shared" si="269"/>
        <v>FISPA</v>
      </c>
      <c r="O400" t="str">
        <f t="shared" si="270"/>
        <v>BULBOS</v>
      </c>
      <c r="P400" t="str">
        <f t="shared" si="266"/>
        <v>0</v>
      </c>
      <c r="Q400" t="str">
        <f t="shared" si="266"/>
        <v>0</v>
      </c>
      <c r="R400" t="str">
        <f t="shared" si="267"/>
        <v>0,00</v>
      </c>
      <c r="S400" t="str">
        <f t="shared" si="267"/>
        <v>0,00</v>
      </c>
      <c r="T400" t="str">
        <f t="shared" si="249"/>
        <v xml:space="preserve"> </v>
      </c>
      <c r="U400" t="str">
        <f t="shared" si="253"/>
        <v xml:space="preserve"> </v>
      </c>
      <c r="V400" t="str">
        <f>"8,000"</f>
        <v>8,000</v>
      </c>
      <c r="W400" t="str">
        <f t="shared" si="274"/>
        <v>Lista 4</v>
      </c>
      <c r="X400" t="str">
        <f t="shared" si="275"/>
        <v>Lista 5</v>
      </c>
      <c r="Y400" t="str">
        <f t="shared" si="276"/>
        <v>Oferta Gral.</v>
      </c>
      <c r="Z400" t="str">
        <f t="shared" si="277"/>
        <v>Rubro</v>
      </c>
      <c r="AA400" t="str">
        <f t="shared" si="278"/>
        <v>Cantidad por Bulto</v>
      </c>
      <c r="AB400" t="str">
        <f t="shared" si="279"/>
        <v>INNER</v>
      </c>
      <c r="AC400" t="str">
        <f t="shared" si="280"/>
        <v>Stock en Bultos</v>
      </c>
      <c r="AD400" t="str">
        <f t="shared" si="281"/>
        <v>SubDepósito</v>
      </c>
      <c r="AE400" t="str">
        <f t="shared" si="282"/>
        <v>Marca</v>
      </c>
      <c r="AF400" t="str">
        <f t="shared" si="283"/>
        <v>Super Rubro</v>
      </c>
      <c r="AG400" t="str">
        <f t="shared" si="284"/>
        <v>ComercioExterior</v>
      </c>
      <c r="AH400" t="str">
        <f t="shared" si="285"/>
        <v>PrecioFOB</v>
      </c>
      <c r="AI400" t="str">
        <f t="shared" si="286"/>
        <v>Monto II</v>
      </c>
      <c r="AJ400" t="str">
        <f t="shared" si="287"/>
        <v>Porcentaje II</v>
      </c>
      <c r="AK400" t="str">
        <f t="shared" si="288"/>
        <v>Foto</v>
      </c>
      <c r="AL40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0" t="str">
        <f t="shared" si="268"/>
        <v>-</v>
      </c>
    </row>
    <row r="401" spans="1:39" x14ac:dyDescent="0.25">
      <c r="A401" t="str">
        <f>"FI535"</f>
        <v>FI535</v>
      </c>
      <c r="B401" t="str">
        <f>"BULBO TEMP PEUGEOT 406 3.0 - RENAULT LAGUNA 3.0 24V - CITRÖEN XANTIA3.0"</f>
        <v>BULBO TEMP PEUGEOT 406 3.0 - RENAULT LAGUNA 3.0 24V - CITRÖEN XANTIA3.0</v>
      </c>
      <c r="C401" t="str">
        <f>"$ 5330,79"</f>
        <v>$ 5330,79</v>
      </c>
      <c r="D401" t="str">
        <f>"$ 5330,79"</f>
        <v>$ 5330,79</v>
      </c>
      <c r="E401" t="str">
        <f>"$ 5330,79"</f>
        <v>$ 5330,79</v>
      </c>
      <c r="F401" t="str">
        <f>"$ 5330,79"</f>
        <v>$ 5330,79</v>
      </c>
      <c r="G401" t="str">
        <f>"$ 5330,79"</f>
        <v>$ 5330,79</v>
      </c>
      <c r="H401" t="str">
        <f t="shared" si="271"/>
        <v>$ 0,00</v>
      </c>
      <c r="I401" t="str">
        <f t="shared" si="291"/>
        <v>BULBO DE TEMPERATURA</v>
      </c>
      <c r="J401" t="str">
        <f t="shared" si="272"/>
        <v>1</v>
      </c>
      <c r="K401" t="str">
        <f t="shared" si="250"/>
        <v>0</v>
      </c>
      <c r="L401" t="str">
        <f>"0,000"</f>
        <v>0,000</v>
      </c>
      <c r="M401" t="str">
        <f t="shared" si="273"/>
        <v xml:space="preserve"> </v>
      </c>
      <c r="N401" t="str">
        <f t="shared" si="269"/>
        <v>FISPA</v>
      </c>
      <c r="O401" t="str">
        <f t="shared" si="270"/>
        <v>BULBOS</v>
      </c>
      <c r="P401" t="str">
        <f t="shared" si="266"/>
        <v>0</v>
      </c>
      <c r="Q401" t="str">
        <f t="shared" si="266"/>
        <v>0</v>
      </c>
      <c r="R401" t="str">
        <f t="shared" si="267"/>
        <v>0,00</v>
      </c>
      <c r="S401" t="str">
        <f t="shared" si="267"/>
        <v>0,00</v>
      </c>
      <c r="T401" t="str">
        <f t="shared" ref="T401:T464" si="292">" "</f>
        <v xml:space="preserve"> </v>
      </c>
      <c r="U401" t="str">
        <f t="shared" si="253"/>
        <v xml:space="preserve"> </v>
      </c>
      <c r="V401" t="str">
        <f>"0,000"</f>
        <v>0,000</v>
      </c>
      <c r="W401" t="str">
        <f t="shared" si="274"/>
        <v>Lista 4</v>
      </c>
      <c r="X401" t="str">
        <f t="shared" si="275"/>
        <v>Lista 5</v>
      </c>
      <c r="Y401" t="str">
        <f t="shared" si="276"/>
        <v>Oferta Gral.</v>
      </c>
      <c r="Z401" t="str">
        <f t="shared" si="277"/>
        <v>Rubro</v>
      </c>
      <c r="AA401" t="str">
        <f t="shared" si="278"/>
        <v>Cantidad por Bulto</v>
      </c>
      <c r="AB401" t="str">
        <f t="shared" si="279"/>
        <v>INNER</v>
      </c>
      <c r="AC401" t="str">
        <f t="shared" si="280"/>
        <v>Stock en Bultos</v>
      </c>
      <c r="AD401" t="str">
        <f t="shared" si="281"/>
        <v>SubDepósito</v>
      </c>
      <c r="AE401" t="str">
        <f t="shared" si="282"/>
        <v>Marca</v>
      </c>
      <c r="AF401" t="str">
        <f t="shared" si="283"/>
        <v>Super Rubro</v>
      </c>
      <c r="AG401" t="str">
        <f t="shared" si="284"/>
        <v>ComercioExterior</v>
      </c>
      <c r="AH401" t="str">
        <f t="shared" si="285"/>
        <v>PrecioFOB</v>
      </c>
      <c r="AI401" t="str">
        <f t="shared" si="286"/>
        <v>Monto II</v>
      </c>
      <c r="AJ401" t="str">
        <f t="shared" si="287"/>
        <v>Porcentaje II</v>
      </c>
      <c r="AK401" t="str">
        <f t="shared" si="288"/>
        <v>Foto</v>
      </c>
      <c r="AL40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1" t="str">
        <f t="shared" si="268"/>
        <v>-</v>
      </c>
    </row>
    <row r="402" spans="1:39" x14ac:dyDescent="0.25">
      <c r="A402" t="str">
        <f>"FI518"</f>
        <v>FI518</v>
      </c>
      <c r="B402" t="str">
        <f>"BULBO TEMP R19 1.7/1.8 - MEGANE 1.9DTI/2.0 - CLIO II/KANGOO 1.4/1.6/1.9D"</f>
        <v>BULBO TEMP R19 1.7/1.8 - MEGANE 1.9DTI/2.0 - CLIO II/KANGOO 1.4/1.6/1.9D</v>
      </c>
      <c r="C402" t="str">
        <f>"$ 16823,26"</f>
        <v>$ 16823,26</v>
      </c>
      <c r="D402" t="str">
        <f>"$ 16823,26"</f>
        <v>$ 16823,26</v>
      </c>
      <c r="E402" t="str">
        <f>"$ 16823,26"</f>
        <v>$ 16823,26</v>
      </c>
      <c r="F402" t="str">
        <f>"$ 16823,26"</f>
        <v>$ 16823,26</v>
      </c>
      <c r="G402" t="str">
        <f>"$ 16823,26"</f>
        <v>$ 16823,26</v>
      </c>
      <c r="H402" t="str">
        <f t="shared" si="271"/>
        <v>$ 0,00</v>
      </c>
      <c r="I402" t="str">
        <f t="shared" si="291"/>
        <v>BULBO DE TEMPERATURA</v>
      </c>
      <c r="J402" t="str">
        <f t="shared" si="272"/>
        <v>1</v>
      </c>
      <c r="K402" t="str">
        <f t="shared" si="250"/>
        <v>0</v>
      </c>
      <c r="L402" t="str">
        <f>"0,000"</f>
        <v>0,000</v>
      </c>
      <c r="M402" t="str">
        <f t="shared" si="273"/>
        <v xml:space="preserve"> </v>
      </c>
      <c r="N402" t="str">
        <f t="shared" si="269"/>
        <v>FISPA</v>
      </c>
      <c r="O402" t="str">
        <f t="shared" si="270"/>
        <v>BULBOS</v>
      </c>
      <c r="P402" t="str">
        <f t="shared" si="266"/>
        <v>0</v>
      </c>
      <c r="Q402" t="str">
        <f t="shared" si="266"/>
        <v>0</v>
      </c>
      <c r="R402" t="str">
        <f t="shared" si="267"/>
        <v>0,00</v>
      </c>
      <c r="S402" t="str">
        <f t="shared" si="267"/>
        <v>0,00</v>
      </c>
      <c r="T402" t="str">
        <f t="shared" si="292"/>
        <v xml:space="preserve"> </v>
      </c>
      <c r="U402" t="str">
        <f t="shared" si="253"/>
        <v xml:space="preserve"> </v>
      </c>
      <c r="V402" t="str">
        <f>"0,000"</f>
        <v>0,000</v>
      </c>
      <c r="W402" t="str">
        <f t="shared" si="274"/>
        <v>Lista 4</v>
      </c>
      <c r="X402" t="str">
        <f t="shared" si="275"/>
        <v>Lista 5</v>
      </c>
      <c r="Y402" t="str">
        <f t="shared" si="276"/>
        <v>Oferta Gral.</v>
      </c>
      <c r="Z402" t="str">
        <f t="shared" si="277"/>
        <v>Rubro</v>
      </c>
      <c r="AA402" t="str">
        <f t="shared" si="278"/>
        <v>Cantidad por Bulto</v>
      </c>
      <c r="AB402" t="str">
        <f t="shared" si="279"/>
        <v>INNER</v>
      </c>
      <c r="AC402" t="str">
        <f t="shared" si="280"/>
        <v>Stock en Bultos</v>
      </c>
      <c r="AD402" t="str">
        <f t="shared" si="281"/>
        <v>SubDepósito</v>
      </c>
      <c r="AE402" t="str">
        <f t="shared" si="282"/>
        <v>Marca</v>
      </c>
      <c r="AF402" t="str">
        <f t="shared" si="283"/>
        <v>Super Rubro</v>
      </c>
      <c r="AG402" t="str">
        <f t="shared" si="284"/>
        <v>ComercioExterior</v>
      </c>
      <c r="AH402" t="str">
        <f t="shared" si="285"/>
        <v>PrecioFOB</v>
      </c>
      <c r="AI402" t="str">
        <f t="shared" si="286"/>
        <v>Monto II</v>
      </c>
      <c r="AJ402" t="str">
        <f t="shared" si="287"/>
        <v>Porcentaje II</v>
      </c>
      <c r="AK402" t="str">
        <f t="shared" si="288"/>
        <v>Foto</v>
      </c>
      <c r="AL40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2" t="str">
        <f t="shared" si="268"/>
        <v>-</v>
      </c>
    </row>
    <row r="403" spans="1:39" x14ac:dyDescent="0.25">
      <c r="A403" t="str">
        <f>"FI583"</f>
        <v>FI583</v>
      </c>
      <c r="B403" t="str">
        <f>"BULBO TEMP RANGER 3.0 / 2.5 TOYOTA CAMRY - COROLLA 1.4 / 1.6 16V / 2.0 D-4D -     "</f>
        <v xml:space="preserve">BULBO TEMP RANGER 3.0 / 2.5 TOYOTA CAMRY - COROLLA 1.4 / 1.6 16V / 2.0 D-4D -     </v>
      </c>
      <c r="C403" t="str">
        <f>"$ 8970,10"</f>
        <v>$ 8970,10</v>
      </c>
      <c r="D403" t="str">
        <f>"$ 8970,10"</f>
        <v>$ 8970,10</v>
      </c>
      <c r="E403" t="str">
        <f>"$ 8970,10"</f>
        <v>$ 8970,10</v>
      </c>
      <c r="F403" t="str">
        <f>"$ 8970,10"</f>
        <v>$ 8970,10</v>
      </c>
      <c r="G403" t="str">
        <f>"$ 8970,10"</f>
        <v>$ 8970,10</v>
      </c>
      <c r="H403" t="str">
        <f t="shared" si="271"/>
        <v>$ 0,00</v>
      </c>
      <c r="I403" t="str">
        <f t="shared" si="291"/>
        <v>BULBO DE TEMPERATURA</v>
      </c>
      <c r="J403" t="str">
        <f t="shared" si="272"/>
        <v>1</v>
      </c>
      <c r="K403" t="str">
        <f t="shared" si="250"/>
        <v>0</v>
      </c>
      <c r="L403" t="str">
        <f>"0,000"</f>
        <v>0,000</v>
      </c>
      <c r="M403" t="str">
        <f t="shared" si="273"/>
        <v xml:space="preserve"> </v>
      </c>
      <c r="N403" t="str">
        <f t="shared" si="269"/>
        <v>FISPA</v>
      </c>
      <c r="O403" t="str">
        <f t="shared" si="270"/>
        <v>BULBOS</v>
      </c>
      <c r="P403" t="str">
        <f t="shared" ref="P403:Q422" si="293">"0"</f>
        <v>0</v>
      </c>
      <c r="Q403" t="str">
        <f t="shared" si="293"/>
        <v>0</v>
      </c>
      <c r="R403" t="str">
        <f t="shared" ref="R403:S422" si="294">"0,00"</f>
        <v>0,00</v>
      </c>
      <c r="S403" t="str">
        <f t="shared" si="294"/>
        <v>0,00</v>
      </c>
      <c r="T403" t="str">
        <f t="shared" si="292"/>
        <v xml:space="preserve"> </v>
      </c>
      <c r="U403" t="str">
        <f t="shared" si="253"/>
        <v xml:space="preserve"> </v>
      </c>
      <c r="V403" t="str">
        <f>"0,000"</f>
        <v>0,000</v>
      </c>
      <c r="W403" t="str">
        <f t="shared" si="274"/>
        <v>Lista 4</v>
      </c>
      <c r="X403" t="str">
        <f t="shared" si="275"/>
        <v>Lista 5</v>
      </c>
      <c r="Y403" t="str">
        <f t="shared" si="276"/>
        <v>Oferta Gral.</v>
      </c>
      <c r="Z403" t="str">
        <f t="shared" si="277"/>
        <v>Rubro</v>
      </c>
      <c r="AA403" t="str">
        <f t="shared" si="278"/>
        <v>Cantidad por Bulto</v>
      </c>
      <c r="AB403" t="str">
        <f t="shared" si="279"/>
        <v>INNER</v>
      </c>
      <c r="AC403" t="str">
        <f t="shared" si="280"/>
        <v>Stock en Bultos</v>
      </c>
      <c r="AD403" t="str">
        <f t="shared" si="281"/>
        <v>SubDepósito</v>
      </c>
      <c r="AE403" t="str">
        <f t="shared" si="282"/>
        <v>Marca</v>
      </c>
      <c r="AF403" t="str">
        <f t="shared" si="283"/>
        <v>Super Rubro</v>
      </c>
      <c r="AG403" t="str">
        <f t="shared" si="284"/>
        <v>ComercioExterior</v>
      </c>
      <c r="AH403" t="str">
        <f t="shared" si="285"/>
        <v>PrecioFOB</v>
      </c>
      <c r="AI403" t="str">
        <f t="shared" si="286"/>
        <v>Monto II</v>
      </c>
      <c r="AJ403" t="str">
        <f t="shared" si="287"/>
        <v>Porcentaje II</v>
      </c>
      <c r="AK403" t="str">
        <f t="shared" si="288"/>
        <v>Foto</v>
      </c>
      <c r="AL40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3" t="str">
        <f t="shared" si="268"/>
        <v>-</v>
      </c>
    </row>
    <row r="404" spans="1:39" x14ac:dyDescent="0.25">
      <c r="A404" t="str">
        <f>"FI514"</f>
        <v>FI514</v>
      </c>
      <c r="B404" t="str">
        <f>"BULBO TEMP RENAULT 19 - 21 - CLIO - LAGUNA - MASTER II - MEGANE - SCENIC - SPACE - TRAFIC - TWINGO"</f>
        <v>BULBO TEMP RENAULT 19 - 21 - CLIO - LAGUNA - MASTER II - MEGANE - SCENIC - SPACE - TRAFIC - TWINGO</v>
      </c>
      <c r="C404" t="str">
        <f>"$ 4886,25"</f>
        <v>$ 4886,25</v>
      </c>
      <c r="D404" t="str">
        <f>"$ 4886,25"</f>
        <v>$ 4886,25</v>
      </c>
      <c r="E404" t="str">
        <f>"$ 4886,25"</f>
        <v>$ 4886,25</v>
      </c>
      <c r="F404" t="str">
        <f>"$ 4886,25"</f>
        <v>$ 4886,25</v>
      </c>
      <c r="G404" t="str">
        <f>"$ 4886,25"</f>
        <v>$ 4886,25</v>
      </c>
      <c r="H404" t="str">
        <f t="shared" si="271"/>
        <v>$ 0,00</v>
      </c>
      <c r="I404" t="str">
        <f t="shared" si="291"/>
        <v>BULBO DE TEMPERATURA</v>
      </c>
      <c r="J404" t="str">
        <f t="shared" si="272"/>
        <v>1</v>
      </c>
      <c r="K404" t="str">
        <f t="shared" si="250"/>
        <v>0</v>
      </c>
      <c r="L404" t="str">
        <f>"0,000"</f>
        <v>0,000</v>
      </c>
      <c r="M404" t="str">
        <f t="shared" si="273"/>
        <v xml:space="preserve"> </v>
      </c>
      <c r="N404" t="str">
        <f t="shared" si="269"/>
        <v>FISPA</v>
      </c>
      <c r="O404" t="str">
        <f t="shared" si="270"/>
        <v>BULBOS</v>
      </c>
      <c r="P404" t="str">
        <f t="shared" si="293"/>
        <v>0</v>
      </c>
      <c r="Q404" t="str">
        <f t="shared" si="293"/>
        <v>0</v>
      </c>
      <c r="R404" t="str">
        <f t="shared" si="294"/>
        <v>0,00</v>
      </c>
      <c r="S404" t="str">
        <f t="shared" si="294"/>
        <v>0,00</v>
      </c>
      <c r="T404" t="str">
        <f t="shared" si="292"/>
        <v xml:space="preserve"> </v>
      </c>
      <c r="U404" t="str">
        <f t="shared" si="253"/>
        <v xml:space="preserve"> </v>
      </c>
      <c r="V404" t="str">
        <f>"0,000"</f>
        <v>0,000</v>
      </c>
      <c r="W404" t="str">
        <f t="shared" si="274"/>
        <v>Lista 4</v>
      </c>
      <c r="X404" t="str">
        <f t="shared" si="275"/>
        <v>Lista 5</v>
      </c>
      <c r="Y404" t="str">
        <f t="shared" si="276"/>
        <v>Oferta Gral.</v>
      </c>
      <c r="Z404" t="str">
        <f t="shared" si="277"/>
        <v>Rubro</v>
      </c>
      <c r="AA404" t="str">
        <f t="shared" si="278"/>
        <v>Cantidad por Bulto</v>
      </c>
      <c r="AB404" t="str">
        <f t="shared" si="279"/>
        <v>INNER</v>
      </c>
      <c r="AC404" t="str">
        <f t="shared" si="280"/>
        <v>Stock en Bultos</v>
      </c>
      <c r="AD404" t="str">
        <f t="shared" si="281"/>
        <v>SubDepósito</v>
      </c>
      <c r="AE404" t="str">
        <f t="shared" si="282"/>
        <v>Marca</v>
      </c>
      <c r="AF404" t="str">
        <f t="shared" si="283"/>
        <v>Super Rubro</v>
      </c>
      <c r="AG404" t="str">
        <f t="shared" si="284"/>
        <v>ComercioExterior</v>
      </c>
      <c r="AH404" t="str">
        <f t="shared" si="285"/>
        <v>PrecioFOB</v>
      </c>
      <c r="AI404" t="str">
        <f t="shared" si="286"/>
        <v>Monto II</v>
      </c>
      <c r="AJ404" t="str">
        <f t="shared" si="287"/>
        <v>Porcentaje II</v>
      </c>
      <c r="AK404" t="str">
        <f t="shared" si="288"/>
        <v>Foto</v>
      </c>
      <c r="AL40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4" t="str">
        <f t="shared" si="268"/>
        <v>-</v>
      </c>
    </row>
    <row r="405" spans="1:39" x14ac:dyDescent="0.25">
      <c r="A405" t="str">
        <f>"FI516"</f>
        <v>FI516</v>
      </c>
      <c r="B405" t="str">
        <f>"BULBO TEMP RENAULT 19 I &amp; II 1.4/1.8 - 21 - CLIO RN/RT/LAGUNA  - MASTER I 2.0 TRAFIC 2.0"</f>
        <v>BULBO TEMP RENAULT 19 I &amp; II 1.4/1.8 - 21 - CLIO RN/RT/LAGUNA  - MASTER I 2.0 TRAFIC 2.0</v>
      </c>
      <c r="C405" t="str">
        <f>"$ 6939,32"</f>
        <v>$ 6939,32</v>
      </c>
      <c r="D405" t="str">
        <f>"$ 6939,32"</f>
        <v>$ 6939,32</v>
      </c>
      <c r="E405" t="str">
        <f>"$ 6939,32"</f>
        <v>$ 6939,32</v>
      </c>
      <c r="F405" t="str">
        <f>"$ 6939,32"</f>
        <v>$ 6939,32</v>
      </c>
      <c r="G405" t="str">
        <f>"$ 6939,32"</f>
        <v>$ 6939,32</v>
      </c>
      <c r="H405" t="str">
        <f t="shared" si="271"/>
        <v>$ 0,00</v>
      </c>
      <c r="I405" t="str">
        <f t="shared" si="291"/>
        <v>BULBO DE TEMPERATURA</v>
      </c>
      <c r="J405" t="str">
        <f t="shared" si="272"/>
        <v>1</v>
      </c>
      <c r="K405" t="str">
        <f t="shared" si="250"/>
        <v>0</v>
      </c>
      <c r="L405" t="str">
        <f>"0,000"</f>
        <v>0,000</v>
      </c>
      <c r="M405" t="str">
        <f t="shared" si="273"/>
        <v xml:space="preserve"> </v>
      </c>
      <c r="N405" t="str">
        <f t="shared" si="269"/>
        <v>FISPA</v>
      </c>
      <c r="O405" t="str">
        <f t="shared" si="270"/>
        <v>BULBOS</v>
      </c>
      <c r="P405" t="str">
        <f t="shared" si="293"/>
        <v>0</v>
      </c>
      <c r="Q405" t="str">
        <f t="shared" si="293"/>
        <v>0</v>
      </c>
      <c r="R405" t="str">
        <f t="shared" si="294"/>
        <v>0,00</v>
      </c>
      <c r="S405" t="str">
        <f t="shared" si="294"/>
        <v>0,00</v>
      </c>
      <c r="T405" t="str">
        <f t="shared" si="292"/>
        <v xml:space="preserve"> </v>
      </c>
      <c r="U405" t="str">
        <f t="shared" si="253"/>
        <v xml:space="preserve"> </v>
      </c>
      <c r="V405" t="str">
        <f>"0,000"</f>
        <v>0,000</v>
      </c>
      <c r="W405" t="str">
        <f t="shared" si="274"/>
        <v>Lista 4</v>
      </c>
      <c r="X405" t="str">
        <f t="shared" si="275"/>
        <v>Lista 5</v>
      </c>
      <c r="Y405" t="str">
        <f t="shared" si="276"/>
        <v>Oferta Gral.</v>
      </c>
      <c r="Z405" t="str">
        <f t="shared" si="277"/>
        <v>Rubro</v>
      </c>
      <c r="AA405" t="str">
        <f t="shared" si="278"/>
        <v>Cantidad por Bulto</v>
      </c>
      <c r="AB405" t="str">
        <f t="shared" si="279"/>
        <v>INNER</v>
      </c>
      <c r="AC405" t="str">
        <f t="shared" si="280"/>
        <v>Stock en Bultos</v>
      </c>
      <c r="AD405" t="str">
        <f t="shared" si="281"/>
        <v>SubDepósito</v>
      </c>
      <c r="AE405" t="str">
        <f t="shared" si="282"/>
        <v>Marca</v>
      </c>
      <c r="AF405" t="str">
        <f t="shared" si="283"/>
        <v>Super Rubro</v>
      </c>
      <c r="AG405" t="str">
        <f t="shared" si="284"/>
        <v>ComercioExterior</v>
      </c>
      <c r="AH405" t="str">
        <f t="shared" si="285"/>
        <v>PrecioFOB</v>
      </c>
      <c r="AI405" t="str">
        <f t="shared" si="286"/>
        <v>Monto II</v>
      </c>
      <c r="AJ405" t="str">
        <f t="shared" si="287"/>
        <v>Porcentaje II</v>
      </c>
      <c r="AK405" t="str">
        <f t="shared" si="288"/>
        <v>Foto</v>
      </c>
      <c r="AL40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5" t="str">
        <f t="shared" si="268"/>
        <v>-</v>
      </c>
    </row>
    <row r="406" spans="1:39" x14ac:dyDescent="0.25">
      <c r="A406" t="str">
        <f>"FI551"</f>
        <v>FI551</v>
      </c>
      <c r="B406" t="str">
        <f>"BULBO TEMP RENAULT CLIO II 1.2/1.4/1.6 - CLIO III 1.2 - KANGOO 1.2/1.4/1.6 - LAGUNA 1.6/1.8/2.0 "</f>
        <v xml:space="preserve">BULBO TEMP RENAULT CLIO II 1.2/1.4/1.6 - CLIO III 1.2 - KANGOO 1.2/1.4/1.6 - LAGUNA 1.6/1.8/2.0 </v>
      </c>
      <c r="C406" t="str">
        <f>"$ 9983,01"</f>
        <v>$ 9983,01</v>
      </c>
      <c r="D406" t="str">
        <f>"$ 9983,01"</f>
        <v>$ 9983,01</v>
      </c>
      <c r="E406" t="str">
        <f>"$ 9983,01"</f>
        <v>$ 9983,01</v>
      </c>
      <c r="F406" t="str">
        <f>"$ 9983,01"</f>
        <v>$ 9983,01</v>
      </c>
      <c r="G406" t="str">
        <f>"$ 9983,01"</f>
        <v>$ 9983,01</v>
      </c>
      <c r="H406" t="str">
        <f t="shared" si="271"/>
        <v>$ 0,00</v>
      </c>
      <c r="I406" t="str">
        <f t="shared" si="291"/>
        <v>BULBO DE TEMPERATURA</v>
      </c>
      <c r="J406" t="str">
        <f t="shared" si="272"/>
        <v>1</v>
      </c>
      <c r="K406" t="str">
        <f t="shared" si="250"/>
        <v>0</v>
      </c>
      <c r="L406" t="str">
        <f>"89,000"</f>
        <v>89,000</v>
      </c>
      <c r="M406" t="str">
        <f t="shared" si="273"/>
        <v xml:space="preserve"> </v>
      </c>
      <c r="N406" t="str">
        <f t="shared" si="269"/>
        <v>FISPA</v>
      </c>
      <c r="O406" t="str">
        <f t="shared" si="270"/>
        <v>BULBOS</v>
      </c>
      <c r="P406" t="str">
        <f t="shared" si="293"/>
        <v>0</v>
      </c>
      <c r="Q406" t="str">
        <f t="shared" si="293"/>
        <v>0</v>
      </c>
      <c r="R406" t="str">
        <f t="shared" si="294"/>
        <v>0,00</v>
      </c>
      <c r="S406" t="str">
        <f t="shared" si="294"/>
        <v>0,00</v>
      </c>
      <c r="T406" t="str">
        <f t="shared" si="292"/>
        <v xml:space="preserve"> </v>
      </c>
      <c r="U406" t="str">
        <f t="shared" si="253"/>
        <v xml:space="preserve"> </v>
      </c>
      <c r="V406" t="str">
        <f>"89,000"</f>
        <v>89,000</v>
      </c>
      <c r="W406" t="str">
        <f t="shared" si="274"/>
        <v>Lista 4</v>
      </c>
      <c r="X406" t="str">
        <f t="shared" si="275"/>
        <v>Lista 5</v>
      </c>
      <c r="Y406" t="str">
        <f t="shared" si="276"/>
        <v>Oferta Gral.</v>
      </c>
      <c r="Z406" t="str">
        <f t="shared" si="277"/>
        <v>Rubro</v>
      </c>
      <c r="AA406" t="str">
        <f t="shared" si="278"/>
        <v>Cantidad por Bulto</v>
      </c>
      <c r="AB406" t="str">
        <f t="shared" si="279"/>
        <v>INNER</v>
      </c>
      <c r="AC406" t="str">
        <f t="shared" si="280"/>
        <v>Stock en Bultos</v>
      </c>
      <c r="AD406" t="str">
        <f t="shared" si="281"/>
        <v>SubDepósito</v>
      </c>
      <c r="AE406" t="str">
        <f t="shared" si="282"/>
        <v>Marca</v>
      </c>
      <c r="AF406" t="str">
        <f t="shared" si="283"/>
        <v>Super Rubro</v>
      </c>
      <c r="AG406" t="str">
        <f t="shared" si="284"/>
        <v>ComercioExterior</v>
      </c>
      <c r="AH406" t="str">
        <f t="shared" si="285"/>
        <v>PrecioFOB</v>
      </c>
      <c r="AI406" t="str">
        <f t="shared" si="286"/>
        <v>Monto II</v>
      </c>
      <c r="AJ406" t="str">
        <f t="shared" si="287"/>
        <v>Porcentaje II</v>
      </c>
      <c r="AK406" t="str">
        <f t="shared" si="288"/>
        <v>Foto</v>
      </c>
      <c r="AL40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6" t="str">
        <f t="shared" si="268"/>
        <v>-</v>
      </c>
    </row>
    <row r="407" spans="1:39" x14ac:dyDescent="0.25">
      <c r="A407" t="str">
        <f>"FI558"</f>
        <v>FI558</v>
      </c>
      <c r="B407" t="str">
        <f>"BULBO TEMP RENAULT CLIO II 1.4/1.5DCI/1.9D/DTI - CLIO III 1.4/1.5DCI/1.6 - KANGOO 1.5DCI "</f>
        <v xml:space="preserve">BULBO TEMP RENAULT CLIO II 1.4/1.5DCI/1.9D/DTI - CLIO III 1.4/1.5DCI/1.6 - KANGOO 1.5DCI </v>
      </c>
      <c r="C407" t="str">
        <f>"$ 10143,98"</f>
        <v>$ 10143,98</v>
      </c>
      <c r="D407" t="str">
        <f>"$ 10143,98"</f>
        <v>$ 10143,98</v>
      </c>
      <c r="E407" t="str">
        <f>"$ 10143,98"</f>
        <v>$ 10143,98</v>
      </c>
      <c r="F407" t="str">
        <f>"$ 10143,98"</f>
        <v>$ 10143,98</v>
      </c>
      <c r="G407" t="str">
        <f>"$ 10143,98"</f>
        <v>$ 10143,98</v>
      </c>
      <c r="H407" t="str">
        <f t="shared" si="271"/>
        <v>$ 0,00</v>
      </c>
      <c r="I407" t="str">
        <f t="shared" si="291"/>
        <v>BULBO DE TEMPERATURA</v>
      </c>
      <c r="J407" t="str">
        <f t="shared" si="272"/>
        <v>1</v>
      </c>
      <c r="K407" t="str">
        <f t="shared" ref="K407:K470" si="295">"0"</f>
        <v>0</v>
      </c>
      <c r="L407" t="str">
        <f t="shared" ref="L407:L414" si="296">"0,000"</f>
        <v>0,000</v>
      </c>
      <c r="M407" t="str">
        <f t="shared" si="273"/>
        <v xml:space="preserve"> </v>
      </c>
      <c r="N407" t="str">
        <f t="shared" si="269"/>
        <v>FISPA</v>
      </c>
      <c r="O407" t="str">
        <f t="shared" si="270"/>
        <v>BULBOS</v>
      </c>
      <c r="P407" t="str">
        <f t="shared" si="293"/>
        <v>0</v>
      </c>
      <c r="Q407" t="str">
        <f t="shared" si="293"/>
        <v>0</v>
      </c>
      <c r="R407" t="str">
        <f t="shared" si="294"/>
        <v>0,00</v>
      </c>
      <c r="S407" t="str">
        <f t="shared" si="294"/>
        <v>0,00</v>
      </c>
      <c r="T407" t="str">
        <f t="shared" si="292"/>
        <v xml:space="preserve"> </v>
      </c>
      <c r="U407" t="str">
        <f t="shared" si="253"/>
        <v xml:space="preserve"> </v>
      </c>
      <c r="V407" t="str">
        <f t="shared" ref="V407:V414" si="297">"0,000"</f>
        <v>0,000</v>
      </c>
      <c r="W407" t="str">
        <f t="shared" si="274"/>
        <v>Lista 4</v>
      </c>
      <c r="X407" t="str">
        <f t="shared" si="275"/>
        <v>Lista 5</v>
      </c>
      <c r="Y407" t="str">
        <f t="shared" si="276"/>
        <v>Oferta Gral.</v>
      </c>
      <c r="Z407" t="str">
        <f t="shared" si="277"/>
        <v>Rubro</v>
      </c>
      <c r="AA407" t="str">
        <f t="shared" si="278"/>
        <v>Cantidad por Bulto</v>
      </c>
      <c r="AB407" t="str">
        <f t="shared" si="279"/>
        <v>INNER</v>
      </c>
      <c r="AC407" t="str">
        <f t="shared" si="280"/>
        <v>Stock en Bultos</v>
      </c>
      <c r="AD407" t="str">
        <f t="shared" si="281"/>
        <v>SubDepósito</v>
      </c>
      <c r="AE407" t="str">
        <f t="shared" si="282"/>
        <v>Marca</v>
      </c>
      <c r="AF407" t="str">
        <f t="shared" si="283"/>
        <v>Super Rubro</v>
      </c>
      <c r="AG407" t="str">
        <f t="shared" si="284"/>
        <v>ComercioExterior</v>
      </c>
      <c r="AH407" t="str">
        <f t="shared" si="285"/>
        <v>PrecioFOB</v>
      </c>
      <c r="AI407" t="str">
        <f t="shared" si="286"/>
        <v>Monto II</v>
      </c>
      <c r="AJ407" t="str">
        <f t="shared" si="287"/>
        <v>Porcentaje II</v>
      </c>
      <c r="AK407" t="str">
        <f t="shared" si="288"/>
        <v>Foto</v>
      </c>
      <c r="AL40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7" t="str">
        <f t="shared" si="268"/>
        <v>-</v>
      </c>
    </row>
    <row r="408" spans="1:39" x14ac:dyDescent="0.25">
      <c r="A408" t="str">
        <f>"FI573"</f>
        <v>FI573</v>
      </c>
      <c r="B408" t="str">
        <f>"BULBO TEMP TOYOTA  COROLLA 1.6 - HILUX 2.5 D 4WD - LAND CRUISER 3.0 D 4WD / 4.0 / 4.5 D4-D"</f>
        <v>BULBO TEMP TOYOTA  COROLLA 1.6 - HILUX 2.5 D 4WD - LAND CRUISER 3.0 D 4WD / 4.0 / 4.5 D4-D</v>
      </c>
      <c r="C408" t="str">
        <f>"$ 10489,46"</f>
        <v>$ 10489,46</v>
      </c>
      <c r="D408" t="str">
        <f>"$ 10489,46"</f>
        <v>$ 10489,46</v>
      </c>
      <c r="E408" t="str">
        <f>"$ 10489,46"</f>
        <v>$ 10489,46</v>
      </c>
      <c r="F408" t="str">
        <f>"$ 10489,46"</f>
        <v>$ 10489,46</v>
      </c>
      <c r="G408" t="str">
        <f>"$ 10489,46"</f>
        <v>$ 10489,46</v>
      </c>
      <c r="H408" t="str">
        <f t="shared" si="271"/>
        <v>$ 0,00</v>
      </c>
      <c r="I408" t="str">
        <f t="shared" si="291"/>
        <v>BULBO DE TEMPERATURA</v>
      </c>
      <c r="J408" t="str">
        <f t="shared" si="272"/>
        <v>1</v>
      </c>
      <c r="K408" t="str">
        <f t="shared" si="295"/>
        <v>0</v>
      </c>
      <c r="L408" t="str">
        <f t="shared" si="296"/>
        <v>0,000</v>
      </c>
      <c r="M408" t="str">
        <f t="shared" si="273"/>
        <v xml:space="preserve"> </v>
      </c>
      <c r="N408" t="str">
        <f t="shared" si="269"/>
        <v>FISPA</v>
      </c>
      <c r="O408" t="str">
        <f t="shared" si="270"/>
        <v>BULBOS</v>
      </c>
      <c r="P408" t="str">
        <f t="shared" si="293"/>
        <v>0</v>
      </c>
      <c r="Q408" t="str">
        <f t="shared" si="293"/>
        <v>0</v>
      </c>
      <c r="R408" t="str">
        <f t="shared" si="294"/>
        <v>0,00</v>
      </c>
      <c r="S408" t="str">
        <f t="shared" si="294"/>
        <v>0,00</v>
      </c>
      <c r="T408" t="str">
        <f t="shared" si="292"/>
        <v xml:space="preserve"> </v>
      </c>
      <c r="U408" t="str">
        <f t="shared" si="253"/>
        <v xml:space="preserve"> </v>
      </c>
      <c r="V408" t="str">
        <f t="shared" si="297"/>
        <v>0,000</v>
      </c>
      <c r="W408" t="str">
        <f t="shared" si="274"/>
        <v>Lista 4</v>
      </c>
      <c r="X408" t="str">
        <f t="shared" si="275"/>
        <v>Lista 5</v>
      </c>
      <c r="Y408" t="str">
        <f t="shared" si="276"/>
        <v>Oferta Gral.</v>
      </c>
      <c r="Z408" t="str">
        <f t="shared" si="277"/>
        <v>Rubro</v>
      </c>
      <c r="AA408" t="str">
        <f t="shared" si="278"/>
        <v>Cantidad por Bulto</v>
      </c>
      <c r="AB408" t="str">
        <f t="shared" si="279"/>
        <v>INNER</v>
      </c>
      <c r="AC408" t="str">
        <f t="shared" si="280"/>
        <v>Stock en Bultos</v>
      </c>
      <c r="AD408" t="str">
        <f t="shared" si="281"/>
        <v>SubDepósito</v>
      </c>
      <c r="AE408" t="str">
        <f t="shared" si="282"/>
        <v>Marca</v>
      </c>
      <c r="AF408" t="str">
        <f t="shared" si="283"/>
        <v>Super Rubro</v>
      </c>
      <c r="AG408" t="str">
        <f t="shared" si="284"/>
        <v>ComercioExterior</v>
      </c>
      <c r="AH408" t="str">
        <f t="shared" si="285"/>
        <v>PrecioFOB</v>
      </c>
      <c r="AI408" t="str">
        <f t="shared" si="286"/>
        <v>Monto II</v>
      </c>
      <c r="AJ408" t="str">
        <f t="shared" si="287"/>
        <v>Porcentaje II</v>
      </c>
      <c r="AK408" t="str">
        <f t="shared" si="288"/>
        <v>Foto</v>
      </c>
      <c r="AL40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8" t="str">
        <f t="shared" si="268"/>
        <v>-</v>
      </c>
    </row>
    <row r="409" spans="1:39" x14ac:dyDescent="0.25">
      <c r="A409" t="str">
        <f>"FI585"</f>
        <v>FI585</v>
      </c>
      <c r="B409" t="str">
        <f>"BULBO TEMP TOYOTA 4 RUNNER COROLLA 1.6 -  HILUX 2.4 I 4WD - LAND CRUISER - RAV 4 2.0 / 16V"</f>
        <v>BULBO TEMP TOYOTA 4 RUNNER COROLLA 1.6 -  HILUX 2.4 I 4WD - LAND CRUISER - RAV 4 2.0 / 16V</v>
      </c>
      <c r="C409" t="str">
        <f>"$ 3869,62"</f>
        <v>$ 3869,62</v>
      </c>
      <c r="D409" t="str">
        <f>"$ 3869,62"</f>
        <v>$ 3869,62</v>
      </c>
      <c r="E409" t="str">
        <f>"$ 3869,62"</f>
        <v>$ 3869,62</v>
      </c>
      <c r="F409" t="str">
        <f>"$ 3869,62"</f>
        <v>$ 3869,62</v>
      </c>
      <c r="G409" t="str">
        <f>"$ 3869,62"</f>
        <v>$ 3869,62</v>
      </c>
      <c r="H409" t="str">
        <f t="shared" si="271"/>
        <v>$ 0,00</v>
      </c>
      <c r="I409" t="str">
        <f t="shared" si="291"/>
        <v>BULBO DE TEMPERATURA</v>
      </c>
      <c r="J409" t="str">
        <f t="shared" si="272"/>
        <v>1</v>
      </c>
      <c r="K409" t="str">
        <f t="shared" si="295"/>
        <v>0</v>
      </c>
      <c r="L409" t="str">
        <f t="shared" si="296"/>
        <v>0,000</v>
      </c>
      <c r="M409" t="str">
        <f t="shared" si="273"/>
        <v xml:space="preserve"> </v>
      </c>
      <c r="N409" t="str">
        <f t="shared" si="269"/>
        <v>FISPA</v>
      </c>
      <c r="O409" t="str">
        <f t="shared" si="270"/>
        <v>BULBOS</v>
      </c>
      <c r="P409" t="str">
        <f t="shared" si="293"/>
        <v>0</v>
      </c>
      <c r="Q409" t="str">
        <f t="shared" si="293"/>
        <v>0</v>
      </c>
      <c r="R409" t="str">
        <f t="shared" si="294"/>
        <v>0,00</v>
      </c>
      <c r="S409" t="str">
        <f t="shared" si="294"/>
        <v>0,00</v>
      </c>
      <c r="T409" t="str">
        <f t="shared" si="292"/>
        <v xml:space="preserve"> </v>
      </c>
      <c r="U409" t="str">
        <f t="shared" si="253"/>
        <v xml:space="preserve"> </v>
      </c>
      <c r="V409" t="str">
        <f t="shared" si="297"/>
        <v>0,000</v>
      </c>
      <c r="W409" t="str">
        <f t="shared" si="274"/>
        <v>Lista 4</v>
      </c>
      <c r="X409" t="str">
        <f t="shared" si="275"/>
        <v>Lista 5</v>
      </c>
      <c r="Y409" t="str">
        <f t="shared" si="276"/>
        <v>Oferta Gral.</v>
      </c>
      <c r="Z409" t="str">
        <f t="shared" si="277"/>
        <v>Rubro</v>
      </c>
      <c r="AA409" t="str">
        <f t="shared" si="278"/>
        <v>Cantidad por Bulto</v>
      </c>
      <c r="AB409" t="str">
        <f t="shared" si="279"/>
        <v>INNER</v>
      </c>
      <c r="AC409" t="str">
        <f t="shared" si="280"/>
        <v>Stock en Bultos</v>
      </c>
      <c r="AD409" t="str">
        <f t="shared" si="281"/>
        <v>SubDepósito</v>
      </c>
      <c r="AE409" t="str">
        <f t="shared" si="282"/>
        <v>Marca</v>
      </c>
      <c r="AF409" t="str">
        <f t="shared" si="283"/>
        <v>Super Rubro</v>
      </c>
      <c r="AG409" t="str">
        <f t="shared" si="284"/>
        <v>ComercioExterior</v>
      </c>
      <c r="AH409" t="str">
        <f t="shared" si="285"/>
        <v>PrecioFOB</v>
      </c>
      <c r="AI409" t="str">
        <f t="shared" si="286"/>
        <v>Monto II</v>
      </c>
      <c r="AJ409" t="str">
        <f t="shared" si="287"/>
        <v>Porcentaje II</v>
      </c>
      <c r="AK409" t="str">
        <f t="shared" si="288"/>
        <v>Foto</v>
      </c>
      <c r="AL40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9" t="str">
        <f t="shared" si="268"/>
        <v>-</v>
      </c>
    </row>
    <row r="410" spans="1:39" x14ac:dyDescent="0.25">
      <c r="A410" t="str">
        <f>"FI581"</f>
        <v>FI581</v>
      </c>
      <c r="B410" t="str">
        <f>"BULBO TEMP VOLKSWAGEN BORA - GOL - GOLF VI 1.6 / 2.0 GTI - PASSAT 1.6 / 1.8 T "</f>
        <v xml:space="preserve">BULBO TEMP VOLKSWAGEN BORA - GOL - GOLF VI 1.6 / 2.0 GTI - PASSAT 1.6 / 1.8 T </v>
      </c>
      <c r="C410" t="str">
        <f>"$ 6295,41"</f>
        <v>$ 6295,41</v>
      </c>
      <c r="D410" t="str">
        <f>"$ 6295,41"</f>
        <v>$ 6295,41</v>
      </c>
      <c r="E410" t="str">
        <f>"$ 6295,41"</f>
        <v>$ 6295,41</v>
      </c>
      <c r="F410" t="str">
        <f>"$ 6295,41"</f>
        <v>$ 6295,41</v>
      </c>
      <c r="G410" t="str">
        <f>"$ 6295,41"</f>
        <v>$ 6295,41</v>
      </c>
      <c r="H410" t="str">
        <f t="shared" si="271"/>
        <v>$ 0,00</v>
      </c>
      <c r="I410" t="str">
        <f t="shared" si="291"/>
        <v>BULBO DE TEMPERATURA</v>
      </c>
      <c r="J410" t="str">
        <f t="shared" si="272"/>
        <v>1</v>
      </c>
      <c r="K410" t="str">
        <f t="shared" si="295"/>
        <v>0</v>
      </c>
      <c r="L410" t="str">
        <f t="shared" si="296"/>
        <v>0,000</v>
      </c>
      <c r="M410" t="str">
        <f t="shared" si="273"/>
        <v xml:space="preserve"> </v>
      </c>
      <c r="N410" t="str">
        <f t="shared" si="269"/>
        <v>FISPA</v>
      </c>
      <c r="O410" t="str">
        <f t="shared" si="270"/>
        <v>BULBOS</v>
      </c>
      <c r="P410" t="str">
        <f t="shared" si="293"/>
        <v>0</v>
      </c>
      <c r="Q410" t="str">
        <f t="shared" si="293"/>
        <v>0</v>
      </c>
      <c r="R410" t="str">
        <f t="shared" si="294"/>
        <v>0,00</v>
      </c>
      <c r="S410" t="str">
        <f t="shared" si="294"/>
        <v>0,00</v>
      </c>
      <c r="T410" t="str">
        <f t="shared" si="292"/>
        <v xml:space="preserve"> </v>
      </c>
      <c r="U410" t="str">
        <f t="shared" si="253"/>
        <v xml:space="preserve"> </v>
      </c>
      <c r="V410" t="str">
        <f t="shared" si="297"/>
        <v>0,000</v>
      </c>
      <c r="W410" t="str">
        <f t="shared" si="274"/>
        <v>Lista 4</v>
      </c>
      <c r="X410" t="str">
        <f t="shared" si="275"/>
        <v>Lista 5</v>
      </c>
      <c r="Y410" t="str">
        <f t="shared" si="276"/>
        <v>Oferta Gral.</v>
      </c>
      <c r="Z410" t="str">
        <f t="shared" si="277"/>
        <v>Rubro</v>
      </c>
      <c r="AA410" t="str">
        <f t="shared" si="278"/>
        <v>Cantidad por Bulto</v>
      </c>
      <c r="AB410" t="str">
        <f t="shared" si="279"/>
        <v>INNER</v>
      </c>
      <c r="AC410" t="str">
        <f t="shared" si="280"/>
        <v>Stock en Bultos</v>
      </c>
      <c r="AD410" t="str">
        <f t="shared" si="281"/>
        <v>SubDepósito</v>
      </c>
      <c r="AE410" t="str">
        <f t="shared" si="282"/>
        <v>Marca</v>
      </c>
      <c r="AF410" t="str">
        <f t="shared" si="283"/>
        <v>Super Rubro</v>
      </c>
      <c r="AG410" t="str">
        <f t="shared" si="284"/>
        <v>ComercioExterior</v>
      </c>
      <c r="AH410" t="str">
        <f t="shared" si="285"/>
        <v>PrecioFOB</v>
      </c>
      <c r="AI410" t="str">
        <f t="shared" si="286"/>
        <v>Monto II</v>
      </c>
      <c r="AJ410" t="str">
        <f t="shared" si="287"/>
        <v>Porcentaje II</v>
      </c>
      <c r="AK410" t="str">
        <f t="shared" si="288"/>
        <v>Foto</v>
      </c>
      <c r="AL41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0" t="str">
        <f t="shared" si="268"/>
        <v>-</v>
      </c>
    </row>
    <row r="411" spans="1:39" x14ac:dyDescent="0.25">
      <c r="A411" t="str">
        <f>"FI543"</f>
        <v>FI543</v>
      </c>
      <c r="B411" t="str">
        <f>"BULBO TEMP VOLKSWAGEN GOLF 1.8"</f>
        <v>BULBO TEMP VOLKSWAGEN GOLF 1.8</v>
      </c>
      <c r="C411" t="str">
        <f>"$ 5496,72"</f>
        <v>$ 5496,72</v>
      </c>
      <c r="D411" t="str">
        <f>"$ 5496,72"</f>
        <v>$ 5496,72</v>
      </c>
      <c r="E411" t="str">
        <f>"$ 5496,72"</f>
        <v>$ 5496,72</v>
      </c>
      <c r="F411" t="str">
        <f>"$ 5496,72"</f>
        <v>$ 5496,72</v>
      </c>
      <c r="G411" t="str">
        <f>"$ 5496,72"</f>
        <v>$ 5496,72</v>
      </c>
      <c r="H411" t="str">
        <f t="shared" si="271"/>
        <v>$ 0,00</v>
      </c>
      <c r="I411" t="str">
        <f t="shared" si="291"/>
        <v>BULBO DE TEMPERATURA</v>
      </c>
      <c r="J411" t="str">
        <f t="shared" si="272"/>
        <v>1</v>
      </c>
      <c r="K411" t="str">
        <f t="shared" si="295"/>
        <v>0</v>
      </c>
      <c r="L411" t="str">
        <f t="shared" si="296"/>
        <v>0,000</v>
      </c>
      <c r="M411" t="str">
        <f t="shared" si="273"/>
        <v xml:space="preserve"> </v>
      </c>
      <c r="N411" t="str">
        <f t="shared" si="269"/>
        <v>FISPA</v>
      </c>
      <c r="O411" t="str">
        <f t="shared" si="270"/>
        <v>BULBOS</v>
      </c>
      <c r="P411" t="str">
        <f t="shared" si="293"/>
        <v>0</v>
      </c>
      <c r="Q411" t="str">
        <f t="shared" si="293"/>
        <v>0</v>
      </c>
      <c r="R411" t="str">
        <f t="shared" si="294"/>
        <v>0,00</v>
      </c>
      <c r="S411" t="str">
        <f t="shared" si="294"/>
        <v>0,00</v>
      </c>
      <c r="T411" t="str">
        <f t="shared" si="292"/>
        <v xml:space="preserve"> </v>
      </c>
      <c r="U411" t="str">
        <f t="shared" si="253"/>
        <v xml:space="preserve"> </v>
      </c>
      <c r="V411" t="str">
        <f t="shared" si="297"/>
        <v>0,000</v>
      </c>
      <c r="W411" t="str">
        <f t="shared" si="274"/>
        <v>Lista 4</v>
      </c>
      <c r="X411" t="str">
        <f t="shared" si="275"/>
        <v>Lista 5</v>
      </c>
      <c r="Y411" t="str">
        <f t="shared" si="276"/>
        <v>Oferta Gral.</v>
      </c>
      <c r="Z411" t="str">
        <f t="shared" si="277"/>
        <v>Rubro</v>
      </c>
      <c r="AA411" t="str">
        <f t="shared" si="278"/>
        <v>Cantidad por Bulto</v>
      </c>
      <c r="AB411" t="str">
        <f t="shared" si="279"/>
        <v>INNER</v>
      </c>
      <c r="AC411" t="str">
        <f t="shared" si="280"/>
        <v>Stock en Bultos</v>
      </c>
      <c r="AD411" t="str">
        <f t="shared" si="281"/>
        <v>SubDepósito</v>
      </c>
      <c r="AE411" t="str">
        <f t="shared" si="282"/>
        <v>Marca</v>
      </c>
      <c r="AF411" t="str">
        <f t="shared" si="283"/>
        <v>Super Rubro</v>
      </c>
      <c r="AG411" t="str">
        <f t="shared" si="284"/>
        <v>ComercioExterior</v>
      </c>
      <c r="AH411" t="str">
        <f t="shared" si="285"/>
        <v>PrecioFOB</v>
      </c>
      <c r="AI411" t="str">
        <f t="shared" si="286"/>
        <v>Monto II</v>
      </c>
      <c r="AJ411" t="str">
        <f t="shared" si="287"/>
        <v>Porcentaje II</v>
      </c>
      <c r="AK411" t="str">
        <f t="shared" si="288"/>
        <v>Foto</v>
      </c>
      <c r="AL411" t="str">
        <f>" "</f>
        <v xml:space="preserve"> </v>
      </c>
      <c r="AM411" t="str">
        <f t="shared" si="268"/>
        <v>-</v>
      </c>
    </row>
    <row r="412" spans="1:39" x14ac:dyDescent="0.25">
      <c r="A412" t="str">
        <f>"FI578"</f>
        <v>FI578</v>
      </c>
      <c r="B412" t="str">
        <f>"BULBO TEMP VOLKSWAGEN TRANSPORTER 2.4 D / 2.5 TDI"</f>
        <v>BULBO TEMP VOLKSWAGEN TRANSPORTER 2.4 D / 2.5 TDI</v>
      </c>
      <c r="C412" t="str">
        <f>"$ 8265,51"</f>
        <v>$ 8265,51</v>
      </c>
      <c r="D412" t="str">
        <f>"$ 8265,51"</f>
        <v>$ 8265,51</v>
      </c>
      <c r="E412" t="str">
        <f>"$ 8265,51"</f>
        <v>$ 8265,51</v>
      </c>
      <c r="F412" t="str">
        <f>"$ 8265,51"</f>
        <v>$ 8265,51</v>
      </c>
      <c r="G412" t="str">
        <f>"$ 8265,51"</f>
        <v>$ 8265,51</v>
      </c>
      <c r="H412" t="str">
        <f t="shared" si="271"/>
        <v>$ 0,00</v>
      </c>
      <c r="I412" t="str">
        <f t="shared" si="291"/>
        <v>BULBO DE TEMPERATURA</v>
      </c>
      <c r="J412" t="str">
        <f t="shared" si="272"/>
        <v>1</v>
      </c>
      <c r="K412" t="str">
        <f t="shared" si="295"/>
        <v>0</v>
      </c>
      <c r="L412" t="str">
        <f t="shared" si="296"/>
        <v>0,000</v>
      </c>
      <c r="M412" t="str">
        <f t="shared" si="273"/>
        <v xml:space="preserve"> </v>
      </c>
      <c r="N412" t="str">
        <f t="shared" si="269"/>
        <v>FISPA</v>
      </c>
      <c r="O412" t="str">
        <f t="shared" si="270"/>
        <v>BULBOS</v>
      </c>
      <c r="P412" t="str">
        <f t="shared" si="293"/>
        <v>0</v>
      </c>
      <c r="Q412" t="str">
        <f t="shared" si="293"/>
        <v>0</v>
      </c>
      <c r="R412" t="str">
        <f t="shared" si="294"/>
        <v>0,00</v>
      </c>
      <c r="S412" t="str">
        <f t="shared" si="294"/>
        <v>0,00</v>
      </c>
      <c r="T412" t="str">
        <f t="shared" si="292"/>
        <v xml:space="preserve"> </v>
      </c>
      <c r="U412" t="str">
        <f t="shared" si="253"/>
        <v xml:space="preserve"> </v>
      </c>
      <c r="V412" t="str">
        <f t="shared" si="297"/>
        <v>0,000</v>
      </c>
      <c r="W412" t="str">
        <f t="shared" si="274"/>
        <v>Lista 4</v>
      </c>
      <c r="X412" t="str">
        <f t="shared" si="275"/>
        <v>Lista 5</v>
      </c>
      <c r="Y412" t="str">
        <f t="shared" si="276"/>
        <v>Oferta Gral.</v>
      </c>
      <c r="Z412" t="str">
        <f t="shared" si="277"/>
        <v>Rubro</v>
      </c>
      <c r="AA412" t="str">
        <f t="shared" si="278"/>
        <v>Cantidad por Bulto</v>
      </c>
      <c r="AB412" t="str">
        <f t="shared" si="279"/>
        <v>INNER</v>
      </c>
      <c r="AC412" t="str">
        <f t="shared" si="280"/>
        <v>Stock en Bultos</v>
      </c>
      <c r="AD412" t="str">
        <f t="shared" si="281"/>
        <v>SubDepósito</v>
      </c>
      <c r="AE412" t="str">
        <f t="shared" si="282"/>
        <v>Marca</v>
      </c>
      <c r="AF412" t="str">
        <f t="shared" si="283"/>
        <v>Super Rubro</v>
      </c>
      <c r="AG412" t="str">
        <f t="shared" si="284"/>
        <v>ComercioExterior</v>
      </c>
      <c r="AH412" t="str">
        <f t="shared" si="285"/>
        <v>PrecioFOB</v>
      </c>
      <c r="AI412" t="str">
        <f t="shared" si="286"/>
        <v>Monto II</v>
      </c>
      <c r="AJ412" t="str">
        <f t="shared" si="287"/>
        <v>Porcentaje II</v>
      </c>
      <c r="AK412" t="str">
        <f t="shared" si="288"/>
        <v>Foto</v>
      </c>
      <c r="AL412" t="str">
        <f>" "</f>
        <v xml:space="preserve"> </v>
      </c>
      <c r="AM412" t="str">
        <f t="shared" si="268"/>
        <v>-</v>
      </c>
    </row>
    <row r="413" spans="1:39" x14ac:dyDescent="0.25">
      <c r="A413" t="str">
        <f>"FI561"</f>
        <v>FI561</v>
      </c>
      <c r="B413" t="str">
        <f>"BULBO TEMP VOLSWAGEN BORA 1.4 - CADDY 1.4 - POLO 1.4/1.6/1.9/TDI/SDI - GOLF IV 1.6/1.8/1.9SDI/TD"</f>
        <v>BULBO TEMP VOLSWAGEN BORA 1.4 - CADDY 1.4 - POLO 1.4/1.6/1.9/TDI/SDI - GOLF IV 1.6/1.8/1.9SDI/TD</v>
      </c>
      <c r="C413" t="str">
        <f>"$ 8395,53"</f>
        <v>$ 8395,53</v>
      </c>
      <c r="D413" t="str">
        <f>"$ 8395,53"</f>
        <v>$ 8395,53</v>
      </c>
      <c r="E413" t="str">
        <f>"$ 8395,53"</f>
        <v>$ 8395,53</v>
      </c>
      <c r="F413" t="str">
        <f>"$ 8395,53"</f>
        <v>$ 8395,53</v>
      </c>
      <c r="G413" t="str">
        <f>"$ 8395,53"</f>
        <v>$ 8395,53</v>
      </c>
      <c r="H413" t="str">
        <f t="shared" si="271"/>
        <v>$ 0,00</v>
      </c>
      <c r="I413" t="str">
        <f t="shared" si="291"/>
        <v>BULBO DE TEMPERATURA</v>
      </c>
      <c r="J413" t="str">
        <f t="shared" si="272"/>
        <v>1</v>
      </c>
      <c r="K413" t="str">
        <f t="shared" si="295"/>
        <v>0</v>
      </c>
      <c r="L413" t="str">
        <f t="shared" si="296"/>
        <v>0,000</v>
      </c>
      <c r="M413" t="str">
        <f t="shared" si="273"/>
        <v xml:space="preserve"> </v>
      </c>
      <c r="N413" t="str">
        <f t="shared" si="269"/>
        <v>FISPA</v>
      </c>
      <c r="O413" t="str">
        <f t="shared" si="270"/>
        <v>BULBOS</v>
      </c>
      <c r="P413" t="str">
        <f t="shared" si="293"/>
        <v>0</v>
      </c>
      <c r="Q413" t="str">
        <f t="shared" si="293"/>
        <v>0</v>
      </c>
      <c r="R413" t="str">
        <f t="shared" si="294"/>
        <v>0,00</v>
      </c>
      <c r="S413" t="str">
        <f t="shared" si="294"/>
        <v>0,00</v>
      </c>
      <c r="T413" t="str">
        <f t="shared" si="292"/>
        <v xml:space="preserve"> </v>
      </c>
      <c r="U413" t="str">
        <f t="shared" ref="U413:U476" si="298">" "</f>
        <v xml:space="preserve"> </v>
      </c>
      <c r="V413" t="str">
        <f t="shared" si="297"/>
        <v>0,000</v>
      </c>
      <c r="W413" t="str">
        <f t="shared" si="274"/>
        <v>Lista 4</v>
      </c>
      <c r="X413" t="str">
        <f t="shared" si="275"/>
        <v>Lista 5</v>
      </c>
      <c r="Y413" t="str">
        <f t="shared" si="276"/>
        <v>Oferta Gral.</v>
      </c>
      <c r="Z413" t="str">
        <f t="shared" si="277"/>
        <v>Rubro</v>
      </c>
      <c r="AA413" t="str">
        <f t="shared" si="278"/>
        <v>Cantidad por Bulto</v>
      </c>
      <c r="AB413" t="str">
        <f t="shared" si="279"/>
        <v>INNER</v>
      </c>
      <c r="AC413" t="str">
        <f t="shared" si="280"/>
        <v>Stock en Bultos</v>
      </c>
      <c r="AD413" t="str">
        <f t="shared" si="281"/>
        <v>SubDepósito</v>
      </c>
      <c r="AE413" t="str">
        <f t="shared" si="282"/>
        <v>Marca</v>
      </c>
      <c r="AF413" t="str">
        <f t="shared" si="283"/>
        <v>Super Rubro</v>
      </c>
      <c r="AG413" t="str">
        <f t="shared" si="284"/>
        <v>ComercioExterior</v>
      </c>
      <c r="AH413" t="str">
        <f t="shared" si="285"/>
        <v>PrecioFOB</v>
      </c>
      <c r="AI413" t="str">
        <f t="shared" si="286"/>
        <v>Monto II</v>
      </c>
      <c r="AJ413" t="str">
        <f t="shared" si="287"/>
        <v>Porcentaje II</v>
      </c>
      <c r="AK413" t="str">
        <f t="shared" si="288"/>
        <v>Foto</v>
      </c>
      <c r="AL41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3" t="str">
        <f t="shared" si="268"/>
        <v>-</v>
      </c>
    </row>
    <row r="414" spans="1:39" x14ac:dyDescent="0.25">
      <c r="A414" t="str">
        <f>"FI580"</f>
        <v>FI580</v>
      </c>
      <c r="B414" t="str">
        <f>"BULBO TEMP VW AMAROK 2.0 TSI - BORA 1.8 T - GOLF IV 1.8 T - NEW BEETLE 1.8 / 1.8 "</f>
        <v xml:space="preserve">BULBO TEMP VW AMAROK 2.0 TSI - BORA 1.8 T - GOLF IV 1.8 T - NEW BEETLE 1.8 / 1.8 </v>
      </c>
      <c r="C414" t="str">
        <f>"$ 11649,73"</f>
        <v>$ 11649,73</v>
      </c>
      <c r="D414" t="str">
        <f>"$ 11649,73"</f>
        <v>$ 11649,73</v>
      </c>
      <c r="E414" t="str">
        <f>"$ 11649,73"</f>
        <v>$ 11649,73</v>
      </c>
      <c r="F414" t="str">
        <f>"$ 11649,73"</f>
        <v>$ 11649,73</v>
      </c>
      <c r="G414" t="str">
        <f>"$ 11649,73"</f>
        <v>$ 11649,73</v>
      </c>
      <c r="H414" t="str">
        <f t="shared" si="271"/>
        <v>$ 0,00</v>
      </c>
      <c r="I414" t="str">
        <f t="shared" si="291"/>
        <v>BULBO DE TEMPERATURA</v>
      </c>
      <c r="J414" t="str">
        <f t="shared" si="272"/>
        <v>1</v>
      </c>
      <c r="K414" t="str">
        <f t="shared" si="295"/>
        <v>0</v>
      </c>
      <c r="L414" t="str">
        <f t="shared" si="296"/>
        <v>0,000</v>
      </c>
      <c r="M414" t="str">
        <f t="shared" si="273"/>
        <v xml:space="preserve"> </v>
      </c>
      <c r="N414" t="str">
        <f t="shared" si="269"/>
        <v>FISPA</v>
      </c>
      <c r="O414" t="str">
        <f t="shared" si="270"/>
        <v>BULBOS</v>
      </c>
      <c r="P414" t="str">
        <f t="shared" si="293"/>
        <v>0</v>
      </c>
      <c r="Q414" t="str">
        <f t="shared" si="293"/>
        <v>0</v>
      </c>
      <c r="R414" t="str">
        <f t="shared" si="294"/>
        <v>0,00</v>
      </c>
      <c r="S414" t="str">
        <f t="shared" si="294"/>
        <v>0,00</v>
      </c>
      <c r="T414" t="str">
        <f t="shared" si="292"/>
        <v xml:space="preserve"> </v>
      </c>
      <c r="U414" t="str">
        <f t="shared" si="298"/>
        <v xml:space="preserve"> </v>
      </c>
      <c r="V414" t="str">
        <f t="shared" si="297"/>
        <v>0,000</v>
      </c>
      <c r="W414" t="str">
        <f t="shared" si="274"/>
        <v>Lista 4</v>
      </c>
      <c r="X414" t="str">
        <f t="shared" si="275"/>
        <v>Lista 5</v>
      </c>
      <c r="Y414" t="str">
        <f t="shared" si="276"/>
        <v>Oferta Gral.</v>
      </c>
      <c r="Z414" t="str">
        <f t="shared" si="277"/>
        <v>Rubro</v>
      </c>
      <c r="AA414" t="str">
        <f t="shared" si="278"/>
        <v>Cantidad por Bulto</v>
      </c>
      <c r="AB414" t="str">
        <f t="shared" si="279"/>
        <v>INNER</v>
      </c>
      <c r="AC414" t="str">
        <f t="shared" si="280"/>
        <v>Stock en Bultos</v>
      </c>
      <c r="AD414" t="str">
        <f t="shared" si="281"/>
        <v>SubDepósito</v>
      </c>
      <c r="AE414" t="str">
        <f t="shared" si="282"/>
        <v>Marca</v>
      </c>
      <c r="AF414" t="str">
        <f t="shared" si="283"/>
        <v>Super Rubro</v>
      </c>
      <c r="AG414" t="str">
        <f t="shared" si="284"/>
        <v>ComercioExterior</v>
      </c>
      <c r="AH414" t="str">
        <f t="shared" si="285"/>
        <v>PrecioFOB</v>
      </c>
      <c r="AI414" t="str">
        <f t="shared" si="286"/>
        <v>Monto II</v>
      </c>
      <c r="AJ414" t="str">
        <f t="shared" si="287"/>
        <v>Porcentaje II</v>
      </c>
      <c r="AK414" t="str">
        <f t="shared" si="288"/>
        <v>Foto</v>
      </c>
      <c r="AL41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14" t="str">
        <f t="shared" si="268"/>
        <v>-</v>
      </c>
    </row>
    <row r="415" spans="1:39" x14ac:dyDescent="0.25">
      <c r="A415" t="str">
        <f>"FI520"</f>
        <v>FI520</v>
      </c>
      <c r="B415" t="str">
        <f>"BULBO TEMP VW CADDY II 1.4/1.6 - GOL 1000 - GOLF III &amp; IV 1.6/1.8 - PASSAT 1.8/2.0 - POLO CLASSIC 1.4/1.6"</f>
        <v>BULBO TEMP VW CADDY II 1.4/1.6 - GOL 1000 - GOLF III &amp; IV 1.6/1.8 - PASSAT 1.8/2.0 - POLO CLASSIC 1.4/1.6</v>
      </c>
      <c r="C415" t="str">
        <f>"$ 9488,94"</f>
        <v>$ 9488,94</v>
      </c>
      <c r="D415" t="str">
        <f>"$ 9488,94"</f>
        <v>$ 9488,94</v>
      </c>
      <c r="E415" t="str">
        <f>"$ 9488,94"</f>
        <v>$ 9488,94</v>
      </c>
      <c r="F415" t="str">
        <f>"$ 9488,94"</f>
        <v>$ 9488,94</v>
      </c>
      <c r="G415" t="str">
        <f>"$ 9488,94"</f>
        <v>$ 9488,94</v>
      </c>
      <c r="H415" t="str">
        <f t="shared" si="271"/>
        <v>$ 0,00</v>
      </c>
      <c r="I415" t="str">
        <f t="shared" si="291"/>
        <v>BULBO DE TEMPERATURA</v>
      </c>
      <c r="J415" t="str">
        <f t="shared" si="272"/>
        <v>1</v>
      </c>
      <c r="K415" t="str">
        <f t="shared" si="295"/>
        <v>0</v>
      </c>
      <c r="L415" t="str">
        <f>"12,000"</f>
        <v>12,000</v>
      </c>
      <c r="M415" t="str">
        <f t="shared" si="273"/>
        <v xml:space="preserve"> </v>
      </c>
      <c r="N415" t="str">
        <f t="shared" si="269"/>
        <v>FISPA</v>
      </c>
      <c r="O415" t="str">
        <f t="shared" si="270"/>
        <v>BULBOS</v>
      </c>
      <c r="P415" t="str">
        <f t="shared" si="293"/>
        <v>0</v>
      </c>
      <c r="Q415" t="str">
        <f t="shared" si="293"/>
        <v>0</v>
      </c>
      <c r="R415" t="str">
        <f t="shared" si="294"/>
        <v>0,00</v>
      </c>
      <c r="S415" t="str">
        <f t="shared" si="294"/>
        <v>0,00</v>
      </c>
      <c r="T415" t="str">
        <f t="shared" si="292"/>
        <v xml:space="preserve"> </v>
      </c>
      <c r="U415" t="str">
        <f t="shared" si="298"/>
        <v xml:space="preserve"> </v>
      </c>
      <c r="V415" t="str">
        <f>"12,000"</f>
        <v>12,000</v>
      </c>
      <c r="W415" t="str">
        <f t="shared" si="274"/>
        <v>Lista 4</v>
      </c>
      <c r="X415" t="str">
        <f t="shared" si="275"/>
        <v>Lista 5</v>
      </c>
      <c r="Y415" t="str">
        <f t="shared" si="276"/>
        <v>Oferta Gral.</v>
      </c>
      <c r="Z415" t="str">
        <f t="shared" si="277"/>
        <v>Rubro</v>
      </c>
      <c r="AA415" t="str">
        <f t="shared" si="278"/>
        <v>Cantidad por Bulto</v>
      </c>
      <c r="AB415" t="str">
        <f t="shared" si="279"/>
        <v>INNER</v>
      </c>
      <c r="AC415" t="str">
        <f t="shared" si="280"/>
        <v>Stock en Bultos</v>
      </c>
      <c r="AD415" t="str">
        <f t="shared" si="281"/>
        <v>SubDepósito</v>
      </c>
      <c r="AE415" t="str">
        <f t="shared" si="282"/>
        <v>Marca</v>
      </c>
      <c r="AF415" t="str">
        <f t="shared" si="283"/>
        <v>Super Rubro</v>
      </c>
      <c r="AG415" t="str">
        <f t="shared" si="284"/>
        <v>ComercioExterior</v>
      </c>
      <c r="AH415" t="str">
        <f t="shared" si="285"/>
        <v>PrecioFOB</v>
      </c>
      <c r="AI415" t="str">
        <f t="shared" si="286"/>
        <v>Monto II</v>
      </c>
      <c r="AJ415" t="str">
        <f t="shared" si="287"/>
        <v>Porcentaje II</v>
      </c>
      <c r="AK415" t="str">
        <f t="shared" si="288"/>
        <v>Foto</v>
      </c>
      <c r="AL41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5" t="str">
        <f t="shared" si="268"/>
        <v>-</v>
      </c>
    </row>
    <row r="416" spans="1:39" x14ac:dyDescent="0.25">
      <c r="A416" t="str">
        <f>"FI524"</f>
        <v>FI524</v>
      </c>
      <c r="B416" t="str">
        <f>"BULBO TEMP VW CADDY II 1.9D/SDI - GOLF II 1.6 - GOLF III 1.9SDI - PASSAT 1.8/1.9TDI/2.0/2.8 "</f>
        <v xml:space="preserve">BULBO TEMP VW CADDY II 1.9D/SDI - GOLF II 1.6 - GOLF III 1.9SDI - PASSAT 1.8/1.9TDI/2.0/2.8 </v>
      </c>
      <c r="C416" t="str">
        <f>"$ 7180,78"</f>
        <v>$ 7180,78</v>
      </c>
      <c r="D416" t="str">
        <f>"$ 7180,78"</f>
        <v>$ 7180,78</v>
      </c>
      <c r="E416" t="str">
        <f>"$ 7180,78"</f>
        <v>$ 7180,78</v>
      </c>
      <c r="F416" t="str">
        <f>"$ 7180,78"</f>
        <v>$ 7180,78</v>
      </c>
      <c r="G416" t="str">
        <f>"$ 7180,78"</f>
        <v>$ 7180,78</v>
      </c>
      <c r="H416" t="str">
        <f t="shared" si="271"/>
        <v>$ 0,00</v>
      </c>
      <c r="I416" t="str">
        <f t="shared" si="291"/>
        <v>BULBO DE TEMPERATURA</v>
      </c>
      <c r="J416" t="str">
        <f t="shared" si="272"/>
        <v>1</v>
      </c>
      <c r="K416" t="str">
        <f t="shared" si="295"/>
        <v>0</v>
      </c>
      <c r="L416" t="str">
        <f>"0,000"</f>
        <v>0,000</v>
      </c>
      <c r="M416" t="str">
        <f t="shared" si="273"/>
        <v xml:space="preserve"> </v>
      </c>
      <c r="N416" t="str">
        <f t="shared" si="269"/>
        <v>FISPA</v>
      </c>
      <c r="O416" t="str">
        <f t="shared" si="270"/>
        <v>BULBOS</v>
      </c>
      <c r="P416" t="str">
        <f t="shared" si="293"/>
        <v>0</v>
      </c>
      <c r="Q416" t="str">
        <f t="shared" si="293"/>
        <v>0</v>
      </c>
      <c r="R416" t="str">
        <f t="shared" si="294"/>
        <v>0,00</v>
      </c>
      <c r="S416" t="str">
        <f t="shared" si="294"/>
        <v>0,00</v>
      </c>
      <c r="T416" t="str">
        <f t="shared" si="292"/>
        <v xml:space="preserve"> </v>
      </c>
      <c r="U416" t="str">
        <f t="shared" si="298"/>
        <v xml:space="preserve"> </v>
      </c>
      <c r="V416" t="str">
        <f>"0,000"</f>
        <v>0,000</v>
      </c>
      <c r="W416" t="str">
        <f t="shared" si="274"/>
        <v>Lista 4</v>
      </c>
      <c r="X416" t="str">
        <f t="shared" si="275"/>
        <v>Lista 5</v>
      </c>
      <c r="Y416" t="str">
        <f t="shared" si="276"/>
        <v>Oferta Gral.</v>
      </c>
      <c r="Z416" t="str">
        <f t="shared" si="277"/>
        <v>Rubro</v>
      </c>
      <c r="AA416" t="str">
        <f t="shared" si="278"/>
        <v>Cantidad por Bulto</v>
      </c>
      <c r="AB416" t="str">
        <f t="shared" si="279"/>
        <v>INNER</v>
      </c>
      <c r="AC416" t="str">
        <f t="shared" si="280"/>
        <v>Stock en Bultos</v>
      </c>
      <c r="AD416" t="str">
        <f t="shared" si="281"/>
        <v>SubDepósito</v>
      </c>
      <c r="AE416" t="str">
        <f t="shared" si="282"/>
        <v>Marca</v>
      </c>
      <c r="AF416" t="str">
        <f t="shared" si="283"/>
        <v>Super Rubro</v>
      </c>
      <c r="AG416" t="str">
        <f t="shared" si="284"/>
        <v>ComercioExterior</v>
      </c>
      <c r="AH416" t="str">
        <f t="shared" si="285"/>
        <v>PrecioFOB</v>
      </c>
      <c r="AI416" t="str">
        <f t="shared" si="286"/>
        <v>Monto II</v>
      </c>
      <c r="AJ416" t="str">
        <f t="shared" si="287"/>
        <v>Porcentaje II</v>
      </c>
      <c r="AK416" t="str">
        <f t="shared" si="288"/>
        <v>Foto</v>
      </c>
      <c r="AL4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6" t="str">
        <f t="shared" ref="AM416:AM425" si="299">"-"</f>
        <v>-</v>
      </c>
    </row>
    <row r="417" spans="1:39" x14ac:dyDescent="0.25">
      <c r="A417" t="str">
        <f>"FI522"</f>
        <v>FI522</v>
      </c>
      <c r="B417" t="str">
        <f>"BULBO TEMP VW CADDY II 1.9D/SDI/TDI - GOLF III 1.9D/TD/GTD - PASSAT 1.9TD - POLO 1.9D "</f>
        <v xml:space="preserve">BULBO TEMP VW CADDY II 1.9D/SDI/TDI - GOLF III 1.9D/TD/GTD - PASSAT 1.9TD - POLO 1.9D </v>
      </c>
      <c r="C417" t="str">
        <f>"$ 11368,64"</f>
        <v>$ 11368,64</v>
      </c>
      <c r="D417" t="str">
        <f>"$ 11368,64"</f>
        <v>$ 11368,64</v>
      </c>
      <c r="E417" t="str">
        <f>"$ 11368,64"</f>
        <v>$ 11368,64</v>
      </c>
      <c r="F417" t="str">
        <f>"$ 11368,64"</f>
        <v>$ 11368,64</v>
      </c>
      <c r="G417" t="str">
        <f>"$ 11368,64"</f>
        <v>$ 11368,64</v>
      </c>
      <c r="H417" t="str">
        <f t="shared" si="271"/>
        <v>$ 0,00</v>
      </c>
      <c r="I417" t="str">
        <f t="shared" si="291"/>
        <v>BULBO DE TEMPERATURA</v>
      </c>
      <c r="J417" t="str">
        <f t="shared" si="272"/>
        <v>1</v>
      </c>
      <c r="K417" t="str">
        <f t="shared" si="295"/>
        <v>0</v>
      </c>
      <c r="L417" t="str">
        <f>"14,000"</f>
        <v>14,000</v>
      </c>
      <c r="M417" t="str">
        <f t="shared" si="273"/>
        <v xml:space="preserve"> </v>
      </c>
      <c r="N417" t="str">
        <f t="shared" si="269"/>
        <v>FISPA</v>
      </c>
      <c r="O417" t="str">
        <f t="shared" si="270"/>
        <v>BULBOS</v>
      </c>
      <c r="P417" t="str">
        <f t="shared" si="293"/>
        <v>0</v>
      </c>
      <c r="Q417" t="str">
        <f t="shared" si="293"/>
        <v>0</v>
      </c>
      <c r="R417" t="str">
        <f t="shared" si="294"/>
        <v>0,00</v>
      </c>
      <c r="S417" t="str">
        <f t="shared" si="294"/>
        <v>0,00</v>
      </c>
      <c r="T417" t="str">
        <f t="shared" si="292"/>
        <v xml:space="preserve"> </v>
      </c>
      <c r="U417" t="str">
        <f t="shared" si="298"/>
        <v xml:space="preserve"> </v>
      </c>
      <c r="V417" t="str">
        <f>"14,000"</f>
        <v>14,000</v>
      </c>
      <c r="W417" t="str">
        <f t="shared" si="274"/>
        <v>Lista 4</v>
      </c>
      <c r="X417" t="str">
        <f t="shared" si="275"/>
        <v>Lista 5</v>
      </c>
      <c r="Y417" t="str">
        <f t="shared" si="276"/>
        <v>Oferta Gral.</v>
      </c>
      <c r="Z417" t="str">
        <f t="shared" si="277"/>
        <v>Rubro</v>
      </c>
      <c r="AA417" t="str">
        <f t="shared" si="278"/>
        <v>Cantidad por Bulto</v>
      </c>
      <c r="AB417" t="str">
        <f t="shared" si="279"/>
        <v>INNER</v>
      </c>
      <c r="AC417" t="str">
        <f t="shared" si="280"/>
        <v>Stock en Bultos</v>
      </c>
      <c r="AD417" t="str">
        <f t="shared" si="281"/>
        <v>SubDepósito</v>
      </c>
      <c r="AE417" t="str">
        <f t="shared" si="282"/>
        <v>Marca</v>
      </c>
      <c r="AF417" t="str">
        <f t="shared" si="283"/>
        <v>Super Rubro</v>
      </c>
      <c r="AG417" t="str">
        <f t="shared" si="284"/>
        <v>ComercioExterior</v>
      </c>
      <c r="AH417" t="str">
        <f t="shared" si="285"/>
        <v>PrecioFOB</v>
      </c>
      <c r="AI417" t="str">
        <f t="shared" si="286"/>
        <v>Monto II</v>
      </c>
      <c r="AJ417" t="str">
        <f t="shared" si="287"/>
        <v>Porcentaje II</v>
      </c>
      <c r="AK417" t="str">
        <f t="shared" si="288"/>
        <v>Foto</v>
      </c>
      <c r="AL41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7" t="str">
        <f t="shared" si="299"/>
        <v>-</v>
      </c>
    </row>
    <row r="418" spans="1:39" x14ac:dyDescent="0.25">
      <c r="A418" t="str">
        <f>"FI521"</f>
        <v>FI521</v>
      </c>
      <c r="B418" t="str">
        <f>"BULBO TEMP VW GOL COUNTRY 1.9SDI - GOLF III 1.9D - GOLF DIESEL / NAFTA - SAVEIRO"</f>
        <v>BULBO TEMP VW GOL COUNTRY 1.9SDI - GOLF III 1.9D - GOLF DIESEL / NAFTA - SAVEIRO</v>
      </c>
      <c r="C418" t="str">
        <f>"$ 7977,00"</f>
        <v>$ 7977,00</v>
      </c>
      <c r="D418" t="str">
        <f>"$ 7977,00"</f>
        <v>$ 7977,00</v>
      </c>
      <c r="E418" t="str">
        <f>"$ 7977,00"</f>
        <v>$ 7977,00</v>
      </c>
      <c r="F418" t="str">
        <f>"$ 7977,00"</f>
        <v>$ 7977,00</v>
      </c>
      <c r="G418" t="str">
        <f>"$ 7977,00"</f>
        <v>$ 7977,00</v>
      </c>
      <c r="H418" t="str">
        <f t="shared" si="271"/>
        <v>$ 0,00</v>
      </c>
      <c r="I418" t="str">
        <f t="shared" si="291"/>
        <v>BULBO DE TEMPERATURA</v>
      </c>
      <c r="J418" t="str">
        <f t="shared" si="272"/>
        <v>1</v>
      </c>
      <c r="K418" t="str">
        <f t="shared" si="295"/>
        <v>0</v>
      </c>
      <c r="L418" t="str">
        <f>"10,000"</f>
        <v>10,000</v>
      </c>
      <c r="M418" t="str">
        <f t="shared" si="273"/>
        <v xml:space="preserve"> </v>
      </c>
      <c r="N418" t="str">
        <f t="shared" si="269"/>
        <v>FISPA</v>
      </c>
      <c r="O418" t="str">
        <f t="shared" si="270"/>
        <v>BULBOS</v>
      </c>
      <c r="P418" t="str">
        <f t="shared" si="293"/>
        <v>0</v>
      </c>
      <c r="Q418" t="str">
        <f t="shared" si="293"/>
        <v>0</v>
      </c>
      <c r="R418" t="str">
        <f t="shared" si="294"/>
        <v>0,00</v>
      </c>
      <c r="S418" t="str">
        <f t="shared" si="294"/>
        <v>0,00</v>
      </c>
      <c r="T418" t="str">
        <f t="shared" si="292"/>
        <v xml:space="preserve"> </v>
      </c>
      <c r="U418" t="str">
        <f t="shared" si="298"/>
        <v xml:space="preserve"> </v>
      </c>
      <c r="V418" t="str">
        <f>"10,000"</f>
        <v>10,000</v>
      </c>
      <c r="W418" t="str">
        <f t="shared" si="274"/>
        <v>Lista 4</v>
      </c>
      <c r="X418" t="str">
        <f t="shared" si="275"/>
        <v>Lista 5</v>
      </c>
      <c r="Y418" t="str">
        <f t="shared" si="276"/>
        <v>Oferta Gral.</v>
      </c>
      <c r="Z418" t="str">
        <f t="shared" si="277"/>
        <v>Rubro</v>
      </c>
      <c r="AA418" t="str">
        <f t="shared" si="278"/>
        <v>Cantidad por Bulto</v>
      </c>
      <c r="AB418" t="str">
        <f t="shared" si="279"/>
        <v>INNER</v>
      </c>
      <c r="AC418" t="str">
        <f t="shared" si="280"/>
        <v>Stock en Bultos</v>
      </c>
      <c r="AD418" t="str">
        <f t="shared" si="281"/>
        <v>SubDepósito</v>
      </c>
      <c r="AE418" t="str">
        <f t="shared" si="282"/>
        <v>Marca</v>
      </c>
      <c r="AF418" t="str">
        <f t="shared" si="283"/>
        <v>Super Rubro</v>
      </c>
      <c r="AG418" t="str">
        <f t="shared" si="284"/>
        <v>ComercioExterior</v>
      </c>
      <c r="AH418" t="str">
        <f t="shared" si="285"/>
        <v>PrecioFOB</v>
      </c>
      <c r="AI418" t="str">
        <f t="shared" si="286"/>
        <v>Monto II</v>
      </c>
      <c r="AJ418" t="str">
        <f t="shared" si="287"/>
        <v>Porcentaje II</v>
      </c>
      <c r="AK418" t="str">
        <f t="shared" si="288"/>
        <v>Foto</v>
      </c>
      <c r="AL418" t="str">
        <f>" "</f>
        <v xml:space="preserve"> </v>
      </c>
      <c r="AM418" t="str">
        <f t="shared" si="299"/>
        <v>-</v>
      </c>
    </row>
    <row r="419" spans="1:39" x14ac:dyDescent="0.25">
      <c r="A419" t="str">
        <f>"FI512"</f>
        <v>FI512</v>
      </c>
      <c r="B419" t="str">
        <f>"BULBO TEMP VW LOGUS - POINTER 2.0I"</f>
        <v>BULBO TEMP VW LOGUS - POINTER 2.0I</v>
      </c>
      <c r="C419" t="str">
        <f>"$ 7154,78"</f>
        <v>$ 7154,78</v>
      </c>
      <c r="D419" t="str">
        <f>"$ 7154,78"</f>
        <v>$ 7154,78</v>
      </c>
      <c r="E419" t="str">
        <f>"$ 7154,78"</f>
        <v>$ 7154,78</v>
      </c>
      <c r="F419" t="str">
        <f>"$ 7154,78"</f>
        <v>$ 7154,78</v>
      </c>
      <c r="G419" t="str">
        <f>"$ 7154,78"</f>
        <v>$ 7154,78</v>
      </c>
      <c r="H419" t="str">
        <f t="shared" si="271"/>
        <v>$ 0,00</v>
      </c>
      <c r="I419" t="str">
        <f t="shared" si="291"/>
        <v>BULBO DE TEMPERATURA</v>
      </c>
      <c r="J419" t="str">
        <f t="shared" si="272"/>
        <v>1</v>
      </c>
      <c r="K419" t="str">
        <f t="shared" si="295"/>
        <v>0</v>
      </c>
      <c r="L419" t="str">
        <f>"0,000"</f>
        <v>0,000</v>
      </c>
      <c r="M419" t="str">
        <f t="shared" si="273"/>
        <v xml:space="preserve"> </v>
      </c>
      <c r="N419" t="str">
        <f t="shared" si="269"/>
        <v>FISPA</v>
      </c>
      <c r="O419" t="str">
        <f t="shared" si="270"/>
        <v>BULBOS</v>
      </c>
      <c r="P419" t="str">
        <f t="shared" si="293"/>
        <v>0</v>
      </c>
      <c r="Q419" t="str">
        <f t="shared" si="293"/>
        <v>0</v>
      </c>
      <c r="R419" t="str">
        <f t="shared" si="294"/>
        <v>0,00</v>
      </c>
      <c r="S419" t="str">
        <f t="shared" si="294"/>
        <v>0,00</v>
      </c>
      <c r="T419" t="str">
        <f t="shared" si="292"/>
        <v xml:space="preserve"> </v>
      </c>
      <c r="U419" t="str">
        <f t="shared" si="298"/>
        <v xml:space="preserve"> </v>
      </c>
      <c r="V419" t="str">
        <f>"0,000"</f>
        <v>0,000</v>
      </c>
      <c r="W419" t="str">
        <f t="shared" si="274"/>
        <v>Lista 4</v>
      </c>
      <c r="X419" t="str">
        <f t="shared" si="275"/>
        <v>Lista 5</v>
      </c>
      <c r="Y419" t="str">
        <f t="shared" si="276"/>
        <v>Oferta Gral.</v>
      </c>
      <c r="Z419" t="str">
        <f t="shared" si="277"/>
        <v>Rubro</v>
      </c>
      <c r="AA419" t="str">
        <f t="shared" si="278"/>
        <v>Cantidad por Bulto</v>
      </c>
      <c r="AB419" t="str">
        <f t="shared" si="279"/>
        <v>INNER</v>
      </c>
      <c r="AC419" t="str">
        <f t="shared" si="280"/>
        <v>Stock en Bultos</v>
      </c>
      <c r="AD419" t="str">
        <f t="shared" si="281"/>
        <v>SubDepósito</v>
      </c>
      <c r="AE419" t="str">
        <f t="shared" si="282"/>
        <v>Marca</v>
      </c>
      <c r="AF419" t="str">
        <f t="shared" si="283"/>
        <v>Super Rubro</v>
      </c>
      <c r="AG419" t="str">
        <f t="shared" si="284"/>
        <v>ComercioExterior</v>
      </c>
      <c r="AH419" t="str">
        <f t="shared" si="285"/>
        <v>PrecioFOB</v>
      </c>
      <c r="AI419" t="str">
        <f t="shared" si="286"/>
        <v>Monto II</v>
      </c>
      <c r="AJ419" t="str">
        <f t="shared" si="287"/>
        <v>Porcentaje II</v>
      </c>
      <c r="AK419" t="str">
        <f t="shared" si="288"/>
        <v>Foto</v>
      </c>
      <c r="AL419" t="str">
        <f>" "</f>
        <v xml:space="preserve"> </v>
      </c>
      <c r="AM419" t="str">
        <f t="shared" si="299"/>
        <v>-</v>
      </c>
    </row>
    <row r="420" spans="1:39" x14ac:dyDescent="0.25">
      <c r="A420" t="str">
        <f>"NBF9750"</f>
        <v>NBF9750</v>
      </c>
      <c r="B420" t="str">
        <f>"CABLE  COMPETICION 9MM PARA BOBINA BA360 TERMINAL SAE LARGO 50CM"</f>
        <v>CABLE  COMPETICION 9MM PARA BOBINA BA360 TERMINAL SAE LARGO 50CM</v>
      </c>
      <c r="C420" t="str">
        <f t="shared" ref="C420:G425" si="300">"$ 12220,75"</f>
        <v>$ 12220,75</v>
      </c>
      <c r="D420" t="str">
        <f t="shared" si="300"/>
        <v>$ 12220,75</v>
      </c>
      <c r="E420" t="str">
        <f t="shared" si="300"/>
        <v>$ 12220,75</v>
      </c>
      <c r="F420" t="str">
        <f t="shared" si="300"/>
        <v>$ 12220,75</v>
      </c>
      <c r="G420" t="str">
        <f t="shared" si="300"/>
        <v>$ 12220,75</v>
      </c>
      <c r="H420" t="str">
        <f t="shared" si="271"/>
        <v>$ 0,00</v>
      </c>
      <c r="I420" t="str">
        <f t="shared" ref="I420:I425" si="301">"CABLES BUJÍAS COMPETICION 9MM"</f>
        <v>CABLES BUJÍAS COMPETICION 9MM</v>
      </c>
      <c r="J420" t="str">
        <f t="shared" si="272"/>
        <v>1</v>
      </c>
      <c r="K420" t="str">
        <f t="shared" si="295"/>
        <v>0</v>
      </c>
      <c r="L420" t="str">
        <f>"7,000"</f>
        <v>7,000</v>
      </c>
      <c r="M420" t="str">
        <f t="shared" si="273"/>
        <v xml:space="preserve"> </v>
      </c>
      <c r="N420" t="str">
        <f t="shared" ref="N420:N425" si="302">"FERRAZZI"</f>
        <v>FERRAZZI</v>
      </c>
      <c r="O420" t="str">
        <f t="shared" ref="O420:O426" si="303">"CABLES"</f>
        <v>CABLES</v>
      </c>
      <c r="P420" t="str">
        <f t="shared" si="293"/>
        <v>0</v>
      </c>
      <c r="Q420" t="str">
        <f t="shared" si="293"/>
        <v>0</v>
      </c>
      <c r="R420" t="str">
        <f t="shared" si="294"/>
        <v>0,00</v>
      </c>
      <c r="S420" t="str">
        <f t="shared" si="294"/>
        <v>0,00</v>
      </c>
      <c r="T420" t="str">
        <f t="shared" si="292"/>
        <v xml:space="preserve"> </v>
      </c>
      <c r="U420" t="str">
        <f t="shared" si="298"/>
        <v xml:space="preserve"> </v>
      </c>
      <c r="V420" t="str">
        <f>"7,000"</f>
        <v>7,000</v>
      </c>
      <c r="W420" t="str">
        <f t="shared" si="274"/>
        <v>Lista 4</v>
      </c>
      <c r="X420" t="str">
        <f t="shared" si="275"/>
        <v>Lista 5</v>
      </c>
      <c r="Y420" t="str">
        <f t="shared" si="276"/>
        <v>Oferta Gral.</v>
      </c>
      <c r="Z420" t="str">
        <f t="shared" si="277"/>
        <v>Rubro</v>
      </c>
      <c r="AA420" t="str">
        <f t="shared" si="278"/>
        <v>Cantidad por Bulto</v>
      </c>
      <c r="AB420" t="str">
        <f t="shared" si="279"/>
        <v>INNER</v>
      </c>
      <c r="AC420" t="str">
        <f t="shared" si="280"/>
        <v>Stock en Bultos</v>
      </c>
      <c r="AD420" t="str">
        <f t="shared" si="281"/>
        <v>SubDepósito</v>
      </c>
      <c r="AE420" t="str">
        <f t="shared" si="282"/>
        <v>Marca</v>
      </c>
      <c r="AF420" t="str">
        <f t="shared" si="283"/>
        <v>Super Rubro</v>
      </c>
      <c r="AG420" t="str">
        <f t="shared" si="284"/>
        <v>ComercioExterior</v>
      </c>
      <c r="AH420" t="str">
        <f t="shared" si="285"/>
        <v>PrecioFOB</v>
      </c>
      <c r="AI420" t="str">
        <f t="shared" si="286"/>
        <v>Monto II</v>
      </c>
      <c r="AJ420" t="str">
        <f t="shared" si="287"/>
        <v>Porcentaje II</v>
      </c>
      <c r="AK420" t="str">
        <f t="shared" si="288"/>
        <v>Foto</v>
      </c>
      <c r="AL420" t="str">
        <f>"{\rtf1\ansi\ansicpg1252\deff0\deflang11274{\fonttbl{\f0\fnil\fcharset0 MS Sans Serif}} \viewkind4\uc1\pard\f0\fs16 CABLE  COMPETICION 9MM PARA BOBINA BA360 TERMINAL SAE LARGO 50CM\par } "</f>
        <v xml:space="preserve">{\rtf1\ansi\ansicpg1252\deff0\deflang11274{\fonttbl{\f0\fnil\fcharset0 MS Sans Serif}} \viewkind4\uc1\pard\f0\fs16 CABLE  COMPETICION 9MM PARA BOBINA BA360 TERMINAL SAE LARGO 50CM\par } </v>
      </c>
      <c r="AM420" t="str">
        <f t="shared" si="299"/>
        <v>-</v>
      </c>
    </row>
    <row r="421" spans="1:39" x14ac:dyDescent="0.25">
      <c r="A421" t="str">
        <f>"NBF9980"</f>
        <v>NBF9980</v>
      </c>
      <c r="B421" t="str">
        <f>"CABLE COMPETICION 9MM PARA BOBINA BA360 TERMINACION DIN LARGO 80CM"</f>
        <v>CABLE COMPETICION 9MM PARA BOBINA BA360 TERMINACION DIN LARGO 80CM</v>
      </c>
      <c r="C421" t="str">
        <f t="shared" si="300"/>
        <v>$ 12220,75</v>
      </c>
      <c r="D421" t="str">
        <f t="shared" si="300"/>
        <v>$ 12220,75</v>
      </c>
      <c r="E421" t="str">
        <f t="shared" si="300"/>
        <v>$ 12220,75</v>
      </c>
      <c r="F421" t="str">
        <f t="shared" si="300"/>
        <v>$ 12220,75</v>
      </c>
      <c r="G421" t="str">
        <f t="shared" si="300"/>
        <v>$ 12220,75</v>
      </c>
      <c r="H421" t="str">
        <f t="shared" si="271"/>
        <v>$ 0,00</v>
      </c>
      <c r="I421" t="str">
        <f t="shared" si="301"/>
        <v>CABLES BUJÍAS COMPETICION 9MM</v>
      </c>
      <c r="J421" t="str">
        <f t="shared" si="272"/>
        <v>1</v>
      </c>
      <c r="K421" t="str">
        <f t="shared" si="295"/>
        <v>0</v>
      </c>
      <c r="L421" t="str">
        <f>"21,000"</f>
        <v>21,000</v>
      </c>
      <c r="M421" t="str">
        <f t="shared" si="273"/>
        <v xml:space="preserve"> </v>
      </c>
      <c r="N421" t="str">
        <f t="shared" si="302"/>
        <v>FERRAZZI</v>
      </c>
      <c r="O421" t="str">
        <f t="shared" si="303"/>
        <v>CABLES</v>
      </c>
      <c r="P421" t="str">
        <f t="shared" si="293"/>
        <v>0</v>
      </c>
      <c r="Q421" t="str">
        <f t="shared" si="293"/>
        <v>0</v>
      </c>
      <c r="R421" t="str">
        <f t="shared" si="294"/>
        <v>0,00</v>
      </c>
      <c r="S421" t="str">
        <f t="shared" si="294"/>
        <v>0,00</v>
      </c>
      <c r="T421" t="str">
        <f t="shared" si="292"/>
        <v xml:space="preserve"> </v>
      </c>
      <c r="U421" t="str">
        <f t="shared" si="298"/>
        <v xml:space="preserve"> </v>
      </c>
      <c r="V421" t="str">
        <f>"21,000"</f>
        <v>21,000</v>
      </c>
      <c r="W421" t="str">
        <f t="shared" si="274"/>
        <v>Lista 4</v>
      </c>
      <c r="X421" t="str">
        <f t="shared" si="275"/>
        <v>Lista 5</v>
      </c>
      <c r="Y421" t="str">
        <f t="shared" si="276"/>
        <v>Oferta Gral.</v>
      </c>
      <c r="Z421" t="str">
        <f t="shared" si="277"/>
        <v>Rubro</v>
      </c>
      <c r="AA421" t="str">
        <f t="shared" si="278"/>
        <v>Cantidad por Bulto</v>
      </c>
      <c r="AB421" t="str">
        <f t="shared" si="279"/>
        <v>INNER</v>
      </c>
      <c r="AC421" t="str">
        <f t="shared" si="280"/>
        <v>Stock en Bultos</v>
      </c>
      <c r="AD421" t="str">
        <f t="shared" si="281"/>
        <v>SubDepósito</v>
      </c>
      <c r="AE421" t="str">
        <f t="shared" si="282"/>
        <v>Marca</v>
      </c>
      <c r="AF421" t="str">
        <f t="shared" si="283"/>
        <v>Super Rubro</v>
      </c>
      <c r="AG421" t="str">
        <f t="shared" si="284"/>
        <v>ComercioExterior</v>
      </c>
      <c r="AH421" t="str">
        <f t="shared" si="285"/>
        <v>PrecioFOB</v>
      </c>
      <c r="AI421" t="str">
        <f t="shared" si="286"/>
        <v>Monto II</v>
      </c>
      <c r="AJ421" t="str">
        <f t="shared" si="287"/>
        <v>Porcentaje II</v>
      </c>
      <c r="AK421" t="str">
        <f t="shared" si="288"/>
        <v>Foto</v>
      </c>
      <c r="AL421" t="str">
        <f>"{\rtf1\ansi\ansicpg1252\deff0\deflang11274{\fonttbl{\f0\fnil\fcharset0 MS Sans Serif}} \viewkind4\uc1\pard\f0\fs16 CABLE COMPETICION 9MM PARA BOBINA BA360 TERMINACION DIN LARGO 80CM\par } "</f>
        <v xml:space="preserve">{\rtf1\ansi\ansicpg1252\deff0\deflang11274{\fonttbl{\f0\fnil\fcharset0 MS Sans Serif}} \viewkind4\uc1\pard\f0\fs16 CABLE COMPETICION 9MM PARA BOBINA BA360 TERMINACION DIN LARGO 80CM\par } </v>
      </c>
      <c r="AM421" t="str">
        <f t="shared" si="299"/>
        <v>-</v>
      </c>
    </row>
    <row r="422" spans="1:39" x14ac:dyDescent="0.25">
      <c r="A422" t="str">
        <f>"NBF9950"</f>
        <v>NBF9950</v>
      </c>
      <c r="B422" t="str">
        <f>"CABLE COMPETICION 9MM PARA BOBINA BA360 TERMINAL DIN LARGO 50CM"</f>
        <v>CABLE COMPETICION 9MM PARA BOBINA BA360 TERMINAL DIN LARGO 50CM</v>
      </c>
      <c r="C422" t="str">
        <f t="shared" si="300"/>
        <v>$ 12220,75</v>
      </c>
      <c r="D422" t="str">
        <f t="shared" si="300"/>
        <v>$ 12220,75</v>
      </c>
      <c r="E422" t="str">
        <f t="shared" si="300"/>
        <v>$ 12220,75</v>
      </c>
      <c r="F422" t="str">
        <f t="shared" si="300"/>
        <v>$ 12220,75</v>
      </c>
      <c r="G422" t="str">
        <f t="shared" si="300"/>
        <v>$ 12220,75</v>
      </c>
      <c r="H422" t="str">
        <f t="shared" si="271"/>
        <v>$ 0,00</v>
      </c>
      <c r="I422" t="str">
        <f t="shared" si="301"/>
        <v>CABLES BUJÍAS COMPETICION 9MM</v>
      </c>
      <c r="J422" t="str">
        <f t="shared" si="272"/>
        <v>1</v>
      </c>
      <c r="K422" t="str">
        <f t="shared" si="295"/>
        <v>0</v>
      </c>
      <c r="L422" t="str">
        <f>"11,000"</f>
        <v>11,000</v>
      </c>
      <c r="M422" t="str">
        <f t="shared" si="273"/>
        <v xml:space="preserve"> </v>
      </c>
      <c r="N422" t="str">
        <f t="shared" si="302"/>
        <v>FERRAZZI</v>
      </c>
      <c r="O422" t="str">
        <f t="shared" si="303"/>
        <v>CABLES</v>
      </c>
      <c r="P422" t="str">
        <f t="shared" si="293"/>
        <v>0</v>
      </c>
      <c r="Q422" t="str">
        <f t="shared" si="293"/>
        <v>0</v>
      </c>
      <c r="R422" t="str">
        <f t="shared" si="294"/>
        <v>0,00</v>
      </c>
      <c r="S422" t="str">
        <f t="shared" si="294"/>
        <v>0,00</v>
      </c>
      <c r="T422" t="str">
        <f t="shared" si="292"/>
        <v xml:space="preserve"> </v>
      </c>
      <c r="U422" t="str">
        <f t="shared" si="298"/>
        <v xml:space="preserve"> </v>
      </c>
      <c r="V422" t="str">
        <f>"11,000"</f>
        <v>11,000</v>
      </c>
      <c r="W422" t="str">
        <f t="shared" si="274"/>
        <v>Lista 4</v>
      </c>
      <c r="X422" t="str">
        <f t="shared" si="275"/>
        <v>Lista 5</v>
      </c>
      <c r="Y422" t="str">
        <f t="shared" si="276"/>
        <v>Oferta Gral.</v>
      </c>
      <c r="Z422" t="str">
        <f t="shared" si="277"/>
        <v>Rubro</v>
      </c>
      <c r="AA422" t="str">
        <f t="shared" si="278"/>
        <v>Cantidad por Bulto</v>
      </c>
      <c r="AB422" t="str">
        <f t="shared" si="279"/>
        <v>INNER</v>
      </c>
      <c r="AC422" t="str">
        <f t="shared" si="280"/>
        <v>Stock en Bultos</v>
      </c>
      <c r="AD422" t="str">
        <f t="shared" si="281"/>
        <v>SubDepósito</v>
      </c>
      <c r="AE422" t="str">
        <f t="shared" si="282"/>
        <v>Marca</v>
      </c>
      <c r="AF422" t="str">
        <f t="shared" si="283"/>
        <v>Super Rubro</v>
      </c>
      <c r="AG422" t="str">
        <f t="shared" si="284"/>
        <v>ComercioExterior</v>
      </c>
      <c r="AH422" t="str">
        <f t="shared" si="285"/>
        <v>PrecioFOB</v>
      </c>
      <c r="AI422" t="str">
        <f t="shared" si="286"/>
        <v>Monto II</v>
      </c>
      <c r="AJ422" t="str">
        <f t="shared" si="287"/>
        <v>Porcentaje II</v>
      </c>
      <c r="AK422" t="str">
        <f t="shared" si="288"/>
        <v>Foto</v>
      </c>
      <c r="AL422" t="str">
        <f>"{\rtf1\ansi\ansicpg1252\deff0\deflang11274{\fonttbl{\f0\fnil\fcharset0 MS Sans Serif}} \viewkind4\uc1\pard\f0\fs16 CABLE COMPETICION 9MM PARA BOBINA BA360 TERMINAL DIN LARGO 50CM\par } "</f>
        <v xml:space="preserve">{\rtf1\ansi\ansicpg1252\deff0\deflang11274{\fonttbl{\f0\fnil\fcharset0 MS Sans Serif}} \viewkind4\uc1\pard\f0\fs16 CABLE COMPETICION 9MM PARA BOBINA BA360 TERMINAL DIN LARGO 50CM\par } </v>
      </c>
      <c r="AM422" t="str">
        <f t="shared" si="299"/>
        <v>-</v>
      </c>
    </row>
    <row r="423" spans="1:39" x14ac:dyDescent="0.25">
      <c r="A423" t="str">
        <f>"NBF9850"</f>
        <v>NBF9850</v>
      </c>
      <c r="B423" t="str">
        <f>"CABLE COMPETICION 9MM PARA BOBINA BA360 TERMINAL PIN LARGO 50CM"</f>
        <v>CABLE COMPETICION 9MM PARA BOBINA BA360 TERMINAL PIN LARGO 50CM</v>
      </c>
      <c r="C423" t="str">
        <f t="shared" si="300"/>
        <v>$ 12220,75</v>
      </c>
      <c r="D423" t="str">
        <f t="shared" si="300"/>
        <v>$ 12220,75</v>
      </c>
      <c r="E423" t="str">
        <f t="shared" si="300"/>
        <v>$ 12220,75</v>
      </c>
      <c r="F423" t="str">
        <f t="shared" si="300"/>
        <v>$ 12220,75</v>
      </c>
      <c r="G423" t="str">
        <f t="shared" si="300"/>
        <v>$ 12220,75</v>
      </c>
      <c r="H423" t="str">
        <f t="shared" si="271"/>
        <v>$ 0,00</v>
      </c>
      <c r="I423" t="str">
        <f t="shared" si="301"/>
        <v>CABLES BUJÍAS COMPETICION 9MM</v>
      </c>
      <c r="J423" t="str">
        <f t="shared" si="272"/>
        <v>1</v>
      </c>
      <c r="K423" t="str">
        <f t="shared" si="295"/>
        <v>0</v>
      </c>
      <c r="L423" t="str">
        <f>"2,000"</f>
        <v>2,000</v>
      </c>
      <c r="M423" t="str">
        <f t="shared" si="273"/>
        <v xml:space="preserve"> </v>
      </c>
      <c r="N423" t="str">
        <f t="shared" si="302"/>
        <v>FERRAZZI</v>
      </c>
      <c r="O423" t="str">
        <f t="shared" si="303"/>
        <v>CABLES</v>
      </c>
      <c r="P423" t="str">
        <f t="shared" ref="P423:Q442" si="304">"0"</f>
        <v>0</v>
      </c>
      <c r="Q423" t="str">
        <f t="shared" si="304"/>
        <v>0</v>
      </c>
      <c r="R423" t="str">
        <f t="shared" ref="R423:S442" si="305">"0,00"</f>
        <v>0,00</v>
      </c>
      <c r="S423" t="str">
        <f t="shared" si="305"/>
        <v>0,00</v>
      </c>
      <c r="T423" t="str">
        <f t="shared" si="292"/>
        <v xml:space="preserve"> </v>
      </c>
      <c r="U423" t="str">
        <f t="shared" si="298"/>
        <v xml:space="preserve"> </v>
      </c>
      <c r="V423" t="str">
        <f>"2,000"</f>
        <v>2,000</v>
      </c>
      <c r="W423" t="str">
        <f t="shared" si="274"/>
        <v>Lista 4</v>
      </c>
      <c r="X423" t="str">
        <f t="shared" si="275"/>
        <v>Lista 5</v>
      </c>
      <c r="Y423" t="str">
        <f t="shared" si="276"/>
        <v>Oferta Gral.</v>
      </c>
      <c r="Z423" t="str">
        <f t="shared" si="277"/>
        <v>Rubro</v>
      </c>
      <c r="AA423" t="str">
        <f t="shared" si="278"/>
        <v>Cantidad por Bulto</v>
      </c>
      <c r="AB423" t="str">
        <f t="shared" si="279"/>
        <v>INNER</v>
      </c>
      <c r="AC423" t="str">
        <f t="shared" si="280"/>
        <v>Stock en Bultos</v>
      </c>
      <c r="AD423" t="str">
        <f t="shared" si="281"/>
        <v>SubDepósito</v>
      </c>
      <c r="AE423" t="str">
        <f t="shared" si="282"/>
        <v>Marca</v>
      </c>
      <c r="AF423" t="str">
        <f t="shared" si="283"/>
        <v>Super Rubro</v>
      </c>
      <c r="AG423" t="str">
        <f t="shared" si="284"/>
        <v>ComercioExterior</v>
      </c>
      <c r="AH423" t="str">
        <f t="shared" si="285"/>
        <v>PrecioFOB</v>
      </c>
      <c r="AI423" t="str">
        <f t="shared" si="286"/>
        <v>Monto II</v>
      </c>
      <c r="AJ423" t="str">
        <f t="shared" si="287"/>
        <v>Porcentaje II</v>
      </c>
      <c r="AK423" t="str">
        <f t="shared" si="288"/>
        <v>Foto</v>
      </c>
      <c r="AL42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23" t="str">
        <f t="shared" si="299"/>
        <v>-</v>
      </c>
    </row>
    <row r="424" spans="1:39" x14ac:dyDescent="0.25">
      <c r="A424" t="str">
        <f>"NBF9880"</f>
        <v>NBF9880</v>
      </c>
      <c r="B424" t="str">
        <f>"CABLE COMPETICION 9MM PARA BOBINA BA360 TERMINAL PIN LARGO 80CM"</f>
        <v>CABLE COMPETICION 9MM PARA BOBINA BA360 TERMINAL PIN LARGO 80CM</v>
      </c>
      <c r="C424" t="str">
        <f t="shared" si="300"/>
        <v>$ 12220,75</v>
      </c>
      <c r="D424" t="str">
        <f t="shared" si="300"/>
        <v>$ 12220,75</v>
      </c>
      <c r="E424" t="str">
        <f t="shared" si="300"/>
        <v>$ 12220,75</v>
      </c>
      <c r="F424" t="str">
        <f t="shared" si="300"/>
        <v>$ 12220,75</v>
      </c>
      <c r="G424" t="str">
        <f t="shared" si="300"/>
        <v>$ 12220,75</v>
      </c>
      <c r="H424" t="str">
        <f t="shared" si="271"/>
        <v>$ 0,00</v>
      </c>
      <c r="I424" t="str">
        <f t="shared" si="301"/>
        <v>CABLES BUJÍAS COMPETICION 9MM</v>
      </c>
      <c r="J424" t="str">
        <f t="shared" si="272"/>
        <v>1</v>
      </c>
      <c r="K424" t="str">
        <f t="shared" si="295"/>
        <v>0</v>
      </c>
      <c r="L424" t="str">
        <f>"3,000"</f>
        <v>3,000</v>
      </c>
      <c r="M424" t="str">
        <f t="shared" si="273"/>
        <v xml:space="preserve"> </v>
      </c>
      <c r="N424" t="str">
        <f t="shared" si="302"/>
        <v>FERRAZZI</v>
      </c>
      <c r="O424" t="str">
        <f t="shared" si="303"/>
        <v>CABLES</v>
      </c>
      <c r="P424" t="str">
        <f t="shared" si="304"/>
        <v>0</v>
      </c>
      <c r="Q424" t="str">
        <f t="shared" si="304"/>
        <v>0</v>
      </c>
      <c r="R424" t="str">
        <f t="shared" si="305"/>
        <v>0,00</v>
      </c>
      <c r="S424" t="str">
        <f t="shared" si="305"/>
        <v>0,00</v>
      </c>
      <c r="T424" t="str">
        <f t="shared" si="292"/>
        <v xml:space="preserve"> </v>
      </c>
      <c r="U424" t="str">
        <f t="shared" si="298"/>
        <v xml:space="preserve"> </v>
      </c>
      <c r="V424" t="str">
        <f>"3,000"</f>
        <v>3,000</v>
      </c>
      <c r="W424" t="str">
        <f t="shared" si="274"/>
        <v>Lista 4</v>
      </c>
      <c r="X424" t="str">
        <f t="shared" si="275"/>
        <v>Lista 5</v>
      </c>
      <c r="Y424" t="str">
        <f t="shared" si="276"/>
        <v>Oferta Gral.</v>
      </c>
      <c r="Z424" t="str">
        <f t="shared" si="277"/>
        <v>Rubro</v>
      </c>
      <c r="AA424" t="str">
        <f t="shared" si="278"/>
        <v>Cantidad por Bulto</v>
      </c>
      <c r="AB424" t="str">
        <f t="shared" si="279"/>
        <v>INNER</v>
      </c>
      <c r="AC424" t="str">
        <f t="shared" si="280"/>
        <v>Stock en Bultos</v>
      </c>
      <c r="AD424" t="str">
        <f t="shared" si="281"/>
        <v>SubDepósito</v>
      </c>
      <c r="AE424" t="str">
        <f t="shared" si="282"/>
        <v>Marca</v>
      </c>
      <c r="AF424" t="str">
        <f t="shared" si="283"/>
        <v>Super Rubro</v>
      </c>
      <c r="AG424" t="str">
        <f t="shared" si="284"/>
        <v>ComercioExterior</v>
      </c>
      <c r="AH424" t="str">
        <f t="shared" si="285"/>
        <v>PrecioFOB</v>
      </c>
      <c r="AI424" t="str">
        <f t="shared" si="286"/>
        <v>Monto II</v>
      </c>
      <c r="AJ424" t="str">
        <f t="shared" si="287"/>
        <v>Porcentaje II</v>
      </c>
      <c r="AK424" t="str">
        <f t="shared" si="288"/>
        <v>Foto</v>
      </c>
      <c r="AL424" t="str">
        <f>"{\rtf1\ansi\ansicpg1252\deff0\deflang11274{\fonttbl{\f0\fnil\fcharset0 MS Sans Serif}} \viewkind4\uc1\pard\f0\fs16 CABLE COMPETICION 9MM PARA BOBINA BA360 TERMINAL PIN LARGO 80CM\par } "</f>
        <v xml:space="preserve">{\rtf1\ansi\ansicpg1252\deff0\deflang11274{\fonttbl{\f0\fnil\fcharset0 MS Sans Serif}} \viewkind4\uc1\pard\f0\fs16 CABLE COMPETICION 9MM PARA BOBINA BA360 TERMINAL PIN LARGO 80CM\par } </v>
      </c>
      <c r="AM424" t="str">
        <f t="shared" si="299"/>
        <v>-</v>
      </c>
    </row>
    <row r="425" spans="1:39" x14ac:dyDescent="0.25">
      <c r="A425" t="str">
        <f>"NBF9780"</f>
        <v>NBF9780</v>
      </c>
      <c r="B425" t="str">
        <f>"CABLE COMPETICION 9MM PARA BOBINA BA360 TERMINAL SAE LARGO 80CM"</f>
        <v>CABLE COMPETICION 9MM PARA BOBINA BA360 TERMINAL SAE LARGO 80CM</v>
      </c>
      <c r="C425" t="str">
        <f t="shared" si="300"/>
        <v>$ 12220,75</v>
      </c>
      <c r="D425" t="str">
        <f t="shared" si="300"/>
        <v>$ 12220,75</v>
      </c>
      <c r="E425" t="str">
        <f t="shared" si="300"/>
        <v>$ 12220,75</v>
      </c>
      <c r="F425" t="str">
        <f t="shared" si="300"/>
        <v>$ 12220,75</v>
      </c>
      <c r="G425" t="str">
        <f t="shared" si="300"/>
        <v>$ 12220,75</v>
      </c>
      <c r="H425" t="str">
        <f t="shared" si="271"/>
        <v>$ 0,00</v>
      </c>
      <c r="I425" t="str">
        <f t="shared" si="301"/>
        <v>CABLES BUJÍAS COMPETICION 9MM</v>
      </c>
      <c r="J425" t="str">
        <f t="shared" si="272"/>
        <v>1</v>
      </c>
      <c r="K425" t="str">
        <f t="shared" si="295"/>
        <v>0</v>
      </c>
      <c r="L425" t="str">
        <f>"7,000"</f>
        <v>7,000</v>
      </c>
      <c r="M425" t="str">
        <f t="shared" si="273"/>
        <v xml:space="preserve"> </v>
      </c>
      <c r="N425" t="str">
        <f t="shared" si="302"/>
        <v>FERRAZZI</v>
      </c>
      <c r="O425" t="str">
        <f t="shared" si="303"/>
        <v>CABLES</v>
      </c>
      <c r="P425" t="str">
        <f t="shared" si="304"/>
        <v>0</v>
      </c>
      <c r="Q425" t="str">
        <f t="shared" si="304"/>
        <v>0</v>
      </c>
      <c r="R425" t="str">
        <f t="shared" si="305"/>
        <v>0,00</v>
      </c>
      <c r="S425" t="str">
        <f t="shared" si="305"/>
        <v>0,00</v>
      </c>
      <c r="T425" t="str">
        <f t="shared" si="292"/>
        <v xml:space="preserve"> </v>
      </c>
      <c r="U425" t="str">
        <f t="shared" si="298"/>
        <v xml:space="preserve"> </v>
      </c>
      <c r="V425" t="str">
        <f>"7,000"</f>
        <v>7,000</v>
      </c>
      <c r="W425" t="str">
        <f t="shared" si="274"/>
        <v>Lista 4</v>
      </c>
      <c r="X425" t="str">
        <f t="shared" si="275"/>
        <v>Lista 5</v>
      </c>
      <c r="Y425" t="str">
        <f t="shared" si="276"/>
        <v>Oferta Gral.</v>
      </c>
      <c r="Z425" t="str">
        <f t="shared" si="277"/>
        <v>Rubro</v>
      </c>
      <c r="AA425" t="str">
        <f t="shared" si="278"/>
        <v>Cantidad por Bulto</v>
      </c>
      <c r="AB425" t="str">
        <f t="shared" si="279"/>
        <v>INNER</v>
      </c>
      <c r="AC425" t="str">
        <f t="shared" si="280"/>
        <v>Stock en Bultos</v>
      </c>
      <c r="AD425" t="str">
        <f t="shared" si="281"/>
        <v>SubDepósito</v>
      </c>
      <c r="AE425" t="str">
        <f t="shared" si="282"/>
        <v>Marca</v>
      </c>
      <c r="AF425" t="str">
        <f t="shared" si="283"/>
        <v>Super Rubro</v>
      </c>
      <c r="AG425" t="str">
        <f t="shared" si="284"/>
        <v>ComercioExterior</v>
      </c>
      <c r="AH425" t="str">
        <f t="shared" si="285"/>
        <v>PrecioFOB</v>
      </c>
      <c r="AI425" t="str">
        <f t="shared" si="286"/>
        <v>Monto II</v>
      </c>
      <c r="AJ425" t="str">
        <f t="shared" si="287"/>
        <v>Porcentaje II</v>
      </c>
      <c r="AK425" t="str">
        <f t="shared" si="288"/>
        <v>Foto</v>
      </c>
      <c r="AL425" t="str">
        <f>"{\rtf1\ansi\ansicpg1252\deff0\deflang11274{\fonttbl{\f0\fnil\fcharset0 MS Sans Serif}} \viewkind4\uc1\pard\f0\fs16 CABLE COMPETICION 9MM PARA BOBINA BA360 TERMINAL SAE LARGO 80CM\par } "</f>
        <v xml:space="preserve">{\rtf1\ansi\ansicpg1252\deff0\deflang11274{\fonttbl{\f0\fnil\fcharset0 MS Sans Serif}} \viewkind4\uc1\pard\f0\fs16 CABLE COMPETICION 9MM PARA BOBINA BA360 TERMINAL SAE LARGO 80CM\par } </v>
      </c>
      <c r="AM425" t="str">
        <f t="shared" si="299"/>
        <v>-</v>
      </c>
    </row>
    <row r="426" spans="1:39" x14ac:dyDescent="0.25">
      <c r="A426" t="str">
        <f>"10438"</f>
        <v>10438</v>
      </c>
      <c r="B426" t="str">
        <f>"CABLE DISTRIBUIDOR VW GOL/SENDA"</f>
        <v>CABLE DISTRIBUIDOR VW GOL/SENDA</v>
      </c>
      <c r="C426" t="str">
        <f>"$ 21379,20"</f>
        <v>$ 21379,20</v>
      </c>
      <c r="D426" t="str">
        <f>"$ 21379,20"</f>
        <v>$ 21379,20</v>
      </c>
      <c r="E426" t="str">
        <f>"$ 21379,20"</f>
        <v>$ 21379,20</v>
      </c>
      <c r="F426" t="str">
        <f>"$ 21379,20"</f>
        <v>$ 21379,20</v>
      </c>
      <c r="G426" t="str">
        <f>"$ 21379,20"</f>
        <v>$ 21379,20</v>
      </c>
      <c r="H426" t="str">
        <f t="shared" si="271"/>
        <v>$ 0,00</v>
      </c>
      <c r="I426" t="str">
        <f>"FICHA CONECTOR"</f>
        <v>FICHA CONECTOR</v>
      </c>
      <c r="J426" t="str">
        <f t="shared" si="272"/>
        <v>1</v>
      </c>
      <c r="K426" t="str">
        <f t="shared" si="295"/>
        <v>0</v>
      </c>
      <c r="L426" t="str">
        <f>"3,000"</f>
        <v>3,000</v>
      </c>
      <c r="M426" t="str">
        <f t="shared" si="273"/>
        <v xml:space="preserve"> </v>
      </c>
      <c r="N426" t="str">
        <f>"AUTRONIC"</f>
        <v>AUTRONIC</v>
      </c>
      <c r="O426" t="str">
        <f t="shared" si="303"/>
        <v>CABLES</v>
      </c>
      <c r="P426" t="str">
        <f t="shared" si="304"/>
        <v>0</v>
      </c>
      <c r="Q426" t="str">
        <f t="shared" si="304"/>
        <v>0</v>
      </c>
      <c r="R426" t="str">
        <f t="shared" si="305"/>
        <v>0,00</v>
      </c>
      <c r="S426" t="str">
        <f t="shared" si="305"/>
        <v>0,00</v>
      </c>
      <c r="T426" t="str">
        <f t="shared" si="292"/>
        <v xml:space="preserve"> </v>
      </c>
      <c r="U426" t="str">
        <f t="shared" si="298"/>
        <v xml:space="preserve"> </v>
      </c>
      <c r="V426" t="str">
        <f>"3,000"</f>
        <v>3,000</v>
      </c>
      <c r="W426" t="str">
        <f t="shared" si="274"/>
        <v>Lista 4</v>
      </c>
      <c r="X426" t="str">
        <f t="shared" si="275"/>
        <v>Lista 5</v>
      </c>
      <c r="Y426" t="str">
        <f t="shared" si="276"/>
        <v>Oferta Gral.</v>
      </c>
      <c r="Z426" t="str">
        <f t="shared" si="277"/>
        <v>Rubro</v>
      </c>
      <c r="AA426" t="str">
        <f t="shared" si="278"/>
        <v>Cantidad por Bulto</v>
      </c>
      <c r="AB426" t="str">
        <f t="shared" si="279"/>
        <v>INNER</v>
      </c>
      <c r="AC426" t="str">
        <f t="shared" si="280"/>
        <v>Stock en Bultos</v>
      </c>
      <c r="AD426" t="str">
        <f t="shared" si="281"/>
        <v>SubDepósito</v>
      </c>
      <c r="AE426" t="str">
        <f t="shared" si="282"/>
        <v>Marca</v>
      </c>
      <c r="AF426" t="str">
        <f t="shared" si="283"/>
        <v>Super Rubro</v>
      </c>
      <c r="AG426" t="str">
        <f t="shared" si="284"/>
        <v>ComercioExterior</v>
      </c>
      <c r="AH426" t="str">
        <f t="shared" si="285"/>
        <v>PrecioFOB</v>
      </c>
      <c r="AI426" t="str">
        <f t="shared" si="286"/>
        <v>Monto II</v>
      </c>
      <c r="AJ426" t="str">
        <f t="shared" si="287"/>
        <v>Porcentaje II</v>
      </c>
      <c r="AK426" t="str">
        <f t="shared" si="288"/>
        <v>Foto</v>
      </c>
      <c r="AL426" t="str">
        <f>"{\rtf1\ansi\ansicpg1252\deff0\deflang11274{\fonttbl{\f0\fnil\fcharset0 MS Sans Serif}} \viewkind4\uc1\pard\f0\fs16 CABLE DISTRIBUIDOR VW GOL/SENDA\par } "</f>
        <v xml:space="preserve">{\rtf1\ansi\ansicpg1252\deff0\deflang11274{\fonttbl{\f0\fnil\fcharset0 MS Sans Serif}} \viewkind4\uc1\pard\f0\fs16 CABLE DISTRIBUIDOR VW GOL/SENDA\par } </v>
      </c>
      <c r="AM426" t="str">
        <f>" "</f>
        <v xml:space="preserve"> </v>
      </c>
    </row>
    <row r="427" spans="1:39" x14ac:dyDescent="0.25">
      <c r="A427" t="str">
        <f>"PUE001"</f>
        <v>PUE001</v>
      </c>
      <c r="B427" t="str">
        <f>"CABLE PUENTE BATERIA 2.5 MTS 200 AMP"</f>
        <v>CABLE PUENTE BATERIA 2.5 MTS 200 AMP</v>
      </c>
      <c r="C427" t="str">
        <f>"$ 10515,72"</f>
        <v>$ 10515,72</v>
      </c>
      <c r="D427" t="str">
        <f>"$ 10515,72"</f>
        <v>$ 10515,72</v>
      </c>
      <c r="E427" t="str">
        <f>"$ 10515,72"</f>
        <v>$ 10515,72</v>
      </c>
      <c r="F427" t="str">
        <f>"$ 10515,72"</f>
        <v>$ 10515,72</v>
      </c>
      <c r="G427" t="str">
        <f>"$ 10515,72"</f>
        <v>$ 10515,72</v>
      </c>
      <c r="H427" t="str">
        <f t="shared" si="271"/>
        <v>$ 0,00</v>
      </c>
      <c r="I427" t="str">
        <f>"CABLE PUENTE BATERIA"</f>
        <v>CABLE PUENTE BATERIA</v>
      </c>
      <c r="J427" t="str">
        <f t="shared" si="272"/>
        <v>1</v>
      </c>
      <c r="K427" t="str">
        <f t="shared" si="295"/>
        <v>0</v>
      </c>
      <c r="L427" t="str">
        <f>"30,000"</f>
        <v>30,000</v>
      </c>
      <c r="M427" t="str">
        <f t="shared" si="273"/>
        <v xml:space="preserve"> </v>
      </c>
      <c r="N427" t="str">
        <f>"OREGON"</f>
        <v>OREGON</v>
      </c>
      <c r="O427" t="str">
        <f>"CABLE PUENTE"</f>
        <v>CABLE PUENTE</v>
      </c>
      <c r="P427" t="str">
        <f t="shared" si="304"/>
        <v>0</v>
      </c>
      <c r="Q427" t="str">
        <f t="shared" si="304"/>
        <v>0</v>
      </c>
      <c r="R427" t="str">
        <f t="shared" si="305"/>
        <v>0,00</v>
      </c>
      <c r="S427" t="str">
        <f t="shared" si="305"/>
        <v>0,00</v>
      </c>
      <c r="T427" t="str">
        <f t="shared" si="292"/>
        <v xml:space="preserve"> </v>
      </c>
      <c r="U427" t="str">
        <f t="shared" si="298"/>
        <v xml:space="preserve"> </v>
      </c>
      <c r="V427" t="str">
        <f>"30,000"</f>
        <v>30,000</v>
      </c>
      <c r="W427" t="str">
        <f t="shared" si="274"/>
        <v>Lista 4</v>
      </c>
      <c r="X427" t="str">
        <f t="shared" si="275"/>
        <v>Lista 5</v>
      </c>
      <c r="Y427" t="str">
        <f t="shared" si="276"/>
        <v>Oferta Gral.</v>
      </c>
      <c r="Z427" t="str">
        <f t="shared" si="277"/>
        <v>Rubro</v>
      </c>
      <c r="AA427" t="str">
        <f t="shared" si="278"/>
        <v>Cantidad por Bulto</v>
      </c>
      <c r="AB427" t="str">
        <f t="shared" si="279"/>
        <v>INNER</v>
      </c>
      <c r="AC427" t="str">
        <f t="shared" si="280"/>
        <v>Stock en Bultos</v>
      </c>
      <c r="AD427" t="str">
        <f t="shared" si="281"/>
        <v>SubDepósito</v>
      </c>
      <c r="AE427" t="str">
        <f t="shared" si="282"/>
        <v>Marca</v>
      </c>
      <c r="AF427" t="str">
        <f t="shared" si="283"/>
        <v>Super Rubro</v>
      </c>
      <c r="AG427" t="str">
        <f t="shared" si="284"/>
        <v>ComercioExterior</v>
      </c>
      <c r="AH427" t="str">
        <f t="shared" si="285"/>
        <v>PrecioFOB</v>
      </c>
      <c r="AI427" t="str">
        <f t="shared" si="286"/>
        <v>Monto II</v>
      </c>
      <c r="AJ427" t="str">
        <f t="shared" si="287"/>
        <v>Porcentaje II</v>
      </c>
      <c r="AK427" t="str">
        <f t="shared" si="288"/>
        <v>Foto</v>
      </c>
      <c r="AL427" t="str">
        <f>"{\rtf1\ansi\ansicpg1252\deff0\deflang11274{\fonttbl{\f0\fnil\fcharset0 MS Sans Serif}} \viewkind4\uc1\pard\f0\fs16 CABLE PUENTE BATERIA 2.5 MTS 200 AMP\par } "</f>
        <v xml:space="preserve">{\rtf1\ansi\ansicpg1252\deff0\deflang11274{\fonttbl{\f0\fnil\fcharset0 MS Sans Serif}} \viewkind4\uc1\pard\f0\fs16 CABLE PUENTE BATERIA 2.5 MTS 200 AMP\par } </v>
      </c>
      <c r="AM427" t="str">
        <f>"-"</f>
        <v>-</v>
      </c>
    </row>
    <row r="428" spans="1:39" x14ac:dyDescent="0.25">
      <c r="A428" t="str">
        <f>"PUE002"</f>
        <v>PUE002</v>
      </c>
      <c r="B428" t="str">
        <f>"CABLE PUENTE BATERIA 2.5 MTS 400 AMP"</f>
        <v>CABLE PUENTE BATERIA 2.5 MTS 400 AMP</v>
      </c>
      <c r="C428" t="str">
        <f>"$ 10864,15"</f>
        <v>$ 10864,15</v>
      </c>
      <c r="D428" t="str">
        <f>"$ 10864,15"</f>
        <v>$ 10864,15</v>
      </c>
      <c r="E428" t="str">
        <f>"$ 10864,15"</f>
        <v>$ 10864,15</v>
      </c>
      <c r="F428" t="str">
        <f>"$ 10864,15"</f>
        <v>$ 10864,15</v>
      </c>
      <c r="G428" t="str">
        <f>"$ 10864,15"</f>
        <v>$ 10864,15</v>
      </c>
      <c r="H428" t="str">
        <f t="shared" si="271"/>
        <v>$ 0,00</v>
      </c>
      <c r="I428" t="str">
        <f>"CABLE PUENTE BATERIA"</f>
        <v>CABLE PUENTE BATERIA</v>
      </c>
      <c r="J428" t="str">
        <f t="shared" si="272"/>
        <v>1</v>
      </c>
      <c r="K428" t="str">
        <f t="shared" si="295"/>
        <v>0</v>
      </c>
      <c r="L428" t="str">
        <f>"31,000"</f>
        <v>31,000</v>
      </c>
      <c r="M428" t="str">
        <f t="shared" si="273"/>
        <v xml:space="preserve"> </v>
      </c>
      <c r="N428" t="str">
        <f>"OREGON"</f>
        <v>OREGON</v>
      </c>
      <c r="O428" t="str">
        <f>"CABLE PUENTE"</f>
        <v>CABLE PUENTE</v>
      </c>
      <c r="P428" t="str">
        <f t="shared" si="304"/>
        <v>0</v>
      </c>
      <c r="Q428" t="str">
        <f t="shared" si="304"/>
        <v>0</v>
      </c>
      <c r="R428" t="str">
        <f t="shared" si="305"/>
        <v>0,00</v>
      </c>
      <c r="S428" t="str">
        <f t="shared" si="305"/>
        <v>0,00</v>
      </c>
      <c r="T428" t="str">
        <f t="shared" si="292"/>
        <v xml:space="preserve"> </v>
      </c>
      <c r="U428" t="str">
        <f t="shared" si="298"/>
        <v xml:space="preserve"> </v>
      </c>
      <c r="V428" t="str">
        <f>"31,000"</f>
        <v>31,000</v>
      </c>
      <c r="W428" t="str">
        <f t="shared" si="274"/>
        <v>Lista 4</v>
      </c>
      <c r="X428" t="str">
        <f t="shared" si="275"/>
        <v>Lista 5</v>
      </c>
      <c r="Y428" t="str">
        <f t="shared" si="276"/>
        <v>Oferta Gral.</v>
      </c>
      <c r="Z428" t="str">
        <f t="shared" si="277"/>
        <v>Rubro</v>
      </c>
      <c r="AA428" t="str">
        <f t="shared" si="278"/>
        <v>Cantidad por Bulto</v>
      </c>
      <c r="AB428" t="str">
        <f t="shared" si="279"/>
        <v>INNER</v>
      </c>
      <c r="AC428" t="str">
        <f t="shared" si="280"/>
        <v>Stock en Bultos</v>
      </c>
      <c r="AD428" t="str">
        <f t="shared" si="281"/>
        <v>SubDepósito</v>
      </c>
      <c r="AE428" t="str">
        <f t="shared" si="282"/>
        <v>Marca</v>
      </c>
      <c r="AF428" t="str">
        <f t="shared" si="283"/>
        <v>Super Rubro</v>
      </c>
      <c r="AG428" t="str">
        <f t="shared" si="284"/>
        <v>ComercioExterior</v>
      </c>
      <c r="AH428" t="str">
        <f t="shared" si="285"/>
        <v>PrecioFOB</v>
      </c>
      <c r="AI428" t="str">
        <f t="shared" si="286"/>
        <v>Monto II</v>
      </c>
      <c r="AJ428" t="str">
        <f t="shared" si="287"/>
        <v>Porcentaje II</v>
      </c>
      <c r="AK428" t="str">
        <f t="shared" si="288"/>
        <v>Foto</v>
      </c>
      <c r="AL428" t="str">
        <f>"{\rtf1\ansi\ansicpg1252\deff0\deflang11274{\fonttbl{\f0\fnil\fcharset0 MS Sans Serif}} \viewkind4\uc1\pard\f0\fs16 CABLE PUENTE BATERIA 2.5 MTS 400 AMP\par } "</f>
        <v xml:space="preserve">{\rtf1\ansi\ansicpg1252\deff0\deflang11274{\fonttbl{\f0\fnil\fcharset0 MS Sans Serif}} \viewkind4\uc1\pard\f0\fs16 CABLE PUENTE BATERIA 2.5 MTS 400 AMP\par } </v>
      </c>
      <c r="AM428" t="str">
        <f>"-"</f>
        <v>-</v>
      </c>
    </row>
    <row r="429" spans="1:39" x14ac:dyDescent="0.25">
      <c r="A429" t="str">
        <f>"PUE003"</f>
        <v>PUE003</v>
      </c>
      <c r="B429" t="str">
        <f>"CABLE PUENTE BATERIA 2.5 MTS 500AMP"</f>
        <v>CABLE PUENTE BATERIA 2.5 MTS 500AMP</v>
      </c>
      <c r="C429" t="str">
        <f>"$ 17293,94"</f>
        <v>$ 17293,94</v>
      </c>
      <c r="D429" t="str">
        <f>"$ 17293,94"</f>
        <v>$ 17293,94</v>
      </c>
      <c r="E429" t="str">
        <f>"$ 17293,94"</f>
        <v>$ 17293,94</v>
      </c>
      <c r="F429" t="str">
        <f>"$ 17293,94"</f>
        <v>$ 17293,94</v>
      </c>
      <c r="G429" t="str">
        <f>"$ 17293,94"</f>
        <v>$ 17293,94</v>
      </c>
      <c r="H429" t="str">
        <f t="shared" si="271"/>
        <v>$ 0,00</v>
      </c>
      <c r="I429" t="str">
        <f>"CABLE PUENTE BATERIA"</f>
        <v>CABLE PUENTE BATERIA</v>
      </c>
      <c r="J429" t="str">
        <f t="shared" si="272"/>
        <v>1</v>
      </c>
      <c r="K429" t="str">
        <f t="shared" si="295"/>
        <v>0</v>
      </c>
      <c r="L429" t="str">
        <f>"20,000"</f>
        <v>20,000</v>
      </c>
      <c r="M429" t="str">
        <f t="shared" si="273"/>
        <v xml:space="preserve"> </v>
      </c>
      <c r="N429" t="str">
        <f>"OREGON"</f>
        <v>OREGON</v>
      </c>
      <c r="O429" t="str">
        <f>"CABLE PUENTE"</f>
        <v>CABLE PUENTE</v>
      </c>
      <c r="P429" t="str">
        <f t="shared" si="304"/>
        <v>0</v>
      </c>
      <c r="Q429" t="str">
        <f t="shared" si="304"/>
        <v>0</v>
      </c>
      <c r="R429" t="str">
        <f t="shared" si="305"/>
        <v>0,00</v>
      </c>
      <c r="S429" t="str">
        <f t="shared" si="305"/>
        <v>0,00</v>
      </c>
      <c r="T429" t="str">
        <f t="shared" si="292"/>
        <v xml:space="preserve"> </v>
      </c>
      <c r="U429" t="str">
        <f t="shared" si="298"/>
        <v xml:space="preserve"> </v>
      </c>
      <c r="V429" t="str">
        <f>"20,000"</f>
        <v>20,000</v>
      </c>
      <c r="W429" t="str">
        <f t="shared" si="274"/>
        <v>Lista 4</v>
      </c>
      <c r="X429" t="str">
        <f t="shared" si="275"/>
        <v>Lista 5</v>
      </c>
      <c r="Y429" t="str">
        <f t="shared" si="276"/>
        <v>Oferta Gral.</v>
      </c>
      <c r="Z429" t="str">
        <f t="shared" si="277"/>
        <v>Rubro</v>
      </c>
      <c r="AA429" t="str">
        <f t="shared" si="278"/>
        <v>Cantidad por Bulto</v>
      </c>
      <c r="AB429" t="str">
        <f t="shared" si="279"/>
        <v>INNER</v>
      </c>
      <c r="AC429" t="str">
        <f t="shared" si="280"/>
        <v>Stock en Bultos</v>
      </c>
      <c r="AD429" t="str">
        <f t="shared" si="281"/>
        <v>SubDepósito</v>
      </c>
      <c r="AE429" t="str">
        <f t="shared" si="282"/>
        <v>Marca</v>
      </c>
      <c r="AF429" t="str">
        <f t="shared" si="283"/>
        <v>Super Rubro</v>
      </c>
      <c r="AG429" t="str">
        <f t="shared" si="284"/>
        <v>ComercioExterior</v>
      </c>
      <c r="AH429" t="str">
        <f t="shared" si="285"/>
        <v>PrecioFOB</v>
      </c>
      <c r="AI429" t="str">
        <f t="shared" si="286"/>
        <v>Monto II</v>
      </c>
      <c r="AJ429" t="str">
        <f t="shared" si="287"/>
        <v>Porcentaje II</v>
      </c>
      <c r="AK429" t="str">
        <f t="shared" si="288"/>
        <v>Foto</v>
      </c>
      <c r="AL429" t="str">
        <f>"{\rtf1\ansi\ansicpg1252\deff0\deflang11274{\fonttbl{\f0\fnil\fcharset0 MS Sans Serif}} \viewkind4\uc1\pard\f0\fs16 CABLE PUENTE BATERIA 2.5 MTS 500AMP\par } "</f>
        <v xml:space="preserve">{\rtf1\ansi\ansicpg1252\deff0\deflang11274{\fonttbl{\f0\fnil\fcharset0 MS Sans Serif}} \viewkind4\uc1\pard\f0\fs16 CABLE PUENTE BATERIA 2.5 MTS 500AMP\par } </v>
      </c>
      <c r="AM429" t="str">
        <f>"-"</f>
        <v>-</v>
      </c>
    </row>
    <row r="430" spans="1:39" x14ac:dyDescent="0.25">
      <c r="A430" t="str">
        <f>"05-00297"</f>
        <v>05-00297</v>
      </c>
      <c r="B430" t="str">
        <f>"CABLES BUJIAS COMPETICION 9MM FIAT DUNA UNO SILICONA"</f>
        <v>CABLES BUJIAS COMPETICION 9MM FIAT DUNA UNO SILICONA</v>
      </c>
      <c r="C430" t="str">
        <f>"$ 44019,36"</f>
        <v>$ 44019,36</v>
      </c>
      <c r="D430" t="str">
        <f>"$ 44019,36"</f>
        <v>$ 44019,36</v>
      </c>
      <c r="E430" t="str">
        <f>"$ 44019,36"</f>
        <v>$ 44019,36</v>
      </c>
      <c r="F430" t="str">
        <f>"$ 44019,36"</f>
        <v>$ 44019,36</v>
      </c>
      <c r="G430" t="str">
        <f>"$ 44019,36"</f>
        <v>$ 44019,36</v>
      </c>
      <c r="H430" t="str">
        <f t="shared" si="271"/>
        <v>$ 0,00</v>
      </c>
      <c r="I430" t="str">
        <f>"CABLES BUJÍAS COMPETICION 9MM"</f>
        <v>CABLES BUJÍAS COMPETICION 9MM</v>
      </c>
      <c r="J430" t="str">
        <f t="shared" si="272"/>
        <v>1</v>
      </c>
      <c r="K430" t="str">
        <f t="shared" si="295"/>
        <v>0</v>
      </c>
      <c r="L430" t="str">
        <f>"37,000"</f>
        <v>37,000</v>
      </c>
      <c r="M430" t="str">
        <f t="shared" si="273"/>
        <v xml:space="preserve"> </v>
      </c>
      <c r="N430" t="str">
        <f t="shared" ref="N430:N462" si="306">"FERRAZZI"</f>
        <v>FERRAZZI</v>
      </c>
      <c r="O430" t="str">
        <f t="shared" ref="O430:O461" si="307">"CABLES"</f>
        <v>CABLES</v>
      </c>
      <c r="P430" t="str">
        <f t="shared" si="304"/>
        <v>0</v>
      </c>
      <c r="Q430" t="str">
        <f t="shared" si="304"/>
        <v>0</v>
      </c>
      <c r="R430" t="str">
        <f t="shared" si="305"/>
        <v>0,00</v>
      </c>
      <c r="S430" t="str">
        <f t="shared" si="305"/>
        <v>0,00</v>
      </c>
      <c r="T430" t="str">
        <f t="shared" si="292"/>
        <v xml:space="preserve"> </v>
      </c>
      <c r="U430" t="str">
        <f t="shared" si="298"/>
        <v xml:space="preserve"> </v>
      </c>
      <c r="V430" t="str">
        <f>"37,000"</f>
        <v>37,000</v>
      </c>
      <c r="W430" t="str">
        <f t="shared" si="274"/>
        <v>Lista 4</v>
      </c>
      <c r="X430" t="str">
        <f t="shared" si="275"/>
        <v>Lista 5</v>
      </c>
      <c r="Y430" t="str">
        <f t="shared" si="276"/>
        <v>Oferta Gral.</v>
      </c>
      <c r="Z430" t="str">
        <f t="shared" si="277"/>
        <v>Rubro</v>
      </c>
      <c r="AA430" t="str">
        <f t="shared" si="278"/>
        <v>Cantidad por Bulto</v>
      </c>
      <c r="AB430" t="str">
        <f t="shared" si="279"/>
        <v>INNER</v>
      </c>
      <c r="AC430" t="str">
        <f t="shared" si="280"/>
        <v>Stock en Bultos</v>
      </c>
      <c r="AD430" t="str">
        <f t="shared" si="281"/>
        <v>SubDepósito</v>
      </c>
      <c r="AE430" t="str">
        <f t="shared" si="282"/>
        <v>Marca</v>
      </c>
      <c r="AF430" t="str">
        <f t="shared" si="283"/>
        <v>Super Rubro</v>
      </c>
      <c r="AG430" t="str">
        <f t="shared" si="284"/>
        <v>ComercioExterior</v>
      </c>
      <c r="AH430" t="str">
        <f t="shared" si="285"/>
        <v>PrecioFOB</v>
      </c>
      <c r="AI430" t="str">
        <f t="shared" si="286"/>
        <v>Monto II</v>
      </c>
      <c r="AJ430" t="str">
        <f t="shared" si="287"/>
        <v>Porcentaje II</v>
      </c>
      <c r="AK430" t="str">
        <f t="shared" si="288"/>
        <v>Foto</v>
      </c>
      <c r="AL430" t="str">
        <f>"{\rtf1\ansi\ansicpg1252\deff0\deflang11274{\fonttbl{\f0\fnil\fcharset0 MS Sans Serif}} \viewkind4\uc1\pard\f0\fs16 CABLES BUJIAS COMPETICION 9MM FIAT DUNA UNO SILICONA\par } "</f>
        <v xml:space="preserve">{\rtf1\ansi\ansicpg1252\deff0\deflang11274{\fonttbl{\f0\fnil\fcharset0 MS Sans Serif}} \viewkind4\uc1\pard\f0\fs16 CABLES BUJIAS COMPETICION 9MM FIAT DUNA UNO SILICONA\par } </v>
      </c>
      <c r="AM430" t="str">
        <f>" "</f>
        <v xml:space="preserve"> </v>
      </c>
    </row>
    <row r="431" spans="1:39" x14ac:dyDescent="0.25">
      <c r="A431" t="str">
        <f>"03-00225"</f>
        <v>03-00225</v>
      </c>
      <c r="B431" t="str">
        <f>"CABLES BUJIAS COMPETICION 9MM GACEL SENDA CARAT"</f>
        <v>CABLES BUJIAS COMPETICION 9MM GACEL SENDA CARAT</v>
      </c>
      <c r="C431" t="str">
        <f>"$ 37872,13"</f>
        <v>$ 37872,13</v>
      </c>
      <c r="D431" t="str">
        <f>"$ 37872,13"</f>
        <v>$ 37872,13</v>
      </c>
      <c r="E431" t="str">
        <f>"$ 37872,13"</f>
        <v>$ 37872,13</v>
      </c>
      <c r="F431" t="str">
        <f>"$ 37872,13"</f>
        <v>$ 37872,13</v>
      </c>
      <c r="G431" t="str">
        <f>"$ 37872,13"</f>
        <v>$ 37872,13</v>
      </c>
      <c r="H431" t="str">
        <f t="shared" si="271"/>
        <v>$ 0,00</v>
      </c>
      <c r="I431" t="str">
        <f>"CABLES BUJÍAS COMPETICION 9MM"</f>
        <v>CABLES BUJÍAS COMPETICION 9MM</v>
      </c>
      <c r="J431" t="str">
        <f t="shared" si="272"/>
        <v>1</v>
      </c>
      <c r="K431" t="str">
        <f t="shared" si="295"/>
        <v>0</v>
      </c>
      <c r="L431" t="str">
        <f>"0,000"</f>
        <v>0,000</v>
      </c>
      <c r="M431" t="str">
        <f t="shared" si="273"/>
        <v xml:space="preserve"> </v>
      </c>
      <c r="N431" t="str">
        <f t="shared" si="306"/>
        <v>FERRAZZI</v>
      </c>
      <c r="O431" t="str">
        <f t="shared" si="307"/>
        <v>CABLES</v>
      </c>
      <c r="P431" t="str">
        <f t="shared" si="304"/>
        <v>0</v>
      </c>
      <c r="Q431" t="str">
        <f t="shared" si="304"/>
        <v>0</v>
      </c>
      <c r="R431" t="str">
        <f t="shared" si="305"/>
        <v>0,00</v>
      </c>
      <c r="S431" t="str">
        <f t="shared" si="305"/>
        <v>0,00</v>
      </c>
      <c r="T431" t="str">
        <f t="shared" si="292"/>
        <v xml:space="preserve"> </v>
      </c>
      <c r="U431" t="str">
        <f t="shared" si="298"/>
        <v xml:space="preserve"> </v>
      </c>
      <c r="V431" t="str">
        <f>"0,000"</f>
        <v>0,000</v>
      </c>
      <c r="W431" t="str">
        <f t="shared" si="274"/>
        <v>Lista 4</v>
      </c>
      <c r="X431" t="str">
        <f t="shared" si="275"/>
        <v>Lista 5</v>
      </c>
      <c r="Y431" t="str">
        <f t="shared" si="276"/>
        <v>Oferta Gral.</v>
      </c>
      <c r="Z431" t="str">
        <f t="shared" si="277"/>
        <v>Rubro</v>
      </c>
      <c r="AA431" t="str">
        <f t="shared" si="278"/>
        <v>Cantidad por Bulto</v>
      </c>
      <c r="AB431" t="str">
        <f t="shared" si="279"/>
        <v>INNER</v>
      </c>
      <c r="AC431" t="str">
        <f t="shared" si="280"/>
        <v>Stock en Bultos</v>
      </c>
      <c r="AD431" t="str">
        <f t="shared" si="281"/>
        <v>SubDepósito</v>
      </c>
      <c r="AE431" t="str">
        <f t="shared" si="282"/>
        <v>Marca</v>
      </c>
      <c r="AF431" t="str">
        <f t="shared" si="283"/>
        <v>Super Rubro</v>
      </c>
      <c r="AG431" t="str">
        <f t="shared" si="284"/>
        <v>ComercioExterior</v>
      </c>
      <c r="AH431" t="str">
        <f t="shared" si="285"/>
        <v>PrecioFOB</v>
      </c>
      <c r="AI431" t="str">
        <f t="shared" si="286"/>
        <v>Monto II</v>
      </c>
      <c r="AJ431" t="str">
        <f t="shared" si="287"/>
        <v>Porcentaje II</v>
      </c>
      <c r="AK431" t="str">
        <f t="shared" si="288"/>
        <v>Foto</v>
      </c>
      <c r="AL43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31" t="str">
        <f>"-"</f>
        <v>-</v>
      </c>
    </row>
    <row r="432" spans="1:39" x14ac:dyDescent="0.25">
      <c r="A432" t="str">
        <f>"03-00204"</f>
        <v>03-00204</v>
      </c>
      <c r="B432" t="str">
        <f>"CABLES BUJIAS COMPETICION 9MM GOL SENDA SAVEIRO SILICONA"</f>
        <v>CABLES BUJIAS COMPETICION 9MM GOL SENDA SAVEIRO SILICONA</v>
      </c>
      <c r="C432" t="str">
        <f>"$ 45704,42"</f>
        <v>$ 45704,42</v>
      </c>
      <c r="D432" t="str">
        <f>"$ 45704,42"</f>
        <v>$ 45704,42</v>
      </c>
      <c r="E432" t="str">
        <f>"$ 45704,42"</f>
        <v>$ 45704,42</v>
      </c>
      <c r="F432" t="str">
        <f>"$ 45704,42"</f>
        <v>$ 45704,42</v>
      </c>
      <c r="G432" t="str">
        <f>"$ 45704,42"</f>
        <v>$ 45704,42</v>
      </c>
      <c r="H432" t="str">
        <f t="shared" si="271"/>
        <v>$ 0,00</v>
      </c>
      <c r="I432" t="str">
        <f>"CABLES BUJÍAS COMPETICION 9MM"</f>
        <v>CABLES BUJÍAS COMPETICION 9MM</v>
      </c>
      <c r="J432" t="str">
        <f t="shared" si="272"/>
        <v>1</v>
      </c>
      <c r="K432" t="str">
        <f t="shared" si="295"/>
        <v>0</v>
      </c>
      <c r="L432" t="str">
        <f>"166,000"</f>
        <v>166,000</v>
      </c>
      <c r="M432" t="str">
        <f t="shared" si="273"/>
        <v xml:space="preserve"> </v>
      </c>
      <c r="N432" t="str">
        <f t="shared" si="306"/>
        <v>FERRAZZI</v>
      </c>
      <c r="O432" t="str">
        <f t="shared" si="307"/>
        <v>CABLES</v>
      </c>
      <c r="P432" t="str">
        <f t="shared" si="304"/>
        <v>0</v>
      </c>
      <c r="Q432" t="str">
        <f t="shared" si="304"/>
        <v>0</v>
      </c>
      <c r="R432" t="str">
        <f t="shared" si="305"/>
        <v>0,00</v>
      </c>
      <c r="S432" t="str">
        <f t="shared" si="305"/>
        <v>0,00</v>
      </c>
      <c r="T432" t="str">
        <f t="shared" si="292"/>
        <v xml:space="preserve"> </v>
      </c>
      <c r="U432" t="str">
        <f t="shared" si="298"/>
        <v xml:space="preserve"> </v>
      </c>
      <c r="V432" t="str">
        <f>"166,000"</f>
        <v>166,000</v>
      </c>
      <c r="W432" t="str">
        <f t="shared" si="274"/>
        <v>Lista 4</v>
      </c>
      <c r="X432" t="str">
        <f t="shared" si="275"/>
        <v>Lista 5</v>
      </c>
      <c r="Y432" t="str">
        <f t="shared" si="276"/>
        <v>Oferta Gral.</v>
      </c>
      <c r="Z432" t="str">
        <f t="shared" si="277"/>
        <v>Rubro</v>
      </c>
      <c r="AA432" t="str">
        <f t="shared" si="278"/>
        <v>Cantidad por Bulto</v>
      </c>
      <c r="AB432" t="str">
        <f t="shared" si="279"/>
        <v>INNER</v>
      </c>
      <c r="AC432" t="str">
        <f t="shared" si="280"/>
        <v>Stock en Bultos</v>
      </c>
      <c r="AD432" t="str">
        <f t="shared" si="281"/>
        <v>SubDepósito</v>
      </c>
      <c r="AE432" t="str">
        <f t="shared" si="282"/>
        <v>Marca</v>
      </c>
      <c r="AF432" t="str">
        <f t="shared" si="283"/>
        <v>Super Rubro</v>
      </c>
      <c r="AG432" t="str">
        <f t="shared" si="284"/>
        <v>ComercioExterior</v>
      </c>
      <c r="AH432" t="str">
        <f t="shared" si="285"/>
        <v>PrecioFOB</v>
      </c>
      <c r="AI432" t="str">
        <f t="shared" si="286"/>
        <v>Monto II</v>
      </c>
      <c r="AJ432" t="str">
        <f t="shared" si="287"/>
        <v>Porcentaje II</v>
      </c>
      <c r="AK432" t="str">
        <f t="shared" si="288"/>
        <v>Foto</v>
      </c>
      <c r="AL432" t="str">
        <f>"{\rtf1\ansi\ansicpg1252\deff0\deflang11274{\fonttbl{\f0\fnil\fcharset0 MS Sans Serif}} \viewkind4\uc1\pard\f0\fs16 CABLES BUJIAS COMPETICION 9MM GOL SENDA SAVEIRO SILICONA\par } "</f>
        <v xml:space="preserve">{\rtf1\ansi\ansicpg1252\deff0\deflang11274{\fonttbl{\f0\fnil\fcharset0 MS Sans Serif}} \viewkind4\uc1\pard\f0\fs16 CABLES BUJIAS COMPETICION 9MM GOL SENDA SAVEIRO SILICONA\par } </v>
      </c>
      <c r="AM432" t="str">
        <f>" "</f>
        <v xml:space="preserve"> </v>
      </c>
    </row>
    <row r="433" spans="1:39" x14ac:dyDescent="0.25">
      <c r="A433" t="str">
        <f>"04-00243"</f>
        <v>04-00243</v>
      </c>
      <c r="B433" t="str">
        <f>"CABLES BUJIAS COMPETICION 9MM MONDEO 2.5 V6 24 VALVULAS DOHC"</f>
        <v>CABLES BUJIAS COMPETICION 9MM MONDEO 2.5 V6 24 VALVULAS DOHC</v>
      </c>
      <c r="C433" t="str">
        <f>"$ 115616,47"</f>
        <v>$ 115616,47</v>
      </c>
      <c r="D433" t="str">
        <f>"$ 115616,47"</f>
        <v>$ 115616,47</v>
      </c>
      <c r="E433" t="str">
        <f>"$ 115616,47"</f>
        <v>$ 115616,47</v>
      </c>
      <c r="F433" t="str">
        <f>"$ 115616,47"</f>
        <v>$ 115616,47</v>
      </c>
      <c r="G433" t="str">
        <f>"$ 115616,47"</f>
        <v>$ 115616,47</v>
      </c>
      <c r="H433" t="str">
        <f t="shared" si="271"/>
        <v>$ 0,00</v>
      </c>
      <c r="I433" t="str">
        <f>"CABLES BUJÍAS COMPETICION 9MM"</f>
        <v>CABLES BUJÍAS COMPETICION 9MM</v>
      </c>
      <c r="J433" t="str">
        <f t="shared" si="272"/>
        <v>1</v>
      </c>
      <c r="K433" t="str">
        <f t="shared" si="295"/>
        <v>0</v>
      </c>
      <c r="L433" t="str">
        <f>"4,000"</f>
        <v>4,000</v>
      </c>
      <c r="M433" t="str">
        <f t="shared" si="273"/>
        <v xml:space="preserve"> </v>
      </c>
      <c r="N433" t="str">
        <f t="shared" si="306"/>
        <v>FERRAZZI</v>
      </c>
      <c r="O433" t="str">
        <f t="shared" si="307"/>
        <v>CABLES</v>
      </c>
      <c r="P433" t="str">
        <f t="shared" si="304"/>
        <v>0</v>
      </c>
      <c r="Q433" t="str">
        <f t="shared" si="304"/>
        <v>0</v>
      </c>
      <c r="R433" t="str">
        <f t="shared" si="305"/>
        <v>0,00</v>
      </c>
      <c r="S433" t="str">
        <f t="shared" si="305"/>
        <v>0,00</v>
      </c>
      <c r="T433" t="str">
        <f t="shared" si="292"/>
        <v xml:space="preserve"> </v>
      </c>
      <c r="U433" t="str">
        <f t="shared" si="298"/>
        <v xml:space="preserve"> </v>
      </c>
      <c r="V433" t="str">
        <f>"4,000"</f>
        <v>4,000</v>
      </c>
      <c r="W433" t="str">
        <f t="shared" si="274"/>
        <v>Lista 4</v>
      </c>
      <c r="X433" t="str">
        <f t="shared" si="275"/>
        <v>Lista 5</v>
      </c>
      <c r="Y433" t="str">
        <f t="shared" si="276"/>
        <v>Oferta Gral.</v>
      </c>
      <c r="Z433" t="str">
        <f t="shared" si="277"/>
        <v>Rubro</v>
      </c>
      <c r="AA433" t="str">
        <f t="shared" si="278"/>
        <v>Cantidad por Bulto</v>
      </c>
      <c r="AB433" t="str">
        <f t="shared" si="279"/>
        <v>INNER</v>
      </c>
      <c r="AC433" t="str">
        <f t="shared" si="280"/>
        <v>Stock en Bultos</v>
      </c>
      <c r="AD433" t="str">
        <f t="shared" si="281"/>
        <v>SubDepósito</v>
      </c>
      <c r="AE433" t="str">
        <f t="shared" si="282"/>
        <v>Marca</v>
      </c>
      <c r="AF433" t="str">
        <f t="shared" si="283"/>
        <v>Super Rubro</v>
      </c>
      <c r="AG433" t="str">
        <f t="shared" si="284"/>
        <v>ComercioExterior</v>
      </c>
      <c r="AH433" t="str">
        <f t="shared" si="285"/>
        <v>PrecioFOB</v>
      </c>
      <c r="AI433" t="str">
        <f t="shared" si="286"/>
        <v>Monto II</v>
      </c>
      <c r="AJ433" t="str">
        <f t="shared" si="287"/>
        <v>Porcentaje II</v>
      </c>
      <c r="AK433" t="str">
        <f t="shared" si="288"/>
        <v>Foto</v>
      </c>
      <c r="AL433" t="str">
        <f>"{\rtf1\ansi\ansicpg1252\deff0\deflang11274{\fonttbl{\f0\fnil\fcharset0 MS Sans Serif}} \viewkind4\uc1\pard\f0\fs16 CONECTOR CAJA LINK BOX  ORIG. FIAT - PALIO - SIENA\par } "</f>
        <v xml:space="preserve">{\rtf1\ansi\ansicpg1252\deff0\deflang11274{\fonttbl{\f0\fnil\fcharset0 MS Sans Serif}} \viewkind4\uc1\pard\f0\fs16 CONECTOR CAJA LINK BOX  ORIG. FIAT - PALIO - SIENA\par } </v>
      </c>
      <c r="AM433" t="str">
        <f>"-"</f>
        <v>-</v>
      </c>
    </row>
    <row r="434" spans="1:39" x14ac:dyDescent="0.25">
      <c r="A434" t="str">
        <f>"06-00251"</f>
        <v>06-00251</v>
      </c>
      <c r="B434" t="str">
        <f>"CABLES BUJIAS COMPETICION 9MM TORINO MOTOR TORNADO"</f>
        <v>CABLES BUJIAS COMPETICION 9MM TORINO MOTOR TORNADO</v>
      </c>
      <c r="C434" t="str">
        <f>"$ 83609,77"</f>
        <v>$ 83609,77</v>
      </c>
      <c r="D434" t="str">
        <f>"$ 83609,77"</f>
        <v>$ 83609,77</v>
      </c>
      <c r="E434" t="str">
        <f>"$ 83609,77"</f>
        <v>$ 83609,77</v>
      </c>
      <c r="F434" t="str">
        <f>"$ 83609,77"</f>
        <v>$ 83609,77</v>
      </c>
      <c r="G434" t="str">
        <f>"$ 83609,77"</f>
        <v>$ 83609,77</v>
      </c>
      <c r="H434" t="str">
        <f t="shared" si="271"/>
        <v>$ 0,00</v>
      </c>
      <c r="I434" t="str">
        <f>"CABLES BUJÍAS COMPETICION 9MM"</f>
        <v>CABLES BUJÍAS COMPETICION 9MM</v>
      </c>
      <c r="J434" t="str">
        <f t="shared" si="272"/>
        <v>1</v>
      </c>
      <c r="K434" t="str">
        <f t="shared" si="295"/>
        <v>0</v>
      </c>
      <c r="L434" t="str">
        <f>"15,000"</f>
        <v>15,000</v>
      </c>
      <c r="M434" t="str">
        <f t="shared" si="273"/>
        <v xml:space="preserve"> </v>
      </c>
      <c r="N434" t="str">
        <f t="shared" si="306"/>
        <v>FERRAZZI</v>
      </c>
      <c r="O434" t="str">
        <f t="shared" si="307"/>
        <v>CABLES</v>
      </c>
      <c r="P434" t="str">
        <f t="shared" si="304"/>
        <v>0</v>
      </c>
      <c r="Q434" t="str">
        <f t="shared" si="304"/>
        <v>0</v>
      </c>
      <c r="R434" t="str">
        <f t="shared" si="305"/>
        <v>0,00</v>
      </c>
      <c r="S434" t="str">
        <f t="shared" si="305"/>
        <v>0,00</v>
      </c>
      <c r="T434" t="str">
        <f t="shared" si="292"/>
        <v xml:space="preserve"> </v>
      </c>
      <c r="U434" t="str">
        <f t="shared" si="298"/>
        <v xml:space="preserve"> </v>
      </c>
      <c r="V434" t="str">
        <f>"15,000"</f>
        <v>15,000</v>
      </c>
      <c r="W434" t="str">
        <f t="shared" si="274"/>
        <v>Lista 4</v>
      </c>
      <c r="X434" t="str">
        <f t="shared" si="275"/>
        <v>Lista 5</v>
      </c>
      <c r="Y434" t="str">
        <f t="shared" si="276"/>
        <v>Oferta Gral.</v>
      </c>
      <c r="Z434" t="str">
        <f t="shared" si="277"/>
        <v>Rubro</v>
      </c>
      <c r="AA434" t="str">
        <f t="shared" si="278"/>
        <v>Cantidad por Bulto</v>
      </c>
      <c r="AB434" t="str">
        <f t="shared" si="279"/>
        <v>INNER</v>
      </c>
      <c r="AC434" t="str">
        <f t="shared" si="280"/>
        <v>Stock en Bultos</v>
      </c>
      <c r="AD434" t="str">
        <f t="shared" si="281"/>
        <v>SubDepósito</v>
      </c>
      <c r="AE434" t="str">
        <f t="shared" si="282"/>
        <v>Marca</v>
      </c>
      <c r="AF434" t="str">
        <f t="shared" si="283"/>
        <v>Super Rubro</v>
      </c>
      <c r="AG434" t="str">
        <f t="shared" si="284"/>
        <v>ComercioExterior</v>
      </c>
      <c r="AH434" t="str">
        <f t="shared" si="285"/>
        <v>PrecioFOB</v>
      </c>
      <c r="AI434" t="str">
        <f t="shared" si="286"/>
        <v>Monto II</v>
      </c>
      <c r="AJ434" t="str">
        <f t="shared" si="287"/>
        <v>Porcentaje II</v>
      </c>
      <c r="AK434" t="str">
        <f t="shared" si="288"/>
        <v>Foto</v>
      </c>
      <c r="AL434" t="str">
        <f>"{\rtf1\ansi\ansicpg1252\deff0\deflang11274{\fonttbl{\f0\fnil\fcharset0 MS Sans Serif}} \viewkind4\uc1\pard\f0\fs16 CABLES BUJIAS COMPETICION 9MM TORINO MOTOR TORNADO\par } "</f>
        <v xml:space="preserve">{\rtf1\ansi\ansicpg1252\deff0\deflang11274{\fonttbl{\f0\fnil\fcharset0 MS Sans Serif}} \viewkind4\uc1\pard\f0\fs16 CABLES BUJIAS COMPETICION 9MM TORINO MOTOR TORNADO\par } </v>
      </c>
      <c r="AM434" t="str">
        <f>" "</f>
        <v xml:space="preserve"> </v>
      </c>
    </row>
    <row r="435" spans="1:39" x14ac:dyDescent="0.25">
      <c r="A435" t="str">
        <f>"04-00130"</f>
        <v>04-00130</v>
      </c>
      <c r="B435" t="str">
        <f>"CABLES BUJIAS COMPETICION EXTREME 11 MM F100 FALCON 188 221 "</f>
        <v xml:space="preserve">CABLES BUJIAS COMPETICION EXTREME 11 MM F100 FALCON 188 221 </v>
      </c>
      <c r="C435" t="str">
        <f>"$ 173598,97"</f>
        <v>$ 173598,97</v>
      </c>
      <c r="D435" t="str">
        <f>"$ 173598,97"</f>
        <v>$ 173598,97</v>
      </c>
      <c r="E435" t="str">
        <f>"$ 173598,97"</f>
        <v>$ 173598,97</v>
      </c>
      <c r="F435" t="str">
        <f>"$ 173598,97"</f>
        <v>$ 173598,97</v>
      </c>
      <c r="G435" t="str">
        <f>"$ 173598,97"</f>
        <v>$ 173598,97</v>
      </c>
      <c r="H435" t="str">
        <f t="shared" si="271"/>
        <v>$ 0,00</v>
      </c>
      <c r="I435" t="str">
        <f>"CABLES BUJIAS COMPETICION EXTREME 11MM"</f>
        <v>CABLES BUJIAS COMPETICION EXTREME 11MM</v>
      </c>
      <c r="J435" t="str">
        <f t="shared" si="272"/>
        <v>1</v>
      </c>
      <c r="K435" t="str">
        <f t="shared" si="295"/>
        <v>0</v>
      </c>
      <c r="L435" t="str">
        <f>"3,000"</f>
        <v>3,000</v>
      </c>
      <c r="M435" t="str">
        <f t="shared" si="273"/>
        <v xml:space="preserve"> </v>
      </c>
      <c r="N435" t="str">
        <f t="shared" si="306"/>
        <v>FERRAZZI</v>
      </c>
      <c r="O435" t="str">
        <f t="shared" si="307"/>
        <v>CABLES</v>
      </c>
      <c r="P435" t="str">
        <f t="shared" si="304"/>
        <v>0</v>
      </c>
      <c r="Q435" t="str">
        <f t="shared" si="304"/>
        <v>0</v>
      </c>
      <c r="R435" t="str">
        <f t="shared" si="305"/>
        <v>0,00</v>
      </c>
      <c r="S435" t="str">
        <f t="shared" si="305"/>
        <v>0,00</v>
      </c>
      <c r="T435" t="str">
        <f t="shared" si="292"/>
        <v xml:space="preserve"> </v>
      </c>
      <c r="U435" t="str">
        <f t="shared" si="298"/>
        <v xml:space="preserve"> </v>
      </c>
      <c r="V435" t="str">
        <f>"3,000"</f>
        <v>3,000</v>
      </c>
      <c r="W435" t="str">
        <f t="shared" si="274"/>
        <v>Lista 4</v>
      </c>
      <c r="X435" t="str">
        <f t="shared" si="275"/>
        <v>Lista 5</v>
      </c>
      <c r="Y435" t="str">
        <f t="shared" si="276"/>
        <v>Oferta Gral.</v>
      </c>
      <c r="Z435" t="str">
        <f t="shared" si="277"/>
        <v>Rubro</v>
      </c>
      <c r="AA435" t="str">
        <f t="shared" si="278"/>
        <v>Cantidad por Bulto</v>
      </c>
      <c r="AB435" t="str">
        <f t="shared" si="279"/>
        <v>INNER</v>
      </c>
      <c r="AC435" t="str">
        <f t="shared" si="280"/>
        <v>Stock en Bultos</v>
      </c>
      <c r="AD435" t="str">
        <f t="shared" si="281"/>
        <v>SubDepósito</v>
      </c>
      <c r="AE435" t="str">
        <f t="shared" si="282"/>
        <v>Marca</v>
      </c>
      <c r="AF435" t="str">
        <f t="shared" si="283"/>
        <v>Super Rubro</v>
      </c>
      <c r="AG435" t="str">
        <f t="shared" si="284"/>
        <v>ComercioExterior</v>
      </c>
      <c r="AH435" t="str">
        <f t="shared" si="285"/>
        <v>PrecioFOB</v>
      </c>
      <c r="AI435" t="str">
        <f t="shared" si="286"/>
        <v>Monto II</v>
      </c>
      <c r="AJ435" t="str">
        <f t="shared" si="287"/>
        <v>Porcentaje II</v>
      </c>
      <c r="AK435" t="str">
        <f t="shared" si="288"/>
        <v>Foto</v>
      </c>
      <c r="AL435" t="str">
        <f>"{\rtf1\ansi\ansicpg1252\deff0\deflang11274{\fonttbl{\f0\fnil\fcharset0 MS Sans Serif}} \viewkind4\uc1\pard\f0\fs16 CABLES BUJIAS COMPETICION EXTREME 11 MM F100 FALCON 188 221 \par } "</f>
        <v xml:space="preserve">{\rtf1\ansi\ansicpg1252\deff0\deflang11274{\fonttbl{\f0\fnil\fcharset0 MS Sans Serif}} \viewkind4\uc1\pard\f0\fs16 CABLES BUJIAS COMPETICION EXTREME 11 MM F100 FALCON 188 221 \par } </v>
      </c>
      <c r="AM435" t="str">
        <f t="shared" ref="AM435:AM442" si="308">"-"</f>
        <v>-</v>
      </c>
    </row>
    <row r="436" spans="1:39" x14ac:dyDescent="0.25">
      <c r="A436" t="str">
        <f>"05-00144"</f>
        <v>05-00144</v>
      </c>
      <c r="B436" t="str">
        <f>"CABLES BUJIAS COMPETICION EXTREME 11 MM FIAT 128 DUNA UNO 1.3 1.5"</f>
        <v>CABLES BUJIAS COMPETICION EXTREME 11 MM FIAT 128 DUNA UNO 1.3 1.5</v>
      </c>
      <c r="C436" t="str">
        <f>"$ 115851,26"</f>
        <v>$ 115851,26</v>
      </c>
      <c r="D436" t="str">
        <f>"$ 115851,26"</f>
        <v>$ 115851,26</v>
      </c>
      <c r="E436" t="str">
        <f>"$ 115851,26"</f>
        <v>$ 115851,26</v>
      </c>
      <c r="F436" t="str">
        <f>"$ 115851,26"</f>
        <v>$ 115851,26</v>
      </c>
      <c r="G436" t="str">
        <f>"$ 115851,26"</f>
        <v>$ 115851,26</v>
      </c>
      <c r="H436" t="str">
        <f t="shared" si="271"/>
        <v>$ 0,00</v>
      </c>
      <c r="I436" t="str">
        <f>"CABLES BUJIAS COMPETICION EXTREME 11MM"</f>
        <v>CABLES BUJIAS COMPETICION EXTREME 11MM</v>
      </c>
      <c r="J436" t="str">
        <f t="shared" si="272"/>
        <v>1</v>
      </c>
      <c r="K436" t="str">
        <f t="shared" si="295"/>
        <v>0</v>
      </c>
      <c r="L436" t="str">
        <f>"3,000"</f>
        <v>3,000</v>
      </c>
      <c r="M436" t="str">
        <f t="shared" si="273"/>
        <v xml:space="preserve"> </v>
      </c>
      <c r="N436" t="str">
        <f t="shared" si="306"/>
        <v>FERRAZZI</v>
      </c>
      <c r="O436" t="str">
        <f t="shared" si="307"/>
        <v>CABLES</v>
      </c>
      <c r="P436" t="str">
        <f t="shared" si="304"/>
        <v>0</v>
      </c>
      <c r="Q436" t="str">
        <f t="shared" si="304"/>
        <v>0</v>
      </c>
      <c r="R436" t="str">
        <f t="shared" si="305"/>
        <v>0,00</v>
      </c>
      <c r="S436" t="str">
        <f t="shared" si="305"/>
        <v>0,00</v>
      </c>
      <c r="T436" t="str">
        <f t="shared" si="292"/>
        <v xml:space="preserve"> </v>
      </c>
      <c r="U436" t="str">
        <f t="shared" si="298"/>
        <v xml:space="preserve"> </v>
      </c>
      <c r="V436" t="str">
        <f>"3,000"</f>
        <v>3,000</v>
      </c>
      <c r="W436" t="str">
        <f t="shared" si="274"/>
        <v>Lista 4</v>
      </c>
      <c r="X436" t="str">
        <f t="shared" si="275"/>
        <v>Lista 5</v>
      </c>
      <c r="Y436" t="str">
        <f t="shared" si="276"/>
        <v>Oferta Gral.</v>
      </c>
      <c r="Z436" t="str">
        <f t="shared" si="277"/>
        <v>Rubro</v>
      </c>
      <c r="AA436" t="str">
        <f t="shared" si="278"/>
        <v>Cantidad por Bulto</v>
      </c>
      <c r="AB436" t="str">
        <f t="shared" si="279"/>
        <v>INNER</v>
      </c>
      <c r="AC436" t="str">
        <f t="shared" si="280"/>
        <v>Stock en Bultos</v>
      </c>
      <c r="AD436" t="str">
        <f t="shared" si="281"/>
        <v>SubDepósito</v>
      </c>
      <c r="AE436" t="str">
        <f t="shared" si="282"/>
        <v>Marca</v>
      </c>
      <c r="AF436" t="str">
        <f t="shared" si="283"/>
        <v>Super Rubro</v>
      </c>
      <c r="AG436" t="str">
        <f t="shared" si="284"/>
        <v>ComercioExterior</v>
      </c>
      <c r="AH436" t="str">
        <f t="shared" si="285"/>
        <v>PrecioFOB</v>
      </c>
      <c r="AI436" t="str">
        <f t="shared" si="286"/>
        <v>Monto II</v>
      </c>
      <c r="AJ436" t="str">
        <f t="shared" si="287"/>
        <v>Porcentaje II</v>
      </c>
      <c r="AK436" t="str">
        <f t="shared" si="288"/>
        <v>Foto</v>
      </c>
      <c r="AL436" t="str">
        <f>"{\rtf1\ansi\ansicpg1252\deff0\deflang11274{\fonttbl{\f0\fnil\fcharset0 MS Sans Serif}} \viewkind4\uc1\pard\f0\fs16 CABLES BUJIAS COMPETICION EXTREME 11 MM FIAT 128 DUNA UNO 1.3 1.5\par } "</f>
        <v xml:space="preserve">{\rtf1\ansi\ansicpg1252\deff0\deflang11274{\fonttbl{\f0\fnil\fcharset0 MS Sans Serif}} \viewkind4\uc1\pard\f0\fs16 CABLES BUJIAS COMPETICION EXTREME 11 MM FIAT 128 DUNA UNO 1.3 1.5\par } </v>
      </c>
      <c r="AM436" t="str">
        <f t="shared" si="308"/>
        <v>-</v>
      </c>
    </row>
    <row r="437" spans="1:39" x14ac:dyDescent="0.25">
      <c r="A437" t="str">
        <f>"04-00287"</f>
        <v>04-00287</v>
      </c>
      <c r="B437" t="str">
        <f>"CABLES BUJIAS COMPETICION FORD EXPLORER RANGER V6 4.0"</f>
        <v>CABLES BUJIAS COMPETICION FORD EXPLORER RANGER V6 4.0</v>
      </c>
      <c r="C437" t="str">
        <f>"$ 68384,86"</f>
        <v>$ 68384,86</v>
      </c>
      <c r="D437" t="str">
        <f>"$ 68384,86"</f>
        <v>$ 68384,86</v>
      </c>
      <c r="E437" t="str">
        <f>"$ 68384,86"</f>
        <v>$ 68384,86</v>
      </c>
      <c r="F437" t="str">
        <f>"$ 68384,86"</f>
        <v>$ 68384,86</v>
      </c>
      <c r="G437" t="str">
        <f>"$ 68384,86"</f>
        <v>$ 68384,86</v>
      </c>
      <c r="H437" t="str">
        <f t="shared" si="271"/>
        <v>$ 0,00</v>
      </c>
      <c r="I437" t="str">
        <f>"CABLES BUJÍAS COMPETICION 9MM"</f>
        <v>CABLES BUJÍAS COMPETICION 9MM</v>
      </c>
      <c r="J437" t="str">
        <f t="shared" si="272"/>
        <v>1</v>
      </c>
      <c r="K437" t="str">
        <f t="shared" si="295"/>
        <v>0</v>
      </c>
      <c r="L437" t="str">
        <f>"8,000"</f>
        <v>8,000</v>
      </c>
      <c r="M437" t="str">
        <f t="shared" si="273"/>
        <v xml:space="preserve"> </v>
      </c>
      <c r="N437" t="str">
        <f t="shared" si="306"/>
        <v>FERRAZZI</v>
      </c>
      <c r="O437" t="str">
        <f t="shared" si="307"/>
        <v>CABLES</v>
      </c>
      <c r="P437" t="str">
        <f t="shared" si="304"/>
        <v>0</v>
      </c>
      <c r="Q437" t="str">
        <f t="shared" si="304"/>
        <v>0</v>
      </c>
      <c r="R437" t="str">
        <f t="shared" si="305"/>
        <v>0,00</v>
      </c>
      <c r="S437" t="str">
        <f t="shared" si="305"/>
        <v>0,00</v>
      </c>
      <c r="T437" t="str">
        <f t="shared" si="292"/>
        <v xml:space="preserve"> </v>
      </c>
      <c r="U437" t="str">
        <f t="shared" si="298"/>
        <v xml:space="preserve"> </v>
      </c>
      <c r="V437" t="str">
        <f>"8,000"</f>
        <v>8,000</v>
      </c>
      <c r="W437" t="str">
        <f t="shared" si="274"/>
        <v>Lista 4</v>
      </c>
      <c r="X437" t="str">
        <f t="shared" si="275"/>
        <v>Lista 5</v>
      </c>
      <c r="Y437" t="str">
        <f t="shared" si="276"/>
        <v>Oferta Gral.</v>
      </c>
      <c r="Z437" t="str">
        <f t="shared" si="277"/>
        <v>Rubro</v>
      </c>
      <c r="AA437" t="str">
        <f t="shared" si="278"/>
        <v>Cantidad por Bulto</v>
      </c>
      <c r="AB437" t="str">
        <f t="shared" si="279"/>
        <v>INNER</v>
      </c>
      <c r="AC437" t="str">
        <f t="shared" si="280"/>
        <v>Stock en Bultos</v>
      </c>
      <c r="AD437" t="str">
        <f t="shared" si="281"/>
        <v>SubDepósito</v>
      </c>
      <c r="AE437" t="str">
        <f t="shared" si="282"/>
        <v>Marca</v>
      </c>
      <c r="AF437" t="str">
        <f t="shared" si="283"/>
        <v>Super Rubro</v>
      </c>
      <c r="AG437" t="str">
        <f t="shared" si="284"/>
        <v>ComercioExterior</v>
      </c>
      <c r="AH437" t="str">
        <f t="shared" si="285"/>
        <v>PrecioFOB</v>
      </c>
      <c r="AI437" t="str">
        <f t="shared" si="286"/>
        <v>Monto II</v>
      </c>
      <c r="AJ437" t="str">
        <f t="shared" si="287"/>
        <v>Porcentaje II</v>
      </c>
      <c r="AK437" t="str">
        <f t="shared" si="288"/>
        <v>Foto</v>
      </c>
      <c r="AL437" t="str">
        <f>"{\rtf1\ansi\ansicpg1252\deff0\deflang11274{\fonttbl{\f0\fnil\fcharset0 MS Sans Serif}} \viewkind4\uc1\pard\f0\fs16 CABLES BUJIAS COMPETICION FORD EXPLORER RANGER V6 4.0\par } "</f>
        <v xml:space="preserve">{\rtf1\ansi\ansicpg1252\deff0\deflang11274{\fonttbl{\f0\fnil\fcharset0 MS Sans Serif}} \viewkind4\uc1\pard\f0\fs16 CABLES BUJIAS COMPETICION FORD EXPLORER RANGER V6 4.0\par } </v>
      </c>
      <c r="AM437" t="str">
        <f t="shared" si="308"/>
        <v>-</v>
      </c>
    </row>
    <row r="438" spans="1:39" x14ac:dyDescent="0.25">
      <c r="A438" t="str">
        <f>"04-00297"</f>
        <v>04-00297</v>
      </c>
      <c r="B438" t="str">
        <f>"CABLES BUJIAS COMPETICION FORD FIESTA ECOSPORT ROCAM CAPUCHON ALUMINIO"</f>
        <v>CABLES BUJIAS COMPETICION FORD FIESTA ECOSPORT ROCAM CAPUCHON ALUMINIO</v>
      </c>
      <c r="C438" t="str">
        <f>"$ 52048,06"</f>
        <v>$ 52048,06</v>
      </c>
      <c r="D438" t="str">
        <f>"$ 52048,06"</f>
        <v>$ 52048,06</v>
      </c>
      <c r="E438" t="str">
        <f>"$ 52048,06"</f>
        <v>$ 52048,06</v>
      </c>
      <c r="F438" t="str">
        <f>"$ 52048,06"</f>
        <v>$ 52048,06</v>
      </c>
      <c r="G438" t="str">
        <f>"$ 52048,06"</f>
        <v>$ 52048,06</v>
      </c>
      <c r="H438" t="str">
        <f t="shared" si="271"/>
        <v>$ 0,00</v>
      </c>
      <c r="I438" t="str">
        <f>"CABLES BUJÍAS COMPETICION 9MM"</f>
        <v>CABLES BUJÍAS COMPETICION 9MM</v>
      </c>
      <c r="J438" t="str">
        <f t="shared" si="272"/>
        <v>1</v>
      </c>
      <c r="K438" t="str">
        <f t="shared" si="295"/>
        <v>0</v>
      </c>
      <c r="L438" t="str">
        <f>"7,000"</f>
        <v>7,000</v>
      </c>
      <c r="M438" t="str">
        <f t="shared" si="273"/>
        <v xml:space="preserve"> </v>
      </c>
      <c r="N438" t="str">
        <f t="shared" si="306"/>
        <v>FERRAZZI</v>
      </c>
      <c r="O438" t="str">
        <f t="shared" si="307"/>
        <v>CABLES</v>
      </c>
      <c r="P438" t="str">
        <f t="shared" si="304"/>
        <v>0</v>
      </c>
      <c r="Q438" t="str">
        <f t="shared" si="304"/>
        <v>0</v>
      </c>
      <c r="R438" t="str">
        <f t="shared" si="305"/>
        <v>0,00</v>
      </c>
      <c r="S438" t="str">
        <f t="shared" si="305"/>
        <v>0,00</v>
      </c>
      <c r="T438" t="str">
        <f t="shared" si="292"/>
        <v xml:space="preserve"> </v>
      </c>
      <c r="U438" t="str">
        <f t="shared" si="298"/>
        <v xml:space="preserve"> </v>
      </c>
      <c r="V438" t="str">
        <f>"7,000"</f>
        <v>7,000</v>
      </c>
      <c r="W438" t="str">
        <f t="shared" si="274"/>
        <v>Lista 4</v>
      </c>
      <c r="X438" t="str">
        <f t="shared" si="275"/>
        <v>Lista 5</v>
      </c>
      <c r="Y438" t="str">
        <f t="shared" si="276"/>
        <v>Oferta Gral.</v>
      </c>
      <c r="Z438" t="str">
        <f t="shared" si="277"/>
        <v>Rubro</v>
      </c>
      <c r="AA438" t="str">
        <f t="shared" si="278"/>
        <v>Cantidad por Bulto</v>
      </c>
      <c r="AB438" t="str">
        <f t="shared" si="279"/>
        <v>INNER</v>
      </c>
      <c r="AC438" t="str">
        <f t="shared" si="280"/>
        <v>Stock en Bultos</v>
      </c>
      <c r="AD438" t="str">
        <f t="shared" si="281"/>
        <v>SubDepósito</v>
      </c>
      <c r="AE438" t="str">
        <f t="shared" si="282"/>
        <v>Marca</v>
      </c>
      <c r="AF438" t="str">
        <f t="shared" si="283"/>
        <v>Super Rubro</v>
      </c>
      <c r="AG438" t="str">
        <f t="shared" si="284"/>
        <v>ComercioExterior</v>
      </c>
      <c r="AH438" t="str">
        <f t="shared" si="285"/>
        <v>PrecioFOB</v>
      </c>
      <c r="AI438" t="str">
        <f t="shared" si="286"/>
        <v>Monto II</v>
      </c>
      <c r="AJ438" t="str">
        <f t="shared" si="287"/>
        <v>Porcentaje II</v>
      </c>
      <c r="AK438" t="str">
        <f t="shared" si="288"/>
        <v>Foto</v>
      </c>
      <c r="AL438" t="str">
        <f>"{\rtf1\ansi\ansicpg1252\deff0\deflang11274{\fonttbl{\f0\fnil\fcharset0 MS Sans Serif}} \viewkind4\uc1\pard\f0\fs16 CABLES BUJIAS COMPETICION FORD FIESTA ECOSPORT ROCAM CAPUCHON ALUMINIO\par } "</f>
        <v xml:space="preserve">{\rtf1\ansi\ansicpg1252\deff0\deflang11274{\fonttbl{\f0\fnil\fcharset0 MS Sans Serif}} \viewkind4\uc1\pard\f0\fs16 CABLES BUJIAS COMPETICION FORD FIESTA ECOSPORT ROCAM CAPUCHON ALUMINIO\par } </v>
      </c>
      <c r="AM438" t="str">
        <f t="shared" si="308"/>
        <v>-</v>
      </c>
    </row>
    <row r="439" spans="1:39" x14ac:dyDescent="0.25">
      <c r="A439" t="str">
        <f>"02-00260"</f>
        <v>02-00260</v>
      </c>
      <c r="B439" t="str">
        <f>"CABLES BUJIAS COMPETICION OPEL K180"</f>
        <v>CABLES BUJIAS COMPETICION OPEL K180</v>
      </c>
      <c r="C439" t="str">
        <f>"$ 35827,22"</f>
        <v>$ 35827,22</v>
      </c>
      <c r="D439" t="str">
        <f>"$ 35827,22"</f>
        <v>$ 35827,22</v>
      </c>
      <c r="E439" t="str">
        <f>"$ 35827,22"</f>
        <v>$ 35827,22</v>
      </c>
      <c r="F439" t="str">
        <f>"$ 35827,22"</f>
        <v>$ 35827,22</v>
      </c>
      <c r="G439" t="str">
        <f>"$ 35827,22"</f>
        <v>$ 35827,22</v>
      </c>
      <c r="H439" t="str">
        <f t="shared" si="271"/>
        <v>$ 0,00</v>
      </c>
      <c r="I439" t="str">
        <f>"CABLES BUJÍAS COMPETICION 9MM"</f>
        <v>CABLES BUJÍAS COMPETICION 9MM</v>
      </c>
      <c r="J439" t="str">
        <f t="shared" si="272"/>
        <v>1</v>
      </c>
      <c r="K439" t="str">
        <f t="shared" si="295"/>
        <v>0</v>
      </c>
      <c r="L439" t="str">
        <f>"0,000"</f>
        <v>0,000</v>
      </c>
      <c r="M439" t="str">
        <f t="shared" si="273"/>
        <v xml:space="preserve"> </v>
      </c>
      <c r="N439" t="str">
        <f t="shared" si="306"/>
        <v>FERRAZZI</v>
      </c>
      <c r="O439" t="str">
        <f t="shared" si="307"/>
        <v>CABLES</v>
      </c>
      <c r="P439" t="str">
        <f t="shared" si="304"/>
        <v>0</v>
      </c>
      <c r="Q439" t="str">
        <f t="shared" si="304"/>
        <v>0</v>
      </c>
      <c r="R439" t="str">
        <f t="shared" si="305"/>
        <v>0,00</v>
      </c>
      <c r="S439" t="str">
        <f t="shared" si="305"/>
        <v>0,00</v>
      </c>
      <c r="T439" t="str">
        <f t="shared" si="292"/>
        <v xml:space="preserve"> </v>
      </c>
      <c r="U439" t="str">
        <f t="shared" si="298"/>
        <v xml:space="preserve"> </v>
      </c>
      <c r="V439" t="str">
        <f>"0,000"</f>
        <v>0,000</v>
      </c>
      <c r="W439" t="str">
        <f t="shared" si="274"/>
        <v>Lista 4</v>
      </c>
      <c r="X439" t="str">
        <f t="shared" si="275"/>
        <v>Lista 5</v>
      </c>
      <c r="Y439" t="str">
        <f t="shared" si="276"/>
        <v>Oferta Gral.</v>
      </c>
      <c r="Z439" t="str">
        <f t="shared" si="277"/>
        <v>Rubro</v>
      </c>
      <c r="AA439" t="str">
        <f t="shared" si="278"/>
        <v>Cantidad por Bulto</v>
      </c>
      <c r="AB439" t="str">
        <f t="shared" si="279"/>
        <v>INNER</v>
      </c>
      <c r="AC439" t="str">
        <f t="shared" si="280"/>
        <v>Stock en Bultos</v>
      </c>
      <c r="AD439" t="str">
        <f t="shared" si="281"/>
        <v>SubDepósito</v>
      </c>
      <c r="AE439" t="str">
        <f t="shared" si="282"/>
        <v>Marca</v>
      </c>
      <c r="AF439" t="str">
        <f t="shared" si="283"/>
        <v>Super Rubro</v>
      </c>
      <c r="AG439" t="str">
        <f t="shared" si="284"/>
        <v>ComercioExterior</v>
      </c>
      <c r="AH439" t="str">
        <f t="shared" si="285"/>
        <v>PrecioFOB</v>
      </c>
      <c r="AI439" t="str">
        <f t="shared" si="286"/>
        <v>Monto II</v>
      </c>
      <c r="AJ439" t="str">
        <f t="shared" si="287"/>
        <v>Porcentaje II</v>
      </c>
      <c r="AK439" t="str">
        <f t="shared" si="288"/>
        <v>Foto</v>
      </c>
      <c r="AL43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39" t="str">
        <f t="shared" si="308"/>
        <v>-</v>
      </c>
    </row>
    <row r="440" spans="1:39" x14ac:dyDescent="0.25">
      <c r="A440" t="str">
        <f>"02-00292"</f>
        <v>02-00292</v>
      </c>
      <c r="B440" t="str">
        <f>"CABLES BUJIAS CORSA TIGRA 1.4 1.6 16V COMPETICION 9MM"</f>
        <v>CABLES BUJIAS CORSA TIGRA 1.4 1.6 16V COMPETICION 9MM</v>
      </c>
      <c r="C440" t="str">
        <f>"$ 58973,51"</f>
        <v>$ 58973,51</v>
      </c>
      <c r="D440" t="str">
        <f>"$ 58973,51"</f>
        <v>$ 58973,51</v>
      </c>
      <c r="E440" t="str">
        <f>"$ 58973,51"</f>
        <v>$ 58973,51</v>
      </c>
      <c r="F440" t="str">
        <f>"$ 58973,51"</f>
        <v>$ 58973,51</v>
      </c>
      <c r="G440" t="str">
        <f>"$ 58973,51"</f>
        <v>$ 58973,51</v>
      </c>
      <c r="H440" t="str">
        <f t="shared" si="271"/>
        <v>$ 0,00</v>
      </c>
      <c r="I440" t="str">
        <f>"CABLES BUJÍAS COMPETICION 9MM"</f>
        <v>CABLES BUJÍAS COMPETICION 9MM</v>
      </c>
      <c r="J440" t="str">
        <f t="shared" si="272"/>
        <v>1</v>
      </c>
      <c r="K440" t="str">
        <f t="shared" si="295"/>
        <v>0</v>
      </c>
      <c r="L440" t="str">
        <f>"0,000"</f>
        <v>0,000</v>
      </c>
      <c r="M440" t="str">
        <f t="shared" si="273"/>
        <v xml:space="preserve"> </v>
      </c>
      <c r="N440" t="str">
        <f t="shared" si="306"/>
        <v>FERRAZZI</v>
      </c>
      <c r="O440" t="str">
        <f t="shared" si="307"/>
        <v>CABLES</v>
      </c>
      <c r="P440" t="str">
        <f t="shared" si="304"/>
        <v>0</v>
      </c>
      <c r="Q440" t="str">
        <f t="shared" si="304"/>
        <v>0</v>
      </c>
      <c r="R440" t="str">
        <f t="shared" si="305"/>
        <v>0,00</v>
      </c>
      <c r="S440" t="str">
        <f t="shared" si="305"/>
        <v>0,00</v>
      </c>
      <c r="T440" t="str">
        <f t="shared" si="292"/>
        <v xml:space="preserve"> </v>
      </c>
      <c r="U440" t="str">
        <f t="shared" si="298"/>
        <v xml:space="preserve"> </v>
      </c>
      <c r="V440" t="str">
        <f>"0,000"</f>
        <v>0,000</v>
      </c>
      <c r="W440" t="str">
        <f t="shared" si="274"/>
        <v>Lista 4</v>
      </c>
      <c r="X440" t="str">
        <f t="shared" si="275"/>
        <v>Lista 5</v>
      </c>
      <c r="Y440" t="str">
        <f t="shared" si="276"/>
        <v>Oferta Gral.</v>
      </c>
      <c r="Z440" t="str">
        <f t="shared" si="277"/>
        <v>Rubro</v>
      </c>
      <c r="AA440" t="str">
        <f t="shared" si="278"/>
        <v>Cantidad por Bulto</v>
      </c>
      <c r="AB440" t="str">
        <f t="shared" si="279"/>
        <v>INNER</v>
      </c>
      <c r="AC440" t="str">
        <f t="shared" si="280"/>
        <v>Stock en Bultos</v>
      </c>
      <c r="AD440" t="str">
        <f t="shared" si="281"/>
        <v>SubDepósito</v>
      </c>
      <c r="AE440" t="str">
        <f t="shared" si="282"/>
        <v>Marca</v>
      </c>
      <c r="AF440" t="str">
        <f t="shared" si="283"/>
        <v>Super Rubro</v>
      </c>
      <c r="AG440" t="str">
        <f t="shared" si="284"/>
        <v>ComercioExterior</v>
      </c>
      <c r="AH440" t="str">
        <f t="shared" si="285"/>
        <v>PrecioFOB</v>
      </c>
      <c r="AI440" t="str">
        <f t="shared" si="286"/>
        <v>Monto II</v>
      </c>
      <c r="AJ440" t="str">
        <f t="shared" si="287"/>
        <v>Porcentaje II</v>
      </c>
      <c r="AK440" t="str">
        <f t="shared" si="288"/>
        <v>Foto</v>
      </c>
      <c r="AL44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40" t="str">
        <f t="shared" si="308"/>
        <v>-</v>
      </c>
    </row>
    <row r="441" spans="1:39" x14ac:dyDescent="0.25">
      <c r="A441" t="str">
        <f>"02-00111"</f>
        <v>02-00111</v>
      </c>
      <c r="B441" t="str">
        <f>"CABLES BUJIAS EXTREME 11MM CHEVROLET 400 CHEVY PICK UP C10"</f>
        <v>CABLES BUJIAS EXTREME 11MM CHEVROLET 400 CHEVY PICK UP C10</v>
      </c>
      <c r="C441" t="str">
        <f>"$ 173598,97"</f>
        <v>$ 173598,97</v>
      </c>
      <c r="D441" t="str">
        <f>"$ 173598,97"</f>
        <v>$ 173598,97</v>
      </c>
      <c r="E441" t="str">
        <f>"$ 173598,97"</f>
        <v>$ 173598,97</v>
      </c>
      <c r="F441" t="str">
        <f>"$ 173598,97"</f>
        <v>$ 173598,97</v>
      </c>
      <c r="G441" t="str">
        <f>"$ 173598,97"</f>
        <v>$ 173598,97</v>
      </c>
      <c r="H441" t="str">
        <f t="shared" si="271"/>
        <v>$ 0,00</v>
      </c>
      <c r="I441" t="str">
        <f>"CABLES BUJIAS COMPETICION EXTREME 11MM"</f>
        <v>CABLES BUJIAS COMPETICION EXTREME 11MM</v>
      </c>
      <c r="J441" t="str">
        <f t="shared" si="272"/>
        <v>1</v>
      </c>
      <c r="K441" t="str">
        <f t="shared" si="295"/>
        <v>0</v>
      </c>
      <c r="L441" t="str">
        <f>"2,000"</f>
        <v>2,000</v>
      </c>
      <c r="M441" t="str">
        <f t="shared" si="273"/>
        <v xml:space="preserve"> </v>
      </c>
      <c r="N441" t="str">
        <f t="shared" si="306"/>
        <v>FERRAZZI</v>
      </c>
      <c r="O441" t="str">
        <f t="shared" si="307"/>
        <v>CABLES</v>
      </c>
      <c r="P441" t="str">
        <f t="shared" si="304"/>
        <v>0</v>
      </c>
      <c r="Q441" t="str">
        <f t="shared" si="304"/>
        <v>0</v>
      </c>
      <c r="R441" t="str">
        <f t="shared" si="305"/>
        <v>0,00</v>
      </c>
      <c r="S441" t="str">
        <f t="shared" si="305"/>
        <v>0,00</v>
      </c>
      <c r="T441" t="str">
        <f t="shared" si="292"/>
        <v xml:space="preserve"> </v>
      </c>
      <c r="U441" t="str">
        <f t="shared" si="298"/>
        <v xml:space="preserve"> </v>
      </c>
      <c r="V441" t="str">
        <f>"2,000"</f>
        <v>2,000</v>
      </c>
      <c r="W441" t="str">
        <f t="shared" si="274"/>
        <v>Lista 4</v>
      </c>
      <c r="X441" t="str">
        <f t="shared" si="275"/>
        <v>Lista 5</v>
      </c>
      <c r="Y441" t="str">
        <f t="shared" si="276"/>
        <v>Oferta Gral.</v>
      </c>
      <c r="Z441" t="str">
        <f t="shared" si="277"/>
        <v>Rubro</v>
      </c>
      <c r="AA441" t="str">
        <f t="shared" si="278"/>
        <v>Cantidad por Bulto</v>
      </c>
      <c r="AB441" t="str">
        <f t="shared" si="279"/>
        <v>INNER</v>
      </c>
      <c r="AC441" t="str">
        <f t="shared" si="280"/>
        <v>Stock en Bultos</v>
      </c>
      <c r="AD441" t="str">
        <f t="shared" si="281"/>
        <v>SubDepósito</v>
      </c>
      <c r="AE441" t="str">
        <f t="shared" si="282"/>
        <v>Marca</v>
      </c>
      <c r="AF441" t="str">
        <f t="shared" si="283"/>
        <v>Super Rubro</v>
      </c>
      <c r="AG441" t="str">
        <f t="shared" si="284"/>
        <v>ComercioExterior</v>
      </c>
      <c r="AH441" t="str">
        <f t="shared" si="285"/>
        <v>PrecioFOB</v>
      </c>
      <c r="AI441" t="str">
        <f t="shared" si="286"/>
        <v>Monto II</v>
      </c>
      <c r="AJ441" t="str">
        <f t="shared" si="287"/>
        <v>Porcentaje II</v>
      </c>
      <c r="AK441" t="str">
        <f t="shared" si="288"/>
        <v>Foto</v>
      </c>
      <c r="AL441" t="str">
        <f>"{\rtf1\ansi\ansicpg1252\deff0\deflang11274{\fonttbl{\f0\fnil\fcharset0 MS Sans Serif}} \viewkind4\uc1\pard\f0\fs16 CABLES BUJIAS EXTREME 11MM CHEVROLET 400 CHEVY PICK UP C10\par } "</f>
        <v xml:space="preserve">{\rtf1\ansi\ansicpg1252\deff0\deflang11274{\fonttbl{\f0\fnil\fcharset0 MS Sans Serif}} \viewkind4\uc1\pard\f0\fs16 CABLES BUJIAS EXTREME 11MM CHEVROLET 400 CHEVY PICK UP C10\par } </v>
      </c>
      <c r="AM441" t="str">
        <f t="shared" si="308"/>
        <v>-</v>
      </c>
    </row>
    <row r="442" spans="1:39" x14ac:dyDescent="0.25">
      <c r="A442" t="str">
        <f>"05-00197"</f>
        <v>05-00197</v>
      </c>
      <c r="B442" t="str">
        <f>"CABLES BUJIAS EXTREME 11MM FIAT DUNA UNO MOTOR TIPO 1.4 1.6"</f>
        <v>CABLES BUJIAS EXTREME 11MM FIAT DUNA UNO MOTOR TIPO 1.4 1.6</v>
      </c>
      <c r="C442" t="str">
        <f>"$ 115851,26"</f>
        <v>$ 115851,26</v>
      </c>
      <c r="D442" t="str">
        <f>"$ 115851,26"</f>
        <v>$ 115851,26</v>
      </c>
      <c r="E442" t="str">
        <f>"$ 115851,26"</f>
        <v>$ 115851,26</v>
      </c>
      <c r="F442" t="str">
        <f>"$ 115851,26"</f>
        <v>$ 115851,26</v>
      </c>
      <c r="G442" t="str">
        <f>"$ 115851,26"</f>
        <v>$ 115851,26</v>
      </c>
      <c r="H442" t="str">
        <f t="shared" si="271"/>
        <v>$ 0,00</v>
      </c>
      <c r="I442" t="str">
        <f>"CABLES BUJIAS COMPETICION EXTREME 11MM"</f>
        <v>CABLES BUJIAS COMPETICION EXTREME 11MM</v>
      </c>
      <c r="J442" t="str">
        <f t="shared" si="272"/>
        <v>1</v>
      </c>
      <c r="K442" t="str">
        <f t="shared" si="295"/>
        <v>0</v>
      </c>
      <c r="L442" t="str">
        <f>"3,000"</f>
        <v>3,000</v>
      </c>
      <c r="M442" t="str">
        <f t="shared" si="273"/>
        <v xml:space="preserve"> </v>
      </c>
      <c r="N442" t="str">
        <f t="shared" si="306"/>
        <v>FERRAZZI</v>
      </c>
      <c r="O442" t="str">
        <f t="shared" si="307"/>
        <v>CABLES</v>
      </c>
      <c r="P442" t="str">
        <f t="shared" si="304"/>
        <v>0</v>
      </c>
      <c r="Q442" t="str">
        <f t="shared" si="304"/>
        <v>0</v>
      </c>
      <c r="R442" t="str">
        <f t="shared" si="305"/>
        <v>0,00</v>
      </c>
      <c r="S442" t="str">
        <f t="shared" si="305"/>
        <v>0,00</v>
      </c>
      <c r="T442" t="str">
        <f t="shared" si="292"/>
        <v xml:space="preserve"> </v>
      </c>
      <c r="U442" t="str">
        <f t="shared" si="298"/>
        <v xml:space="preserve"> </v>
      </c>
      <c r="V442" t="str">
        <f>"3,000"</f>
        <v>3,000</v>
      </c>
      <c r="W442" t="str">
        <f t="shared" si="274"/>
        <v>Lista 4</v>
      </c>
      <c r="X442" t="str">
        <f t="shared" si="275"/>
        <v>Lista 5</v>
      </c>
      <c r="Y442" t="str">
        <f t="shared" si="276"/>
        <v>Oferta Gral.</v>
      </c>
      <c r="Z442" t="str">
        <f t="shared" si="277"/>
        <v>Rubro</v>
      </c>
      <c r="AA442" t="str">
        <f t="shared" si="278"/>
        <v>Cantidad por Bulto</v>
      </c>
      <c r="AB442" t="str">
        <f t="shared" si="279"/>
        <v>INNER</v>
      </c>
      <c r="AC442" t="str">
        <f t="shared" si="280"/>
        <v>Stock en Bultos</v>
      </c>
      <c r="AD442" t="str">
        <f t="shared" si="281"/>
        <v>SubDepósito</v>
      </c>
      <c r="AE442" t="str">
        <f t="shared" si="282"/>
        <v>Marca</v>
      </c>
      <c r="AF442" t="str">
        <f t="shared" si="283"/>
        <v>Super Rubro</v>
      </c>
      <c r="AG442" t="str">
        <f t="shared" si="284"/>
        <v>ComercioExterior</v>
      </c>
      <c r="AH442" t="str">
        <f t="shared" si="285"/>
        <v>PrecioFOB</v>
      </c>
      <c r="AI442" t="str">
        <f t="shared" si="286"/>
        <v>Monto II</v>
      </c>
      <c r="AJ442" t="str">
        <f t="shared" si="287"/>
        <v>Porcentaje II</v>
      </c>
      <c r="AK442" t="str">
        <f t="shared" si="288"/>
        <v>Foto</v>
      </c>
      <c r="AL44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42" t="str">
        <f t="shared" si="308"/>
        <v>-</v>
      </c>
    </row>
    <row r="443" spans="1:39" x14ac:dyDescent="0.25">
      <c r="A443" t="str">
        <f>"03-01753"</f>
        <v>03-01753</v>
      </c>
      <c r="B443" t="str">
        <f>"CABLES BUJIAS FERRAZZI 7MM VW GOLF 2.0 8V 1995 A 1999"</f>
        <v>CABLES BUJIAS FERRAZZI 7MM VW GOLF 2.0 8V 1995 A 1999</v>
      </c>
      <c r="C443" t="str">
        <f>"$ 41223,22"</f>
        <v>$ 41223,22</v>
      </c>
      <c r="D443" t="str">
        <f>"$ 41223,22"</f>
        <v>$ 41223,22</v>
      </c>
      <c r="E443" t="str">
        <f>"$ 41223,22"</f>
        <v>$ 41223,22</v>
      </c>
      <c r="F443" t="str">
        <f>"$ 41223,22"</f>
        <v>$ 41223,22</v>
      </c>
      <c r="G443" t="str">
        <f>"$ 41223,22"</f>
        <v>$ 41223,22</v>
      </c>
      <c r="H443" t="str">
        <f t="shared" si="271"/>
        <v>$ 0,00</v>
      </c>
      <c r="I443" t="str">
        <f>"CABLES BUJÍAS SILICONA ANTIPARASITARIOS"</f>
        <v>CABLES BUJÍAS SILICONA ANTIPARASITARIOS</v>
      </c>
      <c r="J443" t="str">
        <f t="shared" si="272"/>
        <v>1</v>
      </c>
      <c r="K443" t="str">
        <f t="shared" si="295"/>
        <v>0</v>
      </c>
      <c r="L443" t="str">
        <f>"7,000"</f>
        <v>7,000</v>
      </c>
      <c r="M443" t="str">
        <f t="shared" si="273"/>
        <v xml:space="preserve"> </v>
      </c>
      <c r="N443" t="str">
        <f t="shared" si="306"/>
        <v>FERRAZZI</v>
      </c>
      <c r="O443" t="str">
        <f t="shared" si="307"/>
        <v>CABLES</v>
      </c>
      <c r="P443" t="str">
        <f t="shared" ref="P443:Q462" si="309">"0"</f>
        <v>0</v>
      </c>
      <c r="Q443" t="str">
        <f t="shared" si="309"/>
        <v>0</v>
      </c>
      <c r="R443" t="str">
        <f t="shared" ref="R443:S462" si="310">"0,00"</f>
        <v>0,00</v>
      </c>
      <c r="S443" t="str">
        <f t="shared" si="310"/>
        <v>0,00</v>
      </c>
      <c r="T443" t="str">
        <f t="shared" si="292"/>
        <v xml:space="preserve"> </v>
      </c>
      <c r="U443" t="str">
        <f t="shared" si="298"/>
        <v xml:space="preserve"> </v>
      </c>
      <c r="V443" t="str">
        <f>"7,000"</f>
        <v>7,000</v>
      </c>
      <c r="W443" t="str">
        <f t="shared" si="274"/>
        <v>Lista 4</v>
      </c>
      <c r="X443" t="str">
        <f t="shared" si="275"/>
        <v>Lista 5</v>
      </c>
      <c r="Y443" t="str">
        <f t="shared" si="276"/>
        <v>Oferta Gral.</v>
      </c>
      <c r="Z443" t="str">
        <f t="shared" si="277"/>
        <v>Rubro</v>
      </c>
      <c r="AA443" t="str">
        <f t="shared" si="278"/>
        <v>Cantidad por Bulto</v>
      </c>
      <c r="AB443" t="str">
        <f t="shared" si="279"/>
        <v>INNER</v>
      </c>
      <c r="AC443" t="str">
        <f t="shared" si="280"/>
        <v>Stock en Bultos</v>
      </c>
      <c r="AD443" t="str">
        <f t="shared" si="281"/>
        <v>SubDepósito</v>
      </c>
      <c r="AE443" t="str">
        <f t="shared" si="282"/>
        <v>Marca</v>
      </c>
      <c r="AF443" t="str">
        <f t="shared" si="283"/>
        <v>Super Rubro</v>
      </c>
      <c r="AG443" t="str">
        <f t="shared" si="284"/>
        <v>ComercioExterior</v>
      </c>
      <c r="AH443" t="str">
        <f t="shared" si="285"/>
        <v>PrecioFOB</v>
      </c>
      <c r="AI443" t="str">
        <f t="shared" si="286"/>
        <v>Monto II</v>
      </c>
      <c r="AJ443" t="str">
        <f t="shared" si="287"/>
        <v>Porcentaje II</v>
      </c>
      <c r="AK443" t="str">
        <f t="shared" si="288"/>
        <v>Foto</v>
      </c>
      <c r="AL443" t="str">
        <f>"{\rtf1\ansi\ansicpg1252\deff0\deflang11274{\fonttbl{\f0\fnil\fcharset0 MS Sans Serif}} \viewkind4\uc1\pard\f0\fs16 CABLES BUJIAS FERRAZZI 7MM VW GOLF 2.0 8V 1995 A 1999\par } "</f>
        <v xml:space="preserve">{\rtf1\ansi\ansicpg1252\deff0\deflang11274{\fonttbl{\f0\fnil\fcharset0 MS Sans Serif}} \viewkind4\uc1\pard\f0\fs16 CABLES BUJIAS FERRAZZI 7MM VW GOLF 2.0 8V 1995 A 1999\par } </v>
      </c>
      <c r="AM443" t="str">
        <f>" "</f>
        <v xml:space="preserve"> </v>
      </c>
    </row>
    <row r="444" spans="1:39" x14ac:dyDescent="0.25">
      <c r="A444" t="str">
        <f>"03-01738"</f>
        <v>03-01738</v>
      </c>
      <c r="B444" t="str">
        <f>"CABLES BUJIAS FERRAZZI 7MM VW GOLF PASSAT VR6 2.8 V6 1994 A 1997"</f>
        <v>CABLES BUJIAS FERRAZZI 7MM VW GOLF PASSAT VR6 2.8 V6 1994 A 1997</v>
      </c>
      <c r="C444" t="str">
        <f>"$ 65887,30"</f>
        <v>$ 65887,30</v>
      </c>
      <c r="D444" t="str">
        <f>"$ 65887,30"</f>
        <v>$ 65887,30</v>
      </c>
      <c r="E444" t="str">
        <f>"$ 65887,30"</f>
        <v>$ 65887,30</v>
      </c>
      <c r="F444" t="str">
        <f>"$ 65887,30"</f>
        <v>$ 65887,30</v>
      </c>
      <c r="G444" t="str">
        <f>"$ 65887,30"</f>
        <v>$ 65887,30</v>
      </c>
      <c r="H444" t="str">
        <f t="shared" si="271"/>
        <v>$ 0,00</v>
      </c>
      <c r="I444" t="str">
        <f>"CABLES BUJÍAS SILICONA ANTIPARASITARIOS"</f>
        <v>CABLES BUJÍAS SILICONA ANTIPARASITARIOS</v>
      </c>
      <c r="J444" t="str">
        <f t="shared" si="272"/>
        <v>1</v>
      </c>
      <c r="K444" t="str">
        <f t="shared" si="295"/>
        <v>0</v>
      </c>
      <c r="L444" t="str">
        <f>"0,000"</f>
        <v>0,000</v>
      </c>
      <c r="M444" t="str">
        <f t="shared" si="273"/>
        <v xml:space="preserve"> </v>
      </c>
      <c r="N444" t="str">
        <f t="shared" si="306"/>
        <v>FERRAZZI</v>
      </c>
      <c r="O444" t="str">
        <f t="shared" si="307"/>
        <v>CABLES</v>
      </c>
      <c r="P444" t="str">
        <f t="shared" si="309"/>
        <v>0</v>
      </c>
      <c r="Q444" t="str">
        <f t="shared" si="309"/>
        <v>0</v>
      </c>
      <c r="R444" t="str">
        <f t="shared" si="310"/>
        <v>0,00</v>
      </c>
      <c r="S444" t="str">
        <f t="shared" si="310"/>
        <v>0,00</v>
      </c>
      <c r="T444" t="str">
        <f t="shared" si="292"/>
        <v xml:space="preserve"> </v>
      </c>
      <c r="U444" t="str">
        <f t="shared" si="298"/>
        <v xml:space="preserve"> </v>
      </c>
      <c r="V444" t="str">
        <f>"0,000"</f>
        <v>0,000</v>
      </c>
      <c r="W444" t="str">
        <f t="shared" si="274"/>
        <v>Lista 4</v>
      </c>
      <c r="X444" t="str">
        <f t="shared" si="275"/>
        <v>Lista 5</v>
      </c>
      <c r="Y444" t="str">
        <f t="shared" si="276"/>
        <v>Oferta Gral.</v>
      </c>
      <c r="Z444" t="str">
        <f t="shared" si="277"/>
        <v>Rubro</v>
      </c>
      <c r="AA444" t="str">
        <f t="shared" si="278"/>
        <v>Cantidad por Bulto</v>
      </c>
      <c r="AB444" t="str">
        <f t="shared" si="279"/>
        <v>INNER</v>
      </c>
      <c r="AC444" t="str">
        <f t="shared" si="280"/>
        <v>Stock en Bultos</v>
      </c>
      <c r="AD444" t="str">
        <f t="shared" si="281"/>
        <v>SubDepósito</v>
      </c>
      <c r="AE444" t="str">
        <f t="shared" si="282"/>
        <v>Marca</v>
      </c>
      <c r="AF444" t="str">
        <f t="shared" si="283"/>
        <v>Super Rubro</v>
      </c>
      <c r="AG444" t="str">
        <f t="shared" si="284"/>
        <v>ComercioExterior</v>
      </c>
      <c r="AH444" t="str">
        <f t="shared" si="285"/>
        <v>PrecioFOB</v>
      </c>
      <c r="AI444" t="str">
        <f t="shared" si="286"/>
        <v>Monto II</v>
      </c>
      <c r="AJ444" t="str">
        <f t="shared" si="287"/>
        <v>Porcentaje II</v>
      </c>
      <c r="AK444" t="str">
        <f t="shared" si="288"/>
        <v>Foto</v>
      </c>
      <c r="AL44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44" t="str">
        <f>" "</f>
        <v xml:space="preserve"> </v>
      </c>
    </row>
    <row r="445" spans="1:39" x14ac:dyDescent="0.25">
      <c r="A445" t="str">
        <f>"02-00204"</f>
        <v>02-00204</v>
      </c>
      <c r="B445" t="str">
        <f>"CABLES BUJIAS FERRAZZI 9MM CHEVETTE 1.4 1.6 1988 A 1994"</f>
        <v>CABLES BUJIAS FERRAZZI 9MM CHEVETTE 1.4 1.6 1988 A 1994</v>
      </c>
      <c r="C445" t="str">
        <f>"$ 52697,53"</f>
        <v>$ 52697,53</v>
      </c>
      <c r="D445" t="str">
        <f>"$ 52697,53"</f>
        <v>$ 52697,53</v>
      </c>
      <c r="E445" t="str">
        <f>"$ 52697,53"</f>
        <v>$ 52697,53</v>
      </c>
      <c r="F445" t="str">
        <f>"$ 52697,53"</f>
        <v>$ 52697,53</v>
      </c>
      <c r="G445" t="str">
        <f>"$ 52697,53"</f>
        <v>$ 52697,53</v>
      </c>
      <c r="H445" t="str">
        <f t="shared" si="271"/>
        <v>$ 0,00</v>
      </c>
      <c r="I445" t="str">
        <f>"CABLES BUJÍAS COMPETICION 9MM"</f>
        <v>CABLES BUJÍAS COMPETICION 9MM</v>
      </c>
      <c r="J445" t="str">
        <f t="shared" si="272"/>
        <v>1</v>
      </c>
      <c r="K445" t="str">
        <f t="shared" si="295"/>
        <v>0</v>
      </c>
      <c r="L445" t="str">
        <f>"0,000"</f>
        <v>0,000</v>
      </c>
      <c r="M445" t="str">
        <f t="shared" si="273"/>
        <v xml:space="preserve"> </v>
      </c>
      <c r="N445" t="str">
        <f t="shared" si="306"/>
        <v>FERRAZZI</v>
      </c>
      <c r="O445" t="str">
        <f t="shared" si="307"/>
        <v>CABLES</v>
      </c>
      <c r="P445" t="str">
        <f t="shared" si="309"/>
        <v>0</v>
      </c>
      <c r="Q445" t="str">
        <f t="shared" si="309"/>
        <v>0</v>
      </c>
      <c r="R445" t="str">
        <f t="shared" si="310"/>
        <v>0,00</v>
      </c>
      <c r="S445" t="str">
        <f t="shared" si="310"/>
        <v>0,00</v>
      </c>
      <c r="T445" t="str">
        <f t="shared" si="292"/>
        <v xml:space="preserve"> </v>
      </c>
      <c r="U445" t="str">
        <f t="shared" si="298"/>
        <v xml:space="preserve"> </v>
      </c>
      <c r="V445" t="str">
        <f>"0,000"</f>
        <v>0,000</v>
      </c>
      <c r="W445" t="str">
        <f t="shared" si="274"/>
        <v>Lista 4</v>
      </c>
      <c r="X445" t="str">
        <f t="shared" si="275"/>
        <v>Lista 5</v>
      </c>
      <c r="Y445" t="str">
        <f t="shared" si="276"/>
        <v>Oferta Gral.</v>
      </c>
      <c r="Z445" t="str">
        <f t="shared" si="277"/>
        <v>Rubro</v>
      </c>
      <c r="AA445" t="str">
        <f t="shared" si="278"/>
        <v>Cantidad por Bulto</v>
      </c>
      <c r="AB445" t="str">
        <f t="shared" si="279"/>
        <v>INNER</v>
      </c>
      <c r="AC445" t="str">
        <f t="shared" si="280"/>
        <v>Stock en Bultos</v>
      </c>
      <c r="AD445" t="str">
        <f t="shared" si="281"/>
        <v>SubDepósito</v>
      </c>
      <c r="AE445" t="str">
        <f t="shared" si="282"/>
        <v>Marca</v>
      </c>
      <c r="AF445" t="str">
        <f t="shared" si="283"/>
        <v>Super Rubro</v>
      </c>
      <c r="AG445" t="str">
        <f t="shared" si="284"/>
        <v>ComercioExterior</v>
      </c>
      <c r="AH445" t="str">
        <f t="shared" si="285"/>
        <v>PrecioFOB</v>
      </c>
      <c r="AI445" t="str">
        <f t="shared" si="286"/>
        <v>Monto II</v>
      </c>
      <c r="AJ445" t="str">
        <f t="shared" si="287"/>
        <v>Porcentaje II</v>
      </c>
      <c r="AK445" t="str">
        <f t="shared" si="288"/>
        <v>Foto</v>
      </c>
      <c r="AL445" t="str">
        <f>"{\rtf1\ansi\ansicpg1252\deff0\deflang11274{\fonttbl{\f0\fnil\fcharset0 MS Sans Serif}} \viewkind4\uc1\pard\f0\fs16 JGO. CABLES BUJ\'cdAS IES AMERICA - GRINGA COBRE\par } "</f>
        <v xml:space="preserve">{\rtf1\ansi\ansicpg1252\deff0\deflang11274{\fonttbl{\f0\fnil\fcharset0 MS Sans Serif}} \viewkind4\uc1\pard\f0\fs16 JGO. CABLES BUJ\'cdAS IES AMERICA - GRINGA COBRE\par } </v>
      </c>
      <c r="AM445" t="str">
        <f>"-"</f>
        <v>-</v>
      </c>
    </row>
    <row r="446" spans="1:39" x14ac:dyDescent="0.25">
      <c r="A446" t="str">
        <f>"02-00214"</f>
        <v>02-00214</v>
      </c>
      <c r="B446" t="str">
        <f>"CABLES BUJIAS FERRAZZI 9MM CHEVROLET C20 VERANEIO 4.1 92 AL 97 DISTRIB BOSCH"</f>
        <v>CABLES BUJIAS FERRAZZI 9MM CHEVROLET C20 VERANEIO 4.1 92 AL 97 DISTRIB BOSCH</v>
      </c>
      <c r="C446" t="str">
        <f>"$ 48039,28"</f>
        <v>$ 48039,28</v>
      </c>
      <c r="D446" t="str">
        <f>"$ 48039,28"</f>
        <v>$ 48039,28</v>
      </c>
      <c r="E446" t="str">
        <f>"$ 48039,28"</f>
        <v>$ 48039,28</v>
      </c>
      <c r="F446" t="str">
        <f>"$ 48039,28"</f>
        <v>$ 48039,28</v>
      </c>
      <c r="G446" t="str">
        <f>"$ 48039,28"</f>
        <v>$ 48039,28</v>
      </c>
      <c r="H446" t="str">
        <f t="shared" si="271"/>
        <v>$ 0,00</v>
      </c>
      <c r="I446" t="str">
        <f>"CABLES BUJÍAS COMPETICION 9MM"</f>
        <v>CABLES BUJÍAS COMPETICION 9MM</v>
      </c>
      <c r="J446" t="str">
        <f t="shared" si="272"/>
        <v>1</v>
      </c>
      <c r="K446" t="str">
        <f t="shared" si="295"/>
        <v>0</v>
      </c>
      <c r="L446" t="str">
        <f>"0,000"</f>
        <v>0,000</v>
      </c>
      <c r="M446" t="str">
        <f t="shared" si="273"/>
        <v xml:space="preserve"> </v>
      </c>
      <c r="N446" t="str">
        <f t="shared" si="306"/>
        <v>FERRAZZI</v>
      </c>
      <c r="O446" t="str">
        <f t="shared" si="307"/>
        <v>CABLES</v>
      </c>
      <c r="P446" t="str">
        <f t="shared" si="309"/>
        <v>0</v>
      </c>
      <c r="Q446" t="str">
        <f t="shared" si="309"/>
        <v>0</v>
      </c>
      <c r="R446" t="str">
        <f t="shared" si="310"/>
        <v>0,00</v>
      </c>
      <c r="S446" t="str">
        <f t="shared" si="310"/>
        <v>0,00</v>
      </c>
      <c r="T446" t="str">
        <f t="shared" si="292"/>
        <v xml:space="preserve"> </v>
      </c>
      <c r="U446" t="str">
        <f t="shared" si="298"/>
        <v xml:space="preserve"> </v>
      </c>
      <c r="V446" t="str">
        <f>"0,000"</f>
        <v>0,000</v>
      </c>
      <c r="W446" t="str">
        <f t="shared" si="274"/>
        <v>Lista 4</v>
      </c>
      <c r="X446" t="str">
        <f t="shared" si="275"/>
        <v>Lista 5</v>
      </c>
      <c r="Y446" t="str">
        <f t="shared" si="276"/>
        <v>Oferta Gral.</v>
      </c>
      <c r="Z446" t="str">
        <f t="shared" si="277"/>
        <v>Rubro</v>
      </c>
      <c r="AA446" t="str">
        <f t="shared" si="278"/>
        <v>Cantidad por Bulto</v>
      </c>
      <c r="AB446" t="str">
        <f t="shared" si="279"/>
        <v>INNER</v>
      </c>
      <c r="AC446" t="str">
        <f t="shared" si="280"/>
        <v>Stock en Bultos</v>
      </c>
      <c r="AD446" t="str">
        <f t="shared" si="281"/>
        <v>SubDepósito</v>
      </c>
      <c r="AE446" t="str">
        <f t="shared" si="282"/>
        <v>Marca</v>
      </c>
      <c r="AF446" t="str">
        <f t="shared" si="283"/>
        <v>Super Rubro</v>
      </c>
      <c r="AG446" t="str">
        <f t="shared" si="284"/>
        <v>ComercioExterior</v>
      </c>
      <c r="AH446" t="str">
        <f t="shared" si="285"/>
        <v>PrecioFOB</v>
      </c>
      <c r="AI446" t="str">
        <f t="shared" si="286"/>
        <v>Monto II</v>
      </c>
      <c r="AJ446" t="str">
        <f t="shared" si="287"/>
        <v>Porcentaje II</v>
      </c>
      <c r="AK446" t="str">
        <f t="shared" si="288"/>
        <v>Foto</v>
      </c>
      <c r="AL446" t="str">
        <f>"{\rtf1\ansi\ansicpg1252\deff0\deflang11274{\fonttbl{\f0\fnil\fcharset0 MS Sans Serif}} \viewkind4\uc1\pard\f0\fs16 BBA. NAFTA ELECTR. CHEVROLET ASTRA 1,8/2,0 - VECTRA 1,8/2,0 - 3 BAR - 12V - 95 L/H\par } "</f>
        <v xml:space="preserve">{\rtf1\ansi\ansicpg1252\deff0\deflang11274{\fonttbl{\f0\fnil\fcharset0 MS Sans Serif}} \viewkind4\uc1\pard\f0\fs16 BBA. NAFTA ELECTR. CHEVROLET ASTRA 1,8/2,0 - VECTRA 1,8/2,0 - 3 BAR - 12V - 95 L/H\par } </v>
      </c>
      <c r="AM446" t="str">
        <f>"-"</f>
        <v>-</v>
      </c>
    </row>
    <row r="447" spans="1:39" x14ac:dyDescent="0.25">
      <c r="A447" t="str">
        <f>"04-00279"</f>
        <v>04-00279</v>
      </c>
      <c r="B447" t="str">
        <f>"CABLES BUJIAS FERRAZZI 9MM FORD FIESTA KA 1.3 8V MOTOR ENDURA"</f>
        <v>CABLES BUJIAS FERRAZZI 9MM FORD FIESTA KA 1.3 8V MOTOR ENDURA</v>
      </c>
      <c r="C447" t="str">
        <f>"$ 58676,97"</f>
        <v>$ 58676,97</v>
      </c>
      <c r="D447" t="str">
        <f>"$ 58676,97"</f>
        <v>$ 58676,97</v>
      </c>
      <c r="E447" t="str">
        <f>"$ 58676,97"</f>
        <v>$ 58676,97</v>
      </c>
      <c r="F447" t="str">
        <f>"$ 58676,97"</f>
        <v>$ 58676,97</v>
      </c>
      <c r="G447" t="str">
        <f>"$ 58676,97"</f>
        <v>$ 58676,97</v>
      </c>
      <c r="H447" t="str">
        <f t="shared" si="271"/>
        <v>$ 0,00</v>
      </c>
      <c r="I447" t="str">
        <f>"CABLES BUJÍAS COMPETICION 9MM"</f>
        <v>CABLES BUJÍAS COMPETICION 9MM</v>
      </c>
      <c r="J447" t="str">
        <f t="shared" si="272"/>
        <v>1</v>
      </c>
      <c r="K447" t="str">
        <f t="shared" si="295"/>
        <v>0</v>
      </c>
      <c r="L447" t="str">
        <f>"2,000"</f>
        <v>2,000</v>
      </c>
      <c r="M447" t="str">
        <f t="shared" si="273"/>
        <v xml:space="preserve"> </v>
      </c>
      <c r="N447" t="str">
        <f t="shared" si="306"/>
        <v>FERRAZZI</v>
      </c>
      <c r="O447" t="str">
        <f t="shared" si="307"/>
        <v>CABLES</v>
      </c>
      <c r="P447" t="str">
        <f t="shared" si="309"/>
        <v>0</v>
      </c>
      <c r="Q447" t="str">
        <f t="shared" si="309"/>
        <v>0</v>
      </c>
      <c r="R447" t="str">
        <f t="shared" si="310"/>
        <v>0,00</v>
      </c>
      <c r="S447" t="str">
        <f t="shared" si="310"/>
        <v>0,00</v>
      </c>
      <c r="T447" t="str">
        <f t="shared" si="292"/>
        <v xml:space="preserve"> </v>
      </c>
      <c r="U447" t="str">
        <f t="shared" si="298"/>
        <v xml:space="preserve"> </v>
      </c>
      <c r="V447" t="str">
        <f>"2,000"</f>
        <v>2,000</v>
      </c>
      <c r="W447" t="str">
        <f t="shared" si="274"/>
        <v>Lista 4</v>
      </c>
      <c r="X447" t="str">
        <f t="shared" si="275"/>
        <v>Lista 5</v>
      </c>
      <c r="Y447" t="str">
        <f t="shared" si="276"/>
        <v>Oferta Gral.</v>
      </c>
      <c r="Z447" t="str">
        <f t="shared" si="277"/>
        <v>Rubro</v>
      </c>
      <c r="AA447" t="str">
        <f t="shared" si="278"/>
        <v>Cantidad por Bulto</v>
      </c>
      <c r="AB447" t="str">
        <f t="shared" si="279"/>
        <v>INNER</v>
      </c>
      <c r="AC447" t="str">
        <f t="shared" si="280"/>
        <v>Stock en Bultos</v>
      </c>
      <c r="AD447" t="str">
        <f t="shared" si="281"/>
        <v>SubDepósito</v>
      </c>
      <c r="AE447" t="str">
        <f t="shared" si="282"/>
        <v>Marca</v>
      </c>
      <c r="AF447" t="str">
        <f t="shared" si="283"/>
        <v>Super Rubro</v>
      </c>
      <c r="AG447" t="str">
        <f t="shared" si="284"/>
        <v>ComercioExterior</v>
      </c>
      <c r="AH447" t="str">
        <f t="shared" si="285"/>
        <v>PrecioFOB</v>
      </c>
      <c r="AI447" t="str">
        <f t="shared" si="286"/>
        <v>Monto II</v>
      </c>
      <c r="AJ447" t="str">
        <f t="shared" si="287"/>
        <v>Porcentaje II</v>
      </c>
      <c r="AK447" t="str">
        <f t="shared" si="288"/>
        <v>Foto</v>
      </c>
      <c r="AL44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47" t="str">
        <f t="shared" ref="AM447:AM452" si="311">" "</f>
        <v xml:space="preserve"> </v>
      </c>
    </row>
    <row r="448" spans="1:39" x14ac:dyDescent="0.25">
      <c r="A448" t="str">
        <f>"12-00204"</f>
        <v>12-00204</v>
      </c>
      <c r="B448" t="str">
        <f>"CABLES BUJIAS FERRAZZI 9MM HONDA CIVIC 1.6 16V SOHC 1992 A 1999"</f>
        <v>CABLES BUJIAS FERRAZZI 9MM HONDA CIVIC 1.6 16V SOHC 1992 A 1999</v>
      </c>
      <c r="C448" t="str">
        <f>"$ 68654,47"</f>
        <v>$ 68654,47</v>
      </c>
      <c r="D448" t="str">
        <f>"$ 68654,47"</f>
        <v>$ 68654,47</v>
      </c>
      <c r="E448" t="str">
        <f>"$ 68654,47"</f>
        <v>$ 68654,47</v>
      </c>
      <c r="F448" t="str">
        <f>"$ 68654,47"</f>
        <v>$ 68654,47</v>
      </c>
      <c r="G448" t="str">
        <f>"$ 68654,47"</f>
        <v>$ 68654,47</v>
      </c>
      <c r="H448" t="str">
        <f t="shared" si="271"/>
        <v>$ 0,00</v>
      </c>
      <c r="I448" t="str">
        <f>"CABLES BUJÍAS COMPETICION 9MM"</f>
        <v>CABLES BUJÍAS COMPETICION 9MM</v>
      </c>
      <c r="J448" t="str">
        <f t="shared" si="272"/>
        <v>1</v>
      </c>
      <c r="K448" t="str">
        <f t="shared" si="295"/>
        <v>0</v>
      </c>
      <c r="L448" t="str">
        <f>"5,000"</f>
        <v>5,000</v>
      </c>
      <c r="M448" t="str">
        <f t="shared" si="273"/>
        <v xml:space="preserve"> </v>
      </c>
      <c r="N448" t="str">
        <f t="shared" si="306"/>
        <v>FERRAZZI</v>
      </c>
      <c r="O448" t="str">
        <f t="shared" si="307"/>
        <v>CABLES</v>
      </c>
      <c r="P448" t="str">
        <f t="shared" si="309"/>
        <v>0</v>
      </c>
      <c r="Q448" t="str">
        <f t="shared" si="309"/>
        <v>0</v>
      </c>
      <c r="R448" t="str">
        <f t="shared" si="310"/>
        <v>0,00</v>
      </c>
      <c r="S448" t="str">
        <f t="shared" si="310"/>
        <v>0,00</v>
      </c>
      <c r="T448" t="str">
        <f t="shared" si="292"/>
        <v xml:space="preserve"> </v>
      </c>
      <c r="U448" t="str">
        <f t="shared" si="298"/>
        <v xml:space="preserve"> </v>
      </c>
      <c r="V448" t="str">
        <f>"5,000"</f>
        <v>5,000</v>
      </c>
      <c r="W448" t="str">
        <f t="shared" si="274"/>
        <v>Lista 4</v>
      </c>
      <c r="X448" t="str">
        <f t="shared" si="275"/>
        <v>Lista 5</v>
      </c>
      <c r="Y448" t="str">
        <f t="shared" si="276"/>
        <v>Oferta Gral.</v>
      </c>
      <c r="Z448" t="str">
        <f t="shared" si="277"/>
        <v>Rubro</v>
      </c>
      <c r="AA448" t="str">
        <f t="shared" si="278"/>
        <v>Cantidad por Bulto</v>
      </c>
      <c r="AB448" t="str">
        <f t="shared" si="279"/>
        <v>INNER</v>
      </c>
      <c r="AC448" t="str">
        <f t="shared" si="280"/>
        <v>Stock en Bultos</v>
      </c>
      <c r="AD448" t="str">
        <f t="shared" si="281"/>
        <v>SubDepósito</v>
      </c>
      <c r="AE448" t="str">
        <f t="shared" si="282"/>
        <v>Marca</v>
      </c>
      <c r="AF448" t="str">
        <f t="shared" si="283"/>
        <v>Super Rubro</v>
      </c>
      <c r="AG448" t="str">
        <f t="shared" si="284"/>
        <v>ComercioExterior</v>
      </c>
      <c r="AH448" t="str">
        <f t="shared" si="285"/>
        <v>PrecioFOB</v>
      </c>
      <c r="AI448" t="str">
        <f t="shared" si="286"/>
        <v>Monto II</v>
      </c>
      <c r="AJ448" t="str">
        <f t="shared" si="287"/>
        <v>Porcentaje II</v>
      </c>
      <c r="AK448" t="str">
        <f t="shared" si="288"/>
        <v>Foto</v>
      </c>
      <c r="AL44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48" t="str">
        <f t="shared" si="311"/>
        <v xml:space="preserve"> </v>
      </c>
    </row>
    <row r="449" spans="1:39" x14ac:dyDescent="0.25">
      <c r="A449" t="str">
        <f>"06-00285"</f>
        <v>06-00285</v>
      </c>
      <c r="B449" t="str">
        <f>"CABLES BUJIAS FERRAZZI 9MM R9 11 19 BOBINA BOTELLA CABLE DISTRIBUID 70 CM"</f>
        <v>CABLES BUJIAS FERRAZZI 9MM R9 11 19 BOBINA BOTELLA CABLE DISTRIBUID 70 CM</v>
      </c>
      <c r="C449" t="str">
        <f>"$ 39969,21"</f>
        <v>$ 39969,21</v>
      </c>
      <c r="D449" t="str">
        <f>"$ 39969,21"</f>
        <v>$ 39969,21</v>
      </c>
      <c r="E449" t="str">
        <f>"$ 39969,21"</f>
        <v>$ 39969,21</v>
      </c>
      <c r="F449" t="str">
        <f>"$ 39969,21"</f>
        <v>$ 39969,21</v>
      </c>
      <c r="G449" t="str">
        <f>"$ 39969,21"</f>
        <v>$ 39969,21</v>
      </c>
      <c r="H449" t="str">
        <f t="shared" si="271"/>
        <v>$ 0,00</v>
      </c>
      <c r="I449" t="str">
        <f>"CABLES BUJÍAS COMPETICION 9MM"</f>
        <v>CABLES BUJÍAS COMPETICION 9MM</v>
      </c>
      <c r="J449" t="str">
        <f t="shared" si="272"/>
        <v>1</v>
      </c>
      <c r="K449" t="str">
        <f t="shared" si="295"/>
        <v>0</v>
      </c>
      <c r="L449" t="str">
        <f>"7,000"</f>
        <v>7,000</v>
      </c>
      <c r="M449" t="str">
        <f t="shared" si="273"/>
        <v xml:space="preserve"> </v>
      </c>
      <c r="N449" t="str">
        <f t="shared" si="306"/>
        <v>FERRAZZI</v>
      </c>
      <c r="O449" t="str">
        <f t="shared" si="307"/>
        <v>CABLES</v>
      </c>
      <c r="P449" t="str">
        <f t="shared" si="309"/>
        <v>0</v>
      </c>
      <c r="Q449" t="str">
        <f t="shared" si="309"/>
        <v>0</v>
      </c>
      <c r="R449" t="str">
        <f t="shared" si="310"/>
        <v>0,00</v>
      </c>
      <c r="S449" t="str">
        <f t="shared" si="310"/>
        <v>0,00</v>
      </c>
      <c r="T449" t="str">
        <f t="shared" si="292"/>
        <v xml:space="preserve"> </v>
      </c>
      <c r="U449" t="str">
        <f t="shared" si="298"/>
        <v xml:space="preserve"> </v>
      </c>
      <c r="V449" t="str">
        <f>"7,000"</f>
        <v>7,000</v>
      </c>
      <c r="W449" t="str">
        <f t="shared" si="274"/>
        <v>Lista 4</v>
      </c>
      <c r="X449" t="str">
        <f t="shared" si="275"/>
        <v>Lista 5</v>
      </c>
      <c r="Y449" t="str">
        <f t="shared" si="276"/>
        <v>Oferta Gral.</v>
      </c>
      <c r="Z449" t="str">
        <f t="shared" si="277"/>
        <v>Rubro</v>
      </c>
      <c r="AA449" t="str">
        <f t="shared" si="278"/>
        <v>Cantidad por Bulto</v>
      </c>
      <c r="AB449" t="str">
        <f t="shared" si="279"/>
        <v>INNER</v>
      </c>
      <c r="AC449" t="str">
        <f t="shared" si="280"/>
        <v>Stock en Bultos</v>
      </c>
      <c r="AD449" t="str">
        <f t="shared" si="281"/>
        <v>SubDepósito</v>
      </c>
      <c r="AE449" t="str">
        <f t="shared" si="282"/>
        <v>Marca</v>
      </c>
      <c r="AF449" t="str">
        <f t="shared" si="283"/>
        <v>Super Rubro</v>
      </c>
      <c r="AG449" t="str">
        <f t="shared" si="284"/>
        <v>ComercioExterior</v>
      </c>
      <c r="AH449" t="str">
        <f t="shared" si="285"/>
        <v>PrecioFOB</v>
      </c>
      <c r="AI449" t="str">
        <f t="shared" si="286"/>
        <v>Monto II</v>
      </c>
      <c r="AJ449" t="str">
        <f t="shared" si="287"/>
        <v>Porcentaje II</v>
      </c>
      <c r="AK449" t="str">
        <f t="shared" si="288"/>
        <v>Foto</v>
      </c>
      <c r="AL44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49" t="str">
        <f t="shared" si="311"/>
        <v xml:space="preserve"> </v>
      </c>
    </row>
    <row r="450" spans="1:39" x14ac:dyDescent="0.25">
      <c r="A450" t="str">
        <f>"40-01703"</f>
        <v>40-01703</v>
      </c>
      <c r="B450" t="str">
        <f>"CABLES BUJIAS FERRAZZI CHERY QQ 1.1 16V DOHC DESDE 2010"</f>
        <v>CABLES BUJIAS FERRAZZI CHERY QQ 1.1 16V DOHC DESDE 2010</v>
      </c>
      <c r="C450" t="str">
        <f>"$ 35601,44"</f>
        <v>$ 35601,44</v>
      </c>
      <c r="D450" t="str">
        <f>"$ 35601,44"</f>
        <v>$ 35601,44</v>
      </c>
      <c r="E450" t="str">
        <f>"$ 35601,44"</f>
        <v>$ 35601,44</v>
      </c>
      <c r="F450" t="str">
        <f>"$ 40288,87"</f>
        <v>$ 40288,87</v>
      </c>
      <c r="G450" t="str">
        <f>"$ 40288,87"</f>
        <v>$ 40288,87</v>
      </c>
      <c r="H450" t="str">
        <f t="shared" si="271"/>
        <v>$ 0,00</v>
      </c>
      <c r="I450" t="str">
        <f>"CABLES BUJÍAS SILICONA ANTIPARASITARIOS"</f>
        <v>CABLES BUJÍAS SILICONA ANTIPARASITARIOS</v>
      </c>
      <c r="J450" t="str">
        <f t="shared" si="272"/>
        <v>1</v>
      </c>
      <c r="K450" t="str">
        <f t="shared" si="295"/>
        <v>0</v>
      </c>
      <c r="L450" t="str">
        <f>"18,000"</f>
        <v>18,000</v>
      </c>
      <c r="M450" t="str">
        <f t="shared" si="273"/>
        <v xml:space="preserve"> </v>
      </c>
      <c r="N450" t="str">
        <f t="shared" si="306"/>
        <v>FERRAZZI</v>
      </c>
      <c r="O450" t="str">
        <f t="shared" si="307"/>
        <v>CABLES</v>
      </c>
      <c r="P450" t="str">
        <f t="shared" si="309"/>
        <v>0</v>
      </c>
      <c r="Q450" t="str">
        <f t="shared" si="309"/>
        <v>0</v>
      </c>
      <c r="R450" t="str">
        <f t="shared" si="310"/>
        <v>0,00</v>
      </c>
      <c r="S450" t="str">
        <f t="shared" si="310"/>
        <v>0,00</v>
      </c>
      <c r="T450" t="str">
        <f t="shared" si="292"/>
        <v xml:space="preserve"> </v>
      </c>
      <c r="U450" t="str">
        <f t="shared" si="298"/>
        <v xml:space="preserve"> </v>
      </c>
      <c r="V450" t="str">
        <f>"18,000"</f>
        <v>18,000</v>
      </c>
      <c r="W450" t="str">
        <f t="shared" si="274"/>
        <v>Lista 4</v>
      </c>
      <c r="X450" t="str">
        <f t="shared" si="275"/>
        <v>Lista 5</v>
      </c>
      <c r="Y450" t="str">
        <f t="shared" si="276"/>
        <v>Oferta Gral.</v>
      </c>
      <c r="Z450" t="str">
        <f t="shared" si="277"/>
        <v>Rubro</v>
      </c>
      <c r="AA450" t="str">
        <f t="shared" si="278"/>
        <v>Cantidad por Bulto</v>
      </c>
      <c r="AB450" t="str">
        <f t="shared" si="279"/>
        <v>INNER</v>
      </c>
      <c r="AC450" t="str">
        <f t="shared" si="280"/>
        <v>Stock en Bultos</v>
      </c>
      <c r="AD450" t="str">
        <f t="shared" si="281"/>
        <v>SubDepósito</v>
      </c>
      <c r="AE450" t="str">
        <f t="shared" si="282"/>
        <v>Marca</v>
      </c>
      <c r="AF450" t="str">
        <f t="shared" si="283"/>
        <v>Super Rubro</v>
      </c>
      <c r="AG450" t="str">
        <f t="shared" si="284"/>
        <v>ComercioExterior</v>
      </c>
      <c r="AH450" t="str">
        <f t="shared" si="285"/>
        <v>PrecioFOB</v>
      </c>
      <c r="AI450" t="str">
        <f t="shared" si="286"/>
        <v>Monto II</v>
      </c>
      <c r="AJ450" t="str">
        <f t="shared" si="287"/>
        <v>Porcentaje II</v>
      </c>
      <c r="AK450" t="str">
        <f t="shared" si="288"/>
        <v>Foto</v>
      </c>
      <c r="AL45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0" t="str">
        <f t="shared" si="311"/>
        <v xml:space="preserve"> </v>
      </c>
    </row>
    <row r="451" spans="1:39" x14ac:dyDescent="0.25">
      <c r="A451" t="str">
        <f>"40-01702"</f>
        <v>40-01702</v>
      </c>
      <c r="B451" t="str">
        <f>"CABLES BUJIAS FERRAZZI CHERY TIGGO2.0 16V CAPUCHÓN CORTO 125MM"</f>
        <v>CABLES BUJIAS FERRAZZI CHERY TIGGO2.0 16V CAPUCHÓN CORTO 125MM</v>
      </c>
      <c r="C451" t="str">
        <f>"$ 33633,52"</f>
        <v>$ 33633,52</v>
      </c>
      <c r="D451" t="str">
        <f>"$ 33633,52"</f>
        <v>$ 33633,52</v>
      </c>
      <c r="E451" t="str">
        <f>"$ 33633,52"</f>
        <v>$ 33633,52</v>
      </c>
      <c r="F451" t="str">
        <f>"$ 38061,85"</f>
        <v>$ 38061,85</v>
      </c>
      <c r="G451" t="str">
        <f>"$ 38061,85"</f>
        <v>$ 38061,85</v>
      </c>
      <c r="H451" t="str">
        <f t="shared" ref="H451:H514" si="312">"$ 0,00"</f>
        <v>$ 0,00</v>
      </c>
      <c r="I451" t="str">
        <f>"CABLES BUJÍAS SILICONA ANTIPARASITARIOS"</f>
        <v>CABLES BUJÍAS SILICONA ANTIPARASITARIOS</v>
      </c>
      <c r="J451" t="str">
        <f t="shared" ref="J451:J514" si="313">"1"</f>
        <v>1</v>
      </c>
      <c r="K451" t="str">
        <f t="shared" si="295"/>
        <v>0</v>
      </c>
      <c r="L451" t="str">
        <f>"9,000"</f>
        <v>9,000</v>
      </c>
      <c r="M451" t="str">
        <f t="shared" ref="M451:M514" si="314">" "</f>
        <v xml:space="preserve"> </v>
      </c>
      <c r="N451" t="str">
        <f t="shared" si="306"/>
        <v>FERRAZZI</v>
      </c>
      <c r="O451" t="str">
        <f t="shared" si="307"/>
        <v>CABLES</v>
      </c>
      <c r="P451" t="str">
        <f t="shared" si="309"/>
        <v>0</v>
      </c>
      <c r="Q451" t="str">
        <f t="shared" si="309"/>
        <v>0</v>
      </c>
      <c r="R451" t="str">
        <f t="shared" si="310"/>
        <v>0,00</v>
      </c>
      <c r="S451" t="str">
        <f t="shared" si="310"/>
        <v>0,00</v>
      </c>
      <c r="T451" t="str">
        <f t="shared" si="292"/>
        <v xml:space="preserve"> </v>
      </c>
      <c r="U451" t="str">
        <f t="shared" si="298"/>
        <v xml:space="preserve"> </v>
      </c>
      <c r="V451" t="str">
        <f>"9,000"</f>
        <v>9,000</v>
      </c>
      <c r="W451" t="str">
        <f t="shared" ref="W451:W514" si="315">"Lista 4"</f>
        <v>Lista 4</v>
      </c>
      <c r="X451" t="str">
        <f t="shared" ref="X451:X514" si="316">"Lista 5"</f>
        <v>Lista 5</v>
      </c>
      <c r="Y451" t="str">
        <f t="shared" ref="Y451:Y514" si="317">"Oferta Gral."</f>
        <v>Oferta Gral.</v>
      </c>
      <c r="Z451" t="str">
        <f t="shared" ref="Z451:Z514" si="318">"Rubro"</f>
        <v>Rubro</v>
      </c>
      <c r="AA451" t="str">
        <f t="shared" ref="AA451:AA514" si="319">"Cantidad por Bulto"</f>
        <v>Cantidad por Bulto</v>
      </c>
      <c r="AB451" t="str">
        <f t="shared" ref="AB451:AB514" si="320">"INNER"</f>
        <v>INNER</v>
      </c>
      <c r="AC451" t="str">
        <f t="shared" ref="AC451:AC514" si="321">"Stock en Bultos"</f>
        <v>Stock en Bultos</v>
      </c>
      <c r="AD451" t="str">
        <f t="shared" ref="AD451:AD514" si="322">"SubDepósito"</f>
        <v>SubDepósito</v>
      </c>
      <c r="AE451" t="str">
        <f t="shared" ref="AE451:AE514" si="323">"Marca"</f>
        <v>Marca</v>
      </c>
      <c r="AF451" t="str">
        <f t="shared" ref="AF451:AF514" si="324">"Super Rubro"</f>
        <v>Super Rubro</v>
      </c>
      <c r="AG451" t="str">
        <f t="shared" ref="AG451:AG514" si="325">"ComercioExterior"</f>
        <v>ComercioExterior</v>
      </c>
      <c r="AH451" t="str">
        <f t="shared" ref="AH451:AH514" si="326">"PrecioFOB"</f>
        <v>PrecioFOB</v>
      </c>
      <c r="AI451" t="str">
        <f t="shared" ref="AI451:AI514" si="327">"Monto II"</f>
        <v>Monto II</v>
      </c>
      <c r="AJ451" t="str">
        <f t="shared" ref="AJ451:AJ514" si="328">"Porcentaje II"</f>
        <v>Porcentaje II</v>
      </c>
      <c r="AK451" t="str">
        <f t="shared" ref="AK451:AK514" si="329">"Foto"</f>
        <v>Foto</v>
      </c>
      <c r="AL451" t="str">
        <f>"{\rtf1\ansi\ansicpg1252\deff0\deflang11274{\fonttbl{\f0\fnil\fcharset0 MS Sans Serif}} \viewkind4\uc1\pard\f0\fs16 CABLES BUJIAS FERRAZZI CHERY TIGGO2.0 16V CAPUCH\'d3N CORTO 125MM\par } "</f>
        <v xml:space="preserve">{\rtf1\ansi\ansicpg1252\deff0\deflang11274{\fonttbl{\f0\fnil\fcharset0 MS Sans Serif}} \viewkind4\uc1\pard\f0\fs16 CABLES BUJIAS FERRAZZI CHERY TIGGO2.0 16V CAPUCH\'d3N CORTO 125MM\par } </v>
      </c>
      <c r="AM451" t="str">
        <f t="shared" si="311"/>
        <v xml:space="preserve"> </v>
      </c>
    </row>
    <row r="452" spans="1:39" x14ac:dyDescent="0.25">
      <c r="A452" t="str">
        <f>"05-00241"</f>
        <v>05-00241</v>
      </c>
      <c r="B452" t="str">
        <f>"CABLES BUJIAS FERRAZZI COMPETICION 9MM FIAT 1500 1600 1.5 1.6"</f>
        <v>CABLES BUJIAS FERRAZZI COMPETICION 9MM FIAT 1500 1600 1.5 1.6</v>
      </c>
      <c r="C452" t="str">
        <f>"$ 44518,01"</f>
        <v>$ 44518,01</v>
      </c>
      <c r="D452" t="str">
        <f>"$ 44518,01"</f>
        <v>$ 44518,01</v>
      </c>
      <c r="E452" t="str">
        <f>"$ 44518,01"</f>
        <v>$ 44518,01</v>
      </c>
      <c r="F452" t="str">
        <f>"$ 44518,01"</f>
        <v>$ 44518,01</v>
      </c>
      <c r="G452" t="str">
        <f>"$ 44518,01"</f>
        <v>$ 44518,01</v>
      </c>
      <c r="H452" t="str">
        <f t="shared" si="312"/>
        <v>$ 0,00</v>
      </c>
      <c r="I452" t="str">
        <f>"CABLES BUJÍAS COMPETICION 9MM"</f>
        <v>CABLES BUJÍAS COMPETICION 9MM</v>
      </c>
      <c r="J452" t="str">
        <f t="shared" si="313"/>
        <v>1</v>
      </c>
      <c r="K452" t="str">
        <f t="shared" si="295"/>
        <v>0</v>
      </c>
      <c r="L452" t="str">
        <f>"5,000"</f>
        <v>5,000</v>
      </c>
      <c r="M452" t="str">
        <f t="shared" si="314"/>
        <v xml:space="preserve"> </v>
      </c>
      <c r="N452" t="str">
        <f t="shared" si="306"/>
        <v>FERRAZZI</v>
      </c>
      <c r="O452" t="str">
        <f t="shared" si="307"/>
        <v>CABLES</v>
      </c>
      <c r="P452" t="str">
        <f t="shared" si="309"/>
        <v>0</v>
      </c>
      <c r="Q452" t="str">
        <f t="shared" si="309"/>
        <v>0</v>
      </c>
      <c r="R452" t="str">
        <f t="shared" si="310"/>
        <v>0,00</v>
      </c>
      <c r="S452" t="str">
        <f t="shared" si="310"/>
        <v>0,00</v>
      </c>
      <c r="T452" t="str">
        <f t="shared" si="292"/>
        <v xml:space="preserve"> </v>
      </c>
      <c r="U452" t="str">
        <f t="shared" si="298"/>
        <v xml:space="preserve"> </v>
      </c>
      <c r="V452" t="str">
        <f>"5,000"</f>
        <v>5,000</v>
      </c>
      <c r="W452" t="str">
        <f t="shared" si="315"/>
        <v>Lista 4</v>
      </c>
      <c r="X452" t="str">
        <f t="shared" si="316"/>
        <v>Lista 5</v>
      </c>
      <c r="Y452" t="str">
        <f t="shared" si="317"/>
        <v>Oferta Gral.</v>
      </c>
      <c r="Z452" t="str">
        <f t="shared" si="318"/>
        <v>Rubro</v>
      </c>
      <c r="AA452" t="str">
        <f t="shared" si="319"/>
        <v>Cantidad por Bulto</v>
      </c>
      <c r="AB452" t="str">
        <f t="shared" si="320"/>
        <v>INNER</v>
      </c>
      <c r="AC452" t="str">
        <f t="shared" si="321"/>
        <v>Stock en Bultos</v>
      </c>
      <c r="AD452" t="str">
        <f t="shared" si="322"/>
        <v>SubDepósito</v>
      </c>
      <c r="AE452" t="str">
        <f t="shared" si="323"/>
        <v>Marca</v>
      </c>
      <c r="AF452" t="str">
        <f t="shared" si="324"/>
        <v>Super Rubro</v>
      </c>
      <c r="AG452" t="str">
        <f t="shared" si="325"/>
        <v>ComercioExterior</v>
      </c>
      <c r="AH452" t="str">
        <f t="shared" si="326"/>
        <v>PrecioFOB</v>
      </c>
      <c r="AI452" t="str">
        <f t="shared" si="327"/>
        <v>Monto II</v>
      </c>
      <c r="AJ452" t="str">
        <f t="shared" si="328"/>
        <v>Porcentaje II</v>
      </c>
      <c r="AK452" t="str">
        <f t="shared" si="329"/>
        <v>Foto</v>
      </c>
      <c r="AL45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2" t="str">
        <f t="shared" si="311"/>
        <v xml:space="preserve"> </v>
      </c>
    </row>
    <row r="453" spans="1:39" x14ac:dyDescent="0.25">
      <c r="A453" t="str">
        <f>"03-00207"</f>
        <v>03-00207</v>
      </c>
      <c r="B453" t="str">
        <f>"CABLES BUJIAS FERRAZZI COMPETICION VW POLO GOLF HASTA 98"</f>
        <v>CABLES BUJIAS FERRAZZI COMPETICION VW POLO GOLF HASTA 98</v>
      </c>
      <c r="C453" t="str">
        <f>"$ 51798,01"</f>
        <v>$ 51798,01</v>
      </c>
      <c r="D453" t="str">
        <f>"$ 51798,01"</f>
        <v>$ 51798,01</v>
      </c>
      <c r="E453" t="str">
        <f>"$ 51798,01"</f>
        <v>$ 51798,01</v>
      </c>
      <c r="F453" t="str">
        <f>"$ 51798,01"</f>
        <v>$ 51798,01</v>
      </c>
      <c r="G453" t="str">
        <f>"$ 51798,01"</f>
        <v>$ 51798,01</v>
      </c>
      <c r="H453" t="str">
        <f t="shared" si="312"/>
        <v>$ 0,00</v>
      </c>
      <c r="I453" t="str">
        <f>"CABLES BUJÍAS COMPETICION 9MM"</f>
        <v>CABLES BUJÍAS COMPETICION 9MM</v>
      </c>
      <c r="J453" t="str">
        <f t="shared" si="313"/>
        <v>1</v>
      </c>
      <c r="K453" t="str">
        <f t="shared" si="295"/>
        <v>0</v>
      </c>
      <c r="L453" t="str">
        <f>"3,000"</f>
        <v>3,000</v>
      </c>
      <c r="M453" t="str">
        <f t="shared" si="314"/>
        <v xml:space="preserve"> </v>
      </c>
      <c r="N453" t="str">
        <f t="shared" si="306"/>
        <v>FERRAZZI</v>
      </c>
      <c r="O453" t="str">
        <f t="shared" si="307"/>
        <v>CABLES</v>
      </c>
      <c r="P453" t="str">
        <f t="shared" si="309"/>
        <v>0</v>
      </c>
      <c r="Q453" t="str">
        <f t="shared" si="309"/>
        <v>0</v>
      </c>
      <c r="R453" t="str">
        <f t="shared" si="310"/>
        <v>0,00</v>
      </c>
      <c r="S453" t="str">
        <f t="shared" si="310"/>
        <v>0,00</v>
      </c>
      <c r="T453" t="str">
        <f t="shared" si="292"/>
        <v xml:space="preserve"> </v>
      </c>
      <c r="U453" t="str">
        <f t="shared" si="298"/>
        <v xml:space="preserve"> </v>
      </c>
      <c r="V453" t="str">
        <f>"3,000"</f>
        <v>3,000</v>
      </c>
      <c r="W453" t="str">
        <f t="shared" si="315"/>
        <v>Lista 4</v>
      </c>
      <c r="X453" t="str">
        <f t="shared" si="316"/>
        <v>Lista 5</v>
      </c>
      <c r="Y453" t="str">
        <f t="shared" si="317"/>
        <v>Oferta Gral.</v>
      </c>
      <c r="Z453" t="str">
        <f t="shared" si="318"/>
        <v>Rubro</v>
      </c>
      <c r="AA453" t="str">
        <f t="shared" si="319"/>
        <v>Cantidad por Bulto</v>
      </c>
      <c r="AB453" t="str">
        <f t="shared" si="320"/>
        <v>INNER</v>
      </c>
      <c r="AC453" t="str">
        <f t="shared" si="321"/>
        <v>Stock en Bultos</v>
      </c>
      <c r="AD453" t="str">
        <f t="shared" si="322"/>
        <v>SubDepósito</v>
      </c>
      <c r="AE453" t="str">
        <f t="shared" si="323"/>
        <v>Marca</v>
      </c>
      <c r="AF453" t="str">
        <f t="shared" si="324"/>
        <v>Super Rubro</v>
      </c>
      <c r="AG453" t="str">
        <f t="shared" si="325"/>
        <v>ComercioExterior</v>
      </c>
      <c r="AH453" t="str">
        <f t="shared" si="326"/>
        <v>PrecioFOB</v>
      </c>
      <c r="AI453" t="str">
        <f t="shared" si="327"/>
        <v>Monto II</v>
      </c>
      <c r="AJ453" t="str">
        <f t="shared" si="328"/>
        <v>Porcentaje II</v>
      </c>
      <c r="AK453" t="str">
        <f t="shared" si="329"/>
        <v>Foto</v>
      </c>
      <c r="AL45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3" t="str">
        <f>"-"</f>
        <v>-</v>
      </c>
    </row>
    <row r="454" spans="1:39" x14ac:dyDescent="0.25">
      <c r="A454" t="str">
        <f>"04-00261"</f>
        <v>04-00261</v>
      </c>
      <c r="B454" t="str">
        <f>"CABLES BUJIAS FERRAZZI COMPETICIÓN 9MM FORD SIERRA 2.3 CC"</f>
        <v>CABLES BUJIAS FERRAZZI COMPETICIÓN 9MM FORD SIERRA 2.3 CC</v>
      </c>
      <c r="C454" t="str">
        <f>"$ 57001,22"</f>
        <v>$ 57001,22</v>
      </c>
      <c r="D454" t="str">
        <f>"$ 57001,22"</f>
        <v>$ 57001,22</v>
      </c>
      <c r="E454" t="str">
        <f>"$ 57001,22"</f>
        <v>$ 57001,22</v>
      </c>
      <c r="F454" t="str">
        <f>"$ 57001,22"</f>
        <v>$ 57001,22</v>
      </c>
      <c r="G454" t="str">
        <f>"$ 57001,22"</f>
        <v>$ 57001,22</v>
      </c>
      <c r="H454" t="str">
        <f t="shared" si="312"/>
        <v>$ 0,00</v>
      </c>
      <c r="I454" t="str">
        <f>"CABLES BUJÍAS COMPETICION 9MM"</f>
        <v>CABLES BUJÍAS COMPETICION 9MM</v>
      </c>
      <c r="J454" t="str">
        <f t="shared" si="313"/>
        <v>1</v>
      </c>
      <c r="K454" t="str">
        <f t="shared" si="295"/>
        <v>0</v>
      </c>
      <c r="L454" t="str">
        <f>"6,000"</f>
        <v>6,000</v>
      </c>
      <c r="M454" t="str">
        <f t="shared" si="314"/>
        <v xml:space="preserve"> </v>
      </c>
      <c r="N454" t="str">
        <f t="shared" si="306"/>
        <v>FERRAZZI</v>
      </c>
      <c r="O454" t="str">
        <f t="shared" si="307"/>
        <v>CABLES</v>
      </c>
      <c r="P454" t="str">
        <f t="shared" si="309"/>
        <v>0</v>
      </c>
      <c r="Q454" t="str">
        <f t="shared" si="309"/>
        <v>0</v>
      </c>
      <c r="R454" t="str">
        <f t="shared" si="310"/>
        <v>0,00</v>
      </c>
      <c r="S454" t="str">
        <f t="shared" si="310"/>
        <v>0,00</v>
      </c>
      <c r="T454" t="str">
        <f t="shared" si="292"/>
        <v xml:space="preserve"> </v>
      </c>
      <c r="U454" t="str">
        <f t="shared" si="298"/>
        <v xml:space="preserve"> </v>
      </c>
      <c r="V454" t="str">
        <f>"6,000"</f>
        <v>6,000</v>
      </c>
      <c r="W454" t="str">
        <f t="shared" si="315"/>
        <v>Lista 4</v>
      </c>
      <c r="X454" t="str">
        <f t="shared" si="316"/>
        <v>Lista 5</v>
      </c>
      <c r="Y454" t="str">
        <f t="shared" si="317"/>
        <v>Oferta Gral.</v>
      </c>
      <c r="Z454" t="str">
        <f t="shared" si="318"/>
        <v>Rubro</v>
      </c>
      <c r="AA454" t="str">
        <f t="shared" si="319"/>
        <v>Cantidad por Bulto</v>
      </c>
      <c r="AB454" t="str">
        <f t="shared" si="320"/>
        <v>INNER</v>
      </c>
      <c r="AC454" t="str">
        <f t="shared" si="321"/>
        <v>Stock en Bultos</v>
      </c>
      <c r="AD454" t="str">
        <f t="shared" si="322"/>
        <v>SubDepósito</v>
      </c>
      <c r="AE454" t="str">
        <f t="shared" si="323"/>
        <v>Marca</v>
      </c>
      <c r="AF454" t="str">
        <f t="shared" si="324"/>
        <v>Super Rubro</v>
      </c>
      <c r="AG454" t="str">
        <f t="shared" si="325"/>
        <v>ComercioExterior</v>
      </c>
      <c r="AH454" t="str">
        <f t="shared" si="326"/>
        <v>PrecioFOB</v>
      </c>
      <c r="AI454" t="str">
        <f t="shared" si="327"/>
        <v>Monto II</v>
      </c>
      <c r="AJ454" t="str">
        <f t="shared" si="328"/>
        <v>Porcentaje II</v>
      </c>
      <c r="AK454" t="str">
        <f t="shared" si="329"/>
        <v>Foto</v>
      </c>
      <c r="AL45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4" t="str">
        <f>"-"</f>
        <v>-</v>
      </c>
    </row>
    <row r="455" spans="1:39" x14ac:dyDescent="0.25">
      <c r="A455" t="str">
        <f>"04-01738"</f>
        <v>04-01738</v>
      </c>
      <c r="B455" t="str">
        <f>"CABLES BUJIAS FERRAZZI SILICONADO FORD F100 FAIRLANE V8 FASE DOS"</f>
        <v>CABLES BUJIAS FERRAZZI SILICONADO FORD F100 FAIRLANE V8 FASE DOS</v>
      </c>
      <c r="C455" t="str">
        <f>"$ 33112,80"</f>
        <v>$ 33112,80</v>
      </c>
      <c r="D455" t="str">
        <f>"$ 33112,80"</f>
        <v>$ 33112,80</v>
      </c>
      <c r="E455" t="str">
        <f>"$ 33112,80"</f>
        <v>$ 33112,80</v>
      </c>
      <c r="F455" t="str">
        <f>"$ 33112,80"</f>
        <v>$ 33112,80</v>
      </c>
      <c r="G455" t="str">
        <f>"$ 33112,80"</f>
        <v>$ 33112,80</v>
      </c>
      <c r="H455" t="str">
        <f t="shared" si="312"/>
        <v>$ 0,00</v>
      </c>
      <c r="I455" t="str">
        <f t="shared" ref="I455:I477" si="330">"CABLES BUJÍAS SILICONA ANTIPARASITARIOS"</f>
        <v>CABLES BUJÍAS SILICONA ANTIPARASITARIOS</v>
      </c>
      <c r="J455" t="str">
        <f t="shared" si="313"/>
        <v>1</v>
      </c>
      <c r="K455" t="str">
        <f t="shared" si="295"/>
        <v>0</v>
      </c>
      <c r="L455" t="str">
        <f>"14,000"</f>
        <v>14,000</v>
      </c>
      <c r="M455" t="str">
        <f t="shared" si="314"/>
        <v xml:space="preserve"> </v>
      </c>
      <c r="N455" t="str">
        <f t="shared" si="306"/>
        <v>FERRAZZI</v>
      </c>
      <c r="O455" t="str">
        <f t="shared" si="307"/>
        <v>CABLES</v>
      </c>
      <c r="P455" t="str">
        <f t="shared" si="309"/>
        <v>0</v>
      </c>
      <c r="Q455" t="str">
        <f t="shared" si="309"/>
        <v>0</v>
      </c>
      <c r="R455" t="str">
        <f t="shared" si="310"/>
        <v>0,00</v>
      </c>
      <c r="S455" t="str">
        <f t="shared" si="310"/>
        <v>0,00</v>
      </c>
      <c r="T455" t="str">
        <f t="shared" si="292"/>
        <v xml:space="preserve"> </v>
      </c>
      <c r="U455" t="str">
        <f t="shared" si="298"/>
        <v xml:space="preserve"> </v>
      </c>
      <c r="V455" t="str">
        <f>"14,000"</f>
        <v>14,000</v>
      </c>
      <c r="W455" t="str">
        <f t="shared" si="315"/>
        <v>Lista 4</v>
      </c>
      <c r="X455" t="str">
        <f t="shared" si="316"/>
        <v>Lista 5</v>
      </c>
      <c r="Y455" t="str">
        <f t="shared" si="317"/>
        <v>Oferta Gral.</v>
      </c>
      <c r="Z455" t="str">
        <f t="shared" si="318"/>
        <v>Rubro</v>
      </c>
      <c r="AA455" t="str">
        <f t="shared" si="319"/>
        <v>Cantidad por Bulto</v>
      </c>
      <c r="AB455" t="str">
        <f t="shared" si="320"/>
        <v>INNER</v>
      </c>
      <c r="AC455" t="str">
        <f t="shared" si="321"/>
        <v>Stock en Bultos</v>
      </c>
      <c r="AD455" t="str">
        <f t="shared" si="322"/>
        <v>SubDepósito</v>
      </c>
      <c r="AE455" t="str">
        <f t="shared" si="323"/>
        <v>Marca</v>
      </c>
      <c r="AF455" t="str">
        <f t="shared" si="324"/>
        <v>Super Rubro</v>
      </c>
      <c r="AG455" t="str">
        <f t="shared" si="325"/>
        <v>ComercioExterior</v>
      </c>
      <c r="AH455" t="str">
        <f t="shared" si="326"/>
        <v>PrecioFOB</v>
      </c>
      <c r="AI455" t="str">
        <f t="shared" si="327"/>
        <v>Monto II</v>
      </c>
      <c r="AJ455" t="str">
        <f t="shared" si="328"/>
        <v>Porcentaje II</v>
      </c>
      <c r="AK455" t="str">
        <f t="shared" si="329"/>
        <v>Foto</v>
      </c>
      <c r="AL455" t="str">
        <f>"{\rtf1\ansi\ansicpg1252\deff0\deflang2058{\fonttbl{\f0\fnil\fcharset0 MS Sans Serif}} \viewkind4\uc1\pard\f0\fs16 CABLES BUJIAS FERRAZZI SILICONADO FORD F100 FAIRLANE V8 FASE DOS\par } "</f>
        <v xml:space="preserve">{\rtf1\ansi\ansicpg1252\deff0\deflang2058{\fonttbl{\f0\fnil\fcharset0 MS Sans Serif}} \viewkind4\uc1\pard\f0\fs16 CABLES BUJIAS FERRAZZI SILICONADO FORD F100 FAIRLANE V8 FASE DOS\par } </v>
      </c>
      <c r="AM455" t="str">
        <f t="shared" ref="AM455:AM477" si="331">" "</f>
        <v xml:space="preserve"> </v>
      </c>
    </row>
    <row r="456" spans="1:39" x14ac:dyDescent="0.25">
      <c r="A456" t="str">
        <f>"04-01762"</f>
        <v>04-01762</v>
      </c>
      <c r="B456" t="str">
        <f>"CABLES BUJIAS FERRAZZI SILICONADO FORD SIERRA MOTOR 1600"</f>
        <v>CABLES BUJIAS FERRAZZI SILICONADO FORD SIERRA MOTOR 1600</v>
      </c>
      <c r="C456" t="str">
        <f>"$ 17260,83"</f>
        <v>$ 17260,83</v>
      </c>
      <c r="D456" t="str">
        <f>"$ 17260,83"</f>
        <v>$ 17260,83</v>
      </c>
      <c r="E456" t="str">
        <f>"$ 17260,83"</f>
        <v>$ 17260,83</v>
      </c>
      <c r="F456" t="str">
        <f>"$ 17260,83"</f>
        <v>$ 17260,83</v>
      </c>
      <c r="G456" t="str">
        <f>"$ 17260,83"</f>
        <v>$ 17260,83</v>
      </c>
      <c r="H456" t="str">
        <f t="shared" si="312"/>
        <v>$ 0,00</v>
      </c>
      <c r="I456" t="str">
        <f t="shared" si="330"/>
        <v>CABLES BUJÍAS SILICONA ANTIPARASITARIOS</v>
      </c>
      <c r="J456" t="str">
        <f t="shared" si="313"/>
        <v>1</v>
      </c>
      <c r="K456" t="str">
        <f t="shared" si="295"/>
        <v>0</v>
      </c>
      <c r="L456" t="str">
        <f>"10,000"</f>
        <v>10,000</v>
      </c>
      <c r="M456" t="str">
        <f t="shared" si="314"/>
        <v xml:space="preserve"> </v>
      </c>
      <c r="N456" t="str">
        <f t="shared" si="306"/>
        <v>FERRAZZI</v>
      </c>
      <c r="O456" t="str">
        <f t="shared" si="307"/>
        <v>CABLES</v>
      </c>
      <c r="P456" t="str">
        <f t="shared" si="309"/>
        <v>0</v>
      </c>
      <c r="Q456" t="str">
        <f t="shared" si="309"/>
        <v>0</v>
      </c>
      <c r="R456" t="str">
        <f t="shared" si="310"/>
        <v>0,00</v>
      </c>
      <c r="S456" t="str">
        <f t="shared" si="310"/>
        <v>0,00</v>
      </c>
      <c r="T456" t="str">
        <f t="shared" si="292"/>
        <v xml:space="preserve"> </v>
      </c>
      <c r="U456" t="str">
        <f t="shared" si="298"/>
        <v xml:space="preserve"> </v>
      </c>
      <c r="V456" t="str">
        <f>"10,000"</f>
        <v>10,000</v>
      </c>
      <c r="W456" t="str">
        <f t="shared" si="315"/>
        <v>Lista 4</v>
      </c>
      <c r="X456" t="str">
        <f t="shared" si="316"/>
        <v>Lista 5</v>
      </c>
      <c r="Y456" t="str">
        <f t="shared" si="317"/>
        <v>Oferta Gral.</v>
      </c>
      <c r="Z456" t="str">
        <f t="shared" si="318"/>
        <v>Rubro</v>
      </c>
      <c r="AA456" t="str">
        <f t="shared" si="319"/>
        <v>Cantidad por Bulto</v>
      </c>
      <c r="AB456" t="str">
        <f t="shared" si="320"/>
        <v>INNER</v>
      </c>
      <c r="AC456" t="str">
        <f t="shared" si="321"/>
        <v>Stock en Bultos</v>
      </c>
      <c r="AD456" t="str">
        <f t="shared" si="322"/>
        <v>SubDepósito</v>
      </c>
      <c r="AE456" t="str">
        <f t="shared" si="323"/>
        <v>Marca</v>
      </c>
      <c r="AF456" t="str">
        <f t="shared" si="324"/>
        <v>Super Rubro</v>
      </c>
      <c r="AG456" t="str">
        <f t="shared" si="325"/>
        <v>ComercioExterior</v>
      </c>
      <c r="AH456" t="str">
        <f t="shared" si="326"/>
        <v>PrecioFOB</v>
      </c>
      <c r="AI456" t="str">
        <f t="shared" si="327"/>
        <v>Monto II</v>
      </c>
      <c r="AJ456" t="str">
        <f t="shared" si="328"/>
        <v>Porcentaje II</v>
      </c>
      <c r="AK456" t="str">
        <f t="shared" si="329"/>
        <v>Foto</v>
      </c>
      <c r="AL456" t="str">
        <f>"{\rtf1\ansi\ansicpg1252\deff0\deflang2058{\fonttbl{\f0\fnil\fcharset0 MS Sans Serif}} \viewkind4\uc1\pard\f0\fs16 CABLES BUJIAS FERRAZZI SILICONADO FORD SIERRA MOTOR 1600\par } "</f>
        <v xml:space="preserve">{\rtf1\ansi\ansicpg1252\deff0\deflang2058{\fonttbl{\f0\fnil\fcharset0 MS Sans Serif}} \viewkind4\uc1\pard\f0\fs16 CABLES BUJIAS FERRAZZI SILICONADO FORD SIERRA MOTOR 1600\par } </v>
      </c>
      <c r="AM456" t="str">
        <f t="shared" si="331"/>
        <v xml:space="preserve"> </v>
      </c>
    </row>
    <row r="457" spans="1:39" x14ac:dyDescent="0.25">
      <c r="A457" t="str">
        <f>"04-01733"</f>
        <v>04-01733</v>
      </c>
      <c r="B457" t="str">
        <f>"CABLES BUJIAS FERRAZZI SILICONADO FORD TAUNUS 2.0 2.3 1974 A 1980"</f>
        <v>CABLES BUJIAS FERRAZZI SILICONADO FORD TAUNUS 2.0 2.3 1974 A 1980</v>
      </c>
      <c r="C457" t="str">
        <f>"$ 16931,71"</f>
        <v>$ 16931,71</v>
      </c>
      <c r="D457" t="str">
        <f>"$ 16931,71"</f>
        <v>$ 16931,71</v>
      </c>
      <c r="E457" t="str">
        <f>"$ 16931,71"</f>
        <v>$ 16931,71</v>
      </c>
      <c r="F457" t="str">
        <f>"$ 16931,71"</f>
        <v>$ 16931,71</v>
      </c>
      <c r="G457" t="str">
        <f>"$ 16931,71"</f>
        <v>$ 16931,71</v>
      </c>
      <c r="H457" t="str">
        <f t="shared" si="312"/>
        <v>$ 0,00</v>
      </c>
      <c r="I457" t="str">
        <f t="shared" si="330"/>
        <v>CABLES BUJÍAS SILICONA ANTIPARASITARIOS</v>
      </c>
      <c r="J457" t="str">
        <f t="shared" si="313"/>
        <v>1</v>
      </c>
      <c r="K457" t="str">
        <f t="shared" si="295"/>
        <v>0</v>
      </c>
      <c r="L457" t="str">
        <f>"14,000"</f>
        <v>14,000</v>
      </c>
      <c r="M457" t="str">
        <f t="shared" si="314"/>
        <v xml:space="preserve"> </v>
      </c>
      <c r="N457" t="str">
        <f t="shared" si="306"/>
        <v>FERRAZZI</v>
      </c>
      <c r="O457" t="str">
        <f t="shared" si="307"/>
        <v>CABLES</v>
      </c>
      <c r="P457" t="str">
        <f t="shared" si="309"/>
        <v>0</v>
      </c>
      <c r="Q457" t="str">
        <f t="shared" si="309"/>
        <v>0</v>
      </c>
      <c r="R457" t="str">
        <f t="shared" si="310"/>
        <v>0,00</v>
      </c>
      <c r="S457" t="str">
        <f t="shared" si="310"/>
        <v>0,00</v>
      </c>
      <c r="T457" t="str">
        <f t="shared" si="292"/>
        <v xml:space="preserve"> </v>
      </c>
      <c r="U457" t="str">
        <f t="shared" si="298"/>
        <v xml:space="preserve"> </v>
      </c>
      <c r="V457" t="str">
        <f>"14,000"</f>
        <v>14,000</v>
      </c>
      <c r="W457" t="str">
        <f t="shared" si="315"/>
        <v>Lista 4</v>
      </c>
      <c r="X457" t="str">
        <f t="shared" si="316"/>
        <v>Lista 5</v>
      </c>
      <c r="Y457" t="str">
        <f t="shared" si="317"/>
        <v>Oferta Gral.</v>
      </c>
      <c r="Z457" t="str">
        <f t="shared" si="318"/>
        <v>Rubro</v>
      </c>
      <c r="AA457" t="str">
        <f t="shared" si="319"/>
        <v>Cantidad por Bulto</v>
      </c>
      <c r="AB457" t="str">
        <f t="shared" si="320"/>
        <v>INNER</v>
      </c>
      <c r="AC457" t="str">
        <f t="shared" si="321"/>
        <v>Stock en Bultos</v>
      </c>
      <c r="AD457" t="str">
        <f t="shared" si="322"/>
        <v>SubDepósito</v>
      </c>
      <c r="AE457" t="str">
        <f t="shared" si="323"/>
        <v>Marca</v>
      </c>
      <c r="AF457" t="str">
        <f t="shared" si="324"/>
        <v>Super Rubro</v>
      </c>
      <c r="AG457" t="str">
        <f t="shared" si="325"/>
        <v>ComercioExterior</v>
      </c>
      <c r="AH457" t="str">
        <f t="shared" si="326"/>
        <v>PrecioFOB</v>
      </c>
      <c r="AI457" t="str">
        <f t="shared" si="327"/>
        <v>Monto II</v>
      </c>
      <c r="AJ457" t="str">
        <f t="shared" si="328"/>
        <v>Porcentaje II</v>
      </c>
      <c r="AK457" t="str">
        <f t="shared" si="329"/>
        <v>Foto</v>
      </c>
      <c r="AL457" t="str">
        <f>"{\rtf1\ansi\ansicpg1252\deff0\deflang2058{\fonttbl{\f0\fnil\fcharset0 MS Sans Serif}} \viewkind4\uc1\pard\f0\fs16 CABLES BUJIAS FERRAZZI SILICONADO FORD TAUNUS 2.0 2.3 1974 A 1980\par } "</f>
        <v xml:space="preserve">{\rtf1\ansi\ansicpg1252\deff0\deflang2058{\fonttbl{\f0\fnil\fcharset0 MS Sans Serif}} \viewkind4\uc1\pard\f0\fs16 CABLES BUJIAS FERRAZZI SILICONADO FORD TAUNUS 2.0 2.3 1974 A 1980\par } </v>
      </c>
      <c r="AM457" t="str">
        <f t="shared" si="331"/>
        <v xml:space="preserve"> </v>
      </c>
    </row>
    <row r="458" spans="1:39" x14ac:dyDescent="0.25">
      <c r="A458" t="str">
        <f>"04-01731"</f>
        <v>04-01731</v>
      </c>
      <c r="B458" t="str">
        <f>"CABLES BUJIAS FERRAZZI SILICONADOS 7MM FORD F100 FAIRLANE V8 FASE 1"</f>
        <v>CABLES BUJIAS FERRAZZI SILICONADOS 7MM FORD F100 FAIRLANE V8 FASE 1</v>
      </c>
      <c r="C458" t="str">
        <f>"$ 37951,19"</f>
        <v>$ 37951,19</v>
      </c>
      <c r="D458" t="str">
        <f>"$ 37951,19"</f>
        <v>$ 37951,19</v>
      </c>
      <c r="E458" t="str">
        <f>"$ 37951,19"</f>
        <v>$ 37951,19</v>
      </c>
      <c r="F458" t="str">
        <f>"$ 37951,19"</f>
        <v>$ 37951,19</v>
      </c>
      <c r="G458" t="str">
        <f>"$ 37951,19"</f>
        <v>$ 37951,19</v>
      </c>
      <c r="H458" t="str">
        <f t="shared" si="312"/>
        <v>$ 0,00</v>
      </c>
      <c r="I458" t="str">
        <f t="shared" si="330"/>
        <v>CABLES BUJÍAS SILICONA ANTIPARASITARIOS</v>
      </c>
      <c r="J458" t="str">
        <f t="shared" si="313"/>
        <v>1</v>
      </c>
      <c r="K458" t="str">
        <f t="shared" si="295"/>
        <v>0</v>
      </c>
      <c r="L458" t="str">
        <f>"15,000"</f>
        <v>15,000</v>
      </c>
      <c r="M458" t="str">
        <f t="shared" si="314"/>
        <v xml:space="preserve"> </v>
      </c>
      <c r="N458" t="str">
        <f t="shared" si="306"/>
        <v>FERRAZZI</v>
      </c>
      <c r="O458" t="str">
        <f t="shared" si="307"/>
        <v>CABLES</v>
      </c>
      <c r="P458" t="str">
        <f t="shared" si="309"/>
        <v>0</v>
      </c>
      <c r="Q458" t="str">
        <f t="shared" si="309"/>
        <v>0</v>
      </c>
      <c r="R458" t="str">
        <f t="shared" si="310"/>
        <v>0,00</v>
      </c>
      <c r="S458" t="str">
        <f t="shared" si="310"/>
        <v>0,00</v>
      </c>
      <c r="T458" t="str">
        <f t="shared" si="292"/>
        <v xml:space="preserve"> </v>
      </c>
      <c r="U458" t="str">
        <f t="shared" si="298"/>
        <v xml:space="preserve"> </v>
      </c>
      <c r="V458" t="str">
        <f>"15,000"</f>
        <v>15,000</v>
      </c>
      <c r="W458" t="str">
        <f t="shared" si="315"/>
        <v>Lista 4</v>
      </c>
      <c r="X458" t="str">
        <f t="shared" si="316"/>
        <v>Lista 5</v>
      </c>
      <c r="Y458" t="str">
        <f t="shared" si="317"/>
        <v>Oferta Gral.</v>
      </c>
      <c r="Z458" t="str">
        <f t="shared" si="318"/>
        <v>Rubro</v>
      </c>
      <c r="AA458" t="str">
        <f t="shared" si="319"/>
        <v>Cantidad por Bulto</v>
      </c>
      <c r="AB458" t="str">
        <f t="shared" si="320"/>
        <v>INNER</v>
      </c>
      <c r="AC458" t="str">
        <f t="shared" si="321"/>
        <v>Stock en Bultos</v>
      </c>
      <c r="AD458" t="str">
        <f t="shared" si="322"/>
        <v>SubDepósito</v>
      </c>
      <c r="AE458" t="str">
        <f t="shared" si="323"/>
        <v>Marca</v>
      </c>
      <c r="AF458" t="str">
        <f t="shared" si="324"/>
        <v>Super Rubro</v>
      </c>
      <c r="AG458" t="str">
        <f t="shared" si="325"/>
        <v>ComercioExterior</v>
      </c>
      <c r="AH458" t="str">
        <f t="shared" si="326"/>
        <v>PrecioFOB</v>
      </c>
      <c r="AI458" t="str">
        <f t="shared" si="327"/>
        <v>Monto II</v>
      </c>
      <c r="AJ458" t="str">
        <f t="shared" si="328"/>
        <v>Porcentaje II</v>
      </c>
      <c r="AK458" t="str">
        <f t="shared" si="329"/>
        <v>Foto</v>
      </c>
      <c r="AL45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8" t="str">
        <f t="shared" si="331"/>
        <v xml:space="preserve"> </v>
      </c>
    </row>
    <row r="459" spans="1:39" x14ac:dyDescent="0.25">
      <c r="A459" t="str">
        <f>"03-01761"</f>
        <v>03-01761</v>
      </c>
      <c r="B459" t="str">
        <f>"CABLES BUJIAS FERRAZZI VW PASSAT AUDI A4 A6 MOTOR 2.8 V6 1996 A 2005"</f>
        <v>CABLES BUJIAS FERRAZZI VW PASSAT AUDI A4 A6 MOTOR 2.8 V6 1996 A 2005</v>
      </c>
      <c r="C459" t="str">
        <f>"$ 61338,84"</f>
        <v>$ 61338,84</v>
      </c>
      <c r="D459" t="str">
        <f>"$ 61338,84"</f>
        <v>$ 61338,84</v>
      </c>
      <c r="E459" t="str">
        <f>"$ 61338,84"</f>
        <v>$ 61338,84</v>
      </c>
      <c r="F459" t="str">
        <f>"$ 61338,84"</f>
        <v>$ 61338,84</v>
      </c>
      <c r="G459" t="str">
        <f>"$ 61338,84"</f>
        <v>$ 61338,84</v>
      </c>
      <c r="H459" t="str">
        <f t="shared" si="312"/>
        <v>$ 0,00</v>
      </c>
      <c r="I459" t="str">
        <f t="shared" si="330"/>
        <v>CABLES BUJÍAS SILICONA ANTIPARASITARIOS</v>
      </c>
      <c r="J459" t="str">
        <f t="shared" si="313"/>
        <v>1</v>
      </c>
      <c r="K459" t="str">
        <f t="shared" si="295"/>
        <v>0</v>
      </c>
      <c r="L459" t="str">
        <f>"0,000"</f>
        <v>0,000</v>
      </c>
      <c r="M459" t="str">
        <f t="shared" si="314"/>
        <v xml:space="preserve"> </v>
      </c>
      <c r="N459" t="str">
        <f t="shared" si="306"/>
        <v>FERRAZZI</v>
      </c>
      <c r="O459" t="str">
        <f t="shared" si="307"/>
        <v>CABLES</v>
      </c>
      <c r="P459" t="str">
        <f t="shared" si="309"/>
        <v>0</v>
      </c>
      <c r="Q459" t="str">
        <f t="shared" si="309"/>
        <v>0</v>
      </c>
      <c r="R459" t="str">
        <f t="shared" si="310"/>
        <v>0,00</v>
      </c>
      <c r="S459" t="str">
        <f t="shared" si="310"/>
        <v>0,00</v>
      </c>
      <c r="T459" t="str">
        <f t="shared" si="292"/>
        <v xml:space="preserve"> </v>
      </c>
      <c r="U459" t="str">
        <f t="shared" si="298"/>
        <v xml:space="preserve"> </v>
      </c>
      <c r="V459" t="str">
        <f>"0,000"</f>
        <v>0,000</v>
      </c>
      <c r="W459" t="str">
        <f t="shared" si="315"/>
        <v>Lista 4</v>
      </c>
      <c r="X459" t="str">
        <f t="shared" si="316"/>
        <v>Lista 5</v>
      </c>
      <c r="Y459" t="str">
        <f t="shared" si="317"/>
        <v>Oferta Gral.</v>
      </c>
      <c r="Z459" t="str">
        <f t="shared" si="318"/>
        <v>Rubro</v>
      </c>
      <c r="AA459" t="str">
        <f t="shared" si="319"/>
        <v>Cantidad por Bulto</v>
      </c>
      <c r="AB459" t="str">
        <f t="shared" si="320"/>
        <v>INNER</v>
      </c>
      <c r="AC459" t="str">
        <f t="shared" si="321"/>
        <v>Stock en Bultos</v>
      </c>
      <c r="AD459" t="str">
        <f t="shared" si="322"/>
        <v>SubDepósito</v>
      </c>
      <c r="AE459" t="str">
        <f t="shared" si="323"/>
        <v>Marca</v>
      </c>
      <c r="AF459" t="str">
        <f t="shared" si="324"/>
        <v>Super Rubro</v>
      </c>
      <c r="AG459" t="str">
        <f t="shared" si="325"/>
        <v>ComercioExterior</v>
      </c>
      <c r="AH459" t="str">
        <f t="shared" si="326"/>
        <v>PrecioFOB</v>
      </c>
      <c r="AI459" t="str">
        <f t="shared" si="327"/>
        <v>Monto II</v>
      </c>
      <c r="AJ459" t="str">
        <f t="shared" si="328"/>
        <v>Porcentaje II</v>
      </c>
      <c r="AK459" t="str">
        <f t="shared" si="329"/>
        <v>Foto</v>
      </c>
      <c r="AL45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9" t="str">
        <f t="shared" si="331"/>
        <v xml:space="preserve"> </v>
      </c>
    </row>
    <row r="460" spans="1:39" x14ac:dyDescent="0.25">
      <c r="A460" t="str">
        <f>"05-01760"</f>
        <v>05-01760</v>
      </c>
      <c r="B460" t="str">
        <f>"CABLES BUJIAS FIAT SIENA PALIO MONOPUNTO SILICONADOS"</f>
        <v>CABLES BUJIAS FIAT SIENA PALIO MONOPUNTO SILICONADOS</v>
      </c>
      <c r="C460" t="str">
        <f>"$ 13708,59"</f>
        <v>$ 13708,59</v>
      </c>
      <c r="D460" t="str">
        <f>"$ 13708,59"</f>
        <v>$ 13708,59</v>
      </c>
      <c r="E460" t="str">
        <f>"$ 13708,59"</f>
        <v>$ 13708,59</v>
      </c>
      <c r="F460" t="str">
        <f>"$ 6292,24"</f>
        <v>$ 6292,24</v>
      </c>
      <c r="G460" t="str">
        <f>"$ 6292,24"</f>
        <v>$ 6292,24</v>
      </c>
      <c r="H460" t="str">
        <f t="shared" si="312"/>
        <v>$ 0,00</v>
      </c>
      <c r="I460" t="str">
        <f t="shared" si="330"/>
        <v>CABLES BUJÍAS SILICONA ANTIPARASITARIOS</v>
      </c>
      <c r="J460" t="str">
        <f t="shared" si="313"/>
        <v>1</v>
      </c>
      <c r="K460" t="str">
        <f t="shared" si="295"/>
        <v>0</v>
      </c>
      <c r="L460" t="str">
        <f>"8,000"</f>
        <v>8,000</v>
      </c>
      <c r="M460" t="str">
        <f t="shared" si="314"/>
        <v xml:space="preserve"> </v>
      </c>
      <c r="N460" t="str">
        <f t="shared" si="306"/>
        <v>FERRAZZI</v>
      </c>
      <c r="O460" t="str">
        <f t="shared" si="307"/>
        <v>CABLES</v>
      </c>
      <c r="P460" t="str">
        <f t="shared" si="309"/>
        <v>0</v>
      </c>
      <c r="Q460" t="str">
        <f t="shared" si="309"/>
        <v>0</v>
      </c>
      <c r="R460" t="str">
        <f t="shared" si="310"/>
        <v>0,00</v>
      </c>
      <c r="S460" t="str">
        <f t="shared" si="310"/>
        <v>0,00</v>
      </c>
      <c r="T460" t="str">
        <f t="shared" si="292"/>
        <v xml:space="preserve"> </v>
      </c>
      <c r="U460" t="str">
        <f t="shared" si="298"/>
        <v xml:space="preserve"> </v>
      </c>
      <c r="V460" t="str">
        <f>"8,000"</f>
        <v>8,000</v>
      </c>
      <c r="W460" t="str">
        <f t="shared" si="315"/>
        <v>Lista 4</v>
      </c>
      <c r="X460" t="str">
        <f t="shared" si="316"/>
        <v>Lista 5</v>
      </c>
      <c r="Y460" t="str">
        <f t="shared" si="317"/>
        <v>Oferta Gral.</v>
      </c>
      <c r="Z460" t="str">
        <f t="shared" si="318"/>
        <v>Rubro</v>
      </c>
      <c r="AA460" t="str">
        <f t="shared" si="319"/>
        <v>Cantidad por Bulto</v>
      </c>
      <c r="AB460" t="str">
        <f t="shared" si="320"/>
        <v>INNER</v>
      </c>
      <c r="AC460" t="str">
        <f t="shared" si="321"/>
        <v>Stock en Bultos</v>
      </c>
      <c r="AD460" t="str">
        <f t="shared" si="322"/>
        <v>SubDepósito</v>
      </c>
      <c r="AE460" t="str">
        <f t="shared" si="323"/>
        <v>Marca</v>
      </c>
      <c r="AF460" t="str">
        <f t="shared" si="324"/>
        <v>Super Rubro</v>
      </c>
      <c r="AG460" t="str">
        <f t="shared" si="325"/>
        <v>ComercioExterior</v>
      </c>
      <c r="AH460" t="str">
        <f t="shared" si="326"/>
        <v>PrecioFOB</v>
      </c>
      <c r="AI460" t="str">
        <f t="shared" si="327"/>
        <v>Monto II</v>
      </c>
      <c r="AJ460" t="str">
        <f t="shared" si="328"/>
        <v>Porcentaje II</v>
      </c>
      <c r="AK460" t="str">
        <f t="shared" si="329"/>
        <v>Foto</v>
      </c>
      <c r="AL460" t="str">
        <f>"{\rtf1\ansi\ansicpg1252\deff0\deflang2058{\fonttbl{\f0\fnil\fcharset0 MS Sans Serif}} \viewkind4\uc1\pard\f0\fs16 CABLES BUJIAS FIAT SIENA PALIO MONOPUNTO SILICONADOS\par } "</f>
        <v xml:space="preserve">{\rtf1\ansi\ansicpg1252\deff0\deflang2058{\fonttbl{\f0\fnil\fcharset0 MS Sans Serif}} \viewkind4\uc1\pard\f0\fs16 CABLES BUJIAS FIAT SIENA PALIO MONOPUNTO SILICONADOS\par } </v>
      </c>
      <c r="AM460" t="str">
        <f t="shared" si="331"/>
        <v xml:space="preserve"> </v>
      </c>
    </row>
    <row r="461" spans="1:39" x14ac:dyDescent="0.25">
      <c r="A461" t="str">
        <f>"04-01787"</f>
        <v>04-01787</v>
      </c>
      <c r="B461" t="str">
        <f>"CABLES BUJIAS FORD EXPLORER RANGER 4.0 V6 OHV 160HP  "</f>
        <v xml:space="preserve">CABLES BUJIAS FORD EXPLORER RANGER 4.0 V6 OHV 160HP  </v>
      </c>
      <c r="C461" t="str">
        <f>"$ 31578,70"</f>
        <v>$ 31578,70</v>
      </c>
      <c r="D461" t="str">
        <f>"$ 31578,70"</f>
        <v>$ 31578,70</v>
      </c>
      <c r="E461" t="str">
        <f>"$ 31578,70"</f>
        <v>$ 31578,70</v>
      </c>
      <c r="F461" t="str">
        <f>"$ 31578,70"</f>
        <v>$ 31578,70</v>
      </c>
      <c r="G461" t="str">
        <f>"$ 31578,70"</f>
        <v>$ 31578,70</v>
      </c>
      <c r="H461" t="str">
        <f t="shared" si="312"/>
        <v>$ 0,00</v>
      </c>
      <c r="I461" t="str">
        <f t="shared" si="330"/>
        <v>CABLES BUJÍAS SILICONA ANTIPARASITARIOS</v>
      </c>
      <c r="J461" t="str">
        <f t="shared" si="313"/>
        <v>1</v>
      </c>
      <c r="K461" t="str">
        <f t="shared" si="295"/>
        <v>0</v>
      </c>
      <c r="L461" t="str">
        <f>"14,000"</f>
        <v>14,000</v>
      </c>
      <c r="M461" t="str">
        <f t="shared" si="314"/>
        <v xml:space="preserve"> </v>
      </c>
      <c r="N461" t="str">
        <f t="shared" si="306"/>
        <v>FERRAZZI</v>
      </c>
      <c r="O461" t="str">
        <f t="shared" si="307"/>
        <v>CABLES</v>
      </c>
      <c r="P461" t="str">
        <f t="shared" si="309"/>
        <v>0</v>
      </c>
      <c r="Q461" t="str">
        <f t="shared" si="309"/>
        <v>0</v>
      </c>
      <c r="R461" t="str">
        <f t="shared" si="310"/>
        <v>0,00</v>
      </c>
      <c r="S461" t="str">
        <f t="shared" si="310"/>
        <v>0,00</v>
      </c>
      <c r="T461" t="str">
        <f t="shared" si="292"/>
        <v xml:space="preserve"> </v>
      </c>
      <c r="U461" t="str">
        <f t="shared" si="298"/>
        <v xml:space="preserve"> </v>
      </c>
      <c r="V461" t="str">
        <f>"14,000"</f>
        <v>14,000</v>
      </c>
      <c r="W461" t="str">
        <f t="shared" si="315"/>
        <v>Lista 4</v>
      </c>
      <c r="X461" t="str">
        <f t="shared" si="316"/>
        <v>Lista 5</v>
      </c>
      <c r="Y461" t="str">
        <f t="shared" si="317"/>
        <v>Oferta Gral.</v>
      </c>
      <c r="Z461" t="str">
        <f t="shared" si="318"/>
        <v>Rubro</v>
      </c>
      <c r="AA461" t="str">
        <f t="shared" si="319"/>
        <v>Cantidad por Bulto</v>
      </c>
      <c r="AB461" t="str">
        <f t="shared" si="320"/>
        <v>INNER</v>
      </c>
      <c r="AC461" t="str">
        <f t="shared" si="321"/>
        <v>Stock en Bultos</v>
      </c>
      <c r="AD461" t="str">
        <f t="shared" si="322"/>
        <v>SubDepósito</v>
      </c>
      <c r="AE461" t="str">
        <f t="shared" si="323"/>
        <v>Marca</v>
      </c>
      <c r="AF461" t="str">
        <f t="shared" si="324"/>
        <v>Super Rubro</v>
      </c>
      <c r="AG461" t="str">
        <f t="shared" si="325"/>
        <v>ComercioExterior</v>
      </c>
      <c r="AH461" t="str">
        <f t="shared" si="326"/>
        <v>PrecioFOB</v>
      </c>
      <c r="AI461" t="str">
        <f t="shared" si="327"/>
        <v>Monto II</v>
      </c>
      <c r="AJ461" t="str">
        <f t="shared" si="328"/>
        <v>Porcentaje II</v>
      </c>
      <c r="AK461" t="str">
        <f t="shared" si="329"/>
        <v>Foto</v>
      </c>
      <c r="AL461" t="str">
        <f>"{\rtf1\ansi\ansicpg1252\deff0\deflang2058{\fonttbl{\f0\fnil\fcharset0 MS Sans Serif}} \viewkind4\uc1\pard\f0\fs16 CABLES BUJIAS FORD EXPLORER RANGER 4.0 V6 OHV 160HP  \par } "</f>
        <v xml:space="preserve">{\rtf1\ansi\ansicpg1252\deff0\deflang2058{\fonttbl{\f0\fnil\fcharset0 MS Sans Serif}} \viewkind4\uc1\pard\f0\fs16 CABLES BUJIAS FORD EXPLORER RANGER 4.0 V6 OHV 160HP  \par } </v>
      </c>
      <c r="AM461" t="str">
        <f t="shared" si="331"/>
        <v xml:space="preserve"> </v>
      </c>
    </row>
    <row r="462" spans="1:39" x14ac:dyDescent="0.25">
      <c r="A462" t="str">
        <f>"04-01796"</f>
        <v>04-01796</v>
      </c>
      <c r="B462" t="str">
        <f>"CABLES BUJIAS FORD RANGER 2.3I 16V XLS DURATEC  01-09"</f>
        <v>CABLES BUJIAS FORD RANGER 2.3I 16V XLS DURATEC  01-09</v>
      </c>
      <c r="C462" t="str">
        <f>"$ 35104,74"</f>
        <v>$ 35104,74</v>
      </c>
      <c r="D462" t="str">
        <f>"$ 35104,74"</f>
        <v>$ 35104,74</v>
      </c>
      <c r="E462" t="str">
        <f>"$ 35104,74"</f>
        <v>$ 35104,74</v>
      </c>
      <c r="F462" t="str">
        <f>"$ 16113,07"</f>
        <v>$ 16113,07</v>
      </c>
      <c r="G462" t="str">
        <f>"$ 16113,07"</f>
        <v>$ 16113,07</v>
      </c>
      <c r="H462" t="str">
        <f t="shared" si="312"/>
        <v>$ 0,00</v>
      </c>
      <c r="I462" t="str">
        <f t="shared" si="330"/>
        <v>CABLES BUJÍAS SILICONA ANTIPARASITARIOS</v>
      </c>
      <c r="J462" t="str">
        <f t="shared" si="313"/>
        <v>1</v>
      </c>
      <c r="K462" t="str">
        <f t="shared" si="295"/>
        <v>0</v>
      </c>
      <c r="L462" t="str">
        <f>"10,000"</f>
        <v>10,000</v>
      </c>
      <c r="M462" t="str">
        <f t="shared" si="314"/>
        <v xml:space="preserve"> </v>
      </c>
      <c r="N462" t="str">
        <f t="shared" si="306"/>
        <v>FERRAZZI</v>
      </c>
      <c r="O462" t="str">
        <f t="shared" ref="O462:O493" si="332">"CABLES"</f>
        <v>CABLES</v>
      </c>
      <c r="P462" t="str">
        <f t="shared" si="309"/>
        <v>0</v>
      </c>
      <c r="Q462" t="str">
        <f t="shared" si="309"/>
        <v>0</v>
      </c>
      <c r="R462" t="str">
        <f t="shared" si="310"/>
        <v>0,00</v>
      </c>
      <c r="S462" t="str">
        <f t="shared" si="310"/>
        <v>0,00</v>
      </c>
      <c r="T462" t="str">
        <f t="shared" si="292"/>
        <v xml:space="preserve"> </v>
      </c>
      <c r="U462" t="str">
        <f t="shared" si="298"/>
        <v xml:space="preserve"> </v>
      </c>
      <c r="V462" t="str">
        <f>"10,000"</f>
        <v>10,000</v>
      </c>
      <c r="W462" t="str">
        <f t="shared" si="315"/>
        <v>Lista 4</v>
      </c>
      <c r="X462" t="str">
        <f t="shared" si="316"/>
        <v>Lista 5</v>
      </c>
      <c r="Y462" t="str">
        <f t="shared" si="317"/>
        <v>Oferta Gral.</v>
      </c>
      <c r="Z462" t="str">
        <f t="shared" si="318"/>
        <v>Rubro</v>
      </c>
      <c r="AA462" t="str">
        <f t="shared" si="319"/>
        <v>Cantidad por Bulto</v>
      </c>
      <c r="AB462" t="str">
        <f t="shared" si="320"/>
        <v>INNER</v>
      </c>
      <c r="AC462" t="str">
        <f t="shared" si="321"/>
        <v>Stock en Bultos</v>
      </c>
      <c r="AD462" t="str">
        <f t="shared" si="322"/>
        <v>SubDepósito</v>
      </c>
      <c r="AE462" t="str">
        <f t="shared" si="323"/>
        <v>Marca</v>
      </c>
      <c r="AF462" t="str">
        <f t="shared" si="324"/>
        <v>Super Rubro</v>
      </c>
      <c r="AG462" t="str">
        <f t="shared" si="325"/>
        <v>ComercioExterior</v>
      </c>
      <c r="AH462" t="str">
        <f t="shared" si="326"/>
        <v>PrecioFOB</v>
      </c>
      <c r="AI462" t="str">
        <f t="shared" si="327"/>
        <v>Monto II</v>
      </c>
      <c r="AJ462" t="str">
        <f t="shared" si="328"/>
        <v>Porcentaje II</v>
      </c>
      <c r="AK462" t="str">
        <f t="shared" si="329"/>
        <v>Foto</v>
      </c>
      <c r="AL462" t="str">
        <f>"{\rtf1\ansi\ansicpg1252\deff0\deflang2058{\fonttbl{\f0\fnil\fcharset0 MS Sans Serif}} \viewkind4\uc1\pard\f0\fs16 CABLES BUJIAS FORD RANGER 2.3I 16V XLS DURATEC  01-09\par } "</f>
        <v xml:space="preserve">{\rtf1\ansi\ansicpg1252\deff0\deflang2058{\fonttbl{\f0\fnil\fcharset0 MS Sans Serif}} \viewkind4\uc1\pard\f0\fs16 CABLES BUJIAS FORD RANGER 2.3I 16V XLS DURATEC  01-09\par } </v>
      </c>
      <c r="AM462" t="str">
        <f t="shared" si="331"/>
        <v xml:space="preserve"> </v>
      </c>
    </row>
    <row r="463" spans="1:39" x14ac:dyDescent="0.25">
      <c r="A463" t="str">
        <f>"STV25"</f>
        <v>STV25</v>
      </c>
      <c r="B463" t="str">
        <f>"CABLES BUJIAS NGK VW GOL TREND FOX SURAN GOLF 1.8 8V"</f>
        <v>CABLES BUJIAS NGK VW GOL TREND FOX SURAN GOLF 1.8 8V</v>
      </c>
      <c r="C463" t="str">
        <f>"$ 56914,51"</f>
        <v>$ 56914,51</v>
      </c>
      <c r="D463" t="str">
        <f>"$ 56914,51"</f>
        <v>$ 56914,51</v>
      </c>
      <c r="E463" t="str">
        <f>"$ 56914,51"</f>
        <v>$ 56914,51</v>
      </c>
      <c r="F463" t="str">
        <f>"$ 23578,80"</f>
        <v>$ 23578,80</v>
      </c>
      <c r="G463" t="str">
        <f>"$ 23578,80"</f>
        <v>$ 23578,80</v>
      </c>
      <c r="H463" t="str">
        <f t="shared" si="312"/>
        <v>$ 0,00</v>
      </c>
      <c r="I463" t="str">
        <f t="shared" si="330"/>
        <v>CABLES BUJÍAS SILICONA ANTIPARASITARIOS</v>
      </c>
      <c r="J463" t="str">
        <f t="shared" si="313"/>
        <v>1</v>
      </c>
      <c r="K463" t="str">
        <f t="shared" si="295"/>
        <v>0</v>
      </c>
      <c r="L463" t="str">
        <f>"130,000"</f>
        <v>130,000</v>
      </c>
      <c r="M463" t="str">
        <f t="shared" si="314"/>
        <v xml:space="preserve"> </v>
      </c>
      <c r="N463" t="str">
        <f>"NGK"</f>
        <v>NGK</v>
      </c>
      <c r="O463" t="str">
        <f t="shared" si="332"/>
        <v>CABLES</v>
      </c>
      <c r="P463" t="str">
        <f t="shared" ref="P463:Q482" si="333">"0"</f>
        <v>0</v>
      </c>
      <c r="Q463" t="str">
        <f t="shared" si="333"/>
        <v>0</v>
      </c>
      <c r="R463" t="str">
        <f t="shared" ref="R463:S482" si="334">"0,00"</f>
        <v>0,00</v>
      </c>
      <c r="S463" t="str">
        <f t="shared" si="334"/>
        <v>0,00</v>
      </c>
      <c r="T463" t="str">
        <f t="shared" si="292"/>
        <v xml:space="preserve"> </v>
      </c>
      <c r="U463" t="str">
        <f t="shared" si="298"/>
        <v xml:space="preserve"> </v>
      </c>
      <c r="V463" t="str">
        <f>"130,000"</f>
        <v>130,000</v>
      </c>
      <c r="W463" t="str">
        <f t="shared" si="315"/>
        <v>Lista 4</v>
      </c>
      <c r="X463" t="str">
        <f t="shared" si="316"/>
        <v>Lista 5</v>
      </c>
      <c r="Y463" t="str">
        <f t="shared" si="317"/>
        <v>Oferta Gral.</v>
      </c>
      <c r="Z463" t="str">
        <f t="shared" si="318"/>
        <v>Rubro</v>
      </c>
      <c r="AA463" t="str">
        <f t="shared" si="319"/>
        <v>Cantidad por Bulto</v>
      </c>
      <c r="AB463" t="str">
        <f t="shared" si="320"/>
        <v>INNER</v>
      </c>
      <c r="AC463" t="str">
        <f t="shared" si="321"/>
        <v>Stock en Bultos</v>
      </c>
      <c r="AD463" t="str">
        <f t="shared" si="322"/>
        <v>SubDepósito</v>
      </c>
      <c r="AE463" t="str">
        <f t="shared" si="323"/>
        <v>Marca</v>
      </c>
      <c r="AF463" t="str">
        <f t="shared" si="324"/>
        <v>Super Rubro</v>
      </c>
      <c r="AG463" t="str">
        <f t="shared" si="325"/>
        <v>ComercioExterior</v>
      </c>
      <c r="AH463" t="str">
        <f t="shared" si="326"/>
        <v>PrecioFOB</v>
      </c>
      <c r="AI463" t="str">
        <f t="shared" si="327"/>
        <v>Monto II</v>
      </c>
      <c r="AJ463" t="str">
        <f t="shared" si="328"/>
        <v>Porcentaje II</v>
      </c>
      <c r="AK463" t="str">
        <f t="shared" si="329"/>
        <v>Foto</v>
      </c>
      <c r="AL463" t="str">
        <f>"{\rtf1\ansi\ansicpg1252\deff0\deflang11274{\fonttbl{\f0\fnil\fcharset0 MS Sans Serif}} \viewkind4\uc1\pard\f0\fs16 CABLES BUJIAS NGK VW GOL TREND FOX SURAN GOLF 1.8 8V\par } "</f>
        <v xml:space="preserve">{\rtf1\ansi\ansicpg1252\deff0\deflang11274{\fonttbl{\f0\fnil\fcharset0 MS Sans Serif}} \viewkind4\uc1\pard\f0\fs16 CABLES BUJIAS NGK VW GOL TREND FOX SURAN GOLF 1.8 8V\par } </v>
      </c>
      <c r="AM463" t="str">
        <f t="shared" si="331"/>
        <v xml:space="preserve"> </v>
      </c>
    </row>
    <row r="464" spans="1:39" x14ac:dyDescent="0.25">
      <c r="A464" t="str">
        <f>"07-01780"</f>
        <v>07-01780</v>
      </c>
      <c r="B464" t="str">
        <f>"CABLES BUJIAS PEUGEOT 205 1.4 CARBURADOR SILICONADO 7MM"</f>
        <v>CABLES BUJIAS PEUGEOT 205 1.4 CARBURADOR SILICONADO 7MM</v>
      </c>
      <c r="C464" t="str">
        <f>"$ 21634,84"</f>
        <v>$ 21634,84</v>
      </c>
      <c r="D464" t="str">
        <f>"$ 21634,84"</f>
        <v>$ 21634,84</v>
      </c>
      <c r="E464" t="str">
        <f>"$ 21634,84"</f>
        <v>$ 21634,84</v>
      </c>
      <c r="F464" t="str">
        <f>"$ 21634,84"</f>
        <v>$ 21634,84</v>
      </c>
      <c r="G464" t="str">
        <f>"$ 21634,84"</f>
        <v>$ 21634,84</v>
      </c>
      <c r="H464" t="str">
        <f t="shared" si="312"/>
        <v>$ 0,00</v>
      </c>
      <c r="I464" t="str">
        <f t="shared" si="330"/>
        <v>CABLES BUJÍAS SILICONA ANTIPARASITARIOS</v>
      </c>
      <c r="J464" t="str">
        <f t="shared" si="313"/>
        <v>1</v>
      </c>
      <c r="K464" t="str">
        <f t="shared" si="295"/>
        <v>0</v>
      </c>
      <c r="L464" t="str">
        <f>"23,000"</f>
        <v>23,000</v>
      </c>
      <c r="M464" t="str">
        <f t="shared" si="314"/>
        <v xml:space="preserve"> </v>
      </c>
      <c r="N464" t="str">
        <f t="shared" ref="N464:N488" si="335">"FERRAZZI"</f>
        <v>FERRAZZI</v>
      </c>
      <c r="O464" t="str">
        <f t="shared" si="332"/>
        <v>CABLES</v>
      </c>
      <c r="P464" t="str">
        <f t="shared" si="333"/>
        <v>0</v>
      </c>
      <c r="Q464" t="str">
        <f t="shared" si="333"/>
        <v>0</v>
      </c>
      <c r="R464" t="str">
        <f t="shared" si="334"/>
        <v>0,00</v>
      </c>
      <c r="S464" t="str">
        <f t="shared" si="334"/>
        <v>0,00</v>
      </c>
      <c r="T464" t="str">
        <f t="shared" si="292"/>
        <v xml:space="preserve"> </v>
      </c>
      <c r="U464" t="str">
        <f t="shared" si="298"/>
        <v xml:space="preserve"> </v>
      </c>
      <c r="V464" t="str">
        <f>"23,000"</f>
        <v>23,000</v>
      </c>
      <c r="W464" t="str">
        <f t="shared" si="315"/>
        <v>Lista 4</v>
      </c>
      <c r="X464" t="str">
        <f t="shared" si="316"/>
        <v>Lista 5</v>
      </c>
      <c r="Y464" t="str">
        <f t="shared" si="317"/>
        <v>Oferta Gral.</v>
      </c>
      <c r="Z464" t="str">
        <f t="shared" si="318"/>
        <v>Rubro</v>
      </c>
      <c r="AA464" t="str">
        <f t="shared" si="319"/>
        <v>Cantidad por Bulto</v>
      </c>
      <c r="AB464" t="str">
        <f t="shared" si="320"/>
        <v>INNER</v>
      </c>
      <c r="AC464" t="str">
        <f t="shared" si="321"/>
        <v>Stock en Bultos</v>
      </c>
      <c r="AD464" t="str">
        <f t="shared" si="322"/>
        <v>SubDepósito</v>
      </c>
      <c r="AE464" t="str">
        <f t="shared" si="323"/>
        <v>Marca</v>
      </c>
      <c r="AF464" t="str">
        <f t="shared" si="324"/>
        <v>Super Rubro</v>
      </c>
      <c r="AG464" t="str">
        <f t="shared" si="325"/>
        <v>ComercioExterior</v>
      </c>
      <c r="AH464" t="str">
        <f t="shared" si="326"/>
        <v>PrecioFOB</v>
      </c>
      <c r="AI464" t="str">
        <f t="shared" si="327"/>
        <v>Monto II</v>
      </c>
      <c r="AJ464" t="str">
        <f t="shared" si="328"/>
        <v>Porcentaje II</v>
      </c>
      <c r="AK464" t="str">
        <f t="shared" si="329"/>
        <v>Foto</v>
      </c>
      <c r="AL46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64" t="str">
        <f t="shared" si="331"/>
        <v xml:space="preserve"> </v>
      </c>
    </row>
    <row r="465" spans="1:39" x14ac:dyDescent="0.25">
      <c r="A465" t="str">
        <f>"07-01777"</f>
        <v>07-01777</v>
      </c>
      <c r="B465" t="str">
        <f>"CABLES BUJIAS PEUGEOT 405 GLI INYEC. SIN DISTRIBUIDOR SILICONADOS"</f>
        <v>CABLES BUJIAS PEUGEOT 405 GLI INYEC. SIN DISTRIBUIDOR SILICONADOS</v>
      </c>
      <c r="C465" t="str">
        <f>"$ 22574,50"</f>
        <v>$ 22574,50</v>
      </c>
      <c r="D465" t="str">
        <f>"$ 22574,50"</f>
        <v>$ 22574,50</v>
      </c>
      <c r="E465" t="str">
        <f>"$ 22574,50"</f>
        <v>$ 22574,50</v>
      </c>
      <c r="F465" t="str">
        <f>"$ 10361,69"</f>
        <v>$ 10361,69</v>
      </c>
      <c r="G465" t="str">
        <f>"$ 10361,69"</f>
        <v>$ 10361,69</v>
      </c>
      <c r="H465" t="str">
        <f t="shared" si="312"/>
        <v>$ 0,00</v>
      </c>
      <c r="I465" t="str">
        <f t="shared" si="330"/>
        <v>CABLES BUJÍAS SILICONA ANTIPARASITARIOS</v>
      </c>
      <c r="J465" t="str">
        <f t="shared" si="313"/>
        <v>1</v>
      </c>
      <c r="K465" t="str">
        <f t="shared" si="295"/>
        <v>0</v>
      </c>
      <c r="L465" t="str">
        <f>"8,000"</f>
        <v>8,000</v>
      </c>
      <c r="M465" t="str">
        <f t="shared" si="314"/>
        <v xml:space="preserve"> </v>
      </c>
      <c r="N465" t="str">
        <f t="shared" si="335"/>
        <v>FERRAZZI</v>
      </c>
      <c r="O465" t="str">
        <f t="shared" si="332"/>
        <v>CABLES</v>
      </c>
      <c r="P465" t="str">
        <f t="shared" si="333"/>
        <v>0</v>
      </c>
      <c r="Q465" t="str">
        <f t="shared" si="333"/>
        <v>0</v>
      </c>
      <c r="R465" t="str">
        <f t="shared" si="334"/>
        <v>0,00</v>
      </c>
      <c r="S465" t="str">
        <f t="shared" si="334"/>
        <v>0,00</v>
      </c>
      <c r="T465" t="str">
        <f t="shared" ref="T465:T528" si="336">" "</f>
        <v xml:space="preserve"> </v>
      </c>
      <c r="U465" t="str">
        <f t="shared" si="298"/>
        <v xml:space="preserve"> </v>
      </c>
      <c r="V465" t="str">
        <f>"8,000"</f>
        <v>8,000</v>
      </c>
      <c r="W465" t="str">
        <f t="shared" si="315"/>
        <v>Lista 4</v>
      </c>
      <c r="X465" t="str">
        <f t="shared" si="316"/>
        <v>Lista 5</v>
      </c>
      <c r="Y465" t="str">
        <f t="shared" si="317"/>
        <v>Oferta Gral.</v>
      </c>
      <c r="Z465" t="str">
        <f t="shared" si="318"/>
        <v>Rubro</v>
      </c>
      <c r="AA465" t="str">
        <f t="shared" si="319"/>
        <v>Cantidad por Bulto</v>
      </c>
      <c r="AB465" t="str">
        <f t="shared" si="320"/>
        <v>INNER</v>
      </c>
      <c r="AC465" t="str">
        <f t="shared" si="321"/>
        <v>Stock en Bultos</v>
      </c>
      <c r="AD465" t="str">
        <f t="shared" si="322"/>
        <v>SubDepósito</v>
      </c>
      <c r="AE465" t="str">
        <f t="shared" si="323"/>
        <v>Marca</v>
      </c>
      <c r="AF465" t="str">
        <f t="shared" si="324"/>
        <v>Super Rubro</v>
      </c>
      <c r="AG465" t="str">
        <f t="shared" si="325"/>
        <v>ComercioExterior</v>
      </c>
      <c r="AH465" t="str">
        <f t="shared" si="326"/>
        <v>PrecioFOB</v>
      </c>
      <c r="AI465" t="str">
        <f t="shared" si="327"/>
        <v>Monto II</v>
      </c>
      <c r="AJ465" t="str">
        <f t="shared" si="328"/>
        <v>Porcentaje II</v>
      </c>
      <c r="AK465" t="str">
        <f t="shared" si="329"/>
        <v>Foto</v>
      </c>
      <c r="AL465" t="str">
        <f>"{\rtf1\ansi\ansicpg1252\deff0\deflang2058{\fonttbl{\f0\fnil\fcharset0 MS Sans Serif}} \viewkind4\uc1\pard\f0\fs16 CABLES BUJIAS PEUGEOT 405 GLI INYEC. SIN DISTRIBUIDOR SILICONADOS\par } "</f>
        <v xml:space="preserve">{\rtf1\ansi\ansicpg1252\deff0\deflang2058{\fonttbl{\f0\fnil\fcharset0 MS Sans Serif}} \viewkind4\uc1\pard\f0\fs16 CABLES BUJIAS PEUGEOT 405 GLI INYEC. SIN DISTRIBUIDOR SILICONADOS\par } </v>
      </c>
      <c r="AM465" t="str">
        <f t="shared" si="331"/>
        <v xml:space="preserve"> </v>
      </c>
    </row>
    <row r="466" spans="1:39" x14ac:dyDescent="0.25">
      <c r="A466" t="str">
        <f>"07-01776"</f>
        <v>07-01776</v>
      </c>
      <c r="B466" t="str">
        <f>"CABLES BUJIAS PEUGEOT 405 GR-SR CARB CON DISTRIBUIDOR SILICONADOS"</f>
        <v>CABLES BUJIAS PEUGEOT 405 GR-SR CARB CON DISTRIBUIDOR SILICONADOS</v>
      </c>
      <c r="C466" t="str">
        <f>"$ 20172,95"</f>
        <v>$ 20172,95</v>
      </c>
      <c r="D466" t="str">
        <f>"$ 20172,95"</f>
        <v>$ 20172,95</v>
      </c>
      <c r="E466" t="str">
        <f>"$ 20172,95"</f>
        <v>$ 20172,95</v>
      </c>
      <c r="F466" t="str">
        <f>"$ 9259,38"</f>
        <v>$ 9259,38</v>
      </c>
      <c r="G466" t="str">
        <f>"$ 9259,38"</f>
        <v>$ 9259,38</v>
      </c>
      <c r="H466" t="str">
        <f t="shared" si="312"/>
        <v>$ 0,00</v>
      </c>
      <c r="I466" t="str">
        <f t="shared" si="330"/>
        <v>CABLES BUJÍAS SILICONA ANTIPARASITARIOS</v>
      </c>
      <c r="J466" t="str">
        <f t="shared" si="313"/>
        <v>1</v>
      </c>
      <c r="K466" t="str">
        <f t="shared" si="295"/>
        <v>0</v>
      </c>
      <c r="L466" t="str">
        <f>"10,000"</f>
        <v>10,000</v>
      </c>
      <c r="M466" t="str">
        <f t="shared" si="314"/>
        <v xml:space="preserve"> </v>
      </c>
      <c r="N466" t="str">
        <f t="shared" si="335"/>
        <v>FERRAZZI</v>
      </c>
      <c r="O466" t="str">
        <f t="shared" si="332"/>
        <v>CABLES</v>
      </c>
      <c r="P466" t="str">
        <f t="shared" si="333"/>
        <v>0</v>
      </c>
      <c r="Q466" t="str">
        <f t="shared" si="333"/>
        <v>0</v>
      </c>
      <c r="R466" t="str">
        <f t="shared" si="334"/>
        <v>0,00</v>
      </c>
      <c r="S466" t="str">
        <f t="shared" si="334"/>
        <v>0,00</v>
      </c>
      <c r="T466" t="str">
        <f t="shared" si="336"/>
        <v xml:space="preserve"> </v>
      </c>
      <c r="U466" t="str">
        <f t="shared" si="298"/>
        <v xml:space="preserve"> </v>
      </c>
      <c r="V466" t="str">
        <f>"10,000"</f>
        <v>10,000</v>
      </c>
      <c r="W466" t="str">
        <f t="shared" si="315"/>
        <v>Lista 4</v>
      </c>
      <c r="X466" t="str">
        <f t="shared" si="316"/>
        <v>Lista 5</v>
      </c>
      <c r="Y466" t="str">
        <f t="shared" si="317"/>
        <v>Oferta Gral.</v>
      </c>
      <c r="Z466" t="str">
        <f t="shared" si="318"/>
        <v>Rubro</v>
      </c>
      <c r="AA466" t="str">
        <f t="shared" si="319"/>
        <v>Cantidad por Bulto</v>
      </c>
      <c r="AB466" t="str">
        <f t="shared" si="320"/>
        <v>INNER</v>
      </c>
      <c r="AC466" t="str">
        <f t="shared" si="321"/>
        <v>Stock en Bultos</v>
      </c>
      <c r="AD466" t="str">
        <f t="shared" si="322"/>
        <v>SubDepósito</v>
      </c>
      <c r="AE466" t="str">
        <f t="shared" si="323"/>
        <v>Marca</v>
      </c>
      <c r="AF466" t="str">
        <f t="shared" si="324"/>
        <v>Super Rubro</v>
      </c>
      <c r="AG466" t="str">
        <f t="shared" si="325"/>
        <v>ComercioExterior</v>
      </c>
      <c r="AH466" t="str">
        <f t="shared" si="326"/>
        <v>PrecioFOB</v>
      </c>
      <c r="AI466" t="str">
        <f t="shared" si="327"/>
        <v>Monto II</v>
      </c>
      <c r="AJ466" t="str">
        <f t="shared" si="328"/>
        <v>Porcentaje II</v>
      </c>
      <c r="AK466" t="str">
        <f t="shared" si="329"/>
        <v>Foto</v>
      </c>
      <c r="AL466" t="str">
        <f>"{\rtf1\ansi\ansicpg1252\deff0\deflang2058{\fonttbl{\f0\fnil\fcharset0 MS Sans Serif}} \viewkind4\uc1\pard\f0\fs16 CABLES BUJIAS PEUGEOT 405 GR-SR CARB CON DISTRIBUIDOR SILICONADOS\par } "</f>
        <v xml:space="preserve">{\rtf1\ansi\ansicpg1252\deff0\deflang2058{\fonttbl{\f0\fnil\fcharset0 MS Sans Serif}} \viewkind4\uc1\pard\f0\fs16 CABLES BUJIAS PEUGEOT 405 GR-SR CARB CON DISTRIBUIDOR SILICONADOS\par } </v>
      </c>
      <c r="AM466" t="str">
        <f t="shared" si="331"/>
        <v xml:space="preserve"> </v>
      </c>
    </row>
    <row r="467" spans="1:39" x14ac:dyDescent="0.25">
      <c r="A467" t="str">
        <f>"07-01772"</f>
        <v>07-01772</v>
      </c>
      <c r="B467" t="str">
        <f>"CABLES BUJIAS PEUGEOT 504 MOTOR 2000 SILICONADOS"</f>
        <v>CABLES BUJIAS PEUGEOT 504 MOTOR 2000 SILICONADOS</v>
      </c>
      <c r="C467" t="str">
        <f>"$ 14011,62"</f>
        <v>$ 14011,62</v>
      </c>
      <c r="D467" t="str">
        <f>"$ 14011,62"</f>
        <v>$ 14011,62</v>
      </c>
      <c r="E467" t="str">
        <f>"$ 14011,62"</f>
        <v>$ 14011,62</v>
      </c>
      <c r="F467" t="str">
        <f>"$ 6431,33"</f>
        <v>$ 6431,33</v>
      </c>
      <c r="G467" t="str">
        <f>"$ 6431,33"</f>
        <v>$ 6431,33</v>
      </c>
      <c r="H467" t="str">
        <f t="shared" si="312"/>
        <v>$ 0,00</v>
      </c>
      <c r="I467" t="str">
        <f t="shared" si="330"/>
        <v>CABLES BUJÍAS SILICONA ANTIPARASITARIOS</v>
      </c>
      <c r="J467" t="str">
        <f t="shared" si="313"/>
        <v>1</v>
      </c>
      <c r="K467" t="str">
        <f t="shared" si="295"/>
        <v>0</v>
      </c>
      <c r="L467" t="str">
        <f>"9,000"</f>
        <v>9,000</v>
      </c>
      <c r="M467" t="str">
        <f t="shared" si="314"/>
        <v xml:space="preserve"> </v>
      </c>
      <c r="N467" t="str">
        <f t="shared" si="335"/>
        <v>FERRAZZI</v>
      </c>
      <c r="O467" t="str">
        <f t="shared" si="332"/>
        <v>CABLES</v>
      </c>
      <c r="P467" t="str">
        <f t="shared" si="333"/>
        <v>0</v>
      </c>
      <c r="Q467" t="str">
        <f t="shared" si="333"/>
        <v>0</v>
      </c>
      <c r="R467" t="str">
        <f t="shared" si="334"/>
        <v>0,00</v>
      </c>
      <c r="S467" t="str">
        <f t="shared" si="334"/>
        <v>0,00</v>
      </c>
      <c r="T467" t="str">
        <f t="shared" si="336"/>
        <v xml:space="preserve"> </v>
      </c>
      <c r="U467" t="str">
        <f t="shared" si="298"/>
        <v xml:space="preserve"> </v>
      </c>
      <c r="V467" t="str">
        <f>"9,000"</f>
        <v>9,000</v>
      </c>
      <c r="W467" t="str">
        <f t="shared" si="315"/>
        <v>Lista 4</v>
      </c>
      <c r="X467" t="str">
        <f t="shared" si="316"/>
        <v>Lista 5</v>
      </c>
      <c r="Y467" t="str">
        <f t="shared" si="317"/>
        <v>Oferta Gral.</v>
      </c>
      <c r="Z467" t="str">
        <f t="shared" si="318"/>
        <v>Rubro</v>
      </c>
      <c r="AA467" t="str">
        <f t="shared" si="319"/>
        <v>Cantidad por Bulto</v>
      </c>
      <c r="AB467" t="str">
        <f t="shared" si="320"/>
        <v>INNER</v>
      </c>
      <c r="AC467" t="str">
        <f t="shared" si="321"/>
        <v>Stock en Bultos</v>
      </c>
      <c r="AD467" t="str">
        <f t="shared" si="322"/>
        <v>SubDepósito</v>
      </c>
      <c r="AE467" t="str">
        <f t="shared" si="323"/>
        <v>Marca</v>
      </c>
      <c r="AF467" t="str">
        <f t="shared" si="324"/>
        <v>Super Rubro</v>
      </c>
      <c r="AG467" t="str">
        <f t="shared" si="325"/>
        <v>ComercioExterior</v>
      </c>
      <c r="AH467" t="str">
        <f t="shared" si="326"/>
        <v>PrecioFOB</v>
      </c>
      <c r="AI467" t="str">
        <f t="shared" si="327"/>
        <v>Monto II</v>
      </c>
      <c r="AJ467" t="str">
        <f t="shared" si="328"/>
        <v>Porcentaje II</v>
      </c>
      <c r="AK467" t="str">
        <f t="shared" si="329"/>
        <v>Foto</v>
      </c>
      <c r="AL467" t="str">
        <f>"{\rtf1\ansi\ansicpg1252\deff0\deflang2058{\fonttbl{\f0\fnil\fcharset0 MS Sans Serif}} \viewkind4\uc1\pard\f0\fs16 CABLES BUJIAS PEUGEOT 504 MOTOR 2000 SILICONADOS\par } "</f>
        <v xml:space="preserve">{\rtf1\ansi\ansicpg1252\deff0\deflang2058{\fonttbl{\f0\fnil\fcharset0 MS Sans Serif}} \viewkind4\uc1\pard\f0\fs16 CABLES BUJIAS PEUGEOT 504 MOTOR 2000 SILICONADOS\par } </v>
      </c>
      <c r="AM467" t="str">
        <f t="shared" si="331"/>
        <v xml:space="preserve"> </v>
      </c>
    </row>
    <row r="468" spans="1:39" x14ac:dyDescent="0.25">
      <c r="A468" t="str">
        <f>"06-01785"</f>
        <v>06-01785</v>
      </c>
      <c r="B468" t="str">
        <f>"CABLES BUJIAS RENAULT 11 BOBINA DE 70CM SILICONADOS"</f>
        <v>CABLES BUJIAS RENAULT 11 BOBINA DE 70CM SILICONADOS</v>
      </c>
      <c r="C468" t="str">
        <f>"$ 14790,64"</f>
        <v>$ 14790,64</v>
      </c>
      <c r="D468" t="str">
        <f>"$ 14790,64"</f>
        <v>$ 14790,64</v>
      </c>
      <c r="E468" t="str">
        <f>"$ 14790,64"</f>
        <v>$ 14790,64</v>
      </c>
      <c r="F468" t="str">
        <f>"$ 6788,90"</f>
        <v>$ 6788,90</v>
      </c>
      <c r="G468" t="str">
        <f>"$ 6788,90"</f>
        <v>$ 6788,90</v>
      </c>
      <c r="H468" t="str">
        <f t="shared" si="312"/>
        <v>$ 0,00</v>
      </c>
      <c r="I468" t="str">
        <f t="shared" si="330"/>
        <v>CABLES BUJÍAS SILICONA ANTIPARASITARIOS</v>
      </c>
      <c r="J468" t="str">
        <f t="shared" si="313"/>
        <v>1</v>
      </c>
      <c r="K468" t="str">
        <f t="shared" si="295"/>
        <v>0</v>
      </c>
      <c r="L468" t="str">
        <f>"24,000"</f>
        <v>24,000</v>
      </c>
      <c r="M468" t="str">
        <f t="shared" si="314"/>
        <v xml:space="preserve"> </v>
      </c>
      <c r="N468" t="str">
        <f t="shared" si="335"/>
        <v>FERRAZZI</v>
      </c>
      <c r="O468" t="str">
        <f t="shared" si="332"/>
        <v>CABLES</v>
      </c>
      <c r="P468" t="str">
        <f t="shared" si="333"/>
        <v>0</v>
      </c>
      <c r="Q468" t="str">
        <f t="shared" si="333"/>
        <v>0</v>
      </c>
      <c r="R468" t="str">
        <f t="shared" si="334"/>
        <v>0,00</v>
      </c>
      <c r="S468" t="str">
        <f t="shared" si="334"/>
        <v>0,00</v>
      </c>
      <c r="T468" t="str">
        <f t="shared" si="336"/>
        <v xml:space="preserve"> </v>
      </c>
      <c r="U468" t="str">
        <f t="shared" si="298"/>
        <v xml:space="preserve"> </v>
      </c>
      <c r="V468" t="str">
        <f>"24,000"</f>
        <v>24,000</v>
      </c>
      <c r="W468" t="str">
        <f t="shared" si="315"/>
        <v>Lista 4</v>
      </c>
      <c r="X468" t="str">
        <f t="shared" si="316"/>
        <v>Lista 5</v>
      </c>
      <c r="Y468" t="str">
        <f t="shared" si="317"/>
        <v>Oferta Gral.</v>
      </c>
      <c r="Z468" t="str">
        <f t="shared" si="318"/>
        <v>Rubro</v>
      </c>
      <c r="AA468" t="str">
        <f t="shared" si="319"/>
        <v>Cantidad por Bulto</v>
      </c>
      <c r="AB468" t="str">
        <f t="shared" si="320"/>
        <v>INNER</v>
      </c>
      <c r="AC468" t="str">
        <f t="shared" si="321"/>
        <v>Stock en Bultos</v>
      </c>
      <c r="AD468" t="str">
        <f t="shared" si="322"/>
        <v>SubDepósito</v>
      </c>
      <c r="AE468" t="str">
        <f t="shared" si="323"/>
        <v>Marca</v>
      </c>
      <c r="AF468" t="str">
        <f t="shared" si="324"/>
        <v>Super Rubro</v>
      </c>
      <c r="AG468" t="str">
        <f t="shared" si="325"/>
        <v>ComercioExterior</v>
      </c>
      <c r="AH468" t="str">
        <f t="shared" si="326"/>
        <v>PrecioFOB</v>
      </c>
      <c r="AI468" t="str">
        <f t="shared" si="327"/>
        <v>Monto II</v>
      </c>
      <c r="AJ468" t="str">
        <f t="shared" si="328"/>
        <v>Porcentaje II</v>
      </c>
      <c r="AK468" t="str">
        <f t="shared" si="329"/>
        <v>Foto</v>
      </c>
      <c r="AL468" t="str">
        <f>"{\rtf1\ansi\ansicpg1252\deff0\deflang2058{\fonttbl{\f0\fnil\fcharset0 MS Sans Serif}} \viewkind4\uc1\pard\f0\fs16 CABLES BUJIAS RENAULT 11 BOBINA DE 70CM SILICONADOS\par } "</f>
        <v xml:space="preserve">{\rtf1\ansi\ansicpg1252\deff0\deflang2058{\fonttbl{\f0\fnil\fcharset0 MS Sans Serif}} \viewkind4\uc1\pard\f0\fs16 CABLES BUJIAS RENAULT 11 BOBINA DE 70CM SILICONADOS\par } </v>
      </c>
      <c r="AM468" t="str">
        <f t="shared" si="331"/>
        <v xml:space="preserve"> </v>
      </c>
    </row>
    <row r="469" spans="1:39" x14ac:dyDescent="0.25">
      <c r="A469" t="str">
        <f>"06-01754"</f>
        <v>06-01754</v>
      </c>
      <c r="B469" t="str">
        <f>"CABLES BUJIAS RENAULT 12 BOBINA DE 55CM SILICONADOS"</f>
        <v>CABLES BUJIAS RENAULT 12 BOBINA DE 55CM SILICONADOS</v>
      </c>
      <c r="C469" t="str">
        <f>"$ 11665,45"</f>
        <v>$ 11665,45</v>
      </c>
      <c r="D469" t="str">
        <f>"$ 11665,45"</f>
        <v>$ 11665,45</v>
      </c>
      <c r="E469" t="str">
        <f>"$ 11665,45"</f>
        <v>$ 11665,45</v>
      </c>
      <c r="F469" t="str">
        <f>"$ 5354,44"</f>
        <v>$ 5354,44</v>
      </c>
      <c r="G469" t="str">
        <f>"$ 5354,44"</f>
        <v>$ 5354,44</v>
      </c>
      <c r="H469" t="str">
        <f t="shared" si="312"/>
        <v>$ 0,00</v>
      </c>
      <c r="I469" t="str">
        <f t="shared" si="330"/>
        <v>CABLES BUJÍAS SILICONA ANTIPARASITARIOS</v>
      </c>
      <c r="J469" t="str">
        <f t="shared" si="313"/>
        <v>1</v>
      </c>
      <c r="K469" t="str">
        <f t="shared" si="295"/>
        <v>0</v>
      </c>
      <c r="L469" t="str">
        <f>"36,000"</f>
        <v>36,000</v>
      </c>
      <c r="M469" t="str">
        <f t="shared" si="314"/>
        <v xml:space="preserve"> </v>
      </c>
      <c r="N469" t="str">
        <f t="shared" si="335"/>
        <v>FERRAZZI</v>
      </c>
      <c r="O469" t="str">
        <f t="shared" si="332"/>
        <v>CABLES</v>
      </c>
      <c r="P469" t="str">
        <f t="shared" si="333"/>
        <v>0</v>
      </c>
      <c r="Q469" t="str">
        <f t="shared" si="333"/>
        <v>0</v>
      </c>
      <c r="R469" t="str">
        <f t="shared" si="334"/>
        <v>0,00</v>
      </c>
      <c r="S469" t="str">
        <f t="shared" si="334"/>
        <v>0,00</v>
      </c>
      <c r="T469" t="str">
        <f t="shared" si="336"/>
        <v xml:space="preserve"> </v>
      </c>
      <c r="U469" t="str">
        <f t="shared" si="298"/>
        <v xml:space="preserve"> </v>
      </c>
      <c r="V469" t="str">
        <f>"36,000"</f>
        <v>36,000</v>
      </c>
      <c r="W469" t="str">
        <f t="shared" si="315"/>
        <v>Lista 4</v>
      </c>
      <c r="X469" t="str">
        <f t="shared" si="316"/>
        <v>Lista 5</v>
      </c>
      <c r="Y469" t="str">
        <f t="shared" si="317"/>
        <v>Oferta Gral.</v>
      </c>
      <c r="Z469" t="str">
        <f t="shared" si="318"/>
        <v>Rubro</v>
      </c>
      <c r="AA469" t="str">
        <f t="shared" si="319"/>
        <v>Cantidad por Bulto</v>
      </c>
      <c r="AB469" t="str">
        <f t="shared" si="320"/>
        <v>INNER</v>
      </c>
      <c r="AC469" t="str">
        <f t="shared" si="321"/>
        <v>Stock en Bultos</v>
      </c>
      <c r="AD469" t="str">
        <f t="shared" si="322"/>
        <v>SubDepósito</v>
      </c>
      <c r="AE469" t="str">
        <f t="shared" si="323"/>
        <v>Marca</v>
      </c>
      <c r="AF469" t="str">
        <f t="shared" si="324"/>
        <v>Super Rubro</v>
      </c>
      <c r="AG469" t="str">
        <f t="shared" si="325"/>
        <v>ComercioExterior</v>
      </c>
      <c r="AH469" t="str">
        <f t="shared" si="326"/>
        <v>PrecioFOB</v>
      </c>
      <c r="AI469" t="str">
        <f t="shared" si="327"/>
        <v>Monto II</v>
      </c>
      <c r="AJ469" t="str">
        <f t="shared" si="328"/>
        <v>Porcentaje II</v>
      </c>
      <c r="AK469" t="str">
        <f t="shared" si="329"/>
        <v>Foto</v>
      </c>
      <c r="AL469" t="str">
        <f>"{\rtf1\ansi\ansicpg1252\deff0\deflang2058{\fonttbl{\f0\fnil\fcharset0 MS Sans Serif}} \viewkind4\uc1\pard\f0\fs16 CABLES BUJIAS RENAULT 12 BOBINA DE 55CM SILICONADOS\par } "</f>
        <v xml:space="preserve">{\rtf1\ansi\ansicpg1252\deff0\deflang2058{\fonttbl{\f0\fnil\fcharset0 MS Sans Serif}} \viewkind4\uc1\pard\f0\fs16 CABLES BUJIAS RENAULT 12 BOBINA DE 55CM SILICONADOS\par } </v>
      </c>
      <c r="AM469" t="str">
        <f t="shared" si="331"/>
        <v xml:space="preserve"> </v>
      </c>
    </row>
    <row r="470" spans="1:39" x14ac:dyDescent="0.25">
      <c r="A470" t="str">
        <f>"06-01758"</f>
        <v>06-01758</v>
      </c>
      <c r="B470" t="str">
        <f>"CABLES BUJIAS RENAULT 19 BOBINA LARGA 90 CM SILICONADOS"</f>
        <v>CABLES BUJIAS RENAULT 19 BOBINA LARGA 90 CM SILICONADOS</v>
      </c>
      <c r="C470" t="str">
        <f>"$ 15448,94"</f>
        <v>$ 15448,94</v>
      </c>
      <c r="D470" t="str">
        <f>"$ 15448,94"</f>
        <v>$ 15448,94</v>
      </c>
      <c r="E470" t="str">
        <f>"$ 15448,94"</f>
        <v>$ 15448,94</v>
      </c>
      <c r="F470" t="str">
        <f>"$ 7091,06"</f>
        <v>$ 7091,06</v>
      </c>
      <c r="G470" t="str">
        <f>"$ 7091,06"</f>
        <v>$ 7091,06</v>
      </c>
      <c r="H470" t="str">
        <f t="shared" si="312"/>
        <v>$ 0,00</v>
      </c>
      <c r="I470" t="str">
        <f t="shared" si="330"/>
        <v>CABLES BUJÍAS SILICONA ANTIPARASITARIOS</v>
      </c>
      <c r="J470" t="str">
        <f t="shared" si="313"/>
        <v>1</v>
      </c>
      <c r="K470" t="str">
        <f t="shared" si="295"/>
        <v>0</v>
      </c>
      <c r="L470" t="str">
        <f>"40,000"</f>
        <v>40,000</v>
      </c>
      <c r="M470" t="str">
        <f t="shared" si="314"/>
        <v xml:space="preserve"> </v>
      </c>
      <c r="N470" t="str">
        <f t="shared" si="335"/>
        <v>FERRAZZI</v>
      </c>
      <c r="O470" t="str">
        <f t="shared" si="332"/>
        <v>CABLES</v>
      </c>
      <c r="P470" t="str">
        <f t="shared" si="333"/>
        <v>0</v>
      </c>
      <c r="Q470" t="str">
        <f t="shared" si="333"/>
        <v>0</v>
      </c>
      <c r="R470" t="str">
        <f t="shared" si="334"/>
        <v>0,00</v>
      </c>
      <c r="S470" t="str">
        <f t="shared" si="334"/>
        <v>0,00</v>
      </c>
      <c r="T470" t="str">
        <f t="shared" si="336"/>
        <v xml:space="preserve"> </v>
      </c>
      <c r="U470" t="str">
        <f t="shared" si="298"/>
        <v xml:space="preserve"> </v>
      </c>
      <c r="V470" t="str">
        <f>"40,000"</f>
        <v>40,000</v>
      </c>
      <c r="W470" t="str">
        <f t="shared" si="315"/>
        <v>Lista 4</v>
      </c>
      <c r="X470" t="str">
        <f t="shared" si="316"/>
        <v>Lista 5</v>
      </c>
      <c r="Y470" t="str">
        <f t="shared" si="317"/>
        <v>Oferta Gral.</v>
      </c>
      <c r="Z470" t="str">
        <f t="shared" si="318"/>
        <v>Rubro</v>
      </c>
      <c r="AA470" t="str">
        <f t="shared" si="319"/>
        <v>Cantidad por Bulto</v>
      </c>
      <c r="AB470" t="str">
        <f t="shared" si="320"/>
        <v>INNER</v>
      </c>
      <c r="AC470" t="str">
        <f t="shared" si="321"/>
        <v>Stock en Bultos</v>
      </c>
      <c r="AD470" t="str">
        <f t="shared" si="322"/>
        <v>SubDepósito</v>
      </c>
      <c r="AE470" t="str">
        <f t="shared" si="323"/>
        <v>Marca</v>
      </c>
      <c r="AF470" t="str">
        <f t="shared" si="324"/>
        <v>Super Rubro</v>
      </c>
      <c r="AG470" t="str">
        <f t="shared" si="325"/>
        <v>ComercioExterior</v>
      </c>
      <c r="AH470" t="str">
        <f t="shared" si="326"/>
        <v>PrecioFOB</v>
      </c>
      <c r="AI470" t="str">
        <f t="shared" si="327"/>
        <v>Monto II</v>
      </c>
      <c r="AJ470" t="str">
        <f t="shared" si="328"/>
        <v>Porcentaje II</v>
      </c>
      <c r="AK470" t="str">
        <f t="shared" si="329"/>
        <v>Foto</v>
      </c>
      <c r="AL470" t="str">
        <f>"{\rtf1\ansi\ansicpg1252\deff0\deflang2058{\fonttbl{\f0\fnil\fcharset0 MS Sans Serif}} \viewkind4\uc1\pard\f0\fs16 CABLES BUJIAS RENAULT 19 BOBINA LARGA 90 CM SILICONADOS\par } "</f>
        <v xml:space="preserve">{\rtf1\ansi\ansicpg1252\deff0\deflang2058{\fonttbl{\f0\fnil\fcharset0 MS Sans Serif}} \viewkind4\uc1\pard\f0\fs16 CABLES BUJIAS RENAULT 19 BOBINA LARGA 90 CM SILICONADOS\par } </v>
      </c>
      <c r="AM470" t="str">
        <f t="shared" si="331"/>
        <v xml:space="preserve"> </v>
      </c>
    </row>
    <row r="471" spans="1:39" x14ac:dyDescent="0.25">
      <c r="A471" t="str">
        <f>"06-01756"</f>
        <v>06-01756</v>
      </c>
      <c r="B471" t="str">
        <f>"CABLES BUJIAS RENAULT 19 RT 1.7 - 1.8 BOB. SECA DUCELLIER SILICONADOS"</f>
        <v>CABLES BUJIAS RENAULT 19 RT 1.7 - 1.8 BOB. SECA DUCELLIER SILICONADOS</v>
      </c>
      <c r="C471" t="str">
        <f>"$ 17697,17"</f>
        <v>$ 17697,17</v>
      </c>
      <c r="D471" t="str">
        <f>"$ 17697,17"</f>
        <v>$ 17697,17</v>
      </c>
      <c r="E471" t="str">
        <f>"$ 17697,17"</f>
        <v>$ 17697,17</v>
      </c>
      <c r="F471" t="str">
        <f>"$ 8123,00"</f>
        <v>$ 8123,00</v>
      </c>
      <c r="G471" t="str">
        <f>"$ 8123,00"</f>
        <v>$ 8123,00</v>
      </c>
      <c r="H471" t="str">
        <f t="shared" si="312"/>
        <v>$ 0,00</v>
      </c>
      <c r="I471" t="str">
        <f t="shared" si="330"/>
        <v>CABLES BUJÍAS SILICONA ANTIPARASITARIOS</v>
      </c>
      <c r="J471" t="str">
        <f t="shared" si="313"/>
        <v>1</v>
      </c>
      <c r="K471" t="str">
        <f t="shared" ref="K471:K534" si="337">"0"</f>
        <v>0</v>
      </c>
      <c r="L471" t="str">
        <f>"10,000"</f>
        <v>10,000</v>
      </c>
      <c r="M471" t="str">
        <f t="shared" si="314"/>
        <v xml:space="preserve"> </v>
      </c>
      <c r="N471" t="str">
        <f t="shared" si="335"/>
        <v>FERRAZZI</v>
      </c>
      <c r="O471" t="str">
        <f t="shared" si="332"/>
        <v>CABLES</v>
      </c>
      <c r="P471" t="str">
        <f t="shared" si="333"/>
        <v>0</v>
      </c>
      <c r="Q471" t="str">
        <f t="shared" si="333"/>
        <v>0</v>
      </c>
      <c r="R471" t="str">
        <f t="shared" si="334"/>
        <v>0,00</v>
      </c>
      <c r="S471" t="str">
        <f t="shared" si="334"/>
        <v>0,00</v>
      </c>
      <c r="T471" t="str">
        <f t="shared" si="336"/>
        <v xml:space="preserve"> </v>
      </c>
      <c r="U471" t="str">
        <f t="shared" si="298"/>
        <v xml:space="preserve"> </v>
      </c>
      <c r="V471" t="str">
        <f>"10,000"</f>
        <v>10,000</v>
      </c>
      <c r="W471" t="str">
        <f t="shared" si="315"/>
        <v>Lista 4</v>
      </c>
      <c r="X471" t="str">
        <f t="shared" si="316"/>
        <v>Lista 5</v>
      </c>
      <c r="Y471" t="str">
        <f t="shared" si="317"/>
        <v>Oferta Gral.</v>
      </c>
      <c r="Z471" t="str">
        <f t="shared" si="318"/>
        <v>Rubro</v>
      </c>
      <c r="AA471" t="str">
        <f t="shared" si="319"/>
        <v>Cantidad por Bulto</v>
      </c>
      <c r="AB471" t="str">
        <f t="shared" si="320"/>
        <v>INNER</v>
      </c>
      <c r="AC471" t="str">
        <f t="shared" si="321"/>
        <v>Stock en Bultos</v>
      </c>
      <c r="AD471" t="str">
        <f t="shared" si="322"/>
        <v>SubDepósito</v>
      </c>
      <c r="AE471" t="str">
        <f t="shared" si="323"/>
        <v>Marca</v>
      </c>
      <c r="AF471" t="str">
        <f t="shared" si="324"/>
        <v>Super Rubro</v>
      </c>
      <c r="AG471" t="str">
        <f t="shared" si="325"/>
        <v>ComercioExterior</v>
      </c>
      <c r="AH471" t="str">
        <f t="shared" si="326"/>
        <v>PrecioFOB</v>
      </c>
      <c r="AI471" t="str">
        <f t="shared" si="327"/>
        <v>Monto II</v>
      </c>
      <c r="AJ471" t="str">
        <f t="shared" si="328"/>
        <v>Porcentaje II</v>
      </c>
      <c r="AK471" t="str">
        <f t="shared" si="329"/>
        <v>Foto</v>
      </c>
      <c r="AL471" t="str">
        <f>"{\rtf1\ansi\ansicpg1252\deff0\deflang2058{\fonttbl{\f0\fnil\fcharset0 MS Sans Serif}} \viewkind4\uc1\pard\f0\fs16 CABLES BUJIAS RENAULT 19 RT 1.7 - 1.8 BOB. SECA DUCELLIER SILICONADOS\par } "</f>
        <v xml:space="preserve">{\rtf1\ansi\ansicpg1252\deff0\deflang2058{\fonttbl{\f0\fnil\fcharset0 MS Sans Serif}} \viewkind4\uc1\pard\f0\fs16 CABLES BUJIAS RENAULT 19 RT 1.7 - 1.8 BOB. SECA DUCELLIER SILICONADOS\par } </v>
      </c>
      <c r="AM471" t="str">
        <f t="shared" si="331"/>
        <v xml:space="preserve"> </v>
      </c>
    </row>
    <row r="472" spans="1:39" x14ac:dyDescent="0.25">
      <c r="A472" t="str">
        <f>"06-01715"</f>
        <v>06-01715</v>
      </c>
      <c r="B472" t="str">
        <f>"CABLES BUJIAS RENAULT 9 11 ENC. MARELLI BOB SECA SILICONADOS"</f>
        <v>CABLES BUJIAS RENAULT 9 11 ENC. MARELLI BOB SECA SILICONADOS</v>
      </c>
      <c r="C472" t="str">
        <f>"$ 14082,79"</f>
        <v>$ 14082,79</v>
      </c>
      <c r="D472" t="str">
        <f>"$ 14082,79"</f>
        <v>$ 14082,79</v>
      </c>
      <c r="E472" t="str">
        <f>"$ 14082,79"</f>
        <v>$ 14082,79</v>
      </c>
      <c r="F472" t="str">
        <f>"$ 6464,00"</f>
        <v>$ 6464,00</v>
      </c>
      <c r="G472" t="str">
        <f>"$ 6464,00"</f>
        <v>$ 6464,00</v>
      </c>
      <c r="H472" t="str">
        <f t="shared" si="312"/>
        <v>$ 0,00</v>
      </c>
      <c r="I472" t="str">
        <f t="shared" si="330"/>
        <v>CABLES BUJÍAS SILICONA ANTIPARASITARIOS</v>
      </c>
      <c r="J472" t="str">
        <f t="shared" si="313"/>
        <v>1</v>
      </c>
      <c r="K472" t="str">
        <f t="shared" si="337"/>
        <v>0</v>
      </c>
      <c r="L472" t="str">
        <f>"29,000"</f>
        <v>29,000</v>
      </c>
      <c r="M472" t="str">
        <f t="shared" si="314"/>
        <v xml:space="preserve"> </v>
      </c>
      <c r="N472" t="str">
        <f t="shared" si="335"/>
        <v>FERRAZZI</v>
      </c>
      <c r="O472" t="str">
        <f t="shared" si="332"/>
        <v>CABLES</v>
      </c>
      <c r="P472" t="str">
        <f t="shared" si="333"/>
        <v>0</v>
      </c>
      <c r="Q472" t="str">
        <f t="shared" si="333"/>
        <v>0</v>
      </c>
      <c r="R472" t="str">
        <f t="shared" si="334"/>
        <v>0,00</v>
      </c>
      <c r="S472" t="str">
        <f t="shared" si="334"/>
        <v>0,00</v>
      </c>
      <c r="T472" t="str">
        <f t="shared" si="336"/>
        <v xml:space="preserve"> </v>
      </c>
      <c r="U472" t="str">
        <f t="shared" si="298"/>
        <v xml:space="preserve"> </v>
      </c>
      <c r="V472" t="str">
        <f>"29,000"</f>
        <v>29,000</v>
      </c>
      <c r="W472" t="str">
        <f t="shared" si="315"/>
        <v>Lista 4</v>
      </c>
      <c r="X472" t="str">
        <f t="shared" si="316"/>
        <v>Lista 5</v>
      </c>
      <c r="Y472" t="str">
        <f t="shared" si="317"/>
        <v>Oferta Gral.</v>
      </c>
      <c r="Z472" t="str">
        <f t="shared" si="318"/>
        <v>Rubro</v>
      </c>
      <c r="AA472" t="str">
        <f t="shared" si="319"/>
        <v>Cantidad por Bulto</v>
      </c>
      <c r="AB472" t="str">
        <f t="shared" si="320"/>
        <v>INNER</v>
      </c>
      <c r="AC472" t="str">
        <f t="shared" si="321"/>
        <v>Stock en Bultos</v>
      </c>
      <c r="AD472" t="str">
        <f t="shared" si="322"/>
        <v>SubDepósito</v>
      </c>
      <c r="AE472" t="str">
        <f t="shared" si="323"/>
        <v>Marca</v>
      </c>
      <c r="AF472" t="str">
        <f t="shared" si="324"/>
        <v>Super Rubro</v>
      </c>
      <c r="AG472" t="str">
        <f t="shared" si="325"/>
        <v>ComercioExterior</v>
      </c>
      <c r="AH472" t="str">
        <f t="shared" si="326"/>
        <v>PrecioFOB</v>
      </c>
      <c r="AI472" t="str">
        <f t="shared" si="327"/>
        <v>Monto II</v>
      </c>
      <c r="AJ472" t="str">
        <f t="shared" si="328"/>
        <v>Porcentaje II</v>
      </c>
      <c r="AK472" t="str">
        <f t="shared" si="329"/>
        <v>Foto</v>
      </c>
      <c r="AL472" t="str">
        <f>"{\rtf1\ansi\ansicpg1252\deff0\deflang2058{\fonttbl{\f0\fnil\fcharset0 MS Sans Serif}} \viewkind4\uc1\pard\f0\fs16 CABLES BUJIAS RENAULT 9 11 ENC. MARELLI BOB SECA SILICONADOS\par } "</f>
        <v xml:space="preserve">{\rtf1\ansi\ansicpg1252\deff0\deflang2058{\fonttbl{\f0\fnil\fcharset0 MS Sans Serif}} \viewkind4\uc1\pard\f0\fs16 CABLES BUJIAS RENAULT 9 11 ENC. MARELLI BOB SECA SILICONADOS\par } </v>
      </c>
      <c r="AM472" t="str">
        <f t="shared" si="331"/>
        <v xml:space="preserve"> </v>
      </c>
    </row>
    <row r="473" spans="1:39" x14ac:dyDescent="0.25">
      <c r="A473" t="str">
        <f>"06-01794"</f>
        <v>06-01794</v>
      </c>
      <c r="B473" t="str">
        <f>"CABLES BUJIAS RENAULT 9 19 BOBINA SECA LARGO 110 CM SILICONADOS"</f>
        <v>CABLES BUJIAS RENAULT 9 19 BOBINA SECA LARGO 110 CM SILICONADOS</v>
      </c>
      <c r="C473" t="str">
        <f>"$ 16456,37"</f>
        <v>$ 16456,37</v>
      </c>
      <c r="D473" t="str">
        <f>"$ 16456,37"</f>
        <v>$ 16456,37</v>
      </c>
      <c r="E473" t="str">
        <f>"$ 16456,37"</f>
        <v>$ 16456,37</v>
      </c>
      <c r="F473" t="str">
        <f>"$ 7553,47"</f>
        <v>$ 7553,47</v>
      </c>
      <c r="G473" t="str">
        <f>"$ 7553,47"</f>
        <v>$ 7553,47</v>
      </c>
      <c r="H473" t="str">
        <f t="shared" si="312"/>
        <v>$ 0,00</v>
      </c>
      <c r="I473" t="str">
        <f t="shared" si="330"/>
        <v>CABLES BUJÍAS SILICONA ANTIPARASITARIOS</v>
      </c>
      <c r="J473" t="str">
        <f t="shared" si="313"/>
        <v>1</v>
      </c>
      <c r="K473" t="str">
        <f t="shared" si="337"/>
        <v>0</v>
      </c>
      <c r="L473" t="str">
        <f>"11,000"</f>
        <v>11,000</v>
      </c>
      <c r="M473" t="str">
        <f t="shared" si="314"/>
        <v xml:space="preserve"> </v>
      </c>
      <c r="N473" t="str">
        <f t="shared" si="335"/>
        <v>FERRAZZI</v>
      </c>
      <c r="O473" t="str">
        <f t="shared" si="332"/>
        <v>CABLES</v>
      </c>
      <c r="P473" t="str">
        <f t="shared" si="333"/>
        <v>0</v>
      </c>
      <c r="Q473" t="str">
        <f t="shared" si="333"/>
        <v>0</v>
      </c>
      <c r="R473" t="str">
        <f t="shared" si="334"/>
        <v>0,00</v>
      </c>
      <c r="S473" t="str">
        <f t="shared" si="334"/>
        <v>0,00</v>
      </c>
      <c r="T473" t="str">
        <f t="shared" si="336"/>
        <v xml:space="preserve"> </v>
      </c>
      <c r="U473" t="str">
        <f t="shared" si="298"/>
        <v xml:space="preserve"> </v>
      </c>
      <c r="V473" t="str">
        <f>"11,000"</f>
        <v>11,000</v>
      </c>
      <c r="W473" t="str">
        <f t="shared" si="315"/>
        <v>Lista 4</v>
      </c>
      <c r="X473" t="str">
        <f t="shared" si="316"/>
        <v>Lista 5</v>
      </c>
      <c r="Y473" t="str">
        <f t="shared" si="317"/>
        <v>Oferta Gral.</v>
      </c>
      <c r="Z473" t="str">
        <f t="shared" si="318"/>
        <v>Rubro</v>
      </c>
      <c r="AA473" t="str">
        <f t="shared" si="319"/>
        <v>Cantidad por Bulto</v>
      </c>
      <c r="AB473" t="str">
        <f t="shared" si="320"/>
        <v>INNER</v>
      </c>
      <c r="AC473" t="str">
        <f t="shared" si="321"/>
        <v>Stock en Bultos</v>
      </c>
      <c r="AD473" t="str">
        <f t="shared" si="322"/>
        <v>SubDepósito</v>
      </c>
      <c r="AE473" t="str">
        <f t="shared" si="323"/>
        <v>Marca</v>
      </c>
      <c r="AF473" t="str">
        <f t="shared" si="324"/>
        <v>Super Rubro</v>
      </c>
      <c r="AG473" t="str">
        <f t="shared" si="325"/>
        <v>ComercioExterior</v>
      </c>
      <c r="AH473" t="str">
        <f t="shared" si="326"/>
        <v>PrecioFOB</v>
      </c>
      <c r="AI473" t="str">
        <f t="shared" si="327"/>
        <v>Monto II</v>
      </c>
      <c r="AJ473" t="str">
        <f t="shared" si="328"/>
        <v>Porcentaje II</v>
      </c>
      <c r="AK473" t="str">
        <f t="shared" si="329"/>
        <v>Foto</v>
      </c>
      <c r="AL473" t="str">
        <f>"{\rtf1\ansi\ansicpg1252\deff0\deflang2058{\fonttbl{\f0\fnil\fcharset0 MS Sans Serif}} \viewkind4\uc1\pard\f0\fs16 CABLES BUJIAS RENAULT 9 19 BOBINA SECA LARGO 110 CM SILICONADOS\par } "</f>
        <v xml:space="preserve">{\rtf1\ansi\ansicpg1252\deff0\deflang2058{\fonttbl{\f0\fnil\fcharset0 MS Sans Serif}} \viewkind4\uc1\pard\f0\fs16 CABLES BUJIAS RENAULT 9 19 BOBINA SECA LARGO 110 CM SILICONADOS\par } </v>
      </c>
      <c r="AM473" t="str">
        <f t="shared" si="331"/>
        <v xml:space="preserve"> </v>
      </c>
    </row>
    <row r="474" spans="1:39" x14ac:dyDescent="0.25">
      <c r="A474" t="str">
        <f>"06-01783"</f>
        <v>06-01783</v>
      </c>
      <c r="B474" t="str">
        <f>"CABLES BUJIAS RENAULT FUEGO 18 21 2.0 8V SILICONADOS"</f>
        <v>CABLES BUJIAS RENAULT FUEGO 18 21 2.0 8V SILICONADOS</v>
      </c>
      <c r="C474" t="str">
        <f>"$ 15807,65"</f>
        <v>$ 15807,65</v>
      </c>
      <c r="D474" t="str">
        <f>"$ 15807,65"</f>
        <v>$ 15807,65</v>
      </c>
      <c r="E474" t="str">
        <f>"$ 15807,65"</f>
        <v>$ 15807,65</v>
      </c>
      <c r="F474" t="str">
        <f>"$ 7255,71"</f>
        <v>$ 7255,71</v>
      </c>
      <c r="G474" t="str">
        <f>"$ 7255,71"</f>
        <v>$ 7255,71</v>
      </c>
      <c r="H474" t="str">
        <f t="shared" si="312"/>
        <v>$ 0,00</v>
      </c>
      <c r="I474" t="str">
        <f t="shared" si="330"/>
        <v>CABLES BUJÍAS SILICONA ANTIPARASITARIOS</v>
      </c>
      <c r="J474" t="str">
        <f t="shared" si="313"/>
        <v>1</v>
      </c>
      <c r="K474" t="str">
        <f t="shared" si="337"/>
        <v>0</v>
      </c>
      <c r="L474" t="str">
        <f>"8,000"</f>
        <v>8,000</v>
      </c>
      <c r="M474" t="str">
        <f t="shared" si="314"/>
        <v xml:space="preserve"> </v>
      </c>
      <c r="N474" t="str">
        <f t="shared" si="335"/>
        <v>FERRAZZI</v>
      </c>
      <c r="O474" t="str">
        <f t="shared" si="332"/>
        <v>CABLES</v>
      </c>
      <c r="P474" t="str">
        <f t="shared" si="333"/>
        <v>0</v>
      </c>
      <c r="Q474" t="str">
        <f t="shared" si="333"/>
        <v>0</v>
      </c>
      <c r="R474" t="str">
        <f t="shared" si="334"/>
        <v>0,00</v>
      </c>
      <c r="S474" t="str">
        <f t="shared" si="334"/>
        <v>0,00</v>
      </c>
      <c r="T474" t="str">
        <f t="shared" si="336"/>
        <v xml:space="preserve"> </v>
      </c>
      <c r="U474" t="str">
        <f t="shared" si="298"/>
        <v xml:space="preserve"> </v>
      </c>
      <c r="V474" t="str">
        <f>"8,000"</f>
        <v>8,000</v>
      </c>
      <c r="W474" t="str">
        <f t="shared" si="315"/>
        <v>Lista 4</v>
      </c>
      <c r="X474" t="str">
        <f t="shared" si="316"/>
        <v>Lista 5</v>
      </c>
      <c r="Y474" t="str">
        <f t="shared" si="317"/>
        <v>Oferta Gral.</v>
      </c>
      <c r="Z474" t="str">
        <f t="shared" si="318"/>
        <v>Rubro</v>
      </c>
      <c r="AA474" t="str">
        <f t="shared" si="319"/>
        <v>Cantidad por Bulto</v>
      </c>
      <c r="AB474" t="str">
        <f t="shared" si="320"/>
        <v>INNER</v>
      </c>
      <c r="AC474" t="str">
        <f t="shared" si="321"/>
        <v>Stock en Bultos</v>
      </c>
      <c r="AD474" t="str">
        <f t="shared" si="322"/>
        <v>SubDepósito</v>
      </c>
      <c r="AE474" t="str">
        <f t="shared" si="323"/>
        <v>Marca</v>
      </c>
      <c r="AF474" t="str">
        <f t="shared" si="324"/>
        <v>Super Rubro</v>
      </c>
      <c r="AG474" t="str">
        <f t="shared" si="325"/>
        <v>ComercioExterior</v>
      </c>
      <c r="AH474" t="str">
        <f t="shared" si="326"/>
        <v>PrecioFOB</v>
      </c>
      <c r="AI474" t="str">
        <f t="shared" si="327"/>
        <v>Monto II</v>
      </c>
      <c r="AJ474" t="str">
        <f t="shared" si="328"/>
        <v>Porcentaje II</v>
      </c>
      <c r="AK474" t="str">
        <f t="shared" si="329"/>
        <v>Foto</v>
      </c>
      <c r="AL474" t="str">
        <f>"{\rtf1\ansi\ansicpg1252\deff0\deflang2058{\fonttbl{\f0\fnil\fcharset0 MS Sans Serif}} \viewkind4\uc1\pard\f0\fs16 CABLES BUJIAS RENAULT FUEGO 18 21 2.0 8V SILICONADOS\par } "</f>
        <v xml:space="preserve">{\rtf1\ansi\ansicpg1252\deff0\deflang2058{\fonttbl{\f0\fnil\fcharset0 MS Sans Serif}} \viewkind4\uc1\pard\f0\fs16 CABLES BUJIAS RENAULT FUEGO 18 21 2.0 8V SILICONADOS\par } </v>
      </c>
      <c r="AM474" t="str">
        <f t="shared" si="331"/>
        <v xml:space="preserve"> </v>
      </c>
    </row>
    <row r="475" spans="1:39" x14ac:dyDescent="0.25">
      <c r="A475" t="str">
        <f>"06-01788"</f>
        <v>06-01788</v>
      </c>
      <c r="B475" t="str">
        <f>"CABLES BUJIAS RENAULT TRAFIC 2.0 - 2.2 BOBINA DIN SILICONADOS"</f>
        <v>CABLES BUJIAS RENAULT TRAFIC 2.0 - 2.2 BOBINA DIN SILICONADOS</v>
      </c>
      <c r="C475" t="str">
        <f>"$ 20745,04"</f>
        <v>$ 20745,04</v>
      </c>
      <c r="D475" t="str">
        <f>"$ 20745,04"</f>
        <v>$ 20745,04</v>
      </c>
      <c r="E475" t="str">
        <f>"$ 20745,04"</f>
        <v>$ 20745,04</v>
      </c>
      <c r="F475" t="str">
        <f>"$ 9521,97"</f>
        <v>$ 9521,97</v>
      </c>
      <c r="G475" t="str">
        <f>"$ 9521,97"</f>
        <v>$ 9521,97</v>
      </c>
      <c r="H475" t="str">
        <f t="shared" si="312"/>
        <v>$ 0,00</v>
      </c>
      <c r="I475" t="str">
        <f t="shared" si="330"/>
        <v>CABLES BUJÍAS SILICONA ANTIPARASITARIOS</v>
      </c>
      <c r="J475" t="str">
        <f t="shared" si="313"/>
        <v>1</v>
      </c>
      <c r="K475" t="str">
        <f t="shared" si="337"/>
        <v>0</v>
      </c>
      <c r="L475" t="str">
        <f>"9,000"</f>
        <v>9,000</v>
      </c>
      <c r="M475" t="str">
        <f t="shared" si="314"/>
        <v xml:space="preserve"> </v>
      </c>
      <c r="N475" t="str">
        <f t="shared" si="335"/>
        <v>FERRAZZI</v>
      </c>
      <c r="O475" t="str">
        <f t="shared" si="332"/>
        <v>CABLES</v>
      </c>
      <c r="P475" t="str">
        <f t="shared" si="333"/>
        <v>0</v>
      </c>
      <c r="Q475" t="str">
        <f t="shared" si="333"/>
        <v>0</v>
      </c>
      <c r="R475" t="str">
        <f t="shared" si="334"/>
        <v>0,00</v>
      </c>
      <c r="S475" t="str">
        <f t="shared" si="334"/>
        <v>0,00</v>
      </c>
      <c r="T475" t="str">
        <f t="shared" si="336"/>
        <v xml:space="preserve"> </v>
      </c>
      <c r="U475" t="str">
        <f t="shared" si="298"/>
        <v xml:space="preserve"> </v>
      </c>
      <c r="V475" t="str">
        <f>"9,000"</f>
        <v>9,000</v>
      </c>
      <c r="W475" t="str">
        <f t="shared" si="315"/>
        <v>Lista 4</v>
      </c>
      <c r="X475" t="str">
        <f t="shared" si="316"/>
        <v>Lista 5</v>
      </c>
      <c r="Y475" t="str">
        <f t="shared" si="317"/>
        <v>Oferta Gral.</v>
      </c>
      <c r="Z475" t="str">
        <f t="shared" si="318"/>
        <v>Rubro</v>
      </c>
      <c r="AA475" t="str">
        <f t="shared" si="319"/>
        <v>Cantidad por Bulto</v>
      </c>
      <c r="AB475" t="str">
        <f t="shared" si="320"/>
        <v>INNER</v>
      </c>
      <c r="AC475" t="str">
        <f t="shared" si="321"/>
        <v>Stock en Bultos</v>
      </c>
      <c r="AD475" t="str">
        <f t="shared" si="322"/>
        <v>SubDepósito</v>
      </c>
      <c r="AE475" t="str">
        <f t="shared" si="323"/>
        <v>Marca</v>
      </c>
      <c r="AF475" t="str">
        <f t="shared" si="324"/>
        <v>Super Rubro</v>
      </c>
      <c r="AG475" t="str">
        <f t="shared" si="325"/>
        <v>ComercioExterior</v>
      </c>
      <c r="AH475" t="str">
        <f t="shared" si="326"/>
        <v>PrecioFOB</v>
      </c>
      <c r="AI475" t="str">
        <f t="shared" si="327"/>
        <v>Monto II</v>
      </c>
      <c r="AJ475" t="str">
        <f t="shared" si="328"/>
        <v>Porcentaje II</v>
      </c>
      <c r="AK475" t="str">
        <f t="shared" si="329"/>
        <v>Foto</v>
      </c>
      <c r="AL475" t="str">
        <f>"{\rtf1\ansi\ansicpg1252\deff0\deflang2058{\fonttbl{\f0\fnil\fcharset0 MS Sans Serif}} \viewkind4\uc1\pard\f0\fs16 CABLES BUJIAS RENAULT TRAFIC 2.0 - 2.2 BOBINA DIN SILICONADOS\par } "</f>
        <v xml:space="preserve">{\rtf1\ansi\ansicpg1252\deff0\deflang2058{\fonttbl{\f0\fnil\fcharset0 MS Sans Serif}} \viewkind4\uc1\pard\f0\fs16 CABLES BUJIAS RENAULT TRAFIC 2.0 - 2.2 BOBINA DIN SILICONADOS\par } </v>
      </c>
      <c r="AM475" t="str">
        <f t="shared" si="331"/>
        <v xml:space="preserve"> </v>
      </c>
    </row>
    <row r="476" spans="1:39" x14ac:dyDescent="0.25">
      <c r="A476" t="str">
        <f>"06-01751"</f>
        <v>06-01751</v>
      </c>
      <c r="B476" t="str">
        <f>"CABLES BUJIAS TORINO MOTOR TORNADO SILICONADOS"</f>
        <v>CABLES BUJIAS TORINO MOTOR TORNADO SILICONADOS</v>
      </c>
      <c r="C476" t="str">
        <f>"$ 27704,76"</f>
        <v>$ 27704,76</v>
      </c>
      <c r="D476" t="str">
        <f>"$ 27704,76"</f>
        <v>$ 27704,76</v>
      </c>
      <c r="E476" t="str">
        <f>"$ 27704,76"</f>
        <v>$ 27704,76</v>
      </c>
      <c r="F476" t="str">
        <f>"$ 12716,48"</f>
        <v>$ 12716,48</v>
      </c>
      <c r="G476" t="str">
        <f>"$ 12716,48"</f>
        <v>$ 12716,48</v>
      </c>
      <c r="H476" t="str">
        <f t="shared" si="312"/>
        <v>$ 0,00</v>
      </c>
      <c r="I476" t="str">
        <f t="shared" si="330"/>
        <v>CABLES BUJÍAS SILICONA ANTIPARASITARIOS</v>
      </c>
      <c r="J476" t="str">
        <f t="shared" si="313"/>
        <v>1</v>
      </c>
      <c r="K476" t="str">
        <f t="shared" si="337"/>
        <v>0</v>
      </c>
      <c r="L476" t="str">
        <f>"10,000"</f>
        <v>10,000</v>
      </c>
      <c r="M476" t="str">
        <f t="shared" si="314"/>
        <v xml:space="preserve"> </v>
      </c>
      <c r="N476" t="str">
        <f t="shared" si="335"/>
        <v>FERRAZZI</v>
      </c>
      <c r="O476" t="str">
        <f t="shared" si="332"/>
        <v>CABLES</v>
      </c>
      <c r="P476" t="str">
        <f t="shared" si="333"/>
        <v>0</v>
      </c>
      <c r="Q476" t="str">
        <f t="shared" si="333"/>
        <v>0</v>
      </c>
      <c r="R476" t="str">
        <f t="shared" si="334"/>
        <v>0,00</v>
      </c>
      <c r="S476" t="str">
        <f t="shared" si="334"/>
        <v>0,00</v>
      </c>
      <c r="T476" t="str">
        <f t="shared" si="336"/>
        <v xml:space="preserve"> </v>
      </c>
      <c r="U476" t="str">
        <f t="shared" si="298"/>
        <v xml:space="preserve"> </v>
      </c>
      <c r="V476" t="str">
        <f>"10,000"</f>
        <v>10,000</v>
      </c>
      <c r="W476" t="str">
        <f t="shared" si="315"/>
        <v>Lista 4</v>
      </c>
      <c r="X476" t="str">
        <f t="shared" si="316"/>
        <v>Lista 5</v>
      </c>
      <c r="Y476" t="str">
        <f t="shared" si="317"/>
        <v>Oferta Gral.</v>
      </c>
      <c r="Z476" t="str">
        <f t="shared" si="318"/>
        <v>Rubro</v>
      </c>
      <c r="AA476" t="str">
        <f t="shared" si="319"/>
        <v>Cantidad por Bulto</v>
      </c>
      <c r="AB476" t="str">
        <f t="shared" si="320"/>
        <v>INNER</v>
      </c>
      <c r="AC476" t="str">
        <f t="shared" si="321"/>
        <v>Stock en Bultos</v>
      </c>
      <c r="AD476" t="str">
        <f t="shared" si="322"/>
        <v>SubDepósito</v>
      </c>
      <c r="AE476" t="str">
        <f t="shared" si="323"/>
        <v>Marca</v>
      </c>
      <c r="AF476" t="str">
        <f t="shared" si="324"/>
        <v>Super Rubro</v>
      </c>
      <c r="AG476" t="str">
        <f t="shared" si="325"/>
        <v>ComercioExterior</v>
      </c>
      <c r="AH476" t="str">
        <f t="shared" si="326"/>
        <v>PrecioFOB</v>
      </c>
      <c r="AI476" t="str">
        <f t="shared" si="327"/>
        <v>Monto II</v>
      </c>
      <c r="AJ476" t="str">
        <f t="shared" si="328"/>
        <v>Porcentaje II</v>
      </c>
      <c r="AK476" t="str">
        <f t="shared" si="329"/>
        <v>Foto</v>
      </c>
      <c r="AL476" t="str">
        <f>"{\rtf1\ansi\ansicpg1252\deff0\deflang2058{\fonttbl{\f0\fnil\fcharset0 MS Sans Serif}} \viewkind4\uc1\pard\f0\fs16 CABLES BUJIAS TORINO MOTOR TORNADO SILICONADOS\par } "</f>
        <v xml:space="preserve">{\rtf1\ansi\ansicpg1252\deff0\deflang2058{\fonttbl{\f0\fnil\fcharset0 MS Sans Serif}} \viewkind4\uc1\pard\f0\fs16 CABLES BUJIAS TORINO MOTOR TORNADO SILICONADOS\par } </v>
      </c>
      <c r="AM476" t="str">
        <f t="shared" si="331"/>
        <v xml:space="preserve"> </v>
      </c>
    </row>
    <row r="477" spans="1:39" x14ac:dyDescent="0.25">
      <c r="A477" t="str">
        <f>"40-01701"</f>
        <v>40-01701</v>
      </c>
      <c r="B477" t="str">
        <f>"CABLES BUJÍAS CHERY TIGGO 2.0 16V DESDE 2009"</f>
        <v>CABLES BUJÍAS CHERY TIGGO 2.0 16V DESDE 2009</v>
      </c>
      <c r="C477" t="str">
        <f>"$ 35485,31"</f>
        <v>$ 35485,31</v>
      </c>
      <c r="D477" t="str">
        <f>"$ 35485,31"</f>
        <v>$ 35485,31</v>
      </c>
      <c r="E477" t="str">
        <f>"$ 35485,31"</f>
        <v>$ 35485,31</v>
      </c>
      <c r="F477" t="str">
        <f>"$ 35485,31"</f>
        <v>$ 35485,31</v>
      </c>
      <c r="G477" t="str">
        <f>"$ 35485,31"</f>
        <v>$ 35485,31</v>
      </c>
      <c r="H477" t="str">
        <f t="shared" si="312"/>
        <v>$ 0,00</v>
      </c>
      <c r="I477" t="str">
        <f t="shared" si="330"/>
        <v>CABLES BUJÍAS SILICONA ANTIPARASITARIOS</v>
      </c>
      <c r="J477" t="str">
        <f t="shared" si="313"/>
        <v>1</v>
      </c>
      <c r="K477" t="str">
        <f t="shared" si="337"/>
        <v>0</v>
      </c>
      <c r="L477" t="str">
        <f>"10,000"</f>
        <v>10,000</v>
      </c>
      <c r="M477" t="str">
        <f t="shared" si="314"/>
        <v xml:space="preserve"> </v>
      </c>
      <c r="N477" t="str">
        <f t="shared" si="335"/>
        <v>FERRAZZI</v>
      </c>
      <c r="O477" t="str">
        <f t="shared" si="332"/>
        <v>CABLES</v>
      </c>
      <c r="P477" t="str">
        <f t="shared" si="333"/>
        <v>0</v>
      </c>
      <c r="Q477" t="str">
        <f t="shared" si="333"/>
        <v>0</v>
      </c>
      <c r="R477" t="str">
        <f t="shared" si="334"/>
        <v>0,00</v>
      </c>
      <c r="S477" t="str">
        <f t="shared" si="334"/>
        <v>0,00</v>
      </c>
      <c r="T477" t="str">
        <f t="shared" si="336"/>
        <v xml:space="preserve"> </v>
      </c>
      <c r="U477" t="str">
        <f t="shared" ref="U477:U540" si="338">" "</f>
        <v xml:space="preserve"> </v>
      </c>
      <c r="V477" t="str">
        <f>"10,000"</f>
        <v>10,000</v>
      </c>
      <c r="W477" t="str">
        <f t="shared" si="315"/>
        <v>Lista 4</v>
      </c>
      <c r="X477" t="str">
        <f t="shared" si="316"/>
        <v>Lista 5</v>
      </c>
      <c r="Y477" t="str">
        <f t="shared" si="317"/>
        <v>Oferta Gral.</v>
      </c>
      <c r="Z477" t="str">
        <f t="shared" si="318"/>
        <v>Rubro</v>
      </c>
      <c r="AA477" t="str">
        <f t="shared" si="319"/>
        <v>Cantidad por Bulto</v>
      </c>
      <c r="AB477" t="str">
        <f t="shared" si="320"/>
        <v>INNER</v>
      </c>
      <c r="AC477" t="str">
        <f t="shared" si="321"/>
        <v>Stock en Bultos</v>
      </c>
      <c r="AD477" t="str">
        <f t="shared" si="322"/>
        <v>SubDepósito</v>
      </c>
      <c r="AE477" t="str">
        <f t="shared" si="323"/>
        <v>Marca</v>
      </c>
      <c r="AF477" t="str">
        <f t="shared" si="324"/>
        <v>Super Rubro</v>
      </c>
      <c r="AG477" t="str">
        <f t="shared" si="325"/>
        <v>ComercioExterior</v>
      </c>
      <c r="AH477" t="str">
        <f t="shared" si="326"/>
        <v>PrecioFOB</v>
      </c>
      <c r="AI477" t="str">
        <f t="shared" si="327"/>
        <v>Monto II</v>
      </c>
      <c r="AJ477" t="str">
        <f t="shared" si="328"/>
        <v>Porcentaje II</v>
      </c>
      <c r="AK477" t="str">
        <f t="shared" si="329"/>
        <v>Foto</v>
      </c>
      <c r="AL477" t="str">
        <f>"{\rtf1\ansi\ansicpg1252\deff0\deflang11274{\fonttbl{\f0\fnil\fcharset0 MS Sans Serif}} \viewkind4\uc1\pard\f0\fs16 CABLES BUJ\'cdAS CHERY TIGGO 2.0 16V DESDE 2009\par } "</f>
        <v xml:space="preserve">{\rtf1\ansi\ansicpg1252\deff0\deflang11274{\fonttbl{\f0\fnil\fcharset0 MS Sans Serif}} \viewkind4\uc1\pard\f0\fs16 CABLES BUJ\'cdAS CHERY TIGGO 2.0 16V DESDE 2009\par } </v>
      </c>
      <c r="AM477" t="str">
        <f t="shared" si="331"/>
        <v xml:space="preserve"> </v>
      </c>
    </row>
    <row r="478" spans="1:39" x14ac:dyDescent="0.25">
      <c r="A478" t="str">
        <f>"07-00271"</f>
        <v>07-00271</v>
      </c>
      <c r="B478" t="str">
        <f>"CABLES BUJÍAS COMPETICIÓN 9MM PEUGEOT 404 504 MOTOR 1800"</f>
        <v>CABLES BUJÍAS COMPETICIÓN 9MM PEUGEOT 404 504 MOTOR 1800</v>
      </c>
      <c r="C478" t="str">
        <f>"$ 36989,95"</f>
        <v>$ 36989,95</v>
      </c>
      <c r="D478" t="str">
        <f>"$ 36989,95"</f>
        <v>$ 36989,95</v>
      </c>
      <c r="E478" t="str">
        <f>"$ 36989,95"</f>
        <v>$ 36989,95</v>
      </c>
      <c r="F478" t="str">
        <f>"$ 36989,95"</f>
        <v>$ 36989,95</v>
      </c>
      <c r="G478" t="str">
        <f>"$ 36989,95"</f>
        <v>$ 36989,95</v>
      </c>
      <c r="H478" t="str">
        <f t="shared" si="312"/>
        <v>$ 0,00</v>
      </c>
      <c r="I478" t="str">
        <f>"CABLES BUJÍAS COMPETICION 9MM"</f>
        <v>CABLES BUJÍAS COMPETICION 9MM</v>
      </c>
      <c r="J478" t="str">
        <f t="shared" si="313"/>
        <v>1</v>
      </c>
      <c r="K478" t="str">
        <f t="shared" si="337"/>
        <v>0</v>
      </c>
      <c r="L478" t="str">
        <f>"0,000"</f>
        <v>0,000</v>
      </c>
      <c r="M478" t="str">
        <f t="shared" si="314"/>
        <v xml:space="preserve"> </v>
      </c>
      <c r="N478" t="str">
        <f t="shared" si="335"/>
        <v>FERRAZZI</v>
      </c>
      <c r="O478" t="str">
        <f t="shared" si="332"/>
        <v>CABLES</v>
      </c>
      <c r="P478" t="str">
        <f t="shared" si="333"/>
        <v>0</v>
      </c>
      <c r="Q478" t="str">
        <f t="shared" si="333"/>
        <v>0</v>
      </c>
      <c r="R478" t="str">
        <f t="shared" si="334"/>
        <v>0,00</v>
      </c>
      <c r="S478" t="str">
        <f t="shared" si="334"/>
        <v>0,00</v>
      </c>
      <c r="T478" t="str">
        <f t="shared" si="336"/>
        <v xml:space="preserve"> </v>
      </c>
      <c r="U478" t="str">
        <f t="shared" si="338"/>
        <v xml:space="preserve"> </v>
      </c>
      <c r="V478" t="str">
        <f>"0,000"</f>
        <v>0,000</v>
      </c>
      <c r="W478" t="str">
        <f t="shared" si="315"/>
        <v>Lista 4</v>
      </c>
      <c r="X478" t="str">
        <f t="shared" si="316"/>
        <v>Lista 5</v>
      </c>
      <c r="Y478" t="str">
        <f t="shared" si="317"/>
        <v>Oferta Gral.</v>
      </c>
      <c r="Z478" t="str">
        <f t="shared" si="318"/>
        <v>Rubro</v>
      </c>
      <c r="AA478" t="str">
        <f t="shared" si="319"/>
        <v>Cantidad por Bulto</v>
      </c>
      <c r="AB478" t="str">
        <f t="shared" si="320"/>
        <v>INNER</v>
      </c>
      <c r="AC478" t="str">
        <f t="shared" si="321"/>
        <v>Stock en Bultos</v>
      </c>
      <c r="AD478" t="str">
        <f t="shared" si="322"/>
        <v>SubDepósito</v>
      </c>
      <c r="AE478" t="str">
        <f t="shared" si="323"/>
        <v>Marca</v>
      </c>
      <c r="AF478" t="str">
        <f t="shared" si="324"/>
        <v>Super Rubro</v>
      </c>
      <c r="AG478" t="str">
        <f t="shared" si="325"/>
        <v>ComercioExterior</v>
      </c>
      <c r="AH478" t="str">
        <f t="shared" si="326"/>
        <v>PrecioFOB</v>
      </c>
      <c r="AI478" t="str">
        <f t="shared" si="327"/>
        <v>Monto II</v>
      </c>
      <c r="AJ478" t="str">
        <f t="shared" si="328"/>
        <v>Porcentaje II</v>
      </c>
      <c r="AK478" t="str">
        <f t="shared" si="329"/>
        <v>Foto</v>
      </c>
      <c r="AL47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78" t="str">
        <f t="shared" ref="AM478:AM484" si="339">"-"</f>
        <v>-</v>
      </c>
    </row>
    <row r="479" spans="1:39" x14ac:dyDescent="0.25">
      <c r="A479" t="str">
        <f>"17-00204"</f>
        <v>17-00204</v>
      </c>
      <c r="B479" t="str">
        <f>"CABLES BUJÍAS COMPETICIÓN 9MM SUZUKI SWIFT VITARA 1.3 1.6 8V 90-98 G16A"</f>
        <v>CABLES BUJÍAS COMPETICIÓN 9MM SUZUKI SWIFT VITARA 1.3 1.6 8V 90-98 G16A</v>
      </c>
      <c r="C479" t="str">
        <f>"$ 48277,16"</f>
        <v>$ 48277,16</v>
      </c>
      <c r="D479" t="str">
        <f>"$ 48277,16"</f>
        <v>$ 48277,16</v>
      </c>
      <c r="E479" t="str">
        <f>"$ 48277,16"</f>
        <v>$ 48277,16</v>
      </c>
      <c r="F479" t="str">
        <f>"$ 48277,16"</f>
        <v>$ 48277,16</v>
      </c>
      <c r="G479" t="str">
        <f>"$ 48277,16"</f>
        <v>$ 48277,16</v>
      </c>
      <c r="H479" t="str">
        <f t="shared" si="312"/>
        <v>$ 0,00</v>
      </c>
      <c r="I479" t="str">
        <f>"CABLES BUJÍAS COMPETICION 9MM"</f>
        <v>CABLES BUJÍAS COMPETICION 9MM</v>
      </c>
      <c r="J479" t="str">
        <f t="shared" si="313"/>
        <v>1</v>
      </c>
      <c r="K479" t="str">
        <f t="shared" si="337"/>
        <v>0</v>
      </c>
      <c r="L479" t="str">
        <f>"0,000"</f>
        <v>0,000</v>
      </c>
      <c r="M479" t="str">
        <f t="shared" si="314"/>
        <v xml:space="preserve"> </v>
      </c>
      <c r="N479" t="str">
        <f t="shared" si="335"/>
        <v>FERRAZZI</v>
      </c>
      <c r="O479" t="str">
        <f t="shared" si="332"/>
        <v>CABLES</v>
      </c>
      <c r="P479" t="str">
        <f t="shared" si="333"/>
        <v>0</v>
      </c>
      <c r="Q479" t="str">
        <f t="shared" si="333"/>
        <v>0</v>
      </c>
      <c r="R479" t="str">
        <f t="shared" si="334"/>
        <v>0,00</v>
      </c>
      <c r="S479" t="str">
        <f t="shared" si="334"/>
        <v>0,00</v>
      </c>
      <c r="T479" t="str">
        <f t="shared" si="336"/>
        <v xml:space="preserve"> </v>
      </c>
      <c r="U479" t="str">
        <f t="shared" si="338"/>
        <v xml:space="preserve"> </v>
      </c>
      <c r="V479" t="str">
        <f>"0,000"</f>
        <v>0,000</v>
      </c>
      <c r="W479" t="str">
        <f t="shared" si="315"/>
        <v>Lista 4</v>
      </c>
      <c r="X479" t="str">
        <f t="shared" si="316"/>
        <v>Lista 5</v>
      </c>
      <c r="Y479" t="str">
        <f t="shared" si="317"/>
        <v>Oferta Gral.</v>
      </c>
      <c r="Z479" t="str">
        <f t="shared" si="318"/>
        <v>Rubro</v>
      </c>
      <c r="AA479" t="str">
        <f t="shared" si="319"/>
        <v>Cantidad por Bulto</v>
      </c>
      <c r="AB479" t="str">
        <f t="shared" si="320"/>
        <v>INNER</v>
      </c>
      <c r="AC479" t="str">
        <f t="shared" si="321"/>
        <v>Stock en Bultos</v>
      </c>
      <c r="AD479" t="str">
        <f t="shared" si="322"/>
        <v>SubDepósito</v>
      </c>
      <c r="AE479" t="str">
        <f t="shared" si="323"/>
        <v>Marca</v>
      </c>
      <c r="AF479" t="str">
        <f t="shared" si="324"/>
        <v>Super Rubro</v>
      </c>
      <c r="AG479" t="str">
        <f t="shared" si="325"/>
        <v>ComercioExterior</v>
      </c>
      <c r="AH479" t="str">
        <f t="shared" si="326"/>
        <v>PrecioFOB</v>
      </c>
      <c r="AI479" t="str">
        <f t="shared" si="327"/>
        <v>Monto II</v>
      </c>
      <c r="AJ479" t="str">
        <f t="shared" si="328"/>
        <v>Porcentaje II</v>
      </c>
      <c r="AK479" t="str">
        <f t="shared" si="329"/>
        <v>Foto</v>
      </c>
      <c r="AL479" t="str">
        <f>"{\rtf1\ansi\ansicpg1252\deff0\deflang11274{\fonttbl{\f0\fnil\fcharset0 MS Sans Serif}} \viewkind4\uc1\pard\f0\fs16 CABLES BUJ\'cdAS COMPETICI\'d3N 9MM SUZUKI SWIFT VITARA 1.3 1.6 8V 90-98 G16A\par } "</f>
        <v xml:space="preserve">{\rtf1\ansi\ansicpg1252\deff0\deflang11274{\fonttbl{\f0\fnil\fcharset0 MS Sans Serif}} \viewkind4\uc1\pard\f0\fs16 CABLES BUJ\'cdAS COMPETICI\'d3N 9MM SUZUKI SWIFT VITARA 1.3 1.6 8V 90-98 G16A\par } </v>
      </c>
      <c r="AM479" t="str">
        <f t="shared" si="339"/>
        <v>-</v>
      </c>
    </row>
    <row r="480" spans="1:39" x14ac:dyDescent="0.25">
      <c r="A480" t="str">
        <f>"03-00210"</f>
        <v>03-00210</v>
      </c>
      <c r="B480" t="str">
        <f>"CABLES BUJÍAS COMPETICIÓN 9MM VW POINTER 1.6 1.8 2.0 AUDI AP "</f>
        <v xml:space="preserve">CABLES BUJÍAS COMPETICIÓN 9MM VW POINTER 1.6 1.8 2.0 AUDI AP </v>
      </c>
      <c r="C480" t="str">
        <f>"$ 54720,65"</f>
        <v>$ 54720,65</v>
      </c>
      <c r="D480" t="str">
        <f>"$ 54720,65"</f>
        <v>$ 54720,65</v>
      </c>
      <c r="E480" t="str">
        <f>"$ 54720,65"</f>
        <v>$ 54720,65</v>
      </c>
      <c r="F480" t="str">
        <f>"$ 54720,65"</f>
        <v>$ 54720,65</v>
      </c>
      <c r="G480" t="str">
        <f>"$ 54720,65"</f>
        <v>$ 54720,65</v>
      </c>
      <c r="H480" t="str">
        <f t="shared" si="312"/>
        <v>$ 0,00</v>
      </c>
      <c r="I480" t="str">
        <f>"CABLES BUJÍAS COMPETICION 9MM"</f>
        <v>CABLES BUJÍAS COMPETICION 9MM</v>
      </c>
      <c r="J480" t="str">
        <f t="shared" si="313"/>
        <v>1</v>
      </c>
      <c r="K480" t="str">
        <f t="shared" si="337"/>
        <v>0</v>
      </c>
      <c r="L480" t="str">
        <f>"0,000"</f>
        <v>0,000</v>
      </c>
      <c r="M480" t="str">
        <f t="shared" si="314"/>
        <v xml:space="preserve"> </v>
      </c>
      <c r="N480" t="str">
        <f t="shared" si="335"/>
        <v>FERRAZZI</v>
      </c>
      <c r="O480" t="str">
        <f t="shared" si="332"/>
        <v>CABLES</v>
      </c>
      <c r="P480" t="str">
        <f t="shared" si="333"/>
        <v>0</v>
      </c>
      <c r="Q480" t="str">
        <f t="shared" si="333"/>
        <v>0</v>
      </c>
      <c r="R480" t="str">
        <f t="shared" si="334"/>
        <v>0,00</v>
      </c>
      <c r="S480" t="str">
        <f t="shared" si="334"/>
        <v>0,00</v>
      </c>
      <c r="T480" t="str">
        <f t="shared" si="336"/>
        <v xml:space="preserve"> </v>
      </c>
      <c r="U480" t="str">
        <f t="shared" si="338"/>
        <v xml:space="preserve"> </v>
      </c>
      <c r="V480" t="str">
        <f>"0,000"</f>
        <v>0,000</v>
      </c>
      <c r="W480" t="str">
        <f t="shared" si="315"/>
        <v>Lista 4</v>
      </c>
      <c r="X480" t="str">
        <f t="shared" si="316"/>
        <v>Lista 5</v>
      </c>
      <c r="Y480" t="str">
        <f t="shared" si="317"/>
        <v>Oferta Gral.</v>
      </c>
      <c r="Z480" t="str">
        <f t="shared" si="318"/>
        <v>Rubro</v>
      </c>
      <c r="AA480" t="str">
        <f t="shared" si="319"/>
        <v>Cantidad por Bulto</v>
      </c>
      <c r="AB480" t="str">
        <f t="shared" si="320"/>
        <v>INNER</v>
      </c>
      <c r="AC480" t="str">
        <f t="shared" si="321"/>
        <v>Stock en Bultos</v>
      </c>
      <c r="AD480" t="str">
        <f t="shared" si="322"/>
        <v>SubDepósito</v>
      </c>
      <c r="AE480" t="str">
        <f t="shared" si="323"/>
        <v>Marca</v>
      </c>
      <c r="AF480" t="str">
        <f t="shared" si="324"/>
        <v>Super Rubro</v>
      </c>
      <c r="AG480" t="str">
        <f t="shared" si="325"/>
        <v>ComercioExterior</v>
      </c>
      <c r="AH480" t="str">
        <f t="shared" si="326"/>
        <v>PrecioFOB</v>
      </c>
      <c r="AI480" t="str">
        <f t="shared" si="327"/>
        <v>Monto II</v>
      </c>
      <c r="AJ480" t="str">
        <f t="shared" si="328"/>
        <v>Porcentaje II</v>
      </c>
      <c r="AK480" t="str">
        <f t="shared" si="329"/>
        <v>Foto</v>
      </c>
      <c r="AL480" t="str">
        <f>"{\rtf1\ansi\ansicpg1252\deff0\deflang11274{\fonttbl{\f0\fnil\fcharset0 MS Sans Serif}} \viewkind4\uc1\pard\f0\fs16 CABLES BUJ\'cdAS COMPETICI\'d3N 9MM VW POINTER 1.6 1.8 2.0 AUDI AP \par } "</f>
        <v xml:space="preserve">{\rtf1\ansi\ansicpg1252\deff0\deflang11274{\fonttbl{\f0\fnil\fcharset0 MS Sans Serif}} \viewkind4\uc1\pard\f0\fs16 CABLES BUJ\'cdAS COMPETICI\'d3N 9MM VW POINTER 1.6 1.8 2.0 AUDI AP \par } </v>
      </c>
      <c r="AM480" t="str">
        <f t="shared" si="339"/>
        <v>-</v>
      </c>
    </row>
    <row r="481" spans="1:39" x14ac:dyDescent="0.25">
      <c r="A481" t="str">
        <f>"02-00297"</f>
        <v>02-00297</v>
      </c>
      <c r="B481" t="str">
        <f>"CABLES BUJÍAS COMPETICIÓN CORSA MERIVA TIGRA 1.6 1.8 2.2 16V"</f>
        <v>CABLES BUJÍAS COMPETICIÓN CORSA MERIVA TIGRA 1.6 1.8 2.2 16V</v>
      </c>
      <c r="C481" t="str">
        <f>"$ 58973,51"</f>
        <v>$ 58973,51</v>
      </c>
      <c r="D481" t="str">
        <f>"$ 58973,51"</f>
        <v>$ 58973,51</v>
      </c>
      <c r="E481" t="str">
        <f>"$ 58973,51"</f>
        <v>$ 58973,51</v>
      </c>
      <c r="F481" t="str">
        <f>"$ 58973,51"</f>
        <v>$ 58973,51</v>
      </c>
      <c r="G481" t="str">
        <f>"$ 58973,51"</f>
        <v>$ 58973,51</v>
      </c>
      <c r="H481" t="str">
        <f t="shared" si="312"/>
        <v>$ 0,00</v>
      </c>
      <c r="I481" t="str">
        <f>"CABLES BUJÍAS COMPETICION 9MM"</f>
        <v>CABLES BUJÍAS COMPETICION 9MM</v>
      </c>
      <c r="J481" t="str">
        <f t="shared" si="313"/>
        <v>1</v>
      </c>
      <c r="K481" t="str">
        <f t="shared" si="337"/>
        <v>0</v>
      </c>
      <c r="L481" t="str">
        <f>"7,000"</f>
        <v>7,000</v>
      </c>
      <c r="M481" t="str">
        <f t="shared" si="314"/>
        <v xml:space="preserve"> </v>
      </c>
      <c r="N481" t="str">
        <f t="shared" si="335"/>
        <v>FERRAZZI</v>
      </c>
      <c r="O481" t="str">
        <f t="shared" si="332"/>
        <v>CABLES</v>
      </c>
      <c r="P481" t="str">
        <f t="shared" si="333"/>
        <v>0</v>
      </c>
      <c r="Q481" t="str">
        <f t="shared" si="333"/>
        <v>0</v>
      </c>
      <c r="R481" t="str">
        <f t="shared" si="334"/>
        <v>0,00</v>
      </c>
      <c r="S481" t="str">
        <f t="shared" si="334"/>
        <v>0,00</v>
      </c>
      <c r="T481" t="str">
        <f t="shared" si="336"/>
        <v xml:space="preserve"> </v>
      </c>
      <c r="U481" t="str">
        <f t="shared" si="338"/>
        <v xml:space="preserve"> </v>
      </c>
      <c r="V481" t="str">
        <f>"7,000"</f>
        <v>7,000</v>
      </c>
      <c r="W481" t="str">
        <f t="shared" si="315"/>
        <v>Lista 4</v>
      </c>
      <c r="X481" t="str">
        <f t="shared" si="316"/>
        <v>Lista 5</v>
      </c>
      <c r="Y481" t="str">
        <f t="shared" si="317"/>
        <v>Oferta Gral.</v>
      </c>
      <c r="Z481" t="str">
        <f t="shared" si="318"/>
        <v>Rubro</v>
      </c>
      <c r="AA481" t="str">
        <f t="shared" si="319"/>
        <v>Cantidad por Bulto</v>
      </c>
      <c r="AB481" t="str">
        <f t="shared" si="320"/>
        <v>INNER</v>
      </c>
      <c r="AC481" t="str">
        <f t="shared" si="321"/>
        <v>Stock en Bultos</v>
      </c>
      <c r="AD481" t="str">
        <f t="shared" si="322"/>
        <v>SubDepósito</v>
      </c>
      <c r="AE481" t="str">
        <f t="shared" si="323"/>
        <v>Marca</v>
      </c>
      <c r="AF481" t="str">
        <f t="shared" si="324"/>
        <v>Super Rubro</v>
      </c>
      <c r="AG481" t="str">
        <f t="shared" si="325"/>
        <v>ComercioExterior</v>
      </c>
      <c r="AH481" t="str">
        <f t="shared" si="326"/>
        <v>PrecioFOB</v>
      </c>
      <c r="AI481" t="str">
        <f t="shared" si="327"/>
        <v>Monto II</v>
      </c>
      <c r="AJ481" t="str">
        <f t="shared" si="328"/>
        <v>Porcentaje II</v>
      </c>
      <c r="AK481" t="str">
        <f t="shared" si="329"/>
        <v>Foto</v>
      </c>
      <c r="AL481" t="str">
        <f>"{\rtf1\ansi\ansicpg1252\deff0\deflang11274{\fonttbl{\f0\fnil\fcharset0 MS Sans Serif}} \viewkind4\uc1\pard\f0\fs16 CABLES BUJ\'cdAS COMPETICI\'d3N CORSA MERIVA TIGRA 1.6 1.8 2.2 16V\par } "</f>
        <v xml:space="preserve">{\rtf1\ansi\ansicpg1252\deff0\deflang11274{\fonttbl{\f0\fnil\fcharset0 MS Sans Serif}} \viewkind4\uc1\pard\f0\fs16 CABLES BUJ\'cdAS COMPETICI\'d3N CORSA MERIVA TIGRA 1.6 1.8 2.2 16V\par } </v>
      </c>
      <c r="AM481" t="str">
        <f t="shared" si="339"/>
        <v>-</v>
      </c>
    </row>
    <row r="482" spans="1:39" x14ac:dyDescent="0.25">
      <c r="A482" t="str">
        <f>"17-00201"</f>
        <v>17-00201</v>
      </c>
      <c r="B482" t="str">
        <f>"CABLES BUJÍAS COMPETICIÓN SUZUKI SWIFT GTI 1.3 16V"</f>
        <v>CABLES BUJÍAS COMPETICIÓN SUZUKI SWIFT GTI 1.3 16V</v>
      </c>
      <c r="C482" t="str">
        <f>"$ 76092,14"</f>
        <v>$ 76092,14</v>
      </c>
      <c r="D482" t="str">
        <f>"$ 76092,14"</f>
        <v>$ 76092,14</v>
      </c>
      <c r="E482" t="str">
        <f>"$ 76092,14"</f>
        <v>$ 76092,14</v>
      </c>
      <c r="F482" t="str">
        <f>"$ 76092,14"</f>
        <v>$ 76092,14</v>
      </c>
      <c r="G482" t="str">
        <f>"$ 76092,14"</f>
        <v>$ 76092,14</v>
      </c>
      <c r="H482" t="str">
        <f t="shared" si="312"/>
        <v>$ 0,00</v>
      </c>
      <c r="I482" t="str">
        <f>"CABLES BUJÍAS COMPETICION 9MM"</f>
        <v>CABLES BUJÍAS COMPETICION 9MM</v>
      </c>
      <c r="J482" t="str">
        <f t="shared" si="313"/>
        <v>1</v>
      </c>
      <c r="K482" t="str">
        <f t="shared" si="337"/>
        <v>0</v>
      </c>
      <c r="L482" t="str">
        <f>"0,000"</f>
        <v>0,000</v>
      </c>
      <c r="M482" t="str">
        <f t="shared" si="314"/>
        <v xml:space="preserve"> </v>
      </c>
      <c r="N482" t="str">
        <f t="shared" si="335"/>
        <v>FERRAZZI</v>
      </c>
      <c r="O482" t="str">
        <f t="shared" si="332"/>
        <v>CABLES</v>
      </c>
      <c r="P482" t="str">
        <f t="shared" si="333"/>
        <v>0</v>
      </c>
      <c r="Q482" t="str">
        <f t="shared" si="333"/>
        <v>0</v>
      </c>
      <c r="R482" t="str">
        <f t="shared" si="334"/>
        <v>0,00</v>
      </c>
      <c r="S482" t="str">
        <f t="shared" si="334"/>
        <v>0,00</v>
      </c>
      <c r="T482" t="str">
        <f t="shared" si="336"/>
        <v xml:space="preserve"> </v>
      </c>
      <c r="U482" t="str">
        <f t="shared" si="338"/>
        <v xml:space="preserve"> </v>
      </c>
      <c r="V482" t="str">
        <f>"0,000"</f>
        <v>0,000</v>
      </c>
      <c r="W482" t="str">
        <f t="shared" si="315"/>
        <v>Lista 4</v>
      </c>
      <c r="X482" t="str">
        <f t="shared" si="316"/>
        <v>Lista 5</v>
      </c>
      <c r="Y482" t="str">
        <f t="shared" si="317"/>
        <v>Oferta Gral.</v>
      </c>
      <c r="Z482" t="str">
        <f t="shared" si="318"/>
        <v>Rubro</v>
      </c>
      <c r="AA482" t="str">
        <f t="shared" si="319"/>
        <v>Cantidad por Bulto</v>
      </c>
      <c r="AB482" t="str">
        <f t="shared" si="320"/>
        <v>INNER</v>
      </c>
      <c r="AC482" t="str">
        <f t="shared" si="321"/>
        <v>Stock en Bultos</v>
      </c>
      <c r="AD482" t="str">
        <f t="shared" si="322"/>
        <v>SubDepósito</v>
      </c>
      <c r="AE482" t="str">
        <f t="shared" si="323"/>
        <v>Marca</v>
      </c>
      <c r="AF482" t="str">
        <f t="shared" si="324"/>
        <v>Super Rubro</v>
      </c>
      <c r="AG482" t="str">
        <f t="shared" si="325"/>
        <v>ComercioExterior</v>
      </c>
      <c r="AH482" t="str">
        <f t="shared" si="326"/>
        <v>PrecioFOB</v>
      </c>
      <c r="AI482" t="str">
        <f t="shared" si="327"/>
        <v>Monto II</v>
      </c>
      <c r="AJ482" t="str">
        <f t="shared" si="328"/>
        <v>Porcentaje II</v>
      </c>
      <c r="AK482" t="str">
        <f t="shared" si="329"/>
        <v>Foto</v>
      </c>
      <c r="AL48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82" t="str">
        <f t="shared" si="339"/>
        <v>-</v>
      </c>
    </row>
    <row r="483" spans="1:39" x14ac:dyDescent="0.25">
      <c r="A483" t="str">
        <f>"03-00100"</f>
        <v>03-00100</v>
      </c>
      <c r="B483" t="str">
        <f>"CABLES BUJÍAS EXTREME 11MM VW GOL GACEL SENDA CARBURADOR"</f>
        <v>CABLES BUJÍAS EXTREME 11MM VW GOL GACEL SENDA CARBURADOR</v>
      </c>
      <c r="C483" t="str">
        <f>"$ 115851,26"</f>
        <v>$ 115851,26</v>
      </c>
      <c r="D483" t="str">
        <f>"$ 115851,26"</f>
        <v>$ 115851,26</v>
      </c>
      <c r="E483" t="str">
        <f>"$ 115851,26"</f>
        <v>$ 115851,26</v>
      </c>
      <c r="F483" t="str">
        <f>"$ 115851,26"</f>
        <v>$ 115851,26</v>
      </c>
      <c r="G483" t="str">
        <f>"$ 115851,26"</f>
        <v>$ 115851,26</v>
      </c>
      <c r="H483" t="str">
        <f t="shared" si="312"/>
        <v>$ 0,00</v>
      </c>
      <c r="I483" t="str">
        <f>"CABLES BUJIAS COMPETICION EXTREME 11MM"</f>
        <v>CABLES BUJIAS COMPETICION EXTREME 11MM</v>
      </c>
      <c r="J483" t="str">
        <f t="shared" si="313"/>
        <v>1</v>
      </c>
      <c r="K483" t="str">
        <f t="shared" si="337"/>
        <v>0</v>
      </c>
      <c r="L483" t="str">
        <f>"2,000"</f>
        <v>2,000</v>
      </c>
      <c r="M483" t="str">
        <f t="shared" si="314"/>
        <v xml:space="preserve"> </v>
      </c>
      <c r="N483" t="str">
        <f t="shared" si="335"/>
        <v>FERRAZZI</v>
      </c>
      <c r="O483" t="str">
        <f t="shared" si="332"/>
        <v>CABLES</v>
      </c>
      <c r="P483" t="str">
        <f t="shared" ref="P483:Q502" si="340">"0"</f>
        <v>0</v>
      </c>
      <c r="Q483" t="str">
        <f t="shared" si="340"/>
        <v>0</v>
      </c>
      <c r="R483" t="str">
        <f t="shared" ref="R483:S502" si="341">"0,00"</f>
        <v>0,00</v>
      </c>
      <c r="S483" t="str">
        <f t="shared" si="341"/>
        <v>0,00</v>
      </c>
      <c r="T483" t="str">
        <f t="shared" si="336"/>
        <v xml:space="preserve"> </v>
      </c>
      <c r="U483" t="str">
        <f t="shared" si="338"/>
        <v xml:space="preserve"> </v>
      </c>
      <c r="V483" t="str">
        <f>"2,000"</f>
        <v>2,000</v>
      </c>
      <c r="W483" t="str">
        <f t="shared" si="315"/>
        <v>Lista 4</v>
      </c>
      <c r="X483" t="str">
        <f t="shared" si="316"/>
        <v>Lista 5</v>
      </c>
      <c r="Y483" t="str">
        <f t="shared" si="317"/>
        <v>Oferta Gral.</v>
      </c>
      <c r="Z483" t="str">
        <f t="shared" si="318"/>
        <v>Rubro</v>
      </c>
      <c r="AA483" t="str">
        <f t="shared" si="319"/>
        <v>Cantidad por Bulto</v>
      </c>
      <c r="AB483" t="str">
        <f t="shared" si="320"/>
        <v>INNER</v>
      </c>
      <c r="AC483" t="str">
        <f t="shared" si="321"/>
        <v>Stock en Bultos</v>
      </c>
      <c r="AD483" t="str">
        <f t="shared" si="322"/>
        <v>SubDepósito</v>
      </c>
      <c r="AE483" t="str">
        <f t="shared" si="323"/>
        <v>Marca</v>
      </c>
      <c r="AF483" t="str">
        <f t="shared" si="324"/>
        <v>Super Rubro</v>
      </c>
      <c r="AG483" t="str">
        <f t="shared" si="325"/>
        <v>ComercioExterior</v>
      </c>
      <c r="AH483" t="str">
        <f t="shared" si="326"/>
        <v>PrecioFOB</v>
      </c>
      <c r="AI483" t="str">
        <f t="shared" si="327"/>
        <v>Monto II</v>
      </c>
      <c r="AJ483" t="str">
        <f t="shared" si="328"/>
        <v>Porcentaje II</v>
      </c>
      <c r="AK483" t="str">
        <f t="shared" si="329"/>
        <v>Foto</v>
      </c>
      <c r="AL483" t="str">
        <f>"{\rtf1\ansi\ansicpg1252\deff0\deflang11274{\fonttbl{\f0\fnil\fcharset0 MS Sans Serif}} \viewkind4\uc1\pard\f0\fs16 CABLES BUJ\'cdAS EXTREME 11MM VW GOL GACEL SENDA CARBURADOR\par } "</f>
        <v xml:space="preserve">{\rtf1\ansi\ansicpg1252\deff0\deflang11274{\fonttbl{\f0\fnil\fcharset0 MS Sans Serif}} \viewkind4\uc1\pard\f0\fs16 CABLES BUJ\'cdAS EXTREME 11MM VW GOL GACEL SENDA CARBURADOR\par } </v>
      </c>
      <c r="AM483" t="str">
        <f t="shared" si="339"/>
        <v>-</v>
      </c>
    </row>
    <row r="484" spans="1:39" x14ac:dyDescent="0.25">
      <c r="A484" t="str">
        <f>"04-01730"</f>
        <v>04-01730</v>
      </c>
      <c r="B484" t="str">
        <f>"CABLES BUJÍAS FALCON F100 6 CIL SILICONADOS 7MM"</f>
        <v>CABLES BUJÍAS FALCON F100 6 CIL SILICONADOS 7MM</v>
      </c>
      <c r="C484" t="str">
        <f>"$ 18850,88"</f>
        <v>$ 18850,88</v>
      </c>
      <c r="D484" t="str">
        <f>"$ 18850,88"</f>
        <v>$ 18850,88</v>
      </c>
      <c r="E484" t="str">
        <f>"$ 18850,88"</f>
        <v>$ 18850,88</v>
      </c>
      <c r="F484" t="str">
        <f>"$ 18850,88"</f>
        <v>$ 18850,88</v>
      </c>
      <c r="G484" t="str">
        <f>"$ 18850,88"</f>
        <v>$ 18850,88</v>
      </c>
      <c r="H484" t="str">
        <f t="shared" si="312"/>
        <v>$ 0,00</v>
      </c>
      <c r="I484" t="str">
        <f>"CABLES BUJÍAS SILICONA ANTIPARASITARIOS"</f>
        <v>CABLES BUJÍAS SILICONA ANTIPARASITARIOS</v>
      </c>
      <c r="J484" t="str">
        <f t="shared" si="313"/>
        <v>1</v>
      </c>
      <c r="K484" t="str">
        <f t="shared" si="337"/>
        <v>0</v>
      </c>
      <c r="L484" t="str">
        <f>"16,000"</f>
        <v>16,000</v>
      </c>
      <c r="M484" t="str">
        <f t="shared" si="314"/>
        <v xml:space="preserve"> </v>
      </c>
      <c r="N484" t="str">
        <f t="shared" si="335"/>
        <v>FERRAZZI</v>
      </c>
      <c r="O484" t="str">
        <f t="shared" si="332"/>
        <v>CABLES</v>
      </c>
      <c r="P484" t="str">
        <f t="shared" si="340"/>
        <v>0</v>
      </c>
      <c r="Q484" t="str">
        <f t="shared" si="340"/>
        <v>0</v>
      </c>
      <c r="R484" t="str">
        <f t="shared" si="341"/>
        <v>0,00</v>
      </c>
      <c r="S484" t="str">
        <f t="shared" si="341"/>
        <v>0,00</v>
      </c>
      <c r="T484" t="str">
        <f t="shared" si="336"/>
        <v xml:space="preserve"> </v>
      </c>
      <c r="U484" t="str">
        <f t="shared" si="338"/>
        <v xml:space="preserve"> </v>
      </c>
      <c r="V484" t="str">
        <f>"16,000"</f>
        <v>16,000</v>
      </c>
      <c r="W484" t="str">
        <f t="shared" si="315"/>
        <v>Lista 4</v>
      </c>
      <c r="X484" t="str">
        <f t="shared" si="316"/>
        <v>Lista 5</v>
      </c>
      <c r="Y484" t="str">
        <f t="shared" si="317"/>
        <v>Oferta Gral.</v>
      </c>
      <c r="Z484" t="str">
        <f t="shared" si="318"/>
        <v>Rubro</v>
      </c>
      <c r="AA484" t="str">
        <f t="shared" si="319"/>
        <v>Cantidad por Bulto</v>
      </c>
      <c r="AB484" t="str">
        <f t="shared" si="320"/>
        <v>INNER</v>
      </c>
      <c r="AC484" t="str">
        <f t="shared" si="321"/>
        <v>Stock en Bultos</v>
      </c>
      <c r="AD484" t="str">
        <f t="shared" si="322"/>
        <v>SubDepósito</v>
      </c>
      <c r="AE484" t="str">
        <f t="shared" si="323"/>
        <v>Marca</v>
      </c>
      <c r="AF484" t="str">
        <f t="shared" si="324"/>
        <v>Super Rubro</v>
      </c>
      <c r="AG484" t="str">
        <f t="shared" si="325"/>
        <v>ComercioExterior</v>
      </c>
      <c r="AH484" t="str">
        <f t="shared" si="326"/>
        <v>PrecioFOB</v>
      </c>
      <c r="AI484" t="str">
        <f t="shared" si="327"/>
        <v>Monto II</v>
      </c>
      <c r="AJ484" t="str">
        <f t="shared" si="328"/>
        <v>Porcentaje II</v>
      </c>
      <c r="AK484" t="str">
        <f t="shared" si="329"/>
        <v>Foto</v>
      </c>
      <c r="AL48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84" t="str">
        <f t="shared" si="339"/>
        <v>-</v>
      </c>
    </row>
    <row r="485" spans="1:39" x14ac:dyDescent="0.25">
      <c r="A485" t="str">
        <f>"02-00293"</f>
        <v>02-00293</v>
      </c>
      <c r="B485" t="str">
        <f>"CABLES BUJÍAS FERRAZZI 9MM CHEVROLET AVEO"</f>
        <v>CABLES BUJÍAS FERRAZZI 9MM CHEVROLET AVEO</v>
      </c>
      <c r="C485" t="str">
        <f>"$ 46812,52"</f>
        <v>$ 46812,52</v>
      </c>
      <c r="D485" t="str">
        <f>"$ 46812,52"</f>
        <v>$ 46812,52</v>
      </c>
      <c r="E485" t="str">
        <f>"$ 46812,52"</f>
        <v>$ 46812,52</v>
      </c>
      <c r="F485" t="str">
        <f>"$ 46812,52"</f>
        <v>$ 46812,52</v>
      </c>
      <c r="G485" t="str">
        <f>"$ 46812,52"</f>
        <v>$ 46812,52</v>
      </c>
      <c r="H485" t="str">
        <f t="shared" si="312"/>
        <v>$ 0,00</v>
      </c>
      <c r="I485" t="str">
        <f>"CABLES BUJÍAS COMPETICION 9MM"</f>
        <v>CABLES BUJÍAS COMPETICION 9MM</v>
      </c>
      <c r="J485" t="str">
        <f t="shared" si="313"/>
        <v>1</v>
      </c>
      <c r="K485" t="str">
        <f t="shared" si="337"/>
        <v>0</v>
      </c>
      <c r="L485" t="str">
        <f>"0,000"</f>
        <v>0,000</v>
      </c>
      <c r="M485" t="str">
        <f t="shared" si="314"/>
        <v xml:space="preserve"> </v>
      </c>
      <c r="N485" t="str">
        <f t="shared" si="335"/>
        <v>FERRAZZI</v>
      </c>
      <c r="O485" t="str">
        <f t="shared" si="332"/>
        <v>CABLES</v>
      </c>
      <c r="P485" t="str">
        <f t="shared" si="340"/>
        <v>0</v>
      </c>
      <c r="Q485" t="str">
        <f t="shared" si="340"/>
        <v>0</v>
      </c>
      <c r="R485" t="str">
        <f t="shared" si="341"/>
        <v>0,00</v>
      </c>
      <c r="S485" t="str">
        <f t="shared" si="341"/>
        <v>0,00</v>
      </c>
      <c r="T485" t="str">
        <f t="shared" si="336"/>
        <v xml:space="preserve"> </v>
      </c>
      <c r="U485" t="str">
        <f t="shared" si="338"/>
        <v xml:space="preserve"> </v>
      </c>
      <c r="V485" t="str">
        <f>"0,000"</f>
        <v>0,000</v>
      </c>
      <c r="W485" t="str">
        <f t="shared" si="315"/>
        <v>Lista 4</v>
      </c>
      <c r="X485" t="str">
        <f t="shared" si="316"/>
        <v>Lista 5</v>
      </c>
      <c r="Y485" t="str">
        <f t="shared" si="317"/>
        <v>Oferta Gral.</v>
      </c>
      <c r="Z485" t="str">
        <f t="shared" si="318"/>
        <v>Rubro</v>
      </c>
      <c r="AA485" t="str">
        <f t="shared" si="319"/>
        <v>Cantidad por Bulto</v>
      </c>
      <c r="AB485" t="str">
        <f t="shared" si="320"/>
        <v>INNER</v>
      </c>
      <c r="AC485" t="str">
        <f t="shared" si="321"/>
        <v>Stock en Bultos</v>
      </c>
      <c r="AD485" t="str">
        <f t="shared" si="322"/>
        <v>SubDepósito</v>
      </c>
      <c r="AE485" t="str">
        <f t="shared" si="323"/>
        <v>Marca</v>
      </c>
      <c r="AF485" t="str">
        <f t="shared" si="324"/>
        <v>Super Rubro</v>
      </c>
      <c r="AG485" t="str">
        <f t="shared" si="325"/>
        <v>ComercioExterior</v>
      </c>
      <c r="AH485" t="str">
        <f t="shared" si="326"/>
        <v>PrecioFOB</v>
      </c>
      <c r="AI485" t="str">
        <f t="shared" si="327"/>
        <v>Monto II</v>
      </c>
      <c r="AJ485" t="str">
        <f t="shared" si="328"/>
        <v>Porcentaje II</v>
      </c>
      <c r="AK485" t="str">
        <f t="shared" si="329"/>
        <v>Foto</v>
      </c>
      <c r="AL48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85" t="str">
        <f>" "</f>
        <v xml:space="preserve"> </v>
      </c>
    </row>
    <row r="486" spans="1:39" x14ac:dyDescent="0.25">
      <c r="A486" t="str">
        <f>"04-00244"</f>
        <v>04-00244</v>
      </c>
      <c r="B486" t="str">
        <f>"CABLES BUJÍAS FERRAZZI COMPETICIÓN 9MM FORD MONDEO 2.5 V6 24V DURATEC "</f>
        <v xml:space="preserve">CABLES BUJÍAS FERRAZZI COMPETICIÓN 9MM FORD MONDEO 2.5 V6 24V DURATEC </v>
      </c>
      <c r="C486" t="str">
        <f>"$ 114361,63"</f>
        <v>$ 114361,63</v>
      </c>
      <c r="D486" t="str">
        <f>"$ 114361,63"</f>
        <v>$ 114361,63</v>
      </c>
      <c r="E486" t="str">
        <f>"$ 114361,63"</f>
        <v>$ 114361,63</v>
      </c>
      <c r="F486" t="str">
        <f>"$ 114361,63"</f>
        <v>$ 114361,63</v>
      </c>
      <c r="G486" t="str">
        <f>"$ 114361,63"</f>
        <v>$ 114361,63</v>
      </c>
      <c r="H486" t="str">
        <f t="shared" si="312"/>
        <v>$ 0,00</v>
      </c>
      <c r="I486" t="str">
        <f>"CABLES BUJÍAS COMPETICION 9MM"</f>
        <v>CABLES BUJÍAS COMPETICION 9MM</v>
      </c>
      <c r="J486" t="str">
        <f t="shared" si="313"/>
        <v>1</v>
      </c>
      <c r="K486" t="str">
        <f t="shared" si="337"/>
        <v>0</v>
      </c>
      <c r="L486" t="str">
        <f>"9,000"</f>
        <v>9,000</v>
      </c>
      <c r="M486" t="str">
        <f t="shared" si="314"/>
        <v xml:space="preserve"> </v>
      </c>
      <c r="N486" t="str">
        <f t="shared" si="335"/>
        <v>FERRAZZI</v>
      </c>
      <c r="O486" t="str">
        <f t="shared" si="332"/>
        <v>CABLES</v>
      </c>
      <c r="P486" t="str">
        <f t="shared" si="340"/>
        <v>0</v>
      </c>
      <c r="Q486" t="str">
        <f t="shared" si="340"/>
        <v>0</v>
      </c>
      <c r="R486" t="str">
        <f t="shared" si="341"/>
        <v>0,00</v>
      </c>
      <c r="S486" t="str">
        <f t="shared" si="341"/>
        <v>0,00</v>
      </c>
      <c r="T486" t="str">
        <f t="shared" si="336"/>
        <v xml:space="preserve"> </v>
      </c>
      <c r="U486" t="str">
        <f t="shared" si="338"/>
        <v xml:space="preserve"> </v>
      </c>
      <c r="V486" t="str">
        <f>"9,000"</f>
        <v>9,000</v>
      </c>
      <c r="W486" t="str">
        <f t="shared" si="315"/>
        <v>Lista 4</v>
      </c>
      <c r="X486" t="str">
        <f t="shared" si="316"/>
        <v>Lista 5</v>
      </c>
      <c r="Y486" t="str">
        <f t="shared" si="317"/>
        <v>Oferta Gral.</v>
      </c>
      <c r="Z486" t="str">
        <f t="shared" si="318"/>
        <v>Rubro</v>
      </c>
      <c r="AA486" t="str">
        <f t="shared" si="319"/>
        <v>Cantidad por Bulto</v>
      </c>
      <c r="AB486" t="str">
        <f t="shared" si="320"/>
        <v>INNER</v>
      </c>
      <c r="AC486" t="str">
        <f t="shared" si="321"/>
        <v>Stock en Bultos</v>
      </c>
      <c r="AD486" t="str">
        <f t="shared" si="322"/>
        <v>SubDepósito</v>
      </c>
      <c r="AE486" t="str">
        <f t="shared" si="323"/>
        <v>Marca</v>
      </c>
      <c r="AF486" t="str">
        <f t="shared" si="324"/>
        <v>Super Rubro</v>
      </c>
      <c r="AG486" t="str">
        <f t="shared" si="325"/>
        <v>ComercioExterior</v>
      </c>
      <c r="AH486" t="str">
        <f t="shared" si="326"/>
        <v>PrecioFOB</v>
      </c>
      <c r="AI486" t="str">
        <f t="shared" si="327"/>
        <v>Monto II</v>
      </c>
      <c r="AJ486" t="str">
        <f t="shared" si="328"/>
        <v>Porcentaje II</v>
      </c>
      <c r="AK486" t="str">
        <f t="shared" si="329"/>
        <v>Foto</v>
      </c>
      <c r="AL486" t="str">
        <f>"{\rtf1\ansi\ansicpg1252\deff0\deflang11274{\fonttbl{\f0\fnil\fcharset0 MS Sans Serif}} \viewkind4\uc1\pard\f0\fs16 CABLES BUJ\'cdAS FERRAZZI COMPETICI\'d3N 9MM FORD MONDEO 2.5 V6 24V DURATEC \par } "</f>
        <v xml:space="preserve">{\rtf1\ansi\ansicpg1252\deff0\deflang11274{\fonttbl{\f0\fnil\fcharset0 MS Sans Serif}} \viewkind4\uc1\pard\f0\fs16 CABLES BUJ\'cdAS FERRAZZI COMPETICI\'d3N 9MM FORD MONDEO 2.5 V6 24V DURATEC \par } </v>
      </c>
      <c r="AM486" t="str">
        <f>"-"</f>
        <v>-</v>
      </c>
    </row>
    <row r="487" spans="1:39" x14ac:dyDescent="0.25">
      <c r="A487" t="str">
        <f>"04-01736"</f>
        <v>04-01736</v>
      </c>
      <c r="B487" t="str">
        <f>"CABLES BUJÍAS FERRAZZI SILICONADO FORD TAUNUS 2000 Y 2300 DESDE 1981"</f>
        <v>CABLES BUJÍAS FERRAZZI SILICONADO FORD TAUNUS 2000 Y 2300 DESDE 1981</v>
      </c>
      <c r="C487" t="str">
        <f>"$ 18083,71"</f>
        <v>$ 18083,71</v>
      </c>
      <c r="D487" t="str">
        <f>"$ 18083,71"</f>
        <v>$ 18083,71</v>
      </c>
      <c r="E487" t="str">
        <f>"$ 18083,71"</f>
        <v>$ 18083,71</v>
      </c>
      <c r="F487" t="str">
        <f>"$ 18083,71"</f>
        <v>$ 18083,71</v>
      </c>
      <c r="G487" t="str">
        <f>"$ 18083,71"</f>
        <v>$ 18083,71</v>
      </c>
      <c r="H487" t="str">
        <f t="shared" si="312"/>
        <v>$ 0,00</v>
      </c>
      <c r="I487" t="str">
        <f>"CABLES BUJÍAS SILICONA ANTIPARASITARIOS"</f>
        <v>CABLES BUJÍAS SILICONA ANTIPARASITARIOS</v>
      </c>
      <c r="J487" t="str">
        <f t="shared" si="313"/>
        <v>1</v>
      </c>
      <c r="K487" t="str">
        <f t="shared" si="337"/>
        <v>0</v>
      </c>
      <c r="L487" t="str">
        <f>"19,000"</f>
        <v>19,000</v>
      </c>
      <c r="M487" t="str">
        <f t="shared" si="314"/>
        <v xml:space="preserve"> </v>
      </c>
      <c r="N487" t="str">
        <f t="shared" si="335"/>
        <v>FERRAZZI</v>
      </c>
      <c r="O487" t="str">
        <f t="shared" si="332"/>
        <v>CABLES</v>
      </c>
      <c r="P487" t="str">
        <f t="shared" si="340"/>
        <v>0</v>
      </c>
      <c r="Q487" t="str">
        <f t="shared" si="340"/>
        <v>0</v>
      </c>
      <c r="R487" t="str">
        <f t="shared" si="341"/>
        <v>0,00</v>
      </c>
      <c r="S487" t="str">
        <f t="shared" si="341"/>
        <v>0,00</v>
      </c>
      <c r="T487" t="str">
        <f t="shared" si="336"/>
        <v xml:space="preserve"> </v>
      </c>
      <c r="U487" t="str">
        <f t="shared" si="338"/>
        <v xml:space="preserve"> </v>
      </c>
      <c r="V487" t="str">
        <f>"19,000"</f>
        <v>19,000</v>
      </c>
      <c r="W487" t="str">
        <f t="shared" si="315"/>
        <v>Lista 4</v>
      </c>
      <c r="X487" t="str">
        <f t="shared" si="316"/>
        <v>Lista 5</v>
      </c>
      <c r="Y487" t="str">
        <f t="shared" si="317"/>
        <v>Oferta Gral.</v>
      </c>
      <c r="Z487" t="str">
        <f t="shared" si="318"/>
        <v>Rubro</v>
      </c>
      <c r="AA487" t="str">
        <f t="shared" si="319"/>
        <v>Cantidad por Bulto</v>
      </c>
      <c r="AB487" t="str">
        <f t="shared" si="320"/>
        <v>INNER</v>
      </c>
      <c r="AC487" t="str">
        <f t="shared" si="321"/>
        <v>Stock en Bultos</v>
      </c>
      <c r="AD487" t="str">
        <f t="shared" si="322"/>
        <v>SubDepósito</v>
      </c>
      <c r="AE487" t="str">
        <f t="shared" si="323"/>
        <v>Marca</v>
      </c>
      <c r="AF487" t="str">
        <f t="shared" si="324"/>
        <v>Super Rubro</v>
      </c>
      <c r="AG487" t="str">
        <f t="shared" si="325"/>
        <v>ComercioExterior</v>
      </c>
      <c r="AH487" t="str">
        <f t="shared" si="326"/>
        <v>PrecioFOB</v>
      </c>
      <c r="AI487" t="str">
        <f t="shared" si="327"/>
        <v>Monto II</v>
      </c>
      <c r="AJ487" t="str">
        <f t="shared" si="328"/>
        <v>Porcentaje II</v>
      </c>
      <c r="AK487" t="str">
        <f t="shared" si="329"/>
        <v>Foto</v>
      </c>
      <c r="AL487" t="str">
        <f>"{\rtf1\ansi\ansicpg1252\deff0\deflang2058{\fonttbl{\f0\fnil\fcharset0 MS Sans Serif}} \viewkind4\uc1\pard\f0\fs16 CABLES BUJ\'cdAS FERRAZZI SILICONADO FORD TAUNUS 2000 Y 2300 DESDE 1981\par } "</f>
        <v xml:space="preserve">{\rtf1\ansi\ansicpg1252\deff0\deflang2058{\fonttbl{\f0\fnil\fcharset0 MS Sans Serif}} \viewkind4\uc1\pard\f0\fs16 CABLES BUJ\'cdAS FERRAZZI SILICONADO FORD TAUNUS 2000 Y 2300 DESDE 1981\par } </v>
      </c>
      <c r="AM487" t="str">
        <f>" "</f>
        <v xml:space="preserve"> </v>
      </c>
    </row>
    <row r="488" spans="1:39" x14ac:dyDescent="0.25">
      <c r="A488" t="str">
        <f>"27-00207"</f>
        <v>27-00207</v>
      </c>
      <c r="B488" t="str">
        <f>"CABLES BUJÍAS JEEP CHEROKEE GRAND CHEROKEE WRANGLER 4.0 MOTOR OHV/S01"</f>
        <v>CABLES BUJÍAS JEEP CHEROKEE GRAND CHEROKEE WRANGLER 4.0 MOTOR OHV/S01</v>
      </c>
      <c r="C488" t="str">
        <f>"$ 41286,18"</f>
        <v>$ 41286,18</v>
      </c>
      <c r="D488" t="str">
        <f>"$ 41286,18"</f>
        <v>$ 41286,18</v>
      </c>
      <c r="E488" t="str">
        <f>"$ 41286,18"</f>
        <v>$ 41286,18</v>
      </c>
      <c r="F488" t="str">
        <f>"$ 41286,18"</f>
        <v>$ 41286,18</v>
      </c>
      <c r="G488" t="str">
        <f>"$ 41286,18"</f>
        <v>$ 41286,18</v>
      </c>
      <c r="H488" t="str">
        <f t="shared" si="312"/>
        <v>$ 0,00</v>
      </c>
      <c r="I488" t="str">
        <f>"CABLES BUJÍAS COMPETICION 9MM"</f>
        <v>CABLES BUJÍAS COMPETICION 9MM</v>
      </c>
      <c r="J488" t="str">
        <f t="shared" si="313"/>
        <v>1</v>
      </c>
      <c r="K488" t="str">
        <f t="shared" si="337"/>
        <v>0</v>
      </c>
      <c r="L488" t="str">
        <f>"7,000"</f>
        <v>7,000</v>
      </c>
      <c r="M488" t="str">
        <f t="shared" si="314"/>
        <v xml:space="preserve"> </v>
      </c>
      <c r="N488" t="str">
        <f t="shared" si="335"/>
        <v>FERRAZZI</v>
      </c>
      <c r="O488" t="str">
        <f t="shared" si="332"/>
        <v>CABLES</v>
      </c>
      <c r="P488" t="str">
        <f t="shared" si="340"/>
        <v>0</v>
      </c>
      <c r="Q488" t="str">
        <f t="shared" si="340"/>
        <v>0</v>
      </c>
      <c r="R488" t="str">
        <f t="shared" si="341"/>
        <v>0,00</v>
      </c>
      <c r="S488" t="str">
        <f t="shared" si="341"/>
        <v>0,00</v>
      </c>
      <c r="T488" t="str">
        <f t="shared" si="336"/>
        <v xml:space="preserve"> </v>
      </c>
      <c r="U488" t="str">
        <f t="shared" si="338"/>
        <v xml:space="preserve"> </v>
      </c>
      <c r="V488" t="str">
        <f>"7,000"</f>
        <v>7,000</v>
      </c>
      <c r="W488" t="str">
        <f t="shared" si="315"/>
        <v>Lista 4</v>
      </c>
      <c r="X488" t="str">
        <f t="shared" si="316"/>
        <v>Lista 5</v>
      </c>
      <c r="Y488" t="str">
        <f t="shared" si="317"/>
        <v>Oferta Gral.</v>
      </c>
      <c r="Z488" t="str">
        <f t="shared" si="318"/>
        <v>Rubro</v>
      </c>
      <c r="AA488" t="str">
        <f t="shared" si="319"/>
        <v>Cantidad por Bulto</v>
      </c>
      <c r="AB488" t="str">
        <f t="shared" si="320"/>
        <v>INNER</v>
      </c>
      <c r="AC488" t="str">
        <f t="shared" si="321"/>
        <v>Stock en Bultos</v>
      </c>
      <c r="AD488" t="str">
        <f t="shared" si="322"/>
        <v>SubDepósito</v>
      </c>
      <c r="AE488" t="str">
        <f t="shared" si="323"/>
        <v>Marca</v>
      </c>
      <c r="AF488" t="str">
        <f t="shared" si="324"/>
        <v>Super Rubro</v>
      </c>
      <c r="AG488" t="str">
        <f t="shared" si="325"/>
        <v>ComercioExterior</v>
      </c>
      <c r="AH488" t="str">
        <f t="shared" si="326"/>
        <v>PrecioFOB</v>
      </c>
      <c r="AI488" t="str">
        <f t="shared" si="327"/>
        <v>Monto II</v>
      </c>
      <c r="AJ488" t="str">
        <f t="shared" si="328"/>
        <v>Porcentaje II</v>
      </c>
      <c r="AK488" t="str">
        <f t="shared" si="329"/>
        <v>Foto</v>
      </c>
      <c r="AL488" t="str">
        <f>"{\rtf1\ansi\ansicpg1252\deff0\deflang11274{\fonttbl{\f0\fnil\fcharset0 MS Sans Serif}} \viewkind4\uc1\pard\f0\fs16 CABLES BUJ\'cdAS JEEP CHEROKEE GRAND CHEROKEE WRANGLER 4.0 MOTOR OHV/S01\par } "</f>
        <v xml:space="preserve">{\rtf1\ansi\ansicpg1252\deff0\deflang11274{\fonttbl{\f0\fnil\fcharset0 MS Sans Serif}} \viewkind4\uc1\pard\f0\fs16 CABLES BUJ\'cdAS JEEP CHEROKEE GRAND CHEROKEE WRANGLER 4.0 MOTOR OHV/S01\par } </v>
      </c>
      <c r="AM488" t="str">
        <f>"-"</f>
        <v>-</v>
      </c>
    </row>
    <row r="489" spans="1:39" x14ac:dyDescent="0.25">
      <c r="A489" t="str">
        <f>"SCG73"</f>
        <v>SCG73</v>
      </c>
      <c r="B489" t="str">
        <f>"CABLES BUJÍAS NGK CHEVROLET CORSA 1.4 1.6 1.8 FIAT PALIO SIENA 1.8"</f>
        <v>CABLES BUJÍAS NGK CHEVROLET CORSA 1.4 1.6 1.8 FIAT PALIO SIENA 1.8</v>
      </c>
      <c r="C489" t="str">
        <f>"$ 38916,68"</f>
        <v>$ 38916,68</v>
      </c>
      <c r="D489" t="str">
        <f>"$ 38916,68"</f>
        <v>$ 38916,68</v>
      </c>
      <c r="E489" t="str">
        <f>"$ 38916,68"</f>
        <v>$ 38916,68</v>
      </c>
      <c r="F489" t="str">
        <f>"$ 16122,58"</f>
        <v>$ 16122,58</v>
      </c>
      <c r="G489" t="str">
        <f>"$ 16122,58"</f>
        <v>$ 16122,58</v>
      </c>
      <c r="H489" t="str">
        <f t="shared" si="312"/>
        <v>$ 0,00</v>
      </c>
      <c r="I489" t="str">
        <f>"CABLES BUJÍAS SILICONA ANTIPARASITARIOS"</f>
        <v>CABLES BUJÍAS SILICONA ANTIPARASITARIOS</v>
      </c>
      <c r="J489" t="str">
        <f t="shared" si="313"/>
        <v>1</v>
      </c>
      <c r="K489" t="str">
        <f t="shared" si="337"/>
        <v>0</v>
      </c>
      <c r="L489" t="str">
        <f>"0,000"</f>
        <v>0,000</v>
      </c>
      <c r="M489" t="str">
        <f t="shared" si="314"/>
        <v xml:space="preserve"> </v>
      </c>
      <c r="N489" t="str">
        <f>"NGK"</f>
        <v>NGK</v>
      </c>
      <c r="O489" t="str">
        <f t="shared" si="332"/>
        <v>CABLES</v>
      </c>
      <c r="P489" t="str">
        <f t="shared" si="340"/>
        <v>0</v>
      </c>
      <c r="Q489" t="str">
        <f t="shared" si="340"/>
        <v>0</v>
      </c>
      <c r="R489" t="str">
        <f t="shared" si="341"/>
        <v>0,00</v>
      </c>
      <c r="S489" t="str">
        <f t="shared" si="341"/>
        <v>0,00</v>
      </c>
      <c r="T489" t="str">
        <f t="shared" si="336"/>
        <v xml:space="preserve"> </v>
      </c>
      <c r="U489" t="str">
        <f t="shared" si="338"/>
        <v xml:space="preserve"> </v>
      </c>
      <c r="V489" t="str">
        <f>"0,000"</f>
        <v>0,000</v>
      </c>
      <c r="W489" t="str">
        <f t="shared" si="315"/>
        <v>Lista 4</v>
      </c>
      <c r="X489" t="str">
        <f t="shared" si="316"/>
        <v>Lista 5</v>
      </c>
      <c r="Y489" t="str">
        <f t="shared" si="317"/>
        <v>Oferta Gral.</v>
      </c>
      <c r="Z489" t="str">
        <f t="shared" si="318"/>
        <v>Rubro</v>
      </c>
      <c r="AA489" t="str">
        <f t="shared" si="319"/>
        <v>Cantidad por Bulto</v>
      </c>
      <c r="AB489" t="str">
        <f t="shared" si="320"/>
        <v>INNER</v>
      </c>
      <c r="AC489" t="str">
        <f t="shared" si="321"/>
        <v>Stock en Bultos</v>
      </c>
      <c r="AD489" t="str">
        <f t="shared" si="322"/>
        <v>SubDepósito</v>
      </c>
      <c r="AE489" t="str">
        <f t="shared" si="323"/>
        <v>Marca</v>
      </c>
      <c r="AF489" t="str">
        <f t="shared" si="324"/>
        <v>Super Rubro</v>
      </c>
      <c r="AG489" t="str">
        <f t="shared" si="325"/>
        <v>ComercioExterior</v>
      </c>
      <c r="AH489" t="str">
        <f t="shared" si="326"/>
        <v>PrecioFOB</v>
      </c>
      <c r="AI489" t="str">
        <f t="shared" si="327"/>
        <v>Monto II</v>
      </c>
      <c r="AJ489" t="str">
        <f t="shared" si="328"/>
        <v>Porcentaje II</v>
      </c>
      <c r="AK489" t="str">
        <f t="shared" si="329"/>
        <v>Foto</v>
      </c>
      <c r="AL489" t="str">
        <f>"{\rtf1\ansi\ansicpg1252\deff0\deflang11274{\fonttbl{\f0\fnil\fcharset0 MS Sans Serif}} \viewkind4\uc1\pard\f0\fs16 CABLES BUJ\'cdAS NGK CHEVROLET CORSA 1.4 1.6 1.8 FIAT PALIO SIENA 1.8\par } "</f>
        <v xml:space="preserve">{\rtf1\ansi\ansicpg1252\deff0\deflang11274{\fonttbl{\f0\fnil\fcharset0 MS Sans Serif}} \viewkind4\uc1\pard\f0\fs16 CABLES BUJ\'cdAS NGK CHEVROLET CORSA 1.4 1.6 1.8 FIAT PALIO SIENA 1.8\par } </v>
      </c>
      <c r="AM489" t="str">
        <f>" "</f>
        <v xml:space="preserve"> </v>
      </c>
    </row>
    <row r="490" spans="1:39" x14ac:dyDescent="0.25">
      <c r="A490" t="str">
        <f>"05-01762"</f>
        <v>05-01762</v>
      </c>
      <c r="B490" t="str">
        <f>"CABLES BUJÍAS PALIO SIENA BRAVO MOTOR FIRE 1.3  16 V. SILICONADO"</f>
        <v>CABLES BUJÍAS PALIO SIENA BRAVO MOTOR FIRE 1.3  16 V. SILICONADO</v>
      </c>
      <c r="C490" t="str">
        <f>"$ 34906,20"</f>
        <v>$ 34906,20</v>
      </c>
      <c r="D490" t="str">
        <f>"$ 34906,20"</f>
        <v>$ 34906,20</v>
      </c>
      <c r="E490" t="str">
        <f>"$ 34906,20"</f>
        <v>$ 34906,20</v>
      </c>
      <c r="F490" t="str">
        <f>"$ 34906,20"</f>
        <v>$ 34906,20</v>
      </c>
      <c r="G490" t="str">
        <f>"$ 34906,20"</f>
        <v>$ 34906,20</v>
      </c>
      <c r="H490" t="str">
        <f t="shared" si="312"/>
        <v>$ 0,00</v>
      </c>
      <c r="I490" t="str">
        <f>"CABLES BUJÍAS SILICONA ANTIPARASITARIOS"</f>
        <v>CABLES BUJÍAS SILICONA ANTIPARASITARIOS</v>
      </c>
      <c r="J490" t="str">
        <f t="shared" si="313"/>
        <v>1</v>
      </c>
      <c r="K490" t="str">
        <f t="shared" si="337"/>
        <v>0</v>
      </c>
      <c r="L490" t="str">
        <f>"17,000"</f>
        <v>17,000</v>
      </c>
      <c r="M490" t="str">
        <f t="shared" si="314"/>
        <v xml:space="preserve"> </v>
      </c>
      <c r="N490" t="str">
        <f t="shared" ref="N490:N508" si="342">"FERRAZZI"</f>
        <v>FERRAZZI</v>
      </c>
      <c r="O490" t="str">
        <f t="shared" si="332"/>
        <v>CABLES</v>
      </c>
      <c r="P490" t="str">
        <f t="shared" si="340"/>
        <v>0</v>
      </c>
      <c r="Q490" t="str">
        <f t="shared" si="340"/>
        <v>0</v>
      </c>
      <c r="R490" t="str">
        <f t="shared" si="341"/>
        <v>0,00</v>
      </c>
      <c r="S490" t="str">
        <f t="shared" si="341"/>
        <v>0,00</v>
      </c>
      <c r="T490" t="str">
        <f t="shared" si="336"/>
        <v xml:space="preserve"> </v>
      </c>
      <c r="U490" t="str">
        <f t="shared" si="338"/>
        <v xml:space="preserve"> </v>
      </c>
      <c r="V490" t="str">
        <f>"17,000"</f>
        <v>17,000</v>
      </c>
      <c r="W490" t="str">
        <f t="shared" si="315"/>
        <v>Lista 4</v>
      </c>
      <c r="X490" t="str">
        <f t="shared" si="316"/>
        <v>Lista 5</v>
      </c>
      <c r="Y490" t="str">
        <f t="shared" si="317"/>
        <v>Oferta Gral.</v>
      </c>
      <c r="Z490" t="str">
        <f t="shared" si="318"/>
        <v>Rubro</v>
      </c>
      <c r="AA490" t="str">
        <f t="shared" si="319"/>
        <v>Cantidad por Bulto</v>
      </c>
      <c r="AB490" t="str">
        <f t="shared" si="320"/>
        <v>INNER</v>
      </c>
      <c r="AC490" t="str">
        <f t="shared" si="321"/>
        <v>Stock en Bultos</v>
      </c>
      <c r="AD490" t="str">
        <f t="shared" si="322"/>
        <v>SubDepósito</v>
      </c>
      <c r="AE490" t="str">
        <f t="shared" si="323"/>
        <v>Marca</v>
      </c>
      <c r="AF490" t="str">
        <f t="shared" si="324"/>
        <v>Super Rubro</v>
      </c>
      <c r="AG490" t="str">
        <f t="shared" si="325"/>
        <v>ComercioExterior</v>
      </c>
      <c r="AH490" t="str">
        <f t="shared" si="326"/>
        <v>PrecioFOB</v>
      </c>
      <c r="AI490" t="str">
        <f t="shared" si="327"/>
        <v>Monto II</v>
      </c>
      <c r="AJ490" t="str">
        <f t="shared" si="328"/>
        <v>Porcentaje II</v>
      </c>
      <c r="AK490" t="str">
        <f t="shared" si="329"/>
        <v>Foto</v>
      </c>
      <c r="AL490" t="str">
        <f>"{\rtf1\ansi\ansicpg1252\deff0\deflang11274{\fonttbl{\f0\fnil\fcharset0 MS Sans Serif}} \viewkind4\uc1\pard\f0\fs16 CABLES BUJ\'cdAS PALIO SIENA BRAVO MOTOR FIRE 1.3  16 V. SILICONADO\par } "</f>
        <v xml:space="preserve">{\rtf1\ansi\ansicpg1252\deff0\deflang11274{\fonttbl{\f0\fnil\fcharset0 MS Sans Serif}} \viewkind4\uc1\pard\f0\fs16 CABLES BUJ\'cdAS PALIO SIENA BRAVO MOTOR FIRE 1.3  16 V. SILICONADO\par } </v>
      </c>
      <c r="AM490" t="str">
        <f>"-"</f>
        <v>-</v>
      </c>
    </row>
    <row r="491" spans="1:39" x14ac:dyDescent="0.25">
      <c r="A491" t="str">
        <f>"02-01711"</f>
        <v>02-01711</v>
      </c>
      <c r="B491" t="str">
        <f>"CABLES BUJÍAS SILICONADOS CHEVROLET 400 CHEVY"</f>
        <v>CABLES BUJÍAS SILICONADOS CHEVROLET 400 CHEVY</v>
      </c>
      <c r="C491" t="str">
        <f>"$ 18883,80"</f>
        <v>$ 18883,80</v>
      </c>
      <c r="D491" t="str">
        <f>"$ 18883,80"</f>
        <v>$ 18883,80</v>
      </c>
      <c r="E491" t="str">
        <f>"$ 18883,80"</f>
        <v>$ 18883,80</v>
      </c>
      <c r="F491" t="str">
        <f>"$ 18883,80"</f>
        <v>$ 18883,80</v>
      </c>
      <c r="G491" t="str">
        <f>"$ 18883,80"</f>
        <v>$ 18883,80</v>
      </c>
      <c r="H491" t="str">
        <f t="shared" si="312"/>
        <v>$ 0,00</v>
      </c>
      <c r="I491" t="str">
        <f>"CABLES BUJÍAS SILICONA ANTIPARASITARIOS"</f>
        <v>CABLES BUJÍAS SILICONA ANTIPARASITARIOS</v>
      </c>
      <c r="J491" t="str">
        <f t="shared" si="313"/>
        <v>1</v>
      </c>
      <c r="K491" t="str">
        <f t="shared" si="337"/>
        <v>0</v>
      </c>
      <c r="L491" t="str">
        <f>"-6,000"</f>
        <v>-6,000</v>
      </c>
      <c r="M491" t="str">
        <f t="shared" si="314"/>
        <v xml:space="preserve"> </v>
      </c>
      <c r="N491" t="str">
        <f t="shared" si="342"/>
        <v>FERRAZZI</v>
      </c>
      <c r="O491" t="str">
        <f t="shared" si="332"/>
        <v>CABLES</v>
      </c>
      <c r="P491" t="str">
        <f t="shared" si="340"/>
        <v>0</v>
      </c>
      <c r="Q491" t="str">
        <f t="shared" si="340"/>
        <v>0</v>
      </c>
      <c r="R491" t="str">
        <f t="shared" si="341"/>
        <v>0,00</v>
      </c>
      <c r="S491" t="str">
        <f t="shared" si="341"/>
        <v>0,00</v>
      </c>
      <c r="T491" t="str">
        <f t="shared" si="336"/>
        <v xml:space="preserve"> </v>
      </c>
      <c r="U491" t="str">
        <f t="shared" si="338"/>
        <v xml:space="preserve"> </v>
      </c>
      <c r="V491" t="str">
        <f>"-6,000"</f>
        <v>-6,000</v>
      </c>
      <c r="W491" t="str">
        <f t="shared" si="315"/>
        <v>Lista 4</v>
      </c>
      <c r="X491" t="str">
        <f t="shared" si="316"/>
        <v>Lista 5</v>
      </c>
      <c r="Y491" t="str">
        <f t="shared" si="317"/>
        <v>Oferta Gral.</v>
      </c>
      <c r="Z491" t="str">
        <f t="shared" si="318"/>
        <v>Rubro</v>
      </c>
      <c r="AA491" t="str">
        <f t="shared" si="319"/>
        <v>Cantidad por Bulto</v>
      </c>
      <c r="AB491" t="str">
        <f t="shared" si="320"/>
        <v>INNER</v>
      </c>
      <c r="AC491" t="str">
        <f t="shared" si="321"/>
        <v>Stock en Bultos</v>
      </c>
      <c r="AD491" t="str">
        <f t="shared" si="322"/>
        <v>SubDepósito</v>
      </c>
      <c r="AE491" t="str">
        <f t="shared" si="323"/>
        <v>Marca</v>
      </c>
      <c r="AF491" t="str">
        <f t="shared" si="324"/>
        <v>Super Rubro</v>
      </c>
      <c r="AG491" t="str">
        <f t="shared" si="325"/>
        <v>ComercioExterior</v>
      </c>
      <c r="AH491" t="str">
        <f t="shared" si="326"/>
        <v>PrecioFOB</v>
      </c>
      <c r="AI491" t="str">
        <f t="shared" si="327"/>
        <v>Monto II</v>
      </c>
      <c r="AJ491" t="str">
        <f t="shared" si="328"/>
        <v>Porcentaje II</v>
      </c>
      <c r="AK491" t="str">
        <f t="shared" si="329"/>
        <v>Foto</v>
      </c>
      <c r="AL49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1" t="str">
        <f>" "</f>
        <v xml:space="preserve"> </v>
      </c>
    </row>
    <row r="492" spans="1:39" x14ac:dyDescent="0.25">
      <c r="A492" t="str">
        <f>"03-00211"</f>
        <v>03-00211</v>
      </c>
      <c r="B492" t="str">
        <f>"CABLES COMPETICION 9 MM POINTER ESCORT ENCENDIDO MOTORCRAFT"</f>
        <v>CABLES COMPETICION 9 MM POINTER ESCORT ENCENDIDO MOTORCRAFT</v>
      </c>
      <c r="C492" t="str">
        <f>"$ 54595,14"</f>
        <v>$ 54595,14</v>
      </c>
      <c r="D492" t="str">
        <f>"$ 54595,14"</f>
        <v>$ 54595,14</v>
      </c>
      <c r="E492" t="str">
        <f>"$ 54595,14"</f>
        <v>$ 54595,14</v>
      </c>
      <c r="F492" t="str">
        <f>"$ 54595,14"</f>
        <v>$ 54595,14</v>
      </c>
      <c r="G492" t="str">
        <f>"$ 54595,14"</f>
        <v>$ 54595,14</v>
      </c>
      <c r="H492" t="str">
        <f t="shared" si="312"/>
        <v>$ 0,00</v>
      </c>
      <c r="I492" t="str">
        <f>"CABLES BUJÍAS COMPETICION 9MM"</f>
        <v>CABLES BUJÍAS COMPETICION 9MM</v>
      </c>
      <c r="J492" t="str">
        <f t="shared" si="313"/>
        <v>1</v>
      </c>
      <c r="K492" t="str">
        <f t="shared" si="337"/>
        <v>0</v>
      </c>
      <c r="L492" t="str">
        <f>"2,000"</f>
        <v>2,000</v>
      </c>
      <c r="M492" t="str">
        <f t="shared" si="314"/>
        <v xml:space="preserve"> </v>
      </c>
      <c r="N492" t="str">
        <f t="shared" si="342"/>
        <v>FERRAZZI</v>
      </c>
      <c r="O492" t="str">
        <f t="shared" si="332"/>
        <v>CABLES</v>
      </c>
      <c r="P492" t="str">
        <f t="shared" si="340"/>
        <v>0</v>
      </c>
      <c r="Q492" t="str">
        <f t="shared" si="340"/>
        <v>0</v>
      </c>
      <c r="R492" t="str">
        <f t="shared" si="341"/>
        <v>0,00</v>
      </c>
      <c r="S492" t="str">
        <f t="shared" si="341"/>
        <v>0,00</v>
      </c>
      <c r="T492" t="str">
        <f t="shared" si="336"/>
        <v xml:space="preserve"> </v>
      </c>
      <c r="U492" t="str">
        <f t="shared" si="338"/>
        <v xml:space="preserve"> </v>
      </c>
      <c r="V492" t="str">
        <f>"2,000"</f>
        <v>2,000</v>
      </c>
      <c r="W492" t="str">
        <f t="shared" si="315"/>
        <v>Lista 4</v>
      </c>
      <c r="X492" t="str">
        <f t="shared" si="316"/>
        <v>Lista 5</v>
      </c>
      <c r="Y492" t="str">
        <f t="shared" si="317"/>
        <v>Oferta Gral.</v>
      </c>
      <c r="Z492" t="str">
        <f t="shared" si="318"/>
        <v>Rubro</v>
      </c>
      <c r="AA492" t="str">
        <f t="shared" si="319"/>
        <v>Cantidad por Bulto</v>
      </c>
      <c r="AB492" t="str">
        <f t="shared" si="320"/>
        <v>INNER</v>
      </c>
      <c r="AC492" t="str">
        <f t="shared" si="321"/>
        <v>Stock en Bultos</v>
      </c>
      <c r="AD492" t="str">
        <f t="shared" si="322"/>
        <v>SubDepósito</v>
      </c>
      <c r="AE492" t="str">
        <f t="shared" si="323"/>
        <v>Marca</v>
      </c>
      <c r="AF492" t="str">
        <f t="shared" si="324"/>
        <v>Super Rubro</v>
      </c>
      <c r="AG492" t="str">
        <f t="shared" si="325"/>
        <v>ComercioExterior</v>
      </c>
      <c r="AH492" t="str">
        <f t="shared" si="326"/>
        <v>PrecioFOB</v>
      </c>
      <c r="AI492" t="str">
        <f t="shared" si="327"/>
        <v>Monto II</v>
      </c>
      <c r="AJ492" t="str">
        <f t="shared" si="328"/>
        <v>Porcentaje II</v>
      </c>
      <c r="AK492" t="str">
        <f t="shared" si="329"/>
        <v>Foto</v>
      </c>
      <c r="AL492" t="str">
        <f>"{\rtf1\ansi\ansicpg1252\deff0\deflang11274{\fonttbl{\f0\fnil\fcharset0 MS Sans Serif}} \viewkind4\uc1\pard\f0\fs16 JGO. CABLES BUJ\'cdAS 2 CV - 3 CV - AMI 8 ANTIPARASITARIO\par } "</f>
        <v xml:space="preserve">{\rtf1\ansi\ansicpg1252\deff0\deflang11274{\fonttbl{\f0\fnil\fcharset0 MS Sans Serif}} \viewkind4\uc1\pard\f0\fs16 JGO. CABLES BUJ\'cdAS 2 CV - 3 CV - AMI 8 ANTIPARASITARIO\par } </v>
      </c>
      <c r="AM492" t="str">
        <f>"-"</f>
        <v>-</v>
      </c>
    </row>
    <row r="493" spans="1:39" x14ac:dyDescent="0.25">
      <c r="A493" t="str">
        <f>"01-33000"</f>
        <v>01-33000</v>
      </c>
      <c r="B493" t="str">
        <f>"CABLES DE BUJIAS FERRAZZI CITROEN 2CV 3CV AMI 8 DESDE 1960 A 1978"</f>
        <v>CABLES DE BUJIAS FERRAZZI CITROEN 2CV 3CV AMI 8 DESDE 1960 A 1978</v>
      </c>
      <c r="C493" t="str">
        <f>"$ 5417,04"</f>
        <v>$ 5417,04</v>
      </c>
      <c r="D493" t="str">
        <f>"$ 5417,04"</f>
        <v>$ 5417,04</v>
      </c>
      <c r="E493" t="str">
        <f>"$ 5417,04"</f>
        <v>$ 5417,04</v>
      </c>
      <c r="F493" t="str">
        <f>"$ 5417,04"</f>
        <v>$ 5417,04</v>
      </c>
      <c r="G493" t="str">
        <f>"$ 5417,04"</f>
        <v>$ 5417,04</v>
      </c>
      <c r="H493" t="str">
        <f t="shared" si="312"/>
        <v>$ 0,00</v>
      </c>
      <c r="I493" t="str">
        <f>"CABLES BUJÍAS PVC ANTIPARASITARIOS"</f>
        <v>CABLES BUJÍAS PVC ANTIPARASITARIOS</v>
      </c>
      <c r="J493" t="str">
        <f t="shared" si="313"/>
        <v>1</v>
      </c>
      <c r="K493" t="str">
        <f t="shared" si="337"/>
        <v>0</v>
      </c>
      <c r="L493" t="str">
        <f>"28,000"</f>
        <v>28,000</v>
      </c>
      <c r="M493" t="str">
        <f t="shared" si="314"/>
        <v xml:space="preserve"> </v>
      </c>
      <c r="N493" t="str">
        <f t="shared" si="342"/>
        <v>FERRAZZI</v>
      </c>
      <c r="O493" t="str">
        <f t="shared" si="332"/>
        <v>CABLES</v>
      </c>
      <c r="P493" t="str">
        <f t="shared" si="340"/>
        <v>0</v>
      </c>
      <c r="Q493" t="str">
        <f t="shared" si="340"/>
        <v>0</v>
      </c>
      <c r="R493" t="str">
        <f t="shared" si="341"/>
        <v>0,00</v>
      </c>
      <c r="S493" t="str">
        <f t="shared" si="341"/>
        <v>0,00</v>
      </c>
      <c r="T493" t="str">
        <f t="shared" si="336"/>
        <v xml:space="preserve"> </v>
      </c>
      <c r="U493" t="str">
        <f t="shared" si="338"/>
        <v xml:space="preserve"> </v>
      </c>
      <c r="V493" t="str">
        <f>"28,000"</f>
        <v>28,000</v>
      </c>
      <c r="W493" t="str">
        <f t="shared" si="315"/>
        <v>Lista 4</v>
      </c>
      <c r="X493" t="str">
        <f t="shared" si="316"/>
        <v>Lista 5</v>
      </c>
      <c r="Y493" t="str">
        <f t="shared" si="317"/>
        <v>Oferta Gral.</v>
      </c>
      <c r="Z493" t="str">
        <f t="shared" si="318"/>
        <v>Rubro</v>
      </c>
      <c r="AA493" t="str">
        <f t="shared" si="319"/>
        <v>Cantidad por Bulto</v>
      </c>
      <c r="AB493" t="str">
        <f t="shared" si="320"/>
        <v>INNER</v>
      </c>
      <c r="AC493" t="str">
        <f t="shared" si="321"/>
        <v>Stock en Bultos</v>
      </c>
      <c r="AD493" t="str">
        <f t="shared" si="322"/>
        <v>SubDepósito</v>
      </c>
      <c r="AE493" t="str">
        <f t="shared" si="323"/>
        <v>Marca</v>
      </c>
      <c r="AF493" t="str">
        <f t="shared" si="324"/>
        <v>Super Rubro</v>
      </c>
      <c r="AG493" t="str">
        <f t="shared" si="325"/>
        <v>ComercioExterior</v>
      </c>
      <c r="AH493" t="str">
        <f t="shared" si="326"/>
        <v>PrecioFOB</v>
      </c>
      <c r="AI493" t="str">
        <f t="shared" si="327"/>
        <v>Monto II</v>
      </c>
      <c r="AJ493" t="str">
        <f t="shared" si="328"/>
        <v>Porcentaje II</v>
      </c>
      <c r="AK493" t="str">
        <f t="shared" si="329"/>
        <v>Foto</v>
      </c>
      <c r="AL49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3" t="str">
        <f>" "</f>
        <v xml:space="preserve"> </v>
      </c>
    </row>
    <row r="494" spans="1:39" x14ac:dyDescent="0.25">
      <c r="A494" t="str">
        <f>"04-01761"</f>
        <v>04-01761</v>
      </c>
      <c r="B494" t="str">
        <f>"CABLES DE BUJIAS FERRAZZI SILICONADOS FORD SIERRA 2.3 "</f>
        <v xml:space="preserve">CABLES DE BUJIAS FERRAZZI SILICONADOS FORD SIERRA 2.3 </v>
      </c>
      <c r="C494" t="str">
        <f>"$ 20057,17"</f>
        <v>$ 20057,17</v>
      </c>
      <c r="D494" t="str">
        <f>"$ 20057,17"</f>
        <v>$ 20057,17</v>
      </c>
      <c r="E494" t="str">
        <f>"$ 20057,17"</f>
        <v>$ 20057,17</v>
      </c>
      <c r="F494" t="str">
        <f>"$ 20057,17"</f>
        <v>$ 20057,17</v>
      </c>
      <c r="G494" t="str">
        <f>"$ 20057,17"</f>
        <v>$ 20057,17</v>
      </c>
      <c r="H494" t="str">
        <f t="shared" si="312"/>
        <v>$ 0,00</v>
      </c>
      <c r="I494" t="str">
        <f>"CABLES BUJÍAS SILICONA ANTIPARASITARIOS"</f>
        <v>CABLES BUJÍAS SILICONA ANTIPARASITARIOS</v>
      </c>
      <c r="J494" t="str">
        <f t="shared" si="313"/>
        <v>1</v>
      </c>
      <c r="K494" t="str">
        <f t="shared" si="337"/>
        <v>0</v>
      </c>
      <c r="L494" t="str">
        <f>"13,000"</f>
        <v>13,000</v>
      </c>
      <c r="M494" t="str">
        <f t="shared" si="314"/>
        <v xml:space="preserve"> </v>
      </c>
      <c r="N494" t="str">
        <f t="shared" si="342"/>
        <v>FERRAZZI</v>
      </c>
      <c r="O494" t="str">
        <f t="shared" ref="O494:O509" si="343">"CABLES"</f>
        <v>CABLES</v>
      </c>
      <c r="P494" t="str">
        <f t="shared" si="340"/>
        <v>0</v>
      </c>
      <c r="Q494" t="str">
        <f t="shared" si="340"/>
        <v>0</v>
      </c>
      <c r="R494" t="str">
        <f t="shared" si="341"/>
        <v>0,00</v>
      </c>
      <c r="S494" t="str">
        <f t="shared" si="341"/>
        <v>0,00</v>
      </c>
      <c r="T494" t="str">
        <f t="shared" si="336"/>
        <v xml:space="preserve"> </v>
      </c>
      <c r="U494" t="str">
        <f t="shared" si="338"/>
        <v xml:space="preserve"> </v>
      </c>
      <c r="V494" t="str">
        <f>"13,000"</f>
        <v>13,000</v>
      </c>
      <c r="W494" t="str">
        <f t="shared" si="315"/>
        <v>Lista 4</v>
      </c>
      <c r="X494" t="str">
        <f t="shared" si="316"/>
        <v>Lista 5</v>
      </c>
      <c r="Y494" t="str">
        <f t="shared" si="317"/>
        <v>Oferta Gral.</v>
      </c>
      <c r="Z494" t="str">
        <f t="shared" si="318"/>
        <v>Rubro</v>
      </c>
      <c r="AA494" t="str">
        <f t="shared" si="319"/>
        <v>Cantidad por Bulto</v>
      </c>
      <c r="AB494" t="str">
        <f t="shared" si="320"/>
        <v>INNER</v>
      </c>
      <c r="AC494" t="str">
        <f t="shared" si="321"/>
        <v>Stock en Bultos</v>
      </c>
      <c r="AD494" t="str">
        <f t="shared" si="322"/>
        <v>SubDepósito</v>
      </c>
      <c r="AE494" t="str">
        <f t="shared" si="323"/>
        <v>Marca</v>
      </c>
      <c r="AF494" t="str">
        <f t="shared" si="324"/>
        <v>Super Rubro</v>
      </c>
      <c r="AG494" t="str">
        <f t="shared" si="325"/>
        <v>ComercioExterior</v>
      </c>
      <c r="AH494" t="str">
        <f t="shared" si="326"/>
        <v>PrecioFOB</v>
      </c>
      <c r="AI494" t="str">
        <f t="shared" si="327"/>
        <v>Monto II</v>
      </c>
      <c r="AJ494" t="str">
        <f t="shared" si="328"/>
        <v>Porcentaje II</v>
      </c>
      <c r="AK494" t="str">
        <f t="shared" si="329"/>
        <v>Foto</v>
      </c>
      <c r="AL49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94" t="str">
        <f>" "</f>
        <v xml:space="preserve"> </v>
      </c>
    </row>
    <row r="495" spans="1:39" x14ac:dyDescent="0.25">
      <c r="A495" t="str">
        <f>"03-00209"</f>
        <v>03-00209</v>
      </c>
      <c r="B495" t="str">
        <f>"CABLES DE BUJIAS VW QUANTUM 2.0 COMPETICION 9MM"</f>
        <v>CABLES DE BUJIAS VW QUANTUM 2.0 COMPETICION 9MM</v>
      </c>
      <c r="C495" t="str">
        <f>"$ 48641,56"</f>
        <v>$ 48641,56</v>
      </c>
      <c r="D495" t="str">
        <f>"$ 48641,56"</f>
        <v>$ 48641,56</v>
      </c>
      <c r="E495" t="str">
        <f>"$ 48641,56"</f>
        <v>$ 48641,56</v>
      </c>
      <c r="F495" t="str">
        <f>"$ 48641,56"</f>
        <v>$ 48641,56</v>
      </c>
      <c r="G495" t="str">
        <f>"$ 48641,56"</f>
        <v>$ 48641,56</v>
      </c>
      <c r="H495" t="str">
        <f t="shared" si="312"/>
        <v>$ 0,00</v>
      </c>
      <c r="I495" t="str">
        <f>"CABLES BUJÍAS COMPETICION 9MM"</f>
        <v>CABLES BUJÍAS COMPETICION 9MM</v>
      </c>
      <c r="J495" t="str">
        <f t="shared" si="313"/>
        <v>1</v>
      </c>
      <c r="K495" t="str">
        <f t="shared" si="337"/>
        <v>0</v>
      </c>
      <c r="L495" t="str">
        <f>"0,000"</f>
        <v>0,000</v>
      </c>
      <c r="M495" t="str">
        <f t="shared" si="314"/>
        <v xml:space="preserve"> </v>
      </c>
      <c r="N495" t="str">
        <f t="shared" si="342"/>
        <v>FERRAZZI</v>
      </c>
      <c r="O495" t="str">
        <f t="shared" si="343"/>
        <v>CABLES</v>
      </c>
      <c r="P495" t="str">
        <f t="shared" si="340"/>
        <v>0</v>
      </c>
      <c r="Q495" t="str">
        <f t="shared" si="340"/>
        <v>0</v>
      </c>
      <c r="R495" t="str">
        <f t="shared" si="341"/>
        <v>0,00</v>
      </c>
      <c r="S495" t="str">
        <f t="shared" si="341"/>
        <v>0,00</v>
      </c>
      <c r="T495" t="str">
        <f t="shared" si="336"/>
        <v xml:space="preserve"> </v>
      </c>
      <c r="U495" t="str">
        <f t="shared" si="338"/>
        <v xml:space="preserve"> </v>
      </c>
      <c r="V495" t="str">
        <f>"0,000"</f>
        <v>0,000</v>
      </c>
      <c r="W495" t="str">
        <f t="shared" si="315"/>
        <v>Lista 4</v>
      </c>
      <c r="X495" t="str">
        <f t="shared" si="316"/>
        <v>Lista 5</v>
      </c>
      <c r="Y495" t="str">
        <f t="shared" si="317"/>
        <v>Oferta Gral.</v>
      </c>
      <c r="Z495" t="str">
        <f t="shared" si="318"/>
        <v>Rubro</v>
      </c>
      <c r="AA495" t="str">
        <f t="shared" si="319"/>
        <v>Cantidad por Bulto</v>
      </c>
      <c r="AB495" t="str">
        <f t="shared" si="320"/>
        <v>INNER</v>
      </c>
      <c r="AC495" t="str">
        <f t="shared" si="321"/>
        <v>Stock en Bultos</v>
      </c>
      <c r="AD495" t="str">
        <f t="shared" si="322"/>
        <v>SubDepósito</v>
      </c>
      <c r="AE495" t="str">
        <f t="shared" si="323"/>
        <v>Marca</v>
      </c>
      <c r="AF495" t="str">
        <f t="shared" si="324"/>
        <v>Super Rubro</v>
      </c>
      <c r="AG495" t="str">
        <f t="shared" si="325"/>
        <v>ComercioExterior</v>
      </c>
      <c r="AH495" t="str">
        <f t="shared" si="326"/>
        <v>PrecioFOB</v>
      </c>
      <c r="AI495" t="str">
        <f t="shared" si="327"/>
        <v>Monto II</v>
      </c>
      <c r="AJ495" t="str">
        <f t="shared" si="328"/>
        <v>Porcentaje II</v>
      </c>
      <c r="AK495" t="str">
        <f t="shared" si="329"/>
        <v>Foto</v>
      </c>
      <c r="AL49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95" t="str">
        <f>"-"</f>
        <v>-</v>
      </c>
    </row>
    <row r="496" spans="1:39" x14ac:dyDescent="0.25">
      <c r="A496" t="str">
        <f>"02-00213"</f>
        <v>02-00213</v>
      </c>
      <c r="B496" t="str">
        <f>"CABLES DE BUJÍAS CHEVROLET S10 BLAZER 2.2 MPFI 1997 A 2000"</f>
        <v>CABLES DE BUJÍAS CHEVROLET S10 BLAZER 2.2 MPFI 1997 A 2000</v>
      </c>
      <c r="C496" t="str">
        <f>"$ 61717,41"</f>
        <v>$ 61717,41</v>
      </c>
      <c r="D496" t="str">
        <f>"$ 61717,41"</f>
        <v>$ 61717,41</v>
      </c>
      <c r="E496" t="str">
        <f>"$ 61717,41"</f>
        <v>$ 61717,41</v>
      </c>
      <c r="F496" t="str">
        <f>"$ 61717,41"</f>
        <v>$ 61717,41</v>
      </c>
      <c r="G496" t="str">
        <f>"$ 61717,41"</f>
        <v>$ 61717,41</v>
      </c>
      <c r="H496" t="str">
        <f t="shared" si="312"/>
        <v>$ 0,00</v>
      </c>
      <c r="I496" t="str">
        <f>"CABLES BUJÍAS COMPETICION 9MM"</f>
        <v>CABLES BUJÍAS COMPETICION 9MM</v>
      </c>
      <c r="J496" t="str">
        <f t="shared" si="313"/>
        <v>1</v>
      </c>
      <c r="K496" t="str">
        <f t="shared" si="337"/>
        <v>0</v>
      </c>
      <c r="L496" t="str">
        <f>"0,000"</f>
        <v>0,000</v>
      </c>
      <c r="M496" t="str">
        <f t="shared" si="314"/>
        <v xml:space="preserve"> </v>
      </c>
      <c r="N496" t="str">
        <f t="shared" si="342"/>
        <v>FERRAZZI</v>
      </c>
      <c r="O496" t="str">
        <f t="shared" si="343"/>
        <v>CABLES</v>
      </c>
      <c r="P496" t="str">
        <f t="shared" si="340"/>
        <v>0</v>
      </c>
      <c r="Q496" t="str">
        <f t="shared" si="340"/>
        <v>0</v>
      </c>
      <c r="R496" t="str">
        <f t="shared" si="341"/>
        <v>0,00</v>
      </c>
      <c r="S496" t="str">
        <f t="shared" si="341"/>
        <v>0,00</v>
      </c>
      <c r="T496" t="str">
        <f t="shared" si="336"/>
        <v xml:space="preserve"> </v>
      </c>
      <c r="U496" t="str">
        <f t="shared" si="338"/>
        <v xml:space="preserve"> </v>
      </c>
      <c r="V496" t="str">
        <f>"0,000"</f>
        <v>0,000</v>
      </c>
      <c r="W496" t="str">
        <f t="shared" si="315"/>
        <v>Lista 4</v>
      </c>
      <c r="X496" t="str">
        <f t="shared" si="316"/>
        <v>Lista 5</v>
      </c>
      <c r="Y496" t="str">
        <f t="shared" si="317"/>
        <v>Oferta Gral.</v>
      </c>
      <c r="Z496" t="str">
        <f t="shared" si="318"/>
        <v>Rubro</v>
      </c>
      <c r="AA496" t="str">
        <f t="shared" si="319"/>
        <v>Cantidad por Bulto</v>
      </c>
      <c r="AB496" t="str">
        <f t="shared" si="320"/>
        <v>INNER</v>
      </c>
      <c r="AC496" t="str">
        <f t="shared" si="321"/>
        <v>Stock en Bultos</v>
      </c>
      <c r="AD496" t="str">
        <f t="shared" si="322"/>
        <v>SubDepósito</v>
      </c>
      <c r="AE496" t="str">
        <f t="shared" si="323"/>
        <v>Marca</v>
      </c>
      <c r="AF496" t="str">
        <f t="shared" si="324"/>
        <v>Super Rubro</v>
      </c>
      <c r="AG496" t="str">
        <f t="shared" si="325"/>
        <v>ComercioExterior</v>
      </c>
      <c r="AH496" t="str">
        <f t="shared" si="326"/>
        <v>PrecioFOB</v>
      </c>
      <c r="AI496" t="str">
        <f t="shared" si="327"/>
        <v>Monto II</v>
      </c>
      <c r="AJ496" t="str">
        <f t="shared" si="328"/>
        <v>Porcentaje II</v>
      </c>
      <c r="AK496" t="str">
        <f t="shared" si="329"/>
        <v>Foto</v>
      </c>
      <c r="AL49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6" t="str">
        <f>" "</f>
        <v xml:space="preserve"> </v>
      </c>
    </row>
    <row r="497" spans="1:39" x14ac:dyDescent="0.25">
      <c r="A497" t="str">
        <f>"06-00226"</f>
        <v>06-00226</v>
      </c>
      <c r="B497" t="str">
        <f>"CABLES DE BUJÍAS FERRAZZI 9MM RENAULT CLIO 2 1.6 8V K7M 1999 A 2003 "</f>
        <v xml:space="preserve">CABLES DE BUJÍAS FERRAZZI 9MM RENAULT CLIO 2 1.6 8V K7M 1999 A 2003 </v>
      </c>
      <c r="C497" t="str">
        <f>"$ 30353,91"</f>
        <v>$ 30353,91</v>
      </c>
      <c r="D497" t="str">
        <f>"$ 30353,91"</f>
        <v>$ 30353,91</v>
      </c>
      <c r="E497" t="str">
        <f>"$ 30353,91"</f>
        <v>$ 30353,91</v>
      </c>
      <c r="F497" t="str">
        <f>"$ 30353,91"</f>
        <v>$ 30353,91</v>
      </c>
      <c r="G497" t="str">
        <f>"$ 30353,91"</f>
        <v>$ 30353,91</v>
      </c>
      <c r="H497" t="str">
        <f t="shared" si="312"/>
        <v>$ 0,00</v>
      </c>
      <c r="I497" t="str">
        <f>"CABLES BUJÍAS COMPETICION 9MM"</f>
        <v>CABLES BUJÍAS COMPETICION 9MM</v>
      </c>
      <c r="J497" t="str">
        <f t="shared" si="313"/>
        <v>1</v>
      </c>
      <c r="K497" t="str">
        <f t="shared" si="337"/>
        <v>0</v>
      </c>
      <c r="L497" t="str">
        <f>"0,000"</f>
        <v>0,000</v>
      </c>
      <c r="M497" t="str">
        <f t="shared" si="314"/>
        <v xml:space="preserve"> </v>
      </c>
      <c r="N497" t="str">
        <f t="shared" si="342"/>
        <v>FERRAZZI</v>
      </c>
      <c r="O497" t="str">
        <f t="shared" si="343"/>
        <v>CABLES</v>
      </c>
      <c r="P497" t="str">
        <f t="shared" si="340"/>
        <v>0</v>
      </c>
      <c r="Q497" t="str">
        <f t="shared" si="340"/>
        <v>0</v>
      </c>
      <c r="R497" t="str">
        <f t="shared" si="341"/>
        <v>0,00</v>
      </c>
      <c r="S497" t="str">
        <f t="shared" si="341"/>
        <v>0,00</v>
      </c>
      <c r="T497" t="str">
        <f t="shared" si="336"/>
        <v xml:space="preserve"> </v>
      </c>
      <c r="U497" t="str">
        <f t="shared" si="338"/>
        <v xml:space="preserve"> </v>
      </c>
      <c r="V497" t="str">
        <f>"0,000"</f>
        <v>0,000</v>
      </c>
      <c r="W497" t="str">
        <f t="shared" si="315"/>
        <v>Lista 4</v>
      </c>
      <c r="X497" t="str">
        <f t="shared" si="316"/>
        <v>Lista 5</v>
      </c>
      <c r="Y497" t="str">
        <f t="shared" si="317"/>
        <v>Oferta Gral.</v>
      </c>
      <c r="Z497" t="str">
        <f t="shared" si="318"/>
        <v>Rubro</v>
      </c>
      <c r="AA497" t="str">
        <f t="shared" si="319"/>
        <v>Cantidad por Bulto</v>
      </c>
      <c r="AB497" t="str">
        <f t="shared" si="320"/>
        <v>INNER</v>
      </c>
      <c r="AC497" t="str">
        <f t="shared" si="321"/>
        <v>Stock en Bultos</v>
      </c>
      <c r="AD497" t="str">
        <f t="shared" si="322"/>
        <v>SubDepósito</v>
      </c>
      <c r="AE497" t="str">
        <f t="shared" si="323"/>
        <v>Marca</v>
      </c>
      <c r="AF497" t="str">
        <f t="shared" si="324"/>
        <v>Super Rubro</v>
      </c>
      <c r="AG497" t="str">
        <f t="shared" si="325"/>
        <v>ComercioExterior</v>
      </c>
      <c r="AH497" t="str">
        <f t="shared" si="326"/>
        <v>PrecioFOB</v>
      </c>
      <c r="AI497" t="str">
        <f t="shared" si="327"/>
        <v>Monto II</v>
      </c>
      <c r="AJ497" t="str">
        <f t="shared" si="328"/>
        <v>Porcentaje II</v>
      </c>
      <c r="AK497" t="str">
        <f t="shared" si="329"/>
        <v>Foto</v>
      </c>
      <c r="AL49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7" t="str">
        <f>" "</f>
        <v xml:space="preserve"> </v>
      </c>
    </row>
    <row r="498" spans="1:39" x14ac:dyDescent="0.25">
      <c r="A498" t="str">
        <f>"03-01758"</f>
        <v>03-01758</v>
      </c>
      <c r="B498" t="str">
        <f>"CABLES DE BUJÍAS VW BORA GOLF 2.0 SILICONADO"</f>
        <v>CABLES DE BUJÍAS VW BORA GOLF 2.0 SILICONADO</v>
      </c>
      <c r="C498" t="str">
        <f>"$ 38215,35"</f>
        <v>$ 38215,35</v>
      </c>
      <c r="D498" t="str">
        <f>"$ 38215,35"</f>
        <v>$ 38215,35</v>
      </c>
      <c r="E498" t="str">
        <f>"$ 38215,35"</f>
        <v>$ 38215,35</v>
      </c>
      <c r="F498" t="str">
        <f>"$ 38215,35"</f>
        <v>$ 38215,35</v>
      </c>
      <c r="G498" t="str">
        <f>"$ 38215,35"</f>
        <v>$ 38215,35</v>
      </c>
      <c r="H498" t="str">
        <f t="shared" si="312"/>
        <v>$ 0,00</v>
      </c>
      <c r="I498" t="str">
        <f>"CABLES BUJÍAS SILICONA ANTIPARASITARIOS"</f>
        <v>CABLES BUJÍAS SILICONA ANTIPARASITARIOS</v>
      </c>
      <c r="J498" t="str">
        <f t="shared" si="313"/>
        <v>1</v>
      </c>
      <c r="K498" t="str">
        <f t="shared" si="337"/>
        <v>0</v>
      </c>
      <c r="L498" t="str">
        <f>"10,000"</f>
        <v>10,000</v>
      </c>
      <c r="M498" t="str">
        <f t="shared" si="314"/>
        <v xml:space="preserve"> </v>
      </c>
      <c r="N498" t="str">
        <f t="shared" si="342"/>
        <v>FERRAZZI</v>
      </c>
      <c r="O498" t="str">
        <f t="shared" si="343"/>
        <v>CABLES</v>
      </c>
      <c r="P498" t="str">
        <f t="shared" si="340"/>
        <v>0</v>
      </c>
      <c r="Q498" t="str">
        <f t="shared" si="340"/>
        <v>0</v>
      </c>
      <c r="R498" t="str">
        <f t="shared" si="341"/>
        <v>0,00</v>
      </c>
      <c r="S498" t="str">
        <f t="shared" si="341"/>
        <v>0,00</v>
      </c>
      <c r="T498" t="str">
        <f t="shared" si="336"/>
        <v xml:space="preserve"> </v>
      </c>
      <c r="U498" t="str">
        <f t="shared" si="338"/>
        <v xml:space="preserve"> </v>
      </c>
      <c r="V498" t="str">
        <f>"10,000"</f>
        <v>10,000</v>
      </c>
      <c r="W498" t="str">
        <f t="shared" si="315"/>
        <v>Lista 4</v>
      </c>
      <c r="X498" t="str">
        <f t="shared" si="316"/>
        <v>Lista 5</v>
      </c>
      <c r="Y498" t="str">
        <f t="shared" si="317"/>
        <v>Oferta Gral.</v>
      </c>
      <c r="Z498" t="str">
        <f t="shared" si="318"/>
        <v>Rubro</v>
      </c>
      <c r="AA498" t="str">
        <f t="shared" si="319"/>
        <v>Cantidad por Bulto</v>
      </c>
      <c r="AB498" t="str">
        <f t="shared" si="320"/>
        <v>INNER</v>
      </c>
      <c r="AC498" t="str">
        <f t="shared" si="321"/>
        <v>Stock en Bultos</v>
      </c>
      <c r="AD498" t="str">
        <f t="shared" si="322"/>
        <v>SubDepósito</v>
      </c>
      <c r="AE498" t="str">
        <f t="shared" si="323"/>
        <v>Marca</v>
      </c>
      <c r="AF498" t="str">
        <f t="shared" si="324"/>
        <v>Super Rubro</v>
      </c>
      <c r="AG498" t="str">
        <f t="shared" si="325"/>
        <v>ComercioExterior</v>
      </c>
      <c r="AH498" t="str">
        <f t="shared" si="326"/>
        <v>PrecioFOB</v>
      </c>
      <c r="AI498" t="str">
        <f t="shared" si="327"/>
        <v>Monto II</v>
      </c>
      <c r="AJ498" t="str">
        <f t="shared" si="328"/>
        <v>Porcentaje II</v>
      </c>
      <c r="AK498" t="str">
        <f t="shared" si="329"/>
        <v>Foto</v>
      </c>
      <c r="AL498" t="str">
        <f>"{\rtf1\ansi\ansicpg1252\deff0\deflang2058{\fonttbl{\f0\fnil\fcharset0 MS Sans Serif}} \viewkind4\uc1\pard\f0\fs16 CABLES DE BUJ\'cdAS VW BORA GOLF 2.0 SILICONADO\par } "</f>
        <v xml:space="preserve">{\rtf1\ansi\ansicpg1252\deff0\deflang2058{\fonttbl{\f0\fnil\fcharset0 MS Sans Serif}} \viewkind4\uc1\pard\f0\fs16 CABLES DE BUJ\'cdAS VW BORA GOLF 2.0 SILICONADO\par } </v>
      </c>
      <c r="AM498" t="str">
        <f>"-"</f>
        <v>-</v>
      </c>
    </row>
    <row r="499" spans="1:39" x14ac:dyDescent="0.25">
      <c r="A499" t="str">
        <f>"27-01708"</f>
        <v>27-01708</v>
      </c>
      <c r="B499" t="str">
        <f>"CABLES FERRAZZI 7MM SILICONADO JEEP GRAND CHEROKEE V8 5.2 LITROS 1991 A 2000"</f>
        <v>CABLES FERRAZZI 7MM SILICONADO JEEP GRAND CHEROKEE V8 5.2 LITROS 1991 A 2000</v>
      </c>
      <c r="C499" t="str">
        <f>"$ 43434,94"</f>
        <v>$ 43434,94</v>
      </c>
      <c r="D499" t="str">
        <f>"$ 43434,94"</f>
        <v>$ 43434,94</v>
      </c>
      <c r="E499" t="str">
        <f>"$ 43434,94"</f>
        <v>$ 43434,94</v>
      </c>
      <c r="F499" t="str">
        <f>"$ 43434,94"</f>
        <v>$ 43434,94</v>
      </c>
      <c r="G499" t="str">
        <f>"$ 43434,94"</f>
        <v>$ 43434,94</v>
      </c>
      <c r="H499" t="str">
        <f t="shared" si="312"/>
        <v>$ 0,00</v>
      </c>
      <c r="I499" t="str">
        <f>"CABLES BUJÍAS SILICONA ANTIPARASITARIOS"</f>
        <v>CABLES BUJÍAS SILICONA ANTIPARASITARIOS</v>
      </c>
      <c r="J499" t="str">
        <f t="shared" si="313"/>
        <v>1</v>
      </c>
      <c r="K499" t="str">
        <f t="shared" si="337"/>
        <v>0</v>
      </c>
      <c r="L499" t="str">
        <f>"10,000"</f>
        <v>10,000</v>
      </c>
      <c r="M499" t="str">
        <f t="shared" si="314"/>
        <v xml:space="preserve"> </v>
      </c>
      <c r="N499" t="str">
        <f t="shared" si="342"/>
        <v>FERRAZZI</v>
      </c>
      <c r="O499" t="str">
        <f t="shared" si="343"/>
        <v>CABLES</v>
      </c>
      <c r="P499" t="str">
        <f t="shared" si="340"/>
        <v>0</v>
      </c>
      <c r="Q499" t="str">
        <f t="shared" si="340"/>
        <v>0</v>
      </c>
      <c r="R499" t="str">
        <f t="shared" si="341"/>
        <v>0,00</v>
      </c>
      <c r="S499" t="str">
        <f t="shared" si="341"/>
        <v>0,00</v>
      </c>
      <c r="T499" t="str">
        <f t="shared" si="336"/>
        <v xml:space="preserve"> </v>
      </c>
      <c r="U499" t="str">
        <f t="shared" si="338"/>
        <v xml:space="preserve"> </v>
      </c>
      <c r="V499" t="str">
        <f>"10,000"</f>
        <v>10,000</v>
      </c>
      <c r="W499" t="str">
        <f t="shared" si="315"/>
        <v>Lista 4</v>
      </c>
      <c r="X499" t="str">
        <f t="shared" si="316"/>
        <v>Lista 5</v>
      </c>
      <c r="Y499" t="str">
        <f t="shared" si="317"/>
        <v>Oferta Gral.</v>
      </c>
      <c r="Z499" t="str">
        <f t="shared" si="318"/>
        <v>Rubro</v>
      </c>
      <c r="AA499" t="str">
        <f t="shared" si="319"/>
        <v>Cantidad por Bulto</v>
      </c>
      <c r="AB499" t="str">
        <f t="shared" si="320"/>
        <v>INNER</v>
      </c>
      <c r="AC499" t="str">
        <f t="shared" si="321"/>
        <v>Stock en Bultos</v>
      </c>
      <c r="AD499" t="str">
        <f t="shared" si="322"/>
        <v>SubDepósito</v>
      </c>
      <c r="AE499" t="str">
        <f t="shared" si="323"/>
        <v>Marca</v>
      </c>
      <c r="AF499" t="str">
        <f t="shared" si="324"/>
        <v>Super Rubro</v>
      </c>
      <c r="AG499" t="str">
        <f t="shared" si="325"/>
        <v>ComercioExterior</v>
      </c>
      <c r="AH499" t="str">
        <f t="shared" si="326"/>
        <v>PrecioFOB</v>
      </c>
      <c r="AI499" t="str">
        <f t="shared" si="327"/>
        <v>Monto II</v>
      </c>
      <c r="AJ499" t="str">
        <f t="shared" si="328"/>
        <v>Porcentaje II</v>
      </c>
      <c r="AK499" t="str">
        <f t="shared" si="329"/>
        <v>Foto</v>
      </c>
      <c r="AL499" t="str">
        <f>"{\rtf1\ansi\ansicpg1252\deff0\deflang11274{\fonttbl{\f0\fnil\fcharset0 MS Sans Serif}} \viewkind4\uc1\pard\f0\fs16 CABLES FERRAZZI 7MM SILICONADO JEEP GRAND CHEROKEE V8 5.2 LITROS 1991 A 2000\par } "</f>
        <v xml:space="preserve">{\rtf1\ansi\ansicpg1252\deff0\deflang11274{\fonttbl{\f0\fnil\fcharset0 MS Sans Serif}} \viewkind4\uc1\pard\f0\fs16 CABLES FERRAZZI 7MM SILICONADO JEEP GRAND CHEROKEE V8 5.2 LITROS 1991 A 2000\par } </v>
      </c>
      <c r="AM499" t="str">
        <f t="shared" ref="AM499:AM511" si="344">" "</f>
        <v xml:space="preserve"> </v>
      </c>
    </row>
    <row r="500" spans="1:39" x14ac:dyDescent="0.25">
      <c r="A500" t="str">
        <f>"12-00201"</f>
        <v>12-00201</v>
      </c>
      <c r="B500" t="str">
        <f>"CABLES FERRAZZI 9MM HONDA CIVIC 1.6 ACCORD 2.0 2.2 D15B3 D16A9 B16A2 F20A5 F22A"</f>
        <v>CABLES FERRAZZI 9MM HONDA CIVIC 1.6 ACCORD 2.0 2.2 D15B3 D16A9 B16A2 F20A5 F22A</v>
      </c>
      <c r="C500" t="str">
        <f>"$ 69042,46"</f>
        <v>$ 69042,46</v>
      </c>
      <c r="D500" t="str">
        <f>"$ 69042,46"</f>
        <v>$ 69042,46</v>
      </c>
      <c r="E500" t="str">
        <f>"$ 69042,46"</f>
        <v>$ 69042,46</v>
      </c>
      <c r="F500" t="str">
        <f>"$ 31690,48"</f>
        <v>$ 31690,48</v>
      </c>
      <c r="G500" t="str">
        <f>"$ 31690,48"</f>
        <v>$ 31690,48</v>
      </c>
      <c r="H500" t="str">
        <f t="shared" si="312"/>
        <v>$ 0,00</v>
      </c>
      <c r="I500" t="str">
        <f>"CABLES BUJÍAS COMPETICION 9MM"</f>
        <v>CABLES BUJÍAS COMPETICION 9MM</v>
      </c>
      <c r="J500" t="str">
        <f t="shared" si="313"/>
        <v>1</v>
      </c>
      <c r="K500" t="str">
        <f t="shared" si="337"/>
        <v>0</v>
      </c>
      <c r="L500" t="str">
        <f>"6,000"</f>
        <v>6,000</v>
      </c>
      <c r="M500" t="str">
        <f t="shared" si="314"/>
        <v xml:space="preserve"> </v>
      </c>
      <c r="N500" t="str">
        <f t="shared" si="342"/>
        <v>FERRAZZI</v>
      </c>
      <c r="O500" t="str">
        <f t="shared" si="343"/>
        <v>CABLES</v>
      </c>
      <c r="P500" t="str">
        <f t="shared" si="340"/>
        <v>0</v>
      </c>
      <c r="Q500" t="str">
        <f t="shared" si="340"/>
        <v>0</v>
      </c>
      <c r="R500" t="str">
        <f t="shared" si="341"/>
        <v>0,00</v>
      </c>
      <c r="S500" t="str">
        <f t="shared" si="341"/>
        <v>0,00</v>
      </c>
      <c r="T500" t="str">
        <f t="shared" si="336"/>
        <v xml:space="preserve"> </v>
      </c>
      <c r="U500" t="str">
        <f t="shared" si="338"/>
        <v xml:space="preserve"> </v>
      </c>
      <c r="V500" t="str">
        <f>"6,000"</f>
        <v>6,000</v>
      </c>
      <c r="W500" t="str">
        <f t="shared" si="315"/>
        <v>Lista 4</v>
      </c>
      <c r="X500" t="str">
        <f t="shared" si="316"/>
        <v>Lista 5</v>
      </c>
      <c r="Y500" t="str">
        <f t="shared" si="317"/>
        <v>Oferta Gral.</v>
      </c>
      <c r="Z500" t="str">
        <f t="shared" si="318"/>
        <v>Rubro</v>
      </c>
      <c r="AA500" t="str">
        <f t="shared" si="319"/>
        <v>Cantidad por Bulto</v>
      </c>
      <c r="AB500" t="str">
        <f t="shared" si="320"/>
        <v>INNER</v>
      </c>
      <c r="AC500" t="str">
        <f t="shared" si="321"/>
        <v>Stock en Bultos</v>
      </c>
      <c r="AD500" t="str">
        <f t="shared" si="322"/>
        <v>SubDepósito</v>
      </c>
      <c r="AE500" t="str">
        <f t="shared" si="323"/>
        <v>Marca</v>
      </c>
      <c r="AF500" t="str">
        <f t="shared" si="324"/>
        <v>Super Rubro</v>
      </c>
      <c r="AG500" t="str">
        <f t="shared" si="325"/>
        <v>ComercioExterior</v>
      </c>
      <c r="AH500" t="str">
        <f t="shared" si="326"/>
        <v>PrecioFOB</v>
      </c>
      <c r="AI500" t="str">
        <f t="shared" si="327"/>
        <v>Monto II</v>
      </c>
      <c r="AJ500" t="str">
        <f t="shared" si="328"/>
        <v>Porcentaje II</v>
      </c>
      <c r="AK500" t="str">
        <f t="shared" si="329"/>
        <v>Foto</v>
      </c>
      <c r="AL500" t="str">
        <f t="shared" ref="AL500:AL506" si="345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00" t="str">
        <f t="shared" si="344"/>
        <v xml:space="preserve"> </v>
      </c>
    </row>
    <row r="501" spans="1:39" x14ac:dyDescent="0.25">
      <c r="A501" t="str">
        <f>"27-01705"</f>
        <v>27-01705</v>
      </c>
      <c r="B501" t="str">
        <f>"CABLES FERRAZZI CHRYSLER NEON 1.8 2.0 16V LELX SE 1998 A 2005  "</f>
        <v xml:space="preserve">CABLES FERRAZZI CHRYSLER NEON 1.8 2.0 16V LELX SE 1998 A 2005  </v>
      </c>
      <c r="C501" t="str">
        <f>"$ 34537,44"</f>
        <v>$ 34537,44</v>
      </c>
      <c r="D501" t="str">
        <f>"$ 34537,44"</f>
        <v>$ 34537,44</v>
      </c>
      <c r="E501" t="str">
        <f>"$ 34537,44"</f>
        <v>$ 34537,44</v>
      </c>
      <c r="F501" t="str">
        <f>"$ 15852,68"</f>
        <v>$ 15852,68</v>
      </c>
      <c r="G501" t="str">
        <f>"$ 15852,68"</f>
        <v>$ 15852,68</v>
      </c>
      <c r="H501" t="str">
        <f t="shared" si="312"/>
        <v>$ 0,00</v>
      </c>
      <c r="I501" t="str">
        <f>"CABLES BUJÍAS SILICONA ANTIPARASITARIOS"</f>
        <v>CABLES BUJÍAS SILICONA ANTIPARASITARIOS</v>
      </c>
      <c r="J501" t="str">
        <f t="shared" si="313"/>
        <v>1</v>
      </c>
      <c r="K501" t="str">
        <f t="shared" si="337"/>
        <v>0</v>
      </c>
      <c r="L501" t="str">
        <f>"4,000"</f>
        <v>4,000</v>
      </c>
      <c r="M501" t="str">
        <f t="shared" si="314"/>
        <v xml:space="preserve"> </v>
      </c>
      <c r="N501" t="str">
        <f t="shared" si="342"/>
        <v>FERRAZZI</v>
      </c>
      <c r="O501" t="str">
        <f t="shared" si="343"/>
        <v>CABLES</v>
      </c>
      <c r="P501" t="str">
        <f t="shared" si="340"/>
        <v>0</v>
      </c>
      <c r="Q501" t="str">
        <f t="shared" si="340"/>
        <v>0</v>
      </c>
      <c r="R501" t="str">
        <f t="shared" si="341"/>
        <v>0,00</v>
      </c>
      <c r="S501" t="str">
        <f t="shared" si="341"/>
        <v>0,00</v>
      </c>
      <c r="T501" t="str">
        <f t="shared" si="336"/>
        <v xml:space="preserve"> </v>
      </c>
      <c r="U501" t="str">
        <f t="shared" si="338"/>
        <v xml:space="preserve"> </v>
      </c>
      <c r="V501" t="str">
        <f>"4,000"</f>
        <v>4,000</v>
      </c>
      <c r="W501" t="str">
        <f t="shared" si="315"/>
        <v>Lista 4</v>
      </c>
      <c r="X501" t="str">
        <f t="shared" si="316"/>
        <v>Lista 5</v>
      </c>
      <c r="Y501" t="str">
        <f t="shared" si="317"/>
        <v>Oferta Gral.</v>
      </c>
      <c r="Z501" t="str">
        <f t="shared" si="318"/>
        <v>Rubro</v>
      </c>
      <c r="AA501" t="str">
        <f t="shared" si="319"/>
        <v>Cantidad por Bulto</v>
      </c>
      <c r="AB501" t="str">
        <f t="shared" si="320"/>
        <v>INNER</v>
      </c>
      <c r="AC501" t="str">
        <f t="shared" si="321"/>
        <v>Stock en Bultos</v>
      </c>
      <c r="AD501" t="str">
        <f t="shared" si="322"/>
        <v>SubDepósito</v>
      </c>
      <c r="AE501" t="str">
        <f t="shared" si="323"/>
        <v>Marca</v>
      </c>
      <c r="AF501" t="str">
        <f t="shared" si="324"/>
        <v>Super Rubro</v>
      </c>
      <c r="AG501" t="str">
        <f t="shared" si="325"/>
        <v>ComercioExterior</v>
      </c>
      <c r="AH501" t="str">
        <f t="shared" si="326"/>
        <v>PrecioFOB</v>
      </c>
      <c r="AI501" t="str">
        <f t="shared" si="327"/>
        <v>Monto II</v>
      </c>
      <c r="AJ501" t="str">
        <f t="shared" si="328"/>
        <v>Porcentaje II</v>
      </c>
      <c r="AK501" t="str">
        <f t="shared" si="329"/>
        <v>Foto</v>
      </c>
      <c r="AL501" t="str">
        <f t="shared" si="345"/>
        <v xml:space="preserve">{\rtf1\ansi\ansicpg1252\deff0\deflang11274{\fonttbl{\f0\fnil\fcharset0 MS Sans Serif}} \viewkind4\uc1\pard\f0\fs16\par } </v>
      </c>
      <c r="AM501" t="str">
        <f t="shared" si="344"/>
        <v xml:space="preserve"> </v>
      </c>
    </row>
    <row r="502" spans="1:39" x14ac:dyDescent="0.25">
      <c r="A502" t="str">
        <f>"27-00208"</f>
        <v>27-00208</v>
      </c>
      <c r="B502" t="str">
        <f>"CABLES FERRAZZI COMPETICION 9MM JEEP GRAND CHEROKEE RAM 1500 V8 5.2 1191 A 2000"</f>
        <v>CABLES FERRAZZI COMPETICION 9MM JEEP GRAND CHEROKEE RAM 1500 V8 5.2 1191 A 2000</v>
      </c>
      <c r="C502" t="str">
        <f>"$ 90227,66"</f>
        <v>$ 90227,66</v>
      </c>
      <c r="D502" t="str">
        <f>"$ 90227,66"</f>
        <v>$ 90227,66</v>
      </c>
      <c r="E502" t="str">
        <f>"$ 90227,66"</f>
        <v>$ 90227,66</v>
      </c>
      <c r="F502" t="str">
        <f>"$ 41414,48"</f>
        <v>$ 41414,48</v>
      </c>
      <c r="G502" t="str">
        <f>"$ 41414,48"</f>
        <v>$ 41414,48</v>
      </c>
      <c r="H502" t="str">
        <f t="shared" si="312"/>
        <v>$ 0,00</v>
      </c>
      <c r="I502" t="str">
        <f>"CABLES BUJÍAS COMPETICION 9MM"</f>
        <v>CABLES BUJÍAS COMPETICION 9MM</v>
      </c>
      <c r="J502" t="str">
        <f t="shared" si="313"/>
        <v>1</v>
      </c>
      <c r="K502" t="str">
        <f t="shared" si="337"/>
        <v>0</v>
      </c>
      <c r="L502" t="str">
        <f>"0,000"</f>
        <v>0,000</v>
      </c>
      <c r="M502" t="str">
        <f t="shared" si="314"/>
        <v xml:space="preserve"> </v>
      </c>
      <c r="N502" t="str">
        <f t="shared" si="342"/>
        <v>FERRAZZI</v>
      </c>
      <c r="O502" t="str">
        <f t="shared" si="343"/>
        <v>CABLES</v>
      </c>
      <c r="P502" t="str">
        <f t="shared" si="340"/>
        <v>0</v>
      </c>
      <c r="Q502" t="str">
        <f t="shared" si="340"/>
        <v>0</v>
      </c>
      <c r="R502" t="str">
        <f t="shared" si="341"/>
        <v>0,00</v>
      </c>
      <c r="S502" t="str">
        <f t="shared" si="341"/>
        <v>0,00</v>
      </c>
      <c r="T502" t="str">
        <f t="shared" si="336"/>
        <v xml:space="preserve"> </v>
      </c>
      <c r="U502" t="str">
        <f t="shared" si="338"/>
        <v xml:space="preserve"> </v>
      </c>
      <c r="V502" t="str">
        <f>"0,000"</f>
        <v>0,000</v>
      </c>
      <c r="W502" t="str">
        <f t="shared" si="315"/>
        <v>Lista 4</v>
      </c>
      <c r="X502" t="str">
        <f t="shared" si="316"/>
        <v>Lista 5</v>
      </c>
      <c r="Y502" t="str">
        <f t="shared" si="317"/>
        <v>Oferta Gral.</v>
      </c>
      <c r="Z502" t="str">
        <f t="shared" si="318"/>
        <v>Rubro</v>
      </c>
      <c r="AA502" t="str">
        <f t="shared" si="319"/>
        <v>Cantidad por Bulto</v>
      </c>
      <c r="AB502" t="str">
        <f t="shared" si="320"/>
        <v>INNER</v>
      </c>
      <c r="AC502" t="str">
        <f t="shared" si="321"/>
        <v>Stock en Bultos</v>
      </c>
      <c r="AD502" t="str">
        <f t="shared" si="322"/>
        <v>SubDepósito</v>
      </c>
      <c r="AE502" t="str">
        <f t="shared" si="323"/>
        <v>Marca</v>
      </c>
      <c r="AF502" t="str">
        <f t="shared" si="324"/>
        <v>Super Rubro</v>
      </c>
      <c r="AG502" t="str">
        <f t="shared" si="325"/>
        <v>ComercioExterior</v>
      </c>
      <c r="AH502" t="str">
        <f t="shared" si="326"/>
        <v>PrecioFOB</v>
      </c>
      <c r="AI502" t="str">
        <f t="shared" si="327"/>
        <v>Monto II</v>
      </c>
      <c r="AJ502" t="str">
        <f t="shared" si="328"/>
        <v>Porcentaje II</v>
      </c>
      <c r="AK502" t="str">
        <f t="shared" si="329"/>
        <v>Foto</v>
      </c>
      <c r="AL502" t="str">
        <f t="shared" si="345"/>
        <v xml:space="preserve">{\rtf1\ansi\ansicpg1252\deff0\deflang11274{\fonttbl{\f0\fnil\fcharset0 MS Sans Serif}} \viewkind4\uc1\pard\f0\fs16\par } </v>
      </c>
      <c r="AM502" t="str">
        <f t="shared" si="344"/>
        <v xml:space="preserve"> </v>
      </c>
    </row>
    <row r="503" spans="1:39" x14ac:dyDescent="0.25">
      <c r="A503" t="str">
        <f>"03-01734"</f>
        <v>03-01734</v>
      </c>
      <c r="B503" t="str">
        <f>"CABLES FERRAZZI SILICONA VW GOL 96 97 MONOPUNTO ENCENDIDO MOTORCRAFT"</f>
        <v>CABLES FERRAZZI SILICONA VW GOL 96 97 MONOPUNTO ENCENDIDO MOTORCRAFT</v>
      </c>
      <c r="C503" t="str">
        <f>"$ 22082,91"</f>
        <v>$ 22082,91</v>
      </c>
      <c r="D503" t="str">
        <f>"$ 22082,91"</f>
        <v>$ 22082,91</v>
      </c>
      <c r="E503" t="str">
        <f>"$ 22082,91"</f>
        <v>$ 22082,91</v>
      </c>
      <c r="F503" t="str">
        <f>"$ 10136,05"</f>
        <v>$ 10136,05</v>
      </c>
      <c r="G503" t="str">
        <f>"$ 10136,05"</f>
        <v>$ 10136,05</v>
      </c>
      <c r="H503" t="str">
        <f t="shared" si="312"/>
        <v>$ 0,00</v>
      </c>
      <c r="I503" t="str">
        <f t="shared" ref="I503:I509" si="346">"CABLES BUJÍAS SILICONA ANTIPARASITARIOS"</f>
        <v>CABLES BUJÍAS SILICONA ANTIPARASITARIOS</v>
      </c>
      <c r="J503" t="str">
        <f t="shared" si="313"/>
        <v>1</v>
      </c>
      <c r="K503" t="str">
        <f t="shared" si="337"/>
        <v>0</v>
      </c>
      <c r="L503" t="str">
        <f>"10,000"</f>
        <v>10,000</v>
      </c>
      <c r="M503" t="str">
        <f t="shared" si="314"/>
        <v xml:space="preserve"> </v>
      </c>
      <c r="N503" t="str">
        <f t="shared" si="342"/>
        <v>FERRAZZI</v>
      </c>
      <c r="O503" t="str">
        <f t="shared" si="343"/>
        <v>CABLES</v>
      </c>
      <c r="P503" t="str">
        <f t="shared" ref="P503:Q522" si="347">"0"</f>
        <v>0</v>
      </c>
      <c r="Q503" t="str">
        <f t="shared" si="347"/>
        <v>0</v>
      </c>
      <c r="R503" t="str">
        <f t="shared" ref="R503:S522" si="348">"0,00"</f>
        <v>0,00</v>
      </c>
      <c r="S503" t="str">
        <f t="shared" si="348"/>
        <v>0,00</v>
      </c>
      <c r="T503" t="str">
        <f t="shared" si="336"/>
        <v xml:space="preserve"> </v>
      </c>
      <c r="U503" t="str">
        <f t="shared" si="338"/>
        <v xml:space="preserve"> </v>
      </c>
      <c r="V503" t="str">
        <f>"10,000"</f>
        <v>10,000</v>
      </c>
      <c r="W503" t="str">
        <f t="shared" si="315"/>
        <v>Lista 4</v>
      </c>
      <c r="X503" t="str">
        <f t="shared" si="316"/>
        <v>Lista 5</v>
      </c>
      <c r="Y503" t="str">
        <f t="shared" si="317"/>
        <v>Oferta Gral.</v>
      </c>
      <c r="Z503" t="str">
        <f t="shared" si="318"/>
        <v>Rubro</v>
      </c>
      <c r="AA503" t="str">
        <f t="shared" si="319"/>
        <v>Cantidad por Bulto</v>
      </c>
      <c r="AB503" t="str">
        <f t="shared" si="320"/>
        <v>INNER</v>
      </c>
      <c r="AC503" t="str">
        <f t="shared" si="321"/>
        <v>Stock en Bultos</v>
      </c>
      <c r="AD503" t="str">
        <f t="shared" si="322"/>
        <v>SubDepósito</v>
      </c>
      <c r="AE503" t="str">
        <f t="shared" si="323"/>
        <v>Marca</v>
      </c>
      <c r="AF503" t="str">
        <f t="shared" si="324"/>
        <v>Super Rubro</v>
      </c>
      <c r="AG503" t="str">
        <f t="shared" si="325"/>
        <v>ComercioExterior</v>
      </c>
      <c r="AH503" t="str">
        <f t="shared" si="326"/>
        <v>PrecioFOB</v>
      </c>
      <c r="AI503" t="str">
        <f t="shared" si="327"/>
        <v>Monto II</v>
      </c>
      <c r="AJ503" t="str">
        <f t="shared" si="328"/>
        <v>Porcentaje II</v>
      </c>
      <c r="AK503" t="str">
        <f t="shared" si="329"/>
        <v>Foto</v>
      </c>
      <c r="AL503" t="str">
        <f t="shared" si="345"/>
        <v xml:space="preserve">{\rtf1\ansi\ansicpg1252\deff0\deflang11274{\fonttbl{\f0\fnil\fcharset0 MS Sans Serif}} \viewkind4\uc1\pard\f0\fs16\par } </v>
      </c>
      <c r="AM503" t="str">
        <f t="shared" si="344"/>
        <v xml:space="preserve"> </v>
      </c>
    </row>
    <row r="504" spans="1:39" x14ac:dyDescent="0.25">
      <c r="A504" t="str">
        <f>"03-01735"</f>
        <v>03-01735</v>
      </c>
      <c r="B504" t="str">
        <f>"CABLES FERRAZZI SILICONA VW GOL POWER 1998 A 2007 "</f>
        <v xml:space="preserve">CABLES FERRAZZI SILICONA VW GOL POWER 1998 A 2007 </v>
      </c>
      <c r="C504" t="str">
        <f>"$ 20600,64"</f>
        <v>$ 20600,64</v>
      </c>
      <c r="D504" t="str">
        <f>"$ 20600,64"</f>
        <v>$ 20600,64</v>
      </c>
      <c r="E504" t="str">
        <f>"$ 20600,64"</f>
        <v>$ 20600,64</v>
      </c>
      <c r="F504" t="str">
        <f>"$ 9455,69"</f>
        <v>$ 9455,69</v>
      </c>
      <c r="G504" t="str">
        <f>"$ 9455,69"</f>
        <v>$ 9455,69</v>
      </c>
      <c r="H504" t="str">
        <f t="shared" si="312"/>
        <v>$ 0,00</v>
      </c>
      <c r="I504" t="str">
        <f t="shared" si="346"/>
        <v>CABLES BUJÍAS SILICONA ANTIPARASITARIOS</v>
      </c>
      <c r="J504" t="str">
        <f t="shared" si="313"/>
        <v>1</v>
      </c>
      <c r="K504" t="str">
        <f t="shared" si="337"/>
        <v>0</v>
      </c>
      <c r="L504" t="str">
        <f>"31,000"</f>
        <v>31,000</v>
      </c>
      <c r="M504" t="str">
        <f t="shared" si="314"/>
        <v xml:space="preserve"> </v>
      </c>
      <c r="N504" t="str">
        <f t="shared" si="342"/>
        <v>FERRAZZI</v>
      </c>
      <c r="O504" t="str">
        <f t="shared" si="343"/>
        <v>CABLES</v>
      </c>
      <c r="P504" t="str">
        <f t="shared" si="347"/>
        <v>0</v>
      </c>
      <c r="Q504" t="str">
        <f t="shared" si="347"/>
        <v>0</v>
      </c>
      <c r="R504" t="str">
        <f t="shared" si="348"/>
        <v>0,00</v>
      </c>
      <c r="S504" t="str">
        <f t="shared" si="348"/>
        <v>0,00</v>
      </c>
      <c r="T504" t="str">
        <f t="shared" si="336"/>
        <v xml:space="preserve"> </v>
      </c>
      <c r="U504" t="str">
        <f t="shared" si="338"/>
        <v xml:space="preserve"> </v>
      </c>
      <c r="V504" t="str">
        <f>"31,000"</f>
        <v>31,000</v>
      </c>
      <c r="W504" t="str">
        <f t="shared" si="315"/>
        <v>Lista 4</v>
      </c>
      <c r="X504" t="str">
        <f t="shared" si="316"/>
        <v>Lista 5</v>
      </c>
      <c r="Y504" t="str">
        <f t="shared" si="317"/>
        <v>Oferta Gral.</v>
      </c>
      <c r="Z504" t="str">
        <f t="shared" si="318"/>
        <v>Rubro</v>
      </c>
      <c r="AA504" t="str">
        <f t="shared" si="319"/>
        <v>Cantidad por Bulto</v>
      </c>
      <c r="AB504" t="str">
        <f t="shared" si="320"/>
        <v>INNER</v>
      </c>
      <c r="AC504" t="str">
        <f t="shared" si="321"/>
        <v>Stock en Bultos</v>
      </c>
      <c r="AD504" t="str">
        <f t="shared" si="322"/>
        <v>SubDepósito</v>
      </c>
      <c r="AE504" t="str">
        <f t="shared" si="323"/>
        <v>Marca</v>
      </c>
      <c r="AF504" t="str">
        <f t="shared" si="324"/>
        <v>Super Rubro</v>
      </c>
      <c r="AG504" t="str">
        <f t="shared" si="325"/>
        <v>ComercioExterior</v>
      </c>
      <c r="AH504" t="str">
        <f t="shared" si="326"/>
        <v>PrecioFOB</v>
      </c>
      <c r="AI504" t="str">
        <f t="shared" si="327"/>
        <v>Monto II</v>
      </c>
      <c r="AJ504" t="str">
        <f t="shared" si="328"/>
        <v>Porcentaje II</v>
      </c>
      <c r="AK504" t="str">
        <f t="shared" si="329"/>
        <v>Foto</v>
      </c>
      <c r="AL504" t="str">
        <f t="shared" si="345"/>
        <v xml:space="preserve">{\rtf1\ansi\ansicpg1252\deff0\deflang11274{\fonttbl{\f0\fnil\fcharset0 MS Sans Serif}} \viewkind4\uc1\pard\f0\fs16\par } </v>
      </c>
      <c r="AM504" t="str">
        <f t="shared" si="344"/>
        <v xml:space="preserve"> </v>
      </c>
    </row>
    <row r="505" spans="1:39" x14ac:dyDescent="0.25">
      <c r="A505" t="str">
        <f>"12-01701"</f>
        <v>12-01701</v>
      </c>
      <c r="B505" t="str">
        <f>"CABLES FERRAZZI SILICONADOS 7MM HONDA CIVIC 1.6 16V 1992 A 2000 DOHC"</f>
        <v>CABLES FERRAZZI SILICONADOS 7MM HONDA CIVIC 1.6 16V 1992 A 2000 DOHC</v>
      </c>
      <c r="C505" t="str">
        <f>"$ 37688,38"</f>
        <v>$ 37688,38</v>
      </c>
      <c r="D505" t="str">
        <f>"$ 37688,38"</f>
        <v>$ 37688,38</v>
      </c>
      <c r="E505" t="str">
        <f>"$ 37688,38"</f>
        <v>$ 37688,38</v>
      </c>
      <c r="F505" t="str">
        <f>"$ 37688,38"</f>
        <v>$ 37688,38</v>
      </c>
      <c r="G505" t="str">
        <f>"$ 37688,38"</f>
        <v>$ 37688,38</v>
      </c>
      <c r="H505" t="str">
        <f t="shared" si="312"/>
        <v>$ 0,00</v>
      </c>
      <c r="I505" t="str">
        <f t="shared" si="346"/>
        <v>CABLES BUJÍAS SILICONA ANTIPARASITARIOS</v>
      </c>
      <c r="J505" t="str">
        <f t="shared" si="313"/>
        <v>1</v>
      </c>
      <c r="K505" t="str">
        <f t="shared" si="337"/>
        <v>0</v>
      </c>
      <c r="L505" t="str">
        <f>"18,000"</f>
        <v>18,000</v>
      </c>
      <c r="M505" t="str">
        <f t="shared" si="314"/>
        <v xml:space="preserve"> </v>
      </c>
      <c r="N505" t="str">
        <f t="shared" si="342"/>
        <v>FERRAZZI</v>
      </c>
      <c r="O505" t="str">
        <f t="shared" si="343"/>
        <v>CABLES</v>
      </c>
      <c r="P505" t="str">
        <f t="shared" si="347"/>
        <v>0</v>
      </c>
      <c r="Q505" t="str">
        <f t="shared" si="347"/>
        <v>0</v>
      </c>
      <c r="R505" t="str">
        <f t="shared" si="348"/>
        <v>0,00</v>
      </c>
      <c r="S505" t="str">
        <f t="shared" si="348"/>
        <v>0,00</v>
      </c>
      <c r="T505" t="str">
        <f t="shared" si="336"/>
        <v xml:space="preserve"> </v>
      </c>
      <c r="U505" t="str">
        <f t="shared" si="338"/>
        <v xml:space="preserve"> </v>
      </c>
      <c r="V505" t="str">
        <f>"18,000"</f>
        <v>18,000</v>
      </c>
      <c r="W505" t="str">
        <f t="shared" si="315"/>
        <v>Lista 4</v>
      </c>
      <c r="X505" t="str">
        <f t="shared" si="316"/>
        <v>Lista 5</v>
      </c>
      <c r="Y505" t="str">
        <f t="shared" si="317"/>
        <v>Oferta Gral.</v>
      </c>
      <c r="Z505" t="str">
        <f t="shared" si="318"/>
        <v>Rubro</v>
      </c>
      <c r="AA505" t="str">
        <f t="shared" si="319"/>
        <v>Cantidad por Bulto</v>
      </c>
      <c r="AB505" t="str">
        <f t="shared" si="320"/>
        <v>INNER</v>
      </c>
      <c r="AC505" t="str">
        <f t="shared" si="321"/>
        <v>Stock en Bultos</v>
      </c>
      <c r="AD505" t="str">
        <f t="shared" si="322"/>
        <v>SubDepósito</v>
      </c>
      <c r="AE505" t="str">
        <f t="shared" si="323"/>
        <v>Marca</v>
      </c>
      <c r="AF505" t="str">
        <f t="shared" si="324"/>
        <v>Super Rubro</v>
      </c>
      <c r="AG505" t="str">
        <f t="shared" si="325"/>
        <v>ComercioExterior</v>
      </c>
      <c r="AH505" t="str">
        <f t="shared" si="326"/>
        <v>PrecioFOB</v>
      </c>
      <c r="AI505" t="str">
        <f t="shared" si="327"/>
        <v>Monto II</v>
      </c>
      <c r="AJ505" t="str">
        <f t="shared" si="328"/>
        <v>Porcentaje II</v>
      </c>
      <c r="AK505" t="str">
        <f t="shared" si="329"/>
        <v>Foto</v>
      </c>
      <c r="AL505" t="str">
        <f t="shared" si="345"/>
        <v xml:space="preserve">{\rtf1\ansi\ansicpg1252\deff0\deflang11274{\fonttbl{\f0\fnil\fcharset0 MS Sans Serif}} \viewkind4\uc1\pard\f0\fs16\par } </v>
      </c>
      <c r="AM505" t="str">
        <f t="shared" si="344"/>
        <v xml:space="preserve"> </v>
      </c>
    </row>
    <row r="506" spans="1:39" x14ac:dyDescent="0.25">
      <c r="A506" t="str">
        <f>"03-01731"</f>
        <v>03-01731</v>
      </c>
      <c r="B506" t="str">
        <f>"CABLES FERRAZZI SILICONADOS VW POLO 1.6 8V"</f>
        <v>CABLES FERRAZZI SILICONADOS VW POLO 1.6 8V</v>
      </c>
      <c r="C506" t="str">
        <f>"$ 28208,64"</f>
        <v>$ 28208,64</v>
      </c>
      <c r="D506" t="str">
        <f>"$ 28208,64"</f>
        <v>$ 28208,64</v>
      </c>
      <c r="E506" t="str">
        <f>"$ 28208,64"</f>
        <v>$ 28208,64</v>
      </c>
      <c r="F506" t="str">
        <f>"$ 12947,76"</f>
        <v>$ 12947,76</v>
      </c>
      <c r="G506" t="str">
        <f>"$ 12947,76"</f>
        <v>$ 12947,76</v>
      </c>
      <c r="H506" t="str">
        <f t="shared" si="312"/>
        <v>$ 0,00</v>
      </c>
      <c r="I506" t="str">
        <f t="shared" si="346"/>
        <v>CABLES BUJÍAS SILICONA ANTIPARASITARIOS</v>
      </c>
      <c r="J506" t="str">
        <f t="shared" si="313"/>
        <v>1</v>
      </c>
      <c r="K506" t="str">
        <f t="shared" si="337"/>
        <v>0</v>
      </c>
      <c r="L506" t="str">
        <f>"50,000"</f>
        <v>50,000</v>
      </c>
      <c r="M506" t="str">
        <f t="shared" si="314"/>
        <v xml:space="preserve"> </v>
      </c>
      <c r="N506" t="str">
        <f t="shared" si="342"/>
        <v>FERRAZZI</v>
      </c>
      <c r="O506" t="str">
        <f t="shared" si="343"/>
        <v>CABLES</v>
      </c>
      <c r="P506" t="str">
        <f t="shared" si="347"/>
        <v>0</v>
      </c>
      <c r="Q506" t="str">
        <f t="shared" si="347"/>
        <v>0</v>
      </c>
      <c r="R506" t="str">
        <f t="shared" si="348"/>
        <v>0,00</v>
      </c>
      <c r="S506" t="str">
        <f t="shared" si="348"/>
        <v>0,00</v>
      </c>
      <c r="T506" t="str">
        <f t="shared" si="336"/>
        <v xml:space="preserve"> </v>
      </c>
      <c r="U506" t="str">
        <f t="shared" si="338"/>
        <v xml:space="preserve"> </v>
      </c>
      <c r="V506" t="str">
        <f>"50,000"</f>
        <v>50,000</v>
      </c>
      <c r="W506" t="str">
        <f t="shared" si="315"/>
        <v>Lista 4</v>
      </c>
      <c r="X506" t="str">
        <f t="shared" si="316"/>
        <v>Lista 5</v>
      </c>
      <c r="Y506" t="str">
        <f t="shared" si="317"/>
        <v>Oferta Gral.</v>
      </c>
      <c r="Z506" t="str">
        <f t="shared" si="318"/>
        <v>Rubro</v>
      </c>
      <c r="AA506" t="str">
        <f t="shared" si="319"/>
        <v>Cantidad por Bulto</v>
      </c>
      <c r="AB506" t="str">
        <f t="shared" si="320"/>
        <v>INNER</v>
      </c>
      <c r="AC506" t="str">
        <f t="shared" si="321"/>
        <v>Stock en Bultos</v>
      </c>
      <c r="AD506" t="str">
        <f t="shared" si="322"/>
        <v>SubDepósito</v>
      </c>
      <c r="AE506" t="str">
        <f t="shared" si="323"/>
        <v>Marca</v>
      </c>
      <c r="AF506" t="str">
        <f t="shared" si="324"/>
        <v>Super Rubro</v>
      </c>
      <c r="AG506" t="str">
        <f t="shared" si="325"/>
        <v>ComercioExterior</v>
      </c>
      <c r="AH506" t="str">
        <f t="shared" si="326"/>
        <v>PrecioFOB</v>
      </c>
      <c r="AI506" t="str">
        <f t="shared" si="327"/>
        <v>Monto II</v>
      </c>
      <c r="AJ506" t="str">
        <f t="shared" si="328"/>
        <v>Porcentaje II</v>
      </c>
      <c r="AK506" t="str">
        <f t="shared" si="329"/>
        <v>Foto</v>
      </c>
      <c r="AL506" t="str">
        <f t="shared" si="345"/>
        <v xml:space="preserve">{\rtf1\ansi\ansicpg1252\deff0\deflang11274{\fonttbl{\f0\fnil\fcharset0 MS Sans Serif}} \viewkind4\uc1\pard\f0\fs16\par } </v>
      </c>
      <c r="AM506" t="str">
        <f t="shared" si="344"/>
        <v xml:space="preserve"> </v>
      </c>
    </row>
    <row r="507" spans="1:39" x14ac:dyDescent="0.25">
      <c r="A507" t="str">
        <f>"12-01704"</f>
        <v>12-01704</v>
      </c>
      <c r="B507" t="str">
        <f>"CABLES FERRAZZI SUPERIOR HONDA CIVIC 1.6 16V 1992 A 1999 ACCORD 2.3 16V 1998 A 2002"</f>
        <v>CABLES FERRAZZI SUPERIOR HONDA CIVIC 1.6 16V 1992 A 1999 ACCORD 2.3 16V 1998 A 2002</v>
      </c>
      <c r="C507" t="str">
        <f>"$ 38121,54"</f>
        <v>$ 38121,54</v>
      </c>
      <c r="D507" t="str">
        <f>"$ 38121,54"</f>
        <v>$ 38121,54</v>
      </c>
      <c r="E507" t="str">
        <f>"$ 38121,54"</f>
        <v>$ 38121,54</v>
      </c>
      <c r="F507" t="str">
        <f>"$ 38121,54"</f>
        <v>$ 38121,54</v>
      </c>
      <c r="G507" t="str">
        <f>"$ 38121,54"</f>
        <v>$ 38121,54</v>
      </c>
      <c r="H507" t="str">
        <f t="shared" si="312"/>
        <v>$ 0,00</v>
      </c>
      <c r="I507" t="str">
        <f t="shared" si="346"/>
        <v>CABLES BUJÍAS SILICONA ANTIPARASITARIOS</v>
      </c>
      <c r="J507" t="str">
        <f t="shared" si="313"/>
        <v>1</v>
      </c>
      <c r="K507" t="str">
        <f t="shared" si="337"/>
        <v>0</v>
      </c>
      <c r="L507" t="str">
        <f>"7,000"</f>
        <v>7,000</v>
      </c>
      <c r="M507" t="str">
        <f t="shared" si="314"/>
        <v xml:space="preserve"> </v>
      </c>
      <c r="N507" t="str">
        <f t="shared" si="342"/>
        <v>FERRAZZI</v>
      </c>
      <c r="O507" t="str">
        <f t="shared" si="343"/>
        <v>CABLES</v>
      </c>
      <c r="P507" t="str">
        <f t="shared" si="347"/>
        <v>0</v>
      </c>
      <c r="Q507" t="str">
        <f t="shared" si="347"/>
        <v>0</v>
      </c>
      <c r="R507" t="str">
        <f t="shared" si="348"/>
        <v>0,00</v>
      </c>
      <c r="S507" t="str">
        <f t="shared" si="348"/>
        <v>0,00</v>
      </c>
      <c r="T507" t="str">
        <f t="shared" si="336"/>
        <v xml:space="preserve"> </v>
      </c>
      <c r="U507" t="str">
        <f t="shared" si="338"/>
        <v xml:space="preserve"> </v>
      </c>
      <c r="V507" t="str">
        <f>"7,000"</f>
        <v>7,000</v>
      </c>
      <c r="W507" t="str">
        <f t="shared" si="315"/>
        <v>Lista 4</v>
      </c>
      <c r="X507" t="str">
        <f t="shared" si="316"/>
        <v>Lista 5</v>
      </c>
      <c r="Y507" t="str">
        <f t="shared" si="317"/>
        <v>Oferta Gral.</v>
      </c>
      <c r="Z507" t="str">
        <f t="shared" si="318"/>
        <v>Rubro</v>
      </c>
      <c r="AA507" t="str">
        <f t="shared" si="319"/>
        <v>Cantidad por Bulto</v>
      </c>
      <c r="AB507" t="str">
        <f t="shared" si="320"/>
        <v>INNER</v>
      </c>
      <c r="AC507" t="str">
        <f t="shared" si="321"/>
        <v>Stock en Bultos</v>
      </c>
      <c r="AD507" t="str">
        <f t="shared" si="322"/>
        <v>SubDepósito</v>
      </c>
      <c r="AE507" t="str">
        <f t="shared" si="323"/>
        <v>Marca</v>
      </c>
      <c r="AF507" t="str">
        <f t="shared" si="324"/>
        <v>Super Rubro</v>
      </c>
      <c r="AG507" t="str">
        <f t="shared" si="325"/>
        <v>ComercioExterior</v>
      </c>
      <c r="AH507" t="str">
        <f t="shared" si="326"/>
        <v>PrecioFOB</v>
      </c>
      <c r="AI507" t="str">
        <f t="shared" si="327"/>
        <v>Monto II</v>
      </c>
      <c r="AJ507" t="str">
        <f t="shared" si="328"/>
        <v>Porcentaje II</v>
      </c>
      <c r="AK507" t="str">
        <f t="shared" si="329"/>
        <v>Foto</v>
      </c>
      <c r="AL507" t="str">
        <f>"{\rtf1\ansi\ansicpg1252\deff0\deflang2058{\fonttbl{\f0\fnil\fcharset0 MS Sans Serif}} \viewkind4\uc1\pard\f0\fs16 CABLES FERRAZZI SUPERIOR HONDA CIVIC 1.6 16V 1992 A 1999 ACCORD 2.3 16V 1998 A 2002\par } "</f>
        <v xml:space="preserve">{\rtf1\ansi\ansicpg1252\deff0\deflang2058{\fonttbl{\f0\fnil\fcharset0 MS Sans Serif}} \viewkind4\uc1\pard\f0\fs16 CABLES FERRAZZI SUPERIOR HONDA CIVIC 1.6 16V 1992 A 1999 ACCORD 2.3 16V 1998 A 2002\par } </v>
      </c>
      <c r="AM507" t="str">
        <f t="shared" si="344"/>
        <v xml:space="preserve"> </v>
      </c>
    </row>
    <row r="508" spans="1:39" x14ac:dyDescent="0.25">
      <c r="A508" t="str">
        <f>"18-01704"</f>
        <v>18-01704</v>
      </c>
      <c r="B508" t="str">
        <f>"CABLES FERRAZZI TOYOTA COROLLA 1.6 16V 1987 A 1994 MOTOR 4AF 4AG"</f>
        <v>CABLES FERRAZZI TOYOTA COROLLA 1.6 16V 1987 A 1994 MOTOR 4AF 4AG</v>
      </c>
      <c r="C508" t="str">
        <f>"$ 37336,79"</f>
        <v>$ 37336,79</v>
      </c>
      <c r="D508" t="str">
        <f>"$ 37336,79"</f>
        <v>$ 37336,79</v>
      </c>
      <c r="E508" t="str">
        <f>"$ 37336,79"</f>
        <v>$ 37336,79</v>
      </c>
      <c r="F508" t="str">
        <f>"$ 17137,58"</f>
        <v>$ 17137,58</v>
      </c>
      <c r="G508" t="str">
        <f>"$ 17137,58"</f>
        <v>$ 17137,58</v>
      </c>
      <c r="H508" t="str">
        <f t="shared" si="312"/>
        <v>$ 0,00</v>
      </c>
      <c r="I508" t="str">
        <f t="shared" si="346"/>
        <v>CABLES BUJÍAS SILICONA ANTIPARASITARIOS</v>
      </c>
      <c r="J508" t="str">
        <f t="shared" si="313"/>
        <v>1</v>
      </c>
      <c r="K508" t="str">
        <f t="shared" si="337"/>
        <v>0</v>
      </c>
      <c r="L508" t="str">
        <f>"1,000"</f>
        <v>1,000</v>
      </c>
      <c r="M508" t="str">
        <f t="shared" si="314"/>
        <v xml:space="preserve"> </v>
      </c>
      <c r="N508" t="str">
        <f t="shared" si="342"/>
        <v>FERRAZZI</v>
      </c>
      <c r="O508" t="str">
        <f t="shared" si="343"/>
        <v>CABLES</v>
      </c>
      <c r="P508" t="str">
        <f t="shared" si="347"/>
        <v>0</v>
      </c>
      <c r="Q508" t="str">
        <f t="shared" si="347"/>
        <v>0</v>
      </c>
      <c r="R508" t="str">
        <f t="shared" si="348"/>
        <v>0,00</v>
      </c>
      <c r="S508" t="str">
        <f t="shared" si="348"/>
        <v>0,00</v>
      </c>
      <c r="T508" t="str">
        <f t="shared" si="336"/>
        <v xml:space="preserve"> </v>
      </c>
      <c r="U508" t="str">
        <f t="shared" si="338"/>
        <v xml:space="preserve"> </v>
      </c>
      <c r="V508" t="str">
        <f>"1,000"</f>
        <v>1,000</v>
      </c>
      <c r="W508" t="str">
        <f t="shared" si="315"/>
        <v>Lista 4</v>
      </c>
      <c r="X508" t="str">
        <f t="shared" si="316"/>
        <v>Lista 5</v>
      </c>
      <c r="Y508" t="str">
        <f t="shared" si="317"/>
        <v>Oferta Gral.</v>
      </c>
      <c r="Z508" t="str">
        <f t="shared" si="318"/>
        <v>Rubro</v>
      </c>
      <c r="AA508" t="str">
        <f t="shared" si="319"/>
        <v>Cantidad por Bulto</v>
      </c>
      <c r="AB508" t="str">
        <f t="shared" si="320"/>
        <v>INNER</v>
      </c>
      <c r="AC508" t="str">
        <f t="shared" si="321"/>
        <v>Stock en Bultos</v>
      </c>
      <c r="AD508" t="str">
        <f t="shared" si="322"/>
        <v>SubDepósito</v>
      </c>
      <c r="AE508" t="str">
        <f t="shared" si="323"/>
        <v>Marca</v>
      </c>
      <c r="AF508" t="str">
        <f t="shared" si="324"/>
        <v>Super Rubro</v>
      </c>
      <c r="AG508" t="str">
        <f t="shared" si="325"/>
        <v>ComercioExterior</v>
      </c>
      <c r="AH508" t="str">
        <f t="shared" si="326"/>
        <v>PrecioFOB</v>
      </c>
      <c r="AI508" t="str">
        <f t="shared" si="327"/>
        <v>Monto II</v>
      </c>
      <c r="AJ508" t="str">
        <f t="shared" si="328"/>
        <v>Porcentaje II</v>
      </c>
      <c r="AK508" t="str">
        <f t="shared" si="329"/>
        <v>Foto</v>
      </c>
      <c r="AL50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08" t="str">
        <f t="shared" si="344"/>
        <v xml:space="preserve"> </v>
      </c>
    </row>
    <row r="509" spans="1:39" x14ac:dyDescent="0.25">
      <c r="A509" t="str">
        <f>"LEIHTR16SC"</f>
        <v>LEIHTR16SC</v>
      </c>
      <c r="B509" t="str">
        <f>"CABLES LUCAS SILICONADOS 7MM RENAULT CLIO 1.2 16V MOTOR D4F"</f>
        <v>CABLES LUCAS SILICONADOS 7MM RENAULT CLIO 1.2 16V MOTOR D4F</v>
      </c>
      <c r="C509" t="str">
        <f>"$ 30535,97"</f>
        <v>$ 30535,97</v>
      </c>
      <c r="D509" t="str">
        <f>"$ 30535,97"</f>
        <v>$ 30535,97</v>
      </c>
      <c r="E509" t="str">
        <f>"$ 30535,97"</f>
        <v>$ 30535,97</v>
      </c>
      <c r="F509" t="str">
        <f>"$ 30535,97"</f>
        <v>$ 30535,97</v>
      </c>
      <c r="G509" t="str">
        <f>"$ 30535,97"</f>
        <v>$ 30535,97</v>
      </c>
      <c r="H509" t="str">
        <f t="shared" si="312"/>
        <v>$ 0,00</v>
      </c>
      <c r="I509" t="str">
        <f t="shared" si="346"/>
        <v>CABLES BUJÍAS SILICONA ANTIPARASITARIOS</v>
      </c>
      <c r="J509" t="str">
        <f t="shared" si="313"/>
        <v>1</v>
      </c>
      <c r="K509" t="str">
        <f t="shared" si="337"/>
        <v>0</v>
      </c>
      <c r="L509" t="str">
        <f>"0,000"</f>
        <v>0,000</v>
      </c>
      <c r="M509" t="str">
        <f t="shared" si="314"/>
        <v xml:space="preserve"> </v>
      </c>
      <c r="N509" t="str">
        <f>"LUCAS"</f>
        <v>LUCAS</v>
      </c>
      <c r="O509" t="str">
        <f t="shared" si="343"/>
        <v>CABLES</v>
      </c>
      <c r="P509" t="str">
        <f t="shared" si="347"/>
        <v>0</v>
      </c>
      <c r="Q509" t="str">
        <f t="shared" si="347"/>
        <v>0</v>
      </c>
      <c r="R509" t="str">
        <f t="shared" si="348"/>
        <v>0,00</v>
      </c>
      <c r="S509" t="str">
        <f t="shared" si="348"/>
        <v>0,00</v>
      </c>
      <c r="T509" t="str">
        <f t="shared" si="336"/>
        <v xml:space="preserve"> </v>
      </c>
      <c r="U509" t="str">
        <f t="shared" si="338"/>
        <v xml:space="preserve"> </v>
      </c>
      <c r="V509" t="str">
        <f>"0,000"</f>
        <v>0,000</v>
      </c>
      <c r="W509" t="str">
        <f t="shared" si="315"/>
        <v>Lista 4</v>
      </c>
      <c r="X509" t="str">
        <f t="shared" si="316"/>
        <v>Lista 5</v>
      </c>
      <c r="Y509" t="str">
        <f t="shared" si="317"/>
        <v>Oferta Gral.</v>
      </c>
      <c r="Z509" t="str">
        <f t="shared" si="318"/>
        <v>Rubro</v>
      </c>
      <c r="AA509" t="str">
        <f t="shared" si="319"/>
        <v>Cantidad por Bulto</v>
      </c>
      <c r="AB509" t="str">
        <f t="shared" si="320"/>
        <v>INNER</v>
      </c>
      <c r="AC509" t="str">
        <f t="shared" si="321"/>
        <v>Stock en Bultos</v>
      </c>
      <c r="AD509" t="str">
        <f t="shared" si="322"/>
        <v>SubDepósito</v>
      </c>
      <c r="AE509" t="str">
        <f t="shared" si="323"/>
        <v>Marca</v>
      </c>
      <c r="AF509" t="str">
        <f t="shared" si="324"/>
        <v>Super Rubro</v>
      </c>
      <c r="AG509" t="str">
        <f t="shared" si="325"/>
        <v>ComercioExterior</v>
      </c>
      <c r="AH509" t="str">
        <f t="shared" si="326"/>
        <v>PrecioFOB</v>
      </c>
      <c r="AI509" t="str">
        <f t="shared" si="327"/>
        <v>Monto II</v>
      </c>
      <c r="AJ509" t="str">
        <f t="shared" si="328"/>
        <v>Porcentaje II</v>
      </c>
      <c r="AK509" t="str">
        <f t="shared" si="329"/>
        <v>Foto</v>
      </c>
      <c r="AL50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09" t="str">
        <f t="shared" si="344"/>
        <v xml:space="preserve"> </v>
      </c>
    </row>
    <row r="510" spans="1:39" x14ac:dyDescent="0.25">
      <c r="A510" t="str">
        <f>"DV30133"</f>
        <v>DV30133</v>
      </c>
      <c r="B510" t="str">
        <f>"CAMBIO DE LUZ DE PISO FORD EX DV1155"</f>
        <v>CAMBIO DE LUZ DE PISO FORD EX DV1155</v>
      </c>
      <c r="C510" t="str">
        <f>"$ 5870,22"</f>
        <v>$ 5870,22</v>
      </c>
      <c r="D510" t="str">
        <f>"$ 5870,22"</f>
        <v>$ 5870,22</v>
      </c>
      <c r="E510" t="str">
        <f>"$ 5870,22"</f>
        <v>$ 5870,22</v>
      </c>
      <c r="F510" t="str">
        <f>"$ 5870,22"</f>
        <v>$ 5870,22</v>
      </c>
      <c r="G510" t="str">
        <f>"$ 5870,22"</f>
        <v>$ 5870,22</v>
      </c>
      <c r="H510" t="str">
        <f t="shared" si="312"/>
        <v>$ 0,00</v>
      </c>
      <c r="I510" t="str">
        <f>"LLAVE CAMBIO LUCES"</f>
        <v>LLAVE CAMBIO LUCES</v>
      </c>
      <c r="J510" t="str">
        <f t="shared" si="313"/>
        <v>1</v>
      </c>
      <c r="K510" t="str">
        <f t="shared" si="337"/>
        <v>0</v>
      </c>
      <c r="L510" t="str">
        <f>"14,000"</f>
        <v>14,000</v>
      </c>
      <c r="M510" t="str">
        <f t="shared" si="314"/>
        <v xml:space="preserve"> </v>
      </c>
      <c r="N510" t="str">
        <f>"DIVAIO"</f>
        <v>DIVAIO</v>
      </c>
      <c r="O510" t="str">
        <f>"LLAVE"</f>
        <v>LLAVE</v>
      </c>
      <c r="P510" t="str">
        <f t="shared" si="347"/>
        <v>0</v>
      </c>
      <c r="Q510" t="str">
        <f t="shared" si="347"/>
        <v>0</v>
      </c>
      <c r="R510" t="str">
        <f t="shared" si="348"/>
        <v>0,00</v>
      </c>
      <c r="S510" t="str">
        <f t="shared" si="348"/>
        <v>0,00</v>
      </c>
      <c r="T510" t="str">
        <f t="shared" si="336"/>
        <v xml:space="preserve"> </v>
      </c>
      <c r="U510" t="str">
        <f t="shared" si="338"/>
        <v xml:space="preserve"> </v>
      </c>
      <c r="V510" t="str">
        <f>"14,000"</f>
        <v>14,000</v>
      </c>
      <c r="W510" t="str">
        <f t="shared" si="315"/>
        <v>Lista 4</v>
      </c>
      <c r="X510" t="str">
        <f t="shared" si="316"/>
        <v>Lista 5</v>
      </c>
      <c r="Y510" t="str">
        <f t="shared" si="317"/>
        <v>Oferta Gral.</v>
      </c>
      <c r="Z510" t="str">
        <f t="shared" si="318"/>
        <v>Rubro</v>
      </c>
      <c r="AA510" t="str">
        <f t="shared" si="319"/>
        <v>Cantidad por Bulto</v>
      </c>
      <c r="AB510" t="str">
        <f t="shared" si="320"/>
        <v>INNER</v>
      </c>
      <c r="AC510" t="str">
        <f t="shared" si="321"/>
        <v>Stock en Bultos</v>
      </c>
      <c r="AD510" t="str">
        <f t="shared" si="322"/>
        <v>SubDepósito</v>
      </c>
      <c r="AE510" t="str">
        <f t="shared" si="323"/>
        <v>Marca</v>
      </c>
      <c r="AF510" t="str">
        <f t="shared" si="324"/>
        <v>Super Rubro</v>
      </c>
      <c r="AG510" t="str">
        <f t="shared" si="325"/>
        <v>ComercioExterior</v>
      </c>
      <c r="AH510" t="str">
        <f t="shared" si="326"/>
        <v>PrecioFOB</v>
      </c>
      <c r="AI510" t="str">
        <f t="shared" si="327"/>
        <v>Monto II</v>
      </c>
      <c r="AJ510" t="str">
        <f t="shared" si="328"/>
        <v>Porcentaje II</v>
      </c>
      <c r="AK510" t="str">
        <f t="shared" si="329"/>
        <v>Foto</v>
      </c>
      <c r="AL510" t="str">
        <f>"{\rtf1\ansi\ansicpg1252\deff0\deflang2058{\fonttbl{\f0\fnil\fcharset0 MS Sans Serif}} \viewkind4\uc1\pard\f0\fs16 CAMBIO DE LUZ DE PISO FORD EX DV1155\par } "</f>
        <v xml:space="preserve">{\rtf1\ansi\ansicpg1252\deff0\deflang2058{\fonttbl{\f0\fnil\fcharset0 MS Sans Serif}} \viewkind4\uc1\pard\f0\fs16 CAMBIO DE LUZ DE PISO FORD EX DV1155\par } </v>
      </c>
      <c r="AM510" t="str">
        <f t="shared" si="344"/>
        <v xml:space="preserve"> </v>
      </c>
    </row>
    <row r="511" spans="1:39" x14ac:dyDescent="0.25">
      <c r="A511" t="str">
        <f>"VK523MM"</f>
        <v>VK523MM</v>
      </c>
      <c r="B511" t="str">
        <f>"CAPTOR DE DISTRIBUIDOR DUNA/UNO/REGATTA"</f>
        <v>CAPTOR DE DISTRIBUIDOR DUNA/UNO/REGATTA</v>
      </c>
      <c r="C511" t="str">
        <f>"$ 25423,31"</f>
        <v>$ 25423,31</v>
      </c>
      <c r="D511" t="str">
        <f>"$ 25423,31"</f>
        <v>$ 25423,31</v>
      </c>
      <c r="E511" t="str">
        <f>"$ 25423,31"</f>
        <v>$ 25423,31</v>
      </c>
      <c r="F511" t="str">
        <f>"$ 25423,31"</f>
        <v>$ 25423,31</v>
      </c>
      <c r="G511" t="str">
        <f>"$ 25423,31"</f>
        <v>$ 25423,31</v>
      </c>
      <c r="H511" t="str">
        <f t="shared" si="312"/>
        <v>$ 0,00</v>
      </c>
      <c r="I511" t="str">
        <f t="shared" ref="I511:I521" si="349">"CAPTOR DISTRIBUIDOR"</f>
        <v>CAPTOR DISTRIBUIDOR</v>
      </c>
      <c r="J511" t="str">
        <f t="shared" si="313"/>
        <v>1</v>
      </c>
      <c r="K511" t="str">
        <f t="shared" si="337"/>
        <v>0</v>
      </c>
      <c r="L511" t="str">
        <f>"175,000"</f>
        <v>175,000</v>
      </c>
      <c r="M511" t="str">
        <f t="shared" si="314"/>
        <v xml:space="preserve"> </v>
      </c>
      <c r="N511" t="str">
        <f>"MARELLI"</f>
        <v>MARELLI</v>
      </c>
      <c r="O511" t="str">
        <f t="shared" ref="O511:O521" si="350">"DISTRIBUIDORES"</f>
        <v>DISTRIBUIDORES</v>
      </c>
      <c r="P511" t="str">
        <f t="shared" si="347"/>
        <v>0</v>
      </c>
      <c r="Q511" t="str">
        <f t="shared" si="347"/>
        <v>0</v>
      </c>
      <c r="R511" t="str">
        <f t="shared" si="348"/>
        <v>0,00</v>
      </c>
      <c r="S511" t="str">
        <f t="shared" si="348"/>
        <v>0,00</v>
      </c>
      <c r="T511" t="str">
        <f t="shared" si="336"/>
        <v xml:space="preserve"> </v>
      </c>
      <c r="U511" t="str">
        <f t="shared" si="338"/>
        <v xml:space="preserve"> </v>
      </c>
      <c r="V511" t="str">
        <f>"175,000"</f>
        <v>175,000</v>
      </c>
      <c r="W511" t="str">
        <f t="shared" si="315"/>
        <v>Lista 4</v>
      </c>
      <c r="X511" t="str">
        <f t="shared" si="316"/>
        <v>Lista 5</v>
      </c>
      <c r="Y511" t="str">
        <f t="shared" si="317"/>
        <v>Oferta Gral.</v>
      </c>
      <c r="Z511" t="str">
        <f t="shared" si="318"/>
        <v>Rubro</v>
      </c>
      <c r="AA511" t="str">
        <f t="shared" si="319"/>
        <v>Cantidad por Bulto</v>
      </c>
      <c r="AB511" t="str">
        <f t="shared" si="320"/>
        <v>INNER</v>
      </c>
      <c r="AC511" t="str">
        <f t="shared" si="321"/>
        <v>Stock en Bultos</v>
      </c>
      <c r="AD511" t="str">
        <f t="shared" si="322"/>
        <v>SubDepósito</v>
      </c>
      <c r="AE511" t="str">
        <f t="shared" si="323"/>
        <v>Marca</v>
      </c>
      <c r="AF511" t="str">
        <f t="shared" si="324"/>
        <v>Super Rubro</v>
      </c>
      <c r="AG511" t="str">
        <f t="shared" si="325"/>
        <v>ComercioExterior</v>
      </c>
      <c r="AH511" t="str">
        <f t="shared" si="326"/>
        <v>PrecioFOB</v>
      </c>
      <c r="AI511" t="str">
        <f t="shared" si="327"/>
        <v>Monto II</v>
      </c>
      <c r="AJ511" t="str">
        <f t="shared" si="328"/>
        <v>Porcentaje II</v>
      </c>
      <c r="AK511" t="str">
        <f t="shared" si="329"/>
        <v>Foto</v>
      </c>
      <c r="AL511" t="str">
        <f>"{\rtf1\ansi\ansicpg1252\deff0\deflang11274{\fonttbl{\f0\fnil\fcharset0 MS Sans Serif}} \viewkind4\uc1\pard\f0\fs16 CAPTOR DE DISTRIBUIDOR DUNA/UNO/REGATTA\par } "</f>
        <v xml:space="preserve">{\rtf1\ansi\ansicpg1252\deff0\deflang11274{\fonttbl{\f0\fnil\fcharset0 MS Sans Serif}} \viewkind4\uc1\pard\f0\fs16 CAPTOR DE DISTRIBUIDOR DUNA/UNO/REGATTA\par } </v>
      </c>
      <c r="AM511" t="str">
        <f t="shared" si="344"/>
        <v xml:space="preserve"> </v>
      </c>
    </row>
    <row r="512" spans="1:39" x14ac:dyDescent="0.25">
      <c r="A512" t="str">
        <f>"VK517"</f>
        <v>VK517</v>
      </c>
      <c r="B512" t="str">
        <f>"CAPTOR DISTR. FIAT - PEUGEOT - RENAULT TODOS DISTRIBUIDOR ELECTRONICO TIPO INDIEL"</f>
        <v>CAPTOR DISTR. FIAT - PEUGEOT - RENAULT TODOS DISTRIBUIDOR ELECTRONICO TIPO INDIEL</v>
      </c>
      <c r="C512" t="str">
        <f>"$ 12922,95"</f>
        <v>$ 12922,95</v>
      </c>
      <c r="D512" t="str">
        <f>"$ 12922,95"</f>
        <v>$ 12922,95</v>
      </c>
      <c r="E512" t="str">
        <f>"$ 12922,95"</f>
        <v>$ 12922,95</v>
      </c>
      <c r="F512" t="str">
        <f>"$ 12922,95"</f>
        <v>$ 12922,95</v>
      </c>
      <c r="G512" t="str">
        <f>"$ 12922,95"</f>
        <v>$ 12922,95</v>
      </c>
      <c r="H512" t="str">
        <f t="shared" si="312"/>
        <v>$ 0,00</v>
      </c>
      <c r="I512" t="str">
        <f t="shared" si="349"/>
        <v>CAPTOR DISTRIBUIDOR</v>
      </c>
      <c r="J512" t="str">
        <f t="shared" si="313"/>
        <v>1</v>
      </c>
      <c r="K512" t="str">
        <f t="shared" si="337"/>
        <v>0</v>
      </c>
      <c r="L512" t="str">
        <f>"13,000"</f>
        <v>13,000</v>
      </c>
      <c r="M512" t="str">
        <f t="shared" si="314"/>
        <v xml:space="preserve"> </v>
      </c>
      <c r="N512" t="str">
        <f t="shared" ref="N512:N519" si="351">"VERKEHR"</f>
        <v>VERKEHR</v>
      </c>
      <c r="O512" t="str">
        <f t="shared" si="350"/>
        <v>DISTRIBUIDORES</v>
      </c>
      <c r="P512" t="str">
        <f t="shared" si="347"/>
        <v>0</v>
      </c>
      <c r="Q512" t="str">
        <f t="shared" si="347"/>
        <v>0</v>
      </c>
      <c r="R512" t="str">
        <f t="shared" si="348"/>
        <v>0,00</v>
      </c>
      <c r="S512" t="str">
        <f t="shared" si="348"/>
        <v>0,00</v>
      </c>
      <c r="T512" t="str">
        <f t="shared" si="336"/>
        <v xml:space="preserve"> </v>
      </c>
      <c r="U512" t="str">
        <f t="shared" si="338"/>
        <v xml:space="preserve"> </v>
      </c>
      <c r="V512" t="str">
        <f>"13,000"</f>
        <v>13,000</v>
      </c>
      <c r="W512" t="str">
        <f t="shared" si="315"/>
        <v>Lista 4</v>
      </c>
      <c r="X512" t="str">
        <f t="shared" si="316"/>
        <v>Lista 5</v>
      </c>
      <c r="Y512" t="str">
        <f t="shared" si="317"/>
        <v>Oferta Gral.</v>
      </c>
      <c r="Z512" t="str">
        <f t="shared" si="318"/>
        <v>Rubro</v>
      </c>
      <c r="AA512" t="str">
        <f t="shared" si="319"/>
        <v>Cantidad por Bulto</v>
      </c>
      <c r="AB512" t="str">
        <f t="shared" si="320"/>
        <v>INNER</v>
      </c>
      <c r="AC512" t="str">
        <f t="shared" si="321"/>
        <v>Stock en Bultos</v>
      </c>
      <c r="AD512" t="str">
        <f t="shared" si="322"/>
        <v>SubDepósito</v>
      </c>
      <c r="AE512" t="str">
        <f t="shared" si="323"/>
        <v>Marca</v>
      </c>
      <c r="AF512" t="str">
        <f t="shared" si="324"/>
        <v>Super Rubro</v>
      </c>
      <c r="AG512" t="str">
        <f t="shared" si="325"/>
        <v>ComercioExterior</v>
      </c>
      <c r="AH512" t="str">
        <f t="shared" si="326"/>
        <v>PrecioFOB</v>
      </c>
      <c r="AI512" t="str">
        <f t="shared" si="327"/>
        <v>Monto II</v>
      </c>
      <c r="AJ512" t="str">
        <f t="shared" si="328"/>
        <v>Porcentaje II</v>
      </c>
      <c r="AK512" t="str">
        <f t="shared" si="329"/>
        <v>Foto</v>
      </c>
      <c r="AL512" t="str">
        <f>"{\rtf1\ansi\ansicpg1252\deff0\deflang11274{\fonttbl{\f0\fnil\fcharset0 MS Sans Serif}} \viewkind4\uc1\pard\f0\fs16 CAPTOR DISTR. FIAT - PEUGEOT - RENAULT TODOS DISTRIBUIDOR ELECTRONICO TIPO INDIEL\par } "</f>
        <v xml:space="preserve">{\rtf1\ansi\ansicpg1252\deff0\deflang11274{\fonttbl{\f0\fnil\fcharset0 MS Sans Serif}} \viewkind4\uc1\pard\f0\fs16 CAPTOR DISTR. FIAT - PEUGEOT - RENAULT TODOS DISTRIBUIDOR ELECTRONICO TIPO INDIEL\par } </v>
      </c>
      <c r="AM512" t="str">
        <f t="shared" ref="AM512:AM519" si="352">"-"</f>
        <v>-</v>
      </c>
    </row>
    <row r="513" spans="1:39" x14ac:dyDescent="0.25">
      <c r="A513" t="str">
        <f>"VK523"</f>
        <v>VK523</v>
      </c>
      <c r="B513" t="str">
        <f>"CAPTOR DISTR. FIAT DUNA, UNO, REGATTA PARA DISTRIBUIDOR MAGNETI MARELLI (VK-2260MM)"</f>
        <v>CAPTOR DISTR. FIAT DUNA, UNO, REGATTA PARA DISTRIBUIDOR MAGNETI MARELLI (VK-2260MM)</v>
      </c>
      <c r="C513" t="str">
        <f>"$ 22245,63"</f>
        <v>$ 22245,63</v>
      </c>
      <c r="D513" t="str">
        <f>"$ 22245,63"</f>
        <v>$ 22245,63</v>
      </c>
      <c r="E513" t="str">
        <f>"$ 22245,63"</f>
        <v>$ 22245,63</v>
      </c>
      <c r="F513" t="str">
        <f>"$ 22245,63"</f>
        <v>$ 22245,63</v>
      </c>
      <c r="G513" t="str">
        <f>"$ 22245,63"</f>
        <v>$ 22245,63</v>
      </c>
      <c r="H513" t="str">
        <f t="shared" si="312"/>
        <v>$ 0,00</v>
      </c>
      <c r="I513" t="str">
        <f t="shared" si="349"/>
        <v>CAPTOR DISTRIBUIDOR</v>
      </c>
      <c r="J513" t="str">
        <f t="shared" si="313"/>
        <v>1</v>
      </c>
      <c r="K513" t="str">
        <f t="shared" si="337"/>
        <v>0</v>
      </c>
      <c r="L513" t="str">
        <f>"-2,000"</f>
        <v>-2,000</v>
      </c>
      <c r="M513" t="str">
        <f t="shared" si="314"/>
        <v xml:space="preserve"> </v>
      </c>
      <c r="N513" t="str">
        <f t="shared" si="351"/>
        <v>VERKEHR</v>
      </c>
      <c r="O513" t="str">
        <f t="shared" si="350"/>
        <v>DISTRIBUIDORES</v>
      </c>
      <c r="P513" t="str">
        <f t="shared" si="347"/>
        <v>0</v>
      </c>
      <c r="Q513" t="str">
        <f t="shared" si="347"/>
        <v>0</v>
      </c>
      <c r="R513" t="str">
        <f t="shared" si="348"/>
        <v>0,00</v>
      </c>
      <c r="S513" t="str">
        <f t="shared" si="348"/>
        <v>0,00</v>
      </c>
      <c r="T513" t="str">
        <f t="shared" si="336"/>
        <v xml:space="preserve"> </v>
      </c>
      <c r="U513" t="str">
        <f t="shared" si="338"/>
        <v xml:space="preserve"> </v>
      </c>
      <c r="V513" t="str">
        <f>"-2,000"</f>
        <v>-2,000</v>
      </c>
      <c r="W513" t="str">
        <f t="shared" si="315"/>
        <v>Lista 4</v>
      </c>
      <c r="X513" t="str">
        <f t="shared" si="316"/>
        <v>Lista 5</v>
      </c>
      <c r="Y513" t="str">
        <f t="shared" si="317"/>
        <v>Oferta Gral.</v>
      </c>
      <c r="Z513" t="str">
        <f t="shared" si="318"/>
        <v>Rubro</v>
      </c>
      <c r="AA513" t="str">
        <f t="shared" si="319"/>
        <v>Cantidad por Bulto</v>
      </c>
      <c r="AB513" t="str">
        <f t="shared" si="320"/>
        <v>INNER</v>
      </c>
      <c r="AC513" t="str">
        <f t="shared" si="321"/>
        <v>Stock en Bultos</v>
      </c>
      <c r="AD513" t="str">
        <f t="shared" si="322"/>
        <v>SubDepósito</v>
      </c>
      <c r="AE513" t="str">
        <f t="shared" si="323"/>
        <v>Marca</v>
      </c>
      <c r="AF513" t="str">
        <f t="shared" si="324"/>
        <v>Super Rubro</v>
      </c>
      <c r="AG513" t="str">
        <f t="shared" si="325"/>
        <v>ComercioExterior</v>
      </c>
      <c r="AH513" t="str">
        <f t="shared" si="326"/>
        <v>PrecioFOB</v>
      </c>
      <c r="AI513" t="str">
        <f t="shared" si="327"/>
        <v>Monto II</v>
      </c>
      <c r="AJ513" t="str">
        <f t="shared" si="328"/>
        <v>Porcentaje II</v>
      </c>
      <c r="AK513" t="str">
        <f t="shared" si="329"/>
        <v>Foto</v>
      </c>
      <c r="AL513" t="str">
        <f>"{\rtf1\ansi\ansicpg1252\deff0\deflang11274{\fonttbl{\f0\fnil\fcharset0 MS Sans Serif}} \viewkind4\uc1\pard\f0\fs16 CAPTOR DISTR. FIAT DUNA, UNO, REGATTA PARA DISTRIBUIDOR MAGNETI MARELLI (VK-2260MM)\par } "</f>
        <v xml:space="preserve">{\rtf1\ansi\ansicpg1252\deff0\deflang11274{\fonttbl{\f0\fnil\fcharset0 MS Sans Serif}} \viewkind4\uc1\pard\f0\fs16 CAPTOR DISTR. FIAT DUNA, UNO, REGATTA PARA DISTRIBUIDOR MAGNETI MARELLI (VK-2260MM)\par } </v>
      </c>
      <c r="AM513" t="str">
        <f t="shared" si="352"/>
        <v>-</v>
      </c>
    </row>
    <row r="514" spans="1:39" x14ac:dyDescent="0.25">
      <c r="A514" t="str">
        <f>"VK2166"</f>
        <v>VK2166</v>
      </c>
      <c r="B514" t="str">
        <f>"CAPTOR DISTR. FORD FALCON, F100 6 CIL. - CHEVROLET 400, PICK UP 6 CIL. (VK-5047, VK-5052)"</f>
        <v>CAPTOR DISTR. FORD FALCON, F100 6 CIL. - CHEVROLET 400, PICK UP 6 CIL. (VK-5047, VK-5052)</v>
      </c>
      <c r="C514" t="str">
        <f>"$ 28316,46"</f>
        <v>$ 28316,46</v>
      </c>
      <c r="D514" t="str">
        <f>"$ 28316,46"</f>
        <v>$ 28316,46</v>
      </c>
      <c r="E514" t="str">
        <f>"$ 28316,46"</f>
        <v>$ 28316,46</v>
      </c>
      <c r="F514" t="str">
        <f>"$ 28316,46"</f>
        <v>$ 28316,46</v>
      </c>
      <c r="G514" t="str">
        <f>"$ 28316,46"</f>
        <v>$ 28316,46</v>
      </c>
      <c r="H514" t="str">
        <f t="shared" si="312"/>
        <v>$ 0,00</v>
      </c>
      <c r="I514" t="str">
        <f t="shared" si="349"/>
        <v>CAPTOR DISTRIBUIDOR</v>
      </c>
      <c r="J514" t="str">
        <f t="shared" si="313"/>
        <v>1</v>
      </c>
      <c r="K514" t="str">
        <f t="shared" si="337"/>
        <v>0</v>
      </c>
      <c r="L514" t="str">
        <f>"6,000"</f>
        <v>6,000</v>
      </c>
      <c r="M514" t="str">
        <f t="shared" si="314"/>
        <v xml:space="preserve"> </v>
      </c>
      <c r="N514" t="str">
        <f t="shared" si="351"/>
        <v>VERKEHR</v>
      </c>
      <c r="O514" t="str">
        <f t="shared" si="350"/>
        <v>DISTRIBUIDORES</v>
      </c>
      <c r="P514" t="str">
        <f t="shared" si="347"/>
        <v>0</v>
      </c>
      <c r="Q514" t="str">
        <f t="shared" si="347"/>
        <v>0</v>
      </c>
      <c r="R514" t="str">
        <f t="shared" si="348"/>
        <v>0,00</v>
      </c>
      <c r="S514" t="str">
        <f t="shared" si="348"/>
        <v>0,00</v>
      </c>
      <c r="T514" t="str">
        <f t="shared" si="336"/>
        <v xml:space="preserve"> </v>
      </c>
      <c r="U514" t="str">
        <f t="shared" si="338"/>
        <v xml:space="preserve"> </v>
      </c>
      <c r="V514" t="str">
        <f>"6,000"</f>
        <v>6,000</v>
      </c>
      <c r="W514" t="str">
        <f t="shared" si="315"/>
        <v>Lista 4</v>
      </c>
      <c r="X514" t="str">
        <f t="shared" si="316"/>
        <v>Lista 5</v>
      </c>
      <c r="Y514" t="str">
        <f t="shared" si="317"/>
        <v>Oferta Gral.</v>
      </c>
      <c r="Z514" t="str">
        <f t="shared" si="318"/>
        <v>Rubro</v>
      </c>
      <c r="AA514" t="str">
        <f t="shared" si="319"/>
        <v>Cantidad por Bulto</v>
      </c>
      <c r="AB514" t="str">
        <f t="shared" si="320"/>
        <v>INNER</v>
      </c>
      <c r="AC514" t="str">
        <f t="shared" si="321"/>
        <v>Stock en Bultos</v>
      </c>
      <c r="AD514" t="str">
        <f t="shared" si="322"/>
        <v>SubDepósito</v>
      </c>
      <c r="AE514" t="str">
        <f t="shared" si="323"/>
        <v>Marca</v>
      </c>
      <c r="AF514" t="str">
        <f t="shared" si="324"/>
        <v>Super Rubro</v>
      </c>
      <c r="AG514" t="str">
        <f t="shared" si="325"/>
        <v>ComercioExterior</v>
      </c>
      <c r="AH514" t="str">
        <f t="shared" si="326"/>
        <v>PrecioFOB</v>
      </c>
      <c r="AI514" t="str">
        <f t="shared" si="327"/>
        <v>Monto II</v>
      </c>
      <c r="AJ514" t="str">
        <f t="shared" si="328"/>
        <v>Porcentaje II</v>
      </c>
      <c r="AK514" t="str">
        <f t="shared" si="329"/>
        <v>Foto</v>
      </c>
      <c r="AL514" t="str">
        <f>"{\rtf1\ansi\ansicpg1252\deff0\deflang11274{\fonttbl{\f0\fnil\fcharset0 MS Sans Serif}} \viewkind4\uc1\pard\f0\fs16 CAPTOR DISTR. FORD FALCON, F100 6 CIL. - CHEVROLET 400, PICK UP 6 CIL. (VK-5047, VK-5052)\par } "</f>
        <v xml:space="preserve">{\rtf1\ansi\ansicpg1252\deff0\deflang11274{\fonttbl{\f0\fnil\fcharset0 MS Sans Serif}} \viewkind4\uc1\pard\f0\fs16 CAPTOR DISTR. FORD FALCON, F100 6 CIL. - CHEVROLET 400, PICK UP 6 CIL. (VK-5047, VK-5052)\par } </v>
      </c>
      <c r="AM514" t="str">
        <f t="shared" si="352"/>
        <v>-</v>
      </c>
    </row>
    <row r="515" spans="1:39" x14ac:dyDescent="0.25">
      <c r="A515" t="str">
        <f>"VK4043"</f>
        <v>VK4043</v>
      </c>
      <c r="B515" t="str">
        <f>"CAPTOR DISTR. GOL/POINTER/GALAXY/ORION CARB. - DIST. BOSCH C/ AV. (VK-4123C, VK-4123G)"</f>
        <v>CAPTOR DISTR. GOL/POINTER/GALAXY/ORION CARB. - DIST. BOSCH C/ AV. (VK-4123C, VK-4123G)</v>
      </c>
      <c r="C515" t="str">
        <f t="shared" ref="C515:G516" si="353">"$ 28474,83"</f>
        <v>$ 28474,83</v>
      </c>
      <c r="D515" t="str">
        <f t="shared" si="353"/>
        <v>$ 28474,83</v>
      </c>
      <c r="E515" t="str">
        <f t="shared" si="353"/>
        <v>$ 28474,83</v>
      </c>
      <c r="F515" t="str">
        <f t="shared" si="353"/>
        <v>$ 28474,83</v>
      </c>
      <c r="G515" t="str">
        <f t="shared" si="353"/>
        <v>$ 28474,83</v>
      </c>
      <c r="H515" t="str">
        <f t="shared" ref="H515:H578" si="354">"$ 0,00"</f>
        <v>$ 0,00</v>
      </c>
      <c r="I515" t="str">
        <f t="shared" si="349"/>
        <v>CAPTOR DISTRIBUIDOR</v>
      </c>
      <c r="J515" t="str">
        <f t="shared" ref="J515:J578" si="355">"1"</f>
        <v>1</v>
      </c>
      <c r="K515" t="str">
        <f t="shared" si="337"/>
        <v>0</v>
      </c>
      <c r="L515" t="str">
        <f>"4,000"</f>
        <v>4,000</v>
      </c>
      <c r="M515" t="str">
        <f t="shared" ref="M515:M578" si="356">" "</f>
        <v xml:space="preserve"> </v>
      </c>
      <c r="N515" t="str">
        <f t="shared" si="351"/>
        <v>VERKEHR</v>
      </c>
      <c r="O515" t="str">
        <f t="shared" si="350"/>
        <v>DISTRIBUIDORES</v>
      </c>
      <c r="P515" t="str">
        <f t="shared" si="347"/>
        <v>0</v>
      </c>
      <c r="Q515" t="str">
        <f t="shared" si="347"/>
        <v>0</v>
      </c>
      <c r="R515" t="str">
        <f t="shared" si="348"/>
        <v>0,00</v>
      </c>
      <c r="S515" t="str">
        <f t="shared" si="348"/>
        <v>0,00</v>
      </c>
      <c r="T515" t="str">
        <f t="shared" si="336"/>
        <v xml:space="preserve"> </v>
      </c>
      <c r="U515" t="str">
        <f t="shared" si="338"/>
        <v xml:space="preserve"> </v>
      </c>
      <c r="V515" t="str">
        <f>"4,000"</f>
        <v>4,000</v>
      </c>
      <c r="W515" t="str">
        <f t="shared" ref="W515:W578" si="357">"Lista 4"</f>
        <v>Lista 4</v>
      </c>
      <c r="X515" t="str">
        <f t="shared" ref="X515:X578" si="358">"Lista 5"</f>
        <v>Lista 5</v>
      </c>
      <c r="Y515" t="str">
        <f t="shared" ref="Y515:Y578" si="359">"Oferta Gral."</f>
        <v>Oferta Gral.</v>
      </c>
      <c r="Z515" t="str">
        <f t="shared" ref="Z515:Z578" si="360">"Rubro"</f>
        <v>Rubro</v>
      </c>
      <c r="AA515" t="str">
        <f t="shared" ref="AA515:AA578" si="361">"Cantidad por Bulto"</f>
        <v>Cantidad por Bulto</v>
      </c>
      <c r="AB515" t="str">
        <f t="shared" ref="AB515:AB578" si="362">"INNER"</f>
        <v>INNER</v>
      </c>
      <c r="AC515" t="str">
        <f t="shared" ref="AC515:AC578" si="363">"Stock en Bultos"</f>
        <v>Stock en Bultos</v>
      </c>
      <c r="AD515" t="str">
        <f t="shared" ref="AD515:AD578" si="364">"SubDepósito"</f>
        <v>SubDepósito</v>
      </c>
      <c r="AE515" t="str">
        <f t="shared" ref="AE515:AE578" si="365">"Marca"</f>
        <v>Marca</v>
      </c>
      <c r="AF515" t="str">
        <f t="shared" ref="AF515:AF578" si="366">"Super Rubro"</f>
        <v>Super Rubro</v>
      </c>
      <c r="AG515" t="str">
        <f t="shared" ref="AG515:AG578" si="367">"ComercioExterior"</f>
        <v>ComercioExterior</v>
      </c>
      <c r="AH515" t="str">
        <f t="shared" ref="AH515:AH578" si="368">"PrecioFOB"</f>
        <v>PrecioFOB</v>
      </c>
      <c r="AI515" t="str">
        <f t="shared" ref="AI515:AI578" si="369">"Monto II"</f>
        <v>Monto II</v>
      </c>
      <c r="AJ515" t="str">
        <f t="shared" ref="AJ515:AJ578" si="370">"Porcentaje II"</f>
        <v>Porcentaje II</v>
      </c>
      <c r="AK515" t="str">
        <f t="shared" ref="AK515:AK578" si="371">"Foto"</f>
        <v>Foto</v>
      </c>
      <c r="AL515" t="str">
        <f>"{\rtf1\ansi\ansicpg1252\deff0\deflang11274{\fonttbl{\f0\fnil\fcharset0 MS Sans Serif}} \viewkind4\uc1\pard\f0\fs16 CAPTOR DISTR. GOL/POINTER/GALAXY/ORION CARB. - DIST. BOSCH C/ AV. (VK-4123C, VK-4123G)\par } "</f>
        <v xml:space="preserve">{\rtf1\ansi\ansicpg1252\deff0\deflang11274{\fonttbl{\f0\fnil\fcharset0 MS Sans Serif}} \viewkind4\uc1\pard\f0\fs16 CAPTOR DISTR. GOL/POINTER/GALAXY/ORION CARB. - DIST. BOSCH C/ AV. (VK-4123C, VK-4123G)\par } </v>
      </c>
      <c r="AM515" t="str">
        <f t="shared" si="352"/>
        <v>-</v>
      </c>
    </row>
    <row r="516" spans="1:39" x14ac:dyDescent="0.25">
      <c r="A516" t="str">
        <f>"VK4044"</f>
        <v>VK4044</v>
      </c>
      <c r="B516" t="str">
        <f>"CAPTOR DISTR. GOL/POINTER/GALAXY/ORION INY. - DIST. BOSCH S/ AV. (VK-4124C, VK-4124G)"</f>
        <v>CAPTOR DISTR. GOL/POINTER/GALAXY/ORION INY. - DIST. BOSCH S/ AV. (VK-4124C, VK-4124G)</v>
      </c>
      <c r="C516" t="str">
        <f t="shared" si="353"/>
        <v>$ 28474,83</v>
      </c>
      <c r="D516" t="str">
        <f t="shared" si="353"/>
        <v>$ 28474,83</v>
      </c>
      <c r="E516" t="str">
        <f t="shared" si="353"/>
        <v>$ 28474,83</v>
      </c>
      <c r="F516" t="str">
        <f t="shared" si="353"/>
        <v>$ 28474,83</v>
      </c>
      <c r="G516" t="str">
        <f t="shared" si="353"/>
        <v>$ 28474,83</v>
      </c>
      <c r="H516" t="str">
        <f t="shared" si="354"/>
        <v>$ 0,00</v>
      </c>
      <c r="I516" t="str">
        <f t="shared" si="349"/>
        <v>CAPTOR DISTRIBUIDOR</v>
      </c>
      <c r="J516" t="str">
        <f t="shared" si="355"/>
        <v>1</v>
      </c>
      <c r="K516" t="str">
        <f t="shared" si="337"/>
        <v>0</v>
      </c>
      <c r="L516" t="str">
        <f>"99,000"</f>
        <v>99,000</v>
      </c>
      <c r="M516" t="str">
        <f t="shared" si="356"/>
        <v xml:space="preserve"> </v>
      </c>
      <c r="N516" t="str">
        <f t="shared" si="351"/>
        <v>VERKEHR</v>
      </c>
      <c r="O516" t="str">
        <f t="shared" si="350"/>
        <v>DISTRIBUIDORES</v>
      </c>
      <c r="P516" t="str">
        <f t="shared" si="347"/>
        <v>0</v>
      </c>
      <c r="Q516" t="str">
        <f t="shared" si="347"/>
        <v>0</v>
      </c>
      <c r="R516" t="str">
        <f t="shared" si="348"/>
        <v>0,00</v>
      </c>
      <c r="S516" t="str">
        <f t="shared" si="348"/>
        <v>0,00</v>
      </c>
      <c r="T516" t="str">
        <f t="shared" si="336"/>
        <v xml:space="preserve"> </v>
      </c>
      <c r="U516" t="str">
        <f t="shared" si="338"/>
        <v xml:space="preserve"> </v>
      </c>
      <c r="V516" t="str">
        <f>"99,000"</f>
        <v>99,000</v>
      </c>
      <c r="W516" t="str">
        <f t="shared" si="357"/>
        <v>Lista 4</v>
      </c>
      <c r="X516" t="str">
        <f t="shared" si="358"/>
        <v>Lista 5</v>
      </c>
      <c r="Y516" t="str">
        <f t="shared" si="359"/>
        <v>Oferta Gral.</v>
      </c>
      <c r="Z516" t="str">
        <f t="shared" si="360"/>
        <v>Rubro</v>
      </c>
      <c r="AA516" t="str">
        <f t="shared" si="361"/>
        <v>Cantidad por Bulto</v>
      </c>
      <c r="AB516" t="str">
        <f t="shared" si="362"/>
        <v>INNER</v>
      </c>
      <c r="AC516" t="str">
        <f t="shared" si="363"/>
        <v>Stock en Bultos</v>
      </c>
      <c r="AD516" t="str">
        <f t="shared" si="364"/>
        <v>SubDepósito</v>
      </c>
      <c r="AE516" t="str">
        <f t="shared" si="365"/>
        <v>Marca</v>
      </c>
      <c r="AF516" t="str">
        <f t="shared" si="366"/>
        <v>Super Rubro</v>
      </c>
      <c r="AG516" t="str">
        <f t="shared" si="367"/>
        <v>ComercioExterior</v>
      </c>
      <c r="AH516" t="str">
        <f t="shared" si="368"/>
        <v>PrecioFOB</v>
      </c>
      <c r="AI516" t="str">
        <f t="shared" si="369"/>
        <v>Monto II</v>
      </c>
      <c r="AJ516" t="str">
        <f t="shared" si="370"/>
        <v>Porcentaje II</v>
      </c>
      <c r="AK516" t="str">
        <f t="shared" si="371"/>
        <v>Foto</v>
      </c>
      <c r="AL516" t="str">
        <f>"{\rtf1\ansi\ansicpg1252\deff0\deflang11274{\fonttbl{\f0\fnil\fcharset0 MS Sans Serif}} \viewkind4\uc1\pard\f0\fs16 CAPTOR DISTR. GOL/POINTER/GALAXY/ORION INY. - DIST. BOSCH S/ AV. (VK-4124C, VK-4124G)\par } "</f>
        <v xml:space="preserve">{\rtf1\ansi\ansicpg1252\deff0\deflang11274{\fonttbl{\f0\fnil\fcharset0 MS Sans Serif}} \viewkind4\uc1\pard\f0\fs16 CAPTOR DISTR. GOL/POINTER/GALAXY/ORION INY. - DIST. BOSCH S/ AV. (VK-4124C, VK-4124G)\par } </v>
      </c>
      <c r="AM516" t="str">
        <f t="shared" si="352"/>
        <v>-</v>
      </c>
    </row>
    <row r="517" spans="1:39" x14ac:dyDescent="0.25">
      <c r="A517" t="str">
        <f>"VK9355"</f>
        <v>VK9355</v>
      </c>
      <c r="B517" t="str">
        <f>"CAPTOR DISTR. PEUGEOT 504, 505 - FIAT 128, DUNA, UNO, REGATTA DISTRIBUIDOR GAREF"</f>
        <v>CAPTOR DISTR. PEUGEOT 504, 505 - FIAT 128, DUNA, UNO, REGATTA DISTRIBUIDOR GAREF</v>
      </c>
      <c r="C517" t="str">
        <f>"$ 20229,04"</f>
        <v>$ 20229,04</v>
      </c>
      <c r="D517" t="str">
        <f>"$ 20229,04"</f>
        <v>$ 20229,04</v>
      </c>
      <c r="E517" t="str">
        <f>"$ 20229,04"</f>
        <v>$ 20229,04</v>
      </c>
      <c r="F517" t="str">
        <f>"$ 20229,04"</f>
        <v>$ 20229,04</v>
      </c>
      <c r="G517" t="str">
        <f>"$ 20229,04"</f>
        <v>$ 20229,04</v>
      </c>
      <c r="H517" t="str">
        <f t="shared" si="354"/>
        <v>$ 0,00</v>
      </c>
      <c r="I517" t="str">
        <f t="shared" si="349"/>
        <v>CAPTOR DISTRIBUIDOR</v>
      </c>
      <c r="J517" t="str">
        <f t="shared" si="355"/>
        <v>1</v>
      </c>
      <c r="K517" t="str">
        <f t="shared" si="337"/>
        <v>0</v>
      </c>
      <c r="L517" t="str">
        <f>"13,000"</f>
        <v>13,000</v>
      </c>
      <c r="M517" t="str">
        <f t="shared" si="356"/>
        <v xml:space="preserve"> </v>
      </c>
      <c r="N517" t="str">
        <f t="shared" si="351"/>
        <v>VERKEHR</v>
      </c>
      <c r="O517" t="str">
        <f t="shared" si="350"/>
        <v>DISTRIBUIDORES</v>
      </c>
      <c r="P517" t="str">
        <f t="shared" si="347"/>
        <v>0</v>
      </c>
      <c r="Q517" t="str">
        <f t="shared" si="347"/>
        <v>0</v>
      </c>
      <c r="R517" t="str">
        <f t="shared" si="348"/>
        <v>0,00</v>
      </c>
      <c r="S517" t="str">
        <f t="shared" si="348"/>
        <v>0,00</v>
      </c>
      <c r="T517" t="str">
        <f t="shared" si="336"/>
        <v xml:space="preserve"> </v>
      </c>
      <c r="U517" t="str">
        <f t="shared" si="338"/>
        <v xml:space="preserve"> </v>
      </c>
      <c r="V517" t="str">
        <f>"13,000"</f>
        <v>13,000</v>
      </c>
      <c r="W517" t="str">
        <f t="shared" si="357"/>
        <v>Lista 4</v>
      </c>
      <c r="X517" t="str">
        <f t="shared" si="358"/>
        <v>Lista 5</v>
      </c>
      <c r="Y517" t="str">
        <f t="shared" si="359"/>
        <v>Oferta Gral.</v>
      </c>
      <c r="Z517" t="str">
        <f t="shared" si="360"/>
        <v>Rubro</v>
      </c>
      <c r="AA517" t="str">
        <f t="shared" si="361"/>
        <v>Cantidad por Bulto</v>
      </c>
      <c r="AB517" t="str">
        <f t="shared" si="362"/>
        <v>INNER</v>
      </c>
      <c r="AC517" t="str">
        <f t="shared" si="363"/>
        <v>Stock en Bultos</v>
      </c>
      <c r="AD517" t="str">
        <f t="shared" si="364"/>
        <v>SubDepósito</v>
      </c>
      <c r="AE517" t="str">
        <f t="shared" si="365"/>
        <v>Marca</v>
      </c>
      <c r="AF517" t="str">
        <f t="shared" si="366"/>
        <v>Super Rubro</v>
      </c>
      <c r="AG517" t="str">
        <f t="shared" si="367"/>
        <v>ComercioExterior</v>
      </c>
      <c r="AH517" t="str">
        <f t="shared" si="368"/>
        <v>PrecioFOB</v>
      </c>
      <c r="AI517" t="str">
        <f t="shared" si="369"/>
        <v>Monto II</v>
      </c>
      <c r="AJ517" t="str">
        <f t="shared" si="370"/>
        <v>Porcentaje II</v>
      </c>
      <c r="AK517" t="str">
        <f t="shared" si="371"/>
        <v>Foto</v>
      </c>
      <c r="AL517" t="str">
        <f>"{\rtf1\ansi\ansicpg1252\deff0\deflang11274{\fonttbl{\f0\fnil\fcharset0 MS Sans Serif}} \viewkind4\uc1\pard\f0\fs16 CAPTOR DISTR. PEUGEOT 504, 505 - FIAT 128, DUNA, UNO, REGATTA DISTRIBUIDOR GAREF\par } "</f>
        <v xml:space="preserve">{\rtf1\ansi\ansicpg1252\deff0\deflang11274{\fonttbl{\f0\fnil\fcharset0 MS Sans Serif}} \viewkind4\uc1\pard\f0\fs16 CAPTOR DISTR. PEUGEOT 504, 505 - FIAT 128, DUNA, UNO, REGATTA DISTRIBUIDOR GAREF\par } </v>
      </c>
      <c r="AM517" t="str">
        <f t="shared" si="352"/>
        <v>-</v>
      </c>
    </row>
    <row r="518" spans="1:39" x14ac:dyDescent="0.25">
      <c r="A518" t="str">
        <f>"VK522"</f>
        <v>VK522</v>
      </c>
      <c r="B518" t="str">
        <f>"CAPTOR DISTR. RENAULT 9, 11, 12, 19 PARA DISTRIBUIDOR MAGNETI MARELLI (VK-2280MM)"</f>
        <v>CAPTOR DISTR. RENAULT 9, 11, 12, 19 PARA DISTRIBUIDOR MAGNETI MARELLI (VK-2280MM)</v>
      </c>
      <c r="C518" t="str">
        <f>"$ 21263,74"</f>
        <v>$ 21263,74</v>
      </c>
      <c r="D518" t="str">
        <f>"$ 21263,74"</f>
        <v>$ 21263,74</v>
      </c>
      <c r="E518" t="str">
        <f>"$ 21263,74"</f>
        <v>$ 21263,74</v>
      </c>
      <c r="F518" t="str">
        <f>"$ 21263,74"</f>
        <v>$ 21263,74</v>
      </c>
      <c r="G518" t="str">
        <f>"$ 21263,74"</f>
        <v>$ 21263,74</v>
      </c>
      <c r="H518" t="str">
        <f t="shared" si="354"/>
        <v>$ 0,00</v>
      </c>
      <c r="I518" t="str">
        <f t="shared" si="349"/>
        <v>CAPTOR DISTRIBUIDOR</v>
      </c>
      <c r="J518" t="str">
        <f t="shared" si="355"/>
        <v>1</v>
      </c>
      <c r="K518" t="str">
        <f t="shared" si="337"/>
        <v>0</v>
      </c>
      <c r="L518" t="str">
        <f>"-2,000"</f>
        <v>-2,000</v>
      </c>
      <c r="M518" t="str">
        <f t="shared" si="356"/>
        <v xml:space="preserve"> </v>
      </c>
      <c r="N518" t="str">
        <f t="shared" si="351"/>
        <v>VERKEHR</v>
      </c>
      <c r="O518" t="str">
        <f t="shared" si="350"/>
        <v>DISTRIBUIDORES</v>
      </c>
      <c r="P518" t="str">
        <f t="shared" si="347"/>
        <v>0</v>
      </c>
      <c r="Q518" t="str">
        <f t="shared" si="347"/>
        <v>0</v>
      </c>
      <c r="R518" t="str">
        <f t="shared" si="348"/>
        <v>0,00</v>
      </c>
      <c r="S518" t="str">
        <f t="shared" si="348"/>
        <v>0,00</v>
      </c>
      <c r="T518" t="str">
        <f t="shared" si="336"/>
        <v xml:space="preserve"> </v>
      </c>
      <c r="U518" t="str">
        <f t="shared" si="338"/>
        <v xml:space="preserve"> </v>
      </c>
      <c r="V518" t="str">
        <f>"-2,000"</f>
        <v>-2,000</v>
      </c>
      <c r="W518" t="str">
        <f t="shared" si="357"/>
        <v>Lista 4</v>
      </c>
      <c r="X518" t="str">
        <f t="shared" si="358"/>
        <v>Lista 5</v>
      </c>
      <c r="Y518" t="str">
        <f t="shared" si="359"/>
        <v>Oferta Gral.</v>
      </c>
      <c r="Z518" t="str">
        <f t="shared" si="360"/>
        <v>Rubro</v>
      </c>
      <c r="AA518" t="str">
        <f t="shared" si="361"/>
        <v>Cantidad por Bulto</v>
      </c>
      <c r="AB518" t="str">
        <f t="shared" si="362"/>
        <v>INNER</v>
      </c>
      <c r="AC518" t="str">
        <f t="shared" si="363"/>
        <v>Stock en Bultos</v>
      </c>
      <c r="AD518" t="str">
        <f t="shared" si="364"/>
        <v>SubDepósito</v>
      </c>
      <c r="AE518" t="str">
        <f t="shared" si="365"/>
        <v>Marca</v>
      </c>
      <c r="AF518" t="str">
        <f t="shared" si="366"/>
        <v>Super Rubro</v>
      </c>
      <c r="AG518" t="str">
        <f t="shared" si="367"/>
        <v>ComercioExterior</v>
      </c>
      <c r="AH518" t="str">
        <f t="shared" si="368"/>
        <v>PrecioFOB</v>
      </c>
      <c r="AI518" t="str">
        <f t="shared" si="369"/>
        <v>Monto II</v>
      </c>
      <c r="AJ518" t="str">
        <f t="shared" si="370"/>
        <v>Porcentaje II</v>
      </c>
      <c r="AK518" t="str">
        <f t="shared" si="371"/>
        <v>Foto</v>
      </c>
      <c r="AL518" t="str">
        <f>"{\rtf1\ansi\ansicpg1252\deff0\deflang11274{\fonttbl{\f0\fnil\fcharset0 MS Sans Serif}} \viewkind4\uc1\pard\f0\fs16 CAPTOR DISTR. RENAULT 9, 11, 12, 19 PARA DISTRIBUIDOR MAGNETI MARELLI (VK-2280MM)\par } "</f>
        <v xml:space="preserve">{\rtf1\ansi\ansicpg1252\deff0\deflang11274{\fonttbl{\f0\fnil\fcharset0 MS Sans Serif}} \viewkind4\uc1\pard\f0\fs16 CAPTOR DISTR. RENAULT 9, 11, 12, 19 PARA DISTRIBUIDOR MAGNETI MARELLI (VK-2280MM)\par } </v>
      </c>
      <c r="AM518" t="str">
        <f t="shared" si="352"/>
        <v>-</v>
      </c>
    </row>
    <row r="519" spans="1:39" x14ac:dyDescent="0.25">
      <c r="A519" t="str">
        <f>"VK4042"</f>
        <v>VK4042</v>
      </c>
      <c r="B519" t="str">
        <f>"CAPTOR DISTR. VW GOL, POINTER - FORD GALAXY, ORION TIPO PIPA"</f>
        <v>CAPTOR DISTR. VW GOL, POINTER - FORD GALAXY, ORION TIPO PIPA</v>
      </c>
      <c r="C519" t="str">
        <f>"$ 21031,46"</f>
        <v>$ 21031,46</v>
      </c>
      <c r="D519" t="str">
        <f>"$ 21031,46"</f>
        <v>$ 21031,46</v>
      </c>
      <c r="E519" t="str">
        <f>"$ 21031,46"</f>
        <v>$ 21031,46</v>
      </c>
      <c r="F519" t="str">
        <f>"$ 21031,46"</f>
        <v>$ 21031,46</v>
      </c>
      <c r="G519" t="str">
        <f>"$ 21031,46"</f>
        <v>$ 21031,46</v>
      </c>
      <c r="H519" t="str">
        <f t="shared" si="354"/>
        <v>$ 0,00</v>
      </c>
      <c r="I519" t="str">
        <f t="shared" si="349"/>
        <v>CAPTOR DISTRIBUIDOR</v>
      </c>
      <c r="J519" t="str">
        <f t="shared" si="355"/>
        <v>1</v>
      </c>
      <c r="K519" t="str">
        <f t="shared" si="337"/>
        <v>0</v>
      </c>
      <c r="L519" t="str">
        <f>"2,000"</f>
        <v>2,000</v>
      </c>
      <c r="M519" t="str">
        <f t="shared" si="356"/>
        <v xml:space="preserve"> </v>
      </c>
      <c r="N519" t="str">
        <f t="shared" si="351"/>
        <v>VERKEHR</v>
      </c>
      <c r="O519" t="str">
        <f t="shared" si="350"/>
        <v>DISTRIBUIDORES</v>
      </c>
      <c r="P519" t="str">
        <f t="shared" si="347"/>
        <v>0</v>
      </c>
      <c r="Q519" t="str">
        <f t="shared" si="347"/>
        <v>0</v>
      </c>
      <c r="R519" t="str">
        <f t="shared" si="348"/>
        <v>0,00</v>
      </c>
      <c r="S519" t="str">
        <f t="shared" si="348"/>
        <v>0,00</v>
      </c>
      <c r="T519" t="str">
        <f t="shared" si="336"/>
        <v xml:space="preserve"> </v>
      </c>
      <c r="U519" t="str">
        <f t="shared" si="338"/>
        <v xml:space="preserve"> </v>
      </c>
      <c r="V519" t="str">
        <f>"2,000"</f>
        <v>2,000</v>
      </c>
      <c r="W519" t="str">
        <f t="shared" si="357"/>
        <v>Lista 4</v>
      </c>
      <c r="X519" t="str">
        <f t="shared" si="358"/>
        <v>Lista 5</v>
      </c>
      <c r="Y519" t="str">
        <f t="shared" si="359"/>
        <v>Oferta Gral.</v>
      </c>
      <c r="Z519" t="str">
        <f t="shared" si="360"/>
        <v>Rubro</v>
      </c>
      <c r="AA519" t="str">
        <f t="shared" si="361"/>
        <v>Cantidad por Bulto</v>
      </c>
      <c r="AB519" t="str">
        <f t="shared" si="362"/>
        <v>INNER</v>
      </c>
      <c r="AC519" t="str">
        <f t="shared" si="363"/>
        <v>Stock en Bultos</v>
      </c>
      <c r="AD519" t="str">
        <f t="shared" si="364"/>
        <v>SubDepósito</v>
      </c>
      <c r="AE519" t="str">
        <f t="shared" si="365"/>
        <v>Marca</v>
      </c>
      <c r="AF519" t="str">
        <f t="shared" si="366"/>
        <v>Super Rubro</v>
      </c>
      <c r="AG519" t="str">
        <f t="shared" si="367"/>
        <v>ComercioExterior</v>
      </c>
      <c r="AH519" t="str">
        <f t="shared" si="368"/>
        <v>PrecioFOB</v>
      </c>
      <c r="AI519" t="str">
        <f t="shared" si="369"/>
        <v>Monto II</v>
      </c>
      <c r="AJ519" t="str">
        <f t="shared" si="370"/>
        <v>Porcentaje II</v>
      </c>
      <c r="AK519" t="str">
        <f t="shared" si="371"/>
        <v>Foto</v>
      </c>
      <c r="AL519" t="str">
        <f>"{\rtf1\ansi\ansicpg1252\deff0\deflang11274{\fonttbl{\f0\fnil\fcharset0 MS Sans Serif}} \viewkind4\uc1\pard\f0\fs16 CAPTOR DISTR. VW GOL, POINTER - FORD GALAXY, ORION TIPO PIPA\par } "</f>
        <v xml:space="preserve">{\rtf1\ansi\ansicpg1252\deff0\deflang11274{\fonttbl{\f0\fnil\fcharset0 MS Sans Serif}} \viewkind4\uc1\pard\f0\fs16 CAPTOR DISTR. VW GOL, POINTER - FORD GALAXY, ORION TIPO PIPA\par } </v>
      </c>
      <c r="AM519" t="str">
        <f t="shared" si="352"/>
        <v>-</v>
      </c>
    </row>
    <row r="520" spans="1:39" x14ac:dyDescent="0.25">
      <c r="A520" t="str">
        <f>"VK522MM"</f>
        <v>VK522MM</v>
      </c>
      <c r="B520" t="str">
        <f>"CAPTOR DISTRIBUIDOR R9/11/19"</f>
        <v>CAPTOR DISTRIBUIDOR R9/11/19</v>
      </c>
      <c r="C520" t="str">
        <f>"$ 24301,17"</f>
        <v>$ 24301,17</v>
      </c>
      <c r="D520" t="str">
        <f>"$ 24301,17"</f>
        <v>$ 24301,17</v>
      </c>
      <c r="E520" t="str">
        <f>"$ 24301,17"</f>
        <v>$ 24301,17</v>
      </c>
      <c r="F520" t="str">
        <f>"$ 24301,17"</f>
        <v>$ 24301,17</v>
      </c>
      <c r="G520" t="str">
        <f>"$ 24301,17"</f>
        <v>$ 24301,17</v>
      </c>
      <c r="H520" t="str">
        <f t="shared" si="354"/>
        <v>$ 0,00</v>
      </c>
      <c r="I520" t="str">
        <f t="shared" si="349"/>
        <v>CAPTOR DISTRIBUIDOR</v>
      </c>
      <c r="J520" t="str">
        <f t="shared" si="355"/>
        <v>1</v>
      </c>
      <c r="K520" t="str">
        <f t="shared" si="337"/>
        <v>0</v>
      </c>
      <c r="L520" t="str">
        <f>"54,000"</f>
        <v>54,000</v>
      </c>
      <c r="M520" t="str">
        <f t="shared" si="356"/>
        <v xml:space="preserve"> </v>
      </c>
      <c r="N520" t="str">
        <f>"MARELLI"</f>
        <v>MARELLI</v>
      </c>
      <c r="O520" t="str">
        <f t="shared" si="350"/>
        <v>DISTRIBUIDORES</v>
      </c>
      <c r="P520" t="str">
        <f t="shared" si="347"/>
        <v>0</v>
      </c>
      <c r="Q520" t="str">
        <f t="shared" si="347"/>
        <v>0</v>
      </c>
      <c r="R520" t="str">
        <f t="shared" si="348"/>
        <v>0,00</v>
      </c>
      <c r="S520" t="str">
        <f t="shared" si="348"/>
        <v>0,00</v>
      </c>
      <c r="T520" t="str">
        <f t="shared" si="336"/>
        <v xml:space="preserve"> </v>
      </c>
      <c r="U520" t="str">
        <f t="shared" si="338"/>
        <v xml:space="preserve"> </v>
      </c>
      <c r="V520" t="str">
        <f>"54,000"</f>
        <v>54,000</v>
      </c>
      <c r="W520" t="str">
        <f t="shared" si="357"/>
        <v>Lista 4</v>
      </c>
      <c r="X520" t="str">
        <f t="shared" si="358"/>
        <v>Lista 5</v>
      </c>
      <c r="Y520" t="str">
        <f t="shared" si="359"/>
        <v>Oferta Gral.</v>
      </c>
      <c r="Z520" t="str">
        <f t="shared" si="360"/>
        <v>Rubro</v>
      </c>
      <c r="AA520" t="str">
        <f t="shared" si="361"/>
        <v>Cantidad por Bulto</v>
      </c>
      <c r="AB520" t="str">
        <f t="shared" si="362"/>
        <v>INNER</v>
      </c>
      <c r="AC520" t="str">
        <f t="shared" si="363"/>
        <v>Stock en Bultos</v>
      </c>
      <c r="AD520" t="str">
        <f t="shared" si="364"/>
        <v>SubDepósito</v>
      </c>
      <c r="AE520" t="str">
        <f t="shared" si="365"/>
        <v>Marca</v>
      </c>
      <c r="AF520" t="str">
        <f t="shared" si="366"/>
        <v>Super Rubro</v>
      </c>
      <c r="AG520" t="str">
        <f t="shared" si="367"/>
        <v>ComercioExterior</v>
      </c>
      <c r="AH520" t="str">
        <f t="shared" si="368"/>
        <v>PrecioFOB</v>
      </c>
      <c r="AI520" t="str">
        <f t="shared" si="369"/>
        <v>Monto II</v>
      </c>
      <c r="AJ520" t="str">
        <f t="shared" si="370"/>
        <v>Porcentaje II</v>
      </c>
      <c r="AK520" t="str">
        <f t="shared" si="371"/>
        <v>Foto</v>
      </c>
      <c r="AL520" t="str">
        <f>"{\rtf1\ansi\ansicpg1252\deff0\deflang11274{\fonttbl{\f0\fnil\fcharset0 MS Sans Serif}} \viewkind4\uc1\pard\f0\fs16 CAPTOR DISTRIBUIDOR R9/11/19\par } "</f>
        <v xml:space="preserve">{\rtf1\ansi\ansicpg1252\deff0\deflang11274{\fonttbl{\f0\fnil\fcharset0 MS Sans Serif}} \viewkind4\uc1\pard\f0\fs16 CAPTOR DISTRIBUIDOR R9/11/19\par } </v>
      </c>
      <c r="AM520" t="str">
        <f t="shared" ref="AM520:AM525" si="372">" "</f>
        <v xml:space="preserve"> </v>
      </c>
    </row>
    <row r="521" spans="1:39" x14ac:dyDescent="0.25">
      <c r="A521" t="str">
        <f>"FI41008"</f>
        <v>FI41008</v>
      </c>
      <c r="B521" t="str">
        <f>"CAPTOR DISTRIBUIDOR TIPO PIPA VW GOL POINTER FORD GALAXY ORION"</f>
        <v>CAPTOR DISTRIBUIDOR TIPO PIPA VW GOL POINTER FORD GALAXY ORION</v>
      </c>
      <c r="C521" t="str">
        <f>"$ 21905,16"</f>
        <v>$ 21905,16</v>
      </c>
      <c r="D521" t="str">
        <f>"$ 21905,16"</f>
        <v>$ 21905,16</v>
      </c>
      <c r="E521" t="str">
        <f>"$ 21905,16"</f>
        <v>$ 21905,16</v>
      </c>
      <c r="F521" t="str">
        <f>"$ 9074,97"</f>
        <v>$ 9074,97</v>
      </c>
      <c r="G521" t="str">
        <f>"$ 9074,97"</f>
        <v>$ 9074,97</v>
      </c>
      <c r="H521" t="str">
        <f t="shared" si="354"/>
        <v>$ 0,00</v>
      </c>
      <c r="I521" t="str">
        <f t="shared" si="349"/>
        <v>CAPTOR DISTRIBUIDOR</v>
      </c>
      <c r="J521" t="str">
        <f t="shared" si="355"/>
        <v>1</v>
      </c>
      <c r="K521" t="str">
        <f t="shared" si="337"/>
        <v>0</v>
      </c>
      <c r="L521" t="str">
        <f>"14,000"</f>
        <v>14,000</v>
      </c>
      <c r="M521" t="str">
        <f t="shared" si="356"/>
        <v xml:space="preserve"> </v>
      </c>
      <c r="N521" t="str">
        <f>"FISPA"</f>
        <v>FISPA</v>
      </c>
      <c r="O521" t="str">
        <f t="shared" si="350"/>
        <v>DISTRIBUIDORES</v>
      </c>
      <c r="P521" t="str">
        <f t="shared" si="347"/>
        <v>0</v>
      </c>
      <c r="Q521" t="str">
        <f t="shared" si="347"/>
        <v>0</v>
      </c>
      <c r="R521" t="str">
        <f t="shared" si="348"/>
        <v>0,00</v>
      </c>
      <c r="S521" t="str">
        <f t="shared" si="348"/>
        <v>0,00</v>
      </c>
      <c r="T521" t="str">
        <f t="shared" si="336"/>
        <v xml:space="preserve"> </v>
      </c>
      <c r="U521" t="str">
        <f t="shared" si="338"/>
        <v xml:space="preserve"> </v>
      </c>
      <c r="V521" t="str">
        <f>"14,000"</f>
        <v>14,000</v>
      </c>
      <c r="W521" t="str">
        <f t="shared" si="357"/>
        <v>Lista 4</v>
      </c>
      <c r="X521" t="str">
        <f t="shared" si="358"/>
        <v>Lista 5</v>
      </c>
      <c r="Y521" t="str">
        <f t="shared" si="359"/>
        <v>Oferta Gral.</v>
      </c>
      <c r="Z521" t="str">
        <f t="shared" si="360"/>
        <v>Rubro</v>
      </c>
      <c r="AA521" t="str">
        <f t="shared" si="361"/>
        <v>Cantidad por Bulto</v>
      </c>
      <c r="AB521" t="str">
        <f t="shared" si="362"/>
        <v>INNER</v>
      </c>
      <c r="AC521" t="str">
        <f t="shared" si="363"/>
        <v>Stock en Bultos</v>
      </c>
      <c r="AD521" t="str">
        <f t="shared" si="364"/>
        <v>SubDepósito</v>
      </c>
      <c r="AE521" t="str">
        <f t="shared" si="365"/>
        <v>Marca</v>
      </c>
      <c r="AF521" t="str">
        <f t="shared" si="366"/>
        <v>Super Rubro</v>
      </c>
      <c r="AG521" t="str">
        <f t="shared" si="367"/>
        <v>ComercioExterior</v>
      </c>
      <c r="AH521" t="str">
        <f t="shared" si="368"/>
        <v>PrecioFOB</v>
      </c>
      <c r="AI521" t="str">
        <f t="shared" si="369"/>
        <v>Monto II</v>
      </c>
      <c r="AJ521" t="str">
        <f t="shared" si="370"/>
        <v>Porcentaje II</v>
      </c>
      <c r="AK521" t="str">
        <f t="shared" si="371"/>
        <v>Foto</v>
      </c>
      <c r="AL52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521" t="str">
        <f t="shared" si="372"/>
        <v xml:space="preserve"> </v>
      </c>
    </row>
    <row r="522" spans="1:39" x14ac:dyDescent="0.25">
      <c r="A522" t="str">
        <f>"FI97031"</f>
        <v>FI97031</v>
      </c>
      <c r="B522" t="str">
        <f>"CARCASA TERMOSTATO COMPLETA CHEVROLET TRACKER CRUZE 1.8"</f>
        <v>CARCASA TERMOSTATO COMPLETA CHEVROLET TRACKER CRUZE 1.8</v>
      </c>
      <c r="C522" t="str">
        <f>"$ 71323,66"</f>
        <v>$ 71323,66</v>
      </c>
      <c r="D522" t="str">
        <f>"$ 71323,66"</f>
        <v>$ 71323,66</v>
      </c>
      <c r="E522" t="str">
        <f>"$ 71323,66"</f>
        <v>$ 71323,66</v>
      </c>
      <c r="F522" t="str">
        <f>"$ 29548,29"</f>
        <v>$ 29548,29</v>
      </c>
      <c r="G522" t="str">
        <f>"$ 29548,29"</f>
        <v>$ 29548,29</v>
      </c>
      <c r="H522" t="str">
        <f t="shared" si="354"/>
        <v>$ 0,00</v>
      </c>
      <c r="I522" t="str">
        <f t="shared" ref="I522:I541" si="373">"CARCASA PORTATERMOSTATO"</f>
        <v>CARCASA PORTATERMOSTATO</v>
      </c>
      <c r="J522" t="str">
        <f t="shared" si="355"/>
        <v>1</v>
      </c>
      <c r="K522" t="str">
        <f t="shared" si="337"/>
        <v>0</v>
      </c>
      <c r="L522" t="str">
        <f>"6,000"</f>
        <v>6,000</v>
      </c>
      <c r="M522" t="str">
        <f t="shared" si="356"/>
        <v xml:space="preserve"> </v>
      </c>
      <c r="N522" t="str">
        <f>"FISPA"</f>
        <v>FISPA</v>
      </c>
      <c r="O522" t="str">
        <f t="shared" ref="O522:O541" si="374">"TERMOSTATO"</f>
        <v>TERMOSTATO</v>
      </c>
      <c r="P522" t="str">
        <f t="shared" si="347"/>
        <v>0</v>
      </c>
      <c r="Q522" t="str">
        <f t="shared" si="347"/>
        <v>0</v>
      </c>
      <c r="R522" t="str">
        <f t="shared" si="348"/>
        <v>0,00</v>
      </c>
      <c r="S522" t="str">
        <f t="shared" si="348"/>
        <v>0,00</v>
      </c>
      <c r="T522" t="str">
        <f t="shared" si="336"/>
        <v xml:space="preserve"> </v>
      </c>
      <c r="U522" t="str">
        <f t="shared" si="338"/>
        <v xml:space="preserve"> </v>
      </c>
      <c r="V522" t="str">
        <f>"6,000"</f>
        <v>6,000</v>
      </c>
      <c r="W522" t="str">
        <f t="shared" si="357"/>
        <v>Lista 4</v>
      </c>
      <c r="X522" t="str">
        <f t="shared" si="358"/>
        <v>Lista 5</v>
      </c>
      <c r="Y522" t="str">
        <f t="shared" si="359"/>
        <v>Oferta Gral.</v>
      </c>
      <c r="Z522" t="str">
        <f t="shared" si="360"/>
        <v>Rubro</v>
      </c>
      <c r="AA522" t="str">
        <f t="shared" si="361"/>
        <v>Cantidad por Bulto</v>
      </c>
      <c r="AB522" t="str">
        <f t="shared" si="362"/>
        <v>INNER</v>
      </c>
      <c r="AC522" t="str">
        <f t="shared" si="363"/>
        <v>Stock en Bultos</v>
      </c>
      <c r="AD522" t="str">
        <f t="shared" si="364"/>
        <v>SubDepósito</v>
      </c>
      <c r="AE522" t="str">
        <f t="shared" si="365"/>
        <v>Marca</v>
      </c>
      <c r="AF522" t="str">
        <f t="shared" si="366"/>
        <v>Super Rubro</v>
      </c>
      <c r="AG522" t="str">
        <f t="shared" si="367"/>
        <v>ComercioExterior</v>
      </c>
      <c r="AH522" t="str">
        <f t="shared" si="368"/>
        <v>PrecioFOB</v>
      </c>
      <c r="AI522" t="str">
        <f t="shared" si="369"/>
        <v>Monto II</v>
      </c>
      <c r="AJ522" t="str">
        <f t="shared" si="370"/>
        <v>Porcentaje II</v>
      </c>
      <c r="AK522" t="str">
        <f t="shared" si="371"/>
        <v>Foto</v>
      </c>
      <c r="AL522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522" t="str">
        <f t="shared" si="372"/>
        <v xml:space="preserve"> </v>
      </c>
    </row>
    <row r="523" spans="1:39" x14ac:dyDescent="0.25">
      <c r="A523" t="str">
        <f>"FI97032"</f>
        <v>FI97032</v>
      </c>
      <c r="B523" t="str">
        <f>"CARCASA TERMOSTATO FIAT PALIO SIENA MOBI FIRE 1.4"</f>
        <v>CARCASA TERMOSTATO FIAT PALIO SIENA MOBI FIRE 1.4</v>
      </c>
      <c r="C523" t="str">
        <f>"$ 32852,79"</f>
        <v>$ 32852,79</v>
      </c>
      <c r="D523" t="str">
        <f>"$ 32852,79"</f>
        <v>$ 32852,79</v>
      </c>
      <c r="E523" t="str">
        <f>"$ 32852,79"</f>
        <v>$ 32852,79</v>
      </c>
      <c r="F523" t="str">
        <f>"$ 13610,40"</f>
        <v>$ 13610,40</v>
      </c>
      <c r="G523" t="str">
        <f>"$ 13610,40"</f>
        <v>$ 13610,40</v>
      </c>
      <c r="H523" t="str">
        <f t="shared" si="354"/>
        <v>$ 0,00</v>
      </c>
      <c r="I523" t="str">
        <f t="shared" si="373"/>
        <v>CARCASA PORTATERMOSTATO</v>
      </c>
      <c r="J523" t="str">
        <f t="shared" si="355"/>
        <v>1</v>
      </c>
      <c r="K523" t="str">
        <f t="shared" si="337"/>
        <v>0</v>
      </c>
      <c r="L523" t="str">
        <f>"6,000"</f>
        <v>6,000</v>
      </c>
      <c r="M523" t="str">
        <f t="shared" si="356"/>
        <v xml:space="preserve"> </v>
      </c>
      <c r="N523" t="str">
        <f>"FISPA"</f>
        <v>FISPA</v>
      </c>
      <c r="O523" t="str">
        <f t="shared" si="374"/>
        <v>TERMOSTATO</v>
      </c>
      <c r="P523" t="str">
        <f t="shared" ref="P523:Q542" si="375">"0"</f>
        <v>0</v>
      </c>
      <c r="Q523" t="str">
        <f t="shared" si="375"/>
        <v>0</v>
      </c>
      <c r="R523" t="str">
        <f t="shared" ref="R523:S542" si="376">"0,00"</f>
        <v>0,00</v>
      </c>
      <c r="S523" t="str">
        <f t="shared" si="376"/>
        <v>0,00</v>
      </c>
      <c r="T523" t="str">
        <f t="shared" si="336"/>
        <v xml:space="preserve"> </v>
      </c>
      <c r="U523" t="str">
        <f t="shared" si="338"/>
        <v xml:space="preserve"> </v>
      </c>
      <c r="V523" t="str">
        <f>"6,000"</f>
        <v>6,000</v>
      </c>
      <c r="W523" t="str">
        <f t="shared" si="357"/>
        <v>Lista 4</v>
      </c>
      <c r="X523" t="str">
        <f t="shared" si="358"/>
        <v>Lista 5</v>
      </c>
      <c r="Y523" t="str">
        <f t="shared" si="359"/>
        <v>Oferta Gral.</v>
      </c>
      <c r="Z523" t="str">
        <f t="shared" si="360"/>
        <v>Rubro</v>
      </c>
      <c r="AA523" t="str">
        <f t="shared" si="361"/>
        <v>Cantidad por Bulto</v>
      </c>
      <c r="AB523" t="str">
        <f t="shared" si="362"/>
        <v>INNER</v>
      </c>
      <c r="AC523" t="str">
        <f t="shared" si="363"/>
        <v>Stock en Bultos</v>
      </c>
      <c r="AD523" t="str">
        <f t="shared" si="364"/>
        <v>SubDepósito</v>
      </c>
      <c r="AE523" t="str">
        <f t="shared" si="365"/>
        <v>Marca</v>
      </c>
      <c r="AF523" t="str">
        <f t="shared" si="366"/>
        <v>Super Rubro</v>
      </c>
      <c r="AG523" t="str">
        <f t="shared" si="367"/>
        <v>ComercioExterior</v>
      </c>
      <c r="AH523" t="str">
        <f t="shared" si="368"/>
        <v>PrecioFOB</v>
      </c>
      <c r="AI523" t="str">
        <f t="shared" si="369"/>
        <v>Monto II</v>
      </c>
      <c r="AJ523" t="str">
        <f t="shared" si="370"/>
        <v>Porcentaje II</v>
      </c>
      <c r="AK523" t="str">
        <f t="shared" si="371"/>
        <v>Foto</v>
      </c>
      <c r="AL52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523" t="str">
        <f t="shared" si="372"/>
        <v xml:space="preserve"> </v>
      </c>
    </row>
    <row r="524" spans="1:39" x14ac:dyDescent="0.25">
      <c r="A524" t="str">
        <f>"FI97045"</f>
        <v>FI97045</v>
      </c>
      <c r="B524" t="str">
        <f>"CARCASA TERMOSTATO PEUGEOT 206 207 FIAT QUBO CITROEN C3 1.4 8V TU3J"</f>
        <v>CARCASA TERMOSTATO PEUGEOT 206 207 FIAT QUBO CITROEN C3 1.4 8V TU3J</v>
      </c>
      <c r="C524" t="str">
        <f>"$ 35496,52"</f>
        <v>$ 35496,52</v>
      </c>
      <c r="D524" t="str">
        <f>"$ 35496,52"</f>
        <v>$ 35496,52</v>
      </c>
      <c r="E524" t="str">
        <f>"$ 35496,52"</f>
        <v>$ 35496,52</v>
      </c>
      <c r="F524" t="str">
        <f>"$ 14705,66"</f>
        <v>$ 14705,66</v>
      </c>
      <c r="G524" t="str">
        <f>"$ 14705,66"</f>
        <v>$ 14705,66</v>
      </c>
      <c r="H524" t="str">
        <f t="shared" si="354"/>
        <v>$ 0,00</v>
      </c>
      <c r="I524" t="str">
        <f t="shared" si="373"/>
        <v>CARCASA PORTATERMOSTATO</v>
      </c>
      <c r="J524" t="str">
        <f t="shared" si="355"/>
        <v>1</v>
      </c>
      <c r="K524" t="str">
        <f t="shared" si="337"/>
        <v>0</v>
      </c>
      <c r="L524" t="str">
        <f>"17,000"</f>
        <v>17,000</v>
      </c>
      <c r="M524" t="str">
        <f t="shared" si="356"/>
        <v xml:space="preserve"> </v>
      </c>
      <c r="N524" t="str">
        <f>"FISPA"</f>
        <v>FISPA</v>
      </c>
      <c r="O524" t="str">
        <f t="shared" si="374"/>
        <v>TERMOSTATO</v>
      </c>
      <c r="P524" t="str">
        <f t="shared" si="375"/>
        <v>0</v>
      </c>
      <c r="Q524" t="str">
        <f t="shared" si="375"/>
        <v>0</v>
      </c>
      <c r="R524" t="str">
        <f t="shared" si="376"/>
        <v>0,00</v>
      </c>
      <c r="S524" t="str">
        <f t="shared" si="376"/>
        <v>0,00</v>
      </c>
      <c r="T524" t="str">
        <f t="shared" si="336"/>
        <v xml:space="preserve"> </v>
      </c>
      <c r="U524" t="str">
        <f t="shared" si="338"/>
        <v xml:space="preserve"> </v>
      </c>
      <c r="V524" t="str">
        <f>"17,000"</f>
        <v>17,000</v>
      </c>
      <c r="W524" t="str">
        <f t="shared" si="357"/>
        <v>Lista 4</v>
      </c>
      <c r="X524" t="str">
        <f t="shared" si="358"/>
        <v>Lista 5</v>
      </c>
      <c r="Y524" t="str">
        <f t="shared" si="359"/>
        <v>Oferta Gral.</v>
      </c>
      <c r="Z524" t="str">
        <f t="shared" si="360"/>
        <v>Rubro</v>
      </c>
      <c r="AA524" t="str">
        <f t="shared" si="361"/>
        <v>Cantidad por Bulto</v>
      </c>
      <c r="AB524" t="str">
        <f t="shared" si="362"/>
        <v>INNER</v>
      </c>
      <c r="AC524" t="str">
        <f t="shared" si="363"/>
        <v>Stock en Bultos</v>
      </c>
      <c r="AD524" t="str">
        <f t="shared" si="364"/>
        <v>SubDepósito</v>
      </c>
      <c r="AE524" t="str">
        <f t="shared" si="365"/>
        <v>Marca</v>
      </c>
      <c r="AF524" t="str">
        <f t="shared" si="366"/>
        <v>Super Rubro</v>
      </c>
      <c r="AG524" t="str">
        <f t="shared" si="367"/>
        <v>ComercioExterior</v>
      </c>
      <c r="AH524" t="str">
        <f t="shared" si="368"/>
        <v>PrecioFOB</v>
      </c>
      <c r="AI524" t="str">
        <f t="shared" si="369"/>
        <v>Monto II</v>
      </c>
      <c r="AJ524" t="str">
        <f t="shared" si="370"/>
        <v>Porcentaje II</v>
      </c>
      <c r="AK524" t="str">
        <f t="shared" si="371"/>
        <v>Foto</v>
      </c>
      <c r="AL524" t="str">
        <f>"{\rtf1\ansi\ansicpg1252\deff0\deflang2058{\fonttbl{\f0\fnil\fcharset0 MS Sans Serif}} \viewkind4\uc1\pard\f0\fs16 CARCASA TERMOSTATO PEUGEOT 206 207 FIAT QUBO CITROEN C3 1.4 8V TU3J\par } "</f>
        <v xml:space="preserve">{\rtf1\ansi\ansicpg1252\deff0\deflang2058{\fonttbl{\f0\fnil\fcharset0 MS Sans Serif}} \viewkind4\uc1\pard\f0\fs16 CARCASA TERMOSTATO PEUGEOT 206 207 FIAT QUBO CITROEN C3 1.4 8V TU3J\par } </v>
      </c>
      <c r="AM524" t="str">
        <f t="shared" si="372"/>
        <v xml:space="preserve"> </v>
      </c>
    </row>
    <row r="525" spans="1:39" x14ac:dyDescent="0.25">
      <c r="A525" t="str">
        <f>"FI97000"</f>
        <v>FI97000</v>
      </c>
      <c r="B525" t="str">
        <f>"CARCASA TERMOSTATO RENAULT CLIO KANGOO 1.9 DIESEL F8Q"</f>
        <v>CARCASA TERMOSTATO RENAULT CLIO KANGOO 1.9 DIESEL F8Q</v>
      </c>
      <c r="C525" t="str">
        <f>"$ 38314,84"</f>
        <v>$ 38314,84</v>
      </c>
      <c r="D525" t="str">
        <f>"$ 38314,84"</f>
        <v>$ 38314,84</v>
      </c>
      <c r="E525" t="str">
        <f>"$ 38314,84"</f>
        <v>$ 38314,84</v>
      </c>
      <c r="F525" t="str">
        <f>"$ 15873,25"</f>
        <v>$ 15873,25</v>
      </c>
      <c r="G525" t="str">
        <f>"$ 15873,25"</f>
        <v>$ 15873,25</v>
      </c>
      <c r="H525" t="str">
        <f t="shared" si="354"/>
        <v>$ 0,00</v>
      </c>
      <c r="I525" t="str">
        <f t="shared" si="373"/>
        <v>CARCASA PORTATERMOSTATO</v>
      </c>
      <c r="J525" t="str">
        <f t="shared" si="355"/>
        <v>1</v>
      </c>
      <c r="K525" t="str">
        <f t="shared" si="337"/>
        <v>0</v>
      </c>
      <c r="L525" t="str">
        <f>"6,000"</f>
        <v>6,000</v>
      </c>
      <c r="M525" t="str">
        <f t="shared" si="356"/>
        <v xml:space="preserve"> </v>
      </c>
      <c r="N525" t="str">
        <f>"FISPA"</f>
        <v>FISPA</v>
      </c>
      <c r="O525" t="str">
        <f t="shared" si="374"/>
        <v>TERMOSTATO</v>
      </c>
      <c r="P525" t="str">
        <f t="shared" si="375"/>
        <v>0</v>
      </c>
      <c r="Q525" t="str">
        <f t="shared" si="375"/>
        <v>0</v>
      </c>
      <c r="R525" t="str">
        <f t="shared" si="376"/>
        <v>0,00</v>
      </c>
      <c r="S525" t="str">
        <f t="shared" si="376"/>
        <v>0,00</v>
      </c>
      <c r="T525" t="str">
        <f t="shared" si="336"/>
        <v xml:space="preserve"> </v>
      </c>
      <c r="U525" t="str">
        <f t="shared" si="338"/>
        <v xml:space="preserve"> </v>
      </c>
      <c r="V525" t="str">
        <f>"6,000"</f>
        <v>6,000</v>
      </c>
      <c r="W525" t="str">
        <f t="shared" si="357"/>
        <v>Lista 4</v>
      </c>
      <c r="X525" t="str">
        <f t="shared" si="358"/>
        <v>Lista 5</v>
      </c>
      <c r="Y525" t="str">
        <f t="shared" si="359"/>
        <v>Oferta Gral.</v>
      </c>
      <c r="Z525" t="str">
        <f t="shared" si="360"/>
        <v>Rubro</v>
      </c>
      <c r="AA525" t="str">
        <f t="shared" si="361"/>
        <v>Cantidad por Bulto</v>
      </c>
      <c r="AB525" t="str">
        <f t="shared" si="362"/>
        <v>INNER</v>
      </c>
      <c r="AC525" t="str">
        <f t="shared" si="363"/>
        <v>Stock en Bultos</v>
      </c>
      <c r="AD525" t="str">
        <f t="shared" si="364"/>
        <v>SubDepósito</v>
      </c>
      <c r="AE525" t="str">
        <f t="shared" si="365"/>
        <v>Marca</v>
      </c>
      <c r="AF525" t="str">
        <f t="shared" si="366"/>
        <v>Super Rubro</v>
      </c>
      <c r="AG525" t="str">
        <f t="shared" si="367"/>
        <v>ComercioExterior</v>
      </c>
      <c r="AH525" t="str">
        <f t="shared" si="368"/>
        <v>PrecioFOB</v>
      </c>
      <c r="AI525" t="str">
        <f t="shared" si="369"/>
        <v>Monto II</v>
      </c>
      <c r="AJ525" t="str">
        <f t="shared" si="370"/>
        <v>Porcentaje II</v>
      </c>
      <c r="AK525" t="str">
        <f t="shared" si="371"/>
        <v>Foto</v>
      </c>
      <c r="AL525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525" t="str">
        <f t="shared" si="372"/>
        <v xml:space="preserve"> </v>
      </c>
    </row>
    <row r="526" spans="1:39" x14ac:dyDescent="0.25">
      <c r="A526" t="str">
        <f>"CGM1432"</f>
        <v>CGM1432</v>
      </c>
      <c r="B526" t="str">
        <f>"CARCAZA CON BULBO Y TERMOSTATO CHEVROLET CRUZE 96984104"</f>
        <v>CARCAZA CON BULBO Y TERMOSTATO CHEVROLET CRUZE 96984104</v>
      </c>
      <c r="C526" t="str">
        <f>"$ 41659,43"</f>
        <v>$ 41659,43</v>
      </c>
      <c r="D526" t="str">
        <f>"$ 41659,43"</f>
        <v>$ 41659,43</v>
      </c>
      <c r="E526" t="str">
        <f>"$ 41659,43"</f>
        <v>$ 41659,43</v>
      </c>
      <c r="F526" t="str">
        <f>"$ 41659,43"</f>
        <v>$ 41659,43</v>
      </c>
      <c r="G526" t="str">
        <f>"$ 41659,43"</f>
        <v>$ 41659,43</v>
      </c>
      <c r="H526" t="str">
        <f t="shared" si="354"/>
        <v>$ 0,00</v>
      </c>
      <c r="I526" t="str">
        <f t="shared" si="373"/>
        <v>CARCASA PORTATERMOSTATO</v>
      </c>
      <c r="J526" t="str">
        <f t="shared" si="355"/>
        <v>1</v>
      </c>
      <c r="K526" t="str">
        <f t="shared" si="337"/>
        <v>0</v>
      </c>
      <c r="L526" t="str">
        <f>"1,000"</f>
        <v>1,000</v>
      </c>
      <c r="M526" t="str">
        <f t="shared" si="356"/>
        <v xml:space="preserve"> </v>
      </c>
      <c r="N526" t="str">
        <f t="shared" ref="N526:N531" si="377">"OSSCA"</f>
        <v>OSSCA</v>
      </c>
      <c r="O526" t="str">
        <f t="shared" si="374"/>
        <v>TERMOSTATO</v>
      </c>
      <c r="P526" t="str">
        <f t="shared" si="375"/>
        <v>0</v>
      </c>
      <c r="Q526" t="str">
        <f t="shared" si="375"/>
        <v>0</v>
      </c>
      <c r="R526" t="str">
        <f t="shared" si="376"/>
        <v>0,00</v>
      </c>
      <c r="S526" t="str">
        <f t="shared" si="376"/>
        <v>0,00</v>
      </c>
      <c r="T526" t="str">
        <f t="shared" si="336"/>
        <v xml:space="preserve"> </v>
      </c>
      <c r="U526" t="str">
        <f t="shared" si="338"/>
        <v xml:space="preserve"> </v>
      </c>
      <c r="V526" t="str">
        <f>"1,000"</f>
        <v>1,000</v>
      </c>
      <c r="W526" t="str">
        <f t="shared" si="357"/>
        <v>Lista 4</v>
      </c>
      <c r="X526" t="str">
        <f t="shared" si="358"/>
        <v>Lista 5</v>
      </c>
      <c r="Y526" t="str">
        <f t="shared" si="359"/>
        <v>Oferta Gral.</v>
      </c>
      <c r="Z526" t="str">
        <f t="shared" si="360"/>
        <v>Rubro</v>
      </c>
      <c r="AA526" t="str">
        <f t="shared" si="361"/>
        <v>Cantidad por Bulto</v>
      </c>
      <c r="AB526" t="str">
        <f t="shared" si="362"/>
        <v>INNER</v>
      </c>
      <c r="AC526" t="str">
        <f t="shared" si="363"/>
        <v>Stock en Bultos</v>
      </c>
      <c r="AD526" t="str">
        <f t="shared" si="364"/>
        <v>SubDepósito</v>
      </c>
      <c r="AE526" t="str">
        <f t="shared" si="365"/>
        <v>Marca</v>
      </c>
      <c r="AF526" t="str">
        <f t="shared" si="366"/>
        <v>Super Rubro</v>
      </c>
      <c r="AG526" t="str">
        <f t="shared" si="367"/>
        <v>ComercioExterior</v>
      </c>
      <c r="AH526" t="str">
        <f t="shared" si="368"/>
        <v>PrecioFOB</v>
      </c>
      <c r="AI526" t="str">
        <f t="shared" si="369"/>
        <v>Monto II</v>
      </c>
      <c r="AJ526" t="str">
        <f t="shared" si="370"/>
        <v>Porcentaje II</v>
      </c>
      <c r="AK526" t="str">
        <f t="shared" si="371"/>
        <v>Foto</v>
      </c>
      <c r="AL526" t="str">
        <f>"{\rtf1\ansi\ansicpg1252\deff0\deflang11274{\fonttbl{\f0\fnil\fcharset0 MS Sans Serif}} \viewkind4\uc1\pard\f0\fs16 CARCAZA CON BULBO Y TERMOSTATO CHEVROLET CRUZE 96984104\par } "</f>
        <v xml:space="preserve">{\rtf1\ansi\ansicpg1252\deff0\deflang11274{\fonttbl{\f0\fnil\fcharset0 MS Sans Serif}} \viewkind4\uc1\pard\f0\fs16 CARCAZA CON BULBO Y TERMOSTATO CHEVROLET CRUZE 96984104\par } </v>
      </c>
      <c r="AM526" t="str">
        <f>"-"</f>
        <v>-</v>
      </c>
    </row>
    <row r="527" spans="1:39" x14ac:dyDescent="0.25">
      <c r="A527" t="str">
        <f>"CCP1595"</f>
        <v>CCP1595</v>
      </c>
      <c r="B527" t="str">
        <f>"CARCAZA CON BULBO Y TERMOSTATO CITROEN/PEUGEOT 1336.ZO"</f>
        <v>CARCAZA CON BULBO Y TERMOSTATO CITROEN/PEUGEOT 1336.ZO</v>
      </c>
      <c r="C527" t="str">
        <f>"$ 27796,90"</f>
        <v>$ 27796,90</v>
      </c>
      <c r="D527" t="str">
        <f>"$ 27796,90"</f>
        <v>$ 27796,90</v>
      </c>
      <c r="E527" t="str">
        <f>"$ 27796,90"</f>
        <v>$ 27796,90</v>
      </c>
      <c r="F527" t="str">
        <f>"$ 27796,90"</f>
        <v>$ 27796,90</v>
      </c>
      <c r="G527" t="str">
        <f>"$ 27796,90"</f>
        <v>$ 27796,90</v>
      </c>
      <c r="H527" t="str">
        <f t="shared" si="354"/>
        <v>$ 0,00</v>
      </c>
      <c r="I527" t="str">
        <f t="shared" si="373"/>
        <v>CARCASA PORTATERMOSTATO</v>
      </c>
      <c r="J527" t="str">
        <f t="shared" si="355"/>
        <v>1</v>
      </c>
      <c r="K527" t="str">
        <f t="shared" si="337"/>
        <v>0</v>
      </c>
      <c r="L527" t="str">
        <f>"24,000"</f>
        <v>24,000</v>
      </c>
      <c r="M527" t="str">
        <f t="shared" si="356"/>
        <v xml:space="preserve"> </v>
      </c>
      <c r="N527" t="str">
        <f t="shared" si="377"/>
        <v>OSSCA</v>
      </c>
      <c r="O527" t="str">
        <f t="shared" si="374"/>
        <v>TERMOSTATO</v>
      </c>
      <c r="P527" t="str">
        <f t="shared" si="375"/>
        <v>0</v>
      </c>
      <c r="Q527" t="str">
        <f t="shared" si="375"/>
        <v>0</v>
      </c>
      <c r="R527" t="str">
        <f t="shared" si="376"/>
        <v>0,00</v>
      </c>
      <c r="S527" t="str">
        <f t="shared" si="376"/>
        <v>0,00</v>
      </c>
      <c r="T527" t="str">
        <f t="shared" si="336"/>
        <v xml:space="preserve"> </v>
      </c>
      <c r="U527" t="str">
        <f t="shared" si="338"/>
        <v xml:space="preserve"> </v>
      </c>
      <c r="V527" t="str">
        <f>"24,000"</f>
        <v>24,000</v>
      </c>
      <c r="W527" t="str">
        <f t="shared" si="357"/>
        <v>Lista 4</v>
      </c>
      <c r="X527" t="str">
        <f t="shared" si="358"/>
        <v>Lista 5</v>
      </c>
      <c r="Y527" t="str">
        <f t="shared" si="359"/>
        <v>Oferta Gral.</v>
      </c>
      <c r="Z527" t="str">
        <f t="shared" si="360"/>
        <v>Rubro</v>
      </c>
      <c r="AA527" t="str">
        <f t="shared" si="361"/>
        <v>Cantidad por Bulto</v>
      </c>
      <c r="AB527" t="str">
        <f t="shared" si="362"/>
        <v>INNER</v>
      </c>
      <c r="AC527" t="str">
        <f t="shared" si="363"/>
        <v>Stock en Bultos</v>
      </c>
      <c r="AD527" t="str">
        <f t="shared" si="364"/>
        <v>SubDepósito</v>
      </c>
      <c r="AE527" t="str">
        <f t="shared" si="365"/>
        <v>Marca</v>
      </c>
      <c r="AF527" t="str">
        <f t="shared" si="366"/>
        <v>Super Rubro</v>
      </c>
      <c r="AG527" t="str">
        <f t="shared" si="367"/>
        <v>ComercioExterior</v>
      </c>
      <c r="AH527" t="str">
        <f t="shared" si="368"/>
        <v>PrecioFOB</v>
      </c>
      <c r="AI527" t="str">
        <f t="shared" si="369"/>
        <v>Monto II</v>
      </c>
      <c r="AJ527" t="str">
        <f t="shared" si="370"/>
        <v>Porcentaje II</v>
      </c>
      <c r="AK527" t="str">
        <f t="shared" si="371"/>
        <v>Foto</v>
      </c>
      <c r="AL527" t="str">
        <f>"{\rtf1\ansi\ansicpg1252\deff0\deflang11274{\fonttbl{\f0\fnil\fcharset0 MS Sans Serif}} \viewkind4\uc1\pard\f0\fs16 CARCAZA CON BULBO Y TERMOSTATO CITROEN/PEUGEOT 1336.ZO\par } "</f>
        <v xml:space="preserve">{\rtf1\ansi\ansicpg1252\deff0\deflang11274{\fonttbl{\f0\fnil\fcharset0 MS Sans Serif}} \viewkind4\uc1\pard\f0\fs16 CARCAZA CON BULBO Y TERMOSTATO CITROEN/PEUGEOT 1336.ZO\par } </v>
      </c>
      <c r="AM527" t="str">
        <f>"-"</f>
        <v>-</v>
      </c>
    </row>
    <row r="528" spans="1:39" x14ac:dyDescent="0.25">
      <c r="A528" t="str">
        <f>"CGM1428"</f>
        <v>CGM1428</v>
      </c>
      <c r="B528" t="str">
        <f>"CARCAZA PORTATERMOSTATO CHEVROLET CORSA"</f>
        <v>CARCAZA PORTATERMOSTATO CHEVROLET CORSA</v>
      </c>
      <c r="C528" t="str">
        <f>"$ 18888,65"</f>
        <v>$ 18888,65</v>
      </c>
      <c r="D528" t="str">
        <f>"$ 18888,65"</f>
        <v>$ 18888,65</v>
      </c>
      <c r="E528" t="str">
        <f>"$ 18888,65"</f>
        <v>$ 18888,65</v>
      </c>
      <c r="F528" t="str">
        <f>"$ 18888,65"</f>
        <v>$ 18888,65</v>
      </c>
      <c r="G528" t="str">
        <f>"$ 18888,65"</f>
        <v>$ 18888,65</v>
      </c>
      <c r="H528" t="str">
        <f t="shared" si="354"/>
        <v>$ 0,00</v>
      </c>
      <c r="I528" t="str">
        <f t="shared" si="373"/>
        <v>CARCASA PORTATERMOSTATO</v>
      </c>
      <c r="J528" t="str">
        <f t="shared" si="355"/>
        <v>1</v>
      </c>
      <c r="K528" t="str">
        <f t="shared" si="337"/>
        <v>0</v>
      </c>
      <c r="L528" t="str">
        <f>"124,000"</f>
        <v>124,000</v>
      </c>
      <c r="M528" t="str">
        <f t="shared" si="356"/>
        <v xml:space="preserve"> </v>
      </c>
      <c r="N528" t="str">
        <f t="shared" si="377"/>
        <v>OSSCA</v>
      </c>
      <c r="O528" t="str">
        <f t="shared" si="374"/>
        <v>TERMOSTATO</v>
      </c>
      <c r="P528" t="str">
        <f t="shared" si="375"/>
        <v>0</v>
      </c>
      <c r="Q528" t="str">
        <f t="shared" si="375"/>
        <v>0</v>
      </c>
      <c r="R528" t="str">
        <f t="shared" si="376"/>
        <v>0,00</v>
      </c>
      <c r="S528" t="str">
        <f t="shared" si="376"/>
        <v>0,00</v>
      </c>
      <c r="T528" t="str">
        <f t="shared" si="336"/>
        <v xml:space="preserve"> </v>
      </c>
      <c r="U528" t="str">
        <f t="shared" si="338"/>
        <v xml:space="preserve"> </v>
      </c>
      <c r="V528" t="str">
        <f>"124,000"</f>
        <v>124,000</v>
      </c>
      <c r="W528" t="str">
        <f t="shared" si="357"/>
        <v>Lista 4</v>
      </c>
      <c r="X528" t="str">
        <f t="shared" si="358"/>
        <v>Lista 5</v>
      </c>
      <c r="Y528" t="str">
        <f t="shared" si="359"/>
        <v>Oferta Gral.</v>
      </c>
      <c r="Z528" t="str">
        <f t="shared" si="360"/>
        <v>Rubro</v>
      </c>
      <c r="AA528" t="str">
        <f t="shared" si="361"/>
        <v>Cantidad por Bulto</v>
      </c>
      <c r="AB528" t="str">
        <f t="shared" si="362"/>
        <v>INNER</v>
      </c>
      <c r="AC528" t="str">
        <f t="shared" si="363"/>
        <v>Stock en Bultos</v>
      </c>
      <c r="AD528" t="str">
        <f t="shared" si="364"/>
        <v>SubDepósito</v>
      </c>
      <c r="AE528" t="str">
        <f t="shared" si="365"/>
        <v>Marca</v>
      </c>
      <c r="AF528" t="str">
        <f t="shared" si="366"/>
        <v>Super Rubro</v>
      </c>
      <c r="AG528" t="str">
        <f t="shared" si="367"/>
        <v>ComercioExterior</v>
      </c>
      <c r="AH528" t="str">
        <f t="shared" si="368"/>
        <v>PrecioFOB</v>
      </c>
      <c r="AI528" t="str">
        <f t="shared" si="369"/>
        <v>Monto II</v>
      </c>
      <c r="AJ528" t="str">
        <f t="shared" si="370"/>
        <v>Porcentaje II</v>
      </c>
      <c r="AK528" t="str">
        <f t="shared" si="371"/>
        <v>Foto</v>
      </c>
      <c r="AL528" t="str">
        <f>"{\rtf1\ansi\ansicpg1252\deff0\deflang11274{\fonttbl{\f0\fnil\fcharset0 MS Sans Serif}} \viewkind4\uc1\pard\f0\fs16 CARCAZA PORTATERMOSTATO CHEVROLET CORSA\par } "</f>
        <v xml:space="preserve">{\rtf1\ansi\ansicpg1252\deff0\deflang11274{\fonttbl{\f0\fnil\fcharset0 MS Sans Serif}} \viewkind4\uc1\pard\f0\fs16 CARCAZA PORTATERMOSTATO CHEVROLET CORSA\par } </v>
      </c>
      <c r="AM528" t="str">
        <f>"-"</f>
        <v>-</v>
      </c>
    </row>
    <row r="529" spans="1:39" x14ac:dyDescent="0.25">
      <c r="A529" t="str">
        <f>"CGM0485"</f>
        <v>CGM0485</v>
      </c>
      <c r="B529" t="str">
        <f>"CARCAZA PORTATERMOSTATO CHEVROLET S10 180 HP 2011"</f>
        <v>CARCAZA PORTATERMOSTATO CHEVROLET S10 180 HP 2011</v>
      </c>
      <c r="C529" t="str">
        <f>"$ 52249,20"</f>
        <v>$ 52249,20</v>
      </c>
      <c r="D529" t="str">
        <f>"$ 52249,20"</f>
        <v>$ 52249,20</v>
      </c>
      <c r="E529" t="str">
        <f>"$ 52249,20"</f>
        <v>$ 52249,20</v>
      </c>
      <c r="F529" t="str">
        <f>"$ 52249,20"</f>
        <v>$ 52249,20</v>
      </c>
      <c r="G529" t="str">
        <f>"$ 52249,20"</f>
        <v>$ 52249,20</v>
      </c>
      <c r="H529" t="str">
        <f t="shared" si="354"/>
        <v>$ 0,00</v>
      </c>
      <c r="I529" t="str">
        <f t="shared" si="373"/>
        <v>CARCASA PORTATERMOSTATO</v>
      </c>
      <c r="J529" t="str">
        <f t="shared" si="355"/>
        <v>1</v>
      </c>
      <c r="K529" t="str">
        <f t="shared" si="337"/>
        <v>0</v>
      </c>
      <c r="L529" t="str">
        <f>"4,000"</f>
        <v>4,000</v>
      </c>
      <c r="M529" t="str">
        <f t="shared" si="356"/>
        <v xml:space="preserve"> </v>
      </c>
      <c r="N529" t="str">
        <f t="shared" si="377"/>
        <v>OSSCA</v>
      </c>
      <c r="O529" t="str">
        <f t="shared" si="374"/>
        <v>TERMOSTATO</v>
      </c>
      <c r="P529" t="str">
        <f t="shared" si="375"/>
        <v>0</v>
      </c>
      <c r="Q529" t="str">
        <f t="shared" si="375"/>
        <v>0</v>
      </c>
      <c r="R529" t="str">
        <f t="shared" si="376"/>
        <v>0,00</v>
      </c>
      <c r="S529" t="str">
        <f t="shared" si="376"/>
        <v>0,00</v>
      </c>
      <c r="T529" t="str">
        <f t="shared" ref="T529:T592" si="378">" "</f>
        <v xml:space="preserve"> </v>
      </c>
      <c r="U529" t="str">
        <f t="shared" si="338"/>
        <v xml:space="preserve"> </v>
      </c>
      <c r="V529" t="str">
        <f>"4,000"</f>
        <v>4,000</v>
      </c>
      <c r="W529" t="str">
        <f t="shared" si="357"/>
        <v>Lista 4</v>
      </c>
      <c r="X529" t="str">
        <f t="shared" si="358"/>
        <v>Lista 5</v>
      </c>
      <c r="Y529" t="str">
        <f t="shared" si="359"/>
        <v>Oferta Gral.</v>
      </c>
      <c r="Z529" t="str">
        <f t="shared" si="360"/>
        <v>Rubro</v>
      </c>
      <c r="AA529" t="str">
        <f t="shared" si="361"/>
        <v>Cantidad por Bulto</v>
      </c>
      <c r="AB529" t="str">
        <f t="shared" si="362"/>
        <v>INNER</v>
      </c>
      <c r="AC529" t="str">
        <f t="shared" si="363"/>
        <v>Stock en Bultos</v>
      </c>
      <c r="AD529" t="str">
        <f t="shared" si="364"/>
        <v>SubDepósito</v>
      </c>
      <c r="AE529" t="str">
        <f t="shared" si="365"/>
        <v>Marca</v>
      </c>
      <c r="AF529" t="str">
        <f t="shared" si="366"/>
        <v>Super Rubro</v>
      </c>
      <c r="AG529" t="str">
        <f t="shared" si="367"/>
        <v>ComercioExterior</v>
      </c>
      <c r="AH529" t="str">
        <f t="shared" si="368"/>
        <v>PrecioFOB</v>
      </c>
      <c r="AI529" t="str">
        <f t="shared" si="369"/>
        <v>Monto II</v>
      </c>
      <c r="AJ529" t="str">
        <f t="shared" si="370"/>
        <v>Porcentaje II</v>
      </c>
      <c r="AK529" t="str">
        <f t="shared" si="371"/>
        <v>Foto</v>
      </c>
      <c r="AL529" t="str">
        <f>"{\rtf1\ansi\ansicpg1252\deff0\deflang11274{\fonttbl{\f0\fnil\fcharset0 MS Sans Serif}} \viewkind4\uc1\pard\f0\fs16 CARCAZA PORTATERMOSTATO CHEVROLET S10 180 HP 2011\par } "</f>
        <v xml:space="preserve">{\rtf1\ansi\ansicpg1252\deff0\deflang11274{\fonttbl{\f0\fnil\fcharset0 MS Sans Serif}} \viewkind4\uc1\pard\f0\fs16 CARCAZA PORTATERMOSTATO CHEVROLET S10 180 HP 2011\par } </v>
      </c>
      <c r="AM529" t="str">
        <f>"-"</f>
        <v>-</v>
      </c>
    </row>
    <row r="530" spans="1:39" x14ac:dyDescent="0.25">
      <c r="A530" t="str">
        <f>"CFP1850"</f>
        <v>CFP1850</v>
      </c>
      <c r="B530" t="str">
        <f>"CARCAZA PORTATERMOSTATO ECOSPORT ROCAM (C/TERMOSTATO Y BULBO)"</f>
        <v>CARCAZA PORTATERMOSTATO ECOSPORT ROCAM (C/TERMOSTATO Y BULBO)</v>
      </c>
      <c r="C530" t="str">
        <f>"$ 26408,78"</f>
        <v>$ 26408,78</v>
      </c>
      <c r="D530" t="str">
        <f>"$ 26408,78"</f>
        <v>$ 26408,78</v>
      </c>
      <c r="E530" t="str">
        <f>"$ 26408,78"</f>
        <v>$ 26408,78</v>
      </c>
      <c r="F530" t="str">
        <f>"$ 26408,78"</f>
        <v>$ 26408,78</v>
      </c>
      <c r="G530" t="str">
        <f>"$ 26408,78"</f>
        <v>$ 26408,78</v>
      </c>
      <c r="H530" t="str">
        <f t="shared" si="354"/>
        <v>$ 0,00</v>
      </c>
      <c r="I530" t="str">
        <f t="shared" si="373"/>
        <v>CARCASA PORTATERMOSTATO</v>
      </c>
      <c r="J530" t="str">
        <f t="shared" si="355"/>
        <v>1</v>
      </c>
      <c r="K530" t="str">
        <f t="shared" si="337"/>
        <v>0</v>
      </c>
      <c r="L530" t="str">
        <f>"34,000"</f>
        <v>34,000</v>
      </c>
      <c r="M530" t="str">
        <f t="shared" si="356"/>
        <v xml:space="preserve"> </v>
      </c>
      <c r="N530" t="str">
        <f t="shared" si="377"/>
        <v>OSSCA</v>
      </c>
      <c r="O530" t="str">
        <f t="shared" si="374"/>
        <v>TERMOSTATO</v>
      </c>
      <c r="P530" t="str">
        <f t="shared" si="375"/>
        <v>0</v>
      </c>
      <c r="Q530" t="str">
        <f t="shared" si="375"/>
        <v>0</v>
      </c>
      <c r="R530" t="str">
        <f t="shared" si="376"/>
        <v>0,00</v>
      </c>
      <c r="S530" t="str">
        <f t="shared" si="376"/>
        <v>0,00</v>
      </c>
      <c r="T530" t="str">
        <f t="shared" si="378"/>
        <v xml:space="preserve"> </v>
      </c>
      <c r="U530" t="str">
        <f t="shared" si="338"/>
        <v xml:space="preserve"> </v>
      </c>
      <c r="V530" t="str">
        <f>"34,000"</f>
        <v>34,000</v>
      </c>
      <c r="W530" t="str">
        <f t="shared" si="357"/>
        <v>Lista 4</v>
      </c>
      <c r="X530" t="str">
        <f t="shared" si="358"/>
        <v>Lista 5</v>
      </c>
      <c r="Y530" t="str">
        <f t="shared" si="359"/>
        <v>Oferta Gral.</v>
      </c>
      <c r="Z530" t="str">
        <f t="shared" si="360"/>
        <v>Rubro</v>
      </c>
      <c r="AA530" t="str">
        <f t="shared" si="361"/>
        <v>Cantidad por Bulto</v>
      </c>
      <c r="AB530" t="str">
        <f t="shared" si="362"/>
        <v>INNER</v>
      </c>
      <c r="AC530" t="str">
        <f t="shared" si="363"/>
        <v>Stock en Bultos</v>
      </c>
      <c r="AD530" t="str">
        <f t="shared" si="364"/>
        <v>SubDepósito</v>
      </c>
      <c r="AE530" t="str">
        <f t="shared" si="365"/>
        <v>Marca</v>
      </c>
      <c r="AF530" t="str">
        <f t="shared" si="366"/>
        <v>Super Rubro</v>
      </c>
      <c r="AG530" t="str">
        <f t="shared" si="367"/>
        <v>ComercioExterior</v>
      </c>
      <c r="AH530" t="str">
        <f t="shared" si="368"/>
        <v>PrecioFOB</v>
      </c>
      <c r="AI530" t="str">
        <f t="shared" si="369"/>
        <v>Monto II</v>
      </c>
      <c r="AJ530" t="str">
        <f t="shared" si="370"/>
        <v>Porcentaje II</v>
      </c>
      <c r="AK530" t="str">
        <f t="shared" si="371"/>
        <v>Foto</v>
      </c>
      <c r="AL530" t="str">
        <f>"{\rtf1\ansi\ansicpg1252\deff0\deflang11274{\fonttbl{\f0\fnil\fcharset0 MS Sans Serif}} \viewkind4\uc1\pard\f0\fs16 CARCAZA PORTATERMOSTATO ECOSPORT ROCAM (C/TERMOSTATO Y BULBO)\par } "</f>
        <v xml:space="preserve">{\rtf1\ansi\ansicpg1252\deff0\deflang11274{\fonttbl{\f0\fnil\fcharset0 MS Sans Serif}} \viewkind4\uc1\pard\f0\fs16 CARCAZA PORTATERMOSTATO ECOSPORT ROCAM (C/TERMOSTATO Y BULBO)\par } </v>
      </c>
      <c r="AM530" t="str">
        <f>" "</f>
        <v xml:space="preserve"> </v>
      </c>
    </row>
    <row r="531" spans="1:39" x14ac:dyDescent="0.25">
      <c r="A531" t="str">
        <f>"CFP1817"</f>
        <v>CFP1817</v>
      </c>
      <c r="B531" t="str">
        <f>"CARCAZA PORTATERMOSTATO FORD FIESTA FOCUS 1.6 16V 7M5G8K556AC"</f>
        <v>CARCAZA PORTATERMOSTATO FORD FIESTA FOCUS 1.6 16V 7M5G8K556AC</v>
      </c>
      <c r="C531" t="str">
        <f>"$ 21097,80"</f>
        <v>$ 21097,80</v>
      </c>
      <c r="D531" t="str">
        <f>"$ 21097,80"</f>
        <v>$ 21097,80</v>
      </c>
      <c r="E531" t="str">
        <f>"$ 21097,80"</f>
        <v>$ 21097,80</v>
      </c>
      <c r="F531" t="str">
        <f>"$ 21097,80"</f>
        <v>$ 21097,80</v>
      </c>
      <c r="G531" t="str">
        <f>"$ 21097,80"</f>
        <v>$ 21097,80</v>
      </c>
      <c r="H531" t="str">
        <f t="shared" si="354"/>
        <v>$ 0,00</v>
      </c>
      <c r="I531" t="str">
        <f t="shared" si="373"/>
        <v>CARCASA PORTATERMOSTATO</v>
      </c>
      <c r="J531" t="str">
        <f t="shared" si="355"/>
        <v>1</v>
      </c>
      <c r="K531" t="str">
        <f t="shared" si="337"/>
        <v>0</v>
      </c>
      <c r="L531" t="str">
        <f>"5,000"</f>
        <v>5,000</v>
      </c>
      <c r="M531" t="str">
        <f t="shared" si="356"/>
        <v xml:space="preserve"> </v>
      </c>
      <c r="N531" t="str">
        <f t="shared" si="377"/>
        <v>OSSCA</v>
      </c>
      <c r="O531" t="str">
        <f t="shared" si="374"/>
        <v>TERMOSTATO</v>
      </c>
      <c r="P531" t="str">
        <f t="shared" si="375"/>
        <v>0</v>
      </c>
      <c r="Q531" t="str">
        <f t="shared" si="375"/>
        <v>0</v>
      </c>
      <c r="R531" t="str">
        <f t="shared" si="376"/>
        <v>0,00</v>
      </c>
      <c r="S531" t="str">
        <f t="shared" si="376"/>
        <v>0,00</v>
      </c>
      <c r="T531" t="str">
        <f t="shared" si="378"/>
        <v xml:space="preserve"> </v>
      </c>
      <c r="U531" t="str">
        <f t="shared" si="338"/>
        <v xml:space="preserve"> </v>
      </c>
      <c r="V531" t="str">
        <f>"5,000"</f>
        <v>5,000</v>
      </c>
      <c r="W531" t="str">
        <f t="shared" si="357"/>
        <v>Lista 4</v>
      </c>
      <c r="X531" t="str">
        <f t="shared" si="358"/>
        <v>Lista 5</v>
      </c>
      <c r="Y531" t="str">
        <f t="shared" si="359"/>
        <v>Oferta Gral.</v>
      </c>
      <c r="Z531" t="str">
        <f t="shared" si="360"/>
        <v>Rubro</v>
      </c>
      <c r="AA531" t="str">
        <f t="shared" si="361"/>
        <v>Cantidad por Bulto</v>
      </c>
      <c r="AB531" t="str">
        <f t="shared" si="362"/>
        <v>INNER</v>
      </c>
      <c r="AC531" t="str">
        <f t="shared" si="363"/>
        <v>Stock en Bultos</v>
      </c>
      <c r="AD531" t="str">
        <f t="shared" si="364"/>
        <v>SubDepósito</v>
      </c>
      <c r="AE531" t="str">
        <f t="shared" si="365"/>
        <v>Marca</v>
      </c>
      <c r="AF531" t="str">
        <f t="shared" si="366"/>
        <v>Super Rubro</v>
      </c>
      <c r="AG531" t="str">
        <f t="shared" si="367"/>
        <v>ComercioExterior</v>
      </c>
      <c r="AH531" t="str">
        <f t="shared" si="368"/>
        <v>PrecioFOB</v>
      </c>
      <c r="AI531" t="str">
        <f t="shared" si="369"/>
        <v>Monto II</v>
      </c>
      <c r="AJ531" t="str">
        <f t="shared" si="370"/>
        <v>Porcentaje II</v>
      </c>
      <c r="AK531" t="str">
        <f t="shared" si="371"/>
        <v>Foto</v>
      </c>
      <c r="AL531" t="str">
        <f>"{\rtf1\ansi\ansicpg1252\deff0\deflang11274{\fonttbl{\f0\fnil\fcharset0 MS Sans Serif}} \viewkind4\uc1\pard\f0\fs16 CARCAZA PORTATERMOSTATO FORD FIESTA FOCUS 1.6 16V 7M5G8K556AC\par } "</f>
        <v xml:space="preserve">{\rtf1\ansi\ansicpg1252\deff0\deflang11274{\fonttbl{\f0\fnil\fcharset0 MS Sans Serif}} \viewkind4\uc1\pard\f0\fs16 CARCAZA PORTATERMOSTATO FORD FIESTA FOCUS 1.6 16V 7M5G8K556AC\par } </v>
      </c>
      <c r="AM531" t="str">
        <f>"-"</f>
        <v>-</v>
      </c>
    </row>
    <row r="532" spans="1:39" x14ac:dyDescent="0.25">
      <c r="A532" t="str">
        <f>"FI97009"</f>
        <v>FI97009</v>
      </c>
      <c r="B532" t="str">
        <f>"CARCAZA PORTATERMOSTATO FORD FIESTA KA 1.6 8 V ROCAM CAÑO RECTO"</f>
        <v>CARCAZA PORTATERMOSTATO FORD FIESTA KA 1.6 8 V ROCAM CAÑO RECTO</v>
      </c>
      <c r="C532" t="str">
        <f>"$ 33907,80"</f>
        <v>$ 33907,80</v>
      </c>
      <c r="D532" t="str">
        <f>"$ 33907,80"</f>
        <v>$ 33907,80</v>
      </c>
      <c r="E532" t="str">
        <f>"$ 33907,80"</f>
        <v>$ 33907,80</v>
      </c>
      <c r="F532" t="str">
        <f>"$ 14047,48"</f>
        <v>$ 14047,48</v>
      </c>
      <c r="G532" t="str">
        <f>"$ 14047,48"</f>
        <v>$ 14047,48</v>
      </c>
      <c r="H532" t="str">
        <f t="shared" si="354"/>
        <v>$ 0,00</v>
      </c>
      <c r="I532" t="str">
        <f t="shared" si="373"/>
        <v>CARCASA PORTATERMOSTATO</v>
      </c>
      <c r="J532" t="str">
        <f t="shared" si="355"/>
        <v>1</v>
      </c>
      <c r="K532" t="str">
        <f t="shared" si="337"/>
        <v>0</v>
      </c>
      <c r="L532" t="str">
        <f>"10,000"</f>
        <v>10,000</v>
      </c>
      <c r="M532" t="str">
        <f t="shared" si="356"/>
        <v xml:space="preserve"> </v>
      </c>
      <c r="N532" t="str">
        <f>"FISPA"</f>
        <v>FISPA</v>
      </c>
      <c r="O532" t="str">
        <f t="shared" si="374"/>
        <v>TERMOSTATO</v>
      </c>
      <c r="P532" t="str">
        <f t="shared" si="375"/>
        <v>0</v>
      </c>
      <c r="Q532" t="str">
        <f t="shared" si="375"/>
        <v>0</v>
      </c>
      <c r="R532" t="str">
        <f t="shared" si="376"/>
        <v>0,00</v>
      </c>
      <c r="S532" t="str">
        <f t="shared" si="376"/>
        <v>0,00</v>
      </c>
      <c r="T532" t="str">
        <f t="shared" si="378"/>
        <v xml:space="preserve"> </v>
      </c>
      <c r="U532" t="str">
        <f t="shared" si="338"/>
        <v xml:space="preserve"> </v>
      </c>
      <c r="V532" t="str">
        <f>"10,000"</f>
        <v>10,000</v>
      </c>
      <c r="W532" t="str">
        <f t="shared" si="357"/>
        <v>Lista 4</v>
      </c>
      <c r="X532" t="str">
        <f t="shared" si="358"/>
        <v>Lista 5</v>
      </c>
      <c r="Y532" t="str">
        <f t="shared" si="359"/>
        <v>Oferta Gral.</v>
      </c>
      <c r="Z532" t="str">
        <f t="shared" si="360"/>
        <v>Rubro</v>
      </c>
      <c r="AA532" t="str">
        <f t="shared" si="361"/>
        <v>Cantidad por Bulto</v>
      </c>
      <c r="AB532" t="str">
        <f t="shared" si="362"/>
        <v>INNER</v>
      </c>
      <c r="AC532" t="str">
        <f t="shared" si="363"/>
        <v>Stock en Bultos</v>
      </c>
      <c r="AD532" t="str">
        <f t="shared" si="364"/>
        <v>SubDepósito</v>
      </c>
      <c r="AE532" t="str">
        <f t="shared" si="365"/>
        <v>Marca</v>
      </c>
      <c r="AF532" t="str">
        <f t="shared" si="366"/>
        <v>Super Rubro</v>
      </c>
      <c r="AG532" t="str">
        <f t="shared" si="367"/>
        <v>ComercioExterior</v>
      </c>
      <c r="AH532" t="str">
        <f t="shared" si="368"/>
        <v>PrecioFOB</v>
      </c>
      <c r="AI532" t="str">
        <f t="shared" si="369"/>
        <v>Monto II</v>
      </c>
      <c r="AJ532" t="str">
        <f t="shared" si="370"/>
        <v>Porcentaje II</v>
      </c>
      <c r="AK532" t="str">
        <f t="shared" si="371"/>
        <v>Foto</v>
      </c>
      <c r="AL53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32" t="str">
        <f>" "</f>
        <v xml:space="preserve"> </v>
      </c>
    </row>
    <row r="533" spans="1:39" x14ac:dyDescent="0.25">
      <c r="A533" t="str">
        <f>"CFP556A"</f>
        <v>CFP556A</v>
      </c>
      <c r="B533" t="str">
        <f>"CARCAZA PORTATERMOSTATO FORD FOCUS ECOSPORT 2.0 DURATEC"</f>
        <v>CARCAZA PORTATERMOSTATO FORD FOCUS ECOSPORT 2.0 DURATEC</v>
      </c>
      <c r="C533" t="str">
        <f>"$ 25841,65"</f>
        <v>$ 25841,65</v>
      </c>
      <c r="D533" t="str">
        <f>"$ 25841,65"</f>
        <v>$ 25841,65</v>
      </c>
      <c r="E533" t="str">
        <f>"$ 25841,65"</f>
        <v>$ 25841,65</v>
      </c>
      <c r="F533" t="str">
        <f>"$ 25841,65"</f>
        <v>$ 25841,65</v>
      </c>
      <c r="G533" t="str">
        <f>"$ 25841,65"</f>
        <v>$ 25841,65</v>
      </c>
      <c r="H533" t="str">
        <f t="shared" si="354"/>
        <v>$ 0,00</v>
      </c>
      <c r="I533" t="str">
        <f t="shared" si="373"/>
        <v>CARCASA PORTATERMOSTATO</v>
      </c>
      <c r="J533" t="str">
        <f t="shared" si="355"/>
        <v>1</v>
      </c>
      <c r="K533" t="str">
        <f t="shared" si="337"/>
        <v>0</v>
      </c>
      <c r="L533" t="str">
        <f>"2,000"</f>
        <v>2,000</v>
      </c>
      <c r="M533" t="str">
        <f t="shared" si="356"/>
        <v xml:space="preserve"> </v>
      </c>
      <c r="N533" t="str">
        <f>"OSSCA"</f>
        <v>OSSCA</v>
      </c>
      <c r="O533" t="str">
        <f t="shared" si="374"/>
        <v>TERMOSTATO</v>
      </c>
      <c r="P533" t="str">
        <f t="shared" si="375"/>
        <v>0</v>
      </c>
      <c r="Q533" t="str">
        <f t="shared" si="375"/>
        <v>0</v>
      </c>
      <c r="R533" t="str">
        <f t="shared" si="376"/>
        <v>0,00</v>
      </c>
      <c r="S533" t="str">
        <f t="shared" si="376"/>
        <v>0,00</v>
      </c>
      <c r="T533" t="str">
        <f t="shared" si="378"/>
        <v xml:space="preserve"> </v>
      </c>
      <c r="U533" t="str">
        <f t="shared" si="338"/>
        <v xml:space="preserve"> </v>
      </c>
      <c r="V533" t="str">
        <f>"2,000"</f>
        <v>2,000</v>
      </c>
      <c r="W533" t="str">
        <f t="shared" si="357"/>
        <v>Lista 4</v>
      </c>
      <c r="X533" t="str">
        <f t="shared" si="358"/>
        <v>Lista 5</v>
      </c>
      <c r="Y533" t="str">
        <f t="shared" si="359"/>
        <v>Oferta Gral.</v>
      </c>
      <c r="Z533" t="str">
        <f t="shared" si="360"/>
        <v>Rubro</v>
      </c>
      <c r="AA533" t="str">
        <f t="shared" si="361"/>
        <v>Cantidad por Bulto</v>
      </c>
      <c r="AB533" t="str">
        <f t="shared" si="362"/>
        <v>INNER</v>
      </c>
      <c r="AC533" t="str">
        <f t="shared" si="363"/>
        <v>Stock en Bultos</v>
      </c>
      <c r="AD533" t="str">
        <f t="shared" si="364"/>
        <v>SubDepósito</v>
      </c>
      <c r="AE533" t="str">
        <f t="shared" si="365"/>
        <v>Marca</v>
      </c>
      <c r="AF533" t="str">
        <f t="shared" si="366"/>
        <v>Super Rubro</v>
      </c>
      <c r="AG533" t="str">
        <f t="shared" si="367"/>
        <v>ComercioExterior</v>
      </c>
      <c r="AH533" t="str">
        <f t="shared" si="368"/>
        <v>PrecioFOB</v>
      </c>
      <c r="AI533" t="str">
        <f t="shared" si="369"/>
        <v>Monto II</v>
      </c>
      <c r="AJ533" t="str">
        <f t="shared" si="370"/>
        <v>Porcentaje II</v>
      </c>
      <c r="AK533" t="str">
        <f t="shared" si="371"/>
        <v>Foto</v>
      </c>
      <c r="AL533" t="str">
        <f>"{\rtf1\ansi\ansicpg1252\deff0\deflang11274{\fonttbl{\f0\fnil\fcharset0 MS Sans Serif}} \viewkind4\uc1\pard\f0\fs16 CARCAZA PORTATERMOSTATO FORD FOCUS ECOSPORT 2.0 DURATEC\par } "</f>
        <v xml:space="preserve">{\rtf1\ansi\ansicpg1252\deff0\deflang11274{\fonttbl{\f0\fnil\fcharset0 MS Sans Serif}} \viewkind4\uc1\pard\f0\fs16 CARCAZA PORTATERMOSTATO FORD FOCUS ECOSPORT 2.0 DURATEC\par } </v>
      </c>
      <c r="AM533" t="str">
        <f>"-"</f>
        <v>-</v>
      </c>
    </row>
    <row r="534" spans="1:39" x14ac:dyDescent="0.25">
      <c r="A534" t="str">
        <f>"FI97025"</f>
        <v>FI97025</v>
      </c>
      <c r="B534" t="str">
        <f>"CARCAZA PORTATERMOSTATO FORD FOCUS MONDEO ZETEC 2.0   XS4G9K478BD"</f>
        <v>CARCAZA PORTATERMOSTATO FORD FOCUS MONDEO ZETEC 2.0   XS4G9K478BD</v>
      </c>
      <c r="C534" t="str">
        <f>"$ 40869,41"</f>
        <v>$ 40869,41</v>
      </c>
      <c r="D534" t="str">
        <f>"$ 40869,41"</f>
        <v>$ 40869,41</v>
      </c>
      <c r="E534" t="str">
        <f>"$ 40869,41"</f>
        <v>$ 40869,41</v>
      </c>
      <c r="F534" t="str">
        <f>"$ 16931,57"</f>
        <v>$ 16931,57</v>
      </c>
      <c r="G534" t="str">
        <f>"$ 16931,57"</f>
        <v>$ 16931,57</v>
      </c>
      <c r="H534" t="str">
        <f t="shared" si="354"/>
        <v>$ 0,00</v>
      </c>
      <c r="I534" t="str">
        <f t="shared" si="373"/>
        <v>CARCASA PORTATERMOSTATO</v>
      </c>
      <c r="J534" t="str">
        <f t="shared" si="355"/>
        <v>1</v>
      </c>
      <c r="K534" t="str">
        <f t="shared" si="337"/>
        <v>0</v>
      </c>
      <c r="L534" t="str">
        <f>"10,000"</f>
        <v>10,000</v>
      </c>
      <c r="M534" t="str">
        <f t="shared" si="356"/>
        <v xml:space="preserve"> </v>
      </c>
      <c r="N534" t="str">
        <f>"FISPA"</f>
        <v>FISPA</v>
      </c>
      <c r="O534" t="str">
        <f t="shared" si="374"/>
        <v>TERMOSTATO</v>
      </c>
      <c r="P534" t="str">
        <f t="shared" si="375"/>
        <v>0</v>
      </c>
      <c r="Q534" t="str">
        <f t="shared" si="375"/>
        <v>0</v>
      </c>
      <c r="R534" t="str">
        <f t="shared" si="376"/>
        <v>0,00</v>
      </c>
      <c r="S534" t="str">
        <f t="shared" si="376"/>
        <v>0,00</v>
      </c>
      <c r="T534" t="str">
        <f t="shared" si="378"/>
        <v xml:space="preserve"> </v>
      </c>
      <c r="U534" t="str">
        <f t="shared" si="338"/>
        <v xml:space="preserve"> </v>
      </c>
      <c r="V534" t="str">
        <f>"10,000"</f>
        <v>10,000</v>
      </c>
      <c r="W534" t="str">
        <f t="shared" si="357"/>
        <v>Lista 4</v>
      </c>
      <c r="X534" t="str">
        <f t="shared" si="358"/>
        <v>Lista 5</v>
      </c>
      <c r="Y534" t="str">
        <f t="shared" si="359"/>
        <v>Oferta Gral.</v>
      </c>
      <c r="Z534" t="str">
        <f t="shared" si="360"/>
        <v>Rubro</v>
      </c>
      <c r="AA534" t="str">
        <f t="shared" si="361"/>
        <v>Cantidad por Bulto</v>
      </c>
      <c r="AB534" t="str">
        <f t="shared" si="362"/>
        <v>INNER</v>
      </c>
      <c r="AC534" t="str">
        <f t="shared" si="363"/>
        <v>Stock en Bultos</v>
      </c>
      <c r="AD534" t="str">
        <f t="shared" si="364"/>
        <v>SubDepósito</v>
      </c>
      <c r="AE534" t="str">
        <f t="shared" si="365"/>
        <v>Marca</v>
      </c>
      <c r="AF534" t="str">
        <f t="shared" si="366"/>
        <v>Super Rubro</v>
      </c>
      <c r="AG534" t="str">
        <f t="shared" si="367"/>
        <v>ComercioExterior</v>
      </c>
      <c r="AH534" t="str">
        <f t="shared" si="368"/>
        <v>PrecioFOB</v>
      </c>
      <c r="AI534" t="str">
        <f t="shared" si="369"/>
        <v>Monto II</v>
      </c>
      <c r="AJ534" t="str">
        <f t="shared" si="370"/>
        <v>Porcentaje II</v>
      </c>
      <c r="AK534" t="str">
        <f t="shared" si="371"/>
        <v>Foto</v>
      </c>
      <c r="AL534" t="str">
        <f>"{\rtf1\ansi\ansicpg1252\deff0\deflang11274{\fonttbl{\f0\fnil\fcharset0 MS Sans Serif}} \viewkind4\uc1\pard\f0\fs16 CARCAZA PORTATERMOSTATO FORD FOCUS MONDEO ZETEC 2.0   XS4G9K478BD\par } "</f>
        <v xml:space="preserve">{\rtf1\ansi\ansicpg1252\deff0\deflang11274{\fonttbl{\f0\fnil\fcharset0 MS Sans Serif}} \viewkind4\uc1\pard\f0\fs16 CARCAZA PORTATERMOSTATO FORD FOCUS MONDEO ZETEC 2.0   XS4G9K478BD\par } </v>
      </c>
      <c r="AM534" t="str">
        <f>" "</f>
        <v xml:space="preserve"> </v>
      </c>
    </row>
    <row r="535" spans="1:39" x14ac:dyDescent="0.25">
      <c r="A535" t="str">
        <f>"CFP1845"</f>
        <v>CFP1845</v>
      </c>
      <c r="B535" t="str">
        <f>"CARCAZA PORTATERMOSTATO FORD KA 1.6 ROCAM"</f>
        <v>CARCAZA PORTATERMOSTATO FORD KA 1.6 ROCAM</v>
      </c>
      <c r="C535" t="str">
        <f>"$ 33907,80"</f>
        <v>$ 33907,80</v>
      </c>
      <c r="D535" t="str">
        <f>"$ 33907,80"</f>
        <v>$ 33907,80</v>
      </c>
      <c r="E535" t="str">
        <f>"$ 33907,80"</f>
        <v>$ 33907,80</v>
      </c>
      <c r="F535" t="str">
        <f>"$ 33907,80"</f>
        <v>$ 33907,80</v>
      </c>
      <c r="G535" t="str">
        <f>"$ 33907,80"</f>
        <v>$ 33907,80</v>
      </c>
      <c r="H535" t="str">
        <f t="shared" si="354"/>
        <v>$ 0,00</v>
      </c>
      <c r="I535" t="str">
        <f t="shared" si="373"/>
        <v>CARCASA PORTATERMOSTATO</v>
      </c>
      <c r="J535" t="str">
        <f t="shared" si="355"/>
        <v>1</v>
      </c>
      <c r="K535" t="str">
        <f t="shared" ref="K535:K598" si="379">"0"</f>
        <v>0</v>
      </c>
      <c r="L535" t="str">
        <f>"3,000"</f>
        <v>3,000</v>
      </c>
      <c r="M535" t="str">
        <f t="shared" si="356"/>
        <v xml:space="preserve"> </v>
      </c>
      <c r="N535" t="str">
        <f t="shared" ref="N535:N541" si="380">"OSSCA"</f>
        <v>OSSCA</v>
      </c>
      <c r="O535" t="str">
        <f t="shared" si="374"/>
        <v>TERMOSTATO</v>
      </c>
      <c r="P535" t="str">
        <f t="shared" si="375"/>
        <v>0</v>
      </c>
      <c r="Q535" t="str">
        <f t="shared" si="375"/>
        <v>0</v>
      </c>
      <c r="R535" t="str">
        <f t="shared" si="376"/>
        <v>0,00</v>
      </c>
      <c r="S535" t="str">
        <f t="shared" si="376"/>
        <v>0,00</v>
      </c>
      <c r="T535" t="str">
        <f t="shared" si="378"/>
        <v xml:space="preserve"> </v>
      </c>
      <c r="U535" t="str">
        <f t="shared" si="338"/>
        <v xml:space="preserve"> </v>
      </c>
      <c r="V535" t="str">
        <f>"3,000"</f>
        <v>3,000</v>
      </c>
      <c r="W535" t="str">
        <f t="shared" si="357"/>
        <v>Lista 4</v>
      </c>
      <c r="X535" t="str">
        <f t="shared" si="358"/>
        <v>Lista 5</v>
      </c>
      <c r="Y535" t="str">
        <f t="shared" si="359"/>
        <v>Oferta Gral.</v>
      </c>
      <c r="Z535" t="str">
        <f t="shared" si="360"/>
        <v>Rubro</v>
      </c>
      <c r="AA535" t="str">
        <f t="shared" si="361"/>
        <v>Cantidad por Bulto</v>
      </c>
      <c r="AB535" t="str">
        <f t="shared" si="362"/>
        <v>INNER</v>
      </c>
      <c r="AC535" t="str">
        <f t="shared" si="363"/>
        <v>Stock en Bultos</v>
      </c>
      <c r="AD535" t="str">
        <f t="shared" si="364"/>
        <v>SubDepósito</v>
      </c>
      <c r="AE535" t="str">
        <f t="shared" si="365"/>
        <v>Marca</v>
      </c>
      <c r="AF535" t="str">
        <f t="shared" si="366"/>
        <v>Super Rubro</v>
      </c>
      <c r="AG535" t="str">
        <f t="shared" si="367"/>
        <v>ComercioExterior</v>
      </c>
      <c r="AH535" t="str">
        <f t="shared" si="368"/>
        <v>PrecioFOB</v>
      </c>
      <c r="AI535" t="str">
        <f t="shared" si="369"/>
        <v>Monto II</v>
      </c>
      <c r="AJ535" t="str">
        <f t="shared" si="370"/>
        <v>Porcentaje II</v>
      </c>
      <c r="AK535" t="str">
        <f t="shared" si="371"/>
        <v>Foto</v>
      </c>
      <c r="AL535" t="str">
        <f>"{\rtf1\ansi\ansicpg1252\deff0\deflang11274{\fonttbl{\f0\fnil\fcharset0 MS Sans Serif}} \viewkind4\uc1\pard\f0\fs16 CARCAZA PORTATERMOSTATO FORD KA 1.6 ROCAM\par } "</f>
        <v xml:space="preserve">{\rtf1\ansi\ansicpg1252\deff0\deflang11274{\fonttbl{\f0\fnil\fcharset0 MS Sans Serif}} \viewkind4\uc1\pard\f0\fs16 CARCAZA PORTATERMOSTATO FORD KA 1.6 ROCAM\par } </v>
      </c>
      <c r="AM535" t="str">
        <f>"-"</f>
        <v>-</v>
      </c>
    </row>
    <row r="536" spans="1:39" x14ac:dyDescent="0.25">
      <c r="A536" t="str">
        <f>"CFP1815"</f>
        <v>CFP1815</v>
      </c>
      <c r="B536" t="str">
        <f>"CARCAZA PORTATERMOSTATO FORD ZETEC (INCLUYE TERMOSTATO)"</f>
        <v>CARCAZA PORTATERMOSTATO FORD ZETEC (INCLUYE TERMOSTATO)</v>
      </c>
      <c r="C536" t="str">
        <f>"$ 40869,41"</f>
        <v>$ 40869,41</v>
      </c>
      <c r="D536" t="str">
        <f>"$ 40869,41"</f>
        <v>$ 40869,41</v>
      </c>
      <c r="E536" t="str">
        <f>"$ 40869,41"</f>
        <v>$ 40869,41</v>
      </c>
      <c r="F536" t="str">
        <f>"$ 40869,41"</f>
        <v>$ 40869,41</v>
      </c>
      <c r="G536" t="str">
        <f>"$ 40869,41"</f>
        <v>$ 40869,41</v>
      </c>
      <c r="H536" t="str">
        <f t="shared" si="354"/>
        <v>$ 0,00</v>
      </c>
      <c r="I536" t="str">
        <f t="shared" si="373"/>
        <v>CARCASA PORTATERMOSTATO</v>
      </c>
      <c r="J536" t="str">
        <f t="shared" si="355"/>
        <v>1</v>
      </c>
      <c r="K536" t="str">
        <f t="shared" si="379"/>
        <v>0</v>
      </c>
      <c r="L536" t="str">
        <f>"0,000"</f>
        <v>0,000</v>
      </c>
      <c r="M536" t="str">
        <f t="shared" si="356"/>
        <v xml:space="preserve"> </v>
      </c>
      <c r="N536" t="str">
        <f t="shared" si="380"/>
        <v>OSSCA</v>
      </c>
      <c r="O536" t="str">
        <f t="shared" si="374"/>
        <v>TERMOSTATO</v>
      </c>
      <c r="P536" t="str">
        <f t="shared" si="375"/>
        <v>0</v>
      </c>
      <c r="Q536" t="str">
        <f t="shared" si="375"/>
        <v>0</v>
      </c>
      <c r="R536" t="str">
        <f t="shared" si="376"/>
        <v>0,00</v>
      </c>
      <c r="S536" t="str">
        <f t="shared" si="376"/>
        <v>0,00</v>
      </c>
      <c r="T536" t="str">
        <f t="shared" si="378"/>
        <v xml:space="preserve"> </v>
      </c>
      <c r="U536" t="str">
        <f t="shared" si="338"/>
        <v xml:space="preserve"> </v>
      </c>
      <c r="V536" t="str">
        <f>"0,000"</f>
        <v>0,000</v>
      </c>
      <c r="W536" t="str">
        <f t="shared" si="357"/>
        <v>Lista 4</v>
      </c>
      <c r="X536" t="str">
        <f t="shared" si="358"/>
        <v>Lista 5</v>
      </c>
      <c r="Y536" t="str">
        <f t="shared" si="359"/>
        <v>Oferta Gral.</v>
      </c>
      <c r="Z536" t="str">
        <f t="shared" si="360"/>
        <v>Rubro</v>
      </c>
      <c r="AA536" t="str">
        <f t="shared" si="361"/>
        <v>Cantidad por Bulto</v>
      </c>
      <c r="AB536" t="str">
        <f t="shared" si="362"/>
        <v>INNER</v>
      </c>
      <c r="AC536" t="str">
        <f t="shared" si="363"/>
        <v>Stock en Bultos</v>
      </c>
      <c r="AD536" t="str">
        <f t="shared" si="364"/>
        <v>SubDepósito</v>
      </c>
      <c r="AE536" t="str">
        <f t="shared" si="365"/>
        <v>Marca</v>
      </c>
      <c r="AF536" t="str">
        <f t="shared" si="366"/>
        <v>Super Rubro</v>
      </c>
      <c r="AG536" t="str">
        <f t="shared" si="367"/>
        <v>ComercioExterior</v>
      </c>
      <c r="AH536" t="str">
        <f t="shared" si="368"/>
        <v>PrecioFOB</v>
      </c>
      <c r="AI536" t="str">
        <f t="shared" si="369"/>
        <v>Monto II</v>
      </c>
      <c r="AJ536" t="str">
        <f t="shared" si="370"/>
        <v>Porcentaje II</v>
      </c>
      <c r="AK536" t="str">
        <f t="shared" si="371"/>
        <v>Foto</v>
      </c>
      <c r="AL536" t="str">
        <f>"{\rtf1\ansi\ansicpg1252\deff0\deflang11274{\fonttbl{\f0\fnil\fcharset0 MS Sans Serif}} \viewkind4\uc1\pard\f0\fs16 CARCAZA PORTATERMOSTATO FORD ZETEC (INCLUYE TERMOSTATO)\par } "</f>
        <v xml:space="preserve">{\rtf1\ansi\ansicpg1252\deff0\deflang11274{\fonttbl{\f0\fnil\fcharset0 MS Sans Serif}} \viewkind4\uc1\pard\f0\fs16 CARCAZA PORTATERMOSTATO FORD ZETEC (INCLUYE TERMOSTATO)\par } </v>
      </c>
      <c r="AM536" t="str">
        <f>" "</f>
        <v xml:space="preserve"> </v>
      </c>
    </row>
    <row r="537" spans="1:39" x14ac:dyDescent="0.25">
      <c r="A537" t="str">
        <f>"CCP1596"</f>
        <v>CCP1596</v>
      </c>
      <c r="B537" t="str">
        <f>"CARCAZA PORTATERMOSTATO PEUGEOT/CITROEN TU3JP"</f>
        <v>CARCAZA PORTATERMOSTATO PEUGEOT/CITROEN TU3JP</v>
      </c>
      <c r="C537" t="str">
        <f>"$ 35496,52"</f>
        <v>$ 35496,52</v>
      </c>
      <c r="D537" t="str">
        <f>"$ 35496,52"</f>
        <v>$ 35496,52</v>
      </c>
      <c r="E537" t="str">
        <f>"$ 35496,52"</f>
        <v>$ 35496,52</v>
      </c>
      <c r="F537" t="str">
        <f>"$ 35496,52"</f>
        <v>$ 35496,52</v>
      </c>
      <c r="G537" t="str">
        <f>"$ 35496,52"</f>
        <v>$ 35496,52</v>
      </c>
      <c r="H537" t="str">
        <f t="shared" si="354"/>
        <v>$ 0,00</v>
      </c>
      <c r="I537" t="str">
        <f t="shared" si="373"/>
        <v>CARCASA PORTATERMOSTATO</v>
      </c>
      <c r="J537" t="str">
        <f t="shared" si="355"/>
        <v>1</v>
      </c>
      <c r="K537" t="str">
        <f t="shared" si="379"/>
        <v>0</v>
      </c>
      <c r="L537" t="str">
        <f>"3,000"</f>
        <v>3,000</v>
      </c>
      <c r="M537" t="str">
        <f t="shared" si="356"/>
        <v xml:space="preserve"> </v>
      </c>
      <c r="N537" t="str">
        <f t="shared" si="380"/>
        <v>OSSCA</v>
      </c>
      <c r="O537" t="str">
        <f t="shared" si="374"/>
        <v>TERMOSTATO</v>
      </c>
      <c r="P537" t="str">
        <f t="shared" si="375"/>
        <v>0</v>
      </c>
      <c r="Q537" t="str">
        <f t="shared" si="375"/>
        <v>0</v>
      </c>
      <c r="R537" t="str">
        <f t="shared" si="376"/>
        <v>0,00</v>
      </c>
      <c r="S537" t="str">
        <f t="shared" si="376"/>
        <v>0,00</v>
      </c>
      <c r="T537" t="str">
        <f t="shared" si="378"/>
        <v xml:space="preserve"> </v>
      </c>
      <c r="U537" t="str">
        <f t="shared" si="338"/>
        <v xml:space="preserve"> </v>
      </c>
      <c r="V537" t="str">
        <f>"3,000"</f>
        <v>3,000</v>
      </c>
      <c r="W537" t="str">
        <f t="shared" si="357"/>
        <v>Lista 4</v>
      </c>
      <c r="X537" t="str">
        <f t="shared" si="358"/>
        <v>Lista 5</v>
      </c>
      <c r="Y537" t="str">
        <f t="shared" si="359"/>
        <v>Oferta Gral.</v>
      </c>
      <c r="Z537" t="str">
        <f t="shared" si="360"/>
        <v>Rubro</v>
      </c>
      <c r="AA537" t="str">
        <f t="shared" si="361"/>
        <v>Cantidad por Bulto</v>
      </c>
      <c r="AB537" t="str">
        <f t="shared" si="362"/>
        <v>INNER</v>
      </c>
      <c r="AC537" t="str">
        <f t="shared" si="363"/>
        <v>Stock en Bultos</v>
      </c>
      <c r="AD537" t="str">
        <f t="shared" si="364"/>
        <v>SubDepósito</v>
      </c>
      <c r="AE537" t="str">
        <f t="shared" si="365"/>
        <v>Marca</v>
      </c>
      <c r="AF537" t="str">
        <f t="shared" si="366"/>
        <v>Super Rubro</v>
      </c>
      <c r="AG537" t="str">
        <f t="shared" si="367"/>
        <v>ComercioExterior</v>
      </c>
      <c r="AH537" t="str">
        <f t="shared" si="368"/>
        <v>PrecioFOB</v>
      </c>
      <c r="AI537" t="str">
        <f t="shared" si="369"/>
        <v>Monto II</v>
      </c>
      <c r="AJ537" t="str">
        <f t="shared" si="370"/>
        <v>Porcentaje II</v>
      </c>
      <c r="AK537" t="str">
        <f t="shared" si="371"/>
        <v>Foto</v>
      </c>
      <c r="AL537" t="str">
        <f>"{\rtf1\ansi\ansicpg1252\deff0\deflang11274{\fonttbl{\f0\fnil\fcharset0 MS Sans Serif}} \viewkind4\uc1\pard\f0\fs16 CARCAZA PORTATERMOSTATO PEUGEOT/CITROEN TU3JP\par } "</f>
        <v xml:space="preserve">{\rtf1\ansi\ansicpg1252\deff0\deflang11274{\fonttbl{\f0\fnil\fcharset0 MS Sans Serif}} \viewkind4\uc1\pard\f0\fs16 CARCAZA PORTATERMOSTATO PEUGEOT/CITROEN TU3JP\par } </v>
      </c>
      <c r="AM537" t="str">
        <f>"-"</f>
        <v>-</v>
      </c>
    </row>
    <row r="538" spans="1:39" x14ac:dyDescent="0.25">
      <c r="A538" t="str">
        <f>"CWP11AB"</f>
        <v>CWP11AB</v>
      </c>
      <c r="B538" t="str">
        <f>"CARCAZA PORTATERMOSTATO VW AMAROK 2.0 TDI"</f>
        <v>CARCAZA PORTATERMOSTATO VW AMAROK 2.0 TDI</v>
      </c>
      <c r="C538" t="str">
        <f>"$ 38935,22"</f>
        <v>$ 38935,22</v>
      </c>
      <c r="D538" t="str">
        <f>"$ 38935,22"</f>
        <v>$ 38935,22</v>
      </c>
      <c r="E538" t="str">
        <f>"$ 38935,22"</f>
        <v>$ 38935,22</v>
      </c>
      <c r="F538" t="str">
        <f>"$ 38935,22"</f>
        <v>$ 38935,22</v>
      </c>
      <c r="G538" t="str">
        <f>"$ 38935,22"</f>
        <v>$ 38935,22</v>
      </c>
      <c r="H538" t="str">
        <f t="shared" si="354"/>
        <v>$ 0,00</v>
      </c>
      <c r="I538" t="str">
        <f t="shared" si="373"/>
        <v>CARCASA PORTATERMOSTATO</v>
      </c>
      <c r="J538" t="str">
        <f t="shared" si="355"/>
        <v>1</v>
      </c>
      <c r="K538" t="str">
        <f t="shared" si="379"/>
        <v>0</v>
      </c>
      <c r="L538" t="str">
        <f>"8,000"</f>
        <v>8,000</v>
      </c>
      <c r="M538" t="str">
        <f t="shared" si="356"/>
        <v xml:space="preserve"> </v>
      </c>
      <c r="N538" t="str">
        <f t="shared" si="380"/>
        <v>OSSCA</v>
      </c>
      <c r="O538" t="str">
        <f t="shared" si="374"/>
        <v>TERMOSTATO</v>
      </c>
      <c r="P538" t="str">
        <f t="shared" si="375"/>
        <v>0</v>
      </c>
      <c r="Q538" t="str">
        <f t="shared" si="375"/>
        <v>0</v>
      </c>
      <c r="R538" t="str">
        <f t="shared" si="376"/>
        <v>0,00</v>
      </c>
      <c r="S538" t="str">
        <f t="shared" si="376"/>
        <v>0,00</v>
      </c>
      <c r="T538" t="str">
        <f t="shared" si="378"/>
        <v xml:space="preserve"> </v>
      </c>
      <c r="U538" t="str">
        <f t="shared" si="338"/>
        <v xml:space="preserve"> </v>
      </c>
      <c r="V538" t="str">
        <f>"8,000"</f>
        <v>8,000</v>
      </c>
      <c r="W538" t="str">
        <f t="shared" si="357"/>
        <v>Lista 4</v>
      </c>
      <c r="X538" t="str">
        <f t="shared" si="358"/>
        <v>Lista 5</v>
      </c>
      <c r="Y538" t="str">
        <f t="shared" si="359"/>
        <v>Oferta Gral.</v>
      </c>
      <c r="Z538" t="str">
        <f t="shared" si="360"/>
        <v>Rubro</v>
      </c>
      <c r="AA538" t="str">
        <f t="shared" si="361"/>
        <v>Cantidad por Bulto</v>
      </c>
      <c r="AB538" t="str">
        <f t="shared" si="362"/>
        <v>INNER</v>
      </c>
      <c r="AC538" t="str">
        <f t="shared" si="363"/>
        <v>Stock en Bultos</v>
      </c>
      <c r="AD538" t="str">
        <f t="shared" si="364"/>
        <v>SubDepósito</v>
      </c>
      <c r="AE538" t="str">
        <f t="shared" si="365"/>
        <v>Marca</v>
      </c>
      <c r="AF538" t="str">
        <f t="shared" si="366"/>
        <v>Super Rubro</v>
      </c>
      <c r="AG538" t="str">
        <f t="shared" si="367"/>
        <v>ComercioExterior</v>
      </c>
      <c r="AH538" t="str">
        <f t="shared" si="368"/>
        <v>PrecioFOB</v>
      </c>
      <c r="AI538" t="str">
        <f t="shared" si="369"/>
        <v>Monto II</v>
      </c>
      <c r="AJ538" t="str">
        <f t="shared" si="370"/>
        <v>Porcentaje II</v>
      </c>
      <c r="AK538" t="str">
        <f t="shared" si="371"/>
        <v>Foto</v>
      </c>
      <c r="AL538" t="str">
        <f>"{\rtf1\ansi\ansicpg1252\deff0\deflang11274{\fonttbl{\f0\fnil\fcharset0 MS Sans Serif}} \viewkind4\uc1\pard\f0\fs16 CARCAZA PORTATERMOSTATO VW AMAROK 2.0 TDI\par } "</f>
        <v xml:space="preserve">{\rtf1\ansi\ansicpg1252\deff0\deflang11274{\fonttbl{\f0\fnil\fcharset0 MS Sans Serif}} \viewkind4\uc1\pard\f0\fs16 CARCAZA PORTATERMOSTATO VW AMAROK 2.0 TDI\par } </v>
      </c>
      <c r="AM538" t="str">
        <f>"-"</f>
        <v>-</v>
      </c>
    </row>
    <row r="539" spans="1:39" x14ac:dyDescent="0.25">
      <c r="A539" t="str">
        <f>"CWA1601"</f>
        <v>CWA1601</v>
      </c>
      <c r="B539" t="str">
        <f>"CARCAZA PORTATERMOSTATO VW FOX SURAN GOL TREND ALUMINIO 032121111AP"</f>
        <v>CARCAZA PORTATERMOSTATO VW FOX SURAN GOL TREND ALUMINIO 032121111AP</v>
      </c>
      <c r="C539" t="str">
        <f>"$ 95745,90"</f>
        <v>$ 95745,90</v>
      </c>
      <c r="D539" t="str">
        <f>"$ 95745,90"</f>
        <v>$ 95745,90</v>
      </c>
      <c r="E539" t="str">
        <f>"$ 95745,90"</f>
        <v>$ 95745,90</v>
      </c>
      <c r="F539" t="str">
        <f>"$ 95745,90"</f>
        <v>$ 95745,90</v>
      </c>
      <c r="G539" t="str">
        <f>"$ 95745,90"</f>
        <v>$ 95745,90</v>
      </c>
      <c r="H539" t="str">
        <f t="shared" si="354"/>
        <v>$ 0,00</v>
      </c>
      <c r="I539" t="str">
        <f t="shared" si="373"/>
        <v>CARCASA PORTATERMOSTATO</v>
      </c>
      <c r="J539" t="str">
        <f t="shared" si="355"/>
        <v>1</v>
      </c>
      <c r="K539" t="str">
        <f t="shared" si="379"/>
        <v>0</v>
      </c>
      <c r="L539" t="str">
        <f>"1,000"</f>
        <v>1,000</v>
      </c>
      <c r="M539" t="str">
        <f t="shared" si="356"/>
        <v xml:space="preserve"> </v>
      </c>
      <c r="N539" t="str">
        <f t="shared" si="380"/>
        <v>OSSCA</v>
      </c>
      <c r="O539" t="str">
        <f t="shared" si="374"/>
        <v>TERMOSTATO</v>
      </c>
      <c r="P539" t="str">
        <f t="shared" si="375"/>
        <v>0</v>
      </c>
      <c r="Q539" t="str">
        <f t="shared" si="375"/>
        <v>0</v>
      </c>
      <c r="R539" t="str">
        <f t="shared" si="376"/>
        <v>0,00</v>
      </c>
      <c r="S539" t="str">
        <f t="shared" si="376"/>
        <v>0,00</v>
      </c>
      <c r="T539" t="str">
        <f t="shared" si="378"/>
        <v xml:space="preserve"> </v>
      </c>
      <c r="U539" t="str">
        <f t="shared" si="338"/>
        <v xml:space="preserve"> </v>
      </c>
      <c r="V539" t="str">
        <f>"1,000"</f>
        <v>1,000</v>
      </c>
      <c r="W539" t="str">
        <f t="shared" si="357"/>
        <v>Lista 4</v>
      </c>
      <c r="X539" t="str">
        <f t="shared" si="358"/>
        <v>Lista 5</v>
      </c>
      <c r="Y539" t="str">
        <f t="shared" si="359"/>
        <v>Oferta Gral.</v>
      </c>
      <c r="Z539" t="str">
        <f t="shared" si="360"/>
        <v>Rubro</v>
      </c>
      <c r="AA539" t="str">
        <f t="shared" si="361"/>
        <v>Cantidad por Bulto</v>
      </c>
      <c r="AB539" t="str">
        <f t="shared" si="362"/>
        <v>INNER</v>
      </c>
      <c r="AC539" t="str">
        <f t="shared" si="363"/>
        <v>Stock en Bultos</v>
      </c>
      <c r="AD539" t="str">
        <f t="shared" si="364"/>
        <v>SubDepósito</v>
      </c>
      <c r="AE539" t="str">
        <f t="shared" si="365"/>
        <v>Marca</v>
      </c>
      <c r="AF539" t="str">
        <f t="shared" si="366"/>
        <v>Super Rubro</v>
      </c>
      <c r="AG539" t="str">
        <f t="shared" si="367"/>
        <v>ComercioExterior</v>
      </c>
      <c r="AH539" t="str">
        <f t="shared" si="368"/>
        <v>PrecioFOB</v>
      </c>
      <c r="AI539" t="str">
        <f t="shared" si="369"/>
        <v>Monto II</v>
      </c>
      <c r="AJ539" t="str">
        <f t="shared" si="370"/>
        <v>Porcentaje II</v>
      </c>
      <c r="AK539" t="str">
        <f t="shared" si="371"/>
        <v>Foto</v>
      </c>
      <c r="AL539" t="str">
        <f>"{\rtf1\ansi\ansicpg1252\deff0\deflang11274{\fonttbl{\f0\fnil\fcharset0 MS Sans Serif}} \viewkind4\uc1\pard\f0\fs16 CARCAZA PORTATERMOSTATO VW FOX SURAN GOL TREND ALUMINIO 032121111AP\par } "</f>
        <v xml:space="preserve">{\rtf1\ansi\ansicpg1252\deff0\deflang11274{\fonttbl{\f0\fnil\fcharset0 MS Sans Serif}} \viewkind4\uc1\pard\f0\fs16 CARCAZA PORTATERMOSTATO VW FOX SURAN GOL TREND ALUMINIO 032121111AP\par } </v>
      </c>
      <c r="AM539" t="str">
        <f>"-"</f>
        <v>-</v>
      </c>
    </row>
    <row r="540" spans="1:39" x14ac:dyDescent="0.25">
      <c r="A540" t="str">
        <f>"CWP1601"</f>
        <v>CWP1601</v>
      </c>
      <c r="B540" t="str">
        <f>"CARCAZA PORTATERMOSTATO VW FOX SURAN GOL TREND PLASTICO 032121111BJ"</f>
        <v>CARCAZA PORTATERMOSTATO VW FOX SURAN GOL TREND PLASTICO 032121111BJ</v>
      </c>
      <c r="C540" t="str">
        <f>"$ 33588,33"</f>
        <v>$ 33588,33</v>
      </c>
      <c r="D540" t="str">
        <f>"$ 33588,33"</f>
        <v>$ 33588,33</v>
      </c>
      <c r="E540" t="str">
        <f>"$ 33588,33"</f>
        <v>$ 33588,33</v>
      </c>
      <c r="F540" t="str">
        <f>"$ 33588,33"</f>
        <v>$ 33588,33</v>
      </c>
      <c r="G540" t="str">
        <f>"$ 33588,33"</f>
        <v>$ 33588,33</v>
      </c>
      <c r="H540" t="str">
        <f t="shared" si="354"/>
        <v>$ 0,00</v>
      </c>
      <c r="I540" t="str">
        <f t="shared" si="373"/>
        <v>CARCASA PORTATERMOSTATO</v>
      </c>
      <c r="J540" t="str">
        <f t="shared" si="355"/>
        <v>1</v>
      </c>
      <c r="K540" t="str">
        <f t="shared" si="379"/>
        <v>0</v>
      </c>
      <c r="L540" t="str">
        <f>"41,000"</f>
        <v>41,000</v>
      </c>
      <c r="M540" t="str">
        <f t="shared" si="356"/>
        <v xml:space="preserve"> </v>
      </c>
      <c r="N540" t="str">
        <f t="shared" si="380"/>
        <v>OSSCA</v>
      </c>
      <c r="O540" t="str">
        <f t="shared" si="374"/>
        <v>TERMOSTATO</v>
      </c>
      <c r="P540" t="str">
        <f t="shared" si="375"/>
        <v>0</v>
      </c>
      <c r="Q540" t="str">
        <f t="shared" si="375"/>
        <v>0</v>
      </c>
      <c r="R540" t="str">
        <f t="shared" si="376"/>
        <v>0,00</v>
      </c>
      <c r="S540" t="str">
        <f t="shared" si="376"/>
        <v>0,00</v>
      </c>
      <c r="T540" t="str">
        <f t="shared" si="378"/>
        <v xml:space="preserve"> </v>
      </c>
      <c r="U540" t="str">
        <f t="shared" si="338"/>
        <v xml:space="preserve"> </v>
      </c>
      <c r="V540" t="str">
        <f>"41,000"</f>
        <v>41,000</v>
      </c>
      <c r="W540" t="str">
        <f t="shared" si="357"/>
        <v>Lista 4</v>
      </c>
      <c r="X540" t="str">
        <f t="shared" si="358"/>
        <v>Lista 5</v>
      </c>
      <c r="Y540" t="str">
        <f t="shared" si="359"/>
        <v>Oferta Gral.</v>
      </c>
      <c r="Z540" t="str">
        <f t="shared" si="360"/>
        <v>Rubro</v>
      </c>
      <c r="AA540" t="str">
        <f t="shared" si="361"/>
        <v>Cantidad por Bulto</v>
      </c>
      <c r="AB540" t="str">
        <f t="shared" si="362"/>
        <v>INNER</v>
      </c>
      <c r="AC540" t="str">
        <f t="shared" si="363"/>
        <v>Stock en Bultos</v>
      </c>
      <c r="AD540" t="str">
        <f t="shared" si="364"/>
        <v>SubDepósito</v>
      </c>
      <c r="AE540" t="str">
        <f t="shared" si="365"/>
        <v>Marca</v>
      </c>
      <c r="AF540" t="str">
        <f t="shared" si="366"/>
        <v>Super Rubro</v>
      </c>
      <c r="AG540" t="str">
        <f t="shared" si="367"/>
        <v>ComercioExterior</v>
      </c>
      <c r="AH540" t="str">
        <f t="shared" si="368"/>
        <v>PrecioFOB</v>
      </c>
      <c r="AI540" t="str">
        <f t="shared" si="369"/>
        <v>Monto II</v>
      </c>
      <c r="AJ540" t="str">
        <f t="shared" si="370"/>
        <v>Porcentaje II</v>
      </c>
      <c r="AK540" t="str">
        <f t="shared" si="371"/>
        <v>Foto</v>
      </c>
      <c r="AL540" t="str">
        <f>"{\rtf1\ansi\ansicpg1252\deff0\deflang11274{\fonttbl{\f0\fnil\fcharset0 MS Sans Serif}} \viewkind4\uc1\pard\f0\fs16 CARCAZA PORTATERMOSTATO VW FOX SURAN GOL TREND PLASTICO 032121111BJ\par } "</f>
        <v xml:space="preserve">{\rtf1\ansi\ansicpg1252\deff0\deflang11274{\fonttbl{\f0\fnil\fcharset0 MS Sans Serif}} \viewkind4\uc1\pard\f0\fs16 CARCAZA PORTATERMOSTATO VW FOX SURAN GOL TREND PLASTICO 032121111BJ\par } </v>
      </c>
      <c r="AM540" t="str">
        <f>" "</f>
        <v xml:space="preserve"> </v>
      </c>
    </row>
    <row r="541" spans="1:39" x14ac:dyDescent="0.25">
      <c r="A541" t="str">
        <f>"CWP116C"</f>
        <v>CWP116C</v>
      </c>
      <c r="B541" t="str">
        <f>"CARCAZA PORTATERMOSTATO VW SURAN FOX GOL TREND MOTOR MSI"</f>
        <v>CARCAZA PORTATERMOSTATO VW SURAN FOX GOL TREND MOTOR MSI</v>
      </c>
      <c r="C541" t="str">
        <f>"$ 77646,31"</f>
        <v>$ 77646,31</v>
      </c>
      <c r="D541" t="str">
        <f>"$ 77646,31"</f>
        <v>$ 77646,31</v>
      </c>
      <c r="E541" t="str">
        <f>"$ 77646,31"</f>
        <v>$ 77646,31</v>
      </c>
      <c r="F541" t="str">
        <f>"$ 77646,31"</f>
        <v>$ 77646,31</v>
      </c>
      <c r="G541" t="str">
        <f>"$ 77646,31"</f>
        <v>$ 77646,31</v>
      </c>
      <c r="H541" t="str">
        <f t="shared" si="354"/>
        <v>$ 0,00</v>
      </c>
      <c r="I541" t="str">
        <f t="shared" si="373"/>
        <v>CARCASA PORTATERMOSTATO</v>
      </c>
      <c r="J541" t="str">
        <f t="shared" si="355"/>
        <v>1</v>
      </c>
      <c r="K541" t="str">
        <f t="shared" si="379"/>
        <v>0</v>
      </c>
      <c r="L541" t="str">
        <f>"18,000"</f>
        <v>18,000</v>
      </c>
      <c r="M541" t="str">
        <f t="shared" si="356"/>
        <v xml:space="preserve"> </v>
      </c>
      <c r="N541" t="str">
        <f t="shared" si="380"/>
        <v>OSSCA</v>
      </c>
      <c r="O541" t="str">
        <f t="shared" si="374"/>
        <v>TERMOSTATO</v>
      </c>
      <c r="P541" t="str">
        <f t="shared" si="375"/>
        <v>0</v>
      </c>
      <c r="Q541" t="str">
        <f t="shared" si="375"/>
        <v>0</v>
      </c>
      <c r="R541" t="str">
        <f t="shared" si="376"/>
        <v>0,00</v>
      </c>
      <c r="S541" t="str">
        <f t="shared" si="376"/>
        <v>0,00</v>
      </c>
      <c r="T541" t="str">
        <f t="shared" si="378"/>
        <v xml:space="preserve"> </v>
      </c>
      <c r="U541" t="str">
        <f t="shared" ref="U541:U548" si="381">" "</f>
        <v xml:space="preserve"> </v>
      </c>
      <c r="V541" t="str">
        <f>"18,000"</f>
        <v>18,000</v>
      </c>
      <c r="W541" t="str">
        <f t="shared" si="357"/>
        <v>Lista 4</v>
      </c>
      <c r="X541" t="str">
        <f t="shared" si="358"/>
        <v>Lista 5</v>
      </c>
      <c r="Y541" t="str">
        <f t="shared" si="359"/>
        <v>Oferta Gral.</v>
      </c>
      <c r="Z541" t="str">
        <f t="shared" si="360"/>
        <v>Rubro</v>
      </c>
      <c r="AA541" t="str">
        <f t="shared" si="361"/>
        <v>Cantidad por Bulto</v>
      </c>
      <c r="AB541" t="str">
        <f t="shared" si="362"/>
        <v>INNER</v>
      </c>
      <c r="AC541" t="str">
        <f t="shared" si="363"/>
        <v>Stock en Bultos</v>
      </c>
      <c r="AD541" t="str">
        <f t="shared" si="364"/>
        <v>SubDepósito</v>
      </c>
      <c r="AE541" t="str">
        <f t="shared" si="365"/>
        <v>Marca</v>
      </c>
      <c r="AF541" t="str">
        <f t="shared" si="366"/>
        <v>Super Rubro</v>
      </c>
      <c r="AG541" t="str">
        <f t="shared" si="367"/>
        <v>ComercioExterior</v>
      </c>
      <c r="AH541" t="str">
        <f t="shared" si="368"/>
        <v>PrecioFOB</v>
      </c>
      <c r="AI541" t="str">
        <f t="shared" si="369"/>
        <v>Monto II</v>
      </c>
      <c r="AJ541" t="str">
        <f t="shared" si="370"/>
        <v>Porcentaje II</v>
      </c>
      <c r="AK541" t="str">
        <f t="shared" si="371"/>
        <v>Foto</v>
      </c>
      <c r="AL541" t="str">
        <f>"{\rtf1\ansi\ansicpg1252\deff0\deflang11274{\fonttbl{\f0\fnil\fcharset0 MS Sans Serif}} \viewkind4\uc1\pard\f0\fs16 CARCAZA PORTATERMOSTATO VW SURAN FOX GOL TREND MOTOR MSI\par } "</f>
        <v xml:space="preserve">{\rtf1\ansi\ansicpg1252\deff0\deflang11274{\fonttbl{\f0\fnil\fcharset0 MS Sans Serif}} \viewkind4\uc1\pard\f0\fs16 CARCAZA PORTATERMOSTATO VW SURAN FOX GOL TREND MOTOR MSI\par } </v>
      </c>
      <c r="AM541" t="str">
        <f>"-"</f>
        <v>-</v>
      </c>
    </row>
    <row r="542" spans="1:39" x14ac:dyDescent="0.25">
      <c r="A542" t="str">
        <f>"MAF016"</f>
        <v>MAF016</v>
      </c>
      <c r="B542" t="str">
        <f>"CAUDALIMETRO SENSOR MAF RENAULT MAGANE 7700109812"</f>
        <v>CAUDALIMETRO SENSOR MAF RENAULT MAGANE 7700109812</v>
      </c>
      <c r="C542" t="str">
        <f>"$ 102096,71"</f>
        <v>$ 102096,71</v>
      </c>
      <c r="D542" t="str">
        <f>"$ 102096,71"</f>
        <v>$ 102096,71</v>
      </c>
      <c r="E542" t="str">
        <f>"$ 102096,71"</f>
        <v>$ 102096,71</v>
      </c>
      <c r="F542" t="str">
        <f>"$ 102096,71"</f>
        <v>$ 102096,71</v>
      </c>
      <c r="G542" t="str">
        <f>"$ 102096,71"</f>
        <v>$ 102096,71</v>
      </c>
      <c r="H542" t="str">
        <f t="shared" si="354"/>
        <v>$ 0,00</v>
      </c>
      <c r="I542" t="str">
        <f>"SENSOR MASA AIRE"</f>
        <v>SENSOR MASA AIRE</v>
      </c>
      <c r="J542" t="str">
        <f t="shared" si="355"/>
        <v>1</v>
      </c>
      <c r="K542" t="str">
        <f t="shared" si="379"/>
        <v>0</v>
      </c>
      <c r="L542" t="str">
        <f>"4,000"</f>
        <v>4,000</v>
      </c>
      <c r="M542" t="str">
        <f t="shared" si="356"/>
        <v xml:space="preserve"> </v>
      </c>
      <c r="N542" t="str">
        <f>"FISPA"</f>
        <v>FISPA</v>
      </c>
      <c r="O542" t="str">
        <f>"SENSORES"</f>
        <v>SENSORES</v>
      </c>
      <c r="P542" t="str">
        <f t="shared" si="375"/>
        <v>0</v>
      </c>
      <c r="Q542" t="str">
        <f t="shared" si="375"/>
        <v>0</v>
      </c>
      <c r="R542" t="str">
        <f t="shared" si="376"/>
        <v>0,00</v>
      </c>
      <c r="S542" t="str">
        <f t="shared" si="376"/>
        <v>0,00</v>
      </c>
      <c r="T542" t="str">
        <f t="shared" si="378"/>
        <v xml:space="preserve"> </v>
      </c>
      <c r="U542" t="str">
        <f t="shared" si="381"/>
        <v xml:space="preserve"> </v>
      </c>
      <c r="V542" t="str">
        <f>"4,000"</f>
        <v>4,000</v>
      </c>
      <c r="W542" t="str">
        <f t="shared" si="357"/>
        <v>Lista 4</v>
      </c>
      <c r="X542" t="str">
        <f t="shared" si="358"/>
        <v>Lista 5</v>
      </c>
      <c r="Y542" t="str">
        <f t="shared" si="359"/>
        <v>Oferta Gral.</v>
      </c>
      <c r="Z542" t="str">
        <f t="shared" si="360"/>
        <v>Rubro</v>
      </c>
      <c r="AA542" t="str">
        <f t="shared" si="361"/>
        <v>Cantidad por Bulto</v>
      </c>
      <c r="AB542" t="str">
        <f t="shared" si="362"/>
        <v>INNER</v>
      </c>
      <c r="AC542" t="str">
        <f t="shared" si="363"/>
        <v>Stock en Bultos</v>
      </c>
      <c r="AD542" t="str">
        <f t="shared" si="364"/>
        <v>SubDepósito</v>
      </c>
      <c r="AE542" t="str">
        <f t="shared" si="365"/>
        <v>Marca</v>
      </c>
      <c r="AF542" t="str">
        <f t="shared" si="366"/>
        <v>Super Rubro</v>
      </c>
      <c r="AG542" t="str">
        <f t="shared" si="367"/>
        <v>ComercioExterior</v>
      </c>
      <c r="AH542" t="str">
        <f t="shared" si="368"/>
        <v>PrecioFOB</v>
      </c>
      <c r="AI542" t="str">
        <f t="shared" si="369"/>
        <v>Monto II</v>
      </c>
      <c r="AJ542" t="str">
        <f t="shared" si="370"/>
        <v>Porcentaje II</v>
      </c>
      <c r="AK542" t="str">
        <f t="shared" si="371"/>
        <v>Foto</v>
      </c>
      <c r="AL54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42" t="str">
        <f>" "</f>
        <v xml:space="preserve"> </v>
      </c>
    </row>
    <row r="543" spans="1:39" x14ac:dyDescent="0.25">
      <c r="A543" t="str">
        <f>"MAF015"</f>
        <v>MAF015</v>
      </c>
      <c r="B543" t="str">
        <f>"CAUDALIMETRO SENSOR MAF RENAULT MEGANE LAGUNA TD 7700105010"</f>
        <v>CAUDALIMETRO SENSOR MAF RENAULT MEGANE LAGUNA TD 7700105010</v>
      </c>
      <c r="C543" t="str">
        <f>"$ 119726,78"</f>
        <v>$ 119726,78</v>
      </c>
      <c r="D543" t="str">
        <f>"$ 119726,78"</f>
        <v>$ 119726,78</v>
      </c>
      <c r="E543" t="str">
        <f>"$ 119726,78"</f>
        <v>$ 119726,78</v>
      </c>
      <c r="F543" t="str">
        <f>"$ 119726,78"</f>
        <v>$ 119726,78</v>
      </c>
      <c r="G543" t="str">
        <f>"$ 119726,78"</f>
        <v>$ 119726,78</v>
      </c>
      <c r="H543" t="str">
        <f t="shared" si="354"/>
        <v>$ 0,00</v>
      </c>
      <c r="I543" t="str">
        <f>"SENSOR MASA AIRE"</f>
        <v>SENSOR MASA AIRE</v>
      </c>
      <c r="J543" t="str">
        <f t="shared" si="355"/>
        <v>1</v>
      </c>
      <c r="K543" t="str">
        <f t="shared" si="379"/>
        <v>0</v>
      </c>
      <c r="L543" t="str">
        <f>"4,000"</f>
        <v>4,000</v>
      </c>
      <c r="M543" t="str">
        <f t="shared" si="356"/>
        <v xml:space="preserve"> </v>
      </c>
      <c r="N543" t="str">
        <f>"FISPA"</f>
        <v>FISPA</v>
      </c>
      <c r="O543" t="str">
        <f>"SENSORES"</f>
        <v>SENSORES</v>
      </c>
      <c r="P543" t="str">
        <f t="shared" ref="P543:Q562" si="382">"0"</f>
        <v>0</v>
      </c>
      <c r="Q543" t="str">
        <f t="shared" si="382"/>
        <v>0</v>
      </c>
      <c r="R543" t="str">
        <f t="shared" ref="R543:S562" si="383">"0,00"</f>
        <v>0,00</v>
      </c>
      <c r="S543" t="str">
        <f t="shared" si="383"/>
        <v>0,00</v>
      </c>
      <c r="T543" t="str">
        <f t="shared" si="378"/>
        <v xml:space="preserve"> </v>
      </c>
      <c r="U543" t="str">
        <f t="shared" si="381"/>
        <v xml:space="preserve"> </v>
      </c>
      <c r="V543" t="str">
        <f>"4,000"</f>
        <v>4,000</v>
      </c>
      <c r="W543" t="str">
        <f t="shared" si="357"/>
        <v>Lista 4</v>
      </c>
      <c r="X543" t="str">
        <f t="shared" si="358"/>
        <v>Lista 5</v>
      </c>
      <c r="Y543" t="str">
        <f t="shared" si="359"/>
        <v>Oferta Gral.</v>
      </c>
      <c r="Z543" t="str">
        <f t="shared" si="360"/>
        <v>Rubro</v>
      </c>
      <c r="AA543" t="str">
        <f t="shared" si="361"/>
        <v>Cantidad por Bulto</v>
      </c>
      <c r="AB543" t="str">
        <f t="shared" si="362"/>
        <v>INNER</v>
      </c>
      <c r="AC543" t="str">
        <f t="shared" si="363"/>
        <v>Stock en Bultos</v>
      </c>
      <c r="AD543" t="str">
        <f t="shared" si="364"/>
        <v>SubDepósito</v>
      </c>
      <c r="AE543" t="str">
        <f t="shared" si="365"/>
        <v>Marca</v>
      </c>
      <c r="AF543" t="str">
        <f t="shared" si="366"/>
        <v>Super Rubro</v>
      </c>
      <c r="AG543" t="str">
        <f t="shared" si="367"/>
        <v>ComercioExterior</v>
      </c>
      <c r="AH543" t="str">
        <f t="shared" si="368"/>
        <v>PrecioFOB</v>
      </c>
      <c r="AI543" t="str">
        <f t="shared" si="369"/>
        <v>Monto II</v>
      </c>
      <c r="AJ543" t="str">
        <f t="shared" si="370"/>
        <v>Porcentaje II</v>
      </c>
      <c r="AK543" t="str">
        <f t="shared" si="371"/>
        <v>Foto</v>
      </c>
      <c r="AL54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43" t="str">
        <f>" "</f>
        <v xml:space="preserve"> </v>
      </c>
    </row>
    <row r="544" spans="1:39" x14ac:dyDescent="0.25">
      <c r="A544" t="str">
        <f>"20301"</f>
        <v>20301</v>
      </c>
      <c r="B544" t="str">
        <f>"CERRADURA IGNICION GOL DESDE 1995 EX DV5291"</f>
        <v>CERRADURA IGNICION GOL DESDE 1995 EX DV5291</v>
      </c>
      <c r="C544" t="str">
        <f>"$ 15034,55"</f>
        <v>$ 15034,55</v>
      </c>
      <c r="D544" t="str">
        <f>"$ 15034,55"</f>
        <v>$ 15034,55</v>
      </c>
      <c r="E544" t="str">
        <f>"$ 15034,55"</f>
        <v>$ 15034,55</v>
      </c>
      <c r="F544" t="str">
        <f>"$ 15034,55"</f>
        <v>$ 15034,55</v>
      </c>
      <c r="G544" t="str">
        <f>"$ 15034,55"</f>
        <v>$ 15034,55</v>
      </c>
      <c r="H544" t="str">
        <f t="shared" si="354"/>
        <v>$ 0,00</v>
      </c>
      <c r="I544" t="str">
        <f>"LLAVE CONTACTO-ARRANQUE"</f>
        <v>LLAVE CONTACTO-ARRANQUE</v>
      </c>
      <c r="J544" t="str">
        <f t="shared" si="355"/>
        <v>1</v>
      </c>
      <c r="K544" t="str">
        <f t="shared" si="379"/>
        <v>0</v>
      </c>
      <c r="L544" t="str">
        <f>"6,000"</f>
        <v>6,000</v>
      </c>
      <c r="M544" t="str">
        <f t="shared" si="356"/>
        <v xml:space="preserve"> </v>
      </c>
      <c r="N544" t="str">
        <f>"DIVAIO"</f>
        <v>DIVAIO</v>
      </c>
      <c r="O544" t="str">
        <f>"LLAVE"</f>
        <v>LLAVE</v>
      </c>
      <c r="P544" t="str">
        <f t="shared" si="382"/>
        <v>0</v>
      </c>
      <c r="Q544" t="str">
        <f t="shared" si="382"/>
        <v>0</v>
      </c>
      <c r="R544" t="str">
        <f t="shared" si="383"/>
        <v>0,00</v>
      </c>
      <c r="S544" t="str">
        <f t="shared" si="383"/>
        <v>0,00</v>
      </c>
      <c r="T544" t="str">
        <f t="shared" si="378"/>
        <v xml:space="preserve"> </v>
      </c>
      <c r="U544" t="str">
        <f t="shared" si="381"/>
        <v xml:space="preserve"> </v>
      </c>
      <c r="V544" t="str">
        <f>"6,000"</f>
        <v>6,000</v>
      </c>
      <c r="W544" t="str">
        <f t="shared" si="357"/>
        <v>Lista 4</v>
      </c>
      <c r="X544" t="str">
        <f t="shared" si="358"/>
        <v>Lista 5</v>
      </c>
      <c r="Y544" t="str">
        <f t="shared" si="359"/>
        <v>Oferta Gral.</v>
      </c>
      <c r="Z544" t="str">
        <f t="shared" si="360"/>
        <v>Rubro</v>
      </c>
      <c r="AA544" t="str">
        <f t="shared" si="361"/>
        <v>Cantidad por Bulto</v>
      </c>
      <c r="AB544" t="str">
        <f t="shared" si="362"/>
        <v>INNER</v>
      </c>
      <c r="AC544" t="str">
        <f t="shared" si="363"/>
        <v>Stock en Bultos</v>
      </c>
      <c r="AD544" t="str">
        <f t="shared" si="364"/>
        <v>SubDepósito</v>
      </c>
      <c r="AE544" t="str">
        <f t="shared" si="365"/>
        <v>Marca</v>
      </c>
      <c r="AF544" t="str">
        <f t="shared" si="366"/>
        <v>Super Rubro</v>
      </c>
      <c r="AG544" t="str">
        <f t="shared" si="367"/>
        <v>ComercioExterior</v>
      </c>
      <c r="AH544" t="str">
        <f t="shared" si="368"/>
        <v>PrecioFOB</v>
      </c>
      <c r="AI544" t="str">
        <f t="shared" si="369"/>
        <v>Monto II</v>
      </c>
      <c r="AJ544" t="str">
        <f t="shared" si="370"/>
        <v>Porcentaje II</v>
      </c>
      <c r="AK544" t="str">
        <f t="shared" si="371"/>
        <v>Foto</v>
      </c>
      <c r="AL544" t="str">
        <f>"{\rtf1\ansi\ansicpg1252\deff0\deflang11274{\fonttbl{\f0\fnil\fcharset0 MS Sans Serif}} \viewkind4\uc1\pard\f0\fs16 CERRADURA IGNICION GOL DESDE 1995 EX DV5291\par } "</f>
        <v xml:space="preserve">{\rtf1\ansi\ansicpg1252\deff0\deflang11274{\fonttbl{\f0\fnil\fcharset0 MS Sans Serif}} \viewkind4\uc1\pard\f0\fs16 CERRADURA IGNICION GOL DESDE 1995 EX DV5291\par } </v>
      </c>
      <c r="AM544" t="str">
        <f>" "</f>
        <v xml:space="preserve"> </v>
      </c>
    </row>
    <row r="545" spans="1:39" x14ac:dyDescent="0.25">
      <c r="A545" t="str">
        <f>"20302"</f>
        <v>20302</v>
      </c>
      <c r="B545" t="str">
        <f>"CERRADURA IGNICION GOL HASTA 1994 EX DV5290"</f>
        <v>CERRADURA IGNICION GOL HASTA 1994 EX DV5290</v>
      </c>
      <c r="C545" t="str">
        <f>"$ 15488,53"</f>
        <v>$ 15488,53</v>
      </c>
      <c r="D545" t="str">
        <f>"$ 15488,53"</f>
        <v>$ 15488,53</v>
      </c>
      <c r="E545" t="str">
        <f>"$ 15488,53"</f>
        <v>$ 15488,53</v>
      </c>
      <c r="F545" t="str">
        <f>"$ 15488,53"</f>
        <v>$ 15488,53</v>
      </c>
      <c r="G545" t="str">
        <f>"$ 15488,53"</f>
        <v>$ 15488,53</v>
      </c>
      <c r="H545" t="str">
        <f t="shared" si="354"/>
        <v>$ 0,00</v>
      </c>
      <c r="I545" t="str">
        <f>"LLAVE CONTACTO-ARRANQUE"</f>
        <v>LLAVE CONTACTO-ARRANQUE</v>
      </c>
      <c r="J545" t="str">
        <f t="shared" si="355"/>
        <v>1</v>
      </c>
      <c r="K545" t="str">
        <f t="shared" si="379"/>
        <v>0</v>
      </c>
      <c r="L545" t="str">
        <f>"3,000"</f>
        <v>3,000</v>
      </c>
      <c r="M545" t="str">
        <f t="shared" si="356"/>
        <v xml:space="preserve"> </v>
      </c>
      <c r="N545" t="str">
        <f>"DIVAIO"</f>
        <v>DIVAIO</v>
      </c>
      <c r="O545" t="str">
        <f>"LLAVE"</f>
        <v>LLAVE</v>
      </c>
      <c r="P545" t="str">
        <f t="shared" si="382"/>
        <v>0</v>
      </c>
      <c r="Q545" t="str">
        <f t="shared" si="382"/>
        <v>0</v>
      </c>
      <c r="R545" t="str">
        <f t="shared" si="383"/>
        <v>0,00</v>
      </c>
      <c r="S545" t="str">
        <f t="shared" si="383"/>
        <v>0,00</v>
      </c>
      <c r="T545" t="str">
        <f t="shared" si="378"/>
        <v xml:space="preserve"> </v>
      </c>
      <c r="U545" t="str">
        <f t="shared" si="381"/>
        <v xml:space="preserve"> </v>
      </c>
      <c r="V545" t="str">
        <f>"3,000"</f>
        <v>3,000</v>
      </c>
      <c r="W545" t="str">
        <f t="shared" si="357"/>
        <v>Lista 4</v>
      </c>
      <c r="X545" t="str">
        <f t="shared" si="358"/>
        <v>Lista 5</v>
      </c>
      <c r="Y545" t="str">
        <f t="shared" si="359"/>
        <v>Oferta Gral.</v>
      </c>
      <c r="Z545" t="str">
        <f t="shared" si="360"/>
        <v>Rubro</v>
      </c>
      <c r="AA545" t="str">
        <f t="shared" si="361"/>
        <v>Cantidad por Bulto</v>
      </c>
      <c r="AB545" t="str">
        <f t="shared" si="362"/>
        <v>INNER</v>
      </c>
      <c r="AC545" t="str">
        <f t="shared" si="363"/>
        <v>Stock en Bultos</v>
      </c>
      <c r="AD545" t="str">
        <f t="shared" si="364"/>
        <v>SubDepósito</v>
      </c>
      <c r="AE545" t="str">
        <f t="shared" si="365"/>
        <v>Marca</v>
      </c>
      <c r="AF545" t="str">
        <f t="shared" si="366"/>
        <v>Super Rubro</v>
      </c>
      <c r="AG545" t="str">
        <f t="shared" si="367"/>
        <v>ComercioExterior</v>
      </c>
      <c r="AH545" t="str">
        <f t="shared" si="368"/>
        <v>PrecioFOB</v>
      </c>
      <c r="AI545" t="str">
        <f t="shared" si="369"/>
        <v>Monto II</v>
      </c>
      <c r="AJ545" t="str">
        <f t="shared" si="370"/>
        <v>Porcentaje II</v>
      </c>
      <c r="AK545" t="str">
        <f t="shared" si="371"/>
        <v>Foto</v>
      </c>
      <c r="AL545" t="str">
        <f>"{\rtf1\ansi\ansicpg1252\deff0\deflang11274{\fonttbl{\f0\fnil\fcharset0 MS Sans Serif}} \viewkind4\uc1\pard\f0\fs16 CERRADURA IGNICION GOL HASTA 1994 EX DV5290\par } "</f>
        <v xml:space="preserve">{\rtf1\ansi\ansicpg1252\deff0\deflang11274{\fonttbl{\f0\fnil\fcharset0 MS Sans Serif}} \viewkind4\uc1\pard\f0\fs16 CERRADURA IGNICION GOL HASTA 1994 EX DV5290\par } </v>
      </c>
      <c r="AM545" t="str">
        <f>" "</f>
        <v xml:space="preserve"> </v>
      </c>
    </row>
    <row r="546" spans="1:39" x14ac:dyDescent="0.25">
      <c r="A546" t="str">
        <f>"M1040"</f>
        <v>M1040</v>
      </c>
      <c r="B546" t="str">
        <f>"CHEVROLET CORSA / MERIVA / MONTANA 1.4 / 1.8 - FIAT DOBLO / PALIO / STILO 1.8"</f>
        <v>CHEVROLET CORSA / MERIVA / MONTANA 1.4 / 1.8 - FIAT DOBLO / PALIO / STILO 1.8</v>
      </c>
      <c r="C546" t="str">
        <f>"$ 85212,41"</f>
        <v>$ 85212,41</v>
      </c>
      <c r="D546" t="str">
        <f>"$ 85212,41"</f>
        <v>$ 85212,41</v>
      </c>
      <c r="E546" t="str">
        <f>"$ 85212,41"</f>
        <v>$ 85212,41</v>
      </c>
      <c r="F546" t="str">
        <f>"$ 85212,41"</f>
        <v>$ 85212,41</v>
      </c>
      <c r="G546" t="str">
        <f>"$ 85212,41"</f>
        <v>$ 85212,41</v>
      </c>
      <c r="H546" t="str">
        <f t="shared" si="354"/>
        <v>$ 0,00</v>
      </c>
      <c r="I546" t="str">
        <f>"SENSOR MARIPOSA TPS"</f>
        <v>SENSOR MARIPOSA TPS</v>
      </c>
      <c r="J546" t="str">
        <f t="shared" si="355"/>
        <v>1</v>
      </c>
      <c r="K546" t="str">
        <f t="shared" si="379"/>
        <v>0</v>
      </c>
      <c r="L546" t="str">
        <f>"3,000"</f>
        <v>3,000</v>
      </c>
      <c r="M546" t="str">
        <f t="shared" si="356"/>
        <v xml:space="preserve"> </v>
      </c>
      <c r="N546" t="str">
        <f>"FISPA"</f>
        <v>FISPA</v>
      </c>
      <c r="O546" t="str">
        <f>"SENSORES"</f>
        <v>SENSORES</v>
      </c>
      <c r="P546" t="str">
        <f t="shared" si="382"/>
        <v>0</v>
      </c>
      <c r="Q546" t="str">
        <f t="shared" si="382"/>
        <v>0</v>
      </c>
      <c r="R546" t="str">
        <f t="shared" si="383"/>
        <v>0,00</v>
      </c>
      <c r="S546" t="str">
        <f t="shared" si="383"/>
        <v>0,00</v>
      </c>
      <c r="T546" t="str">
        <f t="shared" si="378"/>
        <v xml:space="preserve"> </v>
      </c>
      <c r="U546" t="str">
        <f t="shared" si="381"/>
        <v xml:space="preserve"> </v>
      </c>
      <c r="V546" t="str">
        <f>"3,000"</f>
        <v>3,000</v>
      </c>
      <c r="W546" t="str">
        <f t="shared" si="357"/>
        <v>Lista 4</v>
      </c>
      <c r="X546" t="str">
        <f t="shared" si="358"/>
        <v>Lista 5</v>
      </c>
      <c r="Y546" t="str">
        <f t="shared" si="359"/>
        <v>Oferta Gral.</v>
      </c>
      <c r="Z546" t="str">
        <f t="shared" si="360"/>
        <v>Rubro</v>
      </c>
      <c r="AA546" t="str">
        <f t="shared" si="361"/>
        <v>Cantidad por Bulto</v>
      </c>
      <c r="AB546" t="str">
        <f t="shared" si="362"/>
        <v>INNER</v>
      </c>
      <c r="AC546" t="str">
        <f t="shared" si="363"/>
        <v>Stock en Bultos</v>
      </c>
      <c r="AD546" t="str">
        <f t="shared" si="364"/>
        <v>SubDepósito</v>
      </c>
      <c r="AE546" t="str">
        <f t="shared" si="365"/>
        <v>Marca</v>
      </c>
      <c r="AF546" t="str">
        <f t="shared" si="366"/>
        <v>Super Rubro</v>
      </c>
      <c r="AG546" t="str">
        <f t="shared" si="367"/>
        <v>ComercioExterior</v>
      </c>
      <c r="AH546" t="str">
        <f t="shared" si="368"/>
        <v>PrecioFOB</v>
      </c>
      <c r="AI546" t="str">
        <f t="shared" si="369"/>
        <v>Monto II</v>
      </c>
      <c r="AJ546" t="str">
        <f t="shared" si="370"/>
        <v>Porcentaje II</v>
      </c>
      <c r="AK546" t="str">
        <f t="shared" si="371"/>
        <v>Foto</v>
      </c>
      <c r="AL546" t="str">
        <f>" "</f>
        <v xml:space="preserve"> </v>
      </c>
      <c r="AM546" t="str">
        <f>"-"</f>
        <v>-</v>
      </c>
    </row>
    <row r="547" spans="1:39" x14ac:dyDescent="0.25">
      <c r="A547" t="str">
        <f>"M1009"</f>
        <v>M1009</v>
      </c>
      <c r="B547" t="str">
        <f>"CITROEN JUMPER/ XANTIA/ZX 1,6 1,8 2,0 /DUCATO1.8  2,0 /P306/405 1,6 1,8 2,0 - BOXER 2,0 "</f>
        <v xml:space="preserve">CITROEN JUMPER/ XANTIA/ZX 1,6 1,8 2,0 /DUCATO1.8  2,0 /P306/405 1,6 1,8 2,0 - BOXER 2,0 </v>
      </c>
      <c r="C547" t="str">
        <f>"$ 21344,30"</f>
        <v>$ 21344,30</v>
      </c>
      <c r="D547" t="str">
        <f>"$ 21344,30"</f>
        <v>$ 21344,30</v>
      </c>
      <c r="E547" t="str">
        <f>"$ 21344,30"</f>
        <v>$ 21344,30</v>
      </c>
      <c r="F547" t="str">
        <f>"$ 21344,30"</f>
        <v>$ 21344,30</v>
      </c>
      <c r="G547" t="str">
        <f>"$ 21344,30"</f>
        <v>$ 21344,30</v>
      </c>
      <c r="H547" t="str">
        <f t="shared" si="354"/>
        <v>$ 0,00</v>
      </c>
      <c r="I547" t="str">
        <f>"SENSOR MARIPOSA TPS"</f>
        <v>SENSOR MARIPOSA TPS</v>
      </c>
      <c r="J547" t="str">
        <f t="shared" si="355"/>
        <v>1</v>
      </c>
      <c r="K547" t="str">
        <f t="shared" si="379"/>
        <v>0</v>
      </c>
      <c r="L547" t="str">
        <f>"0,000"</f>
        <v>0,000</v>
      </c>
      <c r="M547" t="str">
        <f t="shared" si="356"/>
        <v xml:space="preserve"> </v>
      </c>
      <c r="N547" t="str">
        <f>"FISPA"</f>
        <v>FISPA</v>
      </c>
      <c r="O547" t="str">
        <f>"SENSORES"</f>
        <v>SENSORES</v>
      </c>
      <c r="P547" t="str">
        <f t="shared" si="382"/>
        <v>0</v>
      </c>
      <c r="Q547" t="str">
        <f t="shared" si="382"/>
        <v>0</v>
      </c>
      <c r="R547" t="str">
        <f t="shared" si="383"/>
        <v>0,00</v>
      </c>
      <c r="S547" t="str">
        <f t="shared" si="383"/>
        <v>0,00</v>
      </c>
      <c r="T547" t="str">
        <f t="shared" si="378"/>
        <v xml:space="preserve"> </v>
      </c>
      <c r="U547" t="str">
        <f t="shared" si="381"/>
        <v xml:space="preserve"> </v>
      </c>
      <c r="V547" t="str">
        <f>"0,000"</f>
        <v>0,000</v>
      </c>
      <c r="W547" t="str">
        <f t="shared" si="357"/>
        <v>Lista 4</v>
      </c>
      <c r="X547" t="str">
        <f t="shared" si="358"/>
        <v>Lista 5</v>
      </c>
      <c r="Y547" t="str">
        <f t="shared" si="359"/>
        <v>Oferta Gral.</v>
      </c>
      <c r="Z547" t="str">
        <f t="shared" si="360"/>
        <v>Rubro</v>
      </c>
      <c r="AA547" t="str">
        <f t="shared" si="361"/>
        <v>Cantidad por Bulto</v>
      </c>
      <c r="AB547" t="str">
        <f t="shared" si="362"/>
        <v>INNER</v>
      </c>
      <c r="AC547" t="str">
        <f t="shared" si="363"/>
        <v>Stock en Bultos</v>
      </c>
      <c r="AD547" t="str">
        <f t="shared" si="364"/>
        <v>SubDepósito</v>
      </c>
      <c r="AE547" t="str">
        <f t="shared" si="365"/>
        <v>Marca</v>
      </c>
      <c r="AF547" t="str">
        <f t="shared" si="366"/>
        <v>Super Rubro</v>
      </c>
      <c r="AG547" t="str">
        <f t="shared" si="367"/>
        <v>ComercioExterior</v>
      </c>
      <c r="AH547" t="str">
        <f t="shared" si="368"/>
        <v>PrecioFOB</v>
      </c>
      <c r="AI547" t="str">
        <f t="shared" si="369"/>
        <v>Monto II</v>
      </c>
      <c r="AJ547" t="str">
        <f t="shared" si="370"/>
        <v>Porcentaje II</v>
      </c>
      <c r="AK547" t="str">
        <f t="shared" si="371"/>
        <v>Foto</v>
      </c>
      <c r="AL5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547" t="str">
        <f>"-"</f>
        <v>-</v>
      </c>
    </row>
    <row r="548" spans="1:39" x14ac:dyDescent="0.25">
      <c r="A548" t="str">
        <f>"M1013"</f>
        <v>M1013</v>
      </c>
      <c r="B548" t="str">
        <f>"CITROEN SAXO 1,6 -XANTIA  1,8 2,0 - XSARA 1,6 1,8  2,0 - ZX 1,4 1,6 1,8 / P106/306/405 1,6 1,8 2,0 "</f>
        <v xml:space="preserve">CITROEN SAXO 1,6 -XANTIA  1,8 2,0 - XSARA 1,6 1,8  2,0 - ZX 1,4 1,6 1,8 / P106/306/405 1,6 1,8 2,0 </v>
      </c>
      <c r="C548" t="str">
        <f>"$ 14089,17"</f>
        <v>$ 14089,17</v>
      </c>
      <c r="D548" t="str">
        <f>"$ 14089,17"</f>
        <v>$ 14089,17</v>
      </c>
      <c r="E548" t="str">
        <f>"$ 14089,17"</f>
        <v>$ 14089,17</v>
      </c>
      <c r="F548" t="str">
        <f>"$ 14089,17"</f>
        <v>$ 14089,17</v>
      </c>
      <c r="G548" t="str">
        <f>"$ 14089,17"</f>
        <v>$ 14089,17</v>
      </c>
      <c r="H548" t="str">
        <f t="shared" si="354"/>
        <v>$ 0,00</v>
      </c>
      <c r="I548" t="str">
        <f>"SENSOR MARIPOSA TPS"</f>
        <v>SENSOR MARIPOSA TPS</v>
      </c>
      <c r="J548" t="str">
        <f t="shared" si="355"/>
        <v>1</v>
      </c>
      <c r="K548" t="str">
        <f t="shared" si="379"/>
        <v>0</v>
      </c>
      <c r="L548" t="str">
        <f>"0,000"</f>
        <v>0,000</v>
      </c>
      <c r="M548" t="str">
        <f t="shared" si="356"/>
        <v xml:space="preserve"> </v>
      </c>
      <c r="N548" t="str">
        <f>"FISPA"</f>
        <v>FISPA</v>
      </c>
      <c r="O548" t="str">
        <f>"SENSORES"</f>
        <v>SENSORES</v>
      </c>
      <c r="P548" t="str">
        <f t="shared" si="382"/>
        <v>0</v>
      </c>
      <c r="Q548" t="str">
        <f t="shared" si="382"/>
        <v>0</v>
      </c>
      <c r="R548" t="str">
        <f t="shared" si="383"/>
        <v>0,00</v>
      </c>
      <c r="S548" t="str">
        <f t="shared" si="383"/>
        <v>0,00</v>
      </c>
      <c r="T548" t="str">
        <f t="shared" si="378"/>
        <v xml:space="preserve"> </v>
      </c>
      <c r="U548" t="str">
        <f t="shared" si="381"/>
        <v xml:space="preserve"> </v>
      </c>
      <c r="V548" t="str">
        <f>"0,000"</f>
        <v>0,000</v>
      </c>
      <c r="W548" t="str">
        <f t="shared" si="357"/>
        <v>Lista 4</v>
      </c>
      <c r="X548" t="str">
        <f t="shared" si="358"/>
        <v>Lista 5</v>
      </c>
      <c r="Y548" t="str">
        <f t="shared" si="359"/>
        <v>Oferta Gral.</v>
      </c>
      <c r="Z548" t="str">
        <f t="shared" si="360"/>
        <v>Rubro</v>
      </c>
      <c r="AA548" t="str">
        <f t="shared" si="361"/>
        <v>Cantidad por Bulto</v>
      </c>
      <c r="AB548" t="str">
        <f t="shared" si="362"/>
        <v>INNER</v>
      </c>
      <c r="AC548" t="str">
        <f t="shared" si="363"/>
        <v>Stock en Bultos</v>
      </c>
      <c r="AD548" t="str">
        <f t="shared" si="364"/>
        <v>SubDepósito</v>
      </c>
      <c r="AE548" t="str">
        <f t="shared" si="365"/>
        <v>Marca</v>
      </c>
      <c r="AF548" t="str">
        <f t="shared" si="366"/>
        <v>Super Rubro</v>
      </c>
      <c r="AG548" t="str">
        <f t="shared" si="367"/>
        <v>ComercioExterior</v>
      </c>
      <c r="AH548" t="str">
        <f t="shared" si="368"/>
        <v>PrecioFOB</v>
      </c>
      <c r="AI548" t="str">
        <f t="shared" si="369"/>
        <v>Monto II</v>
      </c>
      <c r="AJ548" t="str">
        <f t="shared" si="370"/>
        <v>Porcentaje II</v>
      </c>
      <c r="AK548" t="str">
        <f t="shared" si="371"/>
        <v>Foto</v>
      </c>
      <c r="AL54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548" t="str">
        <f>"-"</f>
        <v>-</v>
      </c>
    </row>
    <row r="549" spans="1:39" x14ac:dyDescent="0.25">
      <c r="A549" t="str">
        <f>"AX381104 5"</f>
        <v>AX381104 5</v>
      </c>
      <c r="B549" t="str">
        <f>"COJINETE AXIAL 0,127 RENAULT MEGANE 3 FLUENCE NISSAN SENTRA 2.0 M4R"</f>
        <v>COJINETE AXIAL 0,127 RENAULT MEGANE 3 FLUENCE NISSAN SENTRA 2.0 M4R</v>
      </c>
      <c r="C549" t="str">
        <f t="shared" ref="C549:G551" si="384">"$ 8309,39"</f>
        <v>$ 8309,39</v>
      </c>
      <c r="D549" t="str">
        <f t="shared" si="384"/>
        <v>$ 8309,39</v>
      </c>
      <c r="E549" t="str">
        <f t="shared" si="384"/>
        <v>$ 8309,39</v>
      </c>
      <c r="F549" t="str">
        <f t="shared" si="384"/>
        <v>$ 8309,39</v>
      </c>
      <c r="G549" t="str">
        <f t="shared" si="384"/>
        <v>$ 8309,39</v>
      </c>
      <c r="H549" t="str">
        <f t="shared" si="354"/>
        <v>$ 0,00</v>
      </c>
      <c r="I549" t="str">
        <f>"JUEGO AXIALES"</f>
        <v>JUEGO AXIALES</v>
      </c>
      <c r="J549" t="str">
        <f t="shared" si="355"/>
        <v>1</v>
      </c>
      <c r="K549" t="str">
        <f t="shared" si="379"/>
        <v>0</v>
      </c>
      <c r="L549" t="str">
        <f>"0,000"</f>
        <v>0,000</v>
      </c>
      <c r="M549" t="str">
        <f t="shared" si="356"/>
        <v xml:space="preserve"> </v>
      </c>
      <c r="N549" t="str">
        <f t="shared" ref="N549:N612" si="385">"MPSI"</f>
        <v>MPSI</v>
      </c>
      <c r="O549" t="str">
        <f t="shared" ref="O549:O612" si="386">"COJINETES"</f>
        <v>COJINETES</v>
      </c>
      <c r="P549" t="str">
        <f t="shared" si="382"/>
        <v>0</v>
      </c>
      <c r="Q549" t="str">
        <f t="shared" si="382"/>
        <v>0</v>
      </c>
      <c r="R549" t="str">
        <f t="shared" si="383"/>
        <v>0,00</v>
      </c>
      <c r="S549" t="str">
        <f t="shared" si="383"/>
        <v>0,00</v>
      </c>
      <c r="T549" t="str">
        <f t="shared" si="378"/>
        <v xml:space="preserve"> </v>
      </c>
      <c r="U549" t="str">
        <f t="shared" ref="U549:U580" si="387">"-"</f>
        <v>-</v>
      </c>
      <c r="V549" t="str">
        <f>"0,000"</f>
        <v>0,000</v>
      </c>
      <c r="W549" t="str">
        <f t="shared" si="357"/>
        <v>Lista 4</v>
      </c>
      <c r="X549" t="str">
        <f t="shared" si="358"/>
        <v>Lista 5</v>
      </c>
      <c r="Y549" t="str">
        <f t="shared" si="359"/>
        <v>Oferta Gral.</v>
      </c>
      <c r="Z549" t="str">
        <f t="shared" si="360"/>
        <v>Rubro</v>
      </c>
      <c r="AA549" t="str">
        <f t="shared" si="361"/>
        <v>Cantidad por Bulto</v>
      </c>
      <c r="AB549" t="str">
        <f t="shared" si="362"/>
        <v>INNER</v>
      </c>
      <c r="AC549" t="str">
        <f t="shared" si="363"/>
        <v>Stock en Bultos</v>
      </c>
      <c r="AD549" t="str">
        <f t="shared" si="364"/>
        <v>SubDepósito</v>
      </c>
      <c r="AE549" t="str">
        <f t="shared" si="365"/>
        <v>Marca</v>
      </c>
      <c r="AF549" t="str">
        <f t="shared" si="366"/>
        <v>Super Rubro</v>
      </c>
      <c r="AG549" t="str">
        <f t="shared" si="367"/>
        <v>ComercioExterior</v>
      </c>
      <c r="AH549" t="str">
        <f t="shared" si="368"/>
        <v>PrecioFOB</v>
      </c>
      <c r="AI549" t="str">
        <f t="shared" si="369"/>
        <v>Monto II</v>
      </c>
      <c r="AJ549" t="str">
        <f t="shared" si="370"/>
        <v>Porcentaje II</v>
      </c>
      <c r="AK549" t="str">
        <f t="shared" si="371"/>
        <v>Foto</v>
      </c>
      <c r="AL549" t="str">
        <f>"{\rtf1\ansi\ansicpg1252\deff0\deflang11274{\fonttbl{\f0\fnil\fcharset0 MS Sans Serif}} \viewkind4\uc1\pard\f0\fs16 COJINETE AXIAL 0,127 RENAULT MEGANE 3 FLUENCE NISSAN SENTRA 2.0 M4R\par } "</f>
        <v xml:space="preserve">{\rtf1\ansi\ansicpg1252\deff0\deflang11274{\fonttbl{\f0\fnil\fcharset0 MS Sans Serif}} \viewkind4\uc1\pard\f0\fs16 COJINETE AXIAL 0,127 RENAULT MEGANE 3 FLUENCE NISSAN SENTRA 2.0 M4R\par } </v>
      </c>
      <c r="AM549" t="str">
        <f t="shared" ref="AM549:AM580" si="388">" "</f>
        <v xml:space="preserve"> </v>
      </c>
    </row>
    <row r="550" spans="1:39" x14ac:dyDescent="0.25">
      <c r="A550" t="str">
        <f>"AX381104 10"</f>
        <v>AX381104 10</v>
      </c>
      <c r="B550" t="str">
        <f>"COJINETE AXIAL 0,254 RENAULT MEGANE 3 FLUENCE NISSAN SENTRA 2.0 M4R"</f>
        <v>COJINETE AXIAL 0,254 RENAULT MEGANE 3 FLUENCE NISSAN SENTRA 2.0 M4R</v>
      </c>
      <c r="C550" t="str">
        <f t="shared" si="384"/>
        <v>$ 8309,39</v>
      </c>
      <c r="D550" t="str">
        <f t="shared" si="384"/>
        <v>$ 8309,39</v>
      </c>
      <c r="E550" t="str">
        <f t="shared" si="384"/>
        <v>$ 8309,39</v>
      </c>
      <c r="F550" t="str">
        <f t="shared" si="384"/>
        <v>$ 8309,39</v>
      </c>
      <c r="G550" t="str">
        <f t="shared" si="384"/>
        <v>$ 8309,39</v>
      </c>
      <c r="H550" t="str">
        <f t="shared" si="354"/>
        <v>$ 0,00</v>
      </c>
      <c r="I550" t="str">
        <f>"JUEGO AXIALES"</f>
        <v>JUEGO AXIALES</v>
      </c>
      <c r="J550" t="str">
        <f t="shared" si="355"/>
        <v>1</v>
      </c>
      <c r="K550" t="str">
        <f t="shared" si="379"/>
        <v>0</v>
      </c>
      <c r="L550" t="str">
        <f>"0,000"</f>
        <v>0,000</v>
      </c>
      <c r="M550" t="str">
        <f t="shared" si="356"/>
        <v xml:space="preserve"> </v>
      </c>
      <c r="N550" t="str">
        <f t="shared" si="385"/>
        <v>MPSI</v>
      </c>
      <c r="O550" t="str">
        <f t="shared" si="386"/>
        <v>COJINETES</v>
      </c>
      <c r="P550" t="str">
        <f t="shared" si="382"/>
        <v>0</v>
      </c>
      <c r="Q550" t="str">
        <f t="shared" si="382"/>
        <v>0</v>
      </c>
      <c r="R550" t="str">
        <f t="shared" si="383"/>
        <v>0,00</v>
      </c>
      <c r="S550" t="str">
        <f t="shared" si="383"/>
        <v>0,00</v>
      </c>
      <c r="T550" t="str">
        <f t="shared" si="378"/>
        <v xml:space="preserve"> </v>
      </c>
      <c r="U550" t="str">
        <f t="shared" si="387"/>
        <v>-</v>
      </c>
      <c r="V550" t="str">
        <f>"0,000"</f>
        <v>0,000</v>
      </c>
      <c r="W550" t="str">
        <f t="shared" si="357"/>
        <v>Lista 4</v>
      </c>
      <c r="X550" t="str">
        <f t="shared" si="358"/>
        <v>Lista 5</v>
      </c>
      <c r="Y550" t="str">
        <f t="shared" si="359"/>
        <v>Oferta Gral.</v>
      </c>
      <c r="Z550" t="str">
        <f t="shared" si="360"/>
        <v>Rubro</v>
      </c>
      <c r="AA550" t="str">
        <f t="shared" si="361"/>
        <v>Cantidad por Bulto</v>
      </c>
      <c r="AB550" t="str">
        <f t="shared" si="362"/>
        <v>INNER</v>
      </c>
      <c r="AC550" t="str">
        <f t="shared" si="363"/>
        <v>Stock en Bultos</v>
      </c>
      <c r="AD550" t="str">
        <f t="shared" si="364"/>
        <v>SubDepósito</v>
      </c>
      <c r="AE550" t="str">
        <f t="shared" si="365"/>
        <v>Marca</v>
      </c>
      <c r="AF550" t="str">
        <f t="shared" si="366"/>
        <v>Super Rubro</v>
      </c>
      <c r="AG550" t="str">
        <f t="shared" si="367"/>
        <v>ComercioExterior</v>
      </c>
      <c r="AH550" t="str">
        <f t="shared" si="368"/>
        <v>PrecioFOB</v>
      </c>
      <c r="AI550" t="str">
        <f t="shared" si="369"/>
        <v>Monto II</v>
      </c>
      <c r="AJ550" t="str">
        <f t="shared" si="370"/>
        <v>Porcentaje II</v>
      </c>
      <c r="AK550" t="str">
        <f t="shared" si="371"/>
        <v>Foto</v>
      </c>
      <c r="AL550" t="str">
        <f>"{\rtf1\ansi\ansicpg1252\deff0\deflang11274{\fonttbl{\f0\fnil\fcharset0 MS Sans Serif}} \viewkind4\uc1\pard\f0\fs16 COJINETE AXIAL 0,254 RENAULT MEGANE 3 FLUENCE NISSAN SENTRA 2.0 M4R\par } "</f>
        <v xml:space="preserve">{\rtf1\ansi\ansicpg1252\deff0\deflang11274{\fonttbl{\f0\fnil\fcharset0 MS Sans Serif}} \viewkind4\uc1\pard\f0\fs16 COJINETE AXIAL 0,254 RENAULT MEGANE 3 FLUENCE NISSAN SENTRA 2.0 M4R\par } </v>
      </c>
      <c r="AM550" t="str">
        <f t="shared" si="388"/>
        <v xml:space="preserve"> </v>
      </c>
    </row>
    <row r="551" spans="1:39" x14ac:dyDescent="0.25">
      <c r="A551" t="str">
        <f>"AX381104"</f>
        <v>AX381104</v>
      </c>
      <c r="B551" t="str">
        <f>"COJINETE AXIAL STD RENAULT MEGANE 3 FLUENCE NISSAN SENTRA 2.0 M4R"</f>
        <v>COJINETE AXIAL STD RENAULT MEGANE 3 FLUENCE NISSAN SENTRA 2.0 M4R</v>
      </c>
      <c r="C551" t="str">
        <f t="shared" si="384"/>
        <v>$ 8309,39</v>
      </c>
      <c r="D551" t="str">
        <f t="shared" si="384"/>
        <v>$ 8309,39</v>
      </c>
      <c r="E551" t="str">
        <f t="shared" si="384"/>
        <v>$ 8309,39</v>
      </c>
      <c r="F551" t="str">
        <f t="shared" si="384"/>
        <v>$ 8309,39</v>
      </c>
      <c r="G551" t="str">
        <f t="shared" si="384"/>
        <v>$ 8309,39</v>
      </c>
      <c r="H551" t="str">
        <f t="shared" si="354"/>
        <v>$ 0,00</v>
      </c>
      <c r="I551" t="str">
        <f>"JUEGO AXIALES"</f>
        <v>JUEGO AXIALES</v>
      </c>
      <c r="J551" t="str">
        <f t="shared" si="355"/>
        <v>1</v>
      </c>
      <c r="K551" t="str">
        <f t="shared" si="379"/>
        <v>0</v>
      </c>
      <c r="L551" t="str">
        <f>"0,000"</f>
        <v>0,000</v>
      </c>
      <c r="M551" t="str">
        <f t="shared" si="356"/>
        <v xml:space="preserve"> </v>
      </c>
      <c r="N551" t="str">
        <f t="shared" si="385"/>
        <v>MPSI</v>
      </c>
      <c r="O551" t="str">
        <f t="shared" si="386"/>
        <v>COJINETES</v>
      </c>
      <c r="P551" t="str">
        <f t="shared" si="382"/>
        <v>0</v>
      </c>
      <c r="Q551" t="str">
        <f t="shared" si="382"/>
        <v>0</v>
      </c>
      <c r="R551" t="str">
        <f t="shared" si="383"/>
        <v>0,00</v>
      </c>
      <c r="S551" t="str">
        <f t="shared" si="383"/>
        <v>0,00</v>
      </c>
      <c r="T551" t="str">
        <f t="shared" si="378"/>
        <v xml:space="preserve"> </v>
      </c>
      <c r="U551" t="str">
        <f t="shared" si="387"/>
        <v>-</v>
      </c>
      <c r="V551" t="str">
        <f>"0,000"</f>
        <v>0,000</v>
      </c>
      <c r="W551" t="str">
        <f t="shared" si="357"/>
        <v>Lista 4</v>
      </c>
      <c r="X551" t="str">
        <f t="shared" si="358"/>
        <v>Lista 5</v>
      </c>
      <c r="Y551" t="str">
        <f t="shared" si="359"/>
        <v>Oferta Gral.</v>
      </c>
      <c r="Z551" t="str">
        <f t="shared" si="360"/>
        <v>Rubro</v>
      </c>
      <c r="AA551" t="str">
        <f t="shared" si="361"/>
        <v>Cantidad por Bulto</v>
      </c>
      <c r="AB551" t="str">
        <f t="shared" si="362"/>
        <v>INNER</v>
      </c>
      <c r="AC551" t="str">
        <f t="shared" si="363"/>
        <v>Stock en Bultos</v>
      </c>
      <c r="AD551" t="str">
        <f t="shared" si="364"/>
        <v>SubDepósito</v>
      </c>
      <c r="AE551" t="str">
        <f t="shared" si="365"/>
        <v>Marca</v>
      </c>
      <c r="AF551" t="str">
        <f t="shared" si="366"/>
        <v>Super Rubro</v>
      </c>
      <c r="AG551" t="str">
        <f t="shared" si="367"/>
        <v>ComercioExterior</v>
      </c>
      <c r="AH551" t="str">
        <f t="shared" si="368"/>
        <v>PrecioFOB</v>
      </c>
      <c r="AI551" t="str">
        <f t="shared" si="369"/>
        <v>Monto II</v>
      </c>
      <c r="AJ551" t="str">
        <f t="shared" si="370"/>
        <v>Porcentaje II</v>
      </c>
      <c r="AK551" t="str">
        <f t="shared" si="371"/>
        <v>Foto</v>
      </c>
      <c r="AL551" t="str">
        <f>"{\rtf1\ansi\ansicpg1252\deff0\deflang11274{\fonttbl{\f0\fnil\fcharset0 MS Sans Serif}} \viewkind4\uc1\pard\f0\fs16 COJINETE AXIAL STD RENAULT MEGANE 3 FLUENCE NISSAN SENTRA 2.0 M4R\par } "</f>
        <v xml:space="preserve">{\rtf1\ansi\ansicpg1252\deff0\deflang11274{\fonttbl{\f0\fnil\fcharset0 MS Sans Serif}} \viewkind4\uc1\pard\f0\fs16 COJINETE AXIAL STD RENAULT MEGANE 3 FLUENCE NISSAN SENTRA 2.0 M4R\par } </v>
      </c>
      <c r="AM551" t="str">
        <f t="shared" si="388"/>
        <v xml:space="preserve"> </v>
      </c>
    </row>
    <row r="552" spans="1:39" x14ac:dyDescent="0.25">
      <c r="A552" t="str">
        <f>"BA385574 10"</f>
        <v>BA385574 10</v>
      </c>
      <c r="B552" t="str">
        <f>"COJINETE BANCADA 0,25 RENAULT MASTER ALASKAN FRONTIER 2.3 M9T"</f>
        <v>COJINETE BANCADA 0,25 RENAULT MASTER ALASKAN FRONTIER 2.3 M9T</v>
      </c>
      <c r="C552" t="str">
        <f>"$ 22028,11"</f>
        <v>$ 22028,11</v>
      </c>
      <c r="D552" t="str">
        <f>"$ 22028,11"</f>
        <v>$ 22028,11</v>
      </c>
      <c r="E552" t="str">
        <f>"$ 22028,11"</f>
        <v>$ 22028,11</v>
      </c>
      <c r="F552" t="str">
        <f>"$ 22028,11"</f>
        <v>$ 22028,11</v>
      </c>
      <c r="G552" t="str">
        <f>"$ 22028,11"</f>
        <v>$ 22028,11</v>
      </c>
      <c r="H552" t="str">
        <f t="shared" si="354"/>
        <v>$ 0,00</v>
      </c>
      <c r="I552" t="str">
        <f t="shared" ref="I552:I559" si="389">"JUEGO COJINETES BANCADA"</f>
        <v>JUEGO COJINETES BANCADA</v>
      </c>
      <c r="J552" t="str">
        <f t="shared" si="355"/>
        <v>1</v>
      </c>
      <c r="K552" t="str">
        <f t="shared" si="379"/>
        <v>0</v>
      </c>
      <c r="L552" t="str">
        <f>"7,000"</f>
        <v>7,000</v>
      </c>
      <c r="M552" t="str">
        <f t="shared" si="356"/>
        <v xml:space="preserve"> </v>
      </c>
      <c r="N552" t="str">
        <f t="shared" si="385"/>
        <v>MPSI</v>
      </c>
      <c r="O552" t="str">
        <f t="shared" si="386"/>
        <v>COJINETES</v>
      </c>
      <c r="P552" t="str">
        <f t="shared" si="382"/>
        <v>0</v>
      </c>
      <c r="Q552" t="str">
        <f t="shared" si="382"/>
        <v>0</v>
      </c>
      <c r="R552" t="str">
        <f t="shared" si="383"/>
        <v>0,00</v>
      </c>
      <c r="S552" t="str">
        <f t="shared" si="383"/>
        <v>0,00</v>
      </c>
      <c r="T552" t="str">
        <f t="shared" si="378"/>
        <v xml:space="preserve"> </v>
      </c>
      <c r="U552" t="str">
        <f t="shared" si="387"/>
        <v>-</v>
      </c>
      <c r="V552" t="str">
        <f>"7,000"</f>
        <v>7,000</v>
      </c>
      <c r="W552" t="str">
        <f t="shared" si="357"/>
        <v>Lista 4</v>
      </c>
      <c r="X552" t="str">
        <f t="shared" si="358"/>
        <v>Lista 5</v>
      </c>
      <c r="Y552" t="str">
        <f t="shared" si="359"/>
        <v>Oferta Gral.</v>
      </c>
      <c r="Z552" t="str">
        <f t="shared" si="360"/>
        <v>Rubro</v>
      </c>
      <c r="AA552" t="str">
        <f t="shared" si="361"/>
        <v>Cantidad por Bulto</v>
      </c>
      <c r="AB552" t="str">
        <f t="shared" si="362"/>
        <v>INNER</v>
      </c>
      <c r="AC552" t="str">
        <f t="shared" si="363"/>
        <v>Stock en Bultos</v>
      </c>
      <c r="AD552" t="str">
        <f t="shared" si="364"/>
        <v>SubDepósito</v>
      </c>
      <c r="AE552" t="str">
        <f t="shared" si="365"/>
        <v>Marca</v>
      </c>
      <c r="AF552" t="str">
        <f t="shared" si="366"/>
        <v>Super Rubro</v>
      </c>
      <c r="AG552" t="str">
        <f t="shared" si="367"/>
        <v>ComercioExterior</v>
      </c>
      <c r="AH552" t="str">
        <f t="shared" si="368"/>
        <v>PrecioFOB</v>
      </c>
      <c r="AI552" t="str">
        <f t="shared" si="369"/>
        <v>Monto II</v>
      </c>
      <c r="AJ552" t="str">
        <f t="shared" si="370"/>
        <v>Porcentaje II</v>
      </c>
      <c r="AK552" t="str">
        <f t="shared" si="371"/>
        <v>Foto</v>
      </c>
      <c r="AL552" t="str">
        <f t="shared" ref="AL552:AL559" si="390">" "</f>
        <v xml:space="preserve"> </v>
      </c>
      <c r="AM552" t="str">
        <f t="shared" si="388"/>
        <v xml:space="preserve"> </v>
      </c>
    </row>
    <row r="553" spans="1:39" x14ac:dyDescent="0.25">
      <c r="A553" t="str">
        <f>"BA385104 10"</f>
        <v>BA385104 10</v>
      </c>
      <c r="B553" t="str">
        <f>"COJINETE BANCADA 0,25 RENAULT MEGANE 3 FLUENCE NISSAN SENTRA 2.0 M4R"</f>
        <v>COJINETE BANCADA 0,25 RENAULT MEGANE 3 FLUENCE NISSAN SENTRA 2.0 M4R</v>
      </c>
      <c r="C553" t="str">
        <f>"$ 17410,21"</f>
        <v>$ 17410,21</v>
      </c>
      <c r="D553" t="str">
        <f>"$ 17410,21"</f>
        <v>$ 17410,21</v>
      </c>
      <c r="E553" t="str">
        <f>"$ 17410,21"</f>
        <v>$ 17410,21</v>
      </c>
      <c r="F553" t="str">
        <f>"$ 17410,21"</f>
        <v>$ 17410,21</v>
      </c>
      <c r="G553" t="str">
        <f>"$ 17410,21"</f>
        <v>$ 17410,21</v>
      </c>
      <c r="H553" t="str">
        <f t="shared" si="354"/>
        <v>$ 0,00</v>
      </c>
      <c r="I553" t="str">
        <f t="shared" si="389"/>
        <v>JUEGO COJINETES BANCADA</v>
      </c>
      <c r="J553" t="str">
        <f t="shared" si="355"/>
        <v>1</v>
      </c>
      <c r="K553" t="str">
        <f t="shared" si="379"/>
        <v>0</v>
      </c>
      <c r="L553" t="str">
        <f>"12,000"</f>
        <v>12,000</v>
      </c>
      <c r="M553" t="str">
        <f t="shared" si="356"/>
        <v xml:space="preserve"> </v>
      </c>
      <c r="N553" t="str">
        <f t="shared" si="385"/>
        <v>MPSI</v>
      </c>
      <c r="O553" t="str">
        <f t="shared" si="386"/>
        <v>COJINETES</v>
      </c>
      <c r="P553" t="str">
        <f t="shared" si="382"/>
        <v>0</v>
      </c>
      <c r="Q553" t="str">
        <f t="shared" si="382"/>
        <v>0</v>
      </c>
      <c r="R553" t="str">
        <f t="shared" si="383"/>
        <v>0,00</v>
      </c>
      <c r="S553" t="str">
        <f t="shared" si="383"/>
        <v>0,00</v>
      </c>
      <c r="T553" t="str">
        <f t="shared" si="378"/>
        <v xml:space="preserve"> </v>
      </c>
      <c r="U553" t="str">
        <f t="shared" si="387"/>
        <v>-</v>
      </c>
      <c r="V553" t="str">
        <f>"12,000"</f>
        <v>12,000</v>
      </c>
      <c r="W553" t="str">
        <f t="shared" si="357"/>
        <v>Lista 4</v>
      </c>
      <c r="X553" t="str">
        <f t="shared" si="358"/>
        <v>Lista 5</v>
      </c>
      <c r="Y553" t="str">
        <f t="shared" si="359"/>
        <v>Oferta Gral.</v>
      </c>
      <c r="Z553" t="str">
        <f t="shared" si="360"/>
        <v>Rubro</v>
      </c>
      <c r="AA553" t="str">
        <f t="shared" si="361"/>
        <v>Cantidad por Bulto</v>
      </c>
      <c r="AB553" t="str">
        <f t="shared" si="362"/>
        <v>INNER</v>
      </c>
      <c r="AC553" t="str">
        <f t="shared" si="363"/>
        <v>Stock en Bultos</v>
      </c>
      <c r="AD553" t="str">
        <f t="shared" si="364"/>
        <v>SubDepósito</v>
      </c>
      <c r="AE553" t="str">
        <f t="shared" si="365"/>
        <v>Marca</v>
      </c>
      <c r="AF553" t="str">
        <f t="shared" si="366"/>
        <v>Super Rubro</v>
      </c>
      <c r="AG553" t="str">
        <f t="shared" si="367"/>
        <v>ComercioExterior</v>
      </c>
      <c r="AH553" t="str">
        <f t="shared" si="368"/>
        <v>PrecioFOB</v>
      </c>
      <c r="AI553" t="str">
        <f t="shared" si="369"/>
        <v>Monto II</v>
      </c>
      <c r="AJ553" t="str">
        <f t="shared" si="370"/>
        <v>Porcentaje II</v>
      </c>
      <c r="AK553" t="str">
        <f t="shared" si="371"/>
        <v>Foto</v>
      </c>
      <c r="AL553" t="str">
        <f t="shared" si="390"/>
        <v xml:space="preserve"> </v>
      </c>
      <c r="AM553" t="str">
        <f t="shared" si="388"/>
        <v xml:space="preserve"> </v>
      </c>
    </row>
    <row r="554" spans="1:39" x14ac:dyDescent="0.25">
      <c r="A554" t="str">
        <f>"BA385574 20"</f>
        <v>BA385574 20</v>
      </c>
      <c r="B554" t="str">
        <f>"COJINETE BANCADA 0,50 RENAULT MASTER ALASKAN FRONTIER 2.3 M9T"</f>
        <v>COJINETE BANCADA 0,50 RENAULT MASTER ALASKAN FRONTIER 2.3 M9T</v>
      </c>
      <c r="C554" t="str">
        <f>"$ 22028,11"</f>
        <v>$ 22028,11</v>
      </c>
      <c r="D554" t="str">
        <f>"$ 22028,11"</f>
        <v>$ 22028,11</v>
      </c>
      <c r="E554" t="str">
        <f>"$ 22028,11"</f>
        <v>$ 22028,11</v>
      </c>
      <c r="F554" t="str">
        <f>"$ 22028,11"</f>
        <v>$ 22028,11</v>
      </c>
      <c r="G554" t="str">
        <f>"$ 22028,11"</f>
        <v>$ 22028,11</v>
      </c>
      <c r="H554" t="str">
        <f t="shared" si="354"/>
        <v>$ 0,00</v>
      </c>
      <c r="I554" t="str">
        <f t="shared" si="389"/>
        <v>JUEGO COJINETES BANCADA</v>
      </c>
      <c r="J554" t="str">
        <f t="shared" si="355"/>
        <v>1</v>
      </c>
      <c r="K554" t="str">
        <f t="shared" si="379"/>
        <v>0</v>
      </c>
      <c r="L554" t="str">
        <f>"3,000"</f>
        <v>3,000</v>
      </c>
      <c r="M554" t="str">
        <f t="shared" si="356"/>
        <v xml:space="preserve"> </v>
      </c>
      <c r="N554" t="str">
        <f t="shared" si="385"/>
        <v>MPSI</v>
      </c>
      <c r="O554" t="str">
        <f t="shared" si="386"/>
        <v>COJINETES</v>
      </c>
      <c r="P554" t="str">
        <f t="shared" si="382"/>
        <v>0</v>
      </c>
      <c r="Q554" t="str">
        <f t="shared" si="382"/>
        <v>0</v>
      </c>
      <c r="R554" t="str">
        <f t="shared" si="383"/>
        <v>0,00</v>
      </c>
      <c r="S554" t="str">
        <f t="shared" si="383"/>
        <v>0,00</v>
      </c>
      <c r="T554" t="str">
        <f t="shared" si="378"/>
        <v xml:space="preserve"> </v>
      </c>
      <c r="U554" t="str">
        <f t="shared" si="387"/>
        <v>-</v>
      </c>
      <c r="V554" t="str">
        <f>"3,000"</f>
        <v>3,000</v>
      </c>
      <c r="W554" t="str">
        <f t="shared" si="357"/>
        <v>Lista 4</v>
      </c>
      <c r="X554" t="str">
        <f t="shared" si="358"/>
        <v>Lista 5</v>
      </c>
      <c r="Y554" t="str">
        <f t="shared" si="359"/>
        <v>Oferta Gral.</v>
      </c>
      <c r="Z554" t="str">
        <f t="shared" si="360"/>
        <v>Rubro</v>
      </c>
      <c r="AA554" t="str">
        <f t="shared" si="361"/>
        <v>Cantidad por Bulto</v>
      </c>
      <c r="AB554" t="str">
        <f t="shared" si="362"/>
        <v>INNER</v>
      </c>
      <c r="AC554" t="str">
        <f t="shared" si="363"/>
        <v>Stock en Bultos</v>
      </c>
      <c r="AD554" t="str">
        <f t="shared" si="364"/>
        <v>SubDepósito</v>
      </c>
      <c r="AE554" t="str">
        <f t="shared" si="365"/>
        <v>Marca</v>
      </c>
      <c r="AF554" t="str">
        <f t="shared" si="366"/>
        <v>Super Rubro</v>
      </c>
      <c r="AG554" t="str">
        <f t="shared" si="367"/>
        <v>ComercioExterior</v>
      </c>
      <c r="AH554" t="str">
        <f t="shared" si="368"/>
        <v>PrecioFOB</v>
      </c>
      <c r="AI554" t="str">
        <f t="shared" si="369"/>
        <v>Monto II</v>
      </c>
      <c r="AJ554" t="str">
        <f t="shared" si="370"/>
        <v>Porcentaje II</v>
      </c>
      <c r="AK554" t="str">
        <f t="shared" si="371"/>
        <v>Foto</v>
      </c>
      <c r="AL554" t="str">
        <f t="shared" si="390"/>
        <v xml:space="preserve"> </v>
      </c>
      <c r="AM554" t="str">
        <f t="shared" si="388"/>
        <v xml:space="preserve"> </v>
      </c>
    </row>
    <row r="555" spans="1:39" x14ac:dyDescent="0.25">
      <c r="A555" t="str">
        <f>"BA385104 20"</f>
        <v>BA385104 20</v>
      </c>
      <c r="B555" t="str">
        <f>"COJINETE BANCADA 0,50 RENAULT MEGANE 3 FLUENCE NISSAN SENTRA 2.0 M4R"</f>
        <v>COJINETE BANCADA 0,50 RENAULT MEGANE 3 FLUENCE NISSAN SENTRA 2.0 M4R</v>
      </c>
      <c r="C555" t="str">
        <f>"$ 17410,21"</f>
        <v>$ 17410,21</v>
      </c>
      <c r="D555" t="str">
        <f>"$ 17410,21"</f>
        <v>$ 17410,21</v>
      </c>
      <c r="E555" t="str">
        <f>"$ 17410,21"</f>
        <v>$ 17410,21</v>
      </c>
      <c r="F555" t="str">
        <f>"$ 17410,21"</f>
        <v>$ 17410,21</v>
      </c>
      <c r="G555" t="str">
        <f>"$ 17410,21"</f>
        <v>$ 17410,21</v>
      </c>
      <c r="H555" t="str">
        <f t="shared" si="354"/>
        <v>$ 0,00</v>
      </c>
      <c r="I555" t="str">
        <f t="shared" si="389"/>
        <v>JUEGO COJINETES BANCADA</v>
      </c>
      <c r="J555" t="str">
        <f t="shared" si="355"/>
        <v>1</v>
      </c>
      <c r="K555" t="str">
        <f t="shared" si="379"/>
        <v>0</v>
      </c>
      <c r="L555" t="str">
        <f>"9,000"</f>
        <v>9,000</v>
      </c>
      <c r="M555" t="str">
        <f t="shared" si="356"/>
        <v xml:space="preserve"> </v>
      </c>
      <c r="N555" t="str">
        <f t="shared" si="385"/>
        <v>MPSI</v>
      </c>
      <c r="O555" t="str">
        <f t="shared" si="386"/>
        <v>COJINETES</v>
      </c>
      <c r="P555" t="str">
        <f t="shared" si="382"/>
        <v>0</v>
      </c>
      <c r="Q555" t="str">
        <f t="shared" si="382"/>
        <v>0</v>
      </c>
      <c r="R555" t="str">
        <f t="shared" si="383"/>
        <v>0,00</v>
      </c>
      <c r="S555" t="str">
        <f t="shared" si="383"/>
        <v>0,00</v>
      </c>
      <c r="T555" t="str">
        <f t="shared" si="378"/>
        <v xml:space="preserve"> </v>
      </c>
      <c r="U555" t="str">
        <f t="shared" si="387"/>
        <v>-</v>
      </c>
      <c r="V555" t="str">
        <f>"9,000"</f>
        <v>9,000</v>
      </c>
      <c r="W555" t="str">
        <f t="shared" si="357"/>
        <v>Lista 4</v>
      </c>
      <c r="X555" t="str">
        <f t="shared" si="358"/>
        <v>Lista 5</v>
      </c>
      <c r="Y555" t="str">
        <f t="shared" si="359"/>
        <v>Oferta Gral.</v>
      </c>
      <c r="Z555" t="str">
        <f t="shared" si="360"/>
        <v>Rubro</v>
      </c>
      <c r="AA555" t="str">
        <f t="shared" si="361"/>
        <v>Cantidad por Bulto</v>
      </c>
      <c r="AB555" t="str">
        <f t="shared" si="362"/>
        <v>INNER</v>
      </c>
      <c r="AC555" t="str">
        <f t="shared" si="363"/>
        <v>Stock en Bultos</v>
      </c>
      <c r="AD555" t="str">
        <f t="shared" si="364"/>
        <v>SubDepósito</v>
      </c>
      <c r="AE555" t="str">
        <f t="shared" si="365"/>
        <v>Marca</v>
      </c>
      <c r="AF555" t="str">
        <f t="shared" si="366"/>
        <v>Super Rubro</v>
      </c>
      <c r="AG555" t="str">
        <f t="shared" si="367"/>
        <v>ComercioExterior</v>
      </c>
      <c r="AH555" t="str">
        <f t="shared" si="368"/>
        <v>PrecioFOB</v>
      </c>
      <c r="AI555" t="str">
        <f t="shared" si="369"/>
        <v>Monto II</v>
      </c>
      <c r="AJ555" t="str">
        <f t="shared" si="370"/>
        <v>Porcentaje II</v>
      </c>
      <c r="AK555" t="str">
        <f t="shared" si="371"/>
        <v>Foto</v>
      </c>
      <c r="AL555" t="str">
        <f t="shared" si="390"/>
        <v xml:space="preserve"> </v>
      </c>
      <c r="AM555" t="str">
        <f t="shared" si="388"/>
        <v xml:space="preserve"> </v>
      </c>
    </row>
    <row r="556" spans="1:39" x14ac:dyDescent="0.25">
      <c r="A556" t="str">
        <f>"BA385574 30"</f>
        <v>BA385574 30</v>
      </c>
      <c r="B556" t="str">
        <f>"COJINETE BANCADA 0,75 RENAULT MASTER ALASKAN FRONTIER 2.3 M9T"</f>
        <v>COJINETE BANCADA 0,75 RENAULT MASTER ALASKAN FRONTIER 2.3 M9T</v>
      </c>
      <c r="C556" t="str">
        <f>"$ 22028,11"</f>
        <v>$ 22028,11</v>
      </c>
      <c r="D556" t="str">
        <f>"$ 22028,11"</f>
        <v>$ 22028,11</v>
      </c>
      <c r="E556" t="str">
        <f>"$ 22028,11"</f>
        <v>$ 22028,11</v>
      </c>
      <c r="F556" t="str">
        <f>"$ 22028,11"</f>
        <v>$ 22028,11</v>
      </c>
      <c r="G556" t="str">
        <f>"$ 22028,11"</f>
        <v>$ 22028,11</v>
      </c>
      <c r="H556" t="str">
        <f t="shared" si="354"/>
        <v>$ 0,00</v>
      </c>
      <c r="I556" t="str">
        <f t="shared" si="389"/>
        <v>JUEGO COJINETES BANCADA</v>
      </c>
      <c r="J556" t="str">
        <f t="shared" si="355"/>
        <v>1</v>
      </c>
      <c r="K556" t="str">
        <f t="shared" si="379"/>
        <v>0</v>
      </c>
      <c r="L556" t="str">
        <f>"0,000"</f>
        <v>0,000</v>
      </c>
      <c r="M556" t="str">
        <f t="shared" si="356"/>
        <v xml:space="preserve"> </v>
      </c>
      <c r="N556" t="str">
        <f t="shared" si="385"/>
        <v>MPSI</v>
      </c>
      <c r="O556" t="str">
        <f t="shared" si="386"/>
        <v>COJINETES</v>
      </c>
      <c r="P556" t="str">
        <f t="shared" si="382"/>
        <v>0</v>
      </c>
      <c r="Q556" t="str">
        <f t="shared" si="382"/>
        <v>0</v>
      </c>
      <c r="R556" t="str">
        <f t="shared" si="383"/>
        <v>0,00</v>
      </c>
      <c r="S556" t="str">
        <f t="shared" si="383"/>
        <v>0,00</v>
      </c>
      <c r="T556" t="str">
        <f t="shared" si="378"/>
        <v xml:space="preserve"> </v>
      </c>
      <c r="U556" t="str">
        <f t="shared" si="387"/>
        <v>-</v>
      </c>
      <c r="V556" t="str">
        <f>"0,000"</f>
        <v>0,000</v>
      </c>
      <c r="W556" t="str">
        <f t="shared" si="357"/>
        <v>Lista 4</v>
      </c>
      <c r="X556" t="str">
        <f t="shared" si="358"/>
        <v>Lista 5</v>
      </c>
      <c r="Y556" t="str">
        <f t="shared" si="359"/>
        <v>Oferta Gral.</v>
      </c>
      <c r="Z556" t="str">
        <f t="shared" si="360"/>
        <v>Rubro</v>
      </c>
      <c r="AA556" t="str">
        <f t="shared" si="361"/>
        <v>Cantidad por Bulto</v>
      </c>
      <c r="AB556" t="str">
        <f t="shared" si="362"/>
        <v>INNER</v>
      </c>
      <c r="AC556" t="str">
        <f t="shared" si="363"/>
        <v>Stock en Bultos</v>
      </c>
      <c r="AD556" t="str">
        <f t="shared" si="364"/>
        <v>SubDepósito</v>
      </c>
      <c r="AE556" t="str">
        <f t="shared" si="365"/>
        <v>Marca</v>
      </c>
      <c r="AF556" t="str">
        <f t="shared" si="366"/>
        <v>Super Rubro</v>
      </c>
      <c r="AG556" t="str">
        <f t="shared" si="367"/>
        <v>ComercioExterior</v>
      </c>
      <c r="AH556" t="str">
        <f t="shared" si="368"/>
        <v>PrecioFOB</v>
      </c>
      <c r="AI556" t="str">
        <f t="shared" si="369"/>
        <v>Monto II</v>
      </c>
      <c r="AJ556" t="str">
        <f t="shared" si="370"/>
        <v>Porcentaje II</v>
      </c>
      <c r="AK556" t="str">
        <f t="shared" si="371"/>
        <v>Foto</v>
      </c>
      <c r="AL556" t="str">
        <f t="shared" si="390"/>
        <v xml:space="preserve"> </v>
      </c>
      <c r="AM556" t="str">
        <f t="shared" si="388"/>
        <v xml:space="preserve"> </v>
      </c>
    </row>
    <row r="557" spans="1:39" x14ac:dyDescent="0.25">
      <c r="A557" t="str">
        <f>"BA385104 30"</f>
        <v>BA385104 30</v>
      </c>
      <c r="B557" t="str">
        <f>"COJINETE BANCADA 0,75 RENAULT MEGANE 3 FLUENCE NISSAN SENTRA 2.0 M4R"</f>
        <v>COJINETE BANCADA 0,75 RENAULT MEGANE 3 FLUENCE NISSAN SENTRA 2.0 M4R</v>
      </c>
      <c r="C557" t="str">
        <f>"$ 17410,21"</f>
        <v>$ 17410,21</v>
      </c>
      <c r="D557" t="str">
        <f>"$ 17410,21"</f>
        <v>$ 17410,21</v>
      </c>
      <c r="E557" t="str">
        <f>"$ 17410,21"</f>
        <v>$ 17410,21</v>
      </c>
      <c r="F557" t="str">
        <f>"$ 17410,21"</f>
        <v>$ 17410,21</v>
      </c>
      <c r="G557" t="str">
        <f>"$ 17410,21"</f>
        <v>$ 17410,21</v>
      </c>
      <c r="H557" t="str">
        <f t="shared" si="354"/>
        <v>$ 0,00</v>
      </c>
      <c r="I557" t="str">
        <f t="shared" si="389"/>
        <v>JUEGO COJINETES BANCADA</v>
      </c>
      <c r="J557" t="str">
        <f t="shared" si="355"/>
        <v>1</v>
      </c>
      <c r="K557" t="str">
        <f t="shared" si="379"/>
        <v>0</v>
      </c>
      <c r="L557" t="str">
        <f>"0,000"</f>
        <v>0,000</v>
      </c>
      <c r="M557" t="str">
        <f t="shared" si="356"/>
        <v xml:space="preserve"> </v>
      </c>
      <c r="N557" t="str">
        <f t="shared" si="385"/>
        <v>MPSI</v>
      </c>
      <c r="O557" t="str">
        <f t="shared" si="386"/>
        <v>COJINETES</v>
      </c>
      <c r="P557" t="str">
        <f t="shared" si="382"/>
        <v>0</v>
      </c>
      <c r="Q557" t="str">
        <f t="shared" si="382"/>
        <v>0</v>
      </c>
      <c r="R557" t="str">
        <f t="shared" si="383"/>
        <v>0,00</v>
      </c>
      <c r="S557" t="str">
        <f t="shared" si="383"/>
        <v>0,00</v>
      </c>
      <c r="T557" t="str">
        <f t="shared" si="378"/>
        <v xml:space="preserve"> </v>
      </c>
      <c r="U557" t="str">
        <f t="shared" si="387"/>
        <v>-</v>
      </c>
      <c r="V557" t="str">
        <f>"0,000"</f>
        <v>0,000</v>
      </c>
      <c r="W557" t="str">
        <f t="shared" si="357"/>
        <v>Lista 4</v>
      </c>
      <c r="X557" t="str">
        <f t="shared" si="358"/>
        <v>Lista 5</v>
      </c>
      <c r="Y557" t="str">
        <f t="shared" si="359"/>
        <v>Oferta Gral.</v>
      </c>
      <c r="Z557" t="str">
        <f t="shared" si="360"/>
        <v>Rubro</v>
      </c>
      <c r="AA557" t="str">
        <f t="shared" si="361"/>
        <v>Cantidad por Bulto</v>
      </c>
      <c r="AB557" t="str">
        <f t="shared" si="362"/>
        <v>INNER</v>
      </c>
      <c r="AC557" t="str">
        <f t="shared" si="363"/>
        <v>Stock en Bultos</v>
      </c>
      <c r="AD557" t="str">
        <f t="shared" si="364"/>
        <v>SubDepósito</v>
      </c>
      <c r="AE557" t="str">
        <f t="shared" si="365"/>
        <v>Marca</v>
      </c>
      <c r="AF557" t="str">
        <f t="shared" si="366"/>
        <v>Super Rubro</v>
      </c>
      <c r="AG557" t="str">
        <f t="shared" si="367"/>
        <v>ComercioExterior</v>
      </c>
      <c r="AH557" t="str">
        <f t="shared" si="368"/>
        <v>PrecioFOB</v>
      </c>
      <c r="AI557" t="str">
        <f t="shared" si="369"/>
        <v>Monto II</v>
      </c>
      <c r="AJ557" t="str">
        <f t="shared" si="370"/>
        <v>Porcentaje II</v>
      </c>
      <c r="AK557" t="str">
        <f t="shared" si="371"/>
        <v>Foto</v>
      </c>
      <c r="AL557" t="str">
        <f t="shared" si="390"/>
        <v xml:space="preserve"> </v>
      </c>
      <c r="AM557" t="str">
        <f t="shared" si="388"/>
        <v xml:space="preserve"> </v>
      </c>
    </row>
    <row r="558" spans="1:39" x14ac:dyDescent="0.25">
      <c r="A558" t="str">
        <f>"BA385574"</f>
        <v>BA385574</v>
      </c>
      <c r="B558" t="str">
        <f>"COJINETE BANCADA STD RENAULT MASTER ALASKAN FRONTIER 2.3 M9T"</f>
        <v>COJINETE BANCADA STD RENAULT MASTER ALASKAN FRONTIER 2.3 M9T</v>
      </c>
      <c r="C558" t="str">
        <f>"$ 22028,11"</f>
        <v>$ 22028,11</v>
      </c>
      <c r="D558" t="str">
        <f>"$ 22028,11"</f>
        <v>$ 22028,11</v>
      </c>
      <c r="E558" t="str">
        <f>"$ 22028,11"</f>
        <v>$ 22028,11</v>
      </c>
      <c r="F558" t="str">
        <f>"$ 22028,11"</f>
        <v>$ 22028,11</v>
      </c>
      <c r="G558" t="str">
        <f>"$ 22028,11"</f>
        <v>$ 22028,11</v>
      </c>
      <c r="H558" t="str">
        <f t="shared" si="354"/>
        <v>$ 0,00</v>
      </c>
      <c r="I558" t="str">
        <f t="shared" si="389"/>
        <v>JUEGO COJINETES BANCADA</v>
      </c>
      <c r="J558" t="str">
        <f t="shared" si="355"/>
        <v>1</v>
      </c>
      <c r="K558" t="str">
        <f t="shared" si="379"/>
        <v>0</v>
      </c>
      <c r="L558" t="str">
        <f>"7,000"</f>
        <v>7,000</v>
      </c>
      <c r="M558" t="str">
        <f t="shared" si="356"/>
        <v xml:space="preserve"> </v>
      </c>
      <c r="N558" t="str">
        <f t="shared" si="385"/>
        <v>MPSI</v>
      </c>
      <c r="O558" t="str">
        <f t="shared" si="386"/>
        <v>COJINETES</v>
      </c>
      <c r="P558" t="str">
        <f t="shared" si="382"/>
        <v>0</v>
      </c>
      <c r="Q558" t="str">
        <f t="shared" si="382"/>
        <v>0</v>
      </c>
      <c r="R558" t="str">
        <f t="shared" si="383"/>
        <v>0,00</v>
      </c>
      <c r="S558" t="str">
        <f t="shared" si="383"/>
        <v>0,00</v>
      </c>
      <c r="T558" t="str">
        <f t="shared" si="378"/>
        <v xml:space="preserve"> </v>
      </c>
      <c r="U558" t="str">
        <f t="shared" si="387"/>
        <v>-</v>
      </c>
      <c r="V558" t="str">
        <f>"7,000"</f>
        <v>7,000</v>
      </c>
      <c r="W558" t="str">
        <f t="shared" si="357"/>
        <v>Lista 4</v>
      </c>
      <c r="X558" t="str">
        <f t="shared" si="358"/>
        <v>Lista 5</v>
      </c>
      <c r="Y558" t="str">
        <f t="shared" si="359"/>
        <v>Oferta Gral.</v>
      </c>
      <c r="Z558" t="str">
        <f t="shared" si="360"/>
        <v>Rubro</v>
      </c>
      <c r="AA558" t="str">
        <f t="shared" si="361"/>
        <v>Cantidad por Bulto</v>
      </c>
      <c r="AB558" t="str">
        <f t="shared" si="362"/>
        <v>INNER</v>
      </c>
      <c r="AC558" t="str">
        <f t="shared" si="363"/>
        <v>Stock en Bultos</v>
      </c>
      <c r="AD558" t="str">
        <f t="shared" si="364"/>
        <v>SubDepósito</v>
      </c>
      <c r="AE558" t="str">
        <f t="shared" si="365"/>
        <v>Marca</v>
      </c>
      <c r="AF558" t="str">
        <f t="shared" si="366"/>
        <v>Super Rubro</v>
      </c>
      <c r="AG558" t="str">
        <f t="shared" si="367"/>
        <v>ComercioExterior</v>
      </c>
      <c r="AH558" t="str">
        <f t="shared" si="368"/>
        <v>PrecioFOB</v>
      </c>
      <c r="AI558" t="str">
        <f t="shared" si="369"/>
        <v>Monto II</v>
      </c>
      <c r="AJ558" t="str">
        <f t="shared" si="370"/>
        <v>Porcentaje II</v>
      </c>
      <c r="AK558" t="str">
        <f t="shared" si="371"/>
        <v>Foto</v>
      </c>
      <c r="AL558" t="str">
        <f t="shared" si="390"/>
        <v xml:space="preserve"> </v>
      </c>
      <c r="AM558" t="str">
        <f t="shared" si="388"/>
        <v xml:space="preserve"> </v>
      </c>
    </row>
    <row r="559" spans="1:39" x14ac:dyDescent="0.25">
      <c r="A559" t="str">
        <f>"BA385104"</f>
        <v>BA385104</v>
      </c>
      <c r="B559" t="str">
        <f>"COJINETE BANCADA STD RENAULT MEGANE 3 FLUENCE NISSAN SENTRA 2.0 M4R"</f>
        <v>COJINETE BANCADA STD RENAULT MEGANE 3 FLUENCE NISSAN SENTRA 2.0 M4R</v>
      </c>
      <c r="C559" t="str">
        <f>"$ 17410,21"</f>
        <v>$ 17410,21</v>
      </c>
      <c r="D559" t="str">
        <f>"$ 17410,21"</f>
        <v>$ 17410,21</v>
      </c>
      <c r="E559" t="str">
        <f>"$ 17410,21"</f>
        <v>$ 17410,21</v>
      </c>
      <c r="F559" t="str">
        <f>"$ 17410,21"</f>
        <v>$ 17410,21</v>
      </c>
      <c r="G559" t="str">
        <f>"$ 17410,21"</f>
        <v>$ 17410,21</v>
      </c>
      <c r="H559" t="str">
        <f t="shared" si="354"/>
        <v>$ 0,00</v>
      </c>
      <c r="I559" t="str">
        <f t="shared" si="389"/>
        <v>JUEGO COJINETES BANCADA</v>
      </c>
      <c r="J559" t="str">
        <f t="shared" si="355"/>
        <v>1</v>
      </c>
      <c r="K559" t="str">
        <f t="shared" si="379"/>
        <v>0</v>
      </c>
      <c r="L559" t="str">
        <f>"8,000"</f>
        <v>8,000</v>
      </c>
      <c r="M559" t="str">
        <f t="shared" si="356"/>
        <v xml:space="preserve"> </v>
      </c>
      <c r="N559" t="str">
        <f t="shared" si="385"/>
        <v>MPSI</v>
      </c>
      <c r="O559" t="str">
        <f t="shared" si="386"/>
        <v>COJINETES</v>
      </c>
      <c r="P559" t="str">
        <f t="shared" si="382"/>
        <v>0</v>
      </c>
      <c r="Q559" t="str">
        <f t="shared" si="382"/>
        <v>0</v>
      </c>
      <c r="R559" t="str">
        <f t="shared" si="383"/>
        <v>0,00</v>
      </c>
      <c r="S559" t="str">
        <f t="shared" si="383"/>
        <v>0,00</v>
      </c>
      <c r="T559" t="str">
        <f t="shared" si="378"/>
        <v xml:space="preserve"> </v>
      </c>
      <c r="U559" t="str">
        <f t="shared" si="387"/>
        <v>-</v>
      </c>
      <c r="V559" t="str">
        <f>"8,000"</f>
        <v>8,000</v>
      </c>
      <c r="W559" t="str">
        <f t="shared" si="357"/>
        <v>Lista 4</v>
      </c>
      <c r="X559" t="str">
        <f t="shared" si="358"/>
        <v>Lista 5</v>
      </c>
      <c r="Y559" t="str">
        <f t="shared" si="359"/>
        <v>Oferta Gral.</v>
      </c>
      <c r="Z559" t="str">
        <f t="shared" si="360"/>
        <v>Rubro</v>
      </c>
      <c r="AA559" t="str">
        <f t="shared" si="361"/>
        <v>Cantidad por Bulto</v>
      </c>
      <c r="AB559" t="str">
        <f t="shared" si="362"/>
        <v>INNER</v>
      </c>
      <c r="AC559" t="str">
        <f t="shared" si="363"/>
        <v>Stock en Bultos</v>
      </c>
      <c r="AD559" t="str">
        <f t="shared" si="364"/>
        <v>SubDepósito</v>
      </c>
      <c r="AE559" t="str">
        <f t="shared" si="365"/>
        <v>Marca</v>
      </c>
      <c r="AF559" t="str">
        <f t="shared" si="366"/>
        <v>Super Rubro</v>
      </c>
      <c r="AG559" t="str">
        <f t="shared" si="367"/>
        <v>ComercioExterior</v>
      </c>
      <c r="AH559" t="str">
        <f t="shared" si="368"/>
        <v>PrecioFOB</v>
      </c>
      <c r="AI559" t="str">
        <f t="shared" si="369"/>
        <v>Monto II</v>
      </c>
      <c r="AJ559" t="str">
        <f t="shared" si="370"/>
        <v>Porcentaje II</v>
      </c>
      <c r="AK559" t="str">
        <f t="shared" si="371"/>
        <v>Foto</v>
      </c>
      <c r="AL559" t="str">
        <f t="shared" si="390"/>
        <v xml:space="preserve"> </v>
      </c>
      <c r="AM559" t="str">
        <f t="shared" si="388"/>
        <v xml:space="preserve"> </v>
      </c>
    </row>
    <row r="560" spans="1:39" x14ac:dyDescent="0.25">
      <c r="A560" t="str">
        <f>"AL165814"</f>
        <v>AL165814</v>
      </c>
      <c r="B560" t="str">
        <f>"COJINETES ARBOL DE LEVAS FORD FIESTA COURIER FOCUS 1.8 DIESEL"</f>
        <v>COJINETES ARBOL DE LEVAS FORD FIESTA COURIER FOCUS 1.8 DIESEL</v>
      </c>
      <c r="C560" t="str">
        <f>"$ 21669,35"</f>
        <v>$ 21669,35</v>
      </c>
      <c r="D560" t="str">
        <f>"$ 21669,35"</f>
        <v>$ 21669,35</v>
      </c>
      <c r="E560" t="str">
        <f>"$ 21669,35"</f>
        <v>$ 21669,35</v>
      </c>
      <c r="F560" t="str">
        <f>"$ 21669,35"</f>
        <v>$ 21669,35</v>
      </c>
      <c r="G560" t="str">
        <f>"$ 21669,35"</f>
        <v>$ 21669,35</v>
      </c>
      <c r="H560" t="str">
        <f t="shared" si="354"/>
        <v>$ 0,00</v>
      </c>
      <c r="I560" t="str">
        <f>"JUEGO COJINETES ARBOL DE LEVAS"</f>
        <v>JUEGO COJINETES ARBOL DE LEVAS</v>
      </c>
      <c r="J560" t="str">
        <f t="shared" si="355"/>
        <v>1</v>
      </c>
      <c r="K560" t="str">
        <f t="shared" si="379"/>
        <v>0</v>
      </c>
      <c r="L560" t="str">
        <f>"1,000"</f>
        <v>1,000</v>
      </c>
      <c r="M560" t="str">
        <f t="shared" si="356"/>
        <v xml:space="preserve"> </v>
      </c>
      <c r="N560" t="str">
        <f t="shared" si="385"/>
        <v>MPSI</v>
      </c>
      <c r="O560" t="str">
        <f t="shared" si="386"/>
        <v>COJINETES</v>
      </c>
      <c r="P560" t="str">
        <f t="shared" si="382"/>
        <v>0</v>
      </c>
      <c r="Q560" t="str">
        <f t="shared" si="382"/>
        <v>0</v>
      </c>
      <c r="R560" t="str">
        <f t="shared" si="383"/>
        <v>0,00</v>
      </c>
      <c r="S560" t="str">
        <f t="shared" si="383"/>
        <v>0,00</v>
      </c>
      <c r="T560" t="str">
        <f t="shared" si="378"/>
        <v xml:space="preserve"> </v>
      </c>
      <c r="U560" t="str">
        <f t="shared" si="387"/>
        <v>-</v>
      </c>
      <c r="V560" t="str">
        <f>"1,000"</f>
        <v>1,000</v>
      </c>
      <c r="W560" t="str">
        <f t="shared" si="357"/>
        <v>Lista 4</v>
      </c>
      <c r="X560" t="str">
        <f t="shared" si="358"/>
        <v>Lista 5</v>
      </c>
      <c r="Y560" t="str">
        <f t="shared" si="359"/>
        <v>Oferta Gral.</v>
      </c>
      <c r="Z560" t="str">
        <f t="shared" si="360"/>
        <v>Rubro</v>
      </c>
      <c r="AA560" t="str">
        <f t="shared" si="361"/>
        <v>Cantidad por Bulto</v>
      </c>
      <c r="AB560" t="str">
        <f t="shared" si="362"/>
        <v>INNER</v>
      </c>
      <c r="AC560" t="str">
        <f t="shared" si="363"/>
        <v>Stock en Bultos</v>
      </c>
      <c r="AD560" t="str">
        <f t="shared" si="364"/>
        <v>SubDepósito</v>
      </c>
      <c r="AE560" t="str">
        <f t="shared" si="365"/>
        <v>Marca</v>
      </c>
      <c r="AF560" t="str">
        <f t="shared" si="366"/>
        <v>Super Rubro</v>
      </c>
      <c r="AG560" t="str">
        <f t="shared" si="367"/>
        <v>ComercioExterior</v>
      </c>
      <c r="AH560" t="str">
        <f t="shared" si="368"/>
        <v>PrecioFOB</v>
      </c>
      <c r="AI560" t="str">
        <f t="shared" si="369"/>
        <v>Monto II</v>
      </c>
      <c r="AJ560" t="str">
        <f t="shared" si="370"/>
        <v>Porcentaje II</v>
      </c>
      <c r="AK560" t="str">
        <f t="shared" si="371"/>
        <v>Foto</v>
      </c>
      <c r="AL56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560" t="str">
        <f t="shared" si="388"/>
        <v xml:space="preserve"> </v>
      </c>
    </row>
    <row r="561" spans="1:39" x14ac:dyDescent="0.25">
      <c r="A561" t="str">
        <f>"AL465483"</f>
        <v>AL465483</v>
      </c>
      <c r="B561" t="str">
        <f>"COJINETES ARBOL DE LEVAS VW BORA TDI"</f>
        <v>COJINETES ARBOL DE LEVAS VW BORA TDI</v>
      </c>
      <c r="C561" t="str">
        <f>"$ 37124,18"</f>
        <v>$ 37124,18</v>
      </c>
      <c r="D561" t="str">
        <f>"$ 37124,18"</f>
        <v>$ 37124,18</v>
      </c>
      <c r="E561" t="str">
        <f>"$ 37124,18"</f>
        <v>$ 37124,18</v>
      </c>
      <c r="F561" t="str">
        <f>"$ 37124,18"</f>
        <v>$ 37124,18</v>
      </c>
      <c r="G561" t="str">
        <f>"$ 37124,18"</f>
        <v>$ 37124,18</v>
      </c>
      <c r="H561" t="str">
        <f t="shared" si="354"/>
        <v>$ 0,00</v>
      </c>
      <c r="I561" t="str">
        <f>"JUEGO COJINETES ARBOL DE LEVAS"</f>
        <v>JUEGO COJINETES ARBOL DE LEVAS</v>
      </c>
      <c r="J561" t="str">
        <f t="shared" si="355"/>
        <v>1</v>
      </c>
      <c r="K561" t="str">
        <f t="shared" si="379"/>
        <v>0</v>
      </c>
      <c r="L561" t="str">
        <f>"3,000"</f>
        <v>3,000</v>
      </c>
      <c r="M561" t="str">
        <f t="shared" si="356"/>
        <v xml:space="preserve"> </v>
      </c>
      <c r="N561" t="str">
        <f t="shared" si="385"/>
        <v>MPSI</v>
      </c>
      <c r="O561" t="str">
        <f t="shared" si="386"/>
        <v>COJINETES</v>
      </c>
      <c r="P561" t="str">
        <f t="shared" si="382"/>
        <v>0</v>
      </c>
      <c r="Q561" t="str">
        <f t="shared" si="382"/>
        <v>0</v>
      </c>
      <c r="R561" t="str">
        <f t="shared" si="383"/>
        <v>0,00</v>
      </c>
      <c r="S561" t="str">
        <f t="shared" si="383"/>
        <v>0,00</v>
      </c>
      <c r="T561" t="str">
        <f t="shared" si="378"/>
        <v xml:space="preserve"> </v>
      </c>
      <c r="U561" t="str">
        <f t="shared" si="387"/>
        <v>-</v>
      </c>
      <c r="V561" t="str">
        <f>"3,000"</f>
        <v>3,000</v>
      </c>
      <c r="W561" t="str">
        <f t="shared" si="357"/>
        <v>Lista 4</v>
      </c>
      <c r="X561" t="str">
        <f t="shared" si="358"/>
        <v>Lista 5</v>
      </c>
      <c r="Y561" t="str">
        <f t="shared" si="359"/>
        <v>Oferta Gral.</v>
      </c>
      <c r="Z561" t="str">
        <f t="shared" si="360"/>
        <v>Rubro</v>
      </c>
      <c r="AA561" t="str">
        <f t="shared" si="361"/>
        <v>Cantidad por Bulto</v>
      </c>
      <c r="AB561" t="str">
        <f t="shared" si="362"/>
        <v>INNER</v>
      </c>
      <c r="AC561" t="str">
        <f t="shared" si="363"/>
        <v>Stock en Bultos</v>
      </c>
      <c r="AD561" t="str">
        <f t="shared" si="364"/>
        <v>SubDepósito</v>
      </c>
      <c r="AE561" t="str">
        <f t="shared" si="365"/>
        <v>Marca</v>
      </c>
      <c r="AF561" t="str">
        <f t="shared" si="366"/>
        <v>Super Rubro</v>
      </c>
      <c r="AG561" t="str">
        <f t="shared" si="367"/>
        <v>ComercioExterior</v>
      </c>
      <c r="AH561" t="str">
        <f t="shared" si="368"/>
        <v>PrecioFOB</v>
      </c>
      <c r="AI561" t="str">
        <f t="shared" si="369"/>
        <v>Monto II</v>
      </c>
      <c r="AJ561" t="str">
        <f t="shared" si="370"/>
        <v>Porcentaje II</v>
      </c>
      <c r="AK561" t="str">
        <f t="shared" si="371"/>
        <v>Foto</v>
      </c>
      <c r="AL561" t="str">
        <f>"{\rtf1\ansi\ansicpg1252\deff0\deflang11274{\fonttbl{\f0\fnil\fcharset0 MS Sans Serif}} \viewkind4\uc1\pard\f0\fs16 COJINETES ARBOL DE LEVAS VW BORA TDI\par } "</f>
        <v xml:space="preserve">{\rtf1\ansi\ansicpg1252\deff0\deflang11274{\fonttbl{\f0\fnil\fcharset0 MS Sans Serif}} \viewkind4\uc1\pard\f0\fs16 COJINETES ARBOL DE LEVAS VW BORA TDI\par } </v>
      </c>
      <c r="AM561" t="str">
        <f t="shared" si="388"/>
        <v xml:space="preserve"> </v>
      </c>
    </row>
    <row r="562" spans="1:39" x14ac:dyDescent="0.25">
      <c r="A562" t="str">
        <f>"AX810 5"</f>
        <v>AX810 5</v>
      </c>
      <c r="B562" t="str">
        <f>"COJINETES AXIAL 0,127 CHEVROLET CORSA 1.7 DIESEL"</f>
        <v>COJINETES AXIAL 0,127 CHEVROLET CORSA 1.7 DIESEL</v>
      </c>
      <c r="C562" t="str">
        <f>"$ 4471,24"</f>
        <v>$ 4471,24</v>
      </c>
      <c r="D562" t="str">
        <f>"$ 4471,24"</f>
        <v>$ 4471,24</v>
      </c>
      <c r="E562" t="str">
        <f>"$ 4471,24"</f>
        <v>$ 4471,24</v>
      </c>
      <c r="F562" t="str">
        <f>"$ 4471,24"</f>
        <v>$ 4471,24</v>
      </c>
      <c r="G562" t="str">
        <f>"$ 4471,24"</f>
        <v>$ 4471,24</v>
      </c>
      <c r="H562" t="str">
        <f t="shared" si="354"/>
        <v>$ 0,00</v>
      </c>
      <c r="I562" t="str">
        <f t="shared" ref="I562:I593" si="391">"JUEGO AXIALES"</f>
        <v>JUEGO AXIALES</v>
      </c>
      <c r="J562" t="str">
        <f t="shared" si="355"/>
        <v>1</v>
      </c>
      <c r="K562" t="str">
        <f t="shared" si="379"/>
        <v>0</v>
      </c>
      <c r="L562" t="str">
        <f>"13,000"</f>
        <v>13,000</v>
      </c>
      <c r="M562" t="str">
        <f t="shared" si="356"/>
        <v xml:space="preserve"> </v>
      </c>
      <c r="N562" t="str">
        <f t="shared" si="385"/>
        <v>MPSI</v>
      </c>
      <c r="O562" t="str">
        <f t="shared" si="386"/>
        <v>COJINETES</v>
      </c>
      <c r="P562" t="str">
        <f t="shared" si="382"/>
        <v>0</v>
      </c>
      <c r="Q562" t="str">
        <f t="shared" si="382"/>
        <v>0</v>
      </c>
      <c r="R562" t="str">
        <f t="shared" si="383"/>
        <v>0,00</v>
      </c>
      <c r="S562" t="str">
        <f t="shared" si="383"/>
        <v>0,00</v>
      </c>
      <c r="T562" t="str">
        <f t="shared" si="378"/>
        <v xml:space="preserve"> </v>
      </c>
      <c r="U562" t="str">
        <f t="shared" si="387"/>
        <v>-</v>
      </c>
      <c r="V562" t="str">
        <f>"13,000"</f>
        <v>13,000</v>
      </c>
      <c r="W562" t="str">
        <f t="shared" si="357"/>
        <v>Lista 4</v>
      </c>
      <c r="X562" t="str">
        <f t="shared" si="358"/>
        <v>Lista 5</v>
      </c>
      <c r="Y562" t="str">
        <f t="shared" si="359"/>
        <v>Oferta Gral.</v>
      </c>
      <c r="Z562" t="str">
        <f t="shared" si="360"/>
        <v>Rubro</v>
      </c>
      <c r="AA562" t="str">
        <f t="shared" si="361"/>
        <v>Cantidad por Bulto</v>
      </c>
      <c r="AB562" t="str">
        <f t="shared" si="362"/>
        <v>INNER</v>
      </c>
      <c r="AC562" t="str">
        <f t="shared" si="363"/>
        <v>Stock en Bultos</v>
      </c>
      <c r="AD562" t="str">
        <f t="shared" si="364"/>
        <v>SubDepósito</v>
      </c>
      <c r="AE562" t="str">
        <f t="shared" si="365"/>
        <v>Marca</v>
      </c>
      <c r="AF562" t="str">
        <f t="shared" si="366"/>
        <v>Super Rubro</v>
      </c>
      <c r="AG562" t="str">
        <f t="shared" si="367"/>
        <v>ComercioExterior</v>
      </c>
      <c r="AH562" t="str">
        <f t="shared" si="368"/>
        <v>PrecioFOB</v>
      </c>
      <c r="AI562" t="str">
        <f t="shared" si="369"/>
        <v>Monto II</v>
      </c>
      <c r="AJ562" t="str">
        <f t="shared" si="370"/>
        <v>Porcentaje II</v>
      </c>
      <c r="AK562" t="str">
        <f t="shared" si="371"/>
        <v>Foto</v>
      </c>
      <c r="AL562" t="str">
        <f>"{\rtf1\ansi\ansicpg1252\deff0\deflang11274{\fonttbl{\f0\fnil\fcharset0 MS Sans Serif}} \viewkind4\uc1\pard\f0\fs16 COJINETES AXIAL 0,127 CHEVROLET CORSA 1.7 DIESEL\par } "</f>
        <v xml:space="preserve">{\rtf1\ansi\ansicpg1252\deff0\deflang11274{\fonttbl{\f0\fnil\fcharset0 MS Sans Serif}} \viewkind4\uc1\pard\f0\fs16 COJINETES AXIAL 0,127 CHEVROLET CORSA 1.7 DIESEL\par } </v>
      </c>
      <c r="AM562" t="str">
        <f t="shared" si="388"/>
        <v xml:space="preserve"> </v>
      </c>
    </row>
    <row r="563" spans="1:39" x14ac:dyDescent="0.25">
      <c r="A563" t="str">
        <f>"AX136 5"</f>
        <v>AX136 5</v>
      </c>
      <c r="B563" t="str">
        <f>"COJINETES AXIAL 0,127 FIAT 147 DUNA 1300 DIESEL"</f>
        <v>COJINETES AXIAL 0,127 FIAT 147 DUNA 1300 DIESEL</v>
      </c>
      <c r="C563" t="str">
        <f>"$ 4649,30"</f>
        <v>$ 4649,30</v>
      </c>
      <c r="D563" t="str">
        <f>"$ 4649,30"</f>
        <v>$ 4649,30</v>
      </c>
      <c r="E563" t="str">
        <f>"$ 4649,30"</f>
        <v>$ 4649,30</v>
      </c>
      <c r="F563" t="str">
        <f>"$ 4649,30"</f>
        <v>$ 4649,30</v>
      </c>
      <c r="G563" t="str">
        <f>"$ 4649,30"</f>
        <v>$ 4649,30</v>
      </c>
      <c r="H563" t="str">
        <f t="shared" si="354"/>
        <v>$ 0,00</v>
      </c>
      <c r="I563" t="str">
        <f t="shared" si="391"/>
        <v>JUEGO AXIALES</v>
      </c>
      <c r="J563" t="str">
        <f t="shared" si="355"/>
        <v>1</v>
      </c>
      <c r="K563" t="str">
        <f t="shared" si="379"/>
        <v>0</v>
      </c>
      <c r="L563" t="str">
        <f>"0,000"</f>
        <v>0,000</v>
      </c>
      <c r="M563" t="str">
        <f t="shared" si="356"/>
        <v xml:space="preserve"> </v>
      </c>
      <c r="N563" t="str">
        <f t="shared" si="385"/>
        <v>MPSI</v>
      </c>
      <c r="O563" t="str">
        <f t="shared" si="386"/>
        <v>COJINETES</v>
      </c>
      <c r="P563" t="str">
        <f t="shared" ref="P563:Q582" si="392">"0"</f>
        <v>0</v>
      </c>
      <c r="Q563" t="str">
        <f t="shared" si="392"/>
        <v>0</v>
      </c>
      <c r="R563" t="str">
        <f t="shared" ref="R563:S582" si="393">"0,00"</f>
        <v>0,00</v>
      </c>
      <c r="S563" t="str">
        <f t="shared" si="393"/>
        <v>0,00</v>
      </c>
      <c r="T563" t="str">
        <f t="shared" si="378"/>
        <v xml:space="preserve"> </v>
      </c>
      <c r="U563" t="str">
        <f t="shared" si="387"/>
        <v>-</v>
      </c>
      <c r="V563" t="str">
        <f>"0,000"</f>
        <v>0,000</v>
      </c>
      <c r="W563" t="str">
        <f t="shared" si="357"/>
        <v>Lista 4</v>
      </c>
      <c r="X563" t="str">
        <f t="shared" si="358"/>
        <v>Lista 5</v>
      </c>
      <c r="Y563" t="str">
        <f t="shared" si="359"/>
        <v>Oferta Gral.</v>
      </c>
      <c r="Z563" t="str">
        <f t="shared" si="360"/>
        <v>Rubro</v>
      </c>
      <c r="AA563" t="str">
        <f t="shared" si="361"/>
        <v>Cantidad por Bulto</v>
      </c>
      <c r="AB563" t="str">
        <f t="shared" si="362"/>
        <v>INNER</v>
      </c>
      <c r="AC563" t="str">
        <f t="shared" si="363"/>
        <v>Stock en Bultos</v>
      </c>
      <c r="AD563" t="str">
        <f t="shared" si="364"/>
        <v>SubDepósito</v>
      </c>
      <c r="AE563" t="str">
        <f t="shared" si="365"/>
        <v>Marca</v>
      </c>
      <c r="AF563" t="str">
        <f t="shared" si="366"/>
        <v>Super Rubro</v>
      </c>
      <c r="AG563" t="str">
        <f t="shared" si="367"/>
        <v>ComercioExterior</v>
      </c>
      <c r="AH563" t="str">
        <f t="shared" si="368"/>
        <v>PrecioFOB</v>
      </c>
      <c r="AI563" t="str">
        <f t="shared" si="369"/>
        <v>Monto II</v>
      </c>
      <c r="AJ563" t="str">
        <f t="shared" si="370"/>
        <v>Porcentaje II</v>
      </c>
      <c r="AK563" t="str">
        <f t="shared" si="371"/>
        <v>Foto</v>
      </c>
      <c r="AL563" t="str">
        <f t="shared" ref="AL563:AL570" si="394">" "</f>
        <v xml:space="preserve"> </v>
      </c>
      <c r="AM563" t="str">
        <f t="shared" si="388"/>
        <v xml:space="preserve"> </v>
      </c>
    </row>
    <row r="564" spans="1:39" x14ac:dyDescent="0.25">
      <c r="A564" t="str">
        <f>"AX135 5"</f>
        <v>AX135 5</v>
      </c>
      <c r="B564" t="str">
        <f>"COJINETES AXIAL 0,127 FIAT DUNA DUCATO 1.7 1.9 DIESEL"</f>
        <v>COJINETES AXIAL 0,127 FIAT DUNA DUCATO 1.7 1.9 DIESEL</v>
      </c>
      <c r="C564" t="str">
        <f>"$ 4134,91"</f>
        <v>$ 4134,91</v>
      </c>
      <c r="D564" t="str">
        <f>"$ 4134,91"</f>
        <v>$ 4134,91</v>
      </c>
      <c r="E564" t="str">
        <f>"$ 4134,91"</f>
        <v>$ 4134,91</v>
      </c>
      <c r="F564" t="str">
        <f>"$ 4134,91"</f>
        <v>$ 4134,91</v>
      </c>
      <c r="G564" t="str">
        <f>"$ 4134,91"</f>
        <v>$ 4134,91</v>
      </c>
      <c r="H564" t="str">
        <f t="shared" si="354"/>
        <v>$ 0,00</v>
      </c>
      <c r="I564" t="str">
        <f t="shared" si="391"/>
        <v>JUEGO AXIALES</v>
      </c>
      <c r="J564" t="str">
        <f t="shared" si="355"/>
        <v>1</v>
      </c>
      <c r="K564" t="str">
        <f t="shared" si="379"/>
        <v>0</v>
      </c>
      <c r="L564" t="str">
        <f>"12,000"</f>
        <v>12,000</v>
      </c>
      <c r="M564" t="str">
        <f t="shared" si="356"/>
        <v xml:space="preserve"> </v>
      </c>
      <c r="N564" t="str">
        <f t="shared" si="385"/>
        <v>MPSI</v>
      </c>
      <c r="O564" t="str">
        <f t="shared" si="386"/>
        <v>COJINETES</v>
      </c>
      <c r="P564" t="str">
        <f t="shared" si="392"/>
        <v>0</v>
      </c>
      <c r="Q564" t="str">
        <f t="shared" si="392"/>
        <v>0</v>
      </c>
      <c r="R564" t="str">
        <f t="shared" si="393"/>
        <v>0,00</v>
      </c>
      <c r="S564" t="str">
        <f t="shared" si="393"/>
        <v>0,00</v>
      </c>
      <c r="T564" t="str">
        <f t="shared" si="378"/>
        <v xml:space="preserve"> </v>
      </c>
      <c r="U564" t="str">
        <f t="shared" si="387"/>
        <v>-</v>
      </c>
      <c r="V564" t="str">
        <f>"12,000"</f>
        <v>12,000</v>
      </c>
      <c r="W564" t="str">
        <f t="shared" si="357"/>
        <v>Lista 4</v>
      </c>
      <c r="X564" t="str">
        <f t="shared" si="358"/>
        <v>Lista 5</v>
      </c>
      <c r="Y564" t="str">
        <f t="shared" si="359"/>
        <v>Oferta Gral.</v>
      </c>
      <c r="Z564" t="str">
        <f t="shared" si="360"/>
        <v>Rubro</v>
      </c>
      <c r="AA564" t="str">
        <f t="shared" si="361"/>
        <v>Cantidad por Bulto</v>
      </c>
      <c r="AB564" t="str">
        <f t="shared" si="362"/>
        <v>INNER</v>
      </c>
      <c r="AC564" t="str">
        <f t="shared" si="363"/>
        <v>Stock en Bultos</v>
      </c>
      <c r="AD564" t="str">
        <f t="shared" si="364"/>
        <v>SubDepósito</v>
      </c>
      <c r="AE564" t="str">
        <f t="shared" si="365"/>
        <v>Marca</v>
      </c>
      <c r="AF564" t="str">
        <f t="shared" si="366"/>
        <v>Super Rubro</v>
      </c>
      <c r="AG564" t="str">
        <f t="shared" si="367"/>
        <v>ComercioExterior</v>
      </c>
      <c r="AH564" t="str">
        <f t="shared" si="368"/>
        <v>PrecioFOB</v>
      </c>
      <c r="AI564" t="str">
        <f t="shared" si="369"/>
        <v>Monto II</v>
      </c>
      <c r="AJ564" t="str">
        <f t="shared" si="370"/>
        <v>Porcentaje II</v>
      </c>
      <c r="AK564" t="str">
        <f t="shared" si="371"/>
        <v>Foto</v>
      </c>
      <c r="AL564" t="str">
        <f t="shared" si="394"/>
        <v xml:space="preserve"> </v>
      </c>
      <c r="AM564" t="str">
        <f t="shared" si="388"/>
        <v xml:space="preserve"> </v>
      </c>
    </row>
    <row r="565" spans="1:39" x14ac:dyDescent="0.25">
      <c r="A565" t="str">
        <f>"AX131 5"</f>
        <v>AX131 5</v>
      </c>
      <c r="B565" t="str">
        <f>"COJINETES AXIAL 0,127 FIAT DUNA UNO 147 MOTOR TIPO 1.4 1.6"</f>
        <v>COJINETES AXIAL 0,127 FIAT DUNA UNO 147 MOTOR TIPO 1.4 1.6</v>
      </c>
      <c r="C565" t="str">
        <f>"$ 4016,20"</f>
        <v>$ 4016,20</v>
      </c>
      <c r="D565" t="str">
        <f>"$ 4016,20"</f>
        <v>$ 4016,20</v>
      </c>
      <c r="E565" t="str">
        <f>"$ 4016,20"</f>
        <v>$ 4016,20</v>
      </c>
      <c r="F565" t="str">
        <f>"$ 4016,20"</f>
        <v>$ 4016,20</v>
      </c>
      <c r="G565" t="str">
        <f>"$ 4016,20"</f>
        <v>$ 4016,20</v>
      </c>
      <c r="H565" t="str">
        <f t="shared" si="354"/>
        <v>$ 0,00</v>
      </c>
      <c r="I565" t="str">
        <f t="shared" si="391"/>
        <v>JUEGO AXIALES</v>
      </c>
      <c r="J565" t="str">
        <f t="shared" si="355"/>
        <v>1</v>
      </c>
      <c r="K565" t="str">
        <f t="shared" si="379"/>
        <v>0</v>
      </c>
      <c r="L565" t="str">
        <f>"4,000"</f>
        <v>4,000</v>
      </c>
      <c r="M565" t="str">
        <f t="shared" si="356"/>
        <v xml:space="preserve"> </v>
      </c>
      <c r="N565" t="str">
        <f t="shared" si="385"/>
        <v>MPSI</v>
      </c>
      <c r="O565" t="str">
        <f t="shared" si="386"/>
        <v>COJINETES</v>
      </c>
      <c r="P565" t="str">
        <f t="shared" si="392"/>
        <v>0</v>
      </c>
      <c r="Q565" t="str">
        <f t="shared" si="392"/>
        <v>0</v>
      </c>
      <c r="R565" t="str">
        <f t="shared" si="393"/>
        <v>0,00</v>
      </c>
      <c r="S565" t="str">
        <f t="shared" si="393"/>
        <v>0,00</v>
      </c>
      <c r="T565" t="str">
        <f t="shared" si="378"/>
        <v xml:space="preserve"> </v>
      </c>
      <c r="U565" t="str">
        <f t="shared" si="387"/>
        <v>-</v>
      </c>
      <c r="V565" t="str">
        <f>"4,000"</f>
        <v>4,000</v>
      </c>
      <c r="W565" t="str">
        <f t="shared" si="357"/>
        <v>Lista 4</v>
      </c>
      <c r="X565" t="str">
        <f t="shared" si="358"/>
        <v>Lista 5</v>
      </c>
      <c r="Y565" t="str">
        <f t="shared" si="359"/>
        <v>Oferta Gral.</v>
      </c>
      <c r="Z565" t="str">
        <f t="shared" si="360"/>
        <v>Rubro</v>
      </c>
      <c r="AA565" t="str">
        <f t="shared" si="361"/>
        <v>Cantidad por Bulto</v>
      </c>
      <c r="AB565" t="str">
        <f t="shared" si="362"/>
        <v>INNER</v>
      </c>
      <c r="AC565" t="str">
        <f t="shared" si="363"/>
        <v>Stock en Bultos</v>
      </c>
      <c r="AD565" t="str">
        <f t="shared" si="364"/>
        <v>SubDepósito</v>
      </c>
      <c r="AE565" t="str">
        <f t="shared" si="365"/>
        <v>Marca</v>
      </c>
      <c r="AF565" t="str">
        <f t="shared" si="366"/>
        <v>Super Rubro</v>
      </c>
      <c r="AG565" t="str">
        <f t="shared" si="367"/>
        <v>ComercioExterior</v>
      </c>
      <c r="AH565" t="str">
        <f t="shared" si="368"/>
        <v>PrecioFOB</v>
      </c>
      <c r="AI565" t="str">
        <f t="shared" si="369"/>
        <v>Monto II</v>
      </c>
      <c r="AJ565" t="str">
        <f t="shared" si="370"/>
        <v>Porcentaje II</v>
      </c>
      <c r="AK565" t="str">
        <f t="shared" si="371"/>
        <v>Foto</v>
      </c>
      <c r="AL565" t="str">
        <f t="shared" si="394"/>
        <v xml:space="preserve"> </v>
      </c>
      <c r="AM565" t="str">
        <f t="shared" si="388"/>
        <v xml:space="preserve"> </v>
      </c>
    </row>
    <row r="566" spans="1:39" x14ac:dyDescent="0.25">
      <c r="A566" t="str">
        <f>"AX775 5"</f>
        <v>AX775 5</v>
      </c>
      <c r="B566" t="str">
        <f>"COJINETES AXIAL 0,127 FORD FIESTA 1.3 ENDURA VARILLERO"</f>
        <v>COJINETES AXIAL 0,127 FORD FIESTA 1.3 ENDURA VARILLERO</v>
      </c>
      <c r="C566" t="str">
        <f>"$ 4787,79"</f>
        <v>$ 4787,79</v>
      </c>
      <c r="D566" t="str">
        <f>"$ 4787,79"</f>
        <v>$ 4787,79</v>
      </c>
      <c r="E566" t="str">
        <f>"$ 4787,79"</f>
        <v>$ 4787,79</v>
      </c>
      <c r="F566" t="str">
        <f>"$ 4787,79"</f>
        <v>$ 4787,79</v>
      </c>
      <c r="G566" t="str">
        <f>"$ 4787,79"</f>
        <v>$ 4787,79</v>
      </c>
      <c r="H566" t="str">
        <f t="shared" si="354"/>
        <v>$ 0,00</v>
      </c>
      <c r="I566" t="str">
        <f t="shared" si="391"/>
        <v>JUEGO AXIALES</v>
      </c>
      <c r="J566" t="str">
        <f t="shared" si="355"/>
        <v>1</v>
      </c>
      <c r="K566" t="str">
        <f t="shared" si="379"/>
        <v>0</v>
      </c>
      <c r="L566" t="str">
        <f>"14,000"</f>
        <v>14,000</v>
      </c>
      <c r="M566" t="str">
        <f t="shared" si="356"/>
        <v xml:space="preserve"> </v>
      </c>
      <c r="N566" t="str">
        <f t="shared" si="385"/>
        <v>MPSI</v>
      </c>
      <c r="O566" t="str">
        <f t="shared" si="386"/>
        <v>COJINETES</v>
      </c>
      <c r="P566" t="str">
        <f t="shared" si="392"/>
        <v>0</v>
      </c>
      <c r="Q566" t="str">
        <f t="shared" si="392"/>
        <v>0</v>
      </c>
      <c r="R566" t="str">
        <f t="shared" si="393"/>
        <v>0,00</v>
      </c>
      <c r="S566" t="str">
        <f t="shared" si="393"/>
        <v>0,00</v>
      </c>
      <c r="T566" t="str">
        <f t="shared" si="378"/>
        <v xml:space="preserve"> </v>
      </c>
      <c r="U566" t="str">
        <f t="shared" si="387"/>
        <v>-</v>
      </c>
      <c r="V566" t="str">
        <f>"14,000"</f>
        <v>14,000</v>
      </c>
      <c r="W566" t="str">
        <f t="shared" si="357"/>
        <v>Lista 4</v>
      </c>
      <c r="X566" t="str">
        <f t="shared" si="358"/>
        <v>Lista 5</v>
      </c>
      <c r="Y566" t="str">
        <f t="shared" si="359"/>
        <v>Oferta Gral.</v>
      </c>
      <c r="Z566" t="str">
        <f t="shared" si="360"/>
        <v>Rubro</v>
      </c>
      <c r="AA566" t="str">
        <f t="shared" si="361"/>
        <v>Cantidad por Bulto</v>
      </c>
      <c r="AB566" t="str">
        <f t="shared" si="362"/>
        <v>INNER</v>
      </c>
      <c r="AC566" t="str">
        <f t="shared" si="363"/>
        <v>Stock en Bultos</v>
      </c>
      <c r="AD566" t="str">
        <f t="shared" si="364"/>
        <v>SubDepósito</v>
      </c>
      <c r="AE566" t="str">
        <f t="shared" si="365"/>
        <v>Marca</v>
      </c>
      <c r="AF566" t="str">
        <f t="shared" si="366"/>
        <v>Super Rubro</v>
      </c>
      <c r="AG566" t="str">
        <f t="shared" si="367"/>
        <v>ComercioExterior</v>
      </c>
      <c r="AH566" t="str">
        <f t="shared" si="368"/>
        <v>PrecioFOB</v>
      </c>
      <c r="AI566" t="str">
        <f t="shared" si="369"/>
        <v>Monto II</v>
      </c>
      <c r="AJ566" t="str">
        <f t="shared" si="370"/>
        <v>Porcentaje II</v>
      </c>
      <c r="AK566" t="str">
        <f t="shared" si="371"/>
        <v>Foto</v>
      </c>
      <c r="AL566" t="str">
        <f t="shared" si="394"/>
        <v xml:space="preserve"> </v>
      </c>
      <c r="AM566" t="str">
        <f t="shared" si="388"/>
        <v xml:space="preserve"> </v>
      </c>
    </row>
    <row r="567" spans="1:39" x14ac:dyDescent="0.25">
      <c r="A567" t="str">
        <f>"AX679 5"</f>
        <v>AX679 5</v>
      </c>
      <c r="B567" t="str">
        <f>"COJINETES AXIAL 0,127 FORD FIESTA 1.4 TDCI PEUGEOT 307 1.6 HDI"</f>
        <v>COJINETES AXIAL 0,127 FORD FIESTA 1.4 TDCI PEUGEOT 307 1.6 HDI</v>
      </c>
      <c r="C567" t="str">
        <f>"$ 5044,98"</f>
        <v>$ 5044,98</v>
      </c>
      <c r="D567" t="str">
        <f>"$ 5044,98"</f>
        <v>$ 5044,98</v>
      </c>
      <c r="E567" t="str">
        <f>"$ 5044,98"</f>
        <v>$ 5044,98</v>
      </c>
      <c r="F567" t="str">
        <f>"$ 5044,98"</f>
        <v>$ 5044,98</v>
      </c>
      <c r="G567" t="str">
        <f>"$ 5044,98"</f>
        <v>$ 5044,98</v>
      </c>
      <c r="H567" t="str">
        <f t="shared" si="354"/>
        <v>$ 0,00</v>
      </c>
      <c r="I567" t="str">
        <f t="shared" si="391"/>
        <v>JUEGO AXIALES</v>
      </c>
      <c r="J567" t="str">
        <f t="shared" si="355"/>
        <v>1</v>
      </c>
      <c r="K567" t="str">
        <f t="shared" si="379"/>
        <v>0</v>
      </c>
      <c r="L567" t="str">
        <f>"6,000"</f>
        <v>6,000</v>
      </c>
      <c r="M567" t="str">
        <f t="shared" si="356"/>
        <v xml:space="preserve"> </v>
      </c>
      <c r="N567" t="str">
        <f t="shared" si="385"/>
        <v>MPSI</v>
      </c>
      <c r="O567" t="str">
        <f t="shared" si="386"/>
        <v>COJINETES</v>
      </c>
      <c r="P567" t="str">
        <f t="shared" si="392"/>
        <v>0</v>
      </c>
      <c r="Q567" t="str">
        <f t="shared" si="392"/>
        <v>0</v>
      </c>
      <c r="R567" t="str">
        <f t="shared" si="393"/>
        <v>0,00</v>
      </c>
      <c r="S567" t="str">
        <f t="shared" si="393"/>
        <v>0,00</v>
      </c>
      <c r="T567" t="str">
        <f t="shared" si="378"/>
        <v xml:space="preserve"> </v>
      </c>
      <c r="U567" t="str">
        <f t="shared" si="387"/>
        <v>-</v>
      </c>
      <c r="V567" t="str">
        <f>"6,000"</f>
        <v>6,000</v>
      </c>
      <c r="W567" t="str">
        <f t="shared" si="357"/>
        <v>Lista 4</v>
      </c>
      <c r="X567" t="str">
        <f t="shared" si="358"/>
        <v>Lista 5</v>
      </c>
      <c r="Y567" t="str">
        <f t="shared" si="359"/>
        <v>Oferta Gral.</v>
      </c>
      <c r="Z567" t="str">
        <f t="shared" si="360"/>
        <v>Rubro</v>
      </c>
      <c r="AA567" t="str">
        <f t="shared" si="361"/>
        <v>Cantidad por Bulto</v>
      </c>
      <c r="AB567" t="str">
        <f t="shared" si="362"/>
        <v>INNER</v>
      </c>
      <c r="AC567" t="str">
        <f t="shared" si="363"/>
        <v>Stock en Bultos</v>
      </c>
      <c r="AD567" t="str">
        <f t="shared" si="364"/>
        <v>SubDepósito</v>
      </c>
      <c r="AE567" t="str">
        <f t="shared" si="365"/>
        <v>Marca</v>
      </c>
      <c r="AF567" t="str">
        <f t="shared" si="366"/>
        <v>Super Rubro</v>
      </c>
      <c r="AG567" t="str">
        <f t="shared" si="367"/>
        <v>ComercioExterior</v>
      </c>
      <c r="AH567" t="str">
        <f t="shared" si="368"/>
        <v>PrecioFOB</v>
      </c>
      <c r="AI567" t="str">
        <f t="shared" si="369"/>
        <v>Monto II</v>
      </c>
      <c r="AJ567" t="str">
        <f t="shared" si="370"/>
        <v>Porcentaje II</v>
      </c>
      <c r="AK567" t="str">
        <f t="shared" si="371"/>
        <v>Foto</v>
      </c>
      <c r="AL567" t="str">
        <f t="shared" si="394"/>
        <v xml:space="preserve"> </v>
      </c>
      <c r="AM567" t="str">
        <f t="shared" si="388"/>
        <v xml:space="preserve"> </v>
      </c>
    </row>
    <row r="568" spans="1:39" x14ac:dyDescent="0.25">
      <c r="A568" t="str">
        <f>"AX776 5"</f>
        <v>AX776 5</v>
      </c>
      <c r="B568" t="str">
        <f>"COJINETES AXIAL 0,127 FORD FIESTA COURIER FOCUS 1.8 DIESEL"</f>
        <v>COJINETES AXIAL 0,127 FORD FIESTA COURIER FOCUS 1.8 DIESEL</v>
      </c>
      <c r="C568" t="str">
        <f>"$ 4075,56"</f>
        <v>$ 4075,56</v>
      </c>
      <c r="D568" t="str">
        <f>"$ 4075,56"</f>
        <v>$ 4075,56</v>
      </c>
      <c r="E568" t="str">
        <f>"$ 4075,56"</f>
        <v>$ 4075,56</v>
      </c>
      <c r="F568" t="str">
        <f>"$ 4075,56"</f>
        <v>$ 4075,56</v>
      </c>
      <c r="G568" t="str">
        <f>"$ 4075,56"</f>
        <v>$ 4075,56</v>
      </c>
      <c r="H568" t="str">
        <f t="shared" si="354"/>
        <v>$ 0,00</v>
      </c>
      <c r="I568" t="str">
        <f t="shared" si="391"/>
        <v>JUEGO AXIALES</v>
      </c>
      <c r="J568" t="str">
        <f t="shared" si="355"/>
        <v>1</v>
      </c>
      <c r="K568" t="str">
        <f t="shared" si="379"/>
        <v>0</v>
      </c>
      <c r="L568" t="str">
        <f>"5,000"</f>
        <v>5,000</v>
      </c>
      <c r="M568" t="str">
        <f t="shared" si="356"/>
        <v xml:space="preserve"> </v>
      </c>
      <c r="N568" t="str">
        <f t="shared" si="385"/>
        <v>MPSI</v>
      </c>
      <c r="O568" t="str">
        <f t="shared" si="386"/>
        <v>COJINETES</v>
      </c>
      <c r="P568" t="str">
        <f t="shared" si="392"/>
        <v>0</v>
      </c>
      <c r="Q568" t="str">
        <f t="shared" si="392"/>
        <v>0</v>
      </c>
      <c r="R568" t="str">
        <f t="shared" si="393"/>
        <v>0,00</v>
      </c>
      <c r="S568" t="str">
        <f t="shared" si="393"/>
        <v>0,00</v>
      </c>
      <c r="T568" t="str">
        <f t="shared" si="378"/>
        <v xml:space="preserve"> </v>
      </c>
      <c r="U568" t="str">
        <f t="shared" si="387"/>
        <v>-</v>
      </c>
      <c r="V568" t="str">
        <f>"5,000"</f>
        <v>5,000</v>
      </c>
      <c r="W568" t="str">
        <f t="shared" si="357"/>
        <v>Lista 4</v>
      </c>
      <c r="X568" t="str">
        <f t="shared" si="358"/>
        <v>Lista 5</v>
      </c>
      <c r="Y568" t="str">
        <f t="shared" si="359"/>
        <v>Oferta Gral.</v>
      </c>
      <c r="Z568" t="str">
        <f t="shared" si="360"/>
        <v>Rubro</v>
      </c>
      <c r="AA568" t="str">
        <f t="shared" si="361"/>
        <v>Cantidad por Bulto</v>
      </c>
      <c r="AB568" t="str">
        <f t="shared" si="362"/>
        <v>INNER</v>
      </c>
      <c r="AC568" t="str">
        <f t="shared" si="363"/>
        <v>Stock en Bultos</v>
      </c>
      <c r="AD568" t="str">
        <f t="shared" si="364"/>
        <v>SubDepósito</v>
      </c>
      <c r="AE568" t="str">
        <f t="shared" si="365"/>
        <v>Marca</v>
      </c>
      <c r="AF568" t="str">
        <f t="shared" si="366"/>
        <v>Super Rubro</v>
      </c>
      <c r="AG568" t="str">
        <f t="shared" si="367"/>
        <v>ComercioExterior</v>
      </c>
      <c r="AH568" t="str">
        <f t="shared" si="368"/>
        <v>PrecioFOB</v>
      </c>
      <c r="AI568" t="str">
        <f t="shared" si="369"/>
        <v>Monto II</v>
      </c>
      <c r="AJ568" t="str">
        <f t="shared" si="370"/>
        <v>Porcentaje II</v>
      </c>
      <c r="AK568" t="str">
        <f t="shared" si="371"/>
        <v>Foto</v>
      </c>
      <c r="AL568" t="str">
        <f t="shared" si="394"/>
        <v xml:space="preserve"> </v>
      </c>
      <c r="AM568" t="str">
        <f t="shared" si="388"/>
        <v xml:space="preserve"> </v>
      </c>
    </row>
    <row r="569" spans="1:39" x14ac:dyDescent="0.25">
      <c r="A569" t="str">
        <f>"AX774 5"</f>
        <v>AX774 5</v>
      </c>
      <c r="B569" t="str">
        <f>"COJINETES AXIAL 0,127 FORD TRANSIT 2,5 DIESEL 2401E"</f>
        <v>COJINETES AXIAL 0,127 FORD TRANSIT 2,5 DIESEL 2401E</v>
      </c>
      <c r="C569" t="str">
        <f>"$ 4273,40"</f>
        <v>$ 4273,40</v>
      </c>
      <c r="D569" t="str">
        <f>"$ 4273,40"</f>
        <v>$ 4273,40</v>
      </c>
      <c r="E569" t="str">
        <f>"$ 4273,40"</f>
        <v>$ 4273,40</v>
      </c>
      <c r="F569" t="str">
        <f>"$ 4273,40"</f>
        <v>$ 4273,40</v>
      </c>
      <c r="G569" t="str">
        <f>"$ 4273,40"</f>
        <v>$ 4273,40</v>
      </c>
      <c r="H569" t="str">
        <f t="shared" si="354"/>
        <v>$ 0,00</v>
      </c>
      <c r="I569" t="str">
        <f t="shared" si="391"/>
        <v>JUEGO AXIALES</v>
      </c>
      <c r="J569" t="str">
        <f t="shared" si="355"/>
        <v>1</v>
      </c>
      <c r="K569" t="str">
        <f t="shared" si="379"/>
        <v>0</v>
      </c>
      <c r="L569" t="str">
        <f>"0,000"</f>
        <v>0,000</v>
      </c>
      <c r="M569" t="str">
        <f t="shared" si="356"/>
        <v xml:space="preserve"> </v>
      </c>
      <c r="N569" t="str">
        <f t="shared" si="385"/>
        <v>MPSI</v>
      </c>
      <c r="O569" t="str">
        <f t="shared" si="386"/>
        <v>COJINETES</v>
      </c>
      <c r="P569" t="str">
        <f t="shared" si="392"/>
        <v>0</v>
      </c>
      <c r="Q569" t="str">
        <f t="shared" si="392"/>
        <v>0</v>
      </c>
      <c r="R569" t="str">
        <f t="shared" si="393"/>
        <v>0,00</v>
      </c>
      <c r="S569" t="str">
        <f t="shared" si="393"/>
        <v>0,00</v>
      </c>
      <c r="T569" t="str">
        <f t="shared" si="378"/>
        <v xml:space="preserve"> </v>
      </c>
      <c r="U569" t="str">
        <f t="shared" si="387"/>
        <v>-</v>
      </c>
      <c r="V569" t="str">
        <f>"0,000"</f>
        <v>0,000</v>
      </c>
      <c r="W569" t="str">
        <f t="shared" si="357"/>
        <v>Lista 4</v>
      </c>
      <c r="X569" t="str">
        <f t="shared" si="358"/>
        <v>Lista 5</v>
      </c>
      <c r="Y569" t="str">
        <f t="shared" si="359"/>
        <v>Oferta Gral.</v>
      </c>
      <c r="Z569" t="str">
        <f t="shared" si="360"/>
        <v>Rubro</v>
      </c>
      <c r="AA569" t="str">
        <f t="shared" si="361"/>
        <v>Cantidad por Bulto</v>
      </c>
      <c r="AB569" t="str">
        <f t="shared" si="362"/>
        <v>INNER</v>
      </c>
      <c r="AC569" t="str">
        <f t="shared" si="363"/>
        <v>Stock en Bultos</v>
      </c>
      <c r="AD569" t="str">
        <f t="shared" si="364"/>
        <v>SubDepósito</v>
      </c>
      <c r="AE569" t="str">
        <f t="shared" si="365"/>
        <v>Marca</v>
      </c>
      <c r="AF569" t="str">
        <f t="shared" si="366"/>
        <v>Super Rubro</v>
      </c>
      <c r="AG569" t="str">
        <f t="shared" si="367"/>
        <v>ComercioExterior</v>
      </c>
      <c r="AH569" t="str">
        <f t="shared" si="368"/>
        <v>PrecioFOB</v>
      </c>
      <c r="AI569" t="str">
        <f t="shared" si="369"/>
        <v>Monto II</v>
      </c>
      <c r="AJ569" t="str">
        <f t="shared" si="370"/>
        <v>Porcentaje II</v>
      </c>
      <c r="AK569" t="str">
        <f t="shared" si="371"/>
        <v>Foto</v>
      </c>
      <c r="AL569" t="str">
        <f t="shared" si="394"/>
        <v xml:space="preserve"> </v>
      </c>
      <c r="AM569" t="str">
        <f t="shared" si="388"/>
        <v xml:space="preserve"> </v>
      </c>
    </row>
    <row r="570" spans="1:39" x14ac:dyDescent="0.25">
      <c r="A570" t="str">
        <f>"AX381101 5"</f>
        <v>AX381101 5</v>
      </c>
      <c r="B570" t="str">
        <f>"COJINETES AXIAL 0,127 RENAULT CAPTUR NISSAN VERSA 1.6 H4M CADENERO"</f>
        <v>COJINETES AXIAL 0,127 RENAULT CAPTUR NISSAN VERSA 1.6 H4M CADENERO</v>
      </c>
      <c r="C570" t="str">
        <f>"$ 4649,30"</f>
        <v>$ 4649,30</v>
      </c>
      <c r="D570" t="str">
        <f>"$ 4649,30"</f>
        <v>$ 4649,30</v>
      </c>
      <c r="E570" t="str">
        <f>"$ 4649,30"</f>
        <v>$ 4649,30</v>
      </c>
      <c r="F570" t="str">
        <f>"$ 4649,30"</f>
        <v>$ 4649,30</v>
      </c>
      <c r="G570" t="str">
        <f>"$ 4649,30"</f>
        <v>$ 4649,30</v>
      </c>
      <c r="H570" t="str">
        <f t="shared" si="354"/>
        <v>$ 0,00</v>
      </c>
      <c r="I570" t="str">
        <f t="shared" si="391"/>
        <v>JUEGO AXIALES</v>
      </c>
      <c r="J570" t="str">
        <f t="shared" si="355"/>
        <v>1</v>
      </c>
      <c r="K570" t="str">
        <f t="shared" si="379"/>
        <v>0</v>
      </c>
      <c r="L570" t="str">
        <f>"0,000"</f>
        <v>0,000</v>
      </c>
      <c r="M570" t="str">
        <f t="shared" si="356"/>
        <v xml:space="preserve"> </v>
      </c>
      <c r="N570" t="str">
        <f t="shared" si="385"/>
        <v>MPSI</v>
      </c>
      <c r="O570" t="str">
        <f t="shared" si="386"/>
        <v>COJINETES</v>
      </c>
      <c r="P570" t="str">
        <f t="shared" si="392"/>
        <v>0</v>
      </c>
      <c r="Q570" t="str">
        <f t="shared" si="392"/>
        <v>0</v>
      </c>
      <c r="R570" t="str">
        <f t="shared" si="393"/>
        <v>0,00</v>
      </c>
      <c r="S570" t="str">
        <f t="shared" si="393"/>
        <v>0,00</v>
      </c>
      <c r="T570" t="str">
        <f t="shared" si="378"/>
        <v xml:space="preserve"> </v>
      </c>
      <c r="U570" t="str">
        <f t="shared" si="387"/>
        <v>-</v>
      </c>
      <c r="V570" t="str">
        <f>"0,000"</f>
        <v>0,000</v>
      </c>
      <c r="W570" t="str">
        <f t="shared" si="357"/>
        <v>Lista 4</v>
      </c>
      <c r="X570" t="str">
        <f t="shared" si="358"/>
        <v>Lista 5</v>
      </c>
      <c r="Y570" t="str">
        <f t="shared" si="359"/>
        <v>Oferta Gral.</v>
      </c>
      <c r="Z570" t="str">
        <f t="shared" si="360"/>
        <v>Rubro</v>
      </c>
      <c r="AA570" t="str">
        <f t="shared" si="361"/>
        <v>Cantidad por Bulto</v>
      </c>
      <c r="AB570" t="str">
        <f t="shared" si="362"/>
        <v>INNER</v>
      </c>
      <c r="AC570" t="str">
        <f t="shared" si="363"/>
        <v>Stock en Bultos</v>
      </c>
      <c r="AD570" t="str">
        <f t="shared" si="364"/>
        <v>SubDepósito</v>
      </c>
      <c r="AE570" t="str">
        <f t="shared" si="365"/>
        <v>Marca</v>
      </c>
      <c r="AF570" t="str">
        <f t="shared" si="366"/>
        <v>Super Rubro</v>
      </c>
      <c r="AG570" t="str">
        <f t="shared" si="367"/>
        <v>ComercioExterior</v>
      </c>
      <c r="AH570" t="str">
        <f t="shared" si="368"/>
        <v>PrecioFOB</v>
      </c>
      <c r="AI570" t="str">
        <f t="shared" si="369"/>
        <v>Monto II</v>
      </c>
      <c r="AJ570" t="str">
        <f t="shared" si="370"/>
        <v>Porcentaje II</v>
      </c>
      <c r="AK570" t="str">
        <f t="shared" si="371"/>
        <v>Foto</v>
      </c>
      <c r="AL570" t="str">
        <f t="shared" si="394"/>
        <v xml:space="preserve"> </v>
      </c>
      <c r="AM570" t="str">
        <f t="shared" si="388"/>
        <v xml:space="preserve"> </v>
      </c>
    </row>
    <row r="571" spans="1:39" x14ac:dyDescent="0.25">
      <c r="A571" t="str">
        <f>"AX810 10"</f>
        <v>AX810 10</v>
      </c>
      <c r="B571" t="str">
        <f>"COJINETES AXIAL 0,254 CHEVROLET CORSA 1.7 DIESEL"</f>
        <v>COJINETES AXIAL 0,254 CHEVROLET CORSA 1.7 DIESEL</v>
      </c>
      <c r="C571" t="str">
        <f>"$ 4471,24"</f>
        <v>$ 4471,24</v>
      </c>
      <c r="D571" t="str">
        <f>"$ 4471,24"</f>
        <v>$ 4471,24</v>
      </c>
      <c r="E571" t="str">
        <f>"$ 4471,24"</f>
        <v>$ 4471,24</v>
      </c>
      <c r="F571" t="str">
        <f>"$ 4471,24"</f>
        <v>$ 4471,24</v>
      </c>
      <c r="G571" t="str">
        <f>"$ 4471,24"</f>
        <v>$ 4471,24</v>
      </c>
      <c r="H571" t="str">
        <f t="shared" si="354"/>
        <v>$ 0,00</v>
      </c>
      <c r="I571" t="str">
        <f t="shared" si="391"/>
        <v>JUEGO AXIALES</v>
      </c>
      <c r="J571" t="str">
        <f t="shared" si="355"/>
        <v>1</v>
      </c>
      <c r="K571" t="str">
        <f t="shared" si="379"/>
        <v>0</v>
      </c>
      <c r="L571" t="str">
        <f>"9,000"</f>
        <v>9,000</v>
      </c>
      <c r="M571" t="str">
        <f t="shared" si="356"/>
        <v xml:space="preserve"> </v>
      </c>
      <c r="N571" t="str">
        <f t="shared" si="385"/>
        <v>MPSI</v>
      </c>
      <c r="O571" t="str">
        <f t="shared" si="386"/>
        <v>COJINETES</v>
      </c>
      <c r="P571" t="str">
        <f t="shared" si="392"/>
        <v>0</v>
      </c>
      <c r="Q571" t="str">
        <f t="shared" si="392"/>
        <v>0</v>
      </c>
      <c r="R571" t="str">
        <f t="shared" si="393"/>
        <v>0,00</v>
      </c>
      <c r="S571" t="str">
        <f t="shared" si="393"/>
        <v>0,00</v>
      </c>
      <c r="T571" t="str">
        <f t="shared" si="378"/>
        <v xml:space="preserve"> </v>
      </c>
      <c r="U571" t="str">
        <f t="shared" si="387"/>
        <v>-</v>
      </c>
      <c r="V571" t="str">
        <f>"9,000"</f>
        <v>9,000</v>
      </c>
      <c r="W571" t="str">
        <f t="shared" si="357"/>
        <v>Lista 4</v>
      </c>
      <c r="X571" t="str">
        <f t="shared" si="358"/>
        <v>Lista 5</v>
      </c>
      <c r="Y571" t="str">
        <f t="shared" si="359"/>
        <v>Oferta Gral.</v>
      </c>
      <c r="Z571" t="str">
        <f t="shared" si="360"/>
        <v>Rubro</v>
      </c>
      <c r="AA571" t="str">
        <f t="shared" si="361"/>
        <v>Cantidad por Bulto</v>
      </c>
      <c r="AB571" t="str">
        <f t="shared" si="362"/>
        <v>INNER</v>
      </c>
      <c r="AC571" t="str">
        <f t="shared" si="363"/>
        <v>Stock en Bultos</v>
      </c>
      <c r="AD571" t="str">
        <f t="shared" si="364"/>
        <v>SubDepósito</v>
      </c>
      <c r="AE571" t="str">
        <f t="shared" si="365"/>
        <v>Marca</v>
      </c>
      <c r="AF571" t="str">
        <f t="shared" si="366"/>
        <v>Super Rubro</v>
      </c>
      <c r="AG571" t="str">
        <f t="shared" si="367"/>
        <v>ComercioExterior</v>
      </c>
      <c r="AH571" t="str">
        <f t="shared" si="368"/>
        <v>PrecioFOB</v>
      </c>
      <c r="AI571" t="str">
        <f t="shared" si="369"/>
        <v>Monto II</v>
      </c>
      <c r="AJ571" t="str">
        <f t="shared" si="370"/>
        <v>Porcentaje II</v>
      </c>
      <c r="AK571" t="str">
        <f t="shared" si="371"/>
        <v>Foto</v>
      </c>
      <c r="AL571" t="str">
        <f>"{\rtf1\ansi\ansicpg1252\deff0\deflang11274{\fonttbl{\f0\fnil\fcharset0 MS Sans Serif}} \viewkind4\uc1\pard\f0\fs16 COJINETES AXIAL 0,254 CHEVROLET CORSA 1.7 DIESEL\par } "</f>
        <v xml:space="preserve">{\rtf1\ansi\ansicpg1252\deff0\deflang11274{\fonttbl{\f0\fnil\fcharset0 MS Sans Serif}} \viewkind4\uc1\pard\f0\fs16 COJINETES AXIAL 0,254 CHEVROLET CORSA 1.7 DIESEL\par } </v>
      </c>
      <c r="AM571" t="str">
        <f t="shared" si="388"/>
        <v xml:space="preserve"> </v>
      </c>
    </row>
    <row r="572" spans="1:39" x14ac:dyDescent="0.25">
      <c r="A572" t="str">
        <f>"AX136 10"</f>
        <v>AX136 10</v>
      </c>
      <c r="B572" t="str">
        <f>"COJINETES AXIAL 0,254 FIAT 147 DUNA 1300 DIESEL"</f>
        <v>COJINETES AXIAL 0,254 FIAT 147 DUNA 1300 DIESEL</v>
      </c>
      <c r="C572" t="str">
        <f>"$ 4649,30"</f>
        <v>$ 4649,30</v>
      </c>
      <c r="D572" t="str">
        <f>"$ 4649,30"</f>
        <v>$ 4649,30</v>
      </c>
      <c r="E572" t="str">
        <f>"$ 4649,30"</f>
        <v>$ 4649,30</v>
      </c>
      <c r="F572" t="str">
        <f>"$ 4649,30"</f>
        <v>$ 4649,30</v>
      </c>
      <c r="G572" t="str">
        <f>"$ 4649,30"</f>
        <v>$ 4649,30</v>
      </c>
      <c r="H572" t="str">
        <f t="shared" si="354"/>
        <v>$ 0,00</v>
      </c>
      <c r="I572" t="str">
        <f t="shared" si="391"/>
        <v>JUEGO AXIALES</v>
      </c>
      <c r="J572" t="str">
        <f t="shared" si="355"/>
        <v>1</v>
      </c>
      <c r="K572" t="str">
        <f t="shared" si="379"/>
        <v>0</v>
      </c>
      <c r="L572" t="str">
        <f>"8,000"</f>
        <v>8,000</v>
      </c>
      <c r="M572" t="str">
        <f t="shared" si="356"/>
        <v xml:space="preserve"> </v>
      </c>
      <c r="N572" t="str">
        <f t="shared" si="385"/>
        <v>MPSI</v>
      </c>
      <c r="O572" t="str">
        <f t="shared" si="386"/>
        <v>COJINETES</v>
      </c>
      <c r="P572" t="str">
        <f t="shared" si="392"/>
        <v>0</v>
      </c>
      <c r="Q572" t="str">
        <f t="shared" si="392"/>
        <v>0</v>
      </c>
      <c r="R572" t="str">
        <f t="shared" si="393"/>
        <v>0,00</v>
      </c>
      <c r="S572" t="str">
        <f t="shared" si="393"/>
        <v>0,00</v>
      </c>
      <c r="T572" t="str">
        <f t="shared" si="378"/>
        <v xml:space="preserve"> </v>
      </c>
      <c r="U572" t="str">
        <f t="shared" si="387"/>
        <v>-</v>
      </c>
      <c r="V572" t="str">
        <f>"8,000"</f>
        <v>8,000</v>
      </c>
      <c r="W572" t="str">
        <f t="shared" si="357"/>
        <v>Lista 4</v>
      </c>
      <c r="X572" t="str">
        <f t="shared" si="358"/>
        <v>Lista 5</v>
      </c>
      <c r="Y572" t="str">
        <f t="shared" si="359"/>
        <v>Oferta Gral.</v>
      </c>
      <c r="Z572" t="str">
        <f t="shared" si="360"/>
        <v>Rubro</v>
      </c>
      <c r="AA572" t="str">
        <f t="shared" si="361"/>
        <v>Cantidad por Bulto</v>
      </c>
      <c r="AB572" t="str">
        <f t="shared" si="362"/>
        <v>INNER</v>
      </c>
      <c r="AC572" t="str">
        <f t="shared" si="363"/>
        <v>Stock en Bultos</v>
      </c>
      <c r="AD572" t="str">
        <f t="shared" si="364"/>
        <v>SubDepósito</v>
      </c>
      <c r="AE572" t="str">
        <f t="shared" si="365"/>
        <v>Marca</v>
      </c>
      <c r="AF572" t="str">
        <f t="shared" si="366"/>
        <v>Super Rubro</v>
      </c>
      <c r="AG572" t="str">
        <f t="shared" si="367"/>
        <v>ComercioExterior</v>
      </c>
      <c r="AH572" t="str">
        <f t="shared" si="368"/>
        <v>PrecioFOB</v>
      </c>
      <c r="AI572" t="str">
        <f t="shared" si="369"/>
        <v>Monto II</v>
      </c>
      <c r="AJ572" t="str">
        <f t="shared" si="370"/>
        <v>Porcentaje II</v>
      </c>
      <c r="AK572" t="str">
        <f t="shared" si="371"/>
        <v>Foto</v>
      </c>
      <c r="AL572" t="str">
        <f t="shared" ref="AL572:AL579" si="395">" "</f>
        <v xml:space="preserve"> </v>
      </c>
      <c r="AM572" t="str">
        <f t="shared" si="388"/>
        <v xml:space="preserve"> </v>
      </c>
    </row>
    <row r="573" spans="1:39" x14ac:dyDescent="0.25">
      <c r="A573" t="str">
        <f>"AX135 10"</f>
        <v>AX135 10</v>
      </c>
      <c r="B573" t="str">
        <f>"COJINETES AXIAL 0,254 FIAT DUNA DUCATO 1.7 1.9 DIESEL"</f>
        <v>COJINETES AXIAL 0,254 FIAT DUNA DUCATO 1.7 1.9 DIESEL</v>
      </c>
      <c r="C573" t="str">
        <f>"$ 4134,91"</f>
        <v>$ 4134,91</v>
      </c>
      <c r="D573" t="str">
        <f>"$ 4134,91"</f>
        <v>$ 4134,91</v>
      </c>
      <c r="E573" t="str">
        <f>"$ 4134,91"</f>
        <v>$ 4134,91</v>
      </c>
      <c r="F573" t="str">
        <f>"$ 4134,91"</f>
        <v>$ 4134,91</v>
      </c>
      <c r="G573" t="str">
        <f>"$ 4134,91"</f>
        <v>$ 4134,91</v>
      </c>
      <c r="H573" t="str">
        <f t="shared" si="354"/>
        <v>$ 0,00</v>
      </c>
      <c r="I573" t="str">
        <f t="shared" si="391"/>
        <v>JUEGO AXIALES</v>
      </c>
      <c r="J573" t="str">
        <f t="shared" si="355"/>
        <v>1</v>
      </c>
      <c r="K573" t="str">
        <f t="shared" si="379"/>
        <v>0</v>
      </c>
      <c r="L573" t="str">
        <f>"7,000"</f>
        <v>7,000</v>
      </c>
      <c r="M573" t="str">
        <f t="shared" si="356"/>
        <v xml:space="preserve"> </v>
      </c>
      <c r="N573" t="str">
        <f t="shared" si="385"/>
        <v>MPSI</v>
      </c>
      <c r="O573" t="str">
        <f t="shared" si="386"/>
        <v>COJINETES</v>
      </c>
      <c r="P573" t="str">
        <f t="shared" si="392"/>
        <v>0</v>
      </c>
      <c r="Q573" t="str">
        <f t="shared" si="392"/>
        <v>0</v>
      </c>
      <c r="R573" t="str">
        <f t="shared" si="393"/>
        <v>0,00</v>
      </c>
      <c r="S573" t="str">
        <f t="shared" si="393"/>
        <v>0,00</v>
      </c>
      <c r="T573" t="str">
        <f t="shared" si="378"/>
        <v xml:space="preserve"> </v>
      </c>
      <c r="U573" t="str">
        <f t="shared" si="387"/>
        <v>-</v>
      </c>
      <c r="V573" t="str">
        <f>"7,000"</f>
        <v>7,000</v>
      </c>
      <c r="W573" t="str">
        <f t="shared" si="357"/>
        <v>Lista 4</v>
      </c>
      <c r="X573" t="str">
        <f t="shared" si="358"/>
        <v>Lista 5</v>
      </c>
      <c r="Y573" t="str">
        <f t="shared" si="359"/>
        <v>Oferta Gral.</v>
      </c>
      <c r="Z573" t="str">
        <f t="shared" si="360"/>
        <v>Rubro</v>
      </c>
      <c r="AA573" t="str">
        <f t="shared" si="361"/>
        <v>Cantidad por Bulto</v>
      </c>
      <c r="AB573" t="str">
        <f t="shared" si="362"/>
        <v>INNER</v>
      </c>
      <c r="AC573" t="str">
        <f t="shared" si="363"/>
        <v>Stock en Bultos</v>
      </c>
      <c r="AD573" t="str">
        <f t="shared" si="364"/>
        <v>SubDepósito</v>
      </c>
      <c r="AE573" t="str">
        <f t="shared" si="365"/>
        <v>Marca</v>
      </c>
      <c r="AF573" t="str">
        <f t="shared" si="366"/>
        <v>Super Rubro</v>
      </c>
      <c r="AG573" t="str">
        <f t="shared" si="367"/>
        <v>ComercioExterior</v>
      </c>
      <c r="AH573" t="str">
        <f t="shared" si="368"/>
        <v>PrecioFOB</v>
      </c>
      <c r="AI573" t="str">
        <f t="shared" si="369"/>
        <v>Monto II</v>
      </c>
      <c r="AJ573" t="str">
        <f t="shared" si="370"/>
        <v>Porcentaje II</v>
      </c>
      <c r="AK573" t="str">
        <f t="shared" si="371"/>
        <v>Foto</v>
      </c>
      <c r="AL573" t="str">
        <f t="shared" si="395"/>
        <v xml:space="preserve"> </v>
      </c>
      <c r="AM573" t="str">
        <f t="shared" si="388"/>
        <v xml:space="preserve"> </v>
      </c>
    </row>
    <row r="574" spans="1:39" x14ac:dyDescent="0.25">
      <c r="A574" t="str">
        <f>"AX131 10"</f>
        <v>AX131 10</v>
      </c>
      <c r="B574" t="str">
        <f>"COJINETES AXIAL 0,254 FIAT DUNA UNO 147 MOTOR TIPO 1.4 1.6"</f>
        <v>COJINETES AXIAL 0,254 FIAT DUNA UNO 147 MOTOR TIPO 1.4 1.6</v>
      </c>
      <c r="C574" t="str">
        <f>"$ 4016,20"</f>
        <v>$ 4016,20</v>
      </c>
      <c r="D574" t="str">
        <f>"$ 4016,20"</f>
        <v>$ 4016,20</v>
      </c>
      <c r="E574" t="str">
        <f>"$ 4016,20"</f>
        <v>$ 4016,20</v>
      </c>
      <c r="F574" t="str">
        <f>"$ 4016,20"</f>
        <v>$ 4016,20</v>
      </c>
      <c r="G574" t="str">
        <f>"$ 4016,20"</f>
        <v>$ 4016,20</v>
      </c>
      <c r="H574" t="str">
        <f t="shared" si="354"/>
        <v>$ 0,00</v>
      </c>
      <c r="I574" t="str">
        <f t="shared" si="391"/>
        <v>JUEGO AXIALES</v>
      </c>
      <c r="J574" t="str">
        <f t="shared" si="355"/>
        <v>1</v>
      </c>
      <c r="K574" t="str">
        <f t="shared" si="379"/>
        <v>0</v>
      </c>
      <c r="L574" t="str">
        <f>"6,000"</f>
        <v>6,000</v>
      </c>
      <c r="M574" t="str">
        <f t="shared" si="356"/>
        <v xml:space="preserve"> </v>
      </c>
      <c r="N574" t="str">
        <f t="shared" si="385"/>
        <v>MPSI</v>
      </c>
      <c r="O574" t="str">
        <f t="shared" si="386"/>
        <v>COJINETES</v>
      </c>
      <c r="P574" t="str">
        <f t="shared" si="392"/>
        <v>0</v>
      </c>
      <c r="Q574" t="str">
        <f t="shared" si="392"/>
        <v>0</v>
      </c>
      <c r="R574" t="str">
        <f t="shared" si="393"/>
        <v>0,00</v>
      </c>
      <c r="S574" t="str">
        <f t="shared" si="393"/>
        <v>0,00</v>
      </c>
      <c r="T574" t="str">
        <f t="shared" si="378"/>
        <v xml:space="preserve"> </v>
      </c>
      <c r="U574" t="str">
        <f t="shared" si="387"/>
        <v>-</v>
      </c>
      <c r="V574" t="str">
        <f>"6,000"</f>
        <v>6,000</v>
      </c>
      <c r="W574" t="str">
        <f t="shared" si="357"/>
        <v>Lista 4</v>
      </c>
      <c r="X574" t="str">
        <f t="shared" si="358"/>
        <v>Lista 5</v>
      </c>
      <c r="Y574" t="str">
        <f t="shared" si="359"/>
        <v>Oferta Gral.</v>
      </c>
      <c r="Z574" t="str">
        <f t="shared" si="360"/>
        <v>Rubro</v>
      </c>
      <c r="AA574" t="str">
        <f t="shared" si="361"/>
        <v>Cantidad por Bulto</v>
      </c>
      <c r="AB574" t="str">
        <f t="shared" si="362"/>
        <v>INNER</v>
      </c>
      <c r="AC574" t="str">
        <f t="shared" si="363"/>
        <v>Stock en Bultos</v>
      </c>
      <c r="AD574" t="str">
        <f t="shared" si="364"/>
        <v>SubDepósito</v>
      </c>
      <c r="AE574" t="str">
        <f t="shared" si="365"/>
        <v>Marca</v>
      </c>
      <c r="AF574" t="str">
        <f t="shared" si="366"/>
        <v>Super Rubro</v>
      </c>
      <c r="AG574" t="str">
        <f t="shared" si="367"/>
        <v>ComercioExterior</v>
      </c>
      <c r="AH574" t="str">
        <f t="shared" si="368"/>
        <v>PrecioFOB</v>
      </c>
      <c r="AI574" t="str">
        <f t="shared" si="369"/>
        <v>Monto II</v>
      </c>
      <c r="AJ574" t="str">
        <f t="shared" si="370"/>
        <v>Porcentaje II</v>
      </c>
      <c r="AK574" t="str">
        <f t="shared" si="371"/>
        <v>Foto</v>
      </c>
      <c r="AL574" t="str">
        <f t="shared" si="395"/>
        <v xml:space="preserve"> </v>
      </c>
      <c r="AM574" t="str">
        <f t="shared" si="388"/>
        <v xml:space="preserve"> </v>
      </c>
    </row>
    <row r="575" spans="1:39" x14ac:dyDescent="0.25">
      <c r="A575" t="str">
        <f>"AX775 10"</f>
        <v>AX775 10</v>
      </c>
      <c r="B575" t="str">
        <f>"COJINETES AXIAL 0,254 FORD FIESTA 1.3 ENDURA VARILLERO"</f>
        <v>COJINETES AXIAL 0,254 FORD FIESTA 1.3 ENDURA VARILLERO</v>
      </c>
      <c r="C575" t="str">
        <f>"$ 4787,79"</f>
        <v>$ 4787,79</v>
      </c>
      <c r="D575" t="str">
        <f>"$ 4787,79"</f>
        <v>$ 4787,79</v>
      </c>
      <c r="E575" t="str">
        <f>"$ 4787,79"</f>
        <v>$ 4787,79</v>
      </c>
      <c r="F575" t="str">
        <f>"$ 4787,79"</f>
        <v>$ 4787,79</v>
      </c>
      <c r="G575" t="str">
        <f>"$ 4787,79"</f>
        <v>$ 4787,79</v>
      </c>
      <c r="H575" t="str">
        <f t="shared" si="354"/>
        <v>$ 0,00</v>
      </c>
      <c r="I575" t="str">
        <f t="shared" si="391"/>
        <v>JUEGO AXIALES</v>
      </c>
      <c r="J575" t="str">
        <f t="shared" si="355"/>
        <v>1</v>
      </c>
      <c r="K575" t="str">
        <f t="shared" si="379"/>
        <v>0</v>
      </c>
      <c r="L575" t="str">
        <f>"11,000"</f>
        <v>11,000</v>
      </c>
      <c r="M575" t="str">
        <f t="shared" si="356"/>
        <v xml:space="preserve"> </v>
      </c>
      <c r="N575" t="str">
        <f t="shared" si="385"/>
        <v>MPSI</v>
      </c>
      <c r="O575" t="str">
        <f t="shared" si="386"/>
        <v>COJINETES</v>
      </c>
      <c r="P575" t="str">
        <f t="shared" si="392"/>
        <v>0</v>
      </c>
      <c r="Q575" t="str">
        <f t="shared" si="392"/>
        <v>0</v>
      </c>
      <c r="R575" t="str">
        <f t="shared" si="393"/>
        <v>0,00</v>
      </c>
      <c r="S575" t="str">
        <f t="shared" si="393"/>
        <v>0,00</v>
      </c>
      <c r="T575" t="str">
        <f t="shared" si="378"/>
        <v xml:space="preserve"> </v>
      </c>
      <c r="U575" t="str">
        <f t="shared" si="387"/>
        <v>-</v>
      </c>
      <c r="V575" t="str">
        <f>"11,000"</f>
        <v>11,000</v>
      </c>
      <c r="W575" t="str">
        <f t="shared" si="357"/>
        <v>Lista 4</v>
      </c>
      <c r="X575" t="str">
        <f t="shared" si="358"/>
        <v>Lista 5</v>
      </c>
      <c r="Y575" t="str">
        <f t="shared" si="359"/>
        <v>Oferta Gral.</v>
      </c>
      <c r="Z575" t="str">
        <f t="shared" si="360"/>
        <v>Rubro</v>
      </c>
      <c r="AA575" t="str">
        <f t="shared" si="361"/>
        <v>Cantidad por Bulto</v>
      </c>
      <c r="AB575" t="str">
        <f t="shared" si="362"/>
        <v>INNER</v>
      </c>
      <c r="AC575" t="str">
        <f t="shared" si="363"/>
        <v>Stock en Bultos</v>
      </c>
      <c r="AD575" t="str">
        <f t="shared" si="364"/>
        <v>SubDepósito</v>
      </c>
      <c r="AE575" t="str">
        <f t="shared" si="365"/>
        <v>Marca</v>
      </c>
      <c r="AF575" t="str">
        <f t="shared" si="366"/>
        <v>Super Rubro</v>
      </c>
      <c r="AG575" t="str">
        <f t="shared" si="367"/>
        <v>ComercioExterior</v>
      </c>
      <c r="AH575" t="str">
        <f t="shared" si="368"/>
        <v>PrecioFOB</v>
      </c>
      <c r="AI575" t="str">
        <f t="shared" si="369"/>
        <v>Monto II</v>
      </c>
      <c r="AJ575" t="str">
        <f t="shared" si="370"/>
        <v>Porcentaje II</v>
      </c>
      <c r="AK575" t="str">
        <f t="shared" si="371"/>
        <v>Foto</v>
      </c>
      <c r="AL575" t="str">
        <f t="shared" si="395"/>
        <v xml:space="preserve"> </v>
      </c>
      <c r="AM575" t="str">
        <f t="shared" si="388"/>
        <v xml:space="preserve"> </v>
      </c>
    </row>
    <row r="576" spans="1:39" x14ac:dyDescent="0.25">
      <c r="A576" t="str">
        <f>"AX679 10"</f>
        <v>AX679 10</v>
      </c>
      <c r="B576" t="str">
        <f>"COJINETES AXIAL 0,254 FORD FIESTA 1.4 TDCI PEUGEOT 307 1.6 HDI"</f>
        <v>COJINETES AXIAL 0,254 FORD FIESTA 1.4 TDCI PEUGEOT 307 1.6 HDI</v>
      </c>
      <c r="C576" t="str">
        <f>"$ 5044,98"</f>
        <v>$ 5044,98</v>
      </c>
      <c r="D576" t="str">
        <f>"$ 5044,98"</f>
        <v>$ 5044,98</v>
      </c>
      <c r="E576" t="str">
        <f>"$ 5044,98"</f>
        <v>$ 5044,98</v>
      </c>
      <c r="F576" t="str">
        <f>"$ 5044,98"</f>
        <v>$ 5044,98</v>
      </c>
      <c r="G576" t="str">
        <f>"$ 5044,98"</f>
        <v>$ 5044,98</v>
      </c>
      <c r="H576" t="str">
        <f t="shared" si="354"/>
        <v>$ 0,00</v>
      </c>
      <c r="I576" t="str">
        <f t="shared" si="391"/>
        <v>JUEGO AXIALES</v>
      </c>
      <c r="J576" t="str">
        <f t="shared" si="355"/>
        <v>1</v>
      </c>
      <c r="K576" t="str">
        <f t="shared" si="379"/>
        <v>0</v>
      </c>
      <c r="L576" t="str">
        <f>"0,000"</f>
        <v>0,000</v>
      </c>
      <c r="M576" t="str">
        <f t="shared" si="356"/>
        <v xml:space="preserve"> </v>
      </c>
      <c r="N576" t="str">
        <f t="shared" si="385"/>
        <v>MPSI</v>
      </c>
      <c r="O576" t="str">
        <f t="shared" si="386"/>
        <v>COJINETES</v>
      </c>
      <c r="P576" t="str">
        <f t="shared" si="392"/>
        <v>0</v>
      </c>
      <c r="Q576" t="str">
        <f t="shared" si="392"/>
        <v>0</v>
      </c>
      <c r="R576" t="str">
        <f t="shared" si="393"/>
        <v>0,00</v>
      </c>
      <c r="S576" t="str">
        <f t="shared" si="393"/>
        <v>0,00</v>
      </c>
      <c r="T576" t="str">
        <f t="shared" si="378"/>
        <v xml:space="preserve"> </v>
      </c>
      <c r="U576" t="str">
        <f t="shared" si="387"/>
        <v>-</v>
      </c>
      <c r="V576" t="str">
        <f>"0,000"</f>
        <v>0,000</v>
      </c>
      <c r="W576" t="str">
        <f t="shared" si="357"/>
        <v>Lista 4</v>
      </c>
      <c r="X576" t="str">
        <f t="shared" si="358"/>
        <v>Lista 5</v>
      </c>
      <c r="Y576" t="str">
        <f t="shared" si="359"/>
        <v>Oferta Gral.</v>
      </c>
      <c r="Z576" t="str">
        <f t="shared" si="360"/>
        <v>Rubro</v>
      </c>
      <c r="AA576" t="str">
        <f t="shared" si="361"/>
        <v>Cantidad por Bulto</v>
      </c>
      <c r="AB576" t="str">
        <f t="shared" si="362"/>
        <v>INNER</v>
      </c>
      <c r="AC576" t="str">
        <f t="shared" si="363"/>
        <v>Stock en Bultos</v>
      </c>
      <c r="AD576" t="str">
        <f t="shared" si="364"/>
        <v>SubDepósito</v>
      </c>
      <c r="AE576" t="str">
        <f t="shared" si="365"/>
        <v>Marca</v>
      </c>
      <c r="AF576" t="str">
        <f t="shared" si="366"/>
        <v>Super Rubro</v>
      </c>
      <c r="AG576" t="str">
        <f t="shared" si="367"/>
        <v>ComercioExterior</v>
      </c>
      <c r="AH576" t="str">
        <f t="shared" si="368"/>
        <v>PrecioFOB</v>
      </c>
      <c r="AI576" t="str">
        <f t="shared" si="369"/>
        <v>Monto II</v>
      </c>
      <c r="AJ576" t="str">
        <f t="shared" si="370"/>
        <v>Porcentaje II</v>
      </c>
      <c r="AK576" t="str">
        <f t="shared" si="371"/>
        <v>Foto</v>
      </c>
      <c r="AL576" t="str">
        <f t="shared" si="395"/>
        <v xml:space="preserve"> </v>
      </c>
      <c r="AM576" t="str">
        <f t="shared" si="388"/>
        <v xml:space="preserve"> </v>
      </c>
    </row>
    <row r="577" spans="1:39" x14ac:dyDescent="0.25">
      <c r="A577" t="str">
        <f>"AX776 10"</f>
        <v>AX776 10</v>
      </c>
      <c r="B577" t="str">
        <f>"COJINETES AXIAL 0,254 FORD FIESTA COURIER FOCUS 1.8 DIESEL"</f>
        <v>COJINETES AXIAL 0,254 FORD FIESTA COURIER FOCUS 1.8 DIESEL</v>
      </c>
      <c r="C577" t="str">
        <f>"$ 4075,56"</f>
        <v>$ 4075,56</v>
      </c>
      <c r="D577" t="str">
        <f>"$ 4075,56"</f>
        <v>$ 4075,56</v>
      </c>
      <c r="E577" t="str">
        <f>"$ 4075,56"</f>
        <v>$ 4075,56</v>
      </c>
      <c r="F577" t="str">
        <f>"$ 4075,56"</f>
        <v>$ 4075,56</v>
      </c>
      <c r="G577" t="str">
        <f>"$ 4075,56"</f>
        <v>$ 4075,56</v>
      </c>
      <c r="H577" t="str">
        <f t="shared" si="354"/>
        <v>$ 0,00</v>
      </c>
      <c r="I577" t="str">
        <f t="shared" si="391"/>
        <v>JUEGO AXIALES</v>
      </c>
      <c r="J577" t="str">
        <f t="shared" si="355"/>
        <v>1</v>
      </c>
      <c r="K577" t="str">
        <f t="shared" si="379"/>
        <v>0</v>
      </c>
      <c r="L577" t="str">
        <f>"6,000"</f>
        <v>6,000</v>
      </c>
      <c r="M577" t="str">
        <f t="shared" si="356"/>
        <v xml:space="preserve"> </v>
      </c>
      <c r="N577" t="str">
        <f t="shared" si="385"/>
        <v>MPSI</v>
      </c>
      <c r="O577" t="str">
        <f t="shared" si="386"/>
        <v>COJINETES</v>
      </c>
      <c r="P577" t="str">
        <f t="shared" si="392"/>
        <v>0</v>
      </c>
      <c r="Q577" t="str">
        <f t="shared" si="392"/>
        <v>0</v>
      </c>
      <c r="R577" t="str">
        <f t="shared" si="393"/>
        <v>0,00</v>
      </c>
      <c r="S577" t="str">
        <f t="shared" si="393"/>
        <v>0,00</v>
      </c>
      <c r="T577" t="str">
        <f t="shared" si="378"/>
        <v xml:space="preserve"> </v>
      </c>
      <c r="U577" t="str">
        <f t="shared" si="387"/>
        <v>-</v>
      </c>
      <c r="V577" t="str">
        <f>"6,000"</f>
        <v>6,000</v>
      </c>
      <c r="W577" t="str">
        <f t="shared" si="357"/>
        <v>Lista 4</v>
      </c>
      <c r="X577" t="str">
        <f t="shared" si="358"/>
        <v>Lista 5</v>
      </c>
      <c r="Y577" t="str">
        <f t="shared" si="359"/>
        <v>Oferta Gral.</v>
      </c>
      <c r="Z577" t="str">
        <f t="shared" si="360"/>
        <v>Rubro</v>
      </c>
      <c r="AA577" t="str">
        <f t="shared" si="361"/>
        <v>Cantidad por Bulto</v>
      </c>
      <c r="AB577" t="str">
        <f t="shared" si="362"/>
        <v>INNER</v>
      </c>
      <c r="AC577" t="str">
        <f t="shared" si="363"/>
        <v>Stock en Bultos</v>
      </c>
      <c r="AD577" t="str">
        <f t="shared" si="364"/>
        <v>SubDepósito</v>
      </c>
      <c r="AE577" t="str">
        <f t="shared" si="365"/>
        <v>Marca</v>
      </c>
      <c r="AF577" t="str">
        <f t="shared" si="366"/>
        <v>Super Rubro</v>
      </c>
      <c r="AG577" t="str">
        <f t="shared" si="367"/>
        <v>ComercioExterior</v>
      </c>
      <c r="AH577" t="str">
        <f t="shared" si="368"/>
        <v>PrecioFOB</v>
      </c>
      <c r="AI577" t="str">
        <f t="shared" si="369"/>
        <v>Monto II</v>
      </c>
      <c r="AJ577" t="str">
        <f t="shared" si="370"/>
        <v>Porcentaje II</v>
      </c>
      <c r="AK577" t="str">
        <f t="shared" si="371"/>
        <v>Foto</v>
      </c>
      <c r="AL577" t="str">
        <f t="shared" si="395"/>
        <v xml:space="preserve"> </v>
      </c>
      <c r="AM577" t="str">
        <f t="shared" si="388"/>
        <v xml:space="preserve"> </v>
      </c>
    </row>
    <row r="578" spans="1:39" x14ac:dyDescent="0.25">
      <c r="A578" t="str">
        <f>"AX774 10"</f>
        <v>AX774 10</v>
      </c>
      <c r="B578" t="str">
        <f>"COJINETES AXIAL 0,254 FORD TRANSIT 2,5 DIESEL 2401E"</f>
        <v>COJINETES AXIAL 0,254 FORD TRANSIT 2,5 DIESEL 2401E</v>
      </c>
      <c r="C578" t="str">
        <f>"$ 4273,40"</f>
        <v>$ 4273,40</v>
      </c>
      <c r="D578" t="str">
        <f>"$ 4273,40"</f>
        <v>$ 4273,40</v>
      </c>
      <c r="E578" t="str">
        <f>"$ 4273,40"</f>
        <v>$ 4273,40</v>
      </c>
      <c r="F578" t="str">
        <f>"$ 4273,40"</f>
        <v>$ 4273,40</v>
      </c>
      <c r="G578" t="str">
        <f>"$ 4273,40"</f>
        <v>$ 4273,40</v>
      </c>
      <c r="H578" t="str">
        <f t="shared" si="354"/>
        <v>$ 0,00</v>
      </c>
      <c r="I578" t="str">
        <f t="shared" si="391"/>
        <v>JUEGO AXIALES</v>
      </c>
      <c r="J578" t="str">
        <f t="shared" si="355"/>
        <v>1</v>
      </c>
      <c r="K578" t="str">
        <f t="shared" si="379"/>
        <v>0</v>
      </c>
      <c r="L578" t="str">
        <f>"0,000"</f>
        <v>0,000</v>
      </c>
      <c r="M578" t="str">
        <f t="shared" si="356"/>
        <v xml:space="preserve"> </v>
      </c>
      <c r="N578" t="str">
        <f t="shared" si="385"/>
        <v>MPSI</v>
      </c>
      <c r="O578" t="str">
        <f t="shared" si="386"/>
        <v>COJINETES</v>
      </c>
      <c r="P578" t="str">
        <f t="shared" si="392"/>
        <v>0</v>
      </c>
      <c r="Q578" t="str">
        <f t="shared" si="392"/>
        <v>0</v>
      </c>
      <c r="R578" t="str">
        <f t="shared" si="393"/>
        <v>0,00</v>
      </c>
      <c r="S578" t="str">
        <f t="shared" si="393"/>
        <v>0,00</v>
      </c>
      <c r="T578" t="str">
        <f t="shared" si="378"/>
        <v xml:space="preserve"> </v>
      </c>
      <c r="U578" t="str">
        <f t="shared" si="387"/>
        <v>-</v>
      </c>
      <c r="V578" t="str">
        <f>"0,000"</f>
        <v>0,000</v>
      </c>
      <c r="W578" t="str">
        <f t="shared" si="357"/>
        <v>Lista 4</v>
      </c>
      <c r="X578" t="str">
        <f t="shared" si="358"/>
        <v>Lista 5</v>
      </c>
      <c r="Y578" t="str">
        <f t="shared" si="359"/>
        <v>Oferta Gral.</v>
      </c>
      <c r="Z578" t="str">
        <f t="shared" si="360"/>
        <v>Rubro</v>
      </c>
      <c r="AA578" t="str">
        <f t="shared" si="361"/>
        <v>Cantidad por Bulto</v>
      </c>
      <c r="AB578" t="str">
        <f t="shared" si="362"/>
        <v>INNER</v>
      </c>
      <c r="AC578" t="str">
        <f t="shared" si="363"/>
        <v>Stock en Bultos</v>
      </c>
      <c r="AD578" t="str">
        <f t="shared" si="364"/>
        <v>SubDepósito</v>
      </c>
      <c r="AE578" t="str">
        <f t="shared" si="365"/>
        <v>Marca</v>
      </c>
      <c r="AF578" t="str">
        <f t="shared" si="366"/>
        <v>Super Rubro</v>
      </c>
      <c r="AG578" t="str">
        <f t="shared" si="367"/>
        <v>ComercioExterior</v>
      </c>
      <c r="AH578" t="str">
        <f t="shared" si="368"/>
        <v>PrecioFOB</v>
      </c>
      <c r="AI578" t="str">
        <f t="shared" si="369"/>
        <v>Monto II</v>
      </c>
      <c r="AJ578" t="str">
        <f t="shared" si="370"/>
        <v>Porcentaje II</v>
      </c>
      <c r="AK578" t="str">
        <f t="shared" si="371"/>
        <v>Foto</v>
      </c>
      <c r="AL578" t="str">
        <f t="shared" si="395"/>
        <v xml:space="preserve"> </v>
      </c>
      <c r="AM578" t="str">
        <f t="shared" si="388"/>
        <v xml:space="preserve"> </v>
      </c>
    </row>
    <row r="579" spans="1:39" x14ac:dyDescent="0.25">
      <c r="A579" t="str">
        <f>"AX381101 10"</f>
        <v>AX381101 10</v>
      </c>
      <c r="B579" t="str">
        <f>"COJINETES AXIAL 0,254 RENAULT CAPTUR NISSAN VERSA 1.6 H4M CADENERO"</f>
        <v>COJINETES AXIAL 0,254 RENAULT CAPTUR NISSAN VERSA 1.6 H4M CADENERO</v>
      </c>
      <c r="C579" t="str">
        <f>"$ 4649,30"</f>
        <v>$ 4649,30</v>
      </c>
      <c r="D579" t="str">
        <f>"$ 4649,30"</f>
        <v>$ 4649,30</v>
      </c>
      <c r="E579" t="str">
        <f>"$ 4649,30"</f>
        <v>$ 4649,30</v>
      </c>
      <c r="F579" t="str">
        <f>"$ 4649,30"</f>
        <v>$ 4649,30</v>
      </c>
      <c r="G579" t="str">
        <f>"$ 4649,30"</f>
        <v>$ 4649,30</v>
      </c>
      <c r="H579" t="str">
        <f t="shared" ref="H579:H642" si="396">"$ 0,00"</f>
        <v>$ 0,00</v>
      </c>
      <c r="I579" t="str">
        <f t="shared" si="391"/>
        <v>JUEGO AXIALES</v>
      </c>
      <c r="J579" t="str">
        <f t="shared" ref="J579:J642" si="397">"1"</f>
        <v>1</v>
      </c>
      <c r="K579" t="str">
        <f t="shared" si="379"/>
        <v>0</v>
      </c>
      <c r="L579" t="str">
        <f>"0,000"</f>
        <v>0,000</v>
      </c>
      <c r="M579" t="str">
        <f t="shared" ref="M579:M642" si="398">" "</f>
        <v xml:space="preserve"> </v>
      </c>
      <c r="N579" t="str">
        <f t="shared" si="385"/>
        <v>MPSI</v>
      </c>
      <c r="O579" t="str">
        <f t="shared" si="386"/>
        <v>COJINETES</v>
      </c>
      <c r="P579" t="str">
        <f t="shared" si="392"/>
        <v>0</v>
      </c>
      <c r="Q579" t="str">
        <f t="shared" si="392"/>
        <v>0</v>
      </c>
      <c r="R579" t="str">
        <f t="shared" si="393"/>
        <v>0,00</v>
      </c>
      <c r="S579" t="str">
        <f t="shared" si="393"/>
        <v>0,00</v>
      </c>
      <c r="T579" t="str">
        <f t="shared" si="378"/>
        <v xml:space="preserve"> </v>
      </c>
      <c r="U579" t="str">
        <f t="shared" si="387"/>
        <v>-</v>
      </c>
      <c r="V579" t="str">
        <f>"0,000"</f>
        <v>0,000</v>
      </c>
      <c r="W579" t="str">
        <f t="shared" ref="W579:W642" si="399">"Lista 4"</f>
        <v>Lista 4</v>
      </c>
      <c r="X579" t="str">
        <f t="shared" ref="X579:X642" si="400">"Lista 5"</f>
        <v>Lista 5</v>
      </c>
      <c r="Y579" t="str">
        <f t="shared" ref="Y579:Y642" si="401">"Oferta Gral."</f>
        <v>Oferta Gral.</v>
      </c>
      <c r="Z579" t="str">
        <f t="shared" ref="Z579:Z642" si="402">"Rubro"</f>
        <v>Rubro</v>
      </c>
      <c r="AA579" t="str">
        <f t="shared" ref="AA579:AA642" si="403">"Cantidad por Bulto"</f>
        <v>Cantidad por Bulto</v>
      </c>
      <c r="AB579" t="str">
        <f t="shared" ref="AB579:AB642" si="404">"INNER"</f>
        <v>INNER</v>
      </c>
      <c r="AC579" t="str">
        <f t="shared" ref="AC579:AC642" si="405">"Stock en Bultos"</f>
        <v>Stock en Bultos</v>
      </c>
      <c r="AD579" t="str">
        <f t="shared" ref="AD579:AD642" si="406">"SubDepósito"</f>
        <v>SubDepósito</v>
      </c>
      <c r="AE579" t="str">
        <f t="shared" ref="AE579:AE642" si="407">"Marca"</f>
        <v>Marca</v>
      </c>
      <c r="AF579" t="str">
        <f t="shared" ref="AF579:AF642" si="408">"Super Rubro"</f>
        <v>Super Rubro</v>
      </c>
      <c r="AG579" t="str">
        <f t="shared" ref="AG579:AG642" si="409">"ComercioExterior"</f>
        <v>ComercioExterior</v>
      </c>
      <c r="AH579" t="str">
        <f t="shared" ref="AH579:AH642" si="410">"PrecioFOB"</f>
        <v>PrecioFOB</v>
      </c>
      <c r="AI579" t="str">
        <f t="shared" ref="AI579:AI642" si="411">"Monto II"</f>
        <v>Monto II</v>
      </c>
      <c r="AJ579" t="str">
        <f t="shared" ref="AJ579:AJ642" si="412">"Porcentaje II"</f>
        <v>Porcentaje II</v>
      </c>
      <c r="AK579" t="str">
        <f t="shared" ref="AK579:AK642" si="413">"Foto"</f>
        <v>Foto</v>
      </c>
      <c r="AL579" t="str">
        <f t="shared" si="395"/>
        <v xml:space="preserve"> </v>
      </c>
      <c r="AM579" t="str">
        <f t="shared" si="388"/>
        <v xml:space="preserve"> </v>
      </c>
    </row>
    <row r="580" spans="1:39" x14ac:dyDescent="0.25">
      <c r="A580" t="str">
        <f>"AX810"</f>
        <v>AX810</v>
      </c>
      <c r="B580" t="str">
        <f>"COJINETES AXIAL STD CHEVROLET CORSA 1.7 DIESEL"</f>
        <v>COJINETES AXIAL STD CHEVROLET CORSA 1.7 DIESEL</v>
      </c>
      <c r="C580" t="str">
        <f>"$ 4471,24"</f>
        <v>$ 4471,24</v>
      </c>
      <c r="D580" t="str">
        <f>"$ 4471,24"</f>
        <v>$ 4471,24</v>
      </c>
      <c r="E580" t="str">
        <f>"$ 4471,24"</f>
        <v>$ 4471,24</v>
      </c>
      <c r="F580" t="str">
        <f>"$ 4471,24"</f>
        <v>$ 4471,24</v>
      </c>
      <c r="G580" t="str">
        <f>"$ 4471,24"</f>
        <v>$ 4471,24</v>
      </c>
      <c r="H580" t="str">
        <f t="shared" si="396"/>
        <v>$ 0,00</v>
      </c>
      <c r="I580" t="str">
        <f t="shared" si="391"/>
        <v>JUEGO AXIALES</v>
      </c>
      <c r="J580" t="str">
        <f t="shared" si="397"/>
        <v>1</v>
      </c>
      <c r="K580" t="str">
        <f t="shared" si="379"/>
        <v>0</v>
      </c>
      <c r="L580" t="str">
        <f>"14,000"</f>
        <v>14,000</v>
      </c>
      <c r="M580" t="str">
        <f t="shared" si="398"/>
        <v xml:space="preserve"> </v>
      </c>
      <c r="N580" t="str">
        <f t="shared" si="385"/>
        <v>MPSI</v>
      </c>
      <c r="O580" t="str">
        <f t="shared" si="386"/>
        <v>COJINETES</v>
      </c>
      <c r="P580" t="str">
        <f t="shared" si="392"/>
        <v>0</v>
      </c>
      <c r="Q580" t="str">
        <f t="shared" si="392"/>
        <v>0</v>
      </c>
      <c r="R580" t="str">
        <f t="shared" si="393"/>
        <v>0,00</v>
      </c>
      <c r="S580" t="str">
        <f t="shared" si="393"/>
        <v>0,00</v>
      </c>
      <c r="T580" t="str">
        <f t="shared" si="378"/>
        <v xml:space="preserve"> </v>
      </c>
      <c r="U580" t="str">
        <f t="shared" si="387"/>
        <v>-</v>
      </c>
      <c r="V580" t="str">
        <f>"14,000"</f>
        <v>14,000</v>
      </c>
      <c r="W580" t="str">
        <f t="shared" si="399"/>
        <v>Lista 4</v>
      </c>
      <c r="X580" t="str">
        <f t="shared" si="400"/>
        <v>Lista 5</v>
      </c>
      <c r="Y580" t="str">
        <f t="shared" si="401"/>
        <v>Oferta Gral.</v>
      </c>
      <c r="Z580" t="str">
        <f t="shared" si="402"/>
        <v>Rubro</v>
      </c>
      <c r="AA580" t="str">
        <f t="shared" si="403"/>
        <v>Cantidad por Bulto</v>
      </c>
      <c r="AB580" t="str">
        <f t="shared" si="404"/>
        <v>INNER</v>
      </c>
      <c r="AC580" t="str">
        <f t="shared" si="405"/>
        <v>Stock en Bultos</v>
      </c>
      <c r="AD580" t="str">
        <f t="shared" si="406"/>
        <v>SubDepósito</v>
      </c>
      <c r="AE580" t="str">
        <f t="shared" si="407"/>
        <v>Marca</v>
      </c>
      <c r="AF580" t="str">
        <f t="shared" si="408"/>
        <v>Super Rubro</v>
      </c>
      <c r="AG580" t="str">
        <f t="shared" si="409"/>
        <v>ComercioExterior</v>
      </c>
      <c r="AH580" t="str">
        <f t="shared" si="410"/>
        <v>PrecioFOB</v>
      </c>
      <c r="AI580" t="str">
        <f t="shared" si="411"/>
        <v>Monto II</v>
      </c>
      <c r="AJ580" t="str">
        <f t="shared" si="412"/>
        <v>Porcentaje II</v>
      </c>
      <c r="AK580" t="str">
        <f t="shared" si="413"/>
        <v>Foto</v>
      </c>
      <c r="AL580" t="str">
        <f>"{\rtf1\ansi\ansicpg1252\deff0\deflang11274{\fonttbl{\f0\fnil\fcharset0 MS Sans Serif}} \viewkind4\uc1\pard\f0\fs16 COJINETES AXIAL STD CHEVROLET CORSA 1.7 DIESEL\par } "</f>
        <v xml:space="preserve">{\rtf1\ansi\ansicpg1252\deff0\deflang11274{\fonttbl{\f0\fnil\fcharset0 MS Sans Serif}} \viewkind4\uc1\pard\f0\fs16 COJINETES AXIAL STD CHEVROLET CORSA 1.7 DIESEL\par } </v>
      </c>
      <c r="AM580" t="str">
        <f t="shared" si="388"/>
        <v xml:space="preserve"> </v>
      </c>
    </row>
    <row r="581" spans="1:39" x14ac:dyDescent="0.25">
      <c r="A581" t="str">
        <f>"AX136"</f>
        <v>AX136</v>
      </c>
      <c r="B581" t="str">
        <f>"COJINETES AXIAL STD FIAT 147 DUNA 1300 DIESEL"</f>
        <v>COJINETES AXIAL STD FIAT 147 DUNA 1300 DIESEL</v>
      </c>
      <c r="C581" t="str">
        <f>"$ 4649,30"</f>
        <v>$ 4649,30</v>
      </c>
      <c r="D581" t="str">
        <f>"$ 4649,30"</f>
        <v>$ 4649,30</v>
      </c>
      <c r="E581" t="str">
        <f>"$ 4649,30"</f>
        <v>$ 4649,30</v>
      </c>
      <c r="F581" t="str">
        <f>"$ 4649,30"</f>
        <v>$ 4649,30</v>
      </c>
      <c r="G581" t="str">
        <f>"$ 4649,30"</f>
        <v>$ 4649,30</v>
      </c>
      <c r="H581" t="str">
        <f t="shared" si="396"/>
        <v>$ 0,00</v>
      </c>
      <c r="I581" t="str">
        <f t="shared" si="391"/>
        <v>JUEGO AXIALES</v>
      </c>
      <c r="J581" t="str">
        <f t="shared" si="397"/>
        <v>1</v>
      </c>
      <c r="K581" t="str">
        <f t="shared" si="379"/>
        <v>0</v>
      </c>
      <c r="L581" t="str">
        <f>"11,000"</f>
        <v>11,000</v>
      </c>
      <c r="M581" t="str">
        <f t="shared" si="398"/>
        <v xml:space="preserve"> </v>
      </c>
      <c r="N581" t="str">
        <f t="shared" si="385"/>
        <v>MPSI</v>
      </c>
      <c r="O581" t="str">
        <f t="shared" si="386"/>
        <v>COJINETES</v>
      </c>
      <c r="P581" t="str">
        <f t="shared" si="392"/>
        <v>0</v>
      </c>
      <c r="Q581" t="str">
        <f t="shared" si="392"/>
        <v>0</v>
      </c>
      <c r="R581" t="str">
        <f t="shared" si="393"/>
        <v>0,00</v>
      </c>
      <c r="S581" t="str">
        <f t="shared" si="393"/>
        <v>0,00</v>
      </c>
      <c r="T581" t="str">
        <f t="shared" si="378"/>
        <v xml:space="preserve"> </v>
      </c>
      <c r="U581" t="str">
        <f t="shared" ref="U581:U612" si="414">"-"</f>
        <v>-</v>
      </c>
      <c r="V581" t="str">
        <f>"11,000"</f>
        <v>11,000</v>
      </c>
      <c r="W581" t="str">
        <f t="shared" si="399"/>
        <v>Lista 4</v>
      </c>
      <c r="X581" t="str">
        <f t="shared" si="400"/>
        <v>Lista 5</v>
      </c>
      <c r="Y581" t="str">
        <f t="shared" si="401"/>
        <v>Oferta Gral.</v>
      </c>
      <c r="Z581" t="str">
        <f t="shared" si="402"/>
        <v>Rubro</v>
      </c>
      <c r="AA581" t="str">
        <f t="shared" si="403"/>
        <v>Cantidad por Bulto</v>
      </c>
      <c r="AB581" t="str">
        <f t="shared" si="404"/>
        <v>INNER</v>
      </c>
      <c r="AC581" t="str">
        <f t="shared" si="405"/>
        <v>Stock en Bultos</v>
      </c>
      <c r="AD581" t="str">
        <f t="shared" si="406"/>
        <v>SubDepósito</v>
      </c>
      <c r="AE581" t="str">
        <f t="shared" si="407"/>
        <v>Marca</v>
      </c>
      <c r="AF581" t="str">
        <f t="shared" si="408"/>
        <v>Super Rubro</v>
      </c>
      <c r="AG581" t="str">
        <f t="shared" si="409"/>
        <v>ComercioExterior</v>
      </c>
      <c r="AH581" t="str">
        <f t="shared" si="410"/>
        <v>PrecioFOB</v>
      </c>
      <c r="AI581" t="str">
        <f t="shared" si="411"/>
        <v>Monto II</v>
      </c>
      <c r="AJ581" t="str">
        <f t="shared" si="412"/>
        <v>Porcentaje II</v>
      </c>
      <c r="AK581" t="str">
        <f t="shared" si="413"/>
        <v>Foto</v>
      </c>
      <c r="AL581" t="str">
        <f t="shared" ref="AL581:AL593" si="415">" "</f>
        <v xml:space="preserve"> </v>
      </c>
      <c r="AM581" t="str">
        <f t="shared" ref="AM581:AM612" si="416">" "</f>
        <v xml:space="preserve"> </v>
      </c>
    </row>
    <row r="582" spans="1:39" x14ac:dyDescent="0.25">
      <c r="A582" t="str">
        <f>"AX131358"</f>
        <v>AX131358</v>
      </c>
      <c r="B582" t="str">
        <f>"COJINETES AXIAL STD FIAT ARGO CRONOS 1.3 FIREFLY 8V"</f>
        <v>COJINETES AXIAL STD FIAT ARGO CRONOS 1.3 FIREFLY 8V</v>
      </c>
      <c r="C582" t="str">
        <f>"$ 4471,24"</f>
        <v>$ 4471,24</v>
      </c>
      <c r="D582" t="str">
        <f>"$ 4471,24"</f>
        <v>$ 4471,24</v>
      </c>
      <c r="E582" t="str">
        <f>"$ 4471,24"</f>
        <v>$ 4471,24</v>
      </c>
      <c r="F582" t="str">
        <f>"$ 4471,24"</f>
        <v>$ 4471,24</v>
      </c>
      <c r="G582" t="str">
        <f>"$ 4471,24"</f>
        <v>$ 4471,24</v>
      </c>
      <c r="H582" t="str">
        <f t="shared" si="396"/>
        <v>$ 0,00</v>
      </c>
      <c r="I582" t="str">
        <f t="shared" si="391"/>
        <v>JUEGO AXIALES</v>
      </c>
      <c r="J582" t="str">
        <f t="shared" si="397"/>
        <v>1</v>
      </c>
      <c r="K582" t="str">
        <f t="shared" si="379"/>
        <v>0</v>
      </c>
      <c r="L582" t="str">
        <f>"6,000"</f>
        <v>6,000</v>
      </c>
      <c r="M582" t="str">
        <f t="shared" si="398"/>
        <v xml:space="preserve"> </v>
      </c>
      <c r="N582" t="str">
        <f t="shared" si="385"/>
        <v>MPSI</v>
      </c>
      <c r="O582" t="str">
        <f t="shared" si="386"/>
        <v>COJINETES</v>
      </c>
      <c r="P582" t="str">
        <f t="shared" si="392"/>
        <v>0</v>
      </c>
      <c r="Q582" t="str">
        <f t="shared" si="392"/>
        <v>0</v>
      </c>
      <c r="R582" t="str">
        <f t="shared" si="393"/>
        <v>0,00</v>
      </c>
      <c r="S582" t="str">
        <f t="shared" si="393"/>
        <v>0,00</v>
      </c>
      <c r="T582" t="str">
        <f t="shared" si="378"/>
        <v xml:space="preserve"> </v>
      </c>
      <c r="U582" t="str">
        <f t="shared" si="414"/>
        <v>-</v>
      </c>
      <c r="V582" t="str">
        <f>"6,000"</f>
        <v>6,000</v>
      </c>
      <c r="W582" t="str">
        <f t="shared" si="399"/>
        <v>Lista 4</v>
      </c>
      <c r="X582" t="str">
        <f t="shared" si="400"/>
        <v>Lista 5</v>
      </c>
      <c r="Y582" t="str">
        <f t="shared" si="401"/>
        <v>Oferta Gral.</v>
      </c>
      <c r="Z582" t="str">
        <f t="shared" si="402"/>
        <v>Rubro</v>
      </c>
      <c r="AA582" t="str">
        <f t="shared" si="403"/>
        <v>Cantidad por Bulto</v>
      </c>
      <c r="AB582" t="str">
        <f t="shared" si="404"/>
        <v>INNER</v>
      </c>
      <c r="AC582" t="str">
        <f t="shared" si="405"/>
        <v>Stock en Bultos</v>
      </c>
      <c r="AD582" t="str">
        <f t="shared" si="406"/>
        <v>SubDepósito</v>
      </c>
      <c r="AE582" t="str">
        <f t="shared" si="407"/>
        <v>Marca</v>
      </c>
      <c r="AF582" t="str">
        <f t="shared" si="408"/>
        <v>Super Rubro</v>
      </c>
      <c r="AG582" t="str">
        <f t="shared" si="409"/>
        <v>ComercioExterior</v>
      </c>
      <c r="AH582" t="str">
        <f t="shared" si="410"/>
        <v>PrecioFOB</v>
      </c>
      <c r="AI582" t="str">
        <f t="shared" si="411"/>
        <v>Monto II</v>
      </c>
      <c r="AJ582" t="str">
        <f t="shared" si="412"/>
        <v>Porcentaje II</v>
      </c>
      <c r="AK582" t="str">
        <f t="shared" si="413"/>
        <v>Foto</v>
      </c>
      <c r="AL582" t="str">
        <f t="shared" si="415"/>
        <v xml:space="preserve"> </v>
      </c>
      <c r="AM582" t="str">
        <f t="shared" si="416"/>
        <v xml:space="preserve"> </v>
      </c>
    </row>
    <row r="583" spans="1:39" x14ac:dyDescent="0.25">
      <c r="A583" t="str">
        <f>"AX135"</f>
        <v>AX135</v>
      </c>
      <c r="B583" t="str">
        <f>"COJINETES AXIAL STD FIAT DUNA DUCATO 1.7 1.9 DIESEL"</f>
        <v>COJINETES AXIAL STD FIAT DUNA DUCATO 1.7 1.9 DIESEL</v>
      </c>
      <c r="C583" t="str">
        <f>"$ 4134,91"</f>
        <v>$ 4134,91</v>
      </c>
      <c r="D583" t="str">
        <f>"$ 4134,91"</f>
        <v>$ 4134,91</v>
      </c>
      <c r="E583" t="str">
        <f>"$ 4134,91"</f>
        <v>$ 4134,91</v>
      </c>
      <c r="F583" t="str">
        <f>"$ 4134,91"</f>
        <v>$ 4134,91</v>
      </c>
      <c r="G583" t="str">
        <f>"$ 4134,91"</f>
        <v>$ 4134,91</v>
      </c>
      <c r="H583" t="str">
        <f t="shared" si="396"/>
        <v>$ 0,00</v>
      </c>
      <c r="I583" t="str">
        <f t="shared" si="391"/>
        <v>JUEGO AXIALES</v>
      </c>
      <c r="J583" t="str">
        <f t="shared" si="397"/>
        <v>1</v>
      </c>
      <c r="K583" t="str">
        <f t="shared" si="379"/>
        <v>0</v>
      </c>
      <c r="L583" t="str">
        <f>"14,000"</f>
        <v>14,000</v>
      </c>
      <c r="M583" t="str">
        <f t="shared" si="398"/>
        <v xml:space="preserve"> </v>
      </c>
      <c r="N583" t="str">
        <f t="shared" si="385"/>
        <v>MPSI</v>
      </c>
      <c r="O583" t="str">
        <f t="shared" si="386"/>
        <v>COJINETES</v>
      </c>
      <c r="P583" t="str">
        <f t="shared" ref="P583:Q602" si="417">"0"</f>
        <v>0</v>
      </c>
      <c r="Q583" t="str">
        <f t="shared" si="417"/>
        <v>0</v>
      </c>
      <c r="R583" t="str">
        <f t="shared" ref="R583:S602" si="418">"0,00"</f>
        <v>0,00</v>
      </c>
      <c r="S583" t="str">
        <f t="shared" si="418"/>
        <v>0,00</v>
      </c>
      <c r="T583" t="str">
        <f t="shared" si="378"/>
        <v xml:space="preserve"> </v>
      </c>
      <c r="U583" t="str">
        <f t="shared" si="414"/>
        <v>-</v>
      </c>
      <c r="V583" t="str">
        <f>"14,000"</f>
        <v>14,000</v>
      </c>
      <c r="W583" t="str">
        <f t="shared" si="399"/>
        <v>Lista 4</v>
      </c>
      <c r="X583" t="str">
        <f t="shared" si="400"/>
        <v>Lista 5</v>
      </c>
      <c r="Y583" t="str">
        <f t="shared" si="401"/>
        <v>Oferta Gral.</v>
      </c>
      <c r="Z583" t="str">
        <f t="shared" si="402"/>
        <v>Rubro</v>
      </c>
      <c r="AA583" t="str">
        <f t="shared" si="403"/>
        <v>Cantidad por Bulto</v>
      </c>
      <c r="AB583" t="str">
        <f t="shared" si="404"/>
        <v>INNER</v>
      </c>
      <c r="AC583" t="str">
        <f t="shared" si="405"/>
        <v>Stock en Bultos</v>
      </c>
      <c r="AD583" t="str">
        <f t="shared" si="406"/>
        <v>SubDepósito</v>
      </c>
      <c r="AE583" t="str">
        <f t="shared" si="407"/>
        <v>Marca</v>
      </c>
      <c r="AF583" t="str">
        <f t="shared" si="408"/>
        <v>Super Rubro</v>
      </c>
      <c r="AG583" t="str">
        <f t="shared" si="409"/>
        <v>ComercioExterior</v>
      </c>
      <c r="AH583" t="str">
        <f t="shared" si="410"/>
        <v>PrecioFOB</v>
      </c>
      <c r="AI583" t="str">
        <f t="shared" si="411"/>
        <v>Monto II</v>
      </c>
      <c r="AJ583" t="str">
        <f t="shared" si="412"/>
        <v>Porcentaje II</v>
      </c>
      <c r="AK583" t="str">
        <f t="shared" si="413"/>
        <v>Foto</v>
      </c>
      <c r="AL583" t="str">
        <f t="shared" si="415"/>
        <v xml:space="preserve"> </v>
      </c>
      <c r="AM583" t="str">
        <f t="shared" si="416"/>
        <v xml:space="preserve"> </v>
      </c>
    </row>
    <row r="584" spans="1:39" x14ac:dyDescent="0.25">
      <c r="A584" t="str">
        <f>"AX131"</f>
        <v>AX131</v>
      </c>
      <c r="B584" t="str">
        <f>"COJINETES AXIAL STD FIAT DUNA UNO 147 MOTOR TIPO 1.4 1.6"</f>
        <v>COJINETES AXIAL STD FIAT DUNA UNO 147 MOTOR TIPO 1.4 1.6</v>
      </c>
      <c r="C584" t="str">
        <f>"$ 4016,20"</f>
        <v>$ 4016,20</v>
      </c>
      <c r="D584" t="str">
        <f>"$ 4016,20"</f>
        <v>$ 4016,20</v>
      </c>
      <c r="E584" t="str">
        <f>"$ 4016,20"</f>
        <v>$ 4016,20</v>
      </c>
      <c r="F584" t="str">
        <f>"$ 4016,20"</f>
        <v>$ 4016,20</v>
      </c>
      <c r="G584" t="str">
        <f>"$ 4016,20"</f>
        <v>$ 4016,20</v>
      </c>
      <c r="H584" t="str">
        <f t="shared" si="396"/>
        <v>$ 0,00</v>
      </c>
      <c r="I584" t="str">
        <f t="shared" si="391"/>
        <v>JUEGO AXIALES</v>
      </c>
      <c r="J584" t="str">
        <f t="shared" si="397"/>
        <v>1</v>
      </c>
      <c r="K584" t="str">
        <f t="shared" si="379"/>
        <v>0</v>
      </c>
      <c r="L584" t="str">
        <f>"4,000"</f>
        <v>4,000</v>
      </c>
      <c r="M584" t="str">
        <f t="shared" si="398"/>
        <v xml:space="preserve"> </v>
      </c>
      <c r="N584" t="str">
        <f t="shared" si="385"/>
        <v>MPSI</v>
      </c>
      <c r="O584" t="str">
        <f t="shared" si="386"/>
        <v>COJINETES</v>
      </c>
      <c r="P584" t="str">
        <f t="shared" si="417"/>
        <v>0</v>
      </c>
      <c r="Q584" t="str">
        <f t="shared" si="417"/>
        <v>0</v>
      </c>
      <c r="R584" t="str">
        <f t="shared" si="418"/>
        <v>0,00</v>
      </c>
      <c r="S584" t="str">
        <f t="shared" si="418"/>
        <v>0,00</v>
      </c>
      <c r="T584" t="str">
        <f t="shared" si="378"/>
        <v xml:space="preserve"> </v>
      </c>
      <c r="U584" t="str">
        <f t="shared" si="414"/>
        <v>-</v>
      </c>
      <c r="V584" t="str">
        <f>"4,000"</f>
        <v>4,000</v>
      </c>
      <c r="W584" t="str">
        <f t="shared" si="399"/>
        <v>Lista 4</v>
      </c>
      <c r="X584" t="str">
        <f t="shared" si="400"/>
        <v>Lista 5</v>
      </c>
      <c r="Y584" t="str">
        <f t="shared" si="401"/>
        <v>Oferta Gral.</v>
      </c>
      <c r="Z584" t="str">
        <f t="shared" si="402"/>
        <v>Rubro</v>
      </c>
      <c r="AA584" t="str">
        <f t="shared" si="403"/>
        <v>Cantidad por Bulto</v>
      </c>
      <c r="AB584" t="str">
        <f t="shared" si="404"/>
        <v>INNER</v>
      </c>
      <c r="AC584" t="str">
        <f t="shared" si="405"/>
        <v>Stock en Bultos</v>
      </c>
      <c r="AD584" t="str">
        <f t="shared" si="406"/>
        <v>SubDepósito</v>
      </c>
      <c r="AE584" t="str">
        <f t="shared" si="407"/>
        <v>Marca</v>
      </c>
      <c r="AF584" t="str">
        <f t="shared" si="408"/>
        <v>Super Rubro</v>
      </c>
      <c r="AG584" t="str">
        <f t="shared" si="409"/>
        <v>ComercioExterior</v>
      </c>
      <c r="AH584" t="str">
        <f t="shared" si="410"/>
        <v>PrecioFOB</v>
      </c>
      <c r="AI584" t="str">
        <f t="shared" si="411"/>
        <v>Monto II</v>
      </c>
      <c r="AJ584" t="str">
        <f t="shared" si="412"/>
        <v>Porcentaje II</v>
      </c>
      <c r="AK584" t="str">
        <f t="shared" si="413"/>
        <v>Foto</v>
      </c>
      <c r="AL584" t="str">
        <f t="shared" si="415"/>
        <v xml:space="preserve"> </v>
      </c>
      <c r="AM584" t="str">
        <f t="shared" si="416"/>
        <v xml:space="preserve"> </v>
      </c>
    </row>
    <row r="585" spans="1:39" x14ac:dyDescent="0.25">
      <c r="A585" t="str">
        <f>"AX775"</f>
        <v>AX775</v>
      </c>
      <c r="B585" t="str">
        <f>"COJINETES AXIAL STD FORD FIESTA 1.3 ENDURA VARILLERO"</f>
        <v>COJINETES AXIAL STD FORD FIESTA 1.3 ENDURA VARILLERO</v>
      </c>
      <c r="C585" t="str">
        <f>"$ 4787,79"</f>
        <v>$ 4787,79</v>
      </c>
      <c r="D585" t="str">
        <f>"$ 4787,79"</f>
        <v>$ 4787,79</v>
      </c>
      <c r="E585" t="str">
        <f>"$ 4787,79"</f>
        <v>$ 4787,79</v>
      </c>
      <c r="F585" t="str">
        <f>"$ 4787,79"</f>
        <v>$ 4787,79</v>
      </c>
      <c r="G585" t="str">
        <f>"$ 4787,79"</f>
        <v>$ 4787,79</v>
      </c>
      <c r="H585" t="str">
        <f t="shared" si="396"/>
        <v>$ 0,00</v>
      </c>
      <c r="I585" t="str">
        <f t="shared" si="391"/>
        <v>JUEGO AXIALES</v>
      </c>
      <c r="J585" t="str">
        <f t="shared" si="397"/>
        <v>1</v>
      </c>
      <c r="K585" t="str">
        <f t="shared" si="379"/>
        <v>0</v>
      </c>
      <c r="L585" t="str">
        <f>"3,000"</f>
        <v>3,000</v>
      </c>
      <c r="M585" t="str">
        <f t="shared" si="398"/>
        <v xml:space="preserve"> </v>
      </c>
      <c r="N585" t="str">
        <f t="shared" si="385"/>
        <v>MPSI</v>
      </c>
      <c r="O585" t="str">
        <f t="shared" si="386"/>
        <v>COJINETES</v>
      </c>
      <c r="P585" t="str">
        <f t="shared" si="417"/>
        <v>0</v>
      </c>
      <c r="Q585" t="str">
        <f t="shared" si="417"/>
        <v>0</v>
      </c>
      <c r="R585" t="str">
        <f t="shared" si="418"/>
        <v>0,00</v>
      </c>
      <c r="S585" t="str">
        <f t="shared" si="418"/>
        <v>0,00</v>
      </c>
      <c r="T585" t="str">
        <f t="shared" si="378"/>
        <v xml:space="preserve"> </v>
      </c>
      <c r="U585" t="str">
        <f t="shared" si="414"/>
        <v>-</v>
      </c>
      <c r="V585" t="str">
        <f>"3,000"</f>
        <v>3,000</v>
      </c>
      <c r="W585" t="str">
        <f t="shared" si="399"/>
        <v>Lista 4</v>
      </c>
      <c r="X585" t="str">
        <f t="shared" si="400"/>
        <v>Lista 5</v>
      </c>
      <c r="Y585" t="str">
        <f t="shared" si="401"/>
        <v>Oferta Gral.</v>
      </c>
      <c r="Z585" t="str">
        <f t="shared" si="402"/>
        <v>Rubro</v>
      </c>
      <c r="AA585" t="str">
        <f t="shared" si="403"/>
        <v>Cantidad por Bulto</v>
      </c>
      <c r="AB585" t="str">
        <f t="shared" si="404"/>
        <v>INNER</v>
      </c>
      <c r="AC585" t="str">
        <f t="shared" si="405"/>
        <v>Stock en Bultos</v>
      </c>
      <c r="AD585" t="str">
        <f t="shared" si="406"/>
        <v>SubDepósito</v>
      </c>
      <c r="AE585" t="str">
        <f t="shared" si="407"/>
        <v>Marca</v>
      </c>
      <c r="AF585" t="str">
        <f t="shared" si="408"/>
        <v>Super Rubro</v>
      </c>
      <c r="AG585" t="str">
        <f t="shared" si="409"/>
        <v>ComercioExterior</v>
      </c>
      <c r="AH585" t="str">
        <f t="shared" si="410"/>
        <v>PrecioFOB</v>
      </c>
      <c r="AI585" t="str">
        <f t="shared" si="411"/>
        <v>Monto II</v>
      </c>
      <c r="AJ585" t="str">
        <f t="shared" si="412"/>
        <v>Porcentaje II</v>
      </c>
      <c r="AK585" t="str">
        <f t="shared" si="413"/>
        <v>Foto</v>
      </c>
      <c r="AL585" t="str">
        <f t="shared" si="415"/>
        <v xml:space="preserve"> </v>
      </c>
      <c r="AM585" t="str">
        <f t="shared" si="416"/>
        <v xml:space="preserve"> </v>
      </c>
    </row>
    <row r="586" spans="1:39" x14ac:dyDescent="0.25">
      <c r="A586" t="str">
        <f>"AX679"</f>
        <v>AX679</v>
      </c>
      <c r="B586" t="str">
        <f>"COJINETES AXIAL STD FORD FIESTA 1.4 TDCI PEUGEOT 307 1.6 HDI"</f>
        <v>COJINETES AXIAL STD FORD FIESTA 1.4 TDCI PEUGEOT 307 1.6 HDI</v>
      </c>
      <c r="C586" t="str">
        <f>"$ 5044,98"</f>
        <v>$ 5044,98</v>
      </c>
      <c r="D586" t="str">
        <f>"$ 5044,98"</f>
        <v>$ 5044,98</v>
      </c>
      <c r="E586" t="str">
        <f>"$ 5044,98"</f>
        <v>$ 5044,98</v>
      </c>
      <c r="F586" t="str">
        <f>"$ 5044,98"</f>
        <v>$ 5044,98</v>
      </c>
      <c r="G586" t="str">
        <f>"$ 5044,98"</f>
        <v>$ 5044,98</v>
      </c>
      <c r="H586" t="str">
        <f t="shared" si="396"/>
        <v>$ 0,00</v>
      </c>
      <c r="I586" t="str">
        <f t="shared" si="391"/>
        <v>JUEGO AXIALES</v>
      </c>
      <c r="J586" t="str">
        <f t="shared" si="397"/>
        <v>1</v>
      </c>
      <c r="K586" t="str">
        <f t="shared" si="379"/>
        <v>0</v>
      </c>
      <c r="L586" t="str">
        <f>"6,000"</f>
        <v>6,000</v>
      </c>
      <c r="M586" t="str">
        <f t="shared" si="398"/>
        <v xml:space="preserve"> </v>
      </c>
      <c r="N586" t="str">
        <f t="shared" si="385"/>
        <v>MPSI</v>
      </c>
      <c r="O586" t="str">
        <f t="shared" si="386"/>
        <v>COJINETES</v>
      </c>
      <c r="P586" t="str">
        <f t="shared" si="417"/>
        <v>0</v>
      </c>
      <c r="Q586" t="str">
        <f t="shared" si="417"/>
        <v>0</v>
      </c>
      <c r="R586" t="str">
        <f t="shared" si="418"/>
        <v>0,00</v>
      </c>
      <c r="S586" t="str">
        <f t="shared" si="418"/>
        <v>0,00</v>
      </c>
      <c r="T586" t="str">
        <f t="shared" si="378"/>
        <v xml:space="preserve"> </v>
      </c>
      <c r="U586" t="str">
        <f t="shared" si="414"/>
        <v>-</v>
      </c>
      <c r="V586" t="str">
        <f>"6,000"</f>
        <v>6,000</v>
      </c>
      <c r="W586" t="str">
        <f t="shared" si="399"/>
        <v>Lista 4</v>
      </c>
      <c r="X586" t="str">
        <f t="shared" si="400"/>
        <v>Lista 5</v>
      </c>
      <c r="Y586" t="str">
        <f t="shared" si="401"/>
        <v>Oferta Gral.</v>
      </c>
      <c r="Z586" t="str">
        <f t="shared" si="402"/>
        <v>Rubro</v>
      </c>
      <c r="AA586" t="str">
        <f t="shared" si="403"/>
        <v>Cantidad por Bulto</v>
      </c>
      <c r="AB586" t="str">
        <f t="shared" si="404"/>
        <v>INNER</v>
      </c>
      <c r="AC586" t="str">
        <f t="shared" si="405"/>
        <v>Stock en Bultos</v>
      </c>
      <c r="AD586" t="str">
        <f t="shared" si="406"/>
        <v>SubDepósito</v>
      </c>
      <c r="AE586" t="str">
        <f t="shared" si="407"/>
        <v>Marca</v>
      </c>
      <c r="AF586" t="str">
        <f t="shared" si="408"/>
        <v>Super Rubro</v>
      </c>
      <c r="AG586" t="str">
        <f t="shared" si="409"/>
        <v>ComercioExterior</v>
      </c>
      <c r="AH586" t="str">
        <f t="shared" si="410"/>
        <v>PrecioFOB</v>
      </c>
      <c r="AI586" t="str">
        <f t="shared" si="411"/>
        <v>Monto II</v>
      </c>
      <c r="AJ586" t="str">
        <f t="shared" si="412"/>
        <v>Porcentaje II</v>
      </c>
      <c r="AK586" t="str">
        <f t="shared" si="413"/>
        <v>Foto</v>
      </c>
      <c r="AL586" t="str">
        <f t="shared" si="415"/>
        <v xml:space="preserve"> </v>
      </c>
      <c r="AM586" t="str">
        <f t="shared" si="416"/>
        <v xml:space="preserve"> </v>
      </c>
    </row>
    <row r="587" spans="1:39" x14ac:dyDescent="0.25">
      <c r="A587" t="str">
        <f>"AX776"</f>
        <v>AX776</v>
      </c>
      <c r="B587" t="str">
        <f>"COJINETES AXIAL STD FORD FIESTA COURIER FOCUS 1.8 DIESEL"</f>
        <v>COJINETES AXIAL STD FORD FIESTA COURIER FOCUS 1.8 DIESEL</v>
      </c>
      <c r="C587" t="str">
        <f>"$ 4075,56"</f>
        <v>$ 4075,56</v>
      </c>
      <c r="D587" t="str">
        <f>"$ 4075,56"</f>
        <v>$ 4075,56</v>
      </c>
      <c r="E587" t="str">
        <f>"$ 4075,56"</f>
        <v>$ 4075,56</v>
      </c>
      <c r="F587" t="str">
        <f>"$ 4075,56"</f>
        <v>$ 4075,56</v>
      </c>
      <c r="G587" t="str">
        <f>"$ 4075,56"</f>
        <v>$ 4075,56</v>
      </c>
      <c r="H587" t="str">
        <f t="shared" si="396"/>
        <v>$ 0,00</v>
      </c>
      <c r="I587" t="str">
        <f t="shared" si="391"/>
        <v>JUEGO AXIALES</v>
      </c>
      <c r="J587" t="str">
        <f t="shared" si="397"/>
        <v>1</v>
      </c>
      <c r="K587" t="str">
        <f t="shared" si="379"/>
        <v>0</v>
      </c>
      <c r="L587" t="str">
        <f>"6,000"</f>
        <v>6,000</v>
      </c>
      <c r="M587" t="str">
        <f t="shared" si="398"/>
        <v xml:space="preserve"> </v>
      </c>
      <c r="N587" t="str">
        <f t="shared" si="385"/>
        <v>MPSI</v>
      </c>
      <c r="O587" t="str">
        <f t="shared" si="386"/>
        <v>COJINETES</v>
      </c>
      <c r="P587" t="str">
        <f t="shared" si="417"/>
        <v>0</v>
      </c>
      <c r="Q587" t="str">
        <f t="shared" si="417"/>
        <v>0</v>
      </c>
      <c r="R587" t="str">
        <f t="shared" si="418"/>
        <v>0,00</v>
      </c>
      <c r="S587" t="str">
        <f t="shared" si="418"/>
        <v>0,00</v>
      </c>
      <c r="T587" t="str">
        <f t="shared" si="378"/>
        <v xml:space="preserve"> </v>
      </c>
      <c r="U587" t="str">
        <f t="shared" si="414"/>
        <v>-</v>
      </c>
      <c r="V587" t="str">
        <f>"6,000"</f>
        <v>6,000</v>
      </c>
      <c r="W587" t="str">
        <f t="shared" si="399"/>
        <v>Lista 4</v>
      </c>
      <c r="X587" t="str">
        <f t="shared" si="400"/>
        <v>Lista 5</v>
      </c>
      <c r="Y587" t="str">
        <f t="shared" si="401"/>
        <v>Oferta Gral.</v>
      </c>
      <c r="Z587" t="str">
        <f t="shared" si="402"/>
        <v>Rubro</v>
      </c>
      <c r="AA587" t="str">
        <f t="shared" si="403"/>
        <v>Cantidad por Bulto</v>
      </c>
      <c r="AB587" t="str">
        <f t="shared" si="404"/>
        <v>INNER</v>
      </c>
      <c r="AC587" t="str">
        <f t="shared" si="405"/>
        <v>Stock en Bultos</v>
      </c>
      <c r="AD587" t="str">
        <f t="shared" si="406"/>
        <v>SubDepósito</v>
      </c>
      <c r="AE587" t="str">
        <f t="shared" si="407"/>
        <v>Marca</v>
      </c>
      <c r="AF587" t="str">
        <f t="shared" si="408"/>
        <v>Super Rubro</v>
      </c>
      <c r="AG587" t="str">
        <f t="shared" si="409"/>
        <v>ComercioExterior</v>
      </c>
      <c r="AH587" t="str">
        <f t="shared" si="410"/>
        <v>PrecioFOB</v>
      </c>
      <c r="AI587" t="str">
        <f t="shared" si="411"/>
        <v>Monto II</v>
      </c>
      <c r="AJ587" t="str">
        <f t="shared" si="412"/>
        <v>Porcentaje II</v>
      </c>
      <c r="AK587" t="str">
        <f t="shared" si="413"/>
        <v>Foto</v>
      </c>
      <c r="AL587" t="str">
        <f t="shared" si="415"/>
        <v xml:space="preserve"> </v>
      </c>
      <c r="AM587" t="str">
        <f t="shared" si="416"/>
        <v xml:space="preserve"> </v>
      </c>
    </row>
    <row r="588" spans="1:39" x14ac:dyDescent="0.25">
      <c r="A588" t="str">
        <f>"AX774"</f>
        <v>AX774</v>
      </c>
      <c r="B588" t="str">
        <f>"COJINETES AXIAL STD FORD TRANSIT 2,5 DIESEL 2401E"</f>
        <v>COJINETES AXIAL STD FORD TRANSIT 2,5 DIESEL 2401E</v>
      </c>
      <c r="C588" t="str">
        <f>"$ 4273,40"</f>
        <v>$ 4273,40</v>
      </c>
      <c r="D588" t="str">
        <f>"$ 4273,40"</f>
        <v>$ 4273,40</v>
      </c>
      <c r="E588" t="str">
        <f>"$ 4273,40"</f>
        <v>$ 4273,40</v>
      </c>
      <c r="F588" t="str">
        <f>"$ 4273,40"</f>
        <v>$ 4273,40</v>
      </c>
      <c r="G588" t="str">
        <f>"$ 4273,40"</f>
        <v>$ 4273,40</v>
      </c>
      <c r="H588" t="str">
        <f t="shared" si="396"/>
        <v>$ 0,00</v>
      </c>
      <c r="I588" t="str">
        <f t="shared" si="391"/>
        <v>JUEGO AXIALES</v>
      </c>
      <c r="J588" t="str">
        <f t="shared" si="397"/>
        <v>1</v>
      </c>
      <c r="K588" t="str">
        <f t="shared" si="379"/>
        <v>0</v>
      </c>
      <c r="L588" t="str">
        <f>"0,000"</f>
        <v>0,000</v>
      </c>
      <c r="M588" t="str">
        <f t="shared" si="398"/>
        <v xml:space="preserve"> </v>
      </c>
      <c r="N588" t="str">
        <f t="shared" si="385"/>
        <v>MPSI</v>
      </c>
      <c r="O588" t="str">
        <f t="shared" si="386"/>
        <v>COJINETES</v>
      </c>
      <c r="P588" t="str">
        <f t="shared" si="417"/>
        <v>0</v>
      </c>
      <c r="Q588" t="str">
        <f t="shared" si="417"/>
        <v>0</v>
      </c>
      <c r="R588" t="str">
        <f t="shared" si="418"/>
        <v>0,00</v>
      </c>
      <c r="S588" t="str">
        <f t="shared" si="418"/>
        <v>0,00</v>
      </c>
      <c r="T588" t="str">
        <f t="shared" si="378"/>
        <v xml:space="preserve"> </v>
      </c>
      <c r="U588" t="str">
        <f t="shared" si="414"/>
        <v>-</v>
      </c>
      <c r="V588" t="str">
        <f>"0,000"</f>
        <v>0,000</v>
      </c>
      <c r="W588" t="str">
        <f t="shared" si="399"/>
        <v>Lista 4</v>
      </c>
      <c r="X588" t="str">
        <f t="shared" si="400"/>
        <v>Lista 5</v>
      </c>
      <c r="Y588" t="str">
        <f t="shared" si="401"/>
        <v>Oferta Gral.</v>
      </c>
      <c r="Z588" t="str">
        <f t="shared" si="402"/>
        <v>Rubro</v>
      </c>
      <c r="AA588" t="str">
        <f t="shared" si="403"/>
        <v>Cantidad por Bulto</v>
      </c>
      <c r="AB588" t="str">
        <f t="shared" si="404"/>
        <v>INNER</v>
      </c>
      <c r="AC588" t="str">
        <f t="shared" si="405"/>
        <v>Stock en Bultos</v>
      </c>
      <c r="AD588" t="str">
        <f t="shared" si="406"/>
        <v>SubDepósito</v>
      </c>
      <c r="AE588" t="str">
        <f t="shared" si="407"/>
        <v>Marca</v>
      </c>
      <c r="AF588" t="str">
        <f t="shared" si="408"/>
        <v>Super Rubro</v>
      </c>
      <c r="AG588" t="str">
        <f t="shared" si="409"/>
        <v>ComercioExterior</v>
      </c>
      <c r="AH588" t="str">
        <f t="shared" si="410"/>
        <v>PrecioFOB</v>
      </c>
      <c r="AI588" t="str">
        <f t="shared" si="411"/>
        <v>Monto II</v>
      </c>
      <c r="AJ588" t="str">
        <f t="shared" si="412"/>
        <v>Porcentaje II</v>
      </c>
      <c r="AK588" t="str">
        <f t="shared" si="413"/>
        <v>Foto</v>
      </c>
      <c r="AL588" t="str">
        <f t="shared" si="415"/>
        <v xml:space="preserve"> </v>
      </c>
      <c r="AM588" t="str">
        <f t="shared" si="416"/>
        <v xml:space="preserve"> </v>
      </c>
    </row>
    <row r="589" spans="1:39" x14ac:dyDescent="0.25">
      <c r="A589" t="str">
        <f>"AX381101"</f>
        <v>AX381101</v>
      </c>
      <c r="B589" t="str">
        <f>"COJINETES AXIAL STD RENAULT CAPTUR NISSAN VERSA 1.6 H4M CADENERO"</f>
        <v>COJINETES AXIAL STD RENAULT CAPTUR NISSAN VERSA 1.6 H4M CADENERO</v>
      </c>
      <c r="C589" t="str">
        <f>"$ 4649,30"</f>
        <v>$ 4649,30</v>
      </c>
      <c r="D589" t="str">
        <f>"$ 4649,30"</f>
        <v>$ 4649,30</v>
      </c>
      <c r="E589" t="str">
        <f>"$ 4649,30"</f>
        <v>$ 4649,30</v>
      </c>
      <c r="F589" t="str">
        <f>"$ 4649,30"</f>
        <v>$ 4649,30</v>
      </c>
      <c r="G589" t="str">
        <f>"$ 4649,30"</f>
        <v>$ 4649,30</v>
      </c>
      <c r="H589" t="str">
        <f t="shared" si="396"/>
        <v>$ 0,00</v>
      </c>
      <c r="I589" t="str">
        <f t="shared" si="391"/>
        <v>JUEGO AXIALES</v>
      </c>
      <c r="J589" t="str">
        <f t="shared" si="397"/>
        <v>1</v>
      </c>
      <c r="K589" t="str">
        <f t="shared" si="379"/>
        <v>0</v>
      </c>
      <c r="L589" t="str">
        <f>"11,000"</f>
        <v>11,000</v>
      </c>
      <c r="M589" t="str">
        <f t="shared" si="398"/>
        <v xml:space="preserve"> </v>
      </c>
      <c r="N589" t="str">
        <f t="shared" si="385"/>
        <v>MPSI</v>
      </c>
      <c r="O589" t="str">
        <f t="shared" si="386"/>
        <v>COJINETES</v>
      </c>
      <c r="P589" t="str">
        <f t="shared" si="417"/>
        <v>0</v>
      </c>
      <c r="Q589" t="str">
        <f t="shared" si="417"/>
        <v>0</v>
      </c>
      <c r="R589" t="str">
        <f t="shared" si="418"/>
        <v>0,00</v>
      </c>
      <c r="S589" t="str">
        <f t="shared" si="418"/>
        <v>0,00</v>
      </c>
      <c r="T589" t="str">
        <f t="shared" si="378"/>
        <v xml:space="preserve"> </v>
      </c>
      <c r="U589" t="str">
        <f t="shared" si="414"/>
        <v>-</v>
      </c>
      <c r="V589" t="str">
        <f>"11,000"</f>
        <v>11,000</v>
      </c>
      <c r="W589" t="str">
        <f t="shared" si="399"/>
        <v>Lista 4</v>
      </c>
      <c r="X589" t="str">
        <f t="shared" si="400"/>
        <v>Lista 5</v>
      </c>
      <c r="Y589" t="str">
        <f t="shared" si="401"/>
        <v>Oferta Gral.</v>
      </c>
      <c r="Z589" t="str">
        <f t="shared" si="402"/>
        <v>Rubro</v>
      </c>
      <c r="AA589" t="str">
        <f t="shared" si="403"/>
        <v>Cantidad por Bulto</v>
      </c>
      <c r="AB589" t="str">
        <f t="shared" si="404"/>
        <v>INNER</v>
      </c>
      <c r="AC589" t="str">
        <f t="shared" si="405"/>
        <v>Stock en Bultos</v>
      </c>
      <c r="AD589" t="str">
        <f t="shared" si="406"/>
        <v>SubDepósito</v>
      </c>
      <c r="AE589" t="str">
        <f t="shared" si="407"/>
        <v>Marca</v>
      </c>
      <c r="AF589" t="str">
        <f t="shared" si="408"/>
        <v>Super Rubro</v>
      </c>
      <c r="AG589" t="str">
        <f t="shared" si="409"/>
        <v>ComercioExterior</v>
      </c>
      <c r="AH589" t="str">
        <f t="shared" si="410"/>
        <v>PrecioFOB</v>
      </c>
      <c r="AI589" t="str">
        <f t="shared" si="411"/>
        <v>Monto II</v>
      </c>
      <c r="AJ589" t="str">
        <f t="shared" si="412"/>
        <v>Porcentaje II</v>
      </c>
      <c r="AK589" t="str">
        <f t="shared" si="413"/>
        <v>Foto</v>
      </c>
      <c r="AL589" t="str">
        <f t="shared" si="415"/>
        <v xml:space="preserve"> </v>
      </c>
      <c r="AM589" t="str">
        <f t="shared" si="416"/>
        <v xml:space="preserve"> </v>
      </c>
    </row>
    <row r="590" spans="1:39" x14ac:dyDescent="0.25">
      <c r="A590" t="str">
        <f>"AX462537 5"</f>
        <v>AX462537 5</v>
      </c>
      <c r="B590" t="str">
        <f>"COJINETES AXIALES 0,127 AMAROK 2.0 TDI"</f>
        <v>COJINETES AXIALES 0,127 AMAROK 2.0 TDI</v>
      </c>
      <c r="C590" t="str">
        <f>"$ 7854,35"</f>
        <v>$ 7854,35</v>
      </c>
      <c r="D590" t="str">
        <f>"$ 7854,35"</f>
        <v>$ 7854,35</v>
      </c>
      <c r="E590" t="str">
        <f>"$ 7854,35"</f>
        <v>$ 7854,35</v>
      </c>
      <c r="F590" t="str">
        <f>"$ 7854,35"</f>
        <v>$ 7854,35</v>
      </c>
      <c r="G590" t="str">
        <f>"$ 7854,35"</f>
        <v>$ 7854,35</v>
      </c>
      <c r="H590" t="str">
        <f t="shared" si="396"/>
        <v>$ 0,00</v>
      </c>
      <c r="I590" t="str">
        <f t="shared" si="391"/>
        <v>JUEGO AXIALES</v>
      </c>
      <c r="J590" t="str">
        <f t="shared" si="397"/>
        <v>1</v>
      </c>
      <c r="K590" t="str">
        <f t="shared" si="379"/>
        <v>0</v>
      </c>
      <c r="L590" t="str">
        <f>"6,000"</f>
        <v>6,000</v>
      </c>
      <c r="M590" t="str">
        <f t="shared" si="398"/>
        <v xml:space="preserve"> </v>
      </c>
      <c r="N590" t="str">
        <f t="shared" si="385"/>
        <v>MPSI</v>
      </c>
      <c r="O590" t="str">
        <f t="shared" si="386"/>
        <v>COJINETES</v>
      </c>
      <c r="P590" t="str">
        <f t="shared" si="417"/>
        <v>0</v>
      </c>
      <c r="Q590" t="str">
        <f t="shared" si="417"/>
        <v>0</v>
      </c>
      <c r="R590" t="str">
        <f t="shared" si="418"/>
        <v>0,00</v>
      </c>
      <c r="S590" t="str">
        <f t="shared" si="418"/>
        <v>0,00</v>
      </c>
      <c r="T590" t="str">
        <f t="shared" si="378"/>
        <v xml:space="preserve"> </v>
      </c>
      <c r="U590" t="str">
        <f t="shared" si="414"/>
        <v>-</v>
      </c>
      <c r="V590" t="str">
        <f>"6,000"</f>
        <v>6,000</v>
      </c>
      <c r="W590" t="str">
        <f t="shared" si="399"/>
        <v>Lista 4</v>
      </c>
      <c r="X590" t="str">
        <f t="shared" si="400"/>
        <v>Lista 5</v>
      </c>
      <c r="Y590" t="str">
        <f t="shared" si="401"/>
        <v>Oferta Gral.</v>
      </c>
      <c r="Z590" t="str">
        <f t="shared" si="402"/>
        <v>Rubro</v>
      </c>
      <c r="AA590" t="str">
        <f t="shared" si="403"/>
        <v>Cantidad por Bulto</v>
      </c>
      <c r="AB590" t="str">
        <f t="shared" si="404"/>
        <v>INNER</v>
      </c>
      <c r="AC590" t="str">
        <f t="shared" si="405"/>
        <v>Stock en Bultos</v>
      </c>
      <c r="AD590" t="str">
        <f t="shared" si="406"/>
        <v>SubDepósito</v>
      </c>
      <c r="AE590" t="str">
        <f t="shared" si="407"/>
        <v>Marca</v>
      </c>
      <c r="AF590" t="str">
        <f t="shared" si="408"/>
        <v>Super Rubro</v>
      </c>
      <c r="AG590" t="str">
        <f t="shared" si="409"/>
        <v>ComercioExterior</v>
      </c>
      <c r="AH590" t="str">
        <f t="shared" si="410"/>
        <v>PrecioFOB</v>
      </c>
      <c r="AI590" t="str">
        <f t="shared" si="411"/>
        <v>Monto II</v>
      </c>
      <c r="AJ590" t="str">
        <f t="shared" si="412"/>
        <v>Porcentaje II</v>
      </c>
      <c r="AK590" t="str">
        <f t="shared" si="413"/>
        <v>Foto</v>
      </c>
      <c r="AL590" t="str">
        <f t="shared" si="415"/>
        <v xml:space="preserve"> </v>
      </c>
      <c r="AM590" t="str">
        <f t="shared" si="416"/>
        <v xml:space="preserve"> </v>
      </c>
    </row>
    <row r="591" spans="1:39" x14ac:dyDescent="0.25">
      <c r="A591" t="str">
        <f>"AX580 5"</f>
        <v>AX580 5</v>
      </c>
      <c r="B591" t="str">
        <f>"COJINETES AXIALES 0,127 DAEWOO TICO MATIZ MOTOR 3 CILINDROS F8CB F8CV"</f>
        <v>COJINETES AXIALES 0,127 DAEWOO TICO MATIZ MOTOR 3 CILINDROS F8CB F8CV</v>
      </c>
      <c r="C591" t="str">
        <f t="shared" ref="C591:G592" si="419">"$ 4471,24"</f>
        <v>$ 4471,24</v>
      </c>
      <c r="D591" t="str">
        <f t="shared" si="419"/>
        <v>$ 4471,24</v>
      </c>
      <c r="E591" t="str">
        <f t="shared" si="419"/>
        <v>$ 4471,24</v>
      </c>
      <c r="F591" t="str">
        <f t="shared" si="419"/>
        <v>$ 4471,24</v>
      </c>
      <c r="G591" t="str">
        <f t="shared" si="419"/>
        <v>$ 4471,24</v>
      </c>
      <c r="H591" t="str">
        <f t="shared" si="396"/>
        <v>$ 0,00</v>
      </c>
      <c r="I591" t="str">
        <f t="shared" si="391"/>
        <v>JUEGO AXIALES</v>
      </c>
      <c r="J591" t="str">
        <f t="shared" si="397"/>
        <v>1</v>
      </c>
      <c r="K591" t="str">
        <f t="shared" si="379"/>
        <v>0</v>
      </c>
      <c r="L591" t="str">
        <f>"0,000"</f>
        <v>0,000</v>
      </c>
      <c r="M591" t="str">
        <f t="shared" si="398"/>
        <v xml:space="preserve"> </v>
      </c>
      <c r="N591" t="str">
        <f t="shared" si="385"/>
        <v>MPSI</v>
      </c>
      <c r="O591" t="str">
        <f t="shared" si="386"/>
        <v>COJINETES</v>
      </c>
      <c r="P591" t="str">
        <f t="shared" si="417"/>
        <v>0</v>
      </c>
      <c r="Q591" t="str">
        <f t="shared" si="417"/>
        <v>0</v>
      </c>
      <c r="R591" t="str">
        <f t="shared" si="418"/>
        <v>0,00</v>
      </c>
      <c r="S591" t="str">
        <f t="shared" si="418"/>
        <v>0,00</v>
      </c>
      <c r="T591" t="str">
        <f t="shared" si="378"/>
        <v xml:space="preserve"> </v>
      </c>
      <c r="U591" t="str">
        <f t="shared" si="414"/>
        <v>-</v>
      </c>
      <c r="V591" t="str">
        <f>"0,000"</f>
        <v>0,000</v>
      </c>
      <c r="W591" t="str">
        <f t="shared" si="399"/>
        <v>Lista 4</v>
      </c>
      <c r="X591" t="str">
        <f t="shared" si="400"/>
        <v>Lista 5</v>
      </c>
      <c r="Y591" t="str">
        <f t="shared" si="401"/>
        <v>Oferta Gral.</v>
      </c>
      <c r="Z591" t="str">
        <f t="shared" si="402"/>
        <v>Rubro</v>
      </c>
      <c r="AA591" t="str">
        <f t="shared" si="403"/>
        <v>Cantidad por Bulto</v>
      </c>
      <c r="AB591" t="str">
        <f t="shared" si="404"/>
        <v>INNER</v>
      </c>
      <c r="AC591" t="str">
        <f t="shared" si="405"/>
        <v>Stock en Bultos</v>
      </c>
      <c r="AD591" t="str">
        <f t="shared" si="406"/>
        <v>SubDepósito</v>
      </c>
      <c r="AE591" t="str">
        <f t="shared" si="407"/>
        <v>Marca</v>
      </c>
      <c r="AF591" t="str">
        <f t="shared" si="408"/>
        <v>Super Rubro</v>
      </c>
      <c r="AG591" t="str">
        <f t="shared" si="409"/>
        <v>ComercioExterior</v>
      </c>
      <c r="AH591" t="str">
        <f t="shared" si="410"/>
        <v>PrecioFOB</v>
      </c>
      <c r="AI591" t="str">
        <f t="shared" si="411"/>
        <v>Monto II</v>
      </c>
      <c r="AJ591" t="str">
        <f t="shared" si="412"/>
        <v>Porcentaje II</v>
      </c>
      <c r="AK591" t="str">
        <f t="shared" si="413"/>
        <v>Foto</v>
      </c>
      <c r="AL591" t="str">
        <f t="shared" si="415"/>
        <v xml:space="preserve"> </v>
      </c>
      <c r="AM591" t="str">
        <f t="shared" si="416"/>
        <v xml:space="preserve"> </v>
      </c>
    </row>
    <row r="592" spans="1:39" x14ac:dyDescent="0.25">
      <c r="A592" t="str">
        <f>"AX131358 5"</f>
        <v>AX131358 5</v>
      </c>
      <c r="B592" t="str">
        <f>"COJINETES AXIALES 0,127 FIAT ARGO CRONOS 1.3 FIREFLY 8V"</f>
        <v>COJINETES AXIALES 0,127 FIAT ARGO CRONOS 1.3 FIREFLY 8V</v>
      </c>
      <c r="C592" t="str">
        <f t="shared" si="419"/>
        <v>$ 4471,24</v>
      </c>
      <c r="D592" t="str">
        <f t="shared" si="419"/>
        <v>$ 4471,24</v>
      </c>
      <c r="E592" t="str">
        <f t="shared" si="419"/>
        <v>$ 4471,24</v>
      </c>
      <c r="F592" t="str">
        <f t="shared" si="419"/>
        <v>$ 4471,24</v>
      </c>
      <c r="G592" t="str">
        <f t="shared" si="419"/>
        <v>$ 4471,24</v>
      </c>
      <c r="H592" t="str">
        <f t="shared" si="396"/>
        <v>$ 0,00</v>
      </c>
      <c r="I592" t="str">
        <f t="shared" si="391"/>
        <v>JUEGO AXIALES</v>
      </c>
      <c r="J592" t="str">
        <f t="shared" si="397"/>
        <v>1</v>
      </c>
      <c r="K592" t="str">
        <f t="shared" si="379"/>
        <v>0</v>
      </c>
      <c r="L592" t="str">
        <f>"0,000"</f>
        <v>0,000</v>
      </c>
      <c r="M592" t="str">
        <f t="shared" si="398"/>
        <v xml:space="preserve"> </v>
      </c>
      <c r="N592" t="str">
        <f t="shared" si="385"/>
        <v>MPSI</v>
      </c>
      <c r="O592" t="str">
        <f t="shared" si="386"/>
        <v>COJINETES</v>
      </c>
      <c r="P592" t="str">
        <f t="shared" si="417"/>
        <v>0</v>
      </c>
      <c r="Q592" t="str">
        <f t="shared" si="417"/>
        <v>0</v>
      </c>
      <c r="R592" t="str">
        <f t="shared" si="418"/>
        <v>0,00</v>
      </c>
      <c r="S592" t="str">
        <f t="shared" si="418"/>
        <v>0,00</v>
      </c>
      <c r="T592" t="str">
        <f t="shared" si="378"/>
        <v xml:space="preserve"> </v>
      </c>
      <c r="U592" t="str">
        <f t="shared" si="414"/>
        <v>-</v>
      </c>
      <c r="V592" t="str">
        <f>"0,000"</f>
        <v>0,000</v>
      </c>
      <c r="W592" t="str">
        <f t="shared" si="399"/>
        <v>Lista 4</v>
      </c>
      <c r="X592" t="str">
        <f t="shared" si="400"/>
        <v>Lista 5</v>
      </c>
      <c r="Y592" t="str">
        <f t="shared" si="401"/>
        <v>Oferta Gral.</v>
      </c>
      <c r="Z592" t="str">
        <f t="shared" si="402"/>
        <v>Rubro</v>
      </c>
      <c r="AA592" t="str">
        <f t="shared" si="403"/>
        <v>Cantidad por Bulto</v>
      </c>
      <c r="AB592" t="str">
        <f t="shared" si="404"/>
        <v>INNER</v>
      </c>
      <c r="AC592" t="str">
        <f t="shared" si="405"/>
        <v>Stock en Bultos</v>
      </c>
      <c r="AD592" t="str">
        <f t="shared" si="406"/>
        <v>SubDepósito</v>
      </c>
      <c r="AE592" t="str">
        <f t="shared" si="407"/>
        <v>Marca</v>
      </c>
      <c r="AF592" t="str">
        <f t="shared" si="408"/>
        <v>Super Rubro</v>
      </c>
      <c r="AG592" t="str">
        <f t="shared" si="409"/>
        <v>ComercioExterior</v>
      </c>
      <c r="AH592" t="str">
        <f t="shared" si="410"/>
        <v>PrecioFOB</v>
      </c>
      <c r="AI592" t="str">
        <f t="shared" si="411"/>
        <v>Monto II</v>
      </c>
      <c r="AJ592" t="str">
        <f t="shared" si="412"/>
        <v>Porcentaje II</v>
      </c>
      <c r="AK592" t="str">
        <f t="shared" si="413"/>
        <v>Foto</v>
      </c>
      <c r="AL592" t="str">
        <f t="shared" si="415"/>
        <v xml:space="preserve"> </v>
      </c>
      <c r="AM592" t="str">
        <f t="shared" si="416"/>
        <v xml:space="preserve"> </v>
      </c>
    </row>
    <row r="593" spans="1:39" x14ac:dyDescent="0.25">
      <c r="A593" t="str">
        <f>"AX131378 5"</f>
        <v>AX131378 5</v>
      </c>
      <c r="B593" t="str">
        <f>"COJINETES AXIALES 0,127 FIAT TORO MULTIJET 2.0 16 V 170 CV DIESEL"</f>
        <v>COJINETES AXIALES 0,127 FIAT TORO MULTIJET 2.0 16 V 170 CV DIESEL</v>
      </c>
      <c r="C593" t="str">
        <f>"$ 4847,14"</f>
        <v>$ 4847,14</v>
      </c>
      <c r="D593" t="str">
        <f>"$ 4847,14"</f>
        <v>$ 4847,14</v>
      </c>
      <c r="E593" t="str">
        <f>"$ 4847,14"</f>
        <v>$ 4847,14</v>
      </c>
      <c r="F593" t="str">
        <f>"$ 4847,14"</f>
        <v>$ 4847,14</v>
      </c>
      <c r="G593" t="str">
        <f>"$ 4847,14"</f>
        <v>$ 4847,14</v>
      </c>
      <c r="H593" t="str">
        <f t="shared" si="396"/>
        <v>$ 0,00</v>
      </c>
      <c r="I593" t="str">
        <f t="shared" si="391"/>
        <v>JUEGO AXIALES</v>
      </c>
      <c r="J593" t="str">
        <f t="shared" si="397"/>
        <v>1</v>
      </c>
      <c r="K593" t="str">
        <f t="shared" si="379"/>
        <v>0</v>
      </c>
      <c r="L593" t="str">
        <f>"0,000"</f>
        <v>0,000</v>
      </c>
      <c r="M593" t="str">
        <f t="shared" si="398"/>
        <v xml:space="preserve"> </v>
      </c>
      <c r="N593" t="str">
        <f t="shared" si="385"/>
        <v>MPSI</v>
      </c>
      <c r="O593" t="str">
        <f t="shared" si="386"/>
        <v>COJINETES</v>
      </c>
      <c r="P593" t="str">
        <f t="shared" si="417"/>
        <v>0</v>
      </c>
      <c r="Q593" t="str">
        <f t="shared" si="417"/>
        <v>0</v>
      </c>
      <c r="R593" t="str">
        <f t="shared" si="418"/>
        <v>0,00</v>
      </c>
      <c r="S593" t="str">
        <f t="shared" si="418"/>
        <v>0,00</v>
      </c>
      <c r="T593" t="str">
        <f t="shared" ref="T593:T656" si="420">" "</f>
        <v xml:space="preserve"> </v>
      </c>
      <c r="U593" t="str">
        <f t="shared" si="414"/>
        <v>-</v>
      </c>
      <c r="V593" t="str">
        <f>"0,000"</f>
        <v>0,000</v>
      </c>
      <c r="W593" t="str">
        <f t="shared" si="399"/>
        <v>Lista 4</v>
      </c>
      <c r="X593" t="str">
        <f t="shared" si="400"/>
        <v>Lista 5</v>
      </c>
      <c r="Y593" t="str">
        <f t="shared" si="401"/>
        <v>Oferta Gral.</v>
      </c>
      <c r="Z593" t="str">
        <f t="shared" si="402"/>
        <v>Rubro</v>
      </c>
      <c r="AA593" t="str">
        <f t="shared" si="403"/>
        <v>Cantidad por Bulto</v>
      </c>
      <c r="AB593" t="str">
        <f t="shared" si="404"/>
        <v>INNER</v>
      </c>
      <c r="AC593" t="str">
        <f t="shared" si="405"/>
        <v>Stock en Bultos</v>
      </c>
      <c r="AD593" t="str">
        <f t="shared" si="406"/>
        <v>SubDepósito</v>
      </c>
      <c r="AE593" t="str">
        <f t="shared" si="407"/>
        <v>Marca</v>
      </c>
      <c r="AF593" t="str">
        <f t="shared" si="408"/>
        <v>Super Rubro</v>
      </c>
      <c r="AG593" t="str">
        <f t="shared" si="409"/>
        <v>ComercioExterior</v>
      </c>
      <c r="AH593" t="str">
        <f t="shared" si="410"/>
        <v>PrecioFOB</v>
      </c>
      <c r="AI593" t="str">
        <f t="shared" si="411"/>
        <v>Monto II</v>
      </c>
      <c r="AJ593" t="str">
        <f t="shared" si="412"/>
        <v>Porcentaje II</v>
      </c>
      <c r="AK593" t="str">
        <f t="shared" si="413"/>
        <v>Foto</v>
      </c>
      <c r="AL593" t="str">
        <f t="shared" si="415"/>
        <v xml:space="preserve"> </v>
      </c>
      <c r="AM593" t="str">
        <f t="shared" si="416"/>
        <v xml:space="preserve"> </v>
      </c>
    </row>
    <row r="594" spans="1:39" x14ac:dyDescent="0.25">
      <c r="A594" t="str">
        <f>"AX538 5"</f>
        <v>AX538 5</v>
      </c>
      <c r="B594" t="str">
        <f>"COJINETES AXIALES 0,127 HONDA 1600 MOTOR D16A1 D16A6 D16Y7 D16Y8"</f>
        <v>COJINETES AXIALES 0,127 HONDA 1600 MOTOR D16A1 D16A6 D16Y7 D16Y8</v>
      </c>
      <c r="C594" t="str">
        <f>"$ 4787,79"</f>
        <v>$ 4787,79</v>
      </c>
      <c r="D594" t="str">
        <f>"$ 4787,79"</f>
        <v>$ 4787,79</v>
      </c>
      <c r="E594" t="str">
        <f>"$ 4787,79"</f>
        <v>$ 4787,79</v>
      </c>
      <c r="F594" t="str">
        <f>"$ 4787,79"</f>
        <v>$ 4787,79</v>
      </c>
      <c r="G594" t="str">
        <f>"$ 4787,79"</f>
        <v>$ 4787,79</v>
      </c>
      <c r="H594" t="str">
        <f t="shared" si="396"/>
        <v>$ 0,00</v>
      </c>
      <c r="I594" t="str">
        <f t="shared" ref="I594:I625" si="421">"JUEGO AXIALES"</f>
        <v>JUEGO AXIALES</v>
      </c>
      <c r="J594" t="str">
        <f t="shared" si="397"/>
        <v>1</v>
      </c>
      <c r="K594" t="str">
        <f t="shared" si="379"/>
        <v>0</v>
      </c>
      <c r="L594" t="str">
        <f>"0,000"</f>
        <v>0,000</v>
      </c>
      <c r="M594" t="str">
        <f t="shared" si="398"/>
        <v xml:space="preserve"> </v>
      </c>
      <c r="N594" t="str">
        <f t="shared" si="385"/>
        <v>MPSI</v>
      </c>
      <c r="O594" t="str">
        <f t="shared" si="386"/>
        <v>COJINETES</v>
      </c>
      <c r="P594" t="str">
        <f t="shared" si="417"/>
        <v>0</v>
      </c>
      <c r="Q594" t="str">
        <f t="shared" si="417"/>
        <v>0</v>
      </c>
      <c r="R594" t="str">
        <f t="shared" si="418"/>
        <v>0,00</v>
      </c>
      <c r="S594" t="str">
        <f t="shared" si="418"/>
        <v>0,00</v>
      </c>
      <c r="T594" t="str">
        <f t="shared" si="420"/>
        <v xml:space="preserve"> </v>
      </c>
      <c r="U594" t="str">
        <f t="shared" si="414"/>
        <v>-</v>
      </c>
      <c r="V594" t="str">
        <f>"0,000"</f>
        <v>0,000</v>
      </c>
      <c r="W594" t="str">
        <f t="shared" si="399"/>
        <v>Lista 4</v>
      </c>
      <c r="X594" t="str">
        <f t="shared" si="400"/>
        <v>Lista 5</v>
      </c>
      <c r="Y594" t="str">
        <f t="shared" si="401"/>
        <v>Oferta Gral.</v>
      </c>
      <c r="Z594" t="str">
        <f t="shared" si="402"/>
        <v>Rubro</v>
      </c>
      <c r="AA594" t="str">
        <f t="shared" si="403"/>
        <v>Cantidad por Bulto</v>
      </c>
      <c r="AB594" t="str">
        <f t="shared" si="404"/>
        <v>INNER</v>
      </c>
      <c r="AC594" t="str">
        <f t="shared" si="405"/>
        <v>Stock en Bultos</v>
      </c>
      <c r="AD594" t="str">
        <f t="shared" si="406"/>
        <v>SubDepósito</v>
      </c>
      <c r="AE594" t="str">
        <f t="shared" si="407"/>
        <v>Marca</v>
      </c>
      <c r="AF594" t="str">
        <f t="shared" si="408"/>
        <v>Super Rubro</v>
      </c>
      <c r="AG594" t="str">
        <f t="shared" si="409"/>
        <v>ComercioExterior</v>
      </c>
      <c r="AH594" t="str">
        <f t="shared" si="410"/>
        <v>PrecioFOB</v>
      </c>
      <c r="AI594" t="str">
        <f t="shared" si="411"/>
        <v>Monto II</v>
      </c>
      <c r="AJ594" t="str">
        <f t="shared" si="412"/>
        <v>Porcentaje II</v>
      </c>
      <c r="AK594" t="str">
        <f t="shared" si="413"/>
        <v>Foto</v>
      </c>
      <c r="AL594" t="str">
        <f>"{\rtf1\ansi\ansicpg1252\deff0\deflang11274{\fonttbl{\f0\fnil\fcharset0 MS Sans Serif}} \viewkind4\uc1\pard\f0\fs16 COJINETES AXIALES 0,127 HONDA 1600 MOTOR D16A1 D16A6 D16Y7 D16Y8\par } "</f>
        <v xml:space="preserve">{\rtf1\ansi\ansicpg1252\deff0\deflang11274{\fonttbl{\f0\fnil\fcharset0 MS Sans Serif}} \viewkind4\uc1\pard\f0\fs16 COJINETES AXIALES 0,127 HONDA 1600 MOTOR D16A1 D16A6 D16Y7 D16Y8\par } </v>
      </c>
      <c r="AM594" t="str">
        <f t="shared" si="416"/>
        <v xml:space="preserve"> </v>
      </c>
    </row>
    <row r="595" spans="1:39" x14ac:dyDescent="0.25">
      <c r="A595" t="str">
        <f>"AX436 5"</f>
        <v>AX436 5</v>
      </c>
      <c r="B595" t="str">
        <f>"COJINETES AXIALES 0,127 MAXION 2.5 2.8 RANGER SPRINTER F100 S10"</f>
        <v>COJINETES AXIALES 0,127 MAXION 2.5 2.8 RANGER SPRINTER F100 S10</v>
      </c>
      <c r="C595" t="str">
        <f>"$ 4471,24"</f>
        <v>$ 4471,24</v>
      </c>
      <c r="D595" t="str">
        <f>"$ 4471,24"</f>
        <v>$ 4471,24</v>
      </c>
      <c r="E595" t="str">
        <f>"$ 4471,24"</f>
        <v>$ 4471,24</v>
      </c>
      <c r="F595" t="str">
        <f>"$ 4471,24"</f>
        <v>$ 4471,24</v>
      </c>
      <c r="G595" t="str">
        <f>"$ 4471,24"</f>
        <v>$ 4471,24</v>
      </c>
      <c r="H595" t="str">
        <f t="shared" si="396"/>
        <v>$ 0,00</v>
      </c>
      <c r="I595" t="str">
        <f t="shared" si="421"/>
        <v>JUEGO AXIALES</v>
      </c>
      <c r="J595" t="str">
        <f t="shared" si="397"/>
        <v>1</v>
      </c>
      <c r="K595" t="str">
        <f t="shared" si="379"/>
        <v>0</v>
      </c>
      <c r="L595" t="str">
        <f>"10,000"</f>
        <v>10,000</v>
      </c>
      <c r="M595" t="str">
        <f t="shared" si="398"/>
        <v xml:space="preserve"> </v>
      </c>
      <c r="N595" t="str">
        <f t="shared" si="385"/>
        <v>MPSI</v>
      </c>
      <c r="O595" t="str">
        <f t="shared" si="386"/>
        <v>COJINETES</v>
      </c>
      <c r="P595" t="str">
        <f t="shared" si="417"/>
        <v>0</v>
      </c>
      <c r="Q595" t="str">
        <f t="shared" si="417"/>
        <v>0</v>
      </c>
      <c r="R595" t="str">
        <f t="shared" si="418"/>
        <v>0,00</v>
      </c>
      <c r="S595" t="str">
        <f t="shared" si="418"/>
        <v>0,00</v>
      </c>
      <c r="T595" t="str">
        <f t="shared" si="420"/>
        <v xml:space="preserve"> </v>
      </c>
      <c r="U595" t="str">
        <f t="shared" si="414"/>
        <v>-</v>
      </c>
      <c r="V595" t="str">
        <f>"10,000"</f>
        <v>10,000</v>
      </c>
      <c r="W595" t="str">
        <f t="shared" si="399"/>
        <v>Lista 4</v>
      </c>
      <c r="X595" t="str">
        <f t="shared" si="400"/>
        <v>Lista 5</v>
      </c>
      <c r="Y595" t="str">
        <f t="shared" si="401"/>
        <v>Oferta Gral.</v>
      </c>
      <c r="Z595" t="str">
        <f t="shared" si="402"/>
        <v>Rubro</v>
      </c>
      <c r="AA595" t="str">
        <f t="shared" si="403"/>
        <v>Cantidad por Bulto</v>
      </c>
      <c r="AB595" t="str">
        <f t="shared" si="404"/>
        <v>INNER</v>
      </c>
      <c r="AC595" t="str">
        <f t="shared" si="405"/>
        <v>Stock en Bultos</v>
      </c>
      <c r="AD595" t="str">
        <f t="shared" si="406"/>
        <v>SubDepósito</v>
      </c>
      <c r="AE595" t="str">
        <f t="shared" si="407"/>
        <v>Marca</v>
      </c>
      <c r="AF595" t="str">
        <f t="shared" si="408"/>
        <v>Super Rubro</v>
      </c>
      <c r="AG595" t="str">
        <f t="shared" si="409"/>
        <v>ComercioExterior</v>
      </c>
      <c r="AH595" t="str">
        <f t="shared" si="410"/>
        <v>PrecioFOB</v>
      </c>
      <c r="AI595" t="str">
        <f t="shared" si="411"/>
        <v>Monto II</v>
      </c>
      <c r="AJ595" t="str">
        <f t="shared" si="412"/>
        <v>Porcentaje II</v>
      </c>
      <c r="AK595" t="str">
        <f t="shared" si="413"/>
        <v>Foto</v>
      </c>
      <c r="AL595" t="str">
        <f t="shared" ref="AL595:AL606" si="422">" "</f>
        <v xml:space="preserve"> </v>
      </c>
      <c r="AM595" t="str">
        <f t="shared" si="416"/>
        <v xml:space="preserve"> </v>
      </c>
    </row>
    <row r="596" spans="1:39" x14ac:dyDescent="0.25">
      <c r="A596" t="str">
        <f>"AX557 5"</f>
        <v>AX557 5</v>
      </c>
      <c r="B596" t="str">
        <f>"COJINETES AXIALES 0,127 MERCEDES SPRINTER OM611"</f>
        <v>COJINETES AXIALES 0,127 MERCEDES SPRINTER OM611</v>
      </c>
      <c r="C596" t="str">
        <f>"$ 7854,35"</f>
        <v>$ 7854,35</v>
      </c>
      <c r="D596" t="str">
        <f>"$ 7854,35"</f>
        <v>$ 7854,35</v>
      </c>
      <c r="E596" t="str">
        <f>"$ 7854,35"</f>
        <v>$ 7854,35</v>
      </c>
      <c r="F596" t="str">
        <f>"$ 7854,35"</f>
        <v>$ 7854,35</v>
      </c>
      <c r="G596" t="str">
        <f>"$ 7854,35"</f>
        <v>$ 7854,35</v>
      </c>
      <c r="H596" t="str">
        <f t="shared" si="396"/>
        <v>$ 0,00</v>
      </c>
      <c r="I596" t="str">
        <f t="shared" si="421"/>
        <v>JUEGO AXIALES</v>
      </c>
      <c r="J596" t="str">
        <f t="shared" si="397"/>
        <v>1</v>
      </c>
      <c r="K596" t="str">
        <f t="shared" si="379"/>
        <v>0</v>
      </c>
      <c r="L596" t="str">
        <f>"14,000"</f>
        <v>14,000</v>
      </c>
      <c r="M596" t="str">
        <f t="shared" si="398"/>
        <v xml:space="preserve"> </v>
      </c>
      <c r="N596" t="str">
        <f t="shared" si="385"/>
        <v>MPSI</v>
      </c>
      <c r="O596" t="str">
        <f t="shared" si="386"/>
        <v>COJINETES</v>
      </c>
      <c r="P596" t="str">
        <f t="shared" si="417"/>
        <v>0</v>
      </c>
      <c r="Q596" t="str">
        <f t="shared" si="417"/>
        <v>0</v>
      </c>
      <c r="R596" t="str">
        <f t="shared" si="418"/>
        <v>0,00</v>
      </c>
      <c r="S596" t="str">
        <f t="shared" si="418"/>
        <v>0,00</v>
      </c>
      <c r="T596" t="str">
        <f t="shared" si="420"/>
        <v xml:space="preserve"> </v>
      </c>
      <c r="U596" t="str">
        <f t="shared" si="414"/>
        <v>-</v>
      </c>
      <c r="V596" t="str">
        <f>"14,000"</f>
        <v>14,000</v>
      </c>
      <c r="W596" t="str">
        <f t="shared" si="399"/>
        <v>Lista 4</v>
      </c>
      <c r="X596" t="str">
        <f t="shared" si="400"/>
        <v>Lista 5</v>
      </c>
      <c r="Y596" t="str">
        <f t="shared" si="401"/>
        <v>Oferta Gral.</v>
      </c>
      <c r="Z596" t="str">
        <f t="shared" si="402"/>
        <v>Rubro</v>
      </c>
      <c r="AA596" t="str">
        <f t="shared" si="403"/>
        <v>Cantidad por Bulto</v>
      </c>
      <c r="AB596" t="str">
        <f t="shared" si="404"/>
        <v>INNER</v>
      </c>
      <c r="AC596" t="str">
        <f t="shared" si="405"/>
        <v>Stock en Bultos</v>
      </c>
      <c r="AD596" t="str">
        <f t="shared" si="406"/>
        <v>SubDepósito</v>
      </c>
      <c r="AE596" t="str">
        <f t="shared" si="407"/>
        <v>Marca</v>
      </c>
      <c r="AF596" t="str">
        <f t="shared" si="408"/>
        <v>Super Rubro</v>
      </c>
      <c r="AG596" t="str">
        <f t="shared" si="409"/>
        <v>ComercioExterior</v>
      </c>
      <c r="AH596" t="str">
        <f t="shared" si="410"/>
        <v>PrecioFOB</v>
      </c>
      <c r="AI596" t="str">
        <f t="shared" si="411"/>
        <v>Monto II</v>
      </c>
      <c r="AJ596" t="str">
        <f t="shared" si="412"/>
        <v>Porcentaje II</v>
      </c>
      <c r="AK596" t="str">
        <f t="shared" si="413"/>
        <v>Foto</v>
      </c>
      <c r="AL596" t="str">
        <f t="shared" si="422"/>
        <v xml:space="preserve"> </v>
      </c>
      <c r="AM596" t="str">
        <f t="shared" si="416"/>
        <v xml:space="preserve"> </v>
      </c>
    </row>
    <row r="597" spans="1:39" x14ac:dyDescent="0.25">
      <c r="A597" t="str">
        <f>"AX388 5"</f>
        <v>AX388 5</v>
      </c>
      <c r="B597" t="str">
        <f>"COJINETES AXIALES 0,127 PERKINS 6-305"</f>
        <v>COJINETES AXIALES 0,127 PERKINS 6-305</v>
      </c>
      <c r="C597" t="str">
        <f>"$ 8151,11"</f>
        <v>$ 8151,11</v>
      </c>
      <c r="D597" t="str">
        <f>"$ 8151,11"</f>
        <v>$ 8151,11</v>
      </c>
      <c r="E597" t="str">
        <f>"$ 8151,11"</f>
        <v>$ 8151,11</v>
      </c>
      <c r="F597" t="str">
        <f>"$ 8151,11"</f>
        <v>$ 8151,11</v>
      </c>
      <c r="G597" t="str">
        <f>"$ 8151,11"</f>
        <v>$ 8151,11</v>
      </c>
      <c r="H597" t="str">
        <f t="shared" si="396"/>
        <v>$ 0,00</v>
      </c>
      <c r="I597" t="str">
        <f t="shared" si="421"/>
        <v>JUEGO AXIALES</v>
      </c>
      <c r="J597" t="str">
        <f t="shared" si="397"/>
        <v>1</v>
      </c>
      <c r="K597" t="str">
        <f t="shared" si="379"/>
        <v>0</v>
      </c>
      <c r="L597" t="str">
        <f>"14,000"</f>
        <v>14,000</v>
      </c>
      <c r="M597" t="str">
        <f t="shared" si="398"/>
        <v xml:space="preserve"> </v>
      </c>
      <c r="N597" t="str">
        <f t="shared" si="385"/>
        <v>MPSI</v>
      </c>
      <c r="O597" t="str">
        <f t="shared" si="386"/>
        <v>COJINETES</v>
      </c>
      <c r="P597" t="str">
        <f t="shared" si="417"/>
        <v>0</v>
      </c>
      <c r="Q597" t="str">
        <f t="shared" si="417"/>
        <v>0</v>
      </c>
      <c r="R597" t="str">
        <f t="shared" si="418"/>
        <v>0,00</v>
      </c>
      <c r="S597" t="str">
        <f t="shared" si="418"/>
        <v>0,00</v>
      </c>
      <c r="T597" t="str">
        <f t="shared" si="420"/>
        <v xml:space="preserve"> </v>
      </c>
      <c r="U597" t="str">
        <f t="shared" si="414"/>
        <v>-</v>
      </c>
      <c r="V597" t="str">
        <f>"14,000"</f>
        <v>14,000</v>
      </c>
      <c r="W597" t="str">
        <f t="shared" si="399"/>
        <v>Lista 4</v>
      </c>
      <c r="X597" t="str">
        <f t="shared" si="400"/>
        <v>Lista 5</v>
      </c>
      <c r="Y597" t="str">
        <f t="shared" si="401"/>
        <v>Oferta Gral.</v>
      </c>
      <c r="Z597" t="str">
        <f t="shared" si="402"/>
        <v>Rubro</v>
      </c>
      <c r="AA597" t="str">
        <f t="shared" si="403"/>
        <v>Cantidad por Bulto</v>
      </c>
      <c r="AB597" t="str">
        <f t="shared" si="404"/>
        <v>INNER</v>
      </c>
      <c r="AC597" t="str">
        <f t="shared" si="405"/>
        <v>Stock en Bultos</v>
      </c>
      <c r="AD597" t="str">
        <f t="shared" si="406"/>
        <v>SubDepósito</v>
      </c>
      <c r="AE597" t="str">
        <f t="shared" si="407"/>
        <v>Marca</v>
      </c>
      <c r="AF597" t="str">
        <f t="shared" si="408"/>
        <v>Super Rubro</v>
      </c>
      <c r="AG597" t="str">
        <f t="shared" si="409"/>
        <v>ComercioExterior</v>
      </c>
      <c r="AH597" t="str">
        <f t="shared" si="410"/>
        <v>PrecioFOB</v>
      </c>
      <c r="AI597" t="str">
        <f t="shared" si="411"/>
        <v>Monto II</v>
      </c>
      <c r="AJ597" t="str">
        <f t="shared" si="412"/>
        <v>Porcentaje II</v>
      </c>
      <c r="AK597" t="str">
        <f t="shared" si="413"/>
        <v>Foto</v>
      </c>
      <c r="AL597" t="str">
        <f t="shared" si="422"/>
        <v xml:space="preserve"> </v>
      </c>
      <c r="AM597" t="str">
        <f t="shared" si="416"/>
        <v xml:space="preserve"> </v>
      </c>
    </row>
    <row r="598" spans="1:39" x14ac:dyDescent="0.25">
      <c r="A598" t="str">
        <f>"AX392 5"</f>
        <v>AX392 5</v>
      </c>
      <c r="B598" t="str">
        <f>"COJINETES AXIALES 0,127 PERKINS 6-354 FASE 2"</f>
        <v>COJINETES AXIALES 0,127 PERKINS 6-354 FASE 2</v>
      </c>
      <c r="C598" t="str">
        <f>"$ 8348,95"</f>
        <v>$ 8348,95</v>
      </c>
      <c r="D598" t="str">
        <f>"$ 8348,95"</f>
        <v>$ 8348,95</v>
      </c>
      <c r="E598" t="str">
        <f>"$ 8348,95"</f>
        <v>$ 8348,95</v>
      </c>
      <c r="F598" t="str">
        <f>"$ 8348,95"</f>
        <v>$ 8348,95</v>
      </c>
      <c r="G598" t="str">
        <f>"$ 8348,95"</f>
        <v>$ 8348,95</v>
      </c>
      <c r="H598" t="str">
        <f t="shared" si="396"/>
        <v>$ 0,00</v>
      </c>
      <c r="I598" t="str">
        <f t="shared" si="421"/>
        <v>JUEGO AXIALES</v>
      </c>
      <c r="J598" t="str">
        <f t="shared" si="397"/>
        <v>1</v>
      </c>
      <c r="K598" t="str">
        <f t="shared" si="379"/>
        <v>0</v>
      </c>
      <c r="L598" t="str">
        <f>"6,000"</f>
        <v>6,000</v>
      </c>
      <c r="M598" t="str">
        <f t="shared" si="398"/>
        <v xml:space="preserve"> </v>
      </c>
      <c r="N598" t="str">
        <f t="shared" si="385"/>
        <v>MPSI</v>
      </c>
      <c r="O598" t="str">
        <f t="shared" si="386"/>
        <v>COJINETES</v>
      </c>
      <c r="P598" t="str">
        <f t="shared" si="417"/>
        <v>0</v>
      </c>
      <c r="Q598" t="str">
        <f t="shared" si="417"/>
        <v>0</v>
      </c>
      <c r="R598" t="str">
        <f t="shared" si="418"/>
        <v>0,00</v>
      </c>
      <c r="S598" t="str">
        <f t="shared" si="418"/>
        <v>0,00</v>
      </c>
      <c r="T598" t="str">
        <f t="shared" si="420"/>
        <v xml:space="preserve"> </v>
      </c>
      <c r="U598" t="str">
        <f t="shared" si="414"/>
        <v>-</v>
      </c>
      <c r="V598" t="str">
        <f>"6,000"</f>
        <v>6,000</v>
      </c>
      <c r="W598" t="str">
        <f t="shared" si="399"/>
        <v>Lista 4</v>
      </c>
      <c r="X598" t="str">
        <f t="shared" si="400"/>
        <v>Lista 5</v>
      </c>
      <c r="Y598" t="str">
        <f t="shared" si="401"/>
        <v>Oferta Gral.</v>
      </c>
      <c r="Z598" t="str">
        <f t="shared" si="402"/>
        <v>Rubro</v>
      </c>
      <c r="AA598" t="str">
        <f t="shared" si="403"/>
        <v>Cantidad por Bulto</v>
      </c>
      <c r="AB598" t="str">
        <f t="shared" si="404"/>
        <v>INNER</v>
      </c>
      <c r="AC598" t="str">
        <f t="shared" si="405"/>
        <v>Stock en Bultos</v>
      </c>
      <c r="AD598" t="str">
        <f t="shared" si="406"/>
        <v>SubDepósito</v>
      </c>
      <c r="AE598" t="str">
        <f t="shared" si="407"/>
        <v>Marca</v>
      </c>
      <c r="AF598" t="str">
        <f t="shared" si="408"/>
        <v>Super Rubro</v>
      </c>
      <c r="AG598" t="str">
        <f t="shared" si="409"/>
        <v>ComercioExterior</v>
      </c>
      <c r="AH598" t="str">
        <f t="shared" si="410"/>
        <v>PrecioFOB</v>
      </c>
      <c r="AI598" t="str">
        <f t="shared" si="411"/>
        <v>Monto II</v>
      </c>
      <c r="AJ598" t="str">
        <f t="shared" si="412"/>
        <v>Porcentaje II</v>
      </c>
      <c r="AK598" t="str">
        <f t="shared" si="413"/>
        <v>Foto</v>
      </c>
      <c r="AL598" t="str">
        <f t="shared" si="422"/>
        <v xml:space="preserve"> </v>
      </c>
      <c r="AM598" t="str">
        <f t="shared" si="416"/>
        <v xml:space="preserve"> </v>
      </c>
    </row>
    <row r="599" spans="1:39" x14ac:dyDescent="0.25">
      <c r="A599" t="str">
        <f>"AX422 5"</f>
        <v>AX422 5</v>
      </c>
      <c r="B599" t="str">
        <f>"COJINETES AXIALES 0,127 PEUGEOT 306 1.9 TURBO DIESEL XUD9T"</f>
        <v>COJINETES AXIALES 0,127 PEUGEOT 306 1.9 TURBO DIESEL XUD9T</v>
      </c>
      <c r="C599" t="str">
        <f>"$ 7656,50"</f>
        <v>$ 7656,50</v>
      </c>
      <c r="D599" t="str">
        <f>"$ 7656,50"</f>
        <v>$ 7656,50</v>
      </c>
      <c r="E599" t="str">
        <f>"$ 7656,50"</f>
        <v>$ 7656,50</v>
      </c>
      <c r="F599" t="str">
        <f>"$ 7656,50"</f>
        <v>$ 7656,50</v>
      </c>
      <c r="G599" t="str">
        <f>"$ 7656,50"</f>
        <v>$ 7656,50</v>
      </c>
      <c r="H599" t="str">
        <f t="shared" si="396"/>
        <v>$ 0,00</v>
      </c>
      <c r="I599" t="str">
        <f t="shared" si="421"/>
        <v>JUEGO AXIALES</v>
      </c>
      <c r="J599" t="str">
        <f t="shared" si="397"/>
        <v>1</v>
      </c>
      <c r="K599" t="str">
        <f t="shared" ref="K599:K662" si="423">"0"</f>
        <v>0</v>
      </c>
      <c r="L599" t="str">
        <f>"3,000"</f>
        <v>3,000</v>
      </c>
      <c r="M599" t="str">
        <f t="shared" si="398"/>
        <v xml:space="preserve"> </v>
      </c>
      <c r="N599" t="str">
        <f t="shared" si="385"/>
        <v>MPSI</v>
      </c>
      <c r="O599" t="str">
        <f t="shared" si="386"/>
        <v>COJINETES</v>
      </c>
      <c r="P599" t="str">
        <f t="shared" si="417"/>
        <v>0</v>
      </c>
      <c r="Q599" t="str">
        <f t="shared" si="417"/>
        <v>0</v>
      </c>
      <c r="R599" t="str">
        <f t="shared" si="418"/>
        <v>0,00</v>
      </c>
      <c r="S599" t="str">
        <f t="shared" si="418"/>
        <v>0,00</v>
      </c>
      <c r="T599" t="str">
        <f t="shared" si="420"/>
        <v xml:space="preserve"> </v>
      </c>
      <c r="U599" t="str">
        <f t="shared" si="414"/>
        <v>-</v>
      </c>
      <c r="V599" t="str">
        <f>"3,000"</f>
        <v>3,000</v>
      </c>
      <c r="W599" t="str">
        <f t="shared" si="399"/>
        <v>Lista 4</v>
      </c>
      <c r="X599" t="str">
        <f t="shared" si="400"/>
        <v>Lista 5</v>
      </c>
      <c r="Y599" t="str">
        <f t="shared" si="401"/>
        <v>Oferta Gral.</v>
      </c>
      <c r="Z599" t="str">
        <f t="shared" si="402"/>
        <v>Rubro</v>
      </c>
      <c r="AA599" t="str">
        <f t="shared" si="403"/>
        <v>Cantidad por Bulto</v>
      </c>
      <c r="AB599" t="str">
        <f t="shared" si="404"/>
        <v>INNER</v>
      </c>
      <c r="AC599" t="str">
        <f t="shared" si="405"/>
        <v>Stock en Bultos</v>
      </c>
      <c r="AD599" t="str">
        <f t="shared" si="406"/>
        <v>SubDepósito</v>
      </c>
      <c r="AE599" t="str">
        <f t="shared" si="407"/>
        <v>Marca</v>
      </c>
      <c r="AF599" t="str">
        <f t="shared" si="408"/>
        <v>Super Rubro</v>
      </c>
      <c r="AG599" t="str">
        <f t="shared" si="409"/>
        <v>ComercioExterior</v>
      </c>
      <c r="AH599" t="str">
        <f t="shared" si="410"/>
        <v>PrecioFOB</v>
      </c>
      <c r="AI599" t="str">
        <f t="shared" si="411"/>
        <v>Monto II</v>
      </c>
      <c r="AJ599" t="str">
        <f t="shared" si="412"/>
        <v>Porcentaje II</v>
      </c>
      <c r="AK599" t="str">
        <f t="shared" si="413"/>
        <v>Foto</v>
      </c>
      <c r="AL599" t="str">
        <f t="shared" si="422"/>
        <v xml:space="preserve"> </v>
      </c>
      <c r="AM599" t="str">
        <f t="shared" si="416"/>
        <v xml:space="preserve"> </v>
      </c>
    </row>
    <row r="600" spans="1:39" x14ac:dyDescent="0.25">
      <c r="A600" t="str">
        <f>"AX732 5"</f>
        <v>AX732 5</v>
      </c>
      <c r="B600" t="str">
        <f>"COJINETES AXIALES 0,127 PEUGEOT 307 406  2.0 EW10J4 XU7"</f>
        <v>COJINETES AXIALES 0,127 PEUGEOT 307 406  2.0 EW10J4 XU7</v>
      </c>
      <c r="C600" t="str">
        <f>"$ 4016,20"</f>
        <v>$ 4016,20</v>
      </c>
      <c r="D600" t="str">
        <f>"$ 4016,20"</f>
        <v>$ 4016,20</v>
      </c>
      <c r="E600" t="str">
        <f>"$ 4016,20"</f>
        <v>$ 4016,20</v>
      </c>
      <c r="F600" t="str">
        <f>"$ 4016,20"</f>
        <v>$ 4016,20</v>
      </c>
      <c r="G600" t="str">
        <f>"$ 4016,20"</f>
        <v>$ 4016,20</v>
      </c>
      <c r="H600" t="str">
        <f t="shared" si="396"/>
        <v>$ 0,00</v>
      </c>
      <c r="I600" t="str">
        <f t="shared" si="421"/>
        <v>JUEGO AXIALES</v>
      </c>
      <c r="J600" t="str">
        <f t="shared" si="397"/>
        <v>1</v>
      </c>
      <c r="K600" t="str">
        <f t="shared" si="423"/>
        <v>0</v>
      </c>
      <c r="L600" t="str">
        <f>"5,000"</f>
        <v>5,000</v>
      </c>
      <c r="M600" t="str">
        <f t="shared" si="398"/>
        <v xml:space="preserve"> </v>
      </c>
      <c r="N600" t="str">
        <f t="shared" si="385"/>
        <v>MPSI</v>
      </c>
      <c r="O600" t="str">
        <f t="shared" si="386"/>
        <v>COJINETES</v>
      </c>
      <c r="P600" t="str">
        <f t="shared" si="417"/>
        <v>0</v>
      </c>
      <c r="Q600" t="str">
        <f t="shared" si="417"/>
        <v>0</v>
      </c>
      <c r="R600" t="str">
        <f t="shared" si="418"/>
        <v>0,00</v>
      </c>
      <c r="S600" t="str">
        <f t="shared" si="418"/>
        <v>0,00</v>
      </c>
      <c r="T600" t="str">
        <f t="shared" si="420"/>
        <v xml:space="preserve"> </v>
      </c>
      <c r="U600" t="str">
        <f t="shared" si="414"/>
        <v>-</v>
      </c>
      <c r="V600" t="str">
        <f>"5,000"</f>
        <v>5,000</v>
      </c>
      <c r="W600" t="str">
        <f t="shared" si="399"/>
        <v>Lista 4</v>
      </c>
      <c r="X600" t="str">
        <f t="shared" si="400"/>
        <v>Lista 5</v>
      </c>
      <c r="Y600" t="str">
        <f t="shared" si="401"/>
        <v>Oferta Gral.</v>
      </c>
      <c r="Z600" t="str">
        <f t="shared" si="402"/>
        <v>Rubro</v>
      </c>
      <c r="AA600" t="str">
        <f t="shared" si="403"/>
        <v>Cantidad por Bulto</v>
      </c>
      <c r="AB600" t="str">
        <f t="shared" si="404"/>
        <v>INNER</v>
      </c>
      <c r="AC600" t="str">
        <f t="shared" si="405"/>
        <v>Stock en Bultos</v>
      </c>
      <c r="AD600" t="str">
        <f t="shared" si="406"/>
        <v>SubDepósito</v>
      </c>
      <c r="AE600" t="str">
        <f t="shared" si="407"/>
        <v>Marca</v>
      </c>
      <c r="AF600" t="str">
        <f t="shared" si="408"/>
        <v>Super Rubro</v>
      </c>
      <c r="AG600" t="str">
        <f t="shared" si="409"/>
        <v>ComercioExterior</v>
      </c>
      <c r="AH600" t="str">
        <f t="shared" si="410"/>
        <v>PrecioFOB</v>
      </c>
      <c r="AI600" t="str">
        <f t="shared" si="411"/>
        <v>Monto II</v>
      </c>
      <c r="AJ600" t="str">
        <f t="shared" si="412"/>
        <v>Porcentaje II</v>
      </c>
      <c r="AK600" t="str">
        <f t="shared" si="413"/>
        <v>Foto</v>
      </c>
      <c r="AL600" t="str">
        <f t="shared" si="422"/>
        <v xml:space="preserve"> </v>
      </c>
      <c r="AM600" t="str">
        <f t="shared" si="416"/>
        <v xml:space="preserve"> </v>
      </c>
    </row>
    <row r="601" spans="1:39" x14ac:dyDescent="0.25">
      <c r="A601" t="str">
        <f>"AX416 5"</f>
        <v>AX416 5</v>
      </c>
      <c r="B601" t="str">
        <f>"COJINETES AXIALES 0,127 PEUGEOT 307 406 MOTOR 2.0 EW10J4 XU7"</f>
        <v>COJINETES AXIALES 0,127 PEUGEOT 307 406 MOTOR 2.0 EW10J4 XU7</v>
      </c>
      <c r="C601" t="str">
        <f>"$ 7775,21"</f>
        <v>$ 7775,21</v>
      </c>
      <c r="D601" t="str">
        <f>"$ 7775,21"</f>
        <v>$ 7775,21</v>
      </c>
      <c r="E601" t="str">
        <f>"$ 7775,21"</f>
        <v>$ 7775,21</v>
      </c>
      <c r="F601" t="str">
        <f>"$ 7775,21"</f>
        <v>$ 7775,21</v>
      </c>
      <c r="G601" t="str">
        <f>"$ 7775,21"</f>
        <v>$ 7775,21</v>
      </c>
      <c r="H601" t="str">
        <f t="shared" si="396"/>
        <v>$ 0,00</v>
      </c>
      <c r="I601" t="str">
        <f t="shared" si="421"/>
        <v>JUEGO AXIALES</v>
      </c>
      <c r="J601" t="str">
        <f t="shared" si="397"/>
        <v>1</v>
      </c>
      <c r="K601" t="str">
        <f t="shared" si="423"/>
        <v>0</v>
      </c>
      <c r="L601" t="str">
        <f>"10,000"</f>
        <v>10,000</v>
      </c>
      <c r="M601" t="str">
        <f t="shared" si="398"/>
        <v xml:space="preserve"> </v>
      </c>
      <c r="N601" t="str">
        <f t="shared" si="385"/>
        <v>MPSI</v>
      </c>
      <c r="O601" t="str">
        <f t="shared" si="386"/>
        <v>COJINETES</v>
      </c>
      <c r="P601" t="str">
        <f t="shared" si="417"/>
        <v>0</v>
      </c>
      <c r="Q601" t="str">
        <f t="shared" si="417"/>
        <v>0</v>
      </c>
      <c r="R601" t="str">
        <f t="shared" si="418"/>
        <v>0,00</v>
      </c>
      <c r="S601" t="str">
        <f t="shared" si="418"/>
        <v>0,00</v>
      </c>
      <c r="T601" t="str">
        <f t="shared" si="420"/>
        <v xml:space="preserve"> </v>
      </c>
      <c r="U601" t="str">
        <f t="shared" si="414"/>
        <v>-</v>
      </c>
      <c r="V601" t="str">
        <f>"10,000"</f>
        <v>10,000</v>
      </c>
      <c r="W601" t="str">
        <f t="shared" si="399"/>
        <v>Lista 4</v>
      </c>
      <c r="X601" t="str">
        <f t="shared" si="400"/>
        <v>Lista 5</v>
      </c>
      <c r="Y601" t="str">
        <f t="shared" si="401"/>
        <v>Oferta Gral.</v>
      </c>
      <c r="Z601" t="str">
        <f t="shared" si="402"/>
        <v>Rubro</v>
      </c>
      <c r="AA601" t="str">
        <f t="shared" si="403"/>
        <v>Cantidad por Bulto</v>
      </c>
      <c r="AB601" t="str">
        <f t="shared" si="404"/>
        <v>INNER</v>
      </c>
      <c r="AC601" t="str">
        <f t="shared" si="405"/>
        <v>Stock en Bultos</v>
      </c>
      <c r="AD601" t="str">
        <f t="shared" si="406"/>
        <v>SubDepósito</v>
      </c>
      <c r="AE601" t="str">
        <f t="shared" si="407"/>
        <v>Marca</v>
      </c>
      <c r="AF601" t="str">
        <f t="shared" si="408"/>
        <v>Super Rubro</v>
      </c>
      <c r="AG601" t="str">
        <f t="shared" si="409"/>
        <v>ComercioExterior</v>
      </c>
      <c r="AH601" t="str">
        <f t="shared" si="410"/>
        <v>PrecioFOB</v>
      </c>
      <c r="AI601" t="str">
        <f t="shared" si="411"/>
        <v>Monto II</v>
      </c>
      <c r="AJ601" t="str">
        <f t="shared" si="412"/>
        <v>Porcentaje II</v>
      </c>
      <c r="AK601" t="str">
        <f t="shared" si="413"/>
        <v>Foto</v>
      </c>
      <c r="AL601" t="str">
        <f t="shared" si="422"/>
        <v xml:space="preserve"> </v>
      </c>
      <c r="AM601" t="str">
        <f t="shared" si="416"/>
        <v xml:space="preserve"> </v>
      </c>
    </row>
    <row r="602" spans="1:39" x14ac:dyDescent="0.25">
      <c r="A602" t="str">
        <f>"AX731 5"</f>
        <v>AX731 5</v>
      </c>
      <c r="B602" t="str">
        <f>"COJINETES AXIALES 0,127 PEUGEOT 307 CITROEN C4 1.6 16V TU5JP4"</f>
        <v>COJINETES AXIALES 0,127 PEUGEOT 307 CITROEN C4 1.6 16V TU5JP4</v>
      </c>
      <c r="C602" t="str">
        <f>"$ 4392,10"</f>
        <v>$ 4392,10</v>
      </c>
      <c r="D602" t="str">
        <f>"$ 4392,10"</f>
        <v>$ 4392,10</v>
      </c>
      <c r="E602" t="str">
        <f>"$ 4392,10"</f>
        <v>$ 4392,10</v>
      </c>
      <c r="F602" t="str">
        <f>"$ 4392,10"</f>
        <v>$ 4392,10</v>
      </c>
      <c r="G602" t="str">
        <f>"$ 4392,10"</f>
        <v>$ 4392,10</v>
      </c>
      <c r="H602" t="str">
        <f t="shared" si="396"/>
        <v>$ 0,00</v>
      </c>
      <c r="I602" t="str">
        <f t="shared" si="421"/>
        <v>JUEGO AXIALES</v>
      </c>
      <c r="J602" t="str">
        <f t="shared" si="397"/>
        <v>1</v>
      </c>
      <c r="K602" t="str">
        <f t="shared" si="423"/>
        <v>0</v>
      </c>
      <c r="L602" t="str">
        <f>"10,000"</f>
        <v>10,000</v>
      </c>
      <c r="M602" t="str">
        <f t="shared" si="398"/>
        <v xml:space="preserve"> </v>
      </c>
      <c r="N602" t="str">
        <f t="shared" si="385"/>
        <v>MPSI</v>
      </c>
      <c r="O602" t="str">
        <f t="shared" si="386"/>
        <v>COJINETES</v>
      </c>
      <c r="P602" t="str">
        <f t="shared" si="417"/>
        <v>0</v>
      </c>
      <c r="Q602" t="str">
        <f t="shared" si="417"/>
        <v>0</v>
      </c>
      <c r="R602" t="str">
        <f t="shared" si="418"/>
        <v>0,00</v>
      </c>
      <c r="S602" t="str">
        <f t="shared" si="418"/>
        <v>0,00</v>
      </c>
      <c r="T602" t="str">
        <f t="shared" si="420"/>
        <v xml:space="preserve"> </v>
      </c>
      <c r="U602" t="str">
        <f t="shared" si="414"/>
        <v>-</v>
      </c>
      <c r="V602" t="str">
        <f>"10,000"</f>
        <v>10,000</v>
      </c>
      <c r="W602" t="str">
        <f t="shared" si="399"/>
        <v>Lista 4</v>
      </c>
      <c r="X602" t="str">
        <f t="shared" si="400"/>
        <v>Lista 5</v>
      </c>
      <c r="Y602" t="str">
        <f t="shared" si="401"/>
        <v>Oferta Gral.</v>
      </c>
      <c r="Z602" t="str">
        <f t="shared" si="402"/>
        <v>Rubro</v>
      </c>
      <c r="AA602" t="str">
        <f t="shared" si="403"/>
        <v>Cantidad por Bulto</v>
      </c>
      <c r="AB602" t="str">
        <f t="shared" si="404"/>
        <v>INNER</v>
      </c>
      <c r="AC602" t="str">
        <f t="shared" si="405"/>
        <v>Stock en Bultos</v>
      </c>
      <c r="AD602" t="str">
        <f t="shared" si="406"/>
        <v>SubDepósito</v>
      </c>
      <c r="AE602" t="str">
        <f t="shared" si="407"/>
        <v>Marca</v>
      </c>
      <c r="AF602" t="str">
        <f t="shared" si="408"/>
        <v>Super Rubro</v>
      </c>
      <c r="AG602" t="str">
        <f t="shared" si="409"/>
        <v>ComercioExterior</v>
      </c>
      <c r="AH602" t="str">
        <f t="shared" si="410"/>
        <v>PrecioFOB</v>
      </c>
      <c r="AI602" t="str">
        <f t="shared" si="411"/>
        <v>Monto II</v>
      </c>
      <c r="AJ602" t="str">
        <f t="shared" si="412"/>
        <v>Porcentaje II</v>
      </c>
      <c r="AK602" t="str">
        <f t="shared" si="413"/>
        <v>Foto</v>
      </c>
      <c r="AL602" t="str">
        <f t="shared" si="422"/>
        <v xml:space="preserve"> </v>
      </c>
      <c r="AM602" t="str">
        <f t="shared" si="416"/>
        <v xml:space="preserve"> </v>
      </c>
    </row>
    <row r="603" spans="1:39" x14ac:dyDescent="0.25">
      <c r="A603" t="str">
        <f>"AX412 5"</f>
        <v>AX412 5</v>
      </c>
      <c r="B603" t="str">
        <f>"COJINETES AXIALES 0,127 PEUGEOT 404 504 NAFTA 1.6 1.8 2.0"</f>
        <v>COJINETES AXIALES 0,127 PEUGEOT 404 504 NAFTA 1.6 1.8 2.0</v>
      </c>
      <c r="C603" t="str">
        <f>"$ 6766,21"</f>
        <v>$ 6766,21</v>
      </c>
      <c r="D603" t="str">
        <f>"$ 6766,21"</f>
        <v>$ 6766,21</v>
      </c>
      <c r="E603" t="str">
        <f>"$ 6766,21"</f>
        <v>$ 6766,21</v>
      </c>
      <c r="F603" t="str">
        <f>"$ 6766,21"</f>
        <v>$ 6766,21</v>
      </c>
      <c r="G603" t="str">
        <f>"$ 6766,21"</f>
        <v>$ 6766,21</v>
      </c>
      <c r="H603" t="str">
        <f t="shared" si="396"/>
        <v>$ 0,00</v>
      </c>
      <c r="I603" t="str">
        <f t="shared" si="421"/>
        <v>JUEGO AXIALES</v>
      </c>
      <c r="J603" t="str">
        <f t="shared" si="397"/>
        <v>1</v>
      </c>
      <c r="K603" t="str">
        <f t="shared" si="423"/>
        <v>0</v>
      </c>
      <c r="L603" t="str">
        <f>"10,000"</f>
        <v>10,000</v>
      </c>
      <c r="M603" t="str">
        <f t="shared" si="398"/>
        <v xml:space="preserve"> </v>
      </c>
      <c r="N603" t="str">
        <f t="shared" si="385"/>
        <v>MPSI</v>
      </c>
      <c r="O603" t="str">
        <f t="shared" si="386"/>
        <v>COJINETES</v>
      </c>
      <c r="P603" t="str">
        <f t="shared" ref="P603:Q622" si="424">"0"</f>
        <v>0</v>
      </c>
      <c r="Q603" t="str">
        <f t="shared" si="424"/>
        <v>0</v>
      </c>
      <c r="R603" t="str">
        <f t="shared" ref="R603:S622" si="425">"0,00"</f>
        <v>0,00</v>
      </c>
      <c r="S603" t="str">
        <f t="shared" si="425"/>
        <v>0,00</v>
      </c>
      <c r="T603" t="str">
        <f t="shared" si="420"/>
        <v xml:space="preserve"> </v>
      </c>
      <c r="U603" t="str">
        <f t="shared" si="414"/>
        <v>-</v>
      </c>
      <c r="V603" t="str">
        <f>"10,000"</f>
        <v>10,000</v>
      </c>
      <c r="W603" t="str">
        <f t="shared" si="399"/>
        <v>Lista 4</v>
      </c>
      <c r="X603" t="str">
        <f t="shared" si="400"/>
        <v>Lista 5</v>
      </c>
      <c r="Y603" t="str">
        <f t="shared" si="401"/>
        <v>Oferta Gral.</v>
      </c>
      <c r="Z603" t="str">
        <f t="shared" si="402"/>
        <v>Rubro</v>
      </c>
      <c r="AA603" t="str">
        <f t="shared" si="403"/>
        <v>Cantidad por Bulto</v>
      </c>
      <c r="AB603" t="str">
        <f t="shared" si="404"/>
        <v>INNER</v>
      </c>
      <c r="AC603" t="str">
        <f t="shared" si="405"/>
        <v>Stock en Bultos</v>
      </c>
      <c r="AD603" t="str">
        <f t="shared" si="406"/>
        <v>SubDepósito</v>
      </c>
      <c r="AE603" t="str">
        <f t="shared" si="407"/>
        <v>Marca</v>
      </c>
      <c r="AF603" t="str">
        <f t="shared" si="408"/>
        <v>Super Rubro</v>
      </c>
      <c r="AG603" t="str">
        <f t="shared" si="409"/>
        <v>ComercioExterior</v>
      </c>
      <c r="AH603" t="str">
        <f t="shared" si="410"/>
        <v>PrecioFOB</v>
      </c>
      <c r="AI603" t="str">
        <f t="shared" si="411"/>
        <v>Monto II</v>
      </c>
      <c r="AJ603" t="str">
        <f t="shared" si="412"/>
        <v>Porcentaje II</v>
      </c>
      <c r="AK603" t="str">
        <f t="shared" si="413"/>
        <v>Foto</v>
      </c>
      <c r="AL603" t="str">
        <f t="shared" si="422"/>
        <v xml:space="preserve"> </v>
      </c>
      <c r="AM603" t="str">
        <f t="shared" si="416"/>
        <v xml:space="preserve"> </v>
      </c>
    </row>
    <row r="604" spans="1:39" x14ac:dyDescent="0.25">
      <c r="A604" t="str">
        <f>"AX415 5"</f>
        <v>AX415 5</v>
      </c>
      <c r="B604" t="str">
        <f>"COJINETES AXIALES 0,127 PEUGEOT 504 505 DIESEL XD2 XD3"</f>
        <v>COJINETES AXIALES 0,127 PEUGEOT 504 505 DIESEL XD2 XD3</v>
      </c>
      <c r="C604" t="str">
        <f>"$ 7775,21"</f>
        <v>$ 7775,21</v>
      </c>
      <c r="D604" t="str">
        <f>"$ 7775,21"</f>
        <v>$ 7775,21</v>
      </c>
      <c r="E604" t="str">
        <f>"$ 7775,21"</f>
        <v>$ 7775,21</v>
      </c>
      <c r="F604" t="str">
        <f>"$ 7775,21"</f>
        <v>$ 7775,21</v>
      </c>
      <c r="G604" t="str">
        <f>"$ 7775,21"</f>
        <v>$ 7775,21</v>
      </c>
      <c r="H604" t="str">
        <f t="shared" si="396"/>
        <v>$ 0,00</v>
      </c>
      <c r="I604" t="str">
        <f t="shared" si="421"/>
        <v>JUEGO AXIALES</v>
      </c>
      <c r="J604" t="str">
        <f t="shared" si="397"/>
        <v>1</v>
      </c>
      <c r="K604" t="str">
        <f t="shared" si="423"/>
        <v>0</v>
      </c>
      <c r="L604" t="str">
        <f>"9,000"</f>
        <v>9,000</v>
      </c>
      <c r="M604" t="str">
        <f t="shared" si="398"/>
        <v xml:space="preserve"> </v>
      </c>
      <c r="N604" t="str">
        <f t="shared" si="385"/>
        <v>MPSI</v>
      </c>
      <c r="O604" t="str">
        <f t="shared" si="386"/>
        <v>COJINETES</v>
      </c>
      <c r="P604" t="str">
        <f t="shared" si="424"/>
        <v>0</v>
      </c>
      <c r="Q604" t="str">
        <f t="shared" si="424"/>
        <v>0</v>
      </c>
      <c r="R604" t="str">
        <f t="shared" si="425"/>
        <v>0,00</v>
      </c>
      <c r="S604" t="str">
        <f t="shared" si="425"/>
        <v>0,00</v>
      </c>
      <c r="T604" t="str">
        <f t="shared" si="420"/>
        <v xml:space="preserve"> </v>
      </c>
      <c r="U604" t="str">
        <f t="shared" si="414"/>
        <v>-</v>
      </c>
      <c r="V604" t="str">
        <f>"9,000"</f>
        <v>9,000</v>
      </c>
      <c r="W604" t="str">
        <f t="shared" si="399"/>
        <v>Lista 4</v>
      </c>
      <c r="X604" t="str">
        <f t="shared" si="400"/>
        <v>Lista 5</v>
      </c>
      <c r="Y604" t="str">
        <f t="shared" si="401"/>
        <v>Oferta Gral.</v>
      </c>
      <c r="Z604" t="str">
        <f t="shared" si="402"/>
        <v>Rubro</v>
      </c>
      <c r="AA604" t="str">
        <f t="shared" si="403"/>
        <v>Cantidad por Bulto</v>
      </c>
      <c r="AB604" t="str">
        <f t="shared" si="404"/>
        <v>INNER</v>
      </c>
      <c r="AC604" t="str">
        <f t="shared" si="405"/>
        <v>Stock en Bultos</v>
      </c>
      <c r="AD604" t="str">
        <f t="shared" si="406"/>
        <v>SubDepósito</v>
      </c>
      <c r="AE604" t="str">
        <f t="shared" si="407"/>
        <v>Marca</v>
      </c>
      <c r="AF604" t="str">
        <f t="shared" si="408"/>
        <v>Super Rubro</v>
      </c>
      <c r="AG604" t="str">
        <f t="shared" si="409"/>
        <v>ComercioExterior</v>
      </c>
      <c r="AH604" t="str">
        <f t="shared" si="410"/>
        <v>PrecioFOB</v>
      </c>
      <c r="AI604" t="str">
        <f t="shared" si="411"/>
        <v>Monto II</v>
      </c>
      <c r="AJ604" t="str">
        <f t="shared" si="412"/>
        <v>Porcentaje II</v>
      </c>
      <c r="AK604" t="str">
        <f t="shared" si="413"/>
        <v>Foto</v>
      </c>
      <c r="AL604" t="str">
        <f t="shared" si="422"/>
        <v xml:space="preserve"> </v>
      </c>
      <c r="AM604" t="str">
        <f t="shared" si="416"/>
        <v xml:space="preserve"> </v>
      </c>
    </row>
    <row r="605" spans="1:39" x14ac:dyDescent="0.25">
      <c r="A605" t="str">
        <f>"AX361035 5"</f>
        <v>AX361035 5</v>
      </c>
      <c r="B605" t="str">
        <f>"COJINETES AXIALES 0,127 PEUGEOT CITROEN 1.6 16V TURBO THP"</f>
        <v>COJINETES AXIALES 0,127 PEUGEOT CITROEN 1.6 16V TURBO THP</v>
      </c>
      <c r="C605" t="str">
        <f>"$ 4273,40"</f>
        <v>$ 4273,40</v>
      </c>
      <c r="D605" t="str">
        <f>"$ 4273,40"</f>
        <v>$ 4273,40</v>
      </c>
      <c r="E605" t="str">
        <f>"$ 4273,40"</f>
        <v>$ 4273,40</v>
      </c>
      <c r="F605" t="str">
        <f>"$ 4273,40"</f>
        <v>$ 4273,40</v>
      </c>
      <c r="G605" t="str">
        <f>"$ 4273,40"</f>
        <v>$ 4273,40</v>
      </c>
      <c r="H605" t="str">
        <f t="shared" si="396"/>
        <v>$ 0,00</v>
      </c>
      <c r="I605" t="str">
        <f t="shared" si="421"/>
        <v>JUEGO AXIALES</v>
      </c>
      <c r="J605" t="str">
        <f t="shared" si="397"/>
        <v>1</v>
      </c>
      <c r="K605" t="str">
        <f t="shared" si="423"/>
        <v>0</v>
      </c>
      <c r="L605" t="str">
        <f>"0,000"</f>
        <v>0,000</v>
      </c>
      <c r="M605" t="str">
        <f t="shared" si="398"/>
        <v xml:space="preserve"> </v>
      </c>
      <c r="N605" t="str">
        <f t="shared" si="385"/>
        <v>MPSI</v>
      </c>
      <c r="O605" t="str">
        <f t="shared" si="386"/>
        <v>COJINETES</v>
      </c>
      <c r="P605" t="str">
        <f t="shared" si="424"/>
        <v>0</v>
      </c>
      <c r="Q605" t="str">
        <f t="shared" si="424"/>
        <v>0</v>
      </c>
      <c r="R605" t="str">
        <f t="shared" si="425"/>
        <v>0,00</v>
      </c>
      <c r="S605" t="str">
        <f t="shared" si="425"/>
        <v>0,00</v>
      </c>
      <c r="T605" t="str">
        <f t="shared" si="420"/>
        <v xml:space="preserve"> </v>
      </c>
      <c r="U605" t="str">
        <f t="shared" si="414"/>
        <v>-</v>
      </c>
      <c r="V605" t="str">
        <f>"0,000"</f>
        <v>0,000</v>
      </c>
      <c r="W605" t="str">
        <f t="shared" si="399"/>
        <v>Lista 4</v>
      </c>
      <c r="X605" t="str">
        <f t="shared" si="400"/>
        <v>Lista 5</v>
      </c>
      <c r="Y605" t="str">
        <f t="shared" si="401"/>
        <v>Oferta Gral.</v>
      </c>
      <c r="Z605" t="str">
        <f t="shared" si="402"/>
        <v>Rubro</v>
      </c>
      <c r="AA605" t="str">
        <f t="shared" si="403"/>
        <v>Cantidad por Bulto</v>
      </c>
      <c r="AB605" t="str">
        <f t="shared" si="404"/>
        <v>INNER</v>
      </c>
      <c r="AC605" t="str">
        <f t="shared" si="405"/>
        <v>Stock en Bultos</v>
      </c>
      <c r="AD605" t="str">
        <f t="shared" si="406"/>
        <v>SubDepósito</v>
      </c>
      <c r="AE605" t="str">
        <f t="shared" si="407"/>
        <v>Marca</v>
      </c>
      <c r="AF605" t="str">
        <f t="shared" si="408"/>
        <v>Super Rubro</v>
      </c>
      <c r="AG605" t="str">
        <f t="shared" si="409"/>
        <v>ComercioExterior</v>
      </c>
      <c r="AH605" t="str">
        <f t="shared" si="410"/>
        <v>PrecioFOB</v>
      </c>
      <c r="AI605" t="str">
        <f t="shared" si="411"/>
        <v>Monto II</v>
      </c>
      <c r="AJ605" t="str">
        <f t="shared" si="412"/>
        <v>Porcentaje II</v>
      </c>
      <c r="AK605" t="str">
        <f t="shared" si="413"/>
        <v>Foto</v>
      </c>
      <c r="AL605" t="str">
        <f t="shared" si="422"/>
        <v xml:space="preserve"> </v>
      </c>
      <c r="AM605" t="str">
        <f t="shared" si="416"/>
        <v xml:space="preserve"> </v>
      </c>
    </row>
    <row r="606" spans="1:39" x14ac:dyDescent="0.25">
      <c r="A606" t="str">
        <f>"AX241 5"</f>
        <v>AX241 5</v>
      </c>
      <c r="B606" t="str">
        <f>"COJINETES AXIALES 0,127 RENAULT 18 FUEGO TRAFIC 2.D NAFTA Y DIESEL"</f>
        <v>COJINETES AXIALES 0,127 RENAULT 18 FUEGO TRAFIC 2.D NAFTA Y DIESEL</v>
      </c>
      <c r="C606" t="str">
        <f>"$ 4906,49"</f>
        <v>$ 4906,49</v>
      </c>
      <c r="D606" t="str">
        <f>"$ 4906,49"</f>
        <v>$ 4906,49</v>
      </c>
      <c r="E606" t="str">
        <f>"$ 4906,49"</f>
        <v>$ 4906,49</v>
      </c>
      <c r="F606" t="str">
        <f>"$ 4906,49"</f>
        <v>$ 4906,49</v>
      </c>
      <c r="G606" t="str">
        <f>"$ 4906,49"</f>
        <v>$ 4906,49</v>
      </c>
      <c r="H606" t="str">
        <f t="shared" si="396"/>
        <v>$ 0,00</v>
      </c>
      <c r="I606" t="str">
        <f t="shared" si="421"/>
        <v>JUEGO AXIALES</v>
      </c>
      <c r="J606" t="str">
        <f t="shared" si="397"/>
        <v>1</v>
      </c>
      <c r="K606" t="str">
        <f t="shared" si="423"/>
        <v>0</v>
      </c>
      <c r="L606" t="str">
        <f>"0,000"</f>
        <v>0,000</v>
      </c>
      <c r="M606" t="str">
        <f t="shared" si="398"/>
        <v xml:space="preserve"> </v>
      </c>
      <c r="N606" t="str">
        <f t="shared" si="385"/>
        <v>MPSI</v>
      </c>
      <c r="O606" t="str">
        <f t="shared" si="386"/>
        <v>COJINETES</v>
      </c>
      <c r="P606" t="str">
        <f t="shared" si="424"/>
        <v>0</v>
      </c>
      <c r="Q606" t="str">
        <f t="shared" si="424"/>
        <v>0</v>
      </c>
      <c r="R606" t="str">
        <f t="shared" si="425"/>
        <v>0,00</v>
      </c>
      <c r="S606" t="str">
        <f t="shared" si="425"/>
        <v>0,00</v>
      </c>
      <c r="T606" t="str">
        <f t="shared" si="420"/>
        <v xml:space="preserve"> </v>
      </c>
      <c r="U606" t="str">
        <f t="shared" si="414"/>
        <v>-</v>
      </c>
      <c r="V606" t="str">
        <f>"0,000"</f>
        <v>0,000</v>
      </c>
      <c r="W606" t="str">
        <f t="shared" si="399"/>
        <v>Lista 4</v>
      </c>
      <c r="X606" t="str">
        <f t="shared" si="400"/>
        <v>Lista 5</v>
      </c>
      <c r="Y606" t="str">
        <f t="shared" si="401"/>
        <v>Oferta Gral.</v>
      </c>
      <c r="Z606" t="str">
        <f t="shared" si="402"/>
        <v>Rubro</v>
      </c>
      <c r="AA606" t="str">
        <f t="shared" si="403"/>
        <v>Cantidad por Bulto</v>
      </c>
      <c r="AB606" t="str">
        <f t="shared" si="404"/>
        <v>INNER</v>
      </c>
      <c r="AC606" t="str">
        <f t="shared" si="405"/>
        <v>Stock en Bultos</v>
      </c>
      <c r="AD606" t="str">
        <f t="shared" si="406"/>
        <v>SubDepósito</v>
      </c>
      <c r="AE606" t="str">
        <f t="shared" si="407"/>
        <v>Marca</v>
      </c>
      <c r="AF606" t="str">
        <f t="shared" si="408"/>
        <v>Super Rubro</v>
      </c>
      <c r="AG606" t="str">
        <f t="shared" si="409"/>
        <v>ComercioExterior</v>
      </c>
      <c r="AH606" t="str">
        <f t="shared" si="410"/>
        <v>PrecioFOB</v>
      </c>
      <c r="AI606" t="str">
        <f t="shared" si="411"/>
        <v>Monto II</v>
      </c>
      <c r="AJ606" t="str">
        <f t="shared" si="412"/>
        <v>Porcentaje II</v>
      </c>
      <c r="AK606" t="str">
        <f t="shared" si="413"/>
        <v>Foto</v>
      </c>
      <c r="AL606" t="str">
        <f t="shared" si="422"/>
        <v xml:space="preserve"> </v>
      </c>
      <c r="AM606" t="str">
        <f t="shared" si="416"/>
        <v xml:space="preserve"> </v>
      </c>
    </row>
    <row r="607" spans="1:39" x14ac:dyDescent="0.25">
      <c r="A607" t="str">
        <f>"AX247 5"</f>
        <v>AX247 5</v>
      </c>
      <c r="B607" t="str">
        <f>"COJINETES AXIALES 0,127 RENAULT 19 CLIO 1.9 DIESEL F8Q MEGANE 2.0 F3R"</f>
        <v>COJINETES AXIALES 0,127 RENAULT 19 CLIO 1.9 DIESEL F8Q MEGANE 2.0 F3R</v>
      </c>
      <c r="C607" t="str">
        <f>"$ 4471,24"</f>
        <v>$ 4471,24</v>
      </c>
      <c r="D607" t="str">
        <f>"$ 4471,24"</f>
        <v>$ 4471,24</v>
      </c>
      <c r="E607" t="str">
        <f>"$ 4471,24"</f>
        <v>$ 4471,24</v>
      </c>
      <c r="F607" t="str">
        <f>"$ 4471,24"</f>
        <v>$ 4471,24</v>
      </c>
      <c r="G607" t="str">
        <f>"$ 4471,24"</f>
        <v>$ 4471,24</v>
      </c>
      <c r="H607" t="str">
        <f t="shared" si="396"/>
        <v>$ 0,00</v>
      </c>
      <c r="I607" t="str">
        <f t="shared" si="421"/>
        <v>JUEGO AXIALES</v>
      </c>
      <c r="J607" t="str">
        <f t="shared" si="397"/>
        <v>1</v>
      </c>
      <c r="K607" t="str">
        <f t="shared" si="423"/>
        <v>0</v>
      </c>
      <c r="L607" t="str">
        <f>"6,000"</f>
        <v>6,000</v>
      </c>
      <c r="M607" t="str">
        <f t="shared" si="398"/>
        <v xml:space="preserve"> </v>
      </c>
      <c r="N607" t="str">
        <f t="shared" si="385"/>
        <v>MPSI</v>
      </c>
      <c r="O607" t="str">
        <f t="shared" si="386"/>
        <v>COJINETES</v>
      </c>
      <c r="P607" t="str">
        <f t="shared" si="424"/>
        <v>0</v>
      </c>
      <c r="Q607" t="str">
        <f t="shared" si="424"/>
        <v>0</v>
      </c>
      <c r="R607" t="str">
        <f t="shared" si="425"/>
        <v>0,00</v>
      </c>
      <c r="S607" t="str">
        <f t="shared" si="425"/>
        <v>0,00</v>
      </c>
      <c r="T607" t="str">
        <f t="shared" si="420"/>
        <v xml:space="preserve"> </v>
      </c>
      <c r="U607" t="str">
        <f t="shared" si="414"/>
        <v>-</v>
      </c>
      <c r="V607" t="str">
        <f>"6,000"</f>
        <v>6,000</v>
      </c>
      <c r="W607" t="str">
        <f t="shared" si="399"/>
        <v>Lista 4</v>
      </c>
      <c r="X607" t="str">
        <f t="shared" si="400"/>
        <v>Lista 5</v>
      </c>
      <c r="Y607" t="str">
        <f t="shared" si="401"/>
        <v>Oferta Gral.</v>
      </c>
      <c r="Z607" t="str">
        <f t="shared" si="402"/>
        <v>Rubro</v>
      </c>
      <c r="AA607" t="str">
        <f t="shared" si="403"/>
        <v>Cantidad por Bulto</v>
      </c>
      <c r="AB607" t="str">
        <f t="shared" si="404"/>
        <v>INNER</v>
      </c>
      <c r="AC607" t="str">
        <f t="shared" si="405"/>
        <v>Stock en Bultos</v>
      </c>
      <c r="AD607" t="str">
        <f t="shared" si="406"/>
        <v>SubDepósito</v>
      </c>
      <c r="AE607" t="str">
        <f t="shared" si="407"/>
        <v>Marca</v>
      </c>
      <c r="AF607" t="str">
        <f t="shared" si="408"/>
        <v>Super Rubro</v>
      </c>
      <c r="AG607" t="str">
        <f t="shared" si="409"/>
        <v>ComercioExterior</v>
      </c>
      <c r="AH607" t="str">
        <f t="shared" si="410"/>
        <v>PrecioFOB</v>
      </c>
      <c r="AI607" t="str">
        <f t="shared" si="411"/>
        <v>Monto II</v>
      </c>
      <c r="AJ607" t="str">
        <f t="shared" si="412"/>
        <v>Porcentaje II</v>
      </c>
      <c r="AK607" t="str">
        <f t="shared" si="413"/>
        <v>Foto</v>
      </c>
      <c r="AL607" t="str">
        <f>"{\rtf1\ansi\ansicpg1252\deff0\deflang11274{\fonttbl{\f0\fnil\fcharset0 MS Sans Serif}} \viewkind4\uc1\pard\f0\fs16 COJINETES AXIALES 0,127 RENAULT 19 CLIO 1.9 DIESEL F8Q MEGANE 2.0 F3R\par } "</f>
        <v xml:space="preserve">{\rtf1\ansi\ansicpg1252\deff0\deflang11274{\fonttbl{\f0\fnil\fcharset0 MS Sans Serif}} \viewkind4\uc1\pard\f0\fs16 COJINETES AXIALES 0,127 RENAULT 19 CLIO 1.9 DIESEL F8Q MEGANE 2.0 F3R\par } </v>
      </c>
      <c r="AM607" t="str">
        <f t="shared" si="416"/>
        <v xml:space="preserve"> </v>
      </c>
    </row>
    <row r="608" spans="1:39" x14ac:dyDescent="0.25">
      <c r="A608" t="str">
        <f>"AX237 5"</f>
        <v>AX237 5</v>
      </c>
      <c r="B608" t="str">
        <f>"COJINETES AXIALES 0,127 RENAULT 4 6 12 1.1 1.3 1.4 BANCADA CHICA"</f>
        <v>COJINETES AXIALES 0,127 RENAULT 4 6 12 1.1 1.3 1.4 BANCADA CHICA</v>
      </c>
      <c r="C608" t="str">
        <f>"$ 4273,40"</f>
        <v>$ 4273,40</v>
      </c>
      <c r="D608" t="str">
        <f>"$ 4273,40"</f>
        <v>$ 4273,40</v>
      </c>
      <c r="E608" t="str">
        <f>"$ 4273,40"</f>
        <v>$ 4273,40</v>
      </c>
      <c r="F608" t="str">
        <f>"$ 4273,40"</f>
        <v>$ 4273,40</v>
      </c>
      <c r="G608" t="str">
        <f>"$ 4273,40"</f>
        <v>$ 4273,40</v>
      </c>
      <c r="H608" t="str">
        <f t="shared" si="396"/>
        <v>$ 0,00</v>
      </c>
      <c r="I608" t="str">
        <f t="shared" si="421"/>
        <v>JUEGO AXIALES</v>
      </c>
      <c r="J608" t="str">
        <f t="shared" si="397"/>
        <v>1</v>
      </c>
      <c r="K608" t="str">
        <f t="shared" si="423"/>
        <v>0</v>
      </c>
      <c r="L608" t="str">
        <f>"6,000"</f>
        <v>6,000</v>
      </c>
      <c r="M608" t="str">
        <f t="shared" si="398"/>
        <v xml:space="preserve"> </v>
      </c>
      <c r="N608" t="str">
        <f t="shared" si="385"/>
        <v>MPSI</v>
      </c>
      <c r="O608" t="str">
        <f t="shared" si="386"/>
        <v>COJINETES</v>
      </c>
      <c r="P608" t="str">
        <f t="shared" si="424"/>
        <v>0</v>
      </c>
      <c r="Q608" t="str">
        <f t="shared" si="424"/>
        <v>0</v>
      </c>
      <c r="R608" t="str">
        <f t="shared" si="425"/>
        <v>0,00</v>
      </c>
      <c r="S608" t="str">
        <f t="shared" si="425"/>
        <v>0,00</v>
      </c>
      <c r="T608" t="str">
        <f t="shared" si="420"/>
        <v xml:space="preserve"> </v>
      </c>
      <c r="U608" t="str">
        <f t="shared" si="414"/>
        <v>-</v>
      </c>
      <c r="V608" t="str">
        <f>"6,000"</f>
        <v>6,000</v>
      </c>
      <c r="W608" t="str">
        <f t="shared" si="399"/>
        <v>Lista 4</v>
      </c>
      <c r="X608" t="str">
        <f t="shared" si="400"/>
        <v>Lista 5</v>
      </c>
      <c r="Y608" t="str">
        <f t="shared" si="401"/>
        <v>Oferta Gral.</v>
      </c>
      <c r="Z608" t="str">
        <f t="shared" si="402"/>
        <v>Rubro</v>
      </c>
      <c r="AA608" t="str">
        <f t="shared" si="403"/>
        <v>Cantidad por Bulto</v>
      </c>
      <c r="AB608" t="str">
        <f t="shared" si="404"/>
        <v>INNER</v>
      </c>
      <c r="AC608" t="str">
        <f t="shared" si="405"/>
        <v>Stock en Bultos</v>
      </c>
      <c r="AD608" t="str">
        <f t="shared" si="406"/>
        <v>SubDepósito</v>
      </c>
      <c r="AE608" t="str">
        <f t="shared" si="407"/>
        <v>Marca</v>
      </c>
      <c r="AF608" t="str">
        <f t="shared" si="408"/>
        <v>Super Rubro</v>
      </c>
      <c r="AG608" t="str">
        <f t="shared" si="409"/>
        <v>ComercioExterior</v>
      </c>
      <c r="AH608" t="str">
        <f t="shared" si="410"/>
        <v>PrecioFOB</v>
      </c>
      <c r="AI608" t="str">
        <f t="shared" si="411"/>
        <v>Monto II</v>
      </c>
      <c r="AJ608" t="str">
        <f t="shared" si="412"/>
        <v>Porcentaje II</v>
      </c>
      <c r="AK608" t="str">
        <f t="shared" si="413"/>
        <v>Foto</v>
      </c>
      <c r="AL608" t="str">
        <f t="shared" ref="AL608:AL615" si="426">" "</f>
        <v xml:space="preserve"> </v>
      </c>
      <c r="AM608" t="str">
        <f t="shared" si="416"/>
        <v xml:space="preserve"> </v>
      </c>
    </row>
    <row r="609" spans="1:39" x14ac:dyDescent="0.25">
      <c r="A609" t="str">
        <f>"AX240 5"</f>
        <v>AX240 5</v>
      </c>
      <c r="B609" t="str">
        <f>"COJINETES AXIALES 0,127 RENAULT 9 11 12 18 19 CLIO 1.3 1.4 1.6 8V"</f>
        <v>COJINETES AXIALES 0,127 RENAULT 9 11 12 18 19 CLIO 1.3 1.4 1.6 8V</v>
      </c>
      <c r="C609" t="str">
        <f>"$ 4471,24"</f>
        <v>$ 4471,24</v>
      </c>
      <c r="D609" t="str">
        <f>"$ 4471,24"</f>
        <v>$ 4471,24</v>
      </c>
      <c r="E609" t="str">
        <f>"$ 4471,24"</f>
        <v>$ 4471,24</v>
      </c>
      <c r="F609" t="str">
        <f>"$ 4471,24"</f>
        <v>$ 4471,24</v>
      </c>
      <c r="G609" t="str">
        <f>"$ 4471,24"</f>
        <v>$ 4471,24</v>
      </c>
      <c r="H609" t="str">
        <f t="shared" si="396"/>
        <v>$ 0,00</v>
      </c>
      <c r="I609" t="str">
        <f t="shared" si="421"/>
        <v>JUEGO AXIALES</v>
      </c>
      <c r="J609" t="str">
        <f t="shared" si="397"/>
        <v>1</v>
      </c>
      <c r="K609" t="str">
        <f t="shared" si="423"/>
        <v>0</v>
      </c>
      <c r="L609" t="str">
        <f>"14,000"</f>
        <v>14,000</v>
      </c>
      <c r="M609" t="str">
        <f t="shared" si="398"/>
        <v xml:space="preserve"> </v>
      </c>
      <c r="N609" t="str">
        <f t="shared" si="385"/>
        <v>MPSI</v>
      </c>
      <c r="O609" t="str">
        <f t="shared" si="386"/>
        <v>COJINETES</v>
      </c>
      <c r="P609" t="str">
        <f t="shared" si="424"/>
        <v>0</v>
      </c>
      <c r="Q609" t="str">
        <f t="shared" si="424"/>
        <v>0</v>
      </c>
      <c r="R609" t="str">
        <f t="shared" si="425"/>
        <v>0,00</v>
      </c>
      <c r="S609" t="str">
        <f t="shared" si="425"/>
        <v>0,00</v>
      </c>
      <c r="T609" t="str">
        <f t="shared" si="420"/>
        <v xml:space="preserve"> </v>
      </c>
      <c r="U609" t="str">
        <f t="shared" si="414"/>
        <v>-</v>
      </c>
      <c r="V609" t="str">
        <f>"14,000"</f>
        <v>14,000</v>
      </c>
      <c r="W609" t="str">
        <f t="shared" si="399"/>
        <v>Lista 4</v>
      </c>
      <c r="X609" t="str">
        <f t="shared" si="400"/>
        <v>Lista 5</v>
      </c>
      <c r="Y609" t="str">
        <f t="shared" si="401"/>
        <v>Oferta Gral.</v>
      </c>
      <c r="Z609" t="str">
        <f t="shared" si="402"/>
        <v>Rubro</v>
      </c>
      <c r="AA609" t="str">
        <f t="shared" si="403"/>
        <v>Cantidad por Bulto</v>
      </c>
      <c r="AB609" t="str">
        <f t="shared" si="404"/>
        <v>INNER</v>
      </c>
      <c r="AC609" t="str">
        <f t="shared" si="405"/>
        <v>Stock en Bultos</v>
      </c>
      <c r="AD609" t="str">
        <f t="shared" si="406"/>
        <v>SubDepósito</v>
      </c>
      <c r="AE609" t="str">
        <f t="shared" si="407"/>
        <v>Marca</v>
      </c>
      <c r="AF609" t="str">
        <f t="shared" si="408"/>
        <v>Super Rubro</v>
      </c>
      <c r="AG609" t="str">
        <f t="shared" si="409"/>
        <v>ComercioExterior</v>
      </c>
      <c r="AH609" t="str">
        <f t="shared" si="410"/>
        <v>PrecioFOB</v>
      </c>
      <c r="AI609" t="str">
        <f t="shared" si="411"/>
        <v>Monto II</v>
      </c>
      <c r="AJ609" t="str">
        <f t="shared" si="412"/>
        <v>Porcentaje II</v>
      </c>
      <c r="AK609" t="str">
        <f t="shared" si="413"/>
        <v>Foto</v>
      </c>
      <c r="AL609" t="str">
        <f t="shared" si="426"/>
        <v xml:space="preserve"> </v>
      </c>
      <c r="AM609" t="str">
        <f t="shared" si="416"/>
        <v xml:space="preserve"> </v>
      </c>
    </row>
    <row r="610" spans="1:39" x14ac:dyDescent="0.25">
      <c r="A610" t="str">
        <f>"AX381069 5"</f>
        <v>AX381069 5</v>
      </c>
      <c r="B610" t="str">
        <f>"COJINETES AXIALES 0,127 RENAULT KWID 1.0 3 CILINDROS"</f>
        <v>COJINETES AXIALES 0,127 RENAULT KWID 1.0 3 CILINDROS</v>
      </c>
      <c r="C610" t="str">
        <f>"$ 4649,30"</f>
        <v>$ 4649,30</v>
      </c>
      <c r="D610" t="str">
        <f>"$ 4649,30"</f>
        <v>$ 4649,30</v>
      </c>
      <c r="E610" t="str">
        <f>"$ 4649,30"</f>
        <v>$ 4649,30</v>
      </c>
      <c r="F610" t="str">
        <f>"$ 4649,30"</f>
        <v>$ 4649,30</v>
      </c>
      <c r="G610" t="str">
        <f>"$ 4649,30"</f>
        <v>$ 4649,30</v>
      </c>
      <c r="H610" t="str">
        <f t="shared" si="396"/>
        <v>$ 0,00</v>
      </c>
      <c r="I610" t="str">
        <f t="shared" si="421"/>
        <v>JUEGO AXIALES</v>
      </c>
      <c r="J610" t="str">
        <f t="shared" si="397"/>
        <v>1</v>
      </c>
      <c r="K610" t="str">
        <f t="shared" si="423"/>
        <v>0</v>
      </c>
      <c r="L610" t="str">
        <f>"0,000"</f>
        <v>0,000</v>
      </c>
      <c r="M610" t="str">
        <f t="shared" si="398"/>
        <v xml:space="preserve"> </v>
      </c>
      <c r="N610" t="str">
        <f t="shared" si="385"/>
        <v>MPSI</v>
      </c>
      <c r="O610" t="str">
        <f t="shared" si="386"/>
        <v>COJINETES</v>
      </c>
      <c r="P610" t="str">
        <f t="shared" si="424"/>
        <v>0</v>
      </c>
      <c r="Q610" t="str">
        <f t="shared" si="424"/>
        <v>0</v>
      </c>
      <c r="R610" t="str">
        <f t="shared" si="425"/>
        <v>0,00</v>
      </c>
      <c r="S610" t="str">
        <f t="shared" si="425"/>
        <v>0,00</v>
      </c>
      <c r="T610" t="str">
        <f t="shared" si="420"/>
        <v xml:space="preserve"> </v>
      </c>
      <c r="U610" t="str">
        <f t="shared" si="414"/>
        <v>-</v>
      </c>
      <c r="V610" t="str">
        <f>"0,000"</f>
        <v>0,000</v>
      </c>
      <c r="W610" t="str">
        <f t="shared" si="399"/>
        <v>Lista 4</v>
      </c>
      <c r="X610" t="str">
        <f t="shared" si="400"/>
        <v>Lista 5</v>
      </c>
      <c r="Y610" t="str">
        <f t="shared" si="401"/>
        <v>Oferta Gral.</v>
      </c>
      <c r="Z610" t="str">
        <f t="shared" si="402"/>
        <v>Rubro</v>
      </c>
      <c r="AA610" t="str">
        <f t="shared" si="403"/>
        <v>Cantidad por Bulto</v>
      </c>
      <c r="AB610" t="str">
        <f t="shared" si="404"/>
        <v>INNER</v>
      </c>
      <c r="AC610" t="str">
        <f t="shared" si="405"/>
        <v>Stock en Bultos</v>
      </c>
      <c r="AD610" t="str">
        <f t="shared" si="406"/>
        <v>SubDepósito</v>
      </c>
      <c r="AE610" t="str">
        <f t="shared" si="407"/>
        <v>Marca</v>
      </c>
      <c r="AF610" t="str">
        <f t="shared" si="408"/>
        <v>Super Rubro</v>
      </c>
      <c r="AG610" t="str">
        <f t="shared" si="409"/>
        <v>ComercioExterior</v>
      </c>
      <c r="AH610" t="str">
        <f t="shared" si="410"/>
        <v>PrecioFOB</v>
      </c>
      <c r="AI610" t="str">
        <f t="shared" si="411"/>
        <v>Monto II</v>
      </c>
      <c r="AJ610" t="str">
        <f t="shared" si="412"/>
        <v>Porcentaje II</v>
      </c>
      <c r="AK610" t="str">
        <f t="shared" si="413"/>
        <v>Foto</v>
      </c>
      <c r="AL610" t="str">
        <f t="shared" si="426"/>
        <v xml:space="preserve"> </v>
      </c>
      <c r="AM610" t="str">
        <f t="shared" si="416"/>
        <v xml:space="preserve"> </v>
      </c>
    </row>
    <row r="611" spans="1:39" x14ac:dyDescent="0.25">
      <c r="A611" t="str">
        <f>"AX869 5"</f>
        <v>AX869 5</v>
      </c>
      <c r="B611" t="str">
        <f>"COJINETES AXIALES 0,127 RENAULT MASTER 2.5 MOTOR G9U"</f>
        <v>COJINETES AXIALES 0,127 RENAULT MASTER 2.5 MOTOR G9U</v>
      </c>
      <c r="C611" t="str">
        <f>"$ 4728,44"</f>
        <v>$ 4728,44</v>
      </c>
      <c r="D611" t="str">
        <f>"$ 4728,44"</f>
        <v>$ 4728,44</v>
      </c>
      <c r="E611" t="str">
        <f>"$ 4728,44"</f>
        <v>$ 4728,44</v>
      </c>
      <c r="F611" t="str">
        <f>"$ 4728,44"</f>
        <v>$ 4728,44</v>
      </c>
      <c r="G611" t="str">
        <f>"$ 4728,44"</f>
        <v>$ 4728,44</v>
      </c>
      <c r="H611" t="str">
        <f t="shared" si="396"/>
        <v>$ 0,00</v>
      </c>
      <c r="I611" t="str">
        <f t="shared" si="421"/>
        <v>JUEGO AXIALES</v>
      </c>
      <c r="J611" t="str">
        <f t="shared" si="397"/>
        <v>1</v>
      </c>
      <c r="K611" t="str">
        <f t="shared" si="423"/>
        <v>0</v>
      </c>
      <c r="L611" t="str">
        <f>"0,000"</f>
        <v>0,000</v>
      </c>
      <c r="M611" t="str">
        <f t="shared" si="398"/>
        <v xml:space="preserve"> </v>
      </c>
      <c r="N611" t="str">
        <f t="shared" si="385"/>
        <v>MPSI</v>
      </c>
      <c r="O611" t="str">
        <f t="shared" si="386"/>
        <v>COJINETES</v>
      </c>
      <c r="P611" t="str">
        <f t="shared" si="424"/>
        <v>0</v>
      </c>
      <c r="Q611" t="str">
        <f t="shared" si="424"/>
        <v>0</v>
      </c>
      <c r="R611" t="str">
        <f t="shared" si="425"/>
        <v>0,00</v>
      </c>
      <c r="S611" t="str">
        <f t="shared" si="425"/>
        <v>0,00</v>
      </c>
      <c r="T611" t="str">
        <f t="shared" si="420"/>
        <v xml:space="preserve"> </v>
      </c>
      <c r="U611" t="str">
        <f t="shared" si="414"/>
        <v>-</v>
      </c>
      <c r="V611" t="str">
        <f>"0,000"</f>
        <v>0,000</v>
      </c>
      <c r="W611" t="str">
        <f t="shared" si="399"/>
        <v>Lista 4</v>
      </c>
      <c r="X611" t="str">
        <f t="shared" si="400"/>
        <v>Lista 5</v>
      </c>
      <c r="Y611" t="str">
        <f t="shared" si="401"/>
        <v>Oferta Gral.</v>
      </c>
      <c r="Z611" t="str">
        <f t="shared" si="402"/>
        <v>Rubro</v>
      </c>
      <c r="AA611" t="str">
        <f t="shared" si="403"/>
        <v>Cantidad por Bulto</v>
      </c>
      <c r="AB611" t="str">
        <f t="shared" si="404"/>
        <v>INNER</v>
      </c>
      <c r="AC611" t="str">
        <f t="shared" si="405"/>
        <v>Stock en Bultos</v>
      </c>
      <c r="AD611" t="str">
        <f t="shared" si="406"/>
        <v>SubDepósito</v>
      </c>
      <c r="AE611" t="str">
        <f t="shared" si="407"/>
        <v>Marca</v>
      </c>
      <c r="AF611" t="str">
        <f t="shared" si="408"/>
        <v>Super Rubro</v>
      </c>
      <c r="AG611" t="str">
        <f t="shared" si="409"/>
        <v>ComercioExterior</v>
      </c>
      <c r="AH611" t="str">
        <f t="shared" si="410"/>
        <v>PrecioFOB</v>
      </c>
      <c r="AI611" t="str">
        <f t="shared" si="411"/>
        <v>Monto II</v>
      </c>
      <c r="AJ611" t="str">
        <f t="shared" si="412"/>
        <v>Porcentaje II</v>
      </c>
      <c r="AK611" t="str">
        <f t="shared" si="413"/>
        <v>Foto</v>
      </c>
      <c r="AL611" t="str">
        <f t="shared" si="426"/>
        <v xml:space="preserve"> </v>
      </c>
      <c r="AM611" t="str">
        <f t="shared" si="416"/>
        <v xml:space="preserve"> </v>
      </c>
    </row>
    <row r="612" spans="1:39" x14ac:dyDescent="0.25">
      <c r="A612" t="str">
        <f>"AX442332 5"</f>
        <v>AX442332 5</v>
      </c>
      <c r="B612" t="str">
        <f>"COJINETES AXIALES 0,127 TOYOTA COROLLA YARIS 1.8 16V MOTOR 2ZR-FE"</f>
        <v>COJINETES AXIALES 0,127 TOYOTA COROLLA YARIS 1.8 16V MOTOR 2ZR-FE</v>
      </c>
      <c r="C612" t="str">
        <f>"$ 5796,79"</f>
        <v>$ 5796,79</v>
      </c>
      <c r="D612" t="str">
        <f>"$ 5796,79"</f>
        <v>$ 5796,79</v>
      </c>
      <c r="E612" t="str">
        <f>"$ 5796,79"</f>
        <v>$ 5796,79</v>
      </c>
      <c r="F612" t="str">
        <f>"$ 5796,79"</f>
        <v>$ 5796,79</v>
      </c>
      <c r="G612" t="str">
        <f>"$ 5796,79"</f>
        <v>$ 5796,79</v>
      </c>
      <c r="H612" t="str">
        <f t="shared" si="396"/>
        <v>$ 0,00</v>
      </c>
      <c r="I612" t="str">
        <f t="shared" si="421"/>
        <v>JUEGO AXIALES</v>
      </c>
      <c r="J612" t="str">
        <f t="shared" si="397"/>
        <v>1</v>
      </c>
      <c r="K612" t="str">
        <f t="shared" si="423"/>
        <v>0</v>
      </c>
      <c r="L612" t="str">
        <f>"0,000"</f>
        <v>0,000</v>
      </c>
      <c r="M612" t="str">
        <f t="shared" si="398"/>
        <v xml:space="preserve"> </v>
      </c>
      <c r="N612" t="str">
        <f t="shared" si="385"/>
        <v>MPSI</v>
      </c>
      <c r="O612" t="str">
        <f t="shared" si="386"/>
        <v>COJINETES</v>
      </c>
      <c r="P612" t="str">
        <f t="shared" si="424"/>
        <v>0</v>
      </c>
      <c r="Q612" t="str">
        <f t="shared" si="424"/>
        <v>0</v>
      </c>
      <c r="R612" t="str">
        <f t="shared" si="425"/>
        <v>0,00</v>
      </c>
      <c r="S612" t="str">
        <f t="shared" si="425"/>
        <v>0,00</v>
      </c>
      <c r="T612" t="str">
        <f t="shared" si="420"/>
        <v xml:space="preserve"> </v>
      </c>
      <c r="U612" t="str">
        <f t="shared" si="414"/>
        <v>-</v>
      </c>
      <c r="V612" t="str">
        <f>"0,000"</f>
        <v>0,000</v>
      </c>
      <c r="W612" t="str">
        <f t="shared" si="399"/>
        <v>Lista 4</v>
      </c>
      <c r="X612" t="str">
        <f t="shared" si="400"/>
        <v>Lista 5</v>
      </c>
      <c r="Y612" t="str">
        <f t="shared" si="401"/>
        <v>Oferta Gral.</v>
      </c>
      <c r="Z612" t="str">
        <f t="shared" si="402"/>
        <v>Rubro</v>
      </c>
      <c r="AA612" t="str">
        <f t="shared" si="403"/>
        <v>Cantidad por Bulto</v>
      </c>
      <c r="AB612" t="str">
        <f t="shared" si="404"/>
        <v>INNER</v>
      </c>
      <c r="AC612" t="str">
        <f t="shared" si="405"/>
        <v>Stock en Bultos</v>
      </c>
      <c r="AD612" t="str">
        <f t="shared" si="406"/>
        <v>SubDepósito</v>
      </c>
      <c r="AE612" t="str">
        <f t="shared" si="407"/>
        <v>Marca</v>
      </c>
      <c r="AF612" t="str">
        <f t="shared" si="408"/>
        <v>Super Rubro</v>
      </c>
      <c r="AG612" t="str">
        <f t="shared" si="409"/>
        <v>ComercioExterior</v>
      </c>
      <c r="AH612" t="str">
        <f t="shared" si="410"/>
        <v>PrecioFOB</v>
      </c>
      <c r="AI612" t="str">
        <f t="shared" si="411"/>
        <v>Monto II</v>
      </c>
      <c r="AJ612" t="str">
        <f t="shared" si="412"/>
        <v>Porcentaje II</v>
      </c>
      <c r="AK612" t="str">
        <f t="shared" si="413"/>
        <v>Foto</v>
      </c>
      <c r="AL612" t="str">
        <f t="shared" si="426"/>
        <v xml:space="preserve"> </v>
      </c>
      <c r="AM612" t="str">
        <f t="shared" si="416"/>
        <v xml:space="preserve"> </v>
      </c>
    </row>
    <row r="613" spans="1:39" x14ac:dyDescent="0.25">
      <c r="A613" t="str">
        <f>"AX442107 5"</f>
        <v>AX442107 5</v>
      </c>
      <c r="B613" t="str">
        <f>"COJINETES AXIALES 0,127 TOYOTA ETIOS YARIS 1.5 16V"</f>
        <v>COJINETES AXIALES 0,127 TOYOTA ETIOS YARIS 1.5 16V</v>
      </c>
      <c r="C613" t="str">
        <f>"$ 5044,98"</f>
        <v>$ 5044,98</v>
      </c>
      <c r="D613" t="str">
        <f>"$ 5044,98"</f>
        <v>$ 5044,98</v>
      </c>
      <c r="E613" t="str">
        <f>"$ 5044,98"</f>
        <v>$ 5044,98</v>
      </c>
      <c r="F613" t="str">
        <f>"$ 5044,98"</f>
        <v>$ 5044,98</v>
      </c>
      <c r="G613" t="str">
        <f>"$ 5044,98"</f>
        <v>$ 5044,98</v>
      </c>
      <c r="H613" t="str">
        <f t="shared" si="396"/>
        <v>$ 0,00</v>
      </c>
      <c r="I613" t="str">
        <f t="shared" si="421"/>
        <v>JUEGO AXIALES</v>
      </c>
      <c r="J613" t="str">
        <f t="shared" si="397"/>
        <v>1</v>
      </c>
      <c r="K613" t="str">
        <f t="shared" si="423"/>
        <v>0</v>
      </c>
      <c r="L613" t="str">
        <f>"0,000"</f>
        <v>0,000</v>
      </c>
      <c r="M613" t="str">
        <f t="shared" si="398"/>
        <v xml:space="preserve"> </v>
      </c>
      <c r="N613" t="str">
        <f t="shared" ref="N613:N676" si="427">"MPSI"</f>
        <v>MPSI</v>
      </c>
      <c r="O613" t="str">
        <f t="shared" ref="O613:O676" si="428">"COJINETES"</f>
        <v>COJINETES</v>
      </c>
      <c r="P613" t="str">
        <f t="shared" si="424"/>
        <v>0</v>
      </c>
      <c r="Q613" t="str">
        <f t="shared" si="424"/>
        <v>0</v>
      </c>
      <c r="R613" t="str">
        <f t="shared" si="425"/>
        <v>0,00</v>
      </c>
      <c r="S613" t="str">
        <f t="shared" si="425"/>
        <v>0,00</v>
      </c>
      <c r="T613" t="str">
        <f t="shared" si="420"/>
        <v xml:space="preserve"> </v>
      </c>
      <c r="U613" t="str">
        <f t="shared" ref="U613:U641" si="429">"-"</f>
        <v>-</v>
      </c>
      <c r="V613" t="str">
        <f>"0,000"</f>
        <v>0,000</v>
      </c>
      <c r="W613" t="str">
        <f t="shared" si="399"/>
        <v>Lista 4</v>
      </c>
      <c r="X613" t="str">
        <f t="shared" si="400"/>
        <v>Lista 5</v>
      </c>
      <c r="Y613" t="str">
        <f t="shared" si="401"/>
        <v>Oferta Gral.</v>
      </c>
      <c r="Z613" t="str">
        <f t="shared" si="402"/>
        <v>Rubro</v>
      </c>
      <c r="AA613" t="str">
        <f t="shared" si="403"/>
        <v>Cantidad por Bulto</v>
      </c>
      <c r="AB613" t="str">
        <f t="shared" si="404"/>
        <v>INNER</v>
      </c>
      <c r="AC613" t="str">
        <f t="shared" si="405"/>
        <v>Stock en Bultos</v>
      </c>
      <c r="AD613" t="str">
        <f t="shared" si="406"/>
        <v>SubDepósito</v>
      </c>
      <c r="AE613" t="str">
        <f t="shared" si="407"/>
        <v>Marca</v>
      </c>
      <c r="AF613" t="str">
        <f t="shared" si="408"/>
        <v>Super Rubro</v>
      </c>
      <c r="AG613" t="str">
        <f t="shared" si="409"/>
        <v>ComercioExterior</v>
      </c>
      <c r="AH613" t="str">
        <f t="shared" si="410"/>
        <v>PrecioFOB</v>
      </c>
      <c r="AI613" t="str">
        <f t="shared" si="411"/>
        <v>Monto II</v>
      </c>
      <c r="AJ613" t="str">
        <f t="shared" si="412"/>
        <v>Porcentaje II</v>
      </c>
      <c r="AK613" t="str">
        <f t="shared" si="413"/>
        <v>Foto</v>
      </c>
      <c r="AL613" t="str">
        <f t="shared" si="426"/>
        <v xml:space="preserve"> </v>
      </c>
      <c r="AM613" t="str">
        <f t="shared" ref="AM613:AM649" si="430">" "</f>
        <v xml:space="preserve"> </v>
      </c>
    </row>
    <row r="614" spans="1:39" x14ac:dyDescent="0.25">
      <c r="A614" t="str">
        <f>"AX748 5"</f>
        <v>AX748 5</v>
      </c>
      <c r="B614" t="str">
        <f>"COJINETES AXIALES 0,127 TOYOTA HILUX 2.8 L DIESEL MOTOR 3L"</f>
        <v>COJINETES AXIALES 0,127 TOYOTA HILUX 2.8 L DIESEL MOTOR 3L</v>
      </c>
      <c r="C614" t="str">
        <f>"$ 7775,21"</f>
        <v>$ 7775,21</v>
      </c>
      <c r="D614" t="str">
        <f>"$ 7775,21"</f>
        <v>$ 7775,21</v>
      </c>
      <c r="E614" t="str">
        <f>"$ 7775,21"</f>
        <v>$ 7775,21</v>
      </c>
      <c r="F614" t="str">
        <f>"$ 7775,21"</f>
        <v>$ 7775,21</v>
      </c>
      <c r="G614" t="str">
        <f>"$ 7775,21"</f>
        <v>$ 7775,21</v>
      </c>
      <c r="H614" t="str">
        <f t="shared" si="396"/>
        <v>$ 0,00</v>
      </c>
      <c r="I614" t="str">
        <f t="shared" si="421"/>
        <v>JUEGO AXIALES</v>
      </c>
      <c r="J614" t="str">
        <f t="shared" si="397"/>
        <v>1</v>
      </c>
      <c r="K614" t="str">
        <f t="shared" si="423"/>
        <v>0</v>
      </c>
      <c r="L614" t="str">
        <f>"0,000"</f>
        <v>0,000</v>
      </c>
      <c r="M614" t="str">
        <f t="shared" si="398"/>
        <v xml:space="preserve"> </v>
      </c>
      <c r="N614" t="str">
        <f t="shared" si="427"/>
        <v>MPSI</v>
      </c>
      <c r="O614" t="str">
        <f t="shared" si="428"/>
        <v>COJINETES</v>
      </c>
      <c r="P614" t="str">
        <f t="shared" si="424"/>
        <v>0</v>
      </c>
      <c r="Q614" t="str">
        <f t="shared" si="424"/>
        <v>0</v>
      </c>
      <c r="R614" t="str">
        <f t="shared" si="425"/>
        <v>0,00</v>
      </c>
      <c r="S614" t="str">
        <f t="shared" si="425"/>
        <v>0,00</v>
      </c>
      <c r="T614" t="str">
        <f t="shared" si="420"/>
        <v xml:space="preserve"> </v>
      </c>
      <c r="U614" t="str">
        <f t="shared" si="429"/>
        <v>-</v>
      </c>
      <c r="V614" t="str">
        <f>"0,000"</f>
        <v>0,000</v>
      </c>
      <c r="W614" t="str">
        <f t="shared" si="399"/>
        <v>Lista 4</v>
      </c>
      <c r="X614" t="str">
        <f t="shared" si="400"/>
        <v>Lista 5</v>
      </c>
      <c r="Y614" t="str">
        <f t="shared" si="401"/>
        <v>Oferta Gral.</v>
      </c>
      <c r="Z614" t="str">
        <f t="shared" si="402"/>
        <v>Rubro</v>
      </c>
      <c r="AA614" t="str">
        <f t="shared" si="403"/>
        <v>Cantidad por Bulto</v>
      </c>
      <c r="AB614" t="str">
        <f t="shared" si="404"/>
        <v>INNER</v>
      </c>
      <c r="AC614" t="str">
        <f t="shared" si="405"/>
        <v>Stock en Bultos</v>
      </c>
      <c r="AD614" t="str">
        <f t="shared" si="406"/>
        <v>SubDepósito</v>
      </c>
      <c r="AE614" t="str">
        <f t="shared" si="407"/>
        <v>Marca</v>
      </c>
      <c r="AF614" t="str">
        <f t="shared" si="408"/>
        <v>Super Rubro</v>
      </c>
      <c r="AG614" t="str">
        <f t="shared" si="409"/>
        <v>ComercioExterior</v>
      </c>
      <c r="AH614" t="str">
        <f t="shared" si="410"/>
        <v>PrecioFOB</v>
      </c>
      <c r="AI614" t="str">
        <f t="shared" si="411"/>
        <v>Monto II</v>
      </c>
      <c r="AJ614" t="str">
        <f t="shared" si="412"/>
        <v>Porcentaje II</v>
      </c>
      <c r="AK614" t="str">
        <f t="shared" si="413"/>
        <v>Foto</v>
      </c>
      <c r="AL614" t="str">
        <f t="shared" si="426"/>
        <v xml:space="preserve"> </v>
      </c>
      <c r="AM614" t="str">
        <f t="shared" si="430"/>
        <v xml:space="preserve"> </v>
      </c>
    </row>
    <row r="615" spans="1:39" x14ac:dyDescent="0.25">
      <c r="A615" t="str">
        <f>"AX837 5"</f>
        <v>AX837 5</v>
      </c>
      <c r="B615" t="str">
        <f>"COJINETES AXIALES 0,127 TOYOTA HILUX 3.0 MOTOR D4D 1KD"</f>
        <v>COJINETES AXIALES 0,127 TOYOTA HILUX 3.0 MOTOR D4D 1KD</v>
      </c>
      <c r="C615" t="str">
        <f>"$ 8348,95"</f>
        <v>$ 8348,95</v>
      </c>
      <c r="D615" t="str">
        <f>"$ 8348,95"</f>
        <v>$ 8348,95</v>
      </c>
      <c r="E615" t="str">
        <f>"$ 8348,95"</f>
        <v>$ 8348,95</v>
      </c>
      <c r="F615" t="str">
        <f>"$ 8348,95"</f>
        <v>$ 8348,95</v>
      </c>
      <c r="G615" t="str">
        <f>"$ 8348,95"</f>
        <v>$ 8348,95</v>
      </c>
      <c r="H615" t="str">
        <f t="shared" si="396"/>
        <v>$ 0,00</v>
      </c>
      <c r="I615" t="str">
        <f t="shared" si="421"/>
        <v>JUEGO AXIALES</v>
      </c>
      <c r="J615" t="str">
        <f t="shared" si="397"/>
        <v>1</v>
      </c>
      <c r="K615" t="str">
        <f t="shared" si="423"/>
        <v>0</v>
      </c>
      <c r="L615" t="str">
        <f>"6,000"</f>
        <v>6,000</v>
      </c>
      <c r="M615" t="str">
        <f t="shared" si="398"/>
        <v xml:space="preserve"> </v>
      </c>
      <c r="N615" t="str">
        <f t="shared" si="427"/>
        <v>MPSI</v>
      </c>
      <c r="O615" t="str">
        <f t="shared" si="428"/>
        <v>COJINETES</v>
      </c>
      <c r="P615" t="str">
        <f t="shared" si="424"/>
        <v>0</v>
      </c>
      <c r="Q615" t="str">
        <f t="shared" si="424"/>
        <v>0</v>
      </c>
      <c r="R615" t="str">
        <f t="shared" si="425"/>
        <v>0,00</v>
      </c>
      <c r="S615" t="str">
        <f t="shared" si="425"/>
        <v>0,00</v>
      </c>
      <c r="T615" t="str">
        <f t="shared" si="420"/>
        <v xml:space="preserve"> </v>
      </c>
      <c r="U615" t="str">
        <f t="shared" si="429"/>
        <v>-</v>
      </c>
      <c r="V615" t="str">
        <f>"6,000"</f>
        <v>6,000</v>
      </c>
      <c r="W615" t="str">
        <f t="shared" si="399"/>
        <v>Lista 4</v>
      </c>
      <c r="X615" t="str">
        <f t="shared" si="400"/>
        <v>Lista 5</v>
      </c>
      <c r="Y615" t="str">
        <f t="shared" si="401"/>
        <v>Oferta Gral.</v>
      </c>
      <c r="Z615" t="str">
        <f t="shared" si="402"/>
        <v>Rubro</v>
      </c>
      <c r="AA615" t="str">
        <f t="shared" si="403"/>
        <v>Cantidad por Bulto</v>
      </c>
      <c r="AB615" t="str">
        <f t="shared" si="404"/>
        <v>INNER</v>
      </c>
      <c r="AC615" t="str">
        <f t="shared" si="405"/>
        <v>Stock en Bultos</v>
      </c>
      <c r="AD615" t="str">
        <f t="shared" si="406"/>
        <v>SubDepósito</v>
      </c>
      <c r="AE615" t="str">
        <f t="shared" si="407"/>
        <v>Marca</v>
      </c>
      <c r="AF615" t="str">
        <f t="shared" si="408"/>
        <v>Super Rubro</v>
      </c>
      <c r="AG615" t="str">
        <f t="shared" si="409"/>
        <v>ComercioExterior</v>
      </c>
      <c r="AH615" t="str">
        <f t="shared" si="410"/>
        <v>PrecioFOB</v>
      </c>
      <c r="AI615" t="str">
        <f t="shared" si="411"/>
        <v>Monto II</v>
      </c>
      <c r="AJ615" t="str">
        <f t="shared" si="412"/>
        <v>Porcentaje II</v>
      </c>
      <c r="AK615" t="str">
        <f t="shared" si="413"/>
        <v>Foto</v>
      </c>
      <c r="AL615" t="str">
        <f t="shared" si="426"/>
        <v xml:space="preserve"> </v>
      </c>
      <c r="AM615" t="str">
        <f t="shared" si="430"/>
        <v xml:space="preserve"> </v>
      </c>
    </row>
    <row r="616" spans="1:39" x14ac:dyDescent="0.25">
      <c r="A616" t="str">
        <f>"AX462537 10"</f>
        <v>AX462537 10</v>
      </c>
      <c r="B616" t="str">
        <f>"COJINETES AXIALES 0,254 AMAROK 2.0 TDI"</f>
        <v>COJINETES AXIALES 0,254 AMAROK 2.0 TDI</v>
      </c>
      <c r="C616" t="str">
        <f>"$ 7854,35"</f>
        <v>$ 7854,35</v>
      </c>
      <c r="D616" t="str">
        <f>"$ 7854,35"</f>
        <v>$ 7854,35</v>
      </c>
      <c r="E616" t="str">
        <f>"$ 7854,35"</f>
        <v>$ 7854,35</v>
      </c>
      <c r="F616" t="str">
        <f>"$ 7854,35"</f>
        <v>$ 7854,35</v>
      </c>
      <c r="G616" t="str">
        <f>"$ 7854,35"</f>
        <v>$ 7854,35</v>
      </c>
      <c r="H616" t="str">
        <f t="shared" si="396"/>
        <v>$ 0,00</v>
      </c>
      <c r="I616" t="str">
        <f t="shared" si="421"/>
        <v>JUEGO AXIALES</v>
      </c>
      <c r="J616" t="str">
        <f t="shared" si="397"/>
        <v>1</v>
      </c>
      <c r="K616" t="str">
        <f t="shared" si="423"/>
        <v>0</v>
      </c>
      <c r="L616" t="str">
        <f>"0,000"</f>
        <v>0,000</v>
      </c>
      <c r="M616" t="str">
        <f t="shared" si="398"/>
        <v xml:space="preserve"> </v>
      </c>
      <c r="N616" t="str">
        <f t="shared" si="427"/>
        <v>MPSI</v>
      </c>
      <c r="O616" t="str">
        <f t="shared" si="428"/>
        <v>COJINETES</v>
      </c>
      <c r="P616" t="str">
        <f t="shared" si="424"/>
        <v>0</v>
      </c>
      <c r="Q616" t="str">
        <f t="shared" si="424"/>
        <v>0</v>
      </c>
      <c r="R616" t="str">
        <f t="shared" si="425"/>
        <v>0,00</v>
      </c>
      <c r="S616" t="str">
        <f t="shared" si="425"/>
        <v>0,00</v>
      </c>
      <c r="T616" t="str">
        <f t="shared" si="420"/>
        <v xml:space="preserve"> </v>
      </c>
      <c r="U616" t="str">
        <f t="shared" si="429"/>
        <v>-</v>
      </c>
      <c r="V616" t="str">
        <f>"0,000"</f>
        <v>0,000</v>
      </c>
      <c r="W616" t="str">
        <f t="shared" si="399"/>
        <v>Lista 4</v>
      </c>
      <c r="X616" t="str">
        <f t="shared" si="400"/>
        <v>Lista 5</v>
      </c>
      <c r="Y616" t="str">
        <f t="shared" si="401"/>
        <v>Oferta Gral.</v>
      </c>
      <c r="Z616" t="str">
        <f t="shared" si="402"/>
        <v>Rubro</v>
      </c>
      <c r="AA616" t="str">
        <f t="shared" si="403"/>
        <v>Cantidad por Bulto</v>
      </c>
      <c r="AB616" t="str">
        <f t="shared" si="404"/>
        <v>INNER</v>
      </c>
      <c r="AC616" t="str">
        <f t="shared" si="405"/>
        <v>Stock en Bultos</v>
      </c>
      <c r="AD616" t="str">
        <f t="shared" si="406"/>
        <v>SubDepósito</v>
      </c>
      <c r="AE616" t="str">
        <f t="shared" si="407"/>
        <v>Marca</v>
      </c>
      <c r="AF616" t="str">
        <f t="shared" si="408"/>
        <v>Super Rubro</v>
      </c>
      <c r="AG616" t="str">
        <f t="shared" si="409"/>
        <v>ComercioExterior</v>
      </c>
      <c r="AH616" t="str">
        <f t="shared" si="410"/>
        <v>PrecioFOB</v>
      </c>
      <c r="AI616" t="str">
        <f t="shared" si="411"/>
        <v>Monto II</v>
      </c>
      <c r="AJ616" t="str">
        <f t="shared" si="412"/>
        <v>Porcentaje II</v>
      </c>
      <c r="AK616" t="str">
        <f t="shared" si="413"/>
        <v>Foto</v>
      </c>
      <c r="AL6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16" t="str">
        <f t="shared" si="430"/>
        <v xml:space="preserve"> </v>
      </c>
    </row>
    <row r="617" spans="1:39" x14ac:dyDescent="0.25">
      <c r="A617" t="str">
        <f>"AX580 10"</f>
        <v>AX580 10</v>
      </c>
      <c r="B617" t="str">
        <f>"COJINETES AXIALES 0,254 DAEWOO TICO MATIZ MOTOR 3 CILINDROS F8CB F8CV"</f>
        <v>COJINETES AXIALES 0,254 DAEWOO TICO MATIZ MOTOR 3 CILINDROS F8CB F8CV</v>
      </c>
      <c r="C617" t="str">
        <f t="shared" ref="C617:G618" si="431">"$ 4471,24"</f>
        <v>$ 4471,24</v>
      </c>
      <c r="D617" t="str">
        <f t="shared" si="431"/>
        <v>$ 4471,24</v>
      </c>
      <c r="E617" t="str">
        <f t="shared" si="431"/>
        <v>$ 4471,24</v>
      </c>
      <c r="F617" t="str">
        <f t="shared" si="431"/>
        <v>$ 4471,24</v>
      </c>
      <c r="G617" t="str">
        <f t="shared" si="431"/>
        <v>$ 4471,24</v>
      </c>
      <c r="H617" t="str">
        <f t="shared" si="396"/>
        <v>$ 0,00</v>
      </c>
      <c r="I617" t="str">
        <f t="shared" si="421"/>
        <v>JUEGO AXIALES</v>
      </c>
      <c r="J617" t="str">
        <f t="shared" si="397"/>
        <v>1</v>
      </c>
      <c r="K617" t="str">
        <f t="shared" si="423"/>
        <v>0</v>
      </c>
      <c r="L617" t="str">
        <f>"0,000"</f>
        <v>0,000</v>
      </c>
      <c r="M617" t="str">
        <f t="shared" si="398"/>
        <v xml:space="preserve"> </v>
      </c>
      <c r="N617" t="str">
        <f t="shared" si="427"/>
        <v>MPSI</v>
      </c>
      <c r="O617" t="str">
        <f t="shared" si="428"/>
        <v>COJINETES</v>
      </c>
      <c r="P617" t="str">
        <f t="shared" si="424"/>
        <v>0</v>
      </c>
      <c r="Q617" t="str">
        <f t="shared" si="424"/>
        <v>0</v>
      </c>
      <c r="R617" t="str">
        <f t="shared" si="425"/>
        <v>0,00</v>
      </c>
      <c r="S617" t="str">
        <f t="shared" si="425"/>
        <v>0,00</v>
      </c>
      <c r="T617" t="str">
        <f t="shared" si="420"/>
        <v xml:space="preserve"> </v>
      </c>
      <c r="U617" t="str">
        <f t="shared" si="429"/>
        <v>-</v>
      </c>
      <c r="V617" t="str">
        <f>"0,000"</f>
        <v>0,000</v>
      </c>
      <c r="W617" t="str">
        <f t="shared" si="399"/>
        <v>Lista 4</v>
      </c>
      <c r="X617" t="str">
        <f t="shared" si="400"/>
        <v>Lista 5</v>
      </c>
      <c r="Y617" t="str">
        <f t="shared" si="401"/>
        <v>Oferta Gral.</v>
      </c>
      <c r="Z617" t="str">
        <f t="shared" si="402"/>
        <v>Rubro</v>
      </c>
      <c r="AA617" t="str">
        <f t="shared" si="403"/>
        <v>Cantidad por Bulto</v>
      </c>
      <c r="AB617" t="str">
        <f t="shared" si="404"/>
        <v>INNER</v>
      </c>
      <c r="AC617" t="str">
        <f t="shared" si="405"/>
        <v>Stock en Bultos</v>
      </c>
      <c r="AD617" t="str">
        <f t="shared" si="406"/>
        <v>SubDepósito</v>
      </c>
      <c r="AE617" t="str">
        <f t="shared" si="407"/>
        <v>Marca</v>
      </c>
      <c r="AF617" t="str">
        <f t="shared" si="408"/>
        <v>Super Rubro</v>
      </c>
      <c r="AG617" t="str">
        <f t="shared" si="409"/>
        <v>ComercioExterior</v>
      </c>
      <c r="AH617" t="str">
        <f t="shared" si="410"/>
        <v>PrecioFOB</v>
      </c>
      <c r="AI617" t="str">
        <f t="shared" si="411"/>
        <v>Monto II</v>
      </c>
      <c r="AJ617" t="str">
        <f t="shared" si="412"/>
        <v>Porcentaje II</v>
      </c>
      <c r="AK617" t="str">
        <f t="shared" si="413"/>
        <v>Foto</v>
      </c>
      <c r="AL617" t="str">
        <f>" "</f>
        <v xml:space="preserve"> </v>
      </c>
      <c r="AM617" t="str">
        <f t="shared" si="430"/>
        <v xml:space="preserve"> </v>
      </c>
    </row>
    <row r="618" spans="1:39" x14ac:dyDescent="0.25">
      <c r="A618" t="str">
        <f>"AX131358 10"</f>
        <v>AX131358 10</v>
      </c>
      <c r="B618" t="str">
        <f>"COJINETES AXIALES 0,254 FIAT ARGO CRONOS 1.3 FIREFLY 8V"</f>
        <v>COJINETES AXIALES 0,254 FIAT ARGO CRONOS 1.3 FIREFLY 8V</v>
      </c>
      <c r="C618" t="str">
        <f t="shared" si="431"/>
        <v>$ 4471,24</v>
      </c>
      <c r="D618" t="str">
        <f t="shared" si="431"/>
        <v>$ 4471,24</v>
      </c>
      <c r="E618" t="str">
        <f t="shared" si="431"/>
        <v>$ 4471,24</v>
      </c>
      <c r="F618" t="str">
        <f t="shared" si="431"/>
        <v>$ 4471,24</v>
      </c>
      <c r="G618" t="str">
        <f t="shared" si="431"/>
        <v>$ 4471,24</v>
      </c>
      <c r="H618" t="str">
        <f t="shared" si="396"/>
        <v>$ 0,00</v>
      </c>
      <c r="I618" t="str">
        <f t="shared" si="421"/>
        <v>JUEGO AXIALES</v>
      </c>
      <c r="J618" t="str">
        <f t="shared" si="397"/>
        <v>1</v>
      </c>
      <c r="K618" t="str">
        <f t="shared" si="423"/>
        <v>0</v>
      </c>
      <c r="L618" t="str">
        <f>"0,000"</f>
        <v>0,000</v>
      </c>
      <c r="M618" t="str">
        <f t="shared" si="398"/>
        <v xml:space="preserve"> </v>
      </c>
      <c r="N618" t="str">
        <f t="shared" si="427"/>
        <v>MPSI</v>
      </c>
      <c r="O618" t="str">
        <f t="shared" si="428"/>
        <v>COJINETES</v>
      </c>
      <c r="P618" t="str">
        <f t="shared" si="424"/>
        <v>0</v>
      </c>
      <c r="Q618" t="str">
        <f t="shared" si="424"/>
        <v>0</v>
      </c>
      <c r="R618" t="str">
        <f t="shared" si="425"/>
        <v>0,00</v>
      </c>
      <c r="S618" t="str">
        <f t="shared" si="425"/>
        <v>0,00</v>
      </c>
      <c r="T618" t="str">
        <f t="shared" si="420"/>
        <v xml:space="preserve"> </v>
      </c>
      <c r="U618" t="str">
        <f t="shared" si="429"/>
        <v>-</v>
      </c>
      <c r="V618" t="str">
        <f>"0,000"</f>
        <v>0,000</v>
      </c>
      <c r="W618" t="str">
        <f t="shared" si="399"/>
        <v>Lista 4</v>
      </c>
      <c r="X618" t="str">
        <f t="shared" si="400"/>
        <v>Lista 5</v>
      </c>
      <c r="Y618" t="str">
        <f t="shared" si="401"/>
        <v>Oferta Gral.</v>
      </c>
      <c r="Z618" t="str">
        <f t="shared" si="402"/>
        <v>Rubro</v>
      </c>
      <c r="AA618" t="str">
        <f t="shared" si="403"/>
        <v>Cantidad por Bulto</v>
      </c>
      <c r="AB618" t="str">
        <f t="shared" si="404"/>
        <v>INNER</v>
      </c>
      <c r="AC618" t="str">
        <f t="shared" si="405"/>
        <v>Stock en Bultos</v>
      </c>
      <c r="AD618" t="str">
        <f t="shared" si="406"/>
        <v>SubDepósito</v>
      </c>
      <c r="AE618" t="str">
        <f t="shared" si="407"/>
        <v>Marca</v>
      </c>
      <c r="AF618" t="str">
        <f t="shared" si="408"/>
        <v>Super Rubro</v>
      </c>
      <c r="AG618" t="str">
        <f t="shared" si="409"/>
        <v>ComercioExterior</v>
      </c>
      <c r="AH618" t="str">
        <f t="shared" si="410"/>
        <v>PrecioFOB</v>
      </c>
      <c r="AI618" t="str">
        <f t="shared" si="411"/>
        <v>Monto II</v>
      </c>
      <c r="AJ618" t="str">
        <f t="shared" si="412"/>
        <v>Porcentaje II</v>
      </c>
      <c r="AK618" t="str">
        <f t="shared" si="413"/>
        <v>Foto</v>
      </c>
      <c r="AL61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18" t="str">
        <f t="shared" si="430"/>
        <v xml:space="preserve"> </v>
      </c>
    </row>
    <row r="619" spans="1:39" x14ac:dyDescent="0.25">
      <c r="A619" t="str">
        <f>"AX131378 10"</f>
        <v>AX131378 10</v>
      </c>
      <c r="B619" t="str">
        <f>"COJINETES AXIALES 0,254 FIAT TORO MULTIJET 2.0 16 V 170 CV DIESEL"</f>
        <v>COJINETES AXIALES 0,254 FIAT TORO MULTIJET 2.0 16 V 170 CV DIESEL</v>
      </c>
      <c r="C619" t="str">
        <f>"$ 4847,14"</f>
        <v>$ 4847,14</v>
      </c>
      <c r="D619" t="str">
        <f>"$ 4847,14"</f>
        <v>$ 4847,14</v>
      </c>
      <c r="E619" t="str">
        <f>"$ 4847,14"</f>
        <v>$ 4847,14</v>
      </c>
      <c r="F619" t="str">
        <f>"$ 4847,14"</f>
        <v>$ 4847,14</v>
      </c>
      <c r="G619" t="str">
        <f>"$ 4847,14"</f>
        <v>$ 4847,14</v>
      </c>
      <c r="H619" t="str">
        <f t="shared" si="396"/>
        <v>$ 0,00</v>
      </c>
      <c r="I619" t="str">
        <f t="shared" si="421"/>
        <v>JUEGO AXIALES</v>
      </c>
      <c r="J619" t="str">
        <f t="shared" si="397"/>
        <v>1</v>
      </c>
      <c r="K619" t="str">
        <f t="shared" si="423"/>
        <v>0</v>
      </c>
      <c r="L619" t="str">
        <f>"0,000"</f>
        <v>0,000</v>
      </c>
      <c r="M619" t="str">
        <f t="shared" si="398"/>
        <v xml:space="preserve"> </v>
      </c>
      <c r="N619" t="str">
        <f t="shared" si="427"/>
        <v>MPSI</v>
      </c>
      <c r="O619" t="str">
        <f t="shared" si="428"/>
        <v>COJINETES</v>
      </c>
      <c r="P619" t="str">
        <f t="shared" si="424"/>
        <v>0</v>
      </c>
      <c r="Q619" t="str">
        <f t="shared" si="424"/>
        <v>0</v>
      </c>
      <c r="R619" t="str">
        <f t="shared" si="425"/>
        <v>0,00</v>
      </c>
      <c r="S619" t="str">
        <f t="shared" si="425"/>
        <v>0,00</v>
      </c>
      <c r="T619" t="str">
        <f t="shared" si="420"/>
        <v xml:space="preserve"> </v>
      </c>
      <c r="U619" t="str">
        <f t="shared" si="429"/>
        <v>-</v>
      </c>
      <c r="V619" t="str">
        <f>"0,000"</f>
        <v>0,000</v>
      </c>
      <c r="W619" t="str">
        <f t="shared" si="399"/>
        <v>Lista 4</v>
      </c>
      <c r="X619" t="str">
        <f t="shared" si="400"/>
        <v>Lista 5</v>
      </c>
      <c r="Y619" t="str">
        <f t="shared" si="401"/>
        <v>Oferta Gral.</v>
      </c>
      <c r="Z619" t="str">
        <f t="shared" si="402"/>
        <v>Rubro</v>
      </c>
      <c r="AA619" t="str">
        <f t="shared" si="403"/>
        <v>Cantidad por Bulto</v>
      </c>
      <c r="AB619" t="str">
        <f t="shared" si="404"/>
        <v>INNER</v>
      </c>
      <c r="AC619" t="str">
        <f t="shared" si="405"/>
        <v>Stock en Bultos</v>
      </c>
      <c r="AD619" t="str">
        <f t="shared" si="406"/>
        <v>SubDepósito</v>
      </c>
      <c r="AE619" t="str">
        <f t="shared" si="407"/>
        <v>Marca</v>
      </c>
      <c r="AF619" t="str">
        <f t="shared" si="408"/>
        <v>Super Rubro</v>
      </c>
      <c r="AG619" t="str">
        <f t="shared" si="409"/>
        <v>ComercioExterior</v>
      </c>
      <c r="AH619" t="str">
        <f t="shared" si="410"/>
        <v>PrecioFOB</v>
      </c>
      <c r="AI619" t="str">
        <f t="shared" si="411"/>
        <v>Monto II</v>
      </c>
      <c r="AJ619" t="str">
        <f t="shared" si="412"/>
        <v>Porcentaje II</v>
      </c>
      <c r="AK619" t="str">
        <f t="shared" si="413"/>
        <v>Foto</v>
      </c>
      <c r="AL619" t="str">
        <f>" "</f>
        <v xml:space="preserve"> </v>
      </c>
      <c r="AM619" t="str">
        <f t="shared" si="430"/>
        <v xml:space="preserve"> </v>
      </c>
    </row>
    <row r="620" spans="1:39" x14ac:dyDescent="0.25">
      <c r="A620" t="str">
        <f>"AX538 10"</f>
        <v>AX538 10</v>
      </c>
      <c r="B620" t="str">
        <f>"COJINETES AXIALES 0,254 HONDA 1600 MOTOR D16A1 D16A6 D16Y7 D16Y8"</f>
        <v>COJINETES AXIALES 0,254 HONDA 1600 MOTOR D16A1 D16A6 D16Y7 D16Y8</v>
      </c>
      <c r="C620" t="str">
        <f>"$ 4787,79"</f>
        <v>$ 4787,79</v>
      </c>
      <c r="D620" t="str">
        <f>"$ 4787,79"</f>
        <v>$ 4787,79</v>
      </c>
      <c r="E620" t="str">
        <f>"$ 4787,79"</f>
        <v>$ 4787,79</v>
      </c>
      <c r="F620" t="str">
        <f>"$ 4787,79"</f>
        <v>$ 4787,79</v>
      </c>
      <c r="G620" t="str">
        <f>"$ 4787,79"</f>
        <v>$ 4787,79</v>
      </c>
      <c r="H620" t="str">
        <f t="shared" si="396"/>
        <v>$ 0,00</v>
      </c>
      <c r="I620" t="str">
        <f t="shared" si="421"/>
        <v>JUEGO AXIALES</v>
      </c>
      <c r="J620" t="str">
        <f t="shared" si="397"/>
        <v>1</v>
      </c>
      <c r="K620" t="str">
        <f t="shared" si="423"/>
        <v>0</v>
      </c>
      <c r="L620" t="str">
        <f>"0,000"</f>
        <v>0,000</v>
      </c>
      <c r="M620" t="str">
        <f t="shared" si="398"/>
        <v xml:space="preserve"> </v>
      </c>
      <c r="N620" t="str">
        <f t="shared" si="427"/>
        <v>MPSI</v>
      </c>
      <c r="O620" t="str">
        <f t="shared" si="428"/>
        <v>COJINETES</v>
      </c>
      <c r="P620" t="str">
        <f t="shared" si="424"/>
        <v>0</v>
      </c>
      <c r="Q620" t="str">
        <f t="shared" si="424"/>
        <v>0</v>
      </c>
      <c r="R620" t="str">
        <f t="shared" si="425"/>
        <v>0,00</v>
      </c>
      <c r="S620" t="str">
        <f t="shared" si="425"/>
        <v>0,00</v>
      </c>
      <c r="T620" t="str">
        <f t="shared" si="420"/>
        <v xml:space="preserve"> </v>
      </c>
      <c r="U620" t="str">
        <f t="shared" si="429"/>
        <v>-</v>
      </c>
      <c r="V620" t="str">
        <f>"0,000"</f>
        <v>0,000</v>
      </c>
      <c r="W620" t="str">
        <f t="shared" si="399"/>
        <v>Lista 4</v>
      </c>
      <c r="X620" t="str">
        <f t="shared" si="400"/>
        <v>Lista 5</v>
      </c>
      <c r="Y620" t="str">
        <f t="shared" si="401"/>
        <v>Oferta Gral.</v>
      </c>
      <c r="Z620" t="str">
        <f t="shared" si="402"/>
        <v>Rubro</v>
      </c>
      <c r="AA620" t="str">
        <f t="shared" si="403"/>
        <v>Cantidad por Bulto</v>
      </c>
      <c r="AB620" t="str">
        <f t="shared" si="404"/>
        <v>INNER</v>
      </c>
      <c r="AC620" t="str">
        <f t="shared" si="405"/>
        <v>Stock en Bultos</v>
      </c>
      <c r="AD620" t="str">
        <f t="shared" si="406"/>
        <v>SubDepósito</v>
      </c>
      <c r="AE620" t="str">
        <f t="shared" si="407"/>
        <v>Marca</v>
      </c>
      <c r="AF620" t="str">
        <f t="shared" si="408"/>
        <v>Super Rubro</v>
      </c>
      <c r="AG620" t="str">
        <f t="shared" si="409"/>
        <v>ComercioExterior</v>
      </c>
      <c r="AH620" t="str">
        <f t="shared" si="410"/>
        <v>PrecioFOB</v>
      </c>
      <c r="AI620" t="str">
        <f t="shared" si="411"/>
        <v>Monto II</v>
      </c>
      <c r="AJ620" t="str">
        <f t="shared" si="412"/>
        <v>Porcentaje II</v>
      </c>
      <c r="AK620" t="str">
        <f t="shared" si="413"/>
        <v>Foto</v>
      </c>
      <c r="AL620" t="str">
        <f>"{\rtf1\ansi\ansicpg1252\deff0\deflang11274{\fonttbl{\f0\fnil\fcharset0 MS Sans Serif}} \viewkind4\uc1\pard\f0\fs16 COJINETES AXIALES 0,254 HONDA 1600 MOTOR D16A1 D16A6 D16Y7 D16Y8\par } "</f>
        <v xml:space="preserve">{\rtf1\ansi\ansicpg1252\deff0\deflang11274{\fonttbl{\f0\fnil\fcharset0 MS Sans Serif}} \viewkind4\uc1\pard\f0\fs16 COJINETES AXIALES 0,254 HONDA 1600 MOTOR D16A1 D16A6 D16Y7 D16Y8\par } </v>
      </c>
      <c r="AM620" t="str">
        <f t="shared" si="430"/>
        <v xml:space="preserve"> </v>
      </c>
    </row>
    <row r="621" spans="1:39" x14ac:dyDescent="0.25">
      <c r="A621" t="str">
        <f>"AX436 10"</f>
        <v>AX436 10</v>
      </c>
      <c r="B621" t="str">
        <f>"COJINETES AXIALES 0,254 MAXION 2.5 2.8 RANGER SPRINTER F100 S10"</f>
        <v>COJINETES AXIALES 0,254 MAXION 2.5 2.8 RANGER SPRINTER F100 S10</v>
      </c>
      <c r="C621" t="str">
        <f>"$ 4471,24"</f>
        <v>$ 4471,24</v>
      </c>
      <c r="D621" t="str">
        <f>"$ 4471,24"</f>
        <v>$ 4471,24</v>
      </c>
      <c r="E621" t="str">
        <f>"$ 4471,24"</f>
        <v>$ 4471,24</v>
      </c>
      <c r="F621" t="str">
        <f>"$ 4471,24"</f>
        <v>$ 4471,24</v>
      </c>
      <c r="G621" t="str">
        <f>"$ 4471,24"</f>
        <v>$ 4471,24</v>
      </c>
      <c r="H621" t="str">
        <f t="shared" si="396"/>
        <v>$ 0,00</v>
      </c>
      <c r="I621" t="str">
        <f t="shared" si="421"/>
        <v>JUEGO AXIALES</v>
      </c>
      <c r="J621" t="str">
        <f t="shared" si="397"/>
        <v>1</v>
      </c>
      <c r="K621" t="str">
        <f t="shared" si="423"/>
        <v>0</v>
      </c>
      <c r="L621" t="str">
        <f>"14,000"</f>
        <v>14,000</v>
      </c>
      <c r="M621" t="str">
        <f t="shared" si="398"/>
        <v xml:space="preserve"> </v>
      </c>
      <c r="N621" t="str">
        <f t="shared" si="427"/>
        <v>MPSI</v>
      </c>
      <c r="O621" t="str">
        <f t="shared" si="428"/>
        <v>COJINETES</v>
      </c>
      <c r="P621" t="str">
        <f t="shared" si="424"/>
        <v>0</v>
      </c>
      <c r="Q621" t="str">
        <f t="shared" si="424"/>
        <v>0</v>
      </c>
      <c r="R621" t="str">
        <f t="shared" si="425"/>
        <v>0,00</v>
      </c>
      <c r="S621" t="str">
        <f t="shared" si="425"/>
        <v>0,00</v>
      </c>
      <c r="T621" t="str">
        <f t="shared" si="420"/>
        <v xml:space="preserve"> </v>
      </c>
      <c r="U621" t="str">
        <f t="shared" si="429"/>
        <v>-</v>
      </c>
      <c r="V621" t="str">
        <f>"14,000"</f>
        <v>14,000</v>
      </c>
      <c r="W621" t="str">
        <f t="shared" si="399"/>
        <v>Lista 4</v>
      </c>
      <c r="X621" t="str">
        <f t="shared" si="400"/>
        <v>Lista 5</v>
      </c>
      <c r="Y621" t="str">
        <f t="shared" si="401"/>
        <v>Oferta Gral.</v>
      </c>
      <c r="Z621" t="str">
        <f t="shared" si="402"/>
        <v>Rubro</v>
      </c>
      <c r="AA621" t="str">
        <f t="shared" si="403"/>
        <v>Cantidad por Bulto</v>
      </c>
      <c r="AB621" t="str">
        <f t="shared" si="404"/>
        <v>INNER</v>
      </c>
      <c r="AC621" t="str">
        <f t="shared" si="405"/>
        <v>Stock en Bultos</v>
      </c>
      <c r="AD621" t="str">
        <f t="shared" si="406"/>
        <v>SubDepósito</v>
      </c>
      <c r="AE621" t="str">
        <f t="shared" si="407"/>
        <v>Marca</v>
      </c>
      <c r="AF621" t="str">
        <f t="shared" si="408"/>
        <v>Super Rubro</v>
      </c>
      <c r="AG621" t="str">
        <f t="shared" si="409"/>
        <v>ComercioExterior</v>
      </c>
      <c r="AH621" t="str">
        <f t="shared" si="410"/>
        <v>PrecioFOB</v>
      </c>
      <c r="AI621" t="str">
        <f t="shared" si="411"/>
        <v>Monto II</v>
      </c>
      <c r="AJ621" t="str">
        <f t="shared" si="412"/>
        <v>Porcentaje II</v>
      </c>
      <c r="AK621" t="str">
        <f t="shared" si="413"/>
        <v>Foto</v>
      </c>
      <c r="AL621" t="str">
        <f t="shared" ref="AL621:AL632" si="432">" "</f>
        <v xml:space="preserve"> </v>
      </c>
      <c r="AM621" t="str">
        <f t="shared" si="430"/>
        <v xml:space="preserve"> </v>
      </c>
    </row>
    <row r="622" spans="1:39" x14ac:dyDescent="0.25">
      <c r="A622" t="str">
        <f>"AX557 10"</f>
        <v>AX557 10</v>
      </c>
      <c r="B622" t="str">
        <f>"COJINETES AXIALES 0,254 MERCEDES SPRINTER OM611"</f>
        <v>COJINETES AXIALES 0,254 MERCEDES SPRINTER OM611</v>
      </c>
      <c r="C622" t="str">
        <f>"$ 7854,35"</f>
        <v>$ 7854,35</v>
      </c>
      <c r="D622" t="str">
        <f>"$ 7854,35"</f>
        <v>$ 7854,35</v>
      </c>
      <c r="E622" t="str">
        <f>"$ 7854,35"</f>
        <v>$ 7854,35</v>
      </c>
      <c r="F622" t="str">
        <f>"$ 7854,35"</f>
        <v>$ 7854,35</v>
      </c>
      <c r="G622" t="str">
        <f>"$ 7854,35"</f>
        <v>$ 7854,35</v>
      </c>
      <c r="H622" t="str">
        <f t="shared" si="396"/>
        <v>$ 0,00</v>
      </c>
      <c r="I622" t="str">
        <f t="shared" si="421"/>
        <v>JUEGO AXIALES</v>
      </c>
      <c r="J622" t="str">
        <f t="shared" si="397"/>
        <v>1</v>
      </c>
      <c r="K622" t="str">
        <f t="shared" si="423"/>
        <v>0</v>
      </c>
      <c r="L622" t="str">
        <f>"0,000"</f>
        <v>0,000</v>
      </c>
      <c r="M622" t="str">
        <f t="shared" si="398"/>
        <v xml:space="preserve"> </v>
      </c>
      <c r="N622" t="str">
        <f t="shared" si="427"/>
        <v>MPSI</v>
      </c>
      <c r="O622" t="str">
        <f t="shared" si="428"/>
        <v>COJINETES</v>
      </c>
      <c r="P622" t="str">
        <f t="shared" si="424"/>
        <v>0</v>
      </c>
      <c r="Q622" t="str">
        <f t="shared" si="424"/>
        <v>0</v>
      </c>
      <c r="R622" t="str">
        <f t="shared" si="425"/>
        <v>0,00</v>
      </c>
      <c r="S622" t="str">
        <f t="shared" si="425"/>
        <v>0,00</v>
      </c>
      <c r="T622" t="str">
        <f t="shared" si="420"/>
        <v xml:space="preserve"> </v>
      </c>
      <c r="U622" t="str">
        <f t="shared" si="429"/>
        <v>-</v>
      </c>
      <c r="V622" t="str">
        <f>"0,000"</f>
        <v>0,000</v>
      </c>
      <c r="W622" t="str">
        <f t="shared" si="399"/>
        <v>Lista 4</v>
      </c>
      <c r="X622" t="str">
        <f t="shared" si="400"/>
        <v>Lista 5</v>
      </c>
      <c r="Y622" t="str">
        <f t="shared" si="401"/>
        <v>Oferta Gral.</v>
      </c>
      <c r="Z622" t="str">
        <f t="shared" si="402"/>
        <v>Rubro</v>
      </c>
      <c r="AA622" t="str">
        <f t="shared" si="403"/>
        <v>Cantidad por Bulto</v>
      </c>
      <c r="AB622" t="str">
        <f t="shared" si="404"/>
        <v>INNER</v>
      </c>
      <c r="AC622" t="str">
        <f t="shared" si="405"/>
        <v>Stock en Bultos</v>
      </c>
      <c r="AD622" t="str">
        <f t="shared" si="406"/>
        <v>SubDepósito</v>
      </c>
      <c r="AE622" t="str">
        <f t="shared" si="407"/>
        <v>Marca</v>
      </c>
      <c r="AF622" t="str">
        <f t="shared" si="408"/>
        <v>Super Rubro</v>
      </c>
      <c r="AG622" t="str">
        <f t="shared" si="409"/>
        <v>ComercioExterior</v>
      </c>
      <c r="AH622" t="str">
        <f t="shared" si="410"/>
        <v>PrecioFOB</v>
      </c>
      <c r="AI622" t="str">
        <f t="shared" si="411"/>
        <v>Monto II</v>
      </c>
      <c r="AJ622" t="str">
        <f t="shared" si="412"/>
        <v>Porcentaje II</v>
      </c>
      <c r="AK622" t="str">
        <f t="shared" si="413"/>
        <v>Foto</v>
      </c>
      <c r="AL622" t="str">
        <f t="shared" si="432"/>
        <v xml:space="preserve"> </v>
      </c>
      <c r="AM622" t="str">
        <f t="shared" si="430"/>
        <v xml:space="preserve"> </v>
      </c>
    </row>
    <row r="623" spans="1:39" x14ac:dyDescent="0.25">
      <c r="A623" t="str">
        <f>"AX388 10"</f>
        <v>AX388 10</v>
      </c>
      <c r="B623" t="str">
        <f>"COJINETES AXIALES 0,254 PERKINS 6-305"</f>
        <v>COJINETES AXIALES 0,254 PERKINS 6-305</v>
      </c>
      <c r="C623" t="str">
        <f>"$ 8151,11"</f>
        <v>$ 8151,11</v>
      </c>
      <c r="D623" t="str">
        <f>"$ 8151,11"</f>
        <v>$ 8151,11</v>
      </c>
      <c r="E623" t="str">
        <f>"$ 8151,11"</f>
        <v>$ 8151,11</v>
      </c>
      <c r="F623" t="str">
        <f>"$ 8151,11"</f>
        <v>$ 8151,11</v>
      </c>
      <c r="G623" t="str">
        <f>"$ 8151,11"</f>
        <v>$ 8151,11</v>
      </c>
      <c r="H623" t="str">
        <f t="shared" si="396"/>
        <v>$ 0,00</v>
      </c>
      <c r="I623" t="str">
        <f t="shared" si="421"/>
        <v>JUEGO AXIALES</v>
      </c>
      <c r="J623" t="str">
        <f t="shared" si="397"/>
        <v>1</v>
      </c>
      <c r="K623" t="str">
        <f t="shared" si="423"/>
        <v>0</v>
      </c>
      <c r="L623" t="str">
        <f>"0,000"</f>
        <v>0,000</v>
      </c>
      <c r="M623" t="str">
        <f t="shared" si="398"/>
        <v xml:space="preserve"> </v>
      </c>
      <c r="N623" t="str">
        <f t="shared" si="427"/>
        <v>MPSI</v>
      </c>
      <c r="O623" t="str">
        <f t="shared" si="428"/>
        <v>COJINETES</v>
      </c>
      <c r="P623" t="str">
        <f t="shared" ref="P623:Q642" si="433">"0"</f>
        <v>0</v>
      </c>
      <c r="Q623" t="str">
        <f t="shared" si="433"/>
        <v>0</v>
      </c>
      <c r="R623" t="str">
        <f t="shared" ref="R623:S642" si="434">"0,00"</f>
        <v>0,00</v>
      </c>
      <c r="S623" t="str">
        <f t="shared" si="434"/>
        <v>0,00</v>
      </c>
      <c r="T623" t="str">
        <f t="shared" si="420"/>
        <v xml:space="preserve"> </v>
      </c>
      <c r="U623" t="str">
        <f t="shared" si="429"/>
        <v>-</v>
      </c>
      <c r="V623" t="str">
        <f>"0,000"</f>
        <v>0,000</v>
      </c>
      <c r="W623" t="str">
        <f t="shared" si="399"/>
        <v>Lista 4</v>
      </c>
      <c r="X623" t="str">
        <f t="shared" si="400"/>
        <v>Lista 5</v>
      </c>
      <c r="Y623" t="str">
        <f t="shared" si="401"/>
        <v>Oferta Gral.</v>
      </c>
      <c r="Z623" t="str">
        <f t="shared" si="402"/>
        <v>Rubro</v>
      </c>
      <c r="AA623" t="str">
        <f t="shared" si="403"/>
        <v>Cantidad por Bulto</v>
      </c>
      <c r="AB623" t="str">
        <f t="shared" si="404"/>
        <v>INNER</v>
      </c>
      <c r="AC623" t="str">
        <f t="shared" si="405"/>
        <v>Stock en Bultos</v>
      </c>
      <c r="AD623" t="str">
        <f t="shared" si="406"/>
        <v>SubDepósito</v>
      </c>
      <c r="AE623" t="str">
        <f t="shared" si="407"/>
        <v>Marca</v>
      </c>
      <c r="AF623" t="str">
        <f t="shared" si="408"/>
        <v>Super Rubro</v>
      </c>
      <c r="AG623" t="str">
        <f t="shared" si="409"/>
        <v>ComercioExterior</v>
      </c>
      <c r="AH623" t="str">
        <f t="shared" si="410"/>
        <v>PrecioFOB</v>
      </c>
      <c r="AI623" t="str">
        <f t="shared" si="411"/>
        <v>Monto II</v>
      </c>
      <c r="AJ623" t="str">
        <f t="shared" si="412"/>
        <v>Porcentaje II</v>
      </c>
      <c r="AK623" t="str">
        <f t="shared" si="413"/>
        <v>Foto</v>
      </c>
      <c r="AL623" t="str">
        <f t="shared" si="432"/>
        <v xml:space="preserve"> </v>
      </c>
      <c r="AM623" t="str">
        <f t="shared" si="430"/>
        <v xml:space="preserve"> </v>
      </c>
    </row>
    <row r="624" spans="1:39" x14ac:dyDescent="0.25">
      <c r="A624" t="str">
        <f>"AX392 10"</f>
        <v>AX392 10</v>
      </c>
      <c r="B624" t="str">
        <f>"COJINETES AXIALES 0,254 PERKINS 6-354 FASE 2"</f>
        <v>COJINETES AXIALES 0,254 PERKINS 6-354 FASE 2</v>
      </c>
      <c r="C624" t="str">
        <f>"$ 8348,95"</f>
        <v>$ 8348,95</v>
      </c>
      <c r="D624" t="str">
        <f>"$ 8348,95"</f>
        <v>$ 8348,95</v>
      </c>
      <c r="E624" t="str">
        <f>"$ 8348,95"</f>
        <v>$ 8348,95</v>
      </c>
      <c r="F624" t="str">
        <f>"$ 8348,95"</f>
        <v>$ 8348,95</v>
      </c>
      <c r="G624" t="str">
        <f>"$ 8348,95"</f>
        <v>$ 8348,95</v>
      </c>
      <c r="H624" t="str">
        <f t="shared" si="396"/>
        <v>$ 0,00</v>
      </c>
      <c r="I624" t="str">
        <f t="shared" si="421"/>
        <v>JUEGO AXIALES</v>
      </c>
      <c r="J624" t="str">
        <f t="shared" si="397"/>
        <v>1</v>
      </c>
      <c r="K624" t="str">
        <f t="shared" si="423"/>
        <v>0</v>
      </c>
      <c r="L624" t="str">
        <f>"0,000"</f>
        <v>0,000</v>
      </c>
      <c r="M624" t="str">
        <f t="shared" si="398"/>
        <v xml:space="preserve"> </v>
      </c>
      <c r="N624" t="str">
        <f t="shared" si="427"/>
        <v>MPSI</v>
      </c>
      <c r="O624" t="str">
        <f t="shared" si="428"/>
        <v>COJINETES</v>
      </c>
      <c r="P624" t="str">
        <f t="shared" si="433"/>
        <v>0</v>
      </c>
      <c r="Q624" t="str">
        <f t="shared" si="433"/>
        <v>0</v>
      </c>
      <c r="R624" t="str">
        <f t="shared" si="434"/>
        <v>0,00</v>
      </c>
      <c r="S624" t="str">
        <f t="shared" si="434"/>
        <v>0,00</v>
      </c>
      <c r="T624" t="str">
        <f t="shared" si="420"/>
        <v xml:space="preserve"> </v>
      </c>
      <c r="U624" t="str">
        <f t="shared" si="429"/>
        <v>-</v>
      </c>
      <c r="V624" t="str">
        <f>"0,000"</f>
        <v>0,000</v>
      </c>
      <c r="W624" t="str">
        <f t="shared" si="399"/>
        <v>Lista 4</v>
      </c>
      <c r="X624" t="str">
        <f t="shared" si="400"/>
        <v>Lista 5</v>
      </c>
      <c r="Y624" t="str">
        <f t="shared" si="401"/>
        <v>Oferta Gral.</v>
      </c>
      <c r="Z624" t="str">
        <f t="shared" si="402"/>
        <v>Rubro</v>
      </c>
      <c r="AA624" t="str">
        <f t="shared" si="403"/>
        <v>Cantidad por Bulto</v>
      </c>
      <c r="AB624" t="str">
        <f t="shared" si="404"/>
        <v>INNER</v>
      </c>
      <c r="AC624" t="str">
        <f t="shared" si="405"/>
        <v>Stock en Bultos</v>
      </c>
      <c r="AD624" t="str">
        <f t="shared" si="406"/>
        <v>SubDepósito</v>
      </c>
      <c r="AE624" t="str">
        <f t="shared" si="407"/>
        <v>Marca</v>
      </c>
      <c r="AF624" t="str">
        <f t="shared" si="408"/>
        <v>Super Rubro</v>
      </c>
      <c r="AG624" t="str">
        <f t="shared" si="409"/>
        <v>ComercioExterior</v>
      </c>
      <c r="AH624" t="str">
        <f t="shared" si="410"/>
        <v>PrecioFOB</v>
      </c>
      <c r="AI624" t="str">
        <f t="shared" si="411"/>
        <v>Monto II</v>
      </c>
      <c r="AJ624" t="str">
        <f t="shared" si="412"/>
        <v>Porcentaje II</v>
      </c>
      <c r="AK624" t="str">
        <f t="shared" si="413"/>
        <v>Foto</v>
      </c>
      <c r="AL624" t="str">
        <f t="shared" si="432"/>
        <v xml:space="preserve"> </v>
      </c>
      <c r="AM624" t="str">
        <f t="shared" si="430"/>
        <v xml:space="preserve"> </v>
      </c>
    </row>
    <row r="625" spans="1:39" x14ac:dyDescent="0.25">
      <c r="A625" t="str">
        <f>"AX422 10"</f>
        <v>AX422 10</v>
      </c>
      <c r="B625" t="str">
        <f>"COJINETES AXIALES 0,254 PEUGEOT 306 1.9 TURBO DIESEL XUD9T"</f>
        <v>COJINETES AXIALES 0,254 PEUGEOT 306 1.9 TURBO DIESEL XUD9T</v>
      </c>
      <c r="C625" t="str">
        <f>"$ 7656,50"</f>
        <v>$ 7656,50</v>
      </c>
      <c r="D625" t="str">
        <f>"$ 7656,50"</f>
        <v>$ 7656,50</v>
      </c>
      <c r="E625" t="str">
        <f>"$ 7656,50"</f>
        <v>$ 7656,50</v>
      </c>
      <c r="F625" t="str">
        <f>"$ 7656,50"</f>
        <v>$ 7656,50</v>
      </c>
      <c r="G625" t="str">
        <f>"$ 7656,50"</f>
        <v>$ 7656,50</v>
      </c>
      <c r="H625" t="str">
        <f t="shared" si="396"/>
        <v>$ 0,00</v>
      </c>
      <c r="I625" t="str">
        <f t="shared" si="421"/>
        <v>JUEGO AXIALES</v>
      </c>
      <c r="J625" t="str">
        <f t="shared" si="397"/>
        <v>1</v>
      </c>
      <c r="K625" t="str">
        <f t="shared" si="423"/>
        <v>0</v>
      </c>
      <c r="L625" t="str">
        <f>"5,000"</f>
        <v>5,000</v>
      </c>
      <c r="M625" t="str">
        <f t="shared" si="398"/>
        <v xml:space="preserve"> </v>
      </c>
      <c r="N625" t="str">
        <f t="shared" si="427"/>
        <v>MPSI</v>
      </c>
      <c r="O625" t="str">
        <f t="shared" si="428"/>
        <v>COJINETES</v>
      </c>
      <c r="P625" t="str">
        <f t="shared" si="433"/>
        <v>0</v>
      </c>
      <c r="Q625" t="str">
        <f t="shared" si="433"/>
        <v>0</v>
      </c>
      <c r="R625" t="str">
        <f t="shared" si="434"/>
        <v>0,00</v>
      </c>
      <c r="S625" t="str">
        <f t="shared" si="434"/>
        <v>0,00</v>
      </c>
      <c r="T625" t="str">
        <f t="shared" si="420"/>
        <v xml:space="preserve"> </v>
      </c>
      <c r="U625" t="str">
        <f t="shared" si="429"/>
        <v>-</v>
      </c>
      <c r="V625" t="str">
        <f>"5,000"</f>
        <v>5,000</v>
      </c>
      <c r="W625" t="str">
        <f t="shared" si="399"/>
        <v>Lista 4</v>
      </c>
      <c r="X625" t="str">
        <f t="shared" si="400"/>
        <v>Lista 5</v>
      </c>
      <c r="Y625" t="str">
        <f t="shared" si="401"/>
        <v>Oferta Gral.</v>
      </c>
      <c r="Z625" t="str">
        <f t="shared" si="402"/>
        <v>Rubro</v>
      </c>
      <c r="AA625" t="str">
        <f t="shared" si="403"/>
        <v>Cantidad por Bulto</v>
      </c>
      <c r="AB625" t="str">
        <f t="shared" si="404"/>
        <v>INNER</v>
      </c>
      <c r="AC625" t="str">
        <f t="shared" si="405"/>
        <v>Stock en Bultos</v>
      </c>
      <c r="AD625" t="str">
        <f t="shared" si="406"/>
        <v>SubDepósito</v>
      </c>
      <c r="AE625" t="str">
        <f t="shared" si="407"/>
        <v>Marca</v>
      </c>
      <c r="AF625" t="str">
        <f t="shared" si="408"/>
        <v>Super Rubro</v>
      </c>
      <c r="AG625" t="str">
        <f t="shared" si="409"/>
        <v>ComercioExterior</v>
      </c>
      <c r="AH625" t="str">
        <f t="shared" si="410"/>
        <v>PrecioFOB</v>
      </c>
      <c r="AI625" t="str">
        <f t="shared" si="411"/>
        <v>Monto II</v>
      </c>
      <c r="AJ625" t="str">
        <f t="shared" si="412"/>
        <v>Porcentaje II</v>
      </c>
      <c r="AK625" t="str">
        <f t="shared" si="413"/>
        <v>Foto</v>
      </c>
      <c r="AL625" t="str">
        <f t="shared" si="432"/>
        <v xml:space="preserve"> </v>
      </c>
      <c r="AM625" t="str">
        <f t="shared" si="430"/>
        <v xml:space="preserve"> </v>
      </c>
    </row>
    <row r="626" spans="1:39" x14ac:dyDescent="0.25">
      <c r="A626" t="str">
        <f>"AX732 10"</f>
        <v>AX732 10</v>
      </c>
      <c r="B626" t="str">
        <f>"COJINETES AXIALES 0,254 PEUGEOT 307 406  2.0 EW10J4 XU7"</f>
        <v>COJINETES AXIALES 0,254 PEUGEOT 307 406  2.0 EW10J4 XU7</v>
      </c>
      <c r="C626" t="str">
        <f>"$ 4016,20"</f>
        <v>$ 4016,20</v>
      </c>
      <c r="D626" t="str">
        <f>"$ 4016,20"</f>
        <v>$ 4016,20</v>
      </c>
      <c r="E626" t="str">
        <f>"$ 4016,20"</f>
        <v>$ 4016,20</v>
      </c>
      <c r="F626" t="str">
        <f>"$ 4016,20"</f>
        <v>$ 4016,20</v>
      </c>
      <c r="G626" t="str">
        <f>"$ 4016,20"</f>
        <v>$ 4016,20</v>
      </c>
      <c r="H626" t="str">
        <f t="shared" si="396"/>
        <v>$ 0,00</v>
      </c>
      <c r="I626" t="str">
        <f t="shared" ref="I626:I657" si="435">"JUEGO AXIALES"</f>
        <v>JUEGO AXIALES</v>
      </c>
      <c r="J626" t="str">
        <f t="shared" si="397"/>
        <v>1</v>
      </c>
      <c r="K626" t="str">
        <f t="shared" si="423"/>
        <v>0</v>
      </c>
      <c r="L626" t="str">
        <f>"0,000"</f>
        <v>0,000</v>
      </c>
      <c r="M626" t="str">
        <f t="shared" si="398"/>
        <v xml:space="preserve"> </v>
      </c>
      <c r="N626" t="str">
        <f t="shared" si="427"/>
        <v>MPSI</v>
      </c>
      <c r="O626" t="str">
        <f t="shared" si="428"/>
        <v>COJINETES</v>
      </c>
      <c r="P626" t="str">
        <f t="shared" si="433"/>
        <v>0</v>
      </c>
      <c r="Q626" t="str">
        <f t="shared" si="433"/>
        <v>0</v>
      </c>
      <c r="R626" t="str">
        <f t="shared" si="434"/>
        <v>0,00</v>
      </c>
      <c r="S626" t="str">
        <f t="shared" si="434"/>
        <v>0,00</v>
      </c>
      <c r="T626" t="str">
        <f t="shared" si="420"/>
        <v xml:space="preserve"> </v>
      </c>
      <c r="U626" t="str">
        <f t="shared" si="429"/>
        <v>-</v>
      </c>
      <c r="V626" t="str">
        <f>"0,000"</f>
        <v>0,000</v>
      </c>
      <c r="W626" t="str">
        <f t="shared" si="399"/>
        <v>Lista 4</v>
      </c>
      <c r="X626" t="str">
        <f t="shared" si="400"/>
        <v>Lista 5</v>
      </c>
      <c r="Y626" t="str">
        <f t="shared" si="401"/>
        <v>Oferta Gral.</v>
      </c>
      <c r="Z626" t="str">
        <f t="shared" si="402"/>
        <v>Rubro</v>
      </c>
      <c r="AA626" t="str">
        <f t="shared" si="403"/>
        <v>Cantidad por Bulto</v>
      </c>
      <c r="AB626" t="str">
        <f t="shared" si="404"/>
        <v>INNER</v>
      </c>
      <c r="AC626" t="str">
        <f t="shared" si="405"/>
        <v>Stock en Bultos</v>
      </c>
      <c r="AD626" t="str">
        <f t="shared" si="406"/>
        <v>SubDepósito</v>
      </c>
      <c r="AE626" t="str">
        <f t="shared" si="407"/>
        <v>Marca</v>
      </c>
      <c r="AF626" t="str">
        <f t="shared" si="408"/>
        <v>Super Rubro</v>
      </c>
      <c r="AG626" t="str">
        <f t="shared" si="409"/>
        <v>ComercioExterior</v>
      </c>
      <c r="AH626" t="str">
        <f t="shared" si="410"/>
        <v>PrecioFOB</v>
      </c>
      <c r="AI626" t="str">
        <f t="shared" si="411"/>
        <v>Monto II</v>
      </c>
      <c r="AJ626" t="str">
        <f t="shared" si="412"/>
        <v>Porcentaje II</v>
      </c>
      <c r="AK626" t="str">
        <f t="shared" si="413"/>
        <v>Foto</v>
      </c>
      <c r="AL626" t="str">
        <f t="shared" si="432"/>
        <v xml:space="preserve"> </v>
      </c>
      <c r="AM626" t="str">
        <f t="shared" si="430"/>
        <v xml:space="preserve"> </v>
      </c>
    </row>
    <row r="627" spans="1:39" x14ac:dyDescent="0.25">
      <c r="A627" t="str">
        <f>"AX416 10"</f>
        <v>AX416 10</v>
      </c>
      <c r="B627" t="str">
        <f>"COJINETES AXIALES 0,254 PEUGEOT 307 406 MOTOR 2.0 EW10J4 XU7"</f>
        <v>COJINETES AXIALES 0,254 PEUGEOT 307 406 MOTOR 2.0 EW10J4 XU7</v>
      </c>
      <c r="C627" t="str">
        <f>"$ 7775,21"</f>
        <v>$ 7775,21</v>
      </c>
      <c r="D627" t="str">
        <f>"$ 7775,21"</f>
        <v>$ 7775,21</v>
      </c>
      <c r="E627" t="str">
        <f>"$ 7775,21"</f>
        <v>$ 7775,21</v>
      </c>
      <c r="F627" t="str">
        <f>"$ 7775,21"</f>
        <v>$ 7775,21</v>
      </c>
      <c r="G627" t="str">
        <f>"$ 7775,21"</f>
        <v>$ 7775,21</v>
      </c>
      <c r="H627" t="str">
        <f t="shared" si="396"/>
        <v>$ 0,00</v>
      </c>
      <c r="I627" t="str">
        <f t="shared" si="435"/>
        <v>JUEGO AXIALES</v>
      </c>
      <c r="J627" t="str">
        <f t="shared" si="397"/>
        <v>1</v>
      </c>
      <c r="K627" t="str">
        <f t="shared" si="423"/>
        <v>0</v>
      </c>
      <c r="L627" t="str">
        <f>"5,000"</f>
        <v>5,000</v>
      </c>
      <c r="M627" t="str">
        <f t="shared" si="398"/>
        <v xml:space="preserve"> </v>
      </c>
      <c r="N627" t="str">
        <f t="shared" si="427"/>
        <v>MPSI</v>
      </c>
      <c r="O627" t="str">
        <f t="shared" si="428"/>
        <v>COJINETES</v>
      </c>
      <c r="P627" t="str">
        <f t="shared" si="433"/>
        <v>0</v>
      </c>
      <c r="Q627" t="str">
        <f t="shared" si="433"/>
        <v>0</v>
      </c>
      <c r="R627" t="str">
        <f t="shared" si="434"/>
        <v>0,00</v>
      </c>
      <c r="S627" t="str">
        <f t="shared" si="434"/>
        <v>0,00</v>
      </c>
      <c r="T627" t="str">
        <f t="shared" si="420"/>
        <v xml:space="preserve"> </v>
      </c>
      <c r="U627" t="str">
        <f t="shared" si="429"/>
        <v>-</v>
      </c>
      <c r="V627" t="str">
        <f>"5,000"</f>
        <v>5,000</v>
      </c>
      <c r="W627" t="str">
        <f t="shared" si="399"/>
        <v>Lista 4</v>
      </c>
      <c r="X627" t="str">
        <f t="shared" si="400"/>
        <v>Lista 5</v>
      </c>
      <c r="Y627" t="str">
        <f t="shared" si="401"/>
        <v>Oferta Gral.</v>
      </c>
      <c r="Z627" t="str">
        <f t="shared" si="402"/>
        <v>Rubro</v>
      </c>
      <c r="AA627" t="str">
        <f t="shared" si="403"/>
        <v>Cantidad por Bulto</v>
      </c>
      <c r="AB627" t="str">
        <f t="shared" si="404"/>
        <v>INNER</v>
      </c>
      <c r="AC627" t="str">
        <f t="shared" si="405"/>
        <v>Stock en Bultos</v>
      </c>
      <c r="AD627" t="str">
        <f t="shared" si="406"/>
        <v>SubDepósito</v>
      </c>
      <c r="AE627" t="str">
        <f t="shared" si="407"/>
        <v>Marca</v>
      </c>
      <c r="AF627" t="str">
        <f t="shared" si="408"/>
        <v>Super Rubro</v>
      </c>
      <c r="AG627" t="str">
        <f t="shared" si="409"/>
        <v>ComercioExterior</v>
      </c>
      <c r="AH627" t="str">
        <f t="shared" si="410"/>
        <v>PrecioFOB</v>
      </c>
      <c r="AI627" t="str">
        <f t="shared" si="411"/>
        <v>Monto II</v>
      </c>
      <c r="AJ627" t="str">
        <f t="shared" si="412"/>
        <v>Porcentaje II</v>
      </c>
      <c r="AK627" t="str">
        <f t="shared" si="413"/>
        <v>Foto</v>
      </c>
      <c r="AL627" t="str">
        <f t="shared" si="432"/>
        <v xml:space="preserve"> </v>
      </c>
      <c r="AM627" t="str">
        <f t="shared" si="430"/>
        <v xml:space="preserve"> </v>
      </c>
    </row>
    <row r="628" spans="1:39" x14ac:dyDescent="0.25">
      <c r="A628" t="str">
        <f>"AX731 10"</f>
        <v>AX731 10</v>
      </c>
      <c r="B628" t="str">
        <f>"COJINETES AXIALES 0,254 PEUGEOT 307 CITROEN C4 1.6 16V TU5JP4"</f>
        <v>COJINETES AXIALES 0,254 PEUGEOT 307 CITROEN C4 1.6 16V TU5JP4</v>
      </c>
      <c r="C628" t="str">
        <f>"$ 4392,10"</f>
        <v>$ 4392,10</v>
      </c>
      <c r="D628" t="str">
        <f>"$ 4392,10"</f>
        <v>$ 4392,10</v>
      </c>
      <c r="E628" t="str">
        <f>"$ 4392,10"</f>
        <v>$ 4392,10</v>
      </c>
      <c r="F628" t="str">
        <f>"$ 4392,10"</f>
        <v>$ 4392,10</v>
      </c>
      <c r="G628" t="str">
        <f>"$ 4392,10"</f>
        <v>$ 4392,10</v>
      </c>
      <c r="H628" t="str">
        <f t="shared" si="396"/>
        <v>$ 0,00</v>
      </c>
      <c r="I628" t="str">
        <f t="shared" si="435"/>
        <v>JUEGO AXIALES</v>
      </c>
      <c r="J628" t="str">
        <f t="shared" si="397"/>
        <v>1</v>
      </c>
      <c r="K628" t="str">
        <f t="shared" si="423"/>
        <v>0</v>
      </c>
      <c r="L628" t="str">
        <f>"3,000"</f>
        <v>3,000</v>
      </c>
      <c r="M628" t="str">
        <f t="shared" si="398"/>
        <v xml:space="preserve"> </v>
      </c>
      <c r="N628" t="str">
        <f t="shared" si="427"/>
        <v>MPSI</v>
      </c>
      <c r="O628" t="str">
        <f t="shared" si="428"/>
        <v>COJINETES</v>
      </c>
      <c r="P628" t="str">
        <f t="shared" si="433"/>
        <v>0</v>
      </c>
      <c r="Q628" t="str">
        <f t="shared" si="433"/>
        <v>0</v>
      </c>
      <c r="R628" t="str">
        <f t="shared" si="434"/>
        <v>0,00</v>
      </c>
      <c r="S628" t="str">
        <f t="shared" si="434"/>
        <v>0,00</v>
      </c>
      <c r="T628" t="str">
        <f t="shared" si="420"/>
        <v xml:space="preserve"> </v>
      </c>
      <c r="U628" t="str">
        <f t="shared" si="429"/>
        <v>-</v>
      </c>
      <c r="V628" t="str">
        <f>"3,000"</f>
        <v>3,000</v>
      </c>
      <c r="W628" t="str">
        <f t="shared" si="399"/>
        <v>Lista 4</v>
      </c>
      <c r="X628" t="str">
        <f t="shared" si="400"/>
        <v>Lista 5</v>
      </c>
      <c r="Y628" t="str">
        <f t="shared" si="401"/>
        <v>Oferta Gral.</v>
      </c>
      <c r="Z628" t="str">
        <f t="shared" si="402"/>
        <v>Rubro</v>
      </c>
      <c r="AA628" t="str">
        <f t="shared" si="403"/>
        <v>Cantidad por Bulto</v>
      </c>
      <c r="AB628" t="str">
        <f t="shared" si="404"/>
        <v>INNER</v>
      </c>
      <c r="AC628" t="str">
        <f t="shared" si="405"/>
        <v>Stock en Bultos</v>
      </c>
      <c r="AD628" t="str">
        <f t="shared" si="406"/>
        <v>SubDepósito</v>
      </c>
      <c r="AE628" t="str">
        <f t="shared" si="407"/>
        <v>Marca</v>
      </c>
      <c r="AF628" t="str">
        <f t="shared" si="408"/>
        <v>Super Rubro</v>
      </c>
      <c r="AG628" t="str">
        <f t="shared" si="409"/>
        <v>ComercioExterior</v>
      </c>
      <c r="AH628" t="str">
        <f t="shared" si="410"/>
        <v>PrecioFOB</v>
      </c>
      <c r="AI628" t="str">
        <f t="shared" si="411"/>
        <v>Monto II</v>
      </c>
      <c r="AJ628" t="str">
        <f t="shared" si="412"/>
        <v>Porcentaje II</v>
      </c>
      <c r="AK628" t="str">
        <f t="shared" si="413"/>
        <v>Foto</v>
      </c>
      <c r="AL628" t="str">
        <f t="shared" si="432"/>
        <v xml:space="preserve"> </v>
      </c>
      <c r="AM628" t="str">
        <f t="shared" si="430"/>
        <v xml:space="preserve"> </v>
      </c>
    </row>
    <row r="629" spans="1:39" x14ac:dyDescent="0.25">
      <c r="A629" t="str">
        <f>"AX412 10"</f>
        <v>AX412 10</v>
      </c>
      <c r="B629" t="str">
        <f>"COJINETES AXIALES 0,254 PEUGEOT 404 504 NAFTA 1.6 1.8 2.0"</f>
        <v>COJINETES AXIALES 0,254 PEUGEOT 404 504 NAFTA 1.6 1.8 2.0</v>
      </c>
      <c r="C629" t="str">
        <f>"$ 6766,21"</f>
        <v>$ 6766,21</v>
      </c>
      <c r="D629" t="str">
        <f>"$ 6766,21"</f>
        <v>$ 6766,21</v>
      </c>
      <c r="E629" t="str">
        <f>"$ 6766,21"</f>
        <v>$ 6766,21</v>
      </c>
      <c r="F629" t="str">
        <f>"$ 6766,21"</f>
        <v>$ 6766,21</v>
      </c>
      <c r="G629" t="str">
        <f>"$ 6766,21"</f>
        <v>$ 6766,21</v>
      </c>
      <c r="H629" t="str">
        <f t="shared" si="396"/>
        <v>$ 0,00</v>
      </c>
      <c r="I629" t="str">
        <f t="shared" si="435"/>
        <v>JUEGO AXIALES</v>
      </c>
      <c r="J629" t="str">
        <f t="shared" si="397"/>
        <v>1</v>
      </c>
      <c r="K629" t="str">
        <f t="shared" si="423"/>
        <v>0</v>
      </c>
      <c r="L629" t="str">
        <f>"14,000"</f>
        <v>14,000</v>
      </c>
      <c r="M629" t="str">
        <f t="shared" si="398"/>
        <v xml:space="preserve"> </v>
      </c>
      <c r="N629" t="str">
        <f t="shared" si="427"/>
        <v>MPSI</v>
      </c>
      <c r="O629" t="str">
        <f t="shared" si="428"/>
        <v>COJINETES</v>
      </c>
      <c r="P629" t="str">
        <f t="shared" si="433"/>
        <v>0</v>
      </c>
      <c r="Q629" t="str">
        <f t="shared" si="433"/>
        <v>0</v>
      </c>
      <c r="R629" t="str">
        <f t="shared" si="434"/>
        <v>0,00</v>
      </c>
      <c r="S629" t="str">
        <f t="shared" si="434"/>
        <v>0,00</v>
      </c>
      <c r="T629" t="str">
        <f t="shared" si="420"/>
        <v xml:space="preserve"> </v>
      </c>
      <c r="U629" t="str">
        <f t="shared" si="429"/>
        <v>-</v>
      </c>
      <c r="V629" t="str">
        <f>"14,000"</f>
        <v>14,000</v>
      </c>
      <c r="W629" t="str">
        <f t="shared" si="399"/>
        <v>Lista 4</v>
      </c>
      <c r="X629" t="str">
        <f t="shared" si="400"/>
        <v>Lista 5</v>
      </c>
      <c r="Y629" t="str">
        <f t="shared" si="401"/>
        <v>Oferta Gral.</v>
      </c>
      <c r="Z629" t="str">
        <f t="shared" si="402"/>
        <v>Rubro</v>
      </c>
      <c r="AA629" t="str">
        <f t="shared" si="403"/>
        <v>Cantidad por Bulto</v>
      </c>
      <c r="AB629" t="str">
        <f t="shared" si="404"/>
        <v>INNER</v>
      </c>
      <c r="AC629" t="str">
        <f t="shared" si="405"/>
        <v>Stock en Bultos</v>
      </c>
      <c r="AD629" t="str">
        <f t="shared" si="406"/>
        <v>SubDepósito</v>
      </c>
      <c r="AE629" t="str">
        <f t="shared" si="407"/>
        <v>Marca</v>
      </c>
      <c r="AF629" t="str">
        <f t="shared" si="408"/>
        <v>Super Rubro</v>
      </c>
      <c r="AG629" t="str">
        <f t="shared" si="409"/>
        <v>ComercioExterior</v>
      </c>
      <c r="AH629" t="str">
        <f t="shared" si="410"/>
        <v>PrecioFOB</v>
      </c>
      <c r="AI629" t="str">
        <f t="shared" si="411"/>
        <v>Monto II</v>
      </c>
      <c r="AJ629" t="str">
        <f t="shared" si="412"/>
        <v>Porcentaje II</v>
      </c>
      <c r="AK629" t="str">
        <f t="shared" si="413"/>
        <v>Foto</v>
      </c>
      <c r="AL629" t="str">
        <f t="shared" si="432"/>
        <v xml:space="preserve"> </v>
      </c>
      <c r="AM629" t="str">
        <f t="shared" si="430"/>
        <v xml:space="preserve"> </v>
      </c>
    </row>
    <row r="630" spans="1:39" x14ac:dyDescent="0.25">
      <c r="A630" t="str">
        <f>"AX415 10"</f>
        <v>AX415 10</v>
      </c>
      <c r="B630" t="str">
        <f>"COJINETES AXIALES 0,254 PEUGEOT 504 505 DIESEL XD2 XD3"</f>
        <v>COJINETES AXIALES 0,254 PEUGEOT 504 505 DIESEL XD2 XD3</v>
      </c>
      <c r="C630" t="str">
        <f>"$ 7775,21"</f>
        <v>$ 7775,21</v>
      </c>
      <c r="D630" t="str">
        <f>"$ 7775,21"</f>
        <v>$ 7775,21</v>
      </c>
      <c r="E630" t="str">
        <f>"$ 7775,21"</f>
        <v>$ 7775,21</v>
      </c>
      <c r="F630" t="str">
        <f>"$ 7775,21"</f>
        <v>$ 7775,21</v>
      </c>
      <c r="G630" t="str">
        <f>"$ 7775,21"</f>
        <v>$ 7775,21</v>
      </c>
      <c r="H630" t="str">
        <f t="shared" si="396"/>
        <v>$ 0,00</v>
      </c>
      <c r="I630" t="str">
        <f t="shared" si="435"/>
        <v>JUEGO AXIALES</v>
      </c>
      <c r="J630" t="str">
        <f t="shared" si="397"/>
        <v>1</v>
      </c>
      <c r="K630" t="str">
        <f t="shared" si="423"/>
        <v>0</v>
      </c>
      <c r="L630" t="str">
        <f>"14,000"</f>
        <v>14,000</v>
      </c>
      <c r="M630" t="str">
        <f t="shared" si="398"/>
        <v xml:space="preserve"> </v>
      </c>
      <c r="N630" t="str">
        <f t="shared" si="427"/>
        <v>MPSI</v>
      </c>
      <c r="O630" t="str">
        <f t="shared" si="428"/>
        <v>COJINETES</v>
      </c>
      <c r="P630" t="str">
        <f t="shared" si="433"/>
        <v>0</v>
      </c>
      <c r="Q630" t="str">
        <f t="shared" si="433"/>
        <v>0</v>
      </c>
      <c r="R630" t="str">
        <f t="shared" si="434"/>
        <v>0,00</v>
      </c>
      <c r="S630" t="str">
        <f t="shared" si="434"/>
        <v>0,00</v>
      </c>
      <c r="T630" t="str">
        <f t="shared" si="420"/>
        <v xml:space="preserve"> </v>
      </c>
      <c r="U630" t="str">
        <f t="shared" si="429"/>
        <v>-</v>
      </c>
      <c r="V630" t="str">
        <f>"14,000"</f>
        <v>14,000</v>
      </c>
      <c r="W630" t="str">
        <f t="shared" si="399"/>
        <v>Lista 4</v>
      </c>
      <c r="X630" t="str">
        <f t="shared" si="400"/>
        <v>Lista 5</v>
      </c>
      <c r="Y630" t="str">
        <f t="shared" si="401"/>
        <v>Oferta Gral.</v>
      </c>
      <c r="Z630" t="str">
        <f t="shared" si="402"/>
        <v>Rubro</v>
      </c>
      <c r="AA630" t="str">
        <f t="shared" si="403"/>
        <v>Cantidad por Bulto</v>
      </c>
      <c r="AB630" t="str">
        <f t="shared" si="404"/>
        <v>INNER</v>
      </c>
      <c r="AC630" t="str">
        <f t="shared" si="405"/>
        <v>Stock en Bultos</v>
      </c>
      <c r="AD630" t="str">
        <f t="shared" si="406"/>
        <v>SubDepósito</v>
      </c>
      <c r="AE630" t="str">
        <f t="shared" si="407"/>
        <v>Marca</v>
      </c>
      <c r="AF630" t="str">
        <f t="shared" si="408"/>
        <v>Super Rubro</v>
      </c>
      <c r="AG630" t="str">
        <f t="shared" si="409"/>
        <v>ComercioExterior</v>
      </c>
      <c r="AH630" t="str">
        <f t="shared" si="410"/>
        <v>PrecioFOB</v>
      </c>
      <c r="AI630" t="str">
        <f t="shared" si="411"/>
        <v>Monto II</v>
      </c>
      <c r="AJ630" t="str">
        <f t="shared" si="412"/>
        <v>Porcentaje II</v>
      </c>
      <c r="AK630" t="str">
        <f t="shared" si="413"/>
        <v>Foto</v>
      </c>
      <c r="AL630" t="str">
        <f t="shared" si="432"/>
        <v xml:space="preserve"> </v>
      </c>
      <c r="AM630" t="str">
        <f t="shared" si="430"/>
        <v xml:space="preserve"> </v>
      </c>
    </row>
    <row r="631" spans="1:39" x14ac:dyDescent="0.25">
      <c r="A631" t="str">
        <f>"AX361035 10"</f>
        <v>AX361035 10</v>
      </c>
      <c r="B631" t="str">
        <f>"COJINETES AXIALES 0,254 PEUGEOT CITROEN 1.6 16V TURBO THP"</f>
        <v>COJINETES AXIALES 0,254 PEUGEOT CITROEN 1.6 16V TURBO THP</v>
      </c>
      <c r="C631" t="str">
        <f>"$ 4273,40"</f>
        <v>$ 4273,40</v>
      </c>
      <c r="D631" t="str">
        <f>"$ 4273,40"</f>
        <v>$ 4273,40</v>
      </c>
      <c r="E631" t="str">
        <f>"$ 4273,40"</f>
        <v>$ 4273,40</v>
      </c>
      <c r="F631" t="str">
        <f>"$ 4273,40"</f>
        <v>$ 4273,40</v>
      </c>
      <c r="G631" t="str">
        <f>"$ 4273,40"</f>
        <v>$ 4273,40</v>
      </c>
      <c r="H631" t="str">
        <f t="shared" si="396"/>
        <v>$ 0,00</v>
      </c>
      <c r="I631" t="str">
        <f t="shared" si="435"/>
        <v>JUEGO AXIALES</v>
      </c>
      <c r="J631" t="str">
        <f t="shared" si="397"/>
        <v>1</v>
      </c>
      <c r="K631" t="str">
        <f t="shared" si="423"/>
        <v>0</v>
      </c>
      <c r="L631" t="str">
        <f>"0,000"</f>
        <v>0,000</v>
      </c>
      <c r="M631" t="str">
        <f t="shared" si="398"/>
        <v xml:space="preserve"> </v>
      </c>
      <c r="N631" t="str">
        <f t="shared" si="427"/>
        <v>MPSI</v>
      </c>
      <c r="O631" t="str">
        <f t="shared" si="428"/>
        <v>COJINETES</v>
      </c>
      <c r="P631" t="str">
        <f t="shared" si="433"/>
        <v>0</v>
      </c>
      <c r="Q631" t="str">
        <f t="shared" si="433"/>
        <v>0</v>
      </c>
      <c r="R631" t="str">
        <f t="shared" si="434"/>
        <v>0,00</v>
      </c>
      <c r="S631" t="str">
        <f t="shared" si="434"/>
        <v>0,00</v>
      </c>
      <c r="T631" t="str">
        <f t="shared" si="420"/>
        <v xml:space="preserve"> </v>
      </c>
      <c r="U631" t="str">
        <f t="shared" si="429"/>
        <v>-</v>
      </c>
      <c r="V631" t="str">
        <f>"0,000"</f>
        <v>0,000</v>
      </c>
      <c r="W631" t="str">
        <f t="shared" si="399"/>
        <v>Lista 4</v>
      </c>
      <c r="X631" t="str">
        <f t="shared" si="400"/>
        <v>Lista 5</v>
      </c>
      <c r="Y631" t="str">
        <f t="shared" si="401"/>
        <v>Oferta Gral.</v>
      </c>
      <c r="Z631" t="str">
        <f t="shared" si="402"/>
        <v>Rubro</v>
      </c>
      <c r="AA631" t="str">
        <f t="shared" si="403"/>
        <v>Cantidad por Bulto</v>
      </c>
      <c r="AB631" t="str">
        <f t="shared" si="404"/>
        <v>INNER</v>
      </c>
      <c r="AC631" t="str">
        <f t="shared" si="405"/>
        <v>Stock en Bultos</v>
      </c>
      <c r="AD631" t="str">
        <f t="shared" si="406"/>
        <v>SubDepósito</v>
      </c>
      <c r="AE631" t="str">
        <f t="shared" si="407"/>
        <v>Marca</v>
      </c>
      <c r="AF631" t="str">
        <f t="shared" si="408"/>
        <v>Super Rubro</v>
      </c>
      <c r="AG631" t="str">
        <f t="shared" si="409"/>
        <v>ComercioExterior</v>
      </c>
      <c r="AH631" t="str">
        <f t="shared" si="410"/>
        <v>PrecioFOB</v>
      </c>
      <c r="AI631" t="str">
        <f t="shared" si="411"/>
        <v>Monto II</v>
      </c>
      <c r="AJ631" t="str">
        <f t="shared" si="412"/>
        <v>Porcentaje II</v>
      </c>
      <c r="AK631" t="str">
        <f t="shared" si="413"/>
        <v>Foto</v>
      </c>
      <c r="AL631" t="str">
        <f t="shared" si="432"/>
        <v xml:space="preserve"> </v>
      </c>
      <c r="AM631" t="str">
        <f t="shared" si="430"/>
        <v xml:space="preserve"> </v>
      </c>
    </row>
    <row r="632" spans="1:39" x14ac:dyDescent="0.25">
      <c r="A632" t="str">
        <f>"AX241 10"</f>
        <v>AX241 10</v>
      </c>
      <c r="B632" t="str">
        <f>"COJINETES AXIALES 0,254 RENAULT 18 FUEGO TRAFIC 2.D NAFTA Y DIESEL"</f>
        <v>COJINETES AXIALES 0,254 RENAULT 18 FUEGO TRAFIC 2.D NAFTA Y DIESEL</v>
      </c>
      <c r="C632" t="str">
        <f>"$ 4906,49"</f>
        <v>$ 4906,49</v>
      </c>
      <c r="D632" t="str">
        <f>"$ 4906,49"</f>
        <v>$ 4906,49</v>
      </c>
      <c r="E632" t="str">
        <f>"$ 4906,49"</f>
        <v>$ 4906,49</v>
      </c>
      <c r="F632" t="str">
        <f>"$ 4906,49"</f>
        <v>$ 4906,49</v>
      </c>
      <c r="G632" t="str">
        <f>"$ 4906,49"</f>
        <v>$ 4906,49</v>
      </c>
      <c r="H632" t="str">
        <f t="shared" si="396"/>
        <v>$ 0,00</v>
      </c>
      <c r="I632" t="str">
        <f t="shared" si="435"/>
        <v>JUEGO AXIALES</v>
      </c>
      <c r="J632" t="str">
        <f t="shared" si="397"/>
        <v>1</v>
      </c>
      <c r="K632" t="str">
        <f t="shared" si="423"/>
        <v>0</v>
      </c>
      <c r="L632" t="str">
        <f>"1,000"</f>
        <v>1,000</v>
      </c>
      <c r="M632" t="str">
        <f t="shared" si="398"/>
        <v xml:space="preserve"> </v>
      </c>
      <c r="N632" t="str">
        <f t="shared" si="427"/>
        <v>MPSI</v>
      </c>
      <c r="O632" t="str">
        <f t="shared" si="428"/>
        <v>COJINETES</v>
      </c>
      <c r="P632" t="str">
        <f t="shared" si="433"/>
        <v>0</v>
      </c>
      <c r="Q632" t="str">
        <f t="shared" si="433"/>
        <v>0</v>
      </c>
      <c r="R632" t="str">
        <f t="shared" si="434"/>
        <v>0,00</v>
      </c>
      <c r="S632" t="str">
        <f t="shared" si="434"/>
        <v>0,00</v>
      </c>
      <c r="T632" t="str">
        <f t="shared" si="420"/>
        <v xml:space="preserve"> </v>
      </c>
      <c r="U632" t="str">
        <f t="shared" si="429"/>
        <v>-</v>
      </c>
      <c r="V632" t="str">
        <f>"1,000"</f>
        <v>1,000</v>
      </c>
      <c r="W632" t="str">
        <f t="shared" si="399"/>
        <v>Lista 4</v>
      </c>
      <c r="X632" t="str">
        <f t="shared" si="400"/>
        <v>Lista 5</v>
      </c>
      <c r="Y632" t="str">
        <f t="shared" si="401"/>
        <v>Oferta Gral.</v>
      </c>
      <c r="Z632" t="str">
        <f t="shared" si="402"/>
        <v>Rubro</v>
      </c>
      <c r="AA632" t="str">
        <f t="shared" si="403"/>
        <v>Cantidad por Bulto</v>
      </c>
      <c r="AB632" t="str">
        <f t="shared" si="404"/>
        <v>INNER</v>
      </c>
      <c r="AC632" t="str">
        <f t="shared" si="405"/>
        <v>Stock en Bultos</v>
      </c>
      <c r="AD632" t="str">
        <f t="shared" si="406"/>
        <v>SubDepósito</v>
      </c>
      <c r="AE632" t="str">
        <f t="shared" si="407"/>
        <v>Marca</v>
      </c>
      <c r="AF632" t="str">
        <f t="shared" si="408"/>
        <v>Super Rubro</v>
      </c>
      <c r="AG632" t="str">
        <f t="shared" si="409"/>
        <v>ComercioExterior</v>
      </c>
      <c r="AH632" t="str">
        <f t="shared" si="410"/>
        <v>PrecioFOB</v>
      </c>
      <c r="AI632" t="str">
        <f t="shared" si="411"/>
        <v>Monto II</v>
      </c>
      <c r="AJ632" t="str">
        <f t="shared" si="412"/>
        <v>Porcentaje II</v>
      </c>
      <c r="AK632" t="str">
        <f t="shared" si="413"/>
        <v>Foto</v>
      </c>
      <c r="AL632" t="str">
        <f t="shared" si="432"/>
        <v xml:space="preserve"> </v>
      </c>
      <c r="AM632" t="str">
        <f t="shared" si="430"/>
        <v xml:space="preserve"> </v>
      </c>
    </row>
    <row r="633" spans="1:39" x14ac:dyDescent="0.25">
      <c r="A633" t="str">
        <f>"AX247 10"</f>
        <v>AX247 10</v>
      </c>
      <c r="B633" t="str">
        <f>"COJINETES AXIALES 0,254 RENAULT 19 CLIO 1.9 DIESEL F8Q MEGANE 2.0 F3R"</f>
        <v>COJINETES AXIALES 0,254 RENAULT 19 CLIO 1.9 DIESEL F8Q MEGANE 2.0 F3R</v>
      </c>
      <c r="C633" t="str">
        <f>"$ 4471,24"</f>
        <v>$ 4471,24</v>
      </c>
      <c r="D633" t="str">
        <f>"$ 4471,24"</f>
        <v>$ 4471,24</v>
      </c>
      <c r="E633" t="str">
        <f>"$ 4471,24"</f>
        <v>$ 4471,24</v>
      </c>
      <c r="F633" t="str">
        <f>"$ 4471,24"</f>
        <v>$ 4471,24</v>
      </c>
      <c r="G633" t="str">
        <f>"$ 4471,24"</f>
        <v>$ 4471,24</v>
      </c>
      <c r="H633" t="str">
        <f t="shared" si="396"/>
        <v>$ 0,00</v>
      </c>
      <c r="I633" t="str">
        <f t="shared" si="435"/>
        <v>JUEGO AXIALES</v>
      </c>
      <c r="J633" t="str">
        <f t="shared" si="397"/>
        <v>1</v>
      </c>
      <c r="K633" t="str">
        <f t="shared" si="423"/>
        <v>0</v>
      </c>
      <c r="L633" t="str">
        <f>"16,000"</f>
        <v>16,000</v>
      </c>
      <c r="M633" t="str">
        <f t="shared" si="398"/>
        <v xml:space="preserve"> </v>
      </c>
      <c r="N633" t="str">
        <f t="shared" si="427"/>
        <v>MPSI</v>
      </c>
      <c r="O633" t="str">
        <f t="shared" si="428"/>
        <v>COJINETES</v>
      </c>
      <c r="P633" t="str">
        <f t="shared" si="433"/>
        <v>0</v>
      </c>
      <c r="Q633" t="str">
        <f t="shared" si="433"/>
        <v>0</v>
      </c>
      <c r="R633" t="str">
        <f t="shared" si="434"/>
        <v>0,00</v>
      </c>
      <c r="S633" t="str">
        <f t="shared" si="434"/>
        <v>0,00</v>
      </c>
      <c r="T633" t="str">
        <f t="shared" si="420"/>
        <v xml:space="preserve"> </v>
      </c>
      <c r="U633" t="str">
        <f t="shared" si="429"/>
        <v>-</v>
      </c>
      <c r="V633" t="str">
        <f>"16,000"</f>
        <v>16,000</v>
      </c>
      <c r="W633" t="str">
        <f t="shared" si="399"/>
        <v>Lista 4</v>
      </c>
      <c r="X633" t="str">
        <f t="shared" si="400"/>
        <v>Lista 5</v>
      </c>
      <c r="Y633" t="str">
        <f t="shared" si="401"/>
        <v>Oferta Gral.</v>
      </c>
      <c r="Z633" t="str">
        <f t="shared" si="402"/>
        <v>Rubro</v>
      </c>
      <c r="AA633" t="str">
        <f t="shared" si="403"/>
        <v>Cantidad por Bulto</v>
      </c>
      <c r="AB633" t="str">
        <f t="shared" si="404"/>
        <v>INNER</v>
      </c>
      <c r="AC633" t="str">
        <f t="shared" si="405"/>
        <v>Stock en Bultos</v>
      </c>
      <c r="AD633" t="str">
        <f t="shared" si="406"/>
        <v>SubDepósito</v>
      </c>
      <c r="AE633" t="str">
        <f t="shared" si="407"/>
        <v>Marca</v>
      </c>
      <c r="AF633" t="str">
        <f t="shared" si="408"/>
        <v>Super Rubro</v>
      </c>
      <c r="AG633" t="str">
        <f t="shared" si="409"/>
        <v>ComercioExterior</v>
      </c>
      <c r="AH633" t="str">
        <f t="shared" si="410"/>
        <v>PrecioFOB</v>
      </c>
      <c r="AI633" t="str">
        <f t="shared" si="411"/>
        <v>Monto II</v>
      </c>
      <c r="AJ633" t="str">
        <f t="shared" si="412"/>
        <v>Porcentaje II</v>
      </c>
      <c r="AK633" t="str">
        <f t="shared" si="413"/>
        <v>Foto</v>
      </c>
      <c r="AL633" t="str">
        <f>"{\rtf1\ansi\ansicpg1252\deff0\deflang11274{\fonttbl{\f0\fnil\fcharset0 MS Sans Serif}} \viewkind4\uc1\pard\f0\fs16 COJINETES AXIALES 0,254 RENAULT 19 CLIO 1.9 DIESEL F8Q MEGANE 2.0 F3R\par } "</f>
        <v xml:space="preserve">{\rtf1\ansi\ansicpg1252\deff0\deflang11274{\fonttbl{\f0\fnil\fcharset0 MS Sans Serif}} \viewkind4\uc1\pard\f0\fs16 COJINETES AXIALES 0,254 RENAULT 19 CLIO 1.9 DIESEL F8Q MEGANE 2.0 F3R\par } </v>
      </c>
      <c r="AM633" t="str">
        <f t="shared" si="430"/>
        <v xml:space="preserve"> </v>
      </c>
    </row>
    <row r="634" spans="1:39" x14ac:dyDescent="0.25">
      <c r="A634" t="str">
        <f>"AX237 10"</f>
        <v>AX237 10</v>
      </c>
      <c r="B634" t="str">
        <f>"COJINETES AXIALES 0,254 RENAULT 4 6 12 1.1 1.3 1.4 BANCADA CHICA"</f>
        <v>COJINETES AXIALES 0,254 RENAULT 4 6 12 1.1 1.3 1.4 BANCADA CHICA</v>
      </c>
      <c r="C634" t="str">
        <f>"$ 4273,40"</f>
        <v>$ 4273,40</v>
      </c>
      <c r="D634" t="str">
        <f>"$ 4273,40"</f>
        <v>$ 4273,40</v>
      </c>
      <c r="E634" t="str">
        <f>"$ 4273,40"</f>
        <v>$ 4273,40</v>
      </c>
      <c r="F634" t="str">
        <f>"$ 4273,40"</f>
        <v>$ 4273,40</v>
      </c>
      <c r="G634" t="str">
        <f>"$ 4273,40"</f>
        <v>$ 4273,40</v>
      </c>
      <c r="H634" t="str">
        <f t="shared" si="396"/>
        <v>$ 0,00</v>
      </c>
      <c r="I634" t="str">
        <f t="shared" si="435"/>
        <v>JUEGO AXIALES</v>
      </c>
      <c r="J634" t="str">
        <f t="shared" si="397"/>
        <v>1</v>
      </c>
      <c r="K634" t="str">
        <f t="shared" si="423"/>
        <v>0</v>
      </c>
      <c r="L634" t="str">
        <f>"9,000"</f>
        <v>9,000</v>
      </c>
      <c r="M634" t="str">
        <f t="shared" si="398"/>
        <v xml:space="preserve"> </v>
      </c>
      <c r="N634" t="str">
        <f t="shared" si="427"/>
        <v>MPSI</v>
      </c>
      <c r="O634" t="str">
        <f t="shared" si="428"/>
        <v>COJINETES</v>
      </c>
      <c r="P634" t="str">
        <f t="shared" si="433"/>
        <v>0</v>
      </c>
      <c r="Q634" t="str">
        <f t="shared" si="433"/>
        <v>0</v>
      </c>
      <c r="R634" t="str">
        <f t="shared" si="434"/>
        <v>0,00</v>
      </c>
      <c r="S634" t="str">
        <f t="shared" si="434"/>
        <v>0,00</v>
      </c>
      <c r="T634" t="str">
        <f t="shared" si="420"/>
        <v xml:space="preserve"> </v>
      </c>
      <c r="U634" t="str">
        <f t="shared" si="429"/>
        <v>-</v>
      </c>
      <c r="V634" t="str">
        <f>"9,000"</f>
        <v>9,000</v>
      </c>
      <c r="W634" t="str">
        <f t="shared" si="399"/>
        <v>Lista 4</v>
      </c>
      <c r="X634" t="str">
        <f t="shared" si="400"/>
        <v>Lista 5</v>
      </c>
      <c r="Y634" t="str">
        <f t="shared" si="401"/>
        <v>Oferta Gral.</v>
      </c>
      <c r="Z634" t="str">
        <f t="shared" si="402"/>
        <v>Rubro</v>
      </c>
      <c r="AA634" t="str">
        <f t="shared" si="403"/>
        <v>Cantidad por Bulto</v>
      </c>
      <c r="AB634" t="str">
        <f t="shared" si="404"/>
        <v>INNER</v>
      </c>
      <c r="AC634" t="str">
        <f t="shared" si="405"/>
        <v>Stock en Bultos</v>
      </c>
      <c r="AD634" t="str">
        <f t="shared" si="406"/>
        <v>SubDepósito</v>
      </c>
      <c r="AE634" t="str">
        <f t="shared" si="407"/>
        <v>Marca</v>
      </c>
      <c r="AF634" t="str">
        <f t="shared" si="408"/>
        <v>Super Rubro</v>
      </c>
      <c r="AG634" t="str">
        <f t="shared" si="409"/>
        <v>ComercioExterior</v>
      </c>
      <c r="AH634" t="str">
        <f t="shared" si="410"/>
        <v>PrecioFOB</v>
      </c>
      <c r="AI634" t="str">
        <f t="shared" si="411"/>
        <v>Monto II</v>
      </c>
      <c r="AJ634" t="str">
        <f t="shared" si="412"/>
        <v>Porcentaje II</v>
      </c>
      <c r="AK634" t="str">
        <f t="shared" si="413"/>
        <v>Foto</v>
      </c>
      <c r="AL634" t="str">
        <f t="shared" ref="AL634:AL641" si="436">" "</f>
        <v xml:space="preserve"> </v>
      </c>
      <c r="AM634" t="str">
        <f t="shared" si="430"/>
        <v xml:space="preserve"> </v>
      </c>
    </row>
    <row r="635" spans="1:39" x14ac:dyDescent="0.25">
      <c r="A635" t="str">
        <f>"AX240 10"</f>
        <v>AX240 10</v>
      </c>
      <c r="B635" t="str">
        <f>"COJINETES AXIALES 0,254 RENAULT 9 11 12 18 19 CLIO 1.3 1.4 1.6 8V"</f>
        <v>COJINETES AXIALES 0,254 RENAULT 9 11 12 18 19 CLIO 1.3 1.4 1.6 8V</v>
      </c>
      <c r="C635" t="str">
        <f>"$ 4471,24"</f>
        <v>$ 4471,24</v>
      </c>
      <c r="D635" t="str">
        <f>"$ 4471,24"</f>
        <v>$ 4471,24</v>
      </c>
      <c r="E635" t="str">
        <f>"$ 4471,24"</f>
        <v>$ 4471,24</v>
      </c>
      <c r="F635" t="str">
        <f>"$ 4471,24"</f>
        <v>$ 4471,24</v>
      </c>
      <c r="G635" t="str">
        <f>"$ 4471,24"</f>
        <v>$ 4471,24</v>
      </c>
      <c r="H635" t="str">
        <f t="shared" si="396"/>
        <v>$ 0,00</v>
      </c>
      <c r="I635" t="str">
        <f t="shared" si="435"/>
        <v>JUEGO AXIALES</v>
      </c>
      <c r="J635" t="str">
        <f t="shared" si="397"/>
        <v>1</v>
      </c>
      <c r="K635" t="str">
        <f t="shared" si="423"/>
        <v>0</v>
      </c>
      <c r="L635" t="str">
        <f>"19,000"</f>
        <v>19,000</v>
      </c>
      <c r="M635" t="str">
        <f t="shared" si="398"/>
        <v xml:space="preserve"> </v>
      </c>
      <c r="N635" t="str">
        <f t="shared" si="427"/>
        <v>MPSI</v>
      </c>
      <c r="O635" t="str">
        <f t="shared" si="428"/>
        <v>COJINETES</v>
      </c>
      <c r="P635" t="str">
        <f t="shared" si="433"/>
        <v>0</v>
      </c>
      <c r="Q635" t="str">
        <f t="shared" si="433"/>
        <v>0</v>
      </c>
      <c r="R635" t="str">
        <f t="shared" si="434"/>
        <v>0,00</v>
      </c>
      <c r="S635" t="str">
        <f t="shared" si="434"/>
        <v>0,00</v>
      </c>
      <c r="T635" t="str">
        <f t="shared" si="420"/>
        <v xml:space="preserve"> </v>
      </c>
      <c r="U635" t="str">
        <f t="shared" si="429"/>
        <v>-</v>
      </c>
      <c r="V635" t="str">
        <f>"19,000"</f>
        <v>19,000</v>
      </c>
      <c r="W635" t="str">
        <f t="shared" si="399"/>
        <v>Lista 4</v>
      </c>
      <c r="X635" t="str">
        <f t="shared" si="400"/>
        <v>Lista 5</v>
      </c>
      <c r="Y635" t="str">
        <f t="shared" si="401"/>
        <v>Oferta Gral.</v>
      </c>
      <c r="Z635" t="str">
        <f t="shared" si="402"/>
        <v>Rubro</v>
      </c>
      <c r="AA635" t="str">
        <f t="shared" si="403"/>
        <v>Cantidad por Bulto</v>
      </c>
      <c r="AB635" t="str">
        <f t="shared" si="404"/>
        <v>INNER</v>
      </c>
      <c r="AC635" t="str">
        <f t="shared" si="405"/>
        <v>Stock en Bultos</v>
      </c>
      <c r="AD635" t="str">
        <f t="shared" si="406"/>
        <v>SubDepósito</v>
      </c>
      <c r="AE635" t="str">
        <f t="shared" si="407"/>
        <v>Marca</v>
      </c>
      <c r="AF635" t="str">
        <f t="shared" si="408"/>
        <v>Super Rubro</v>
      </c>
      <c r="AG635" t="str">
        <f t="shared" si="409"/>
        <v>ComercioExterior</v>
      </c>
      <c r="AH635" t="str">
        <f t="shared" si="410"/>
        <v>PrecioFOB</v>
      </c>
      <c r="AI635" t="str">
        <f t="shared" si="411"/>
        <v>Monto II</v>
      </c>
      <c r="AJ635" t="str">
        <f t="shared" si="412"/>
        <v>Porcentaje II</v>
      </c>
      <c r="AK635" t="str">
        <f t="shared" si="413"/>
        <v>Foto</v>
      </c>
      <c r="AL635" t="str">
        <f t="shared" si="436"/>
        <v xml:space="preserve"> </v>
      </c>
      <c r="AM635" t="str">
        <f t="shared" si="430"/>
        <v xml:space="preserve"> </v>
      </c>
    </row>
    <row r="636" spans="1:39" x14ac:dyDescent="0.25">
      <c r="A636" t="str">
        <f>"AX381069 10"</f>
        <v>AX381069 10</v>
      </c>
      <c r="B636" t="str">
        <f>"COJINETES AXIALES 0,254 RENAULT KWID 1.0 3 CILINDROS"</f>
        <v>COJINETES AXIALES 0,254 RENAULT KWID 1.0 3 CILINDROS</v>
      </c>
      <c r="C636" t="str">
        <f>"$ 4649,30"</f>
        <v>$ 4649,30</v>
      </c>
      <c r="D636" t="str">
        <f>"$ 4649,30"</f>
        <v>$ 4649,30</v>
      </c>
      <c r="E636" t="str">
        <f>"$ 4649,30"</f>
        <v>$ 4649,30</v>
      </c>
      <c r="F636" t="str">
        <f>"$ 4649,30"</f>
        <v>$ 4649,30</v>
      </c>
      <c r="G636" t="str">
        <f>"$ 4649,30"</f>
        <v>$ 4649,30</v>
      </c>
      <c r="H636" t="str">
        <f t="shared" si="396"/>
        <v>$ 0,00</v>
      </c>
      <c r="I636" t="str">
        <f t="shared" si="435"/>
        <v>JUEGO AXIALES</v>
      </c>
      <c r="J636" t="str">
        <f t="shared" si="397"/>
        <v>1</v>
      </c>
      <c r="K636" t="str">
        <f t="shared" si="423"/>
        <v>0</v>
      </c>
      <c r="L636" t="str">
        <f t="shared" ref="L636:L641" si="437">"0,000"</f>
        <v>0,000</v>
      </c>
      <c r="M636" t="str">
        <f t="shared" si="398"/>
        <v xml:space="preserve"> </v>
      </c>
      <c r="N636" t="str">
        <f t="shared" si="427"/>
        <v>MPSI</v>
      </c>
      <c r="O636" t="str">
        <f t="shared" si="428"/>
        <v>COJINETES</v>
      </c>
      <c r="P636" t="str">
        <f t="shared" si="433"/>
        <v>0</v>
      </c>
      <c r="Q636" t="str">
        <f t="shared" si="433"/>
        <v>0</v>
      </c>
      <c r="R636" t="str">
        <f t="shared" si="434"/>
        <v>0,00</v>
      </c>
      <c r="S636" t="str">
        <f t="shared" si="434"/>
        <v>0,00</v>
      </c>
      <c r="T636" t="str">
        <f t="shared" si="420"/>
        <v xml:space="preserve"> </v>
      </c>
      <c r="U636" t="str">
        <f t="shared" si="429"/>
        <v>-</v>
      </c>
      <c r="V636" t="str">
        <f t="shared" ref="V636:V641" si="438">"0,000"</f>
        <v>0,000</v>
      </c>
      <c r="W636" t="str">
        <f t="shared" si="399"/>
        <v>Lista 4</v>
      </c>
      <c r="X636" t="str">
        <f t="shared" si="400"/>
        <v>Lista 5</v>
      </c>
      <c r="Y636" t="str">
        <f t="shared" si="401"/>
        <v>Oferta Gral.</v>
      </c>
      <c r="Z636" t="str">
        <f t="shared" si="402"/>
        <v>Rubro</v>
      </c>
      <c r="AA636" t="str">
        <f t="shared" si="403"/>
        <v>Cantidad por Bulto</v>
      </c>
      <c r="AB636" t="str">
        <f t="shared" si="404"/>
        <v>INNER</v>
      </c>
      <c r="AC636" t="str">
        <f t="shared" si="405"/>
        <v>Stock en Bultos</v>
      </c>
      <c r="AD636" t="str">
        <f t="shared" si="406"/>
        <v>SubDepósito</v>
      </c>
      <c r="AE636" t="str">
        <f t="shared" si="407"/>
        <v>Marca</v>
      </c>
      <c r="AF636" t="str">
        <f t="shared" si="408"/>
        <v>Super Rubro</v>
      </c>
      <c r="AG636" t="str">
        <f t="shared" si="409"/>
        <v>ComercioExterior</v>
      </c>
      <c r="AH636" t="str">
        <f t="shared" si="410"/>
        <v>PrecioFOB</v>
      </c>
      <c r="AI636" t="str">
        <f t="shared" si="411"/>
        <v>Monto II</v>
      </c>
      <c r="AJ636" t="str">
        <f t="shared" si="412"/>
        <v>Porcentaje II</v>
      </c>
      <c r="AK636" t="str">
        <f t="shared" si="413"/>
        <v>Foto</v>
      </c>
      <c r="AL636" t="str">
        <f t="shared" si="436"/>
        <v xml:space="preserve"> </v>
      </c>
      <c r="AM636" t="str">
        <f t="shared" si="430"/>
        <v xml:space="preserve"> </v>
      </c>
    </row>
    <row r="637" spans="1:39" x14ac:dyDescent="0.25">
      <c r="A637" t="str">
        <f>"AX869 10"</f>
        <v>AX869 10</v>
      </c>
      <c r="B637" t="str">
        <f>"COJINETES AXIALES 0,254 RENAULT MASTER 2.5 MOTOR G9U"</f>
        <v>COJINETES AXIALES 0,254 RENAULT MASTER 2.5 MOTOR G9U</v>
      </c>
      <c r="C637" t="str">
        <f>"$ 4728,44"</f>
        <v>$ 4728,44</v>
      </c>
      <c r="D637" t="str">
        <f>"$ 4728,44"</f>
        <v>$ 4728,44</v>
      </c>
      <c r="E637" t="str">
        <f>"$ 4728,44"</f>
        <v>$ 4728,44</v>
      </c>
      <c r="F637" t="str">
        <f>"$ 4728,44"</f>
        <v>$ 4728,44</v>
      </c>
      <c r="G637" t="str">
        <f>"$ 4728,44"</f>
        <v>$ 4728,44</v>
      </c>
      <c r="H637" t="str">
        <f t="shared" si="396"/>
        <v>$ 0,00</v>
      </c>
      <c r="I637" t="str">
        <f t="shared" si="435"/>
        <v>JUEGO AXIALES</v>
      </c>
      <c r="J637" t="str">
        <f t="shared" si="397"/>
        <v>1</v>
      </c>
      <c r="K637" t="str">
        <f t="shared" si="423"/>
        <v>0</v>
      </c>
      <c r="L637" t="str">
        <f t="shared" si="437"/>
        <v>0,000</v>
      </c>
      <c r="M637" t="str">
        <f t="shared" si="398"/>
        <v xml:space="preserve"> </v>
      </c>
      <c r="N637" t="str">
        <f t="shared" si="427"/>
        <v>MPSI</v>
      </c>
      <c r="O637" t="str">
        <f t="shared" si="428"/>
        <v>COJINETES</v>
      </c>
      <c r="P637" t="str">
        <f t="shared" si="433"/>
        <v>0</v>
      </c>
      <c r="Q637" t="str">
        <f t="shared" si="433"/>
        <v>0</v>
      </c>
      <c r="R637" t="str">
        <f t="shared" si="434"/>
        <v>0,00</v>
      </c>
      <c r="S637" t="str">
        <f t="shared" si="434"/>
        <v>0,00</v>
      </c>
      <c r="T637" t="str">
        <f t="shared" si="420"/>
        <v xml:space="preserve"> </v>
      </c>
      <c r="U637" t="str">
        <f t="shared" si="429"/>
        <v>-</v>
      </c>
      <c r="V637" t="str">
        <f t="shared" si="438"/>
        <v>0,000</v>
      </c>
      <c r="W637" t="str">
        <f t="shared" si="399"/>
        <v>Lista 4</v>
      </c>
      <c r="X637" t="str">
        <f t="shared" si="400"/>
        <v>Lista 5</v>
      </c>
      <c r="Y637" t="str">
        <f t="shared" si="401"/>
        <v>Oferta Gral.</v>
      </c>
      <c r="Z637" t="str">
        <f t="shared" si="402"/>
        <v>Rubro</v>
      </c>
      <c r="AA637" t="str">
        <f t="shared" si="403"/>
        <v>Cantidad por Bulto</v>
      </c>
      <c r="AB637" t="str">
        <f t="shared" si="404"/>
        <v>INNER</v>
      </c>
      <c r="AC637" t="str">
        <f t="shared" si="405"/>
        <v>Stock en Bultos</v>
      </c>
      <c r="AD637" t="str">
        <f t="shared" si="406"/>
        <v>SubDepósito</v>
      </c>
      <c r="AE637" t="str">
        <f t="shared" si="407"/>
        <v>Marca</v>
      </c>
      <c r="AF637" t="str">
        <f t="shared" si="408"/>
        <v>Super Rubro</v>
      </c>
      <c r="AG637" t="str">
        <f t="shared" si="409"/>
        <v>ComercioExterior</v>
      </c>
      <c r="AH637" t="str">
        <f t="shared" si="410"/>
        <v>PrecioFOB</v>
      </c>
      <c r="AI637" t="str">
        <f t="shared" si="411"/>
        <v>Monto II</v>
      </c>
      <c r="AJ637" t="str">
        <f t="shared" si="412"/>
        <v>Porcentaje II</v>
      </c>
      <c r="AK637" t="str">
        <f t="shared" si="413"/>
        <v>Foto</v>
      </c>
      <c r="AL637" t="str">
        <f t="shared" si="436"/>
        <v xml:space="preserve"> </v>
      </c>
      <c r="AM637" t="str">
        <f t="shared" si="430"/>
        <v xml:space="preserve"> </v>
      </c>
    </row>
    <row r="638" spans="1:39" x14ac:dyDescent="0.25">
      <c r="A638" t="str">
        <f>"AX442332 10"</f>
        <v>AX442332 10</v>
      </c>
      <c r="B638" t="str">
        <f>"COJINETES AXIALES 0,254 TOYOTA COROLLA YARIS 1.8 16V MOTOR 2ZR-FE"</f>
        <v>COJINETES AXIALES 0,254 TOYOTA COROLLA YARIS 1.8 16V MOTOR 2ZR-FE</v>
      </c>
      <c r="C638" t="str">
        <f>"$ 5796,79"</f>
        <v>$ 5796,79</v>
      </c>
      <c r="D638" t="str">
        <f>"$ 5796,79"</f>
        <v>$ 5796,79</v>
      </c>
      <c r="E638" t="str">
        <f>"$ 5796,79"</f>
        <v>$ 5796,79</v>
      </c>
      <c r="F638" t="str">
        <f>"$ 5796,79"</f>
        <v>$ 5796,79</v>
      </c>
      <c r="G638" t="str">
        <f>"$ 5796,79"</f>
        <v>$ 5796,79</v>
      </c>
      <c r="H638" t="str">
        <f t="shared" si="396"/>
        <v>$ 0,00</v>
      </c>
      <c r="I638" t="str">
        <f t="shared" si="435"/>
        <v>JUEGO AXIALES</v>
      </c>
      <c r="J638" t="str">
        <f t="shared" si="397"/>
        <v>1</v>
      </c>
      <c r="K638" t="str">
        <f t="shared" si="423"/>
        <v>0</v>
      </c>
      <c r="L638" t="str">
        <f t="shared" si="437"/>
        <v>0,000</v>
      </c>
      <c r="M638" t="str">
        <f t="shared" si="398"/>
        <v xml:space="preserve"> </v>
      </c>
      <c r="N638" t="str">
        <f t="shared" si="427"/>
        <v>MPSI</v>
      </c>
      <c r="O638" t="str">
        <f t="shared" si="428"/>
        <v>COJINETES</v>
      </c>
      <c r="P638" t="str">
        <f t="shared" si="433"/>
        <v>0</v>
      </c>
      <c r="Q638" t="str">
        <f t="shared" si="433"/>
        <v>0</v>
      </c>
      <c r="R638" t="str">
        <f t="shared" si="434"/>
        <v>0,00</v>
      </c>
      <c r="S638" t="str">
        <f t="shared" si="434"/>
        <v>0,00</v>
      </c>
      <c r="T638" t="str">
        <f t="shared" si="420"/>
        <v xml:space="preserve"> </v>
      </c>
      <c r="U638" t="str">
        <f t="shared" si="429"/>
        <v>-</v>
      </c>
      <c r="V638" t="str">
        <f t="shared" si="438"/>
        <v>0,000</v>
      </c>
      <c r="W638" t="str">
        <f t="shared" si="399"/>
        <v>Lista 4</v>
      </c>
      <c r="X638" t="str">
        <f t="shared" si="400"/>
        <v>Lista 5</v>
      </c>
      <c r="Y638" t="str">
        <f t="shared" si="401"/>
        <v>Oferta Gral.</v>
      </c>
      <c r="Z638" t="str">
        <f t="shared" si="402"/>
        <v>Rubro</v>
      </c>
      <c r="AA638" t="str">
        <f t="shared" si="403"/>
        <v>Cantidad por Bulto</v>
      </c>
      <c r="AB638" t="str">
        <f t="shared" si="404"/>
        <v>INNER</v>
      </c>
      <c r="AC638" t="str">
        <f t="shared" si="405"/>
        <v>Stock en Bultos</v>
      </c>
      <c r="AD638" t="str">
        <f t="shared" si="406"/>
        <v>SubDepósito</v>
      </c>
      <c r="AE638" t="str">
        <f t="shared" si="407"/>
        <v>Marca</v>
      </c>
      <c r="AF638" t="str">
        <f t="shared" si="408"/>
        <v>Super Rubro</v>
      </c>
      <c r="AG638" t="str">
        <f t="shared" si="409"/>
        <v>ComercioExterior</v>
      </c>
      <c r="AH638" t="str">
        <f t="shared" si="410"/>
        <v>PrecioFOB</v>
      </c>
      <c r="AI638" t="str">
        <f t="shared" si="411"/>
        <v>Monto II</v>
      </c>
      <c r="AJ638" t="str">
        <f t="shared" si="412"/>
        <v>Porcentaje II</v>
      </c>
      <c r="AK638" t="str">
        <f t="shared" si="413"/>
        <v>Foto</v>
      </c>
      <c r="AL638" t="str">
        <f t="shared" si="436"/>
        <v xml:space="preserve"> </v>
      </c>
      <c r="AM638" t="str">
        <f t="shared" si="430"/>
        <v xml:space="preserve"> </v>
      </c>
    </row>
    <row r="639" spans="1:39" x14ac:dyDescent="0.25">
      <c r="A639" t="str">
        <f>"AX442107 10"</f>
        <v>AX442107 10</v>
      </c>
      <c r="B639" t="str">
        <f>"COJINETES AXIALES 0,254 TOYOTA ETIOS YARIS 1.5 16V"</f>
        <v>COJINETES AXIALES 0,254 TOYOTA ETIOS YARIS 1.5 16V</v>
      </c>
      <c r="C639" t="str">
        <f>"$ 5044,98"</f>
        <v>$ 5044,98</v>
      </c>
      <c r="D639" t="str">
        <f>"$ 5044,98"</f>
        <v>$ 5044,98</v>
      </c>
      <c r="E639" t="str">
        <f>"$ 5044,98"</f>
        <v>$ 5044,98</v>
      </c>
      <c r="F639" t="str">
        <f>"$ 5044,98"</f>
        <v>$ 5044,98</v>
      </c>
      <c r="G639" t="str">
        <f>"$ 5044,98"</f>
        <v>$ 5044,98</v>
      </c>
      <c r="H639" t="str">
        <f t="shared" si="396"/>
        <v>$ 0,00</v>
      </c>
      <c r="I639" t="str">
        <f t="shared" si="435"/>
        <v>JUEGO AXIALES</v>
      </c>
      <c r="J639" t="str">
        <f t="shared" si="397"/>
        <v>1</v>
      </c>
      <c r="K639" t="str">
        <f t="shared" si="423"/>
        <v>0</v>
      </c>
      <c r="L639" t="str">
        <f t="shared" si="437"/>
        <v>0,000</v>
      </c>
      <c r="M639" t="str">
        <f t="shared" si="398"/>
        <v xml:space="preserve"> </v>
      </c>
      <c r="N639" t="str">
        <f t="shared" si="427"/>
        <v>MPSI</v>
      </c>
      <c r="O639" t="str">
        <f t="shared" si="428"/>
        <v>COJINETES</v>
      </c>
      <c r="P639" t="str">
        <f t="shared" si="433"/>
        <v>0</v>
      </c>
      <c r="Q639" t="str">
        <f t="shared" si="433"/>
        <v>0</v>
      </c>
      <c r="R639" t="str">
        <f t="shared" si="434"/>
        <v>0,00</v>
      </c>
      <c r="S639" t="str">
        <f t="shared" si="434"/>
        <v>0,00</v>
      </c>
      <c r="T639" t="str">
        <f t="shared" si="420"/>
        <v xml:space="preserve"> </v>
      </c>
      <c r="U639" t="str">
        <f t="shared" si="429"/>
        <v>-</v>
      </c>
      <c r="V639" t="str">
        <f t="shared" si="438"/>
        <v>0,000</v>
      </c>
      <c r="W639" t="str">
        <f t="shared" si="399"/>
        <v>Lista 4</v>
      </c>
      <c r="X639" t="str">
        <f t="shared" si="400"/>
        <v>Lista 5</v>
      </c>
      <c r="Y639" t="str">
        <f t="shared" si="401"/>
        <v>Oferta Gral.</v>
      </c>
      <c r="Z639" t="str">
        <f t="shared" si="402"/>
        <v>Rubro</v>
      </c>
      <c r="AA639" t="str">
        <f t="shared" si="403"/>
        <v>Cantidad por Bulto</v>
      </c>
      <c r="AB639" t="str">
        <f t="shared" si="404"/>
        <v>INNER</v>
      </c>
      <c r="AC639" t="str">
        <f t="shared" si="405"/>
        <v>Stock en Bultos</v>
      </c>
      <c r="AD639" t="str">
        <f t="shared" si="406"/>
        <v>SubDepósito</v>
      </c>
      <c r="AE639" t="str">
        <f t="shared" si="407"/>
        <v>Marca</v>
      </c>
      <c r="AF639" t="str">
        <f t="shared" si="408"/>
        <v>Super Rubro</v>
      </c>
      <c r="AG639" t="str">
        <f t="shared" si="409"/>
        <v>ComercioExterior</v>
      </c>
      <c r="AH639" t="str">
        <f t="shared" si="410"/>
        <v>PrecioFOB</v>
      </c>
      <c r="AI639" t="str">
        <f t="shared" si="411"/>
        <v>Monto II</v>
      </c>
      <c r="AJ639" t="str">
        <f t="shared" si="412"/>
        <v>Porcentaje II</v>
      </c>
      <c r="AK639" t="str">
        <f t="shared" si="413"/>
        <v>Foto</v>
      </c>
      <c r="AL639" t="str">
        <f t="shared" si="436"/>
        <v xml:space="preserve"> </v>
      </c>
      <c r="AM639" t="str">
        <f t="shared" si="430"/>
        <v xml:space="preserve"> </v>
      </c>
    </row>
    <row r="640" spans="1:39" x14ac:dyDescent="0.25">
      <c r="A640" t="str">
        <f>"AX748 10"</f>
        <v>AX748 10</v>
      </c>
      <c r="B640" t="str">
        <f>"COJINETES AXIALES 0,254 TOYOTA HILUX 2.8 L DIESEL MOTOR 3L"</f>
        <v>COJINETES AXIALES 0,254 TOYOTA HILUX 2.8 L DIESEL MOTOR 3L</v>
      </c>
      <c r="C640" t="str">
        <f>"$ 7775,21"</f>
        <v>$ 7775,21</v>
      </c>
      <c r="D640" t="str">
        <f>"$ 7775,21"</f>
        <v>$ 7775,21</v>
      </c>
      <c r="E640" t="str">
        <f>"$ 7775,21"</f>
        <v>$ 7775,21</v>
      </c>
      <c r="F640" t="str">
        <f>"$ 7775,21"</f>
        <v>$ 7775,21</v>
      </c>
      <c r="G640" t="str">
        <f>"$ 7775,21"</f>
        <v>$ 7775,21</v>
      </c>
      <c r="H640" t="str">
        <f t="shared" si="396"/>
        <v>$ 0,00</v>
      </c>
      <c r="I640" t="str">
        <f t="shared" si="435"/>
        <v>JUEGO AXIALES</v>
      </c>
      <c r="J640" t="str">
        <f t="shared" si="397"/>
        <v>1</v>
      </c>
      <c r="K640" t="str">
        <f t="shared" si="423"/>
        <v>0</v>
      </c>
      <c r="L640" t="str">
        <f t="shared" si="437"/>
        <v>0,000</v>
      </c>
      <c r="M640" t="str">
        <f t="shared" si="398"/>
        <v xml:space="preserve"> </v>
      </c>
      <c r="N640" t="str">
        <f t="shared" si="427"/>
        <v>MPSI</v>
      </c>
      <c r="O640" t="str">
        <f t="shared" si="428"/>
        <v>COJINETES</v>
      </c>
      <c r="P640" t="str">
        <f t="shared" si="433"/>
        <v>0</v>
      </c>
      <c r="Q640" t="str">
        <f t="shared" si="433"/>
        <v>0</v>
      </c>
      <c r="R640" t="str">
        <f t="shared" si="434"/>
        <v>0,00</v>
      </c>
      <c r="S640" t="str">
        <f t="shared" si="434"/>
        <v>0,00</v>
      </c>
      <c r="T640" t="str">
        <f t="shared" si="420"/>
        <v xml:space="preserve"> </v>
      </c>
      <c r="U640" t="str">
        <f t="shared" si="429"/>
        <v>-</v>
      </c>
      <c r="V640" t="str">
        <f t="shared" si="438"/>
        <v>0,000</v>
      </c>
      <c r="W640" t="str">
        <f t="shared" si="399"/>
        <v>Lista 4</v>
      </c>
      <c r="X640" t="str">
        <f t="shared" si="400"/>
        <v>Lista 5</v>
      </c>
      <c r="Y640" t="str">
        <f t="shared" si="401"/>
        <v>Oferta Gral.</v>
      </c>
      <c r="Z640" t="str">
        <f t="shared" si="402"/>
        <v>Rubro</v>
      </c>
      <c r="AA640" t="str">
        <f t="shared" si="403"/>
        <v>Cantidad por Bulto</v>
      </c>
      <c r="AB640" t="str">
        <f t="shared" si="404"/>
        <v>INNER</v>
      </c>
      <c r="AC640" t="str">
        <f t="shared" si="405"/>
        <v>Stock en Bultos</v>
      </c>
      <c r="AD640" t="str">
        <f t="shared" si="406"/>
        <v>SubDepósito</v>
      </c>
      <c r="AE640" t="str">
        <f t="shared" si="407"/>
        <v>Marca</v>
      </c>
      <c r="AF640" t="str">
        <f t="shared" si="408"/>
        <v>Super Rubro</v>
      </c>
      <c r="AG640" t="str">
        <f t="shared" si="409"/>
        <v>ComercioExterior</v>
      </c>
      <c r="AH640" t="str">
        <f t="shared" si="410"/>
        <v>PrecioFOB</v>
      </c>
      <c r="AI640" t="str">
        <f t="shared" si="411"/>
        <v>Monto II</v>
      </c>
      <c r="AJ640" t="str">
        <f t="shared" si="412"/>
        <v>Porcentaje II</v>
      </c>
      <c r="AK640" t="str">
        <f t="shared" si="413"/>
        <v>Foto</v>
      </c>
      <c r="AL640" t="str">
        <f t="shared" si="436"/>
        <v xml:space="preserve"> </v>
      </c>
      <c r="AM640" t="str">
        <f t="shared" si="430"/>
        <v xml:space="preserve"> </v>
      </c>
    </row>
    <row r="641" spans="1:39" x14ac:dyDescent="0.25">
      <c r="A641" t="str">
        <f>"AX837 10"</f>
        <v>AX837 10</v>
      </c>
      <c r="B641" t="str">
        <f>"COJINETES AXIALES 0,254 TOYOTA HILUX 3.0 MOTOR D4D 1KD"</f>
        <v>COJINETES AXIALES 0,254 TOYOTA HILUX 3.0 MOTOR D4D 1KD</v>
      </c>
      <c r="C641" t="str">
        <f>"$ 8348,95"</f>
        <v>$ 8348,95</v>
      </c>
      <c r="D641" t="str">
        <f>"$ 8348,95"</f>
        <v>$ 8348,95</v>
      </c>
      <c r="E641" t="str">
        <f>"$ 8348,95"</f>
        <v>$ 8348,95</v>
      </c>
      <c r="F641" t="str">
        <f>"$ 8348,95"</f>
        <v>$ 8348,95</v>
      </c>
      <c r="G641" t="str">
        <f>"$ 8348,95"</f>
        <v>$ 8348,95</v>
      </c>
      <c r="H641" t="str">
        <f t="shared" si="396"/>
        <v>$ 0,00</v>
      </c>
      <c r="I641" t="str">
        <f t="shared" si="435"/>
        <v>JUEGO AXIALES</v>
      </c>
      <c r="J641" t="str">
        <f t="shared" si="397"/>
        <v>1</v>
      </c>
      <c r="K641" t="str">
        <f t="shared" si="423"/>
        <v>0</v>
      </c>
      <c r="L641" t="str">
        <f t="shared" si="437"/>
        <v>0,000</v>
      </c>
      <c r="M641" t="str">
        <f t="shared" si="398"/>
        <v xml:space="preserve"> </v>
      </c>
      <c r="N641" t="str">
        <f t="shared" si="427"/>
        <v>MPSI</v>
      </c>
      <c r="O641" t="str">
        <f t="shared" si="428"/>
        <v>COJINETES</v>
      </c>
      <c r="P641" t="str">
        <f t="shared" si="433"/>
        <v>0</v>
      </c>
      <c r="Q641" t="str">
        <f t="shared" si="433"/>
        <v>0</v>
      </c>
      <c r="R641" t="str">
        <f t="shared" si="434"/>
        <v>0,00</v>
      </c>
      <c r="S641" t="str">
        <f t="shared" si="434"/>
        <v>0,00</v>
      </c>
      <c r="T641" t="str">
        <f t="shared" si="420"/>
        <v xml:space="preserve"> </v>
      </c>
      <c r="U641" t="str">
        <f t="shared" si="429"/>
        <v>-</v>
      </c>
      <c r="V641" t="str">
        <f t="shared" si="438"/>
        <v>0,000</v>
      </c>
      <c r="W641" t="str">
        <f t="shared" si="399"/>
        <v>Lista 4</v>
      </c>
      <c r="X641" t="str">
        <f t="shared" si="400"/>
        <v>Lista 5</v>
      </c>
      <c r="Y641" t="str">
        <f t="shared" si="401"/>
        <v>Oferta Gral.</v>
      </c>
      <c r="Z641" t="str">
        <f t="shared" si="402"/>
        <v>Rubro</v>
      </c>
      <c r="AA641" t="str">
        <f t="shared" si="403"/>
        <v>Cantidad por Bulto</v>
      </c>
      <c r="AB641" t="str">
        <f t="shared" si="404"/>
        <v>INNER</v>
      </c>
      <c r="AC641" t="str">
        <f t="shared" si="405"/>
        <v>Stock en Bultos</v>
      </c>
      <c r="AD641" t="str">
        <f t="shared" si="406"/>
        <v>SubDepósito</v>
      </c>
      <c r="AE641" t="str">
        <f t="shared" si="407"/>
        <v>Marca</v>
      </c>
      <c r="AF641" t="str">
        <f t="shared" si="408"/>
        <v>Super Rubro</v>
      </c>
      <c r="AG641" t="str">
        <f t="shared" si="409"/>
        <v>ComercioExterior</v>
      </c>
      <c r="AH641" t="str">
        <f t="shared" si="410"/>
        <v>PrecioFOB</v>
      </c>
      <c r="AI641" t="str">
        <f t="shared" si="411"/>
        <v>Monto II</v>
      </c>
      <c r="AJ641" t="str">
        <f t="shared" si="412"/>
        <v>Porcentaje II</v>
      </c>
      <c r="AK641" t="str">
        <f t="shared" si="413"/>
        <v>Foto</v>
      </c>
      <c r="AL641" t="str">
        <f t="shared" si="436"/>
        <v xml:space="preserve"> </v>
      </c>
      <c r="AM641" t="str">
        <f t="shared" si="430"/>
        <v xml:space="preserve"> </v>
      </c>
    </row>
    <row r="642" spans="1:39" x14ac:dyDescent="0.25">
      <c r="A642" t="str">
        <f>"AX246 5"</f>
        <v>AX246 5</v>
      </c>
      <c r="B642" t="str">
        <f>"COJINETES AXIALES 0.127 RENAULT K4M 1.6 16V Y K9K 1.5 DCI"</f>
        <v>COJINETES AXIALES 0.127 RENAULT K4M 1.6 16V Y K9K 1.5 DCI</v>
      </c>
      <c r="C642" t="str">
        <f t="shared" ref="C642:G643" si="439">"$ 4649,30"</f>
        <v>$ 4649,30</v>
      </c>
      <c r="D642" t="str">
        <f t="shared" si="439"/>
        <v>$ 4649,30</v>
      </c>
      <c r="E642" t="str">
        <f t="shared" si="439"/>
        <v>$ 4649,30</v>
      </c>
      <c r="F642" t="str">
        <f t="shared" si="439"/>
        <v>$ 4649,30</v>
      </c>
      <c r="G642" t="str">
        <f t="shared" si="439"/>
        <v>$ 4649,30</v>
      </c>
      <c r="H642" t="str">
        <f t="shared" si="396"/>
        <v>$ 0,00</v>
      </c>
      <c r="I642" t="str">
        <f t="shared" si="435"/>
        <v>JUEGO AXIALES</v>
      </c>
      <c r="J642" t="str">
        <f t="shared" si="397"/>
        <v>1</v>
      </c>
      <c r="K642" t="str">
        <f t="shared" si="423"/>
        <v>0</v>
      </c>
      <c r="L642" t="str">
        <f>"9,000"</f>
        <v>9,000</v>
      </c>
      <c r="M642" t="str">
        <f t="shared" si="398"/>
        <v xml:space="preserve"> </v>
      </c>
      <c r="N642" t="str">
        <f t="shared" si="427"/>
        <v>MPSI</v>
      </c>
      <c r="O642" t="str">
        <f t="shared" si="428"/>
        <v>COJINETES</v>
      </c>
      <c r="P642" t="str">
        <f t="shared" si="433"/>
        <v>0</v>
      </c>
      <c r="Q642" t="str">
        <f t="shared" si="433"/>
        <v>0</v>
      </c>
      <c r="R642" t="str">
        <f t="shared" si="434"/>
        <v>0,00</v>
      </c>
      <c r="S642" t="str">
        <f t="shared" si="434"/>
        <v>0,00</v>
      </c>
      <c r="T642" t="str">
        <f t="shared" si="420"/>
        <v xml:space="preserve"> </v>
      </c>
      <c r="U642" t="str">
        <f>" "</f>
        <v xml:space="preserve"> </v>
      </c>
      <c r="V642" t="str">
        <f>"9,000"</f>
        <v>9,000</v>
      </c>
      <c r="W642" t="str">
        <f t="shared" si="399"/>
        <v>Lista 4</v>
      </c>
      <c r="X642" t="str">
        <f t="shared" si="400"/>
        <v>Lista 5</v>
      </c>
      <c r="Y642" t="str">
        <f t="shared" si="401"/>
        <v>Oferta Gral.</v>
      </c>
      <c r="Z642" t="str">
        <f t="shared" si="402"/>
        <v>Rubro</v>
      </c>
      <c r="AA642" t="str">
        <f t="shared" si="403"/>
        <v>Cantidad por Bulto</v>
      </c>
      <c r="AB642" t="str">
        <f t="shared" si="404"/>
        <v>INNER</v>
      </c>
      <c r="AC642" t="str">
        <f t="shared" si="405"/>
        <v>Stock en Bultos</v>
      </c>
      <c r="AD642" t="str">
        <f t="shared" si="406"/>
        <v>SubDepósito</v>
      </c>
      <c r="AE642" t="str">
        <f t="shared" si="407"/>
        <v>Marca</v>
      </c>
      <c r="AF642" t="str">
        <f t="shared" si="408"/>
        <v>Super Rubro</v>
      </c>
      <c r="AG642" t="str">
        <f t="shared" si="409"/>
        <v>ComercioExterior</v>
      </c>
      <c r="AH642" t="str">
        <f t="shared" si="410"/>
        <v>PrecioFOB</v>
      </c>
      <c r="AI642" t="str">
        <f t="shared" si="411"/>
        <v>Monto II</v>
      </c>
      <c r="AJ642" t="str">
        <f t="shared" si="412"/>
        <v>Porcentaje II</v>
      </c>
      <c r="AK642" t="str">
        <f t="shared" si="413"/>
        <v>Foto</v>
      </c>
      <c r="AL64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642" t="str">
        <f t="shared" si="430"/>
        <v xml:space="preserve"> </v>
      </c>
    </row>
    <row r="643" spans="1:39" x14ac:dyDescent="0.25">
      <c r="A643" t="str">
        <f>"AX246 10"</f>
        <v>AX246 10</v>
      </c>
      <c r="B643" t="str">
        <f>"COJINETES AXIALES 0.254 RENAULT K4M 1.6 16V Y K9K 1.5 DCI"</f>
        <v>COJINETES AXIALES 0.254 RENAULT K4M 1.6 16V Y K9K 1.5 DCI</v>
      </c>
      <c r="C643" t="str">
        <f t="shared" si="439"/>
        <v>$ 4649,30</v>
      </c>
      <c r="D643" t="str">
        <f t="shared" si="439"/>
        <v>$ 4649,30</v>
      </c>
      <c r="E643" t="str">
        <f t="shared" si="439"/>
        <v>$ 4649,30</v>
      </c>
      <c r="F643" t="str">
        <f t="shared" si="439"/>
        <v>$ 4649,30</v>
      </c>
      <c r="G643" t="str">
        <f t="shared" si="439"/>
        <v>$ 4649,30</v>
      </c>
      <c r="H643" t="str">
        <f t="shared" ref="H643:H706" si="440">"$ 0,00"</f>
        <v>$ 0,00</v>
      </c>
      <c r="I643" t="str">
        <f t="shared" si="435"/>
        <v>JUEGO AXIALES</v>
      </c>
      <c r="J643" t="str">
        <f t="shared" ref="J643:J706" si="441">"1"</f>
        <v>1</v>
      </c>
      <c r="K643" t="str">
        <f t="shared" si="423"/>
        <v>0</v>
      </c>
      <c r="L643" t="str">
        <f>"15,000"</f>
        <v>15,000</v>
      </c>
      <c r="M643" t="str">
        <f t="shared" ref="M643:M706" si="442">" "</f>
        <v xml:space="preserve"> </v>
      </c>
      <c r="N643" t="str">
        <f t="shared" si="427"/>
        <v>MPSI</v>
      </c>
      <c r="O643" t="str">
        <f t="shared" si="428"/>
        <v>COJINETES</v>
      </c>
      <c r="P643" t="str">
        <f t="shared" ref="P643:Q662" si="443">"0"</f>
        <v>0</v>
      </c>
      <c r="Q643" t="str">
        <f t="shared" si="443"/>
        <v>0</v>
      </c>
      <c r="R643" t="str">
        <f t="shared" ref="R643:S662" si="444">"0,00"</f>
        <v>0,00</v>
      </c>
      <c r="S643" t="str">
        <f t="shared" si="444"/>
        <v>0,00</v>
      </c>
      <c r="T643" t="str">
        <f t="shared" si="420"/>
        <v xml:space="preserve"> </v>
      </c>
      <c r="U643" t="str">
        <f>" "</f>
        <v xml:space="preserve"> </v>
      </c>
      <c r="V643" t="str">
        <f>"15,000"</f>
        <v>15,000</v>
      </c>
      <c r="W643" t="str">
        <f t="shared" ref="W643:W706" si="445">"Lista 4"</f>
        <v>Lista 4</v>
      </c>
      <c r="X643" t="str">
        <f t="shared" ref="X643:X706" si="446">"Lista 5"</f>
        <v>Lista 5</v>
      </c>
      <c r="Y643" t="str">
        <f t="shared" ref="Y643:Y706" si="447">"Oferta Gral."</f>
        <v>Oferta Gral.</v>
      </c>
      <c r="Z643" t="str">
        <f t="shared" ref="Z643:Z706" si="448">"Rubro"</f>
        <v>Rubro</v>
      </c>
      <c r="AA643" t="str">
        <f t="shared" ref="AA643:AA706" si="449">"Cantidad por Bulto"</f>
        <v>Cantidad por Bulto</v>
      </c>
      <c r="AB643" t="str">
        <f t="shared" ref="AB643:AB706" si="450">"INNER"</f>
        <v>INNER</v>
      </c>
      <c r="AC643" t="str">
        <f t="shared" ref="AC643:AC706" si="451">"Stock en Bultos"</f>
        <v>Stock en Bultos</v>
      </c>
      <c r="AD643" t="str">
        <f t="shared" ref="AD643:AD706" si="452">"SubDepósito"</f>
        <v>SubDepósito</v>
      </c>
      <c r="AE643" t="str">
        <f t="shared" ref="AE643:AE706" si="453">"Marca"</f>
        <v>Marca</v>
      </c>
      <c r="AF643" t="str">
        <f t="shared" ref="AF643:AF706" si="454">"Super Rubro"</f>
        <v>Super Rubro</v>
      </c>
      <c r="AG643" t="str">
        <f t="shared" ref="AG643:AG706" si="455">"ComercioExterior"</f>
        <v>ComercioExterior</v>
      </c>
      <c r="AH643" t="str">
        <f t="shared" ref="AH643:AH706" si="456">"PrecioFOB"</f>
        <v>PrecioFOB</v>
      </c>
      <c r="AI643" t="str">
        <f t="shared" ref="AI643:AI706" si="457">"Monto II"</f>
        <v>Monto II</v>
      </c>
      <c r="AJ643" t="str">
        <f t="shared" ref="AJ643:AJ706" si="458">"Porcentaje II"</f>
        <v>Porcentaje II</v>
      </c>
      <c r="AK643" t="str">
        <f t="shared" ref="AK643:AK706" si="459">"Foto"</f>
        <v>Foto</v>
      </c>
      <c r="AL64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643" t="str">
        <f t="shared" si="430"/>
        <v xml:space="preserve"> </v>
      </c>
    </row>
    <row r="644" spans="1:39" x14ac:dyDescent="0.25">
      <c r="A644" t="str">
        <f>"AX462537"</f>
        <v>AX462537</v>
      </c>
      <c r="B644" t="str">
        <f>"COJINETES AXIALES STD AMAROK 2.0 TDI"</f>
        <v>COJINETES AXIALES STD AMAROK 2.0 TDI</v>
      </c>
      <c r="C644" t="str">
        <f>"$ 7854,35"</f>
        <v>$ 7854,35</v>
      </c>
      <c r="D644" t="str">
        <f>"$ 7854,35"</f>
        <v>$ 7854,35</v>
      </c>
      <c r="E644" t="str">
        <f>"$ 7854,35"</f>
        <v>$ 7854,35</v>
      </c>
      <c r="F644" t="str">
        <f>"$ 7854,35"</f>
        <v>$ 7854,35</v>
      </c>
      <c r="G644" t="str">
        <f>"$ 7854,35"</f>
        <v>$ 7854,35</v>
      </c>
      <c r="H644" t="str">
        <f t="shared" si="440"/>
        <v>$ 0,00</v>
      </c>
      <c r="I644" t="str">
        <f t="shared" si="435"/>
        <v>JUEGO AXIALES</v>
      </c>
      <c r="J644" t="str">
        <f t="shared" si="441"/>
        <v>1</v>
      </c>
      <c r="K644" t="str">
        <f t="shared" si="423"/>
        <v>0</v>
      </c>
      <c r="L644" t="str">
        <f>"4,000"</f>
        <v>4,000</v>
      </c>
      <c r="M644" t="str">
        <f t="shared" si="442"/>
        <v xml:space="preserve"> </v>
      </c>
      <c r="N644" t="str">
        <f t="shared" si="427"/>
        <v>MPSI</v>
      </c>
      <c r="O644" t="str">
        <f t="shared" si="428"/>
        <v>COJINETES</v>
      </c>
      <c r="P644" t="str">
        <f t="shared" si="443"/>
        <v>0</v>
      </c>
      <c r="Q644" t="str">
        <f t="shared" si="443"/>
        <v>0</v>
      </c>
      <c r="R644" t="str">
        <f t="shared" si="444"/>
        <v>0,00</v>
      </c>
      <c r="S644" t="str">
        <f t="shared" si="444"/>
        <v>0,00</v>
      </c>
      <c r="T644" t="str">
        <f t="shared" si="420"/>
        <v xml:space="preserve"> </v>
      </c>
      <c r="U644" t="str">
        <f t="shared" ref="U644:U649" si="460">"-"</f>
        <v>-</v>
      </c>
      <c r="V644" t="str">
        <f>"4,000"</f>
        <v>4,000</v>
      </c>
      <c r="W644" t="str">
        <f t="shared" si="445"/>
        <v>Lista 4</v>
      </c>
      <c r="X644" t="str">
        <f t="shared" si="446"/>
        <v>Lista 5</v>
      </c>
      <c r="Y644" t="str">
        <f t="shared" si="447"/>
        <v>Oferta Gral.</v>
      </c>
      <c r="Z644" t="str">
        <f t="shared" si="448"/>
        <v>Rubro</v>
      </c>
      <c r="AA644" t="str">
        <f t="shared" si="449"/>
        <v>Cantidad por Bulto</v>
      </c>
      <c r="AB644" t="str">
        <f t="shared" si="450"/>
        <v>INNER</v>
      </c>
      <c r="AC644" t="str">
        <f t="shared" si="451"/>
        <v>Stock en Bultos</v>
      </c>
      <c r="AD644" t="str">
        <f t="shared" si="452"/>
        <v>SubDepósito</v>
      </c>
      <c r="AE644" t="str">
        <f t="shared" si="453"/>
        <v>Marca</v>
      </c>
      <c r="AF644" t="str">
        <f t="shared" si="454"/>
        <v>Super Rubro</v>
      </c>
      <c r="AG644" t="str">
        <f t="shared" si="455"/>
        <v>ComercioExterior</v>
      </c>
      <c r="AH644" t="str">
        <f t="shared" si="456"/>
        <v>PrecioFOB</v>
      </c>
      <c r="AI644" t="str">
        <f t="shared" si="457"/>
        <v>Monto II</v>
      </c>
      <c r="AJ644" t="str">
        <f t="shared" si="458"/>
        <v>Porcentaje II</v>
      </c>
      <c r="AK644" t="str">
        <f t="shared" si="459"/>
        <v>Foto</v>
      </c>
      <c r="AL644" t="str">
        <f t="shared" ref="AL644:AL649" si="461">" "</f>
        <v xml:space="preserve"> </v>
      </c>
      <c r="AM644" t="str">
        <f t="shared" si="430"/>
        <v xml:space="preserve"> </v>
      </c>
    </row>
    <row r="645" spans="1:39" x14ac:dyDescent="0.25">
      <c r="A645" t="str">
        <f>"AX580"</f>
        <v>AX580</v>
      </c>
      <c r="B645" t="str">
        <f>"COJINETES AXIALES STD DAEWOO TICO MATIZ MOTOR 3 CILINDROS F8CB F8CV"</f>
        <v>COJINETES AXIALES STD DAEWOO TICO MATIZ MOTOR 3 CILINDROS F8CB F8CV</v>
      </c>
      <c r="C645" t="str">
        <f>"$ 4471,24"</f>
        <v>$ 4471,24</v>
      </c>
      <c r="D645" t="str">
        <f>"$ 4471,24"</f>
        <v>$ 4471,24</v>
      </c>
      <c r="E645" t="str">
        <f>"$ 4471,24"</f>
        <v>$ 4471,24</v>
      </c>
      <c r="F645" t="str">
        <f>"$ 4471,24"</f>
        <v>$ 4471,24</v>
      </c>
      <c r="G645" t="str">
        <f>"$ 4471,24"</f>
        <v>$ 4471,24</v>
      </c>
      <c r="H645" t="str">
        <f t="shared" si="440"/>
        <v>$ 0,00</v>
      </c>
      <c r="I645" t="str">
        <f t="shared" si="435"/>
        <v>JUEGO AXIALES</v>
      </c>
      <c r="J645" t="str">
        <f t="shared" si="441"/>
        <v>1</v>
      </c>
      <c r="K645" t="str">
        <f t="shared" si="423"/>
        <v>0</v>
      </c>
      <c r="L645" t="str">
        <f>"0,000"</f>
        <v>0,000</v>
      </c>
      <c r="M645" t="str">
        <f t="shared" si="442"/>
        <v xml:space="preserve"> </v>
      </c>
      <c r="N645" t="str">
        <f t="shared" si="427"/>
        <v>MPSI</v>
      </c>
      <c r="O645" t="str">
        <f t="shared" si="428"/>
        <v>COJINETES</v>
      </c>
      <c r="P645" t="str">
        <f t="shared" si="443"/>
        <v>0</v>
      </c>
      <c r="Q645" t="str">
        <f t="shared" si="443"/>
        <v>0</v>
      </c>
      <c r="R645" t="str">
        <f t="shared" si="444"/>
        <v>0,00</v>
      </c>
      <c r="S645" t="str">
        <f t="shared" si="444"/>
        <v>0,00</v>
      </c>
      <c r="T645" t="str">
        <f t="shared" si="420"/>
        <v xml:space="preserve"> </v>
      </c>
      <c r="U645" t="str">
        <f t="shared" si="460"/>
        <v>-</v>
      </c>
      <c r="V645" t="str">
        <f>"0,000"</f>
        <v>0,000</v>
      </c>
      <c r="W645" t="str">
        <f t="shared" si="445"/>
        <v>Lista 4</v>
      </c>
      <c r="X645" t="str">
        <f t="shared" si="446"/>
        <v>Lista 5</v>
      </c>
      <c r="Y645" t="str">
        <f t="shared" si="447"/>
        <v>Oferta Gral.</v>
      </c>
      <c r="Z645" t="str">
        <f t="shared" si="448"/>
        <v>Rubro</v>
      </c>
      <c r="AA645" t="str">
        <f t="shared" si="449"/>
        <v>Cantidad por Bulto</v>
      </c>
      <c r="AB645" t="str">
        <f t="shared" si="450"/>
        <v>INNER</v>
      </c>
      <c r="AC645" t="str">
        <f t="shared" si="451"/>
        <v>Stock en Bultos</v>
      </c>
      <c r="AD645" t="str">
        <f t="shared" si="452"/>
        <v>SubDepósito</v>
      </c>
      <c r="AE645" t="str">
        <f t="shared" si="453"/>
        <v>Marca</v>
      </c>
      <c r="AF645" t="str">
        <f t="shared" si="454"/>
        <v>Super Rubro</v>
      </c>
      <c r="AG645" t="str">
        <f t="shared" si="455"/>
        <v>ComercioExterior</v>
      </c>
      <c r="AH645" t="str">
        <f t="shared" si="456"/>
        <v>PrecioFOB</v>
      </c>
      <c r="AI645" t="str">
        <f t="shared" si="457"/>
        <v>Monto II</v>
      </c>
      <c r="AJ645" t="str">
        <f t="shared" si="458"/>
        <v>Porcentaje II</v>
      </c>
      <c r="AK645" t="str">
        <f t="shared" si="459"/>
        <v>Foto</v>
      </c>
      <c r="AL645" t="str">
        <f t="shared" si="461"/>
        <v xml:space="preserve"> </v>
      </c>
      <c r="AM645" t="str">
        <f t="shared" si="430"/>
        <v xml:space="preserve"> </v>
      </c>
    </row>
    <row r="646" spans="1:39" x14ac:dyDescent="0.25">
      <c r="A646" t="str">
        <f>"AX131378"</f>
        <v>AX131378</v>
      </c>
      <c r="B646" t="str">
        <f>"COJINETES AXIALES STD FIAT TORO MULTIJET 2.0 16 V 170 CV DIESEL"</f>
        <v>COJINETES AXIALES STD FIAT TORO MULTIJET 2.0 16 V 170 CV DIESEL</v>
      </c>
      <c r="C646" t="str">
        <f>"$ 4847,14"</f>
        <v>$ 4847,14</v>
      </c>
      <c r="D646" t="str">
        <f>"$ 4847,14"</f>
        <v>$ 4847,14</v>
      </c>
      <c r="E646" t="str">
        <f>"$ 4847,14"</f>
        <v>$ 4847,14</v>
      </c>
      <c r="F646" t="str">
        <f>"$ 4847,14"</f>
        <v>$ 4847,14</v>
      </c>
      <c r="G646" t="str">
        <f>"$ 4847,14"</f>
        <v>$ 4847,14</v>
      </c>
      <c r="H646" t="str">
        <f t="shared" si="440"/>
        <v>$ 0,00</v>
      </c>
      <c r="I646" t="str">
        <f t="shared" si="435"/>
        <v>JUEGO AXIALES</v>
      </c>
      <c r="J646" t="str">
        <f t="shared" si="441"/>
        <v>1</v>
      </c>
      <c r="K646" t="str">
        <f t="shared" si="423"/>
        <v>0</v>
      </c>
      <c r="L646" t="str">
        <f>"4,000"</f>
        <v>4,000</v>
      </c>
      <c r="M646" t="str">
        <f t="shared" si="442"/>
        <v xml:space="preserve"> </v>
      </c>
      <c r="N646" t="str">
        <f t="shared" si="427"/>
        <v>MPSI</v>
      </c>
      <c r="O646" t="str">
        <f t="shared" si="428"/>
        <v>COJINETES</v>
      </c>
      <c r="P646" t="str">
        <f t="shared" si="443"/>
        <v>0</v>
      </c>
      <c r="Q646" t="str">
        <f t="shared" si="443"/>
        <v>0</v>
      </c>
      <c r="R646" t="str">
        <f t="shared" si="444"/>
        <v>0,00</v>
      </c>
      <c r="S646" t="str">
        <f t="shared" si="444"/>
        <v>0,00</v>
      </c>
      <c r="T646" t="str">
        <f t="shared" si="420"/>
        <v xml:space="preserve"> </v>
      </c>
      <c r="U646" t="str">
        <f t="shared" si="460"/>
        <v>-</v>
      </c>
      <c r="V646" t="str">
        <f>"4,000"</f>
        <v>4,000</v>
      </c>
      <c r="W646" t="str">
        <f t="shared" si="445"/>
        <v>Lista 4</v>
      </c>
      <c r="X646" t="str">
        <f t="shared" si="446"/>
        <v>Lista 5</v>
      </c>
      <c r="Y646" t="str">
        <f t="shared" si="447"/>
        <v>Oferta Gral.</v>
      </c>
      <c r="Z646" t="str">
        <f t="shared" si="448"/>
        <v>Rubro</v>
      </c>
      <c r="AA646" t="str">
        <f t="shared" si="449"/>
        <v>Cantidad por Bulto</v>
      </c>
      <c r="AB646" t="str">
        <f t="shared" si="450"/>
        <v>INNER</v>
      </c>
      <c r="AC646" t="str">
        <f t="shared" si="451"/>
        <v>Stock en Bultos</v>
      </c>
      <c r="AD646" t="str">
        <f t="shared" si="452"/>
        <v>SubDepósito</v>
      </c>
      <c r="AE646" t="str">
        <f t="shared" si="453"/>
        <v>Marca</v>
      </c>
      <c r="AF646" t="str">
        <f t="shared" si="454"/>
        <v>Super Rubro</v>
      </c>
      <c r="AG646" t="str">
        <f t="shared" si="455"/>
        <v>ComercioExterior</v>
      </c>
      <c r="AH646" t="str">
        <f t="shared" si="456"/>
        <v>PrecioFOB</v>
      </c>
      <c r="AI646" t="str">
        <f t="shared" si="457"/>
        <v>Monto II</v>
      </c>
      <c r="AJ646" t="str">
        <f t="shared" si="458"/>
        <v>Porcentaje II</v>
      </c>
      <c r="AK646" t="str">
        <f t="shared" si="459"/>
        <v>Foto</v>
      </c>
      <c r="AL646" t="str">
        <f t="shared" si="461"/>
        <v xml:space="preserve"> </v>
      </c>
      <c r="AM646" t="str">
        <f t="shared" si="430"/>
        <v xml:space="preserve"> </v>
      </c>
    </row>
    <row r="647" spans="1:39" x14ac:dyDescent="0.25">
      <c r="A647" t="str">
        <f>"AX538"</f>
        <v>AX538</v>
      </c>
      <c r="B647" t="str">
        <f>"COJINETES AXIALES STD HONDA 1600 MOTOR D16A1 D16A6 D16Y7 D16Y8"</f>
        <v>COJINETES AXIALES STD HONDA 1600 MOTOR D16A1 D16A6 D16Y7 D16Y8</v>
      </c>
      <c r="C647" t="str">
        <f>"$ 4787,79"</f>
        <v>$ 4787,79</v>
      </c>
      <c r="D647" t="str">
        <f>"$ 4787,79"</f>
        <v>$ 4787,79</v>
      </c>
      <c r="E647" t="str">
        <f>"$ 4787,79"</f>
        <v>$ 4787,79</v>
      </c>
      <c r="F647" t="str">
        <f>"$ 4787,79"</f>
        <v>$ 4787,79</v>
      </c>
      <c r="G647" t="str">
        <f>"$ 4787,79"</f>
        <v>$ 4787,79</v>
      </c>
      <c r="H647" t="str">
        <f t="shared" si="440"/>
        <v>$ 0,00</v>
      </c>
      <c r="I647" t="str">
        <f t="shared" si="435"/>
        <v>JUEGO AXIALES</v>
      </c>
      <c r="J647" t="str">
        <f t="shared" si="441"/>
        <v>1</v>
      </c>
      <c r="K647" t="str">
        <f t="shared" si="423"/>
        <v>0</v>
      </c>
      <c r="L647" t="str">
        <f>"4,000"</f>
        <v>4,000</v>
      </c>
      <c r="M647" t="str">
        <f t="shared" si="442"/>
        <v xml:space="preserve"> </v>
      </c>
      <c r="N647" t="str">
        <f t="shared" si="427"/>
        <v>MPSI</v>
      </c>
      <c r="O647" t="str">
        <f t="shared" si="428"/>
        <v>COJINETES</v>
      </c>
      <c r="P647" t="str">
        <f t="shared" si="443"/>
        <v>0</v>
      </c>
      <c r="Q647" t="str">
        <f t="shared" si="443"/>
        <v>0</v>
      </c>
      <c r="R647" t="str">
        <f t="shared" si="444"/>
        <v>0,00</v>
      </c>
      <c r="S647" t="str">
        <f t="shared" si="444"/>
        <v>0,00</v>
      </c>
      <c r="T647" t="str">
        <f t="shared" si="420"/>
        <v xml:space="preserve"> </v>
      </c>
      <c r="U647" t="str">
        <f t="shared" si="460"/>
        <v>-</v>
      </c>
      <c r="V647" t="str">
        <f>"4,000"</f>
        <v>4,000</v>
      </c>
      <c r="W647" t="str">
        <f t="shared" si="445"/>
        <v>Lista 4</v>
      </c>
      <c r="X647" t="str">
        <f t="shared" si="446"/>
        <v>Lista 5</v>
      </c>
      <c r="Y647" t="str">
        <f t="shared" si="447"/>
        <v>Oferta Gral.</v>
      </c>
      <c r="Z647" t="str">
        <f t="shared" si="448"/>
        <v>Rubro</v>
      </c>
      <c r="AA647" t="str">
        <f t="shared" si="449"/>
        <v>Cantidad por Bulto</v>
      </c>
      <c r="AB647" t="str">
        <f t="shared" si="450"/>
        <v>INNER</v>
      </c>
      <c r="AC647" t="str">
        <f t="shared" si="451"/>
        <v>Stock en Bultos</v>
      </c>
      <c r="AD647" t="str">
        <f t="shared" si="452"/>
        <v>SubDepósito</v>
      </c>
      <c r="AE647" t="str">
        <f t="shared" si="453"/>
        <v>Marca</v>
      </c>
      <c r="AF647" t="str">
        <f t="shared" si="454"/>
        <v>Super Rubro</v>
      </c>
      <c r="AG647" t="str">
        <f t="shared" si="455"/>
        <v>ComercioExterior</v>
      </c>
      <c r="AH647" t="str">
        <f t="shared" si="456"/>
        <v>PrecioFOB</v>
      </c>
      <c r="AI647" t="str">
        <f t="shared" si="457"/>
        <v>Monto II</v>
      </c>
      <c r="AJ647" t="str">
        <f t="shared" si="458"/>
        <v>Porcentaje II</v>
      </c>
      <c r="AK647" t="str">
        <f t="shared" si="459"/>
        <v>Foto</v>
      </c>
      <c r="AL647" t="str">
        <f t="shared" si="461"/>
        <v xml:space="preserve"> </v>
      </c>
      <c r="AM647" t="str">
        <f t="shared" si="430"/>
        <v xml:space="preserve"> </v>
      </c>
    </row>
    <row r="648" spans="1:39" x14ac:dyDescent="0.25">
      <c r="A648" t="str">
        <f>"AX436"</f>
        <v>AX436</v>
      </c>
      <c r="B648" t="str">
        <f>"COJINETES AXIALES STD MAXION 2.5 2.8 RANGER SPRINTER F100 S10"</f>
        <v>COJINETES AXIALES STD MAXION 2.5 2.8 RANGER SPRINTER F100 S10</v>
      </c>
      <c r="C648" t="str">
        <f>"$ 4471,24"</f>
        <v>$ 4471,24</v>
      </c>
      <c r="D648" t="str">
        <f>"$ 4471,24"</f>
        <v>$ 4471,24</v>
      </c>
      <c r="E648" t="str">
        <f>"$ 4471,24"</f>
        <v>$ 4471,24</v>
      </c>
      <c r="F648" t="str">
        <f>"$ 4471,24"</f>
        <v>$ 4471,24</v>
      </c>
      <c r="G648" t="str">
        <f>"$ 4471,24"</f>
        <v>$ 4471,24</v>
      </c>
      <c r="H648" t="str">
        <f t="shared" si="440"/>
        <v>$ 0,00</v>
      </c>
      <c r="I648" t="str">
        <f t="shared" si="435"/>
        <v>JUEGO AXIALES</v>
      </c>
      <c r="J648" t="str">
        <f t="shared" si="441"/>
        <v>1</v>
      </c>
      <c r="K648" t="str">
        <f t="shared" si="423"/>
        <v>0</v>
      </c>
      <c r="L648" t="str">
        <f>"13,000"</f>
        <v>13,000</v>
      </c>
      <c r="M648" t="str">
        <f t="shared" si="442"/>
        <v xml:space="preserve"> </v>
      </c>
      <c r="N648" t="str">
        <f t="shared" si="427"/>
        <v>MPSI</v>
      </c>
      <c r="O648" t="str">
        <f t="shared" si="428"/>
        <v>COJINETES</v>
      </c>
      <c r="P648" t="str">
        <f t="shared" si="443"/>
        <v>0</v>
      </c>
      <c r="Q648" t="str">
        <f t="shared" si="443"/>
        <v>0</v>
      </c>
      <c r="R648" t="str">
        <f t="shared" si="444"/>
        <v>0,00</v>
      </c>
      <c r="S648" t="str">
        <f t="shared" si="444"/>
        <v>0,00</v>
      </c>
      <c r="T648" t="str">
        <f t="shared" si="420"/>
        <v xml:space="preserve"> </v>
      </c>
      <c r="U648" t="str">
        <f t="shared" si="460"/>
        <v>-</v>
      </c>
      <c r="V648" t="str">
        <f>"13,000"</f>
        <v>13,000</v>
      </c>
      <c r="W648" t="str">
        <f t="shared" si="445"/>
        <v>Lista 4</v>
      </c>
      <c r="X648" t="str">
        <f t="shared" si="446"/>
        <v>Lista 5</v>
      </c>
      <c r="Y648" t="str">
        <f t="shared" si="447"/>
        <v>Oferta Gral.</v>
      </c>
      <c r="Z648" t="str">
        <f t="shared" si="448"/>
        <v>Rubro</v>
      </c>
      <c r="AA648" t="str">
        <f t="shared" si="449"/>
        <v>Cantidad por Bulto</v>
      </c>
      <c r="AB648" t="str">
        <f t="shared" si="450"/>
        <v>INNER</v>
      </c>
      <c r="AC648" t="str">
        <f t="shared" si="451"/>
        <v>Stock en Bultos</v>
      </c>
      <c r="AD648" t="str">
        <f t="shared" si="452"/>
        <v>SubDepósito</v>
      </c>
      <c r="AE648" t="str">
        <f t="shared" si="453"/>
        <v>Marca</v>
      </c>
      <c r="AF648" t="str">
        <f t="shared" si="454"/>
        <v>Super Rubro</v>
      </c>
      <c r="AG648" t="str">
        <f t="shared" si="455"/>
        <v>ComercioExterior</v>
      </c>
      <c r="AH648" t="str">
        <f t="shared" si="456"/>
        <v>PrecioFOB</v>
      </c>
      <c r="AI648" t="str">
        <f t="shared" si="457"/>
        <v>Monto II</v>
      </c>
      <c r="AJ648" t="str">
        <f t="shared" si="458"/>
        <v>Porcentaje II</v>
      </c>
      <c r="AK648" t="str">
        <f t="shared" si="459"/>
        <v>Foto</v>
      </c>
      <c r="AL648" t="str">
        <f t="shared" si="461"/>
        <v xml:space="preserve"> </v>
      </c>
      <c r="AM648" t="str">
        <f t="shared" si="430"/>
        <v xml:space="preserve"> </v>
      </c>
    </row>
    <row r="649" spans="1:39" x14ac:dyDescent="0.25">
      <c r="A649" t="str">
        <f>"AX557"</f>
        <v>AX557</v>
      </c>
      <c r="B649" t="str">
        <f>"COJINETES AXIALES STD MERCEDES SPRINTER OM611"</f>
        <v>COJINETES AXIALES STD MERCEDES SPRINTER OM611</v>
      </c>
      <c r="C649" t="str">
        <f>"$ 7854,35"</f>
        <v>$ 7854,35</v>
      </c>
      <c r="D649" t="str">
        <f>"$ 7854,35"</f>
        <v>$ 7854,35</v>
      </c>
      <c r="E649" t="str">
        <f>"$ 7854,35"</f>
        <v>$ 7854,35</v>
      </c>
      <c r="F649" t="str">
        <f>"$ 7854,35"</f>
        <v>$ 7854,35</v>
      </c>
      <c r="G649" t="str">
        <f>"$ 7854,35"</f>
        <v>$ 7854,35</v>
      </c>
      <c r="H649" t="str">
        <f t="shared" si="440"/>
        <v>$ 0,00</v>
      </c>
      <c r="I649" t="str">
        <f t="shared" si="435"/>
        <v>JUEGO AXIALES</v>
      </c>
      <c r="J649" t="str">
        <f t="shared" si="441"/>
        <v>1</v>
      </c>
      <c r="K649" t="str">
        <f t="shared" si="423"/>
        <v>0</v>
      </c>
      <c r="L649" t="str">
        <f>"9,000"</f>
        <v>9,000</v>
      </c>
      <c r="M649" t="str">
        <f t="shared" si="442"/>
        <v xml:space="preserve"> </v>
      </c>
      <c r="N649" t="str">
        <f t="shared" si="427"/>
        <v>MPSI</v>
      </c>
      <c r="O649" t="str">
        <f t="shared" si="428"/>
        <v>COJINETES</v>
      </c>
      <c r="P649" t="str">
        <f t="shared" si="443"/>
        <v>0</v>
      </c>
      <c r="Q649" t="str">
        <f t="shared" si="443"/>
        <v>0</v>
      </c>
      <c r="R649" t="str">
        <f t="shared" si="444"/>
        <v>0,00</v>
      </c>
      <c r="S649" t="str">
        <f t="shared" si="444"/>
        <v>0,00</v>
      </c>
      <c r="T649" t="str">
        <f t="shared" si="420"/>
        <v xml:space="preserve"> </v>
      </c>
      <c r="U649" t="str">
        <f t="shared" si="460"/>
        <v>-</v>
      </c>
      <c r="V649" t="str">
        <f>"9,000"</f>
        <v>9,000</v>
      </c>
      <c r="W649" t="str">
        <f t="shared" si="445"/>
        <v>Lista 4</v>
      </c>
      <c r="X649" t="str">
        <f t="shared" si="446"/>
        <v>Lista 5</v>
      </c>
      <c r="Y649" t="str">
        <f t="shared" si="447"/>
        <v>Oferta Gral.</v>
      </c>
      <c r="Z649" t="str">
        <f t="shared" si="448"/>
        <v>Rubro</v>
      </c>
      <c r="AA649" t="str">
        <f t="shared" si="449"/>
        <v>Cantidad por Bulto</v>
      </c>
      <c r="AB649" t="str">
        <f t="shared" si="450"/>
        <v>INNER</v>
      </c>
      <c r="AC649" t="str">
        <f t="shared" si="451"/>
        <v>Stock en Bultos</v>
      </c>
      <c r="AD649" t="str">
        <f t="shared" si="452"/>
        <v>SubDepósito</v>
      </c>
      <c r="AE649" t="str">
        <f t="shared" si="453"/>
        <v>Marca</v>
      </c>
      <c r="AF649" t="str">
        <f t="shared" si="454"/>
        <v>Super Rubro</v>
      </c>
      <c r="AG649" t="str">
        <f t="shared" si="455"/>
        <v>ComercioExterior</v>
      </c>
      <c r="AH649" t="str">
        <f t="shared" si="456"/>
        <v>PrecioFOB</v>
      </c>
      <c r="AI649" t="str">
        <f t="shared" si="457"/>
        <v>Monto II</v>
      </c>
      <c r="AJ649" t="str">
        <f t="shared" si="458"/>
        <v>Porcentaje II</v>
      </c>
      <c r="AK649" t="str">
        <f t="shared" si="459"/>
        <v>Foto</v>
      </c>
      <c r="AL649" t="str">
        <f t="shared" si="461"/>
        <v xml:space="preserve"> </v>
      </c>
      <c r="AM649" t="str">
        <f t="shared" si="430"/>
        <v xml:space="preserve"> </v>
      </c>
    </row>
    <row r="650" spans="1:39" x14ac:dyDescent="0.25">
      <c r="A650" t="str">
        <f>"AX413"</f>
        <v>AX413</v>
      </c>
      <c r="B650" t="str">
        <f>"COJINETES AXIALES STD P404D INDENOR 4.88  FM 2873BF"</f>
        <v>COJINETES AXIALES STD P404D INDENOR 4.88  FM 2873BF</v>
      </c>
      <c r="C650" t="str">
        <f>"$ 36403,02"</f>
        <v>$ 36403,02</v>
      </c>
      <c r="D650" t="str">
        <f>"$ 36403,02"</f>
        <v>$ 36403,02</v>
      </c>
      <c r="E650" t="str">
        <f>"$ 36403,02"</f>
        <v>$ 36403,02</v>
      </c>
      <c r="F650" t="str">
        <f>"$ 36403,02"</f>
        <v>$ 36403,02</v>
      </c>
      <c r="G650" t="str">
        <f>"$ 36403,02"</f>
        <v>$ 36403,02</v>
      </c>
      <c r="H650" t="str">
        <f t="shared" si="440"/>
        <v>$ 0,00</v>
      </c>
      <c r="I650" t="str">
        <f t="shared" si="435"/>
        <v>JUEGO AXIALES</v>
      </c>
      <c r="J650" t="str">
        <f t="shared" si="441"/>
        <v>1</v>
      </c>
      <c r="K650" t="str">
        <f t="shared" si="423"/>
        <v>0</v>
      </c>
      <c r="L650" t="str">
        <f>"6,000"</f>
        <v>6,000</v>
      </c>
      <c r="M650" t="str">
        <f t="shared" si="442"/>
        <v xml:space="preserve"> </v>
      </c>
      <c r="N650" t="str">
        <f t="shared" si="427"/>
        <v>MPSI</v>
      </c>
      <c r="O650" t="str">
        <f t="shared" si="428"/>
        <v>COJINETES</v>
      </c>
      <c r="P650" t="str">
        <f t="shared" si="443"/>
        <v>0</v>
      </c>
      <c r="Q650" t="str">
        <f t="shared" si="443"/>
        <v>0</v>
      </c>
      <c r="R650" t="str">
        <f t="shared" si="444"/>
        <v>0,00</v>
      </c>
      <c r="S650" t="str">
        <f t="shared" si="444"/>
        <v>0,00</v>
      </c>
      <c r="T650" t="str">
        <f t="shared" si="420"/>
        <v xml:space="preserve"> </v>
      </c>
      <c r="U650" t="str">
        <f>" "</f>
        <v xml:space="preserve"> </v>
      </c>
      <c r="V650" t="str">
        <f>"6,000"</f>
        <v>6,000</v>
      </c>
      <c r="W650" t="str">
        <f t="shared" si="445"/>
        <v>Lista 4</v>
      </c>
      <c r="X650" t="str">
        <f t="shared" si="446"/>
        <v>Lista 5</v>
      </c>
      <c r="Y650" t="str">
        <f t="shared" si="447"/>
        <v>Oferta Gral.</v>
      </c>
      <c r="Z650" t="str">
        <f t="shared" si="448"/>
        <v>Rubro</v>
      </c>
      <c r="AA650" t="str">
        <f t="shared" si="449"/>
        <v>Cantidad por Bulto</v>
      </c>
      <c r="AB650" t="str">
        <f t="shared" si="450"/>
        <v>INNER</v>
      </c>
      <c r="AC650" t="str">
        <f t="shared" si="451"/>
        <v>Stock en Bultos</v>
      </c>
      <c r="AD650" t="str">
        <f t="shared" si="452"/>
        <v>SubDepósito</v>
      </c>
      <c r="AE650" t="str">
        <f t="shared" si="453"/>
        <v>Marca</v>
      </c>
      <c r="AF650" t="str">
        <f t="shared" si="454"/>
        <v>Super Rubro</v>
      </c>
      <c r="AG650" t="str">
        <f t="shared" si="455"/>
        <v>ComercioExterior</v>
      </c>
      <c r="AH650" t="str">
        <f t="shared" si="456"/>
        <v>PrecioFOB</v>
      </c>
      <c r="AI650" t="str">
        <f t="shared" si="457"/>
        <v>Monto II</v>
      </c>
      <c r="AJ650" t="str">
        <f t="shared" si="458"/>
        <v>Porcentaje II</v>
      </c>
      <c r="AK650" t="str">
        <f t="shared" si="459"/>
        <v>Foto</v>
      </c>
      <c r="AL650" t="str">
        <f>"{\rtf1\ansi\ansicpg1252\deff0\deflang11274{\fonttbl{\f0\fnil\fcharset0 MS Sans Serif}} \viewkind4\uc1\pard\f0\fs16 COJINETES AXIALES STD P404D INDENOR 4.88  FM 2873BF\par } "</f>
        <v xml:space="preserve">{\rtf1\ansi\ansicpg1252\deff0\deflang11274{\fonttbl{\f0\fnil\fcharset0 MS Sans Serif}} \viewkind4\uc1\pard\f0\fs16 COJINETES AXIALES STD P404D INDENOR 4.88  FM 2873BF\par } </v>
      </c>
      <c r="AM650" t="str">
        <f>"-"</f>
        <v>-</v>
      </c>
    </row>
    <row r="651" spans="1:39" x14ac:dyDescent="0.25">
      <c r="A651" t="str">
        <f>"AX388"</f>
        <v>AX388</v>
      </c>
      <c r="B651" t="str">
        <f>"COJINETES AXIALES STD PERKINS 6-305"</f>
        <v>COJINETES AXIALES STD PERKINS 6-305</v>
      </c>
      <c r="C651" t="str">
        <f>"$ 8151,11"</f>
        <v>$ 8151,11</v>
      </c>
      <c r="D651" t="str">
        <f>"$ 8151,11"</f>
        <v>$ 8151,11</v>
      </c>
      <c r="E651" t="str">
        <f>"$ 8151,11"</f>
        <v>$ 8151,11</v>
      </c>
      <c r="F651" t="str">
        <f>"$ 8151,11"</f>
        <v>$ 8151,11</v>
      </c>
      <c r="G651" t="str">
        <f>"$ 8151,11"</f>
        <v>$ 8151,11</v>
      </c>
      <c r="H651" t="str">
        <f t="shared" si="440"/>
        <v>$ 0,00</v>
      </c>
      <c r="I651" t="str">
        <f t="shared" si="435"/>
        <v>JUEGO AXIALES</v>
      </c>
      <c r="J651" t="str">
        <f t="shared" si="441"/>
        <v>1</v>
      </c>
      <c r="K651" t="str">
        <f t="shared" si="423"/>
        <v>0</v>
      </c>
      <c r="L651" t="str">
        <f>"3,000"</f>
        <v>3,000</v>
      </c>
      <c r="M651" t="str">
        <f t="shared" si="442"/>
        <v xml:space="preserve"> </v>
      </c>
      <c r="N651" t="str">
        <f t="shared" si="427"/>
        <v>MPSI</v>
      </c>
      <c r="O651" t="str">
        <f t="shared" si="428"/>
        <v>COJINETES</v>
      </c>
      <c r="P651" t="str">
        <f t="shared" si="443"/>
        <v>0</v>
      </c>
      <c r="Q651" t="str">
        <f t="shared" si="443"/>
        <v>0</v>
      </c>
      <c r="R651" t="str">
        <f t="shared" si="444"/>
        <v>0,00</v>
      </c>
      <c r="S651" t="str">
        <f t="shared" si="444"/>
        <v>0,00</v>
      </c>
      <c r="T651" t="str">
        <f t="shared" si="420"/>
        <v xml:space="preserve"> </v>
      </c>
      <c r="U651" t="str">
        <f t="shared" ref="U651:U663" si="462">"-"</f>
        <v>-</v>
      </c>
      <c r="V651" t="str">
        <f>"3,000"</f>
        <v>3,000</v>
      </c>
      <c r="W651" t="str">
        <f t="shared" si="445"/>
        <v>Lista 4</v>
      </c>
      <c r="X651" t="str">
        <f t="shared" si="446"/>
        <v>Lista 5</v>
      </c>
      <c r="Y651" t="str">
        <f t="shared" si="447"/>
        <v>Oferta Gral.</v>
      </c>
      <c r="Z651" t="str">
        <f t="shared" si="448"/>
        <v>Rubro</v>
      </c>
      <c r="AA651" t="str">
        <f t="shared" si="449"/>
        <v>Cantidad por Bulto</v>
      </c>
      <c r="AB651" t="str">
        <f t="shared" si="450"/>
        <v>INNER</v>
      </c>
      <c r="AC651" t="str">
        <f t="shared" si="451"/>
        <v>Stock en Bultos</v>
      </c>
      <c r="AD651" t="str">
        <f t="shared" si="452"/>
        <v>SubDepósito</v>
      </c>
      <c r="AE651" t="str">
        <f t="shared" si="453"/>
        <v>Marca</v>
      </c>
      <c r="AF651" t="str">
        <f t="shared" si="454"/>
        <v>Super Rubro</v>
      </c>
      <c r="AG651" t="str">
        <f t="shared" si="455"/>
        <v>ComercioExterior</v>
      </c>
      <c r="AH651" t="str">
        <f t="shared" si="456"/>
        <v>PrecioFOB</v>
      </c>
      <c r="AI651" t="str">
        <f t="shared" si="457"/>
        <v>Monto II</v>
      </c>
      <c r="AJ651" t="str">
        <f t="shared" si="458"/>
        <v>Porcentaje II</v>
      </c>
      <c r="AK651" t="str">
        <f t="shared" si="459"/>
        <v>Foto</v>
      </c>
      <c r="AL651" t="str">
        <f t="shared" ref="AL651:AM660" si="463">" "</f>
        <v xml:space="preserve"> </v>
      </c>
      <c r="AM651" t="str">
        <f t="shared" si="463"/>
        <v xml:space="preserve"> </v>
      </c>
    </row>
    <row r="652" spans="1:39" x14ac:dyDescent="0.25">
      <c r="A652" t="str">
        <f>"AX392"</f>
        <v>AX392</v>
      </c>
      <c r="B652" t="str">
        <f>"COJINETES AXIALES STD PERKINS 6-354 FASE 2"</f>
        <v>COJINETES AXIALES STD PERKINS 6-354 FASE 2</v>
      </c>
      <c r="C652" t="str">
        <f>"$ 8348,95"</f>
        <v>$ 8348,95</v>
      </c>
      <c r="D652" t="str">
        <f>"$ 8348,95"</f>
        <v>$ 8348,95</v>
      </c>
      <c r="E652" t="str">
        <f>"$ 8348,95"</f>
        <v>$ 8348,95</v>
      </c>
      <c r="F652" t="str">
        <f>"$ 8348,95"</f>
        <v>$ 8348,95</v>
      </c>
      <c r="G652" t="str">
        <f>"$ 8348,95"</f>
        <v>$ 8348,95</v>
      </c>
      <c r="H652" t="str">
        <f t="shared" si="440"/>
        <v>$ 0,00</v>
      </c>
      <c r="I652" t="str">
        <f t="shared" si="435"/>
        <v>JUEGO AXIALES</v>
      </c>
      <c r="J652" t="str">
        <f t="shared" si="441"/>
        <v>1</v>
      </c>
      <c r="K652" t="str">
        <f t="shared" si="423"/>
        <v>0</v>
      </c>
      <c r="L652" t="str">
        <f>"9,000"</f>
        <v>9,000</v>
      </c>
      <c r="M652" t="str">
        <f t="shared" si="442"/>
        <v xml:space="preserve"> </v>
      </c>
      <c r="N652" t="str">
        <f t="shared" si="427"/>
        <v>MPSI</v>
      </c>
      <c r="O652" t="str">
        <f t="shared" si="428"/>
        <v>COJINETES</v>
      </c>
      <c r="P652" t="str">
        <f t="shared" si="443"/>
        <v>0</v>
      </c>
      <c r="Q652" t="str">
        <f t="shared" si="443"/>
        <v>0</v>
      </c>
      <c r="R652" t="str">
        <f t="shared" si="444"/>
        <v>0,00</v>
      </c>
      <c r="S652" t="str">
        <f t="shared" si="444"/>
        <v>0,00</v>
      </c>
      <c r="T652" t="str">
        <f t="shared" si="420"/>
        <v xml:space="preserve"> </v>
      </c>
      <c r="U652" t="str">
        <f t="shared" si="462"/>
        <v>-</v>
      </c>
      <c r="V652" t="str">
        <f>"9,000"</f>
        <v>9,000</v>
      </c>
      <c r="W652" t="str">
        <f t="shared" si="445"/>
        <v>Lista 4</v>
      </c>
      <c r="X652" t="str">
        <f t="shared" si="446"/>
        <v>Lista 5</v>
      </c>
      <c r="Y652" t="str">
        <f t="shared" si="447"/>
        <v>Oferta Gral.</v>
      </c>
      <c r="Z652" t="str">
        <f t="shared" si="448"/>
        <v>Rubro</v>
      </c>
      <c r="AA652" t="str">
        <f t="shared" si="449"/>
        <v>Cantidad por Bulto</v>
      </c>
      <c r="AB652" t="str">
        <f t="shared" si="450"/>
        <v>INNER</v>
      </c>
      <c r="AC652" t="str">
        <f t="shared" si="451"/>
        <v>Stock en Bultos</v>
      </c>
      <c r="AD652" t="str">
        <f t="shared" si="452"/>
        <v>SubDepósito</v>
      </c>
      <c r="AE652" t="str">
        <f t="shared" si="453"/>
        <v>Marca</v>
      </c>
      <c r="AF652" t="str">
        <f t="shared" si="454"/>
        <v>Super Rubro</v>
      </c>
      <c r="AG652" t="str">
        <f t="shared" si="455"/>
        <v>ComercioExterior</v>
      </c>
      <c r="AH652" t="str">
        <f t="shared" si="456"/>
        <v>PrecioFOB</v>
      </c>
      <c r="AI652" t="str">
        <f t="shared" si="457"/>
        <v>Monto II</v>
      </c>
      <c r="AJ652" t="str">
        <f t="shared" si="458"/>
        <v>Porcentaje II</v>
      </c>
      <c r="AK652" t="str">
        <f t="shared" si="459"/>
        <v>Foto</v>
      </c>
      <c r="AL652" t="str">
        <f t="shared" si="463"/>
        <v xml:space="preserve"> </v>
      </c>
      <c r="AM652" t="str">
        <f t="shared" si="463"/>
        <v xml:space="preserve"> </v>
      </c>
    </row>
    <row r="653" spans="1:39" x14ac:dyDescent="0.25">
      <c r="A653" t="str">
        <f>"AX422"</f>
        <v>AX422</v>
      </c>
      <c r="B653" t="str">
        <f>"COJINETES AXIALES STD PEUGEOT 306 1.9 TURBO DIESEL XUD9T"</f>
        <v>COJINETES AXIALES STD PEUGEOT 306 1.9 TURBO DIESEL XUD9T</v>
      </c>
      <c r="C653" t="str">
        <f>"$ 7656,50"</f>
        <v>$ 7656,50</v>
      </c>
      <c r="D653" t="str">
        <f>"$ 7656,50"</f>
        <v>$ 7656,50</v>
      </c>
      <c r="E653" t="str">
        <f>"$ 7656,50"</f>
        <v>$ 7656,50</v>
      </c>
      <c r="F653" t="str">
        <f>"$ 7656,50"</f>
        <v>$ 7656,50</v>
      </c>
      <c r="G653" t="str">
        <f>"$ 7656,50"</f>
        <v>$ 7656,50</v>
      </c>
      <c r="H653" t="str">
        <f t="shared" si="440"/>
        <v>$ 0,00</v>
      </c>
      <c r="I653" t="str">
        <f t="shared" si="435"/>
        <v>JUEGO AXIALES</v>
      </c>
      <c r="J653" t="str">
        <f t="shared" si="441"/>
        <v>1</v>
      </c>
      <c r="K653" t="str">
        <f t="shared" si="423"/>
        <v>0</v>
      </c>
      <c r="L653" t="str">
        <f>"5,000"</f>
        <v>5,000</v>
      </c>
      <c r="M653" t="str">
        <f t="shared" si="442"/>
        <v xml:space="preserve"> </v>
      </c>
      <c r="N653" t="str">
        <f t="shared" si="427"/>
        <v>MPSI</v>
      </c>
      <c r="O653" t="str">
        <f t="shared" si="428"/>
        <v>COJINETES</v>
      </c>
      <c r="P653" t="str">
        <f t="shared" si="443"/>
        <v>0</v>
      </c>
      <c r="Q653" t="str">
        <f t="shared" si="443"/>
        <v>0</v>
      </c>
      <c r="R653" t="str">
        <f t="shared" si="444"/>
        <v>0,00</v>
      </c>
      <c r="S653" t="str">
        <f t="shared" si="444"/>
        <v>0,00</v>
      </c>
      <c r="T653" t="str">
        <f t="shared" si="420"/>
        <v xml:space="preserve"> </v>
      </c>
      <c r="U653" t="str">
        <f t="shared" si="462"/>
        <v>-</v>
      </c>
      <c r="V653" t="str">
        <f>"5,000"</f>
        <v>5,000</v>
      </c>
      <c r="W653" t="str">
        <f t="shared" si="445"/>
        <v>Lista 4</v>
      </c>
      <c r="X653" t="str">
        <f t="shared" si="446"/>
        <v>Lista 5</v>
      </c>
      <c r="Y653" t="str">
        <f t="shared" si="447"/>
        <v>Oferta Gral.</v>
      </c>
      <c r="Z653" t="str">
        <f t="shared" si="448"/>
        <v>Rubro</v>
      </c>
      <c r="AA653" t="str">
        <f t="shared" si="449"/>
        <v>Cantidad por Bulto</v>
      </c>
      <c r="AB653" t="str">
        <f t="shared" si="450"/>
        <v>INNER</v>
      </c>
      <c r="AC653" t="str">
        <f t="shared" si="451"/>
        <v>Stock en Bultos</v>
      </c>
      <c r="AD653" t="str">
        <f t="shared" si="452"/>
        <v>SubDepósito</v>
      </c>
      <c r="AE653" t="str">
        <f t="shared" si="453"/>
        <v>Marca</v>
      </c>
      <c r="AF653" t="str">
        <f t="shared" si="454"/>
        <v>Super Rubro</v>
      </c>
      <c r="AG653" t="str">
        <f t="shared" si="455"/>
        <v>ComercioExterior</v>
      </c>
      <c r="AH653" t="str">
        <f t="shared" si="456"/>
        <v>PrecioFOB</v>
      </c>
      <c r="AI653" t="str">
        <f t="shared" si="457"/>
        <v>Monto II</v>
      </c>
      <c r="AJ653" t="str">
        <f t="shared" si="458"/>
        <v>Porcentaje II</v>
      </c>
      <c r="AK653" t="str">
        <f t="shared" si="459"/>
        <v>Foto</v>
      </c>
      <c r="AL653" t="str">
        <f t="shared" si="463"/>
        <v xml:space="preserve"> </v>
      </c>
      <c r="AM653" t="str">
        <f t="shared" si="463"/>
        <v xml:space="preserve"> </v>
      </c>
    </row>
    <row r="654" spans="1:39" x14ac:dyDescent="0.25">
      <c r="A654" t="str">
        <f>"AX732"</f>
        <v>AX732</v>
      </c>
      <c r="B654" t="str">
        <f>"COJINETES AXIALES STD PEUGEOT 307 406  2.0 EW10J4 XU7"</f>
        <v>COJINETES AXIALES STD PEUGEOT 307 406  2.0 EW10J4 XU7</v>
      </c>
      <c r="C654" t="str">
        <f>"$ 4016,20"</f>
        <v>$ 4016,20</v>
      </c>
      <c r="D654" t="str">
        <f>"$ 4016,20"</f>
        <v>$ 4016,20</v>
      </c>
      <c r="E654" t="str">
        <f>"$ 4016,20"</f>
        <v>$ 4016,20</v>
      </c>
      <c r="F654" t="str">
        <f>"$ 4016,20"</f>
        <v>$ 4016,20</v>
      </c>
      <c r="G654" t="str">
        <f>"$ 4016,20"</f>
        <v>$ 4016,20</v>
      </c>
      <c r="H654" t="str">
        <f t="shared" si="440"/>
        <v>$ 0,00</v>
      </c>
      <c r="I654" t="str">
        <f t="shared" si="435"/>
        <v>JUEGO AXIALES</v>
      </c>
      <c r="J654" t="str">
        <f t="shared" si="441"/>
        <v>1</v>
      </c>
      <c r="K654" t="str">
        <f t="shared" si="423"/>
        <v>0</v>
      </c>
      <c r="L654" t="str">
        <f>"4,000"</f>
        <v>4,000</v>
      </c>
      <c r="M654" t="str">
        <f t="shared" si="442"/>
        <v xml:space="preserve"> </v>
      </c>
      <c r="N654" t="str">
        <f t="shared" si="427"/>
        <v>MPSI</v>
      </c>
      <c r="O654" t="str">
        <f t="shared" si="428"/>
        <v>COJINETES</v>
      </c>
      <c r="P654" t="str">
        <f t="shared" si="443"/>
        <v>0</v>
      </c>
      <c r="Q654" t="str">
        <f t="shared" si="443"/>
        <v>0</v>
      </c>
      <c r="R654" t="str">
        <f t="shared" si="444"/>
        <v>0,00</v>
      </c>
      <c r="S654" t="str">
        <f t="shared" si="444"/>
        <v>0,00</v>
      </c>
      <c r="T654" t="str">
        <f t="shared" si="420"/>
        <v xml:space="preserve"> </v>
      </c>
      <c r="U654" t="str">
        <f t="shared" si="462"/>
        <v>-</v>
      </c>
      <c r="V654" t="str">
        <f>"4,000"</f>
        <v>4,000</v>
      </c>
      <c r="W654" t="str">
        <f t="shared" si="445"/>
        <v>Lista 4</v>
      </c>
      <c r="X654" t="str">
        <f t="shared" si="446"/>
        <v>Lista 5</v>
      </c>
      <c r="Y654" t="str">
        <f t="shared" si="447"/>
        <v>Oferta Gral.</v>
      </c>
      <c r="Z654" t="str">
        <f t="shared" si="448"/>
        <v>Rubro</v>
      </c>
      <c r="AA654" t="str">
        <f t="shared" si="449"/>
        <v>Cantidad por Bulto</v>
      </c>
      <c r="AB654" t="str">
        <f t="shared" si="450"/>
        <v>INNER</v>
      </c>
      <c r="AC654" t="str">
        <f t="shared" si="451"/>
        <v>Stock en Bultos</v>
      </c>
      <c r="AD654" t="str">
        <f t="shared" si="452"/>
        <v>SubDepósito</v>
      </c>
      <c r="AE654" t="str">
        <f t="shared" si="453"/>
        <v>Marca</v>
      </c>
      <c r="AF654" t="str">
        <f t="shared" si="454"/>
        <v>Super Rubro</v>
      </c>
      <c r="AG654" t="str">
        <f t="shared" si="455"/>
        <v>ComercioExterior</v>
      </c>
      <c r="AH654" t="str">
        <f t="shared" si="456"/>
        <v>PrecioFOB</v>
      </c>
      <c r="AI654" t="str">
        <f t="shared" si="457"/>
        <v>Monto II</v>
      </c>
      <c r="AJ654" t="str">
        <f t="shared" si="458"/>
        <v>Porcentaje II</v>
      </c>
      <c r="AK654" t="str">
        <f t="shared" si="459"/>
        <v>Foto</v>
      </c>
      <c r="AL654" t="str">
        <f t="shared" si="463"/>
        <v xml:space="preserve"> </v>
      </c>
      <c r="AM654" t="str">
        <f t="shared" si="463"/>
        <v xml:space="preserve"> </v>
      </c>
    </row>
    <row r="655" spans="1:39" x14ac:dyDescent="0.25">
      <c r="A655" t="str">
        <f>"AX416"</f>
        <v>AX416</v>
      </c>
      <c r="B655" t="str">
        <f>"COJINETES AXIALES STD PEUGEOT 307 406 MOTOR 2.0 EW10J4 XU7"</f>
        <v>COJINETES AXIALES STD PEUGEOT 307 406 MOTOR 2.0 EW10J4 XU7</v>
      </c>
      <c r="C655" t="str">
        <f>"$ 7775,21"</f>
        <v>$ 7775,21</v>
      </c>
      <c r="D655" t="str">
        <f>"$ 7775,21"</f>
        <v>$ 7775,21</v>
      </c>
      <c r="E655" t="str">
        <f>"$ 7775,21"</f>
        <v>$ 7775,21</v>
      </c>
      <c r="F655" t="str">
        <f>"$ 7775,21"</f>
        <v>$ 7775,21</v>
      </c>
      <c r="G655" t="str">
        <f>"$ 7775,21"</f>
        <v>$ 7775,21</v>
      </c>
      <c r="H655" t="str">
        <f t="shared" si="440"/>
        <v>$ 0,00</v>
      </c>
      <c r="I655" t="str">
        <f t="shared" si="435"/>
        <v>JUEGO AXIALES</v>
      </c>
      <c r="J655" t="str">
        <f t="shared" si="441"/>
        <v>1</v>
      </c>
      <c r="K655" t="str">
        <f t="shared" si="423"/>
        <v>0</v>
      </c>
      <c r="L655" t="str">
        <f>"0,000"</f>
        <v>0,000</v>
      </c>
      <c r="M655" t="str">
        <f t="shared" si="442"/>
        <v xml:space="preserve"> </v>
      </c>
      <c r="N655" t="str">
        <f t="shared" si="427"/>
        <v>MPSI</v>
      </c>
      <c r="O655" t="str">
        <f t="shared" si="428"/>
        <v>COJINETES</v>
      </c>
      <c r="P655" t="str">
        <f t="shared" si="443"/>
        <v>0</v>
      </c>
      <c r="Q655" t="str">
        <f t="shared" si="443"/>
        <v>0</v>
      </c>
      <c r="R655" t="str">
        <f t="shared" si="444"/>
        <v>0,00</v>
      </c>
      <c r="S655" t="str">
        <f t="shared" si="444"/>
        <v>0,00</v>
      </c>
      <c r="T655" t="str">
        <f t="shared" si="420"/>
        <v xml:space="preserve"> </v>
      </c>
      <c r="U655" t="str">
        <f t="shared" si="462"/>
        <v>-</v>
      </c>
      <c r="V655" t="str">
        <f>"0,000"</f>
        <v>0,000</v>
      </c>
      <c r="W655" t="str">
        <f t="shared" si="445"/>
        <v>Lista 4</v>
      </c>
      <c r="X655" t="str">
        <f t="shared" si="446"/>
        <v>Lista 5</v>
      </c>
      <c r="Y655" t="str">
        <f t="shared" si="447"/>
        <v>Oferta Gral.</v>
      </c>
      <c r="Z655" t="str">
        <f t="shared" si="448"/>
        <v>Rubro</v>
      </c>
      <c r="AA655" t="str">
        <f t="shared" si="449"/>
        <v>Cantidad por Bulto</v>
      </c>
      <c r="AB655" t="str">
        <f t="shared" si="450"/>
        <v>INNER</v>
      </c>
      <c r="AC655" t="str">
        <f t="shared" si="451"/>
        <v>Stock en Bultos</v>
      </c>
      <c r="AD655" t="str">
        <f t="shared" si="452"/>
        <v>SubDepósito</v>
      </c>
      <c r="AE655" t="str">
        <f t="shared" si="453"/>
        <v>Marca</v>
      </c>
      <c r="AF655" t="str">
        <f t="shared" si="454"/>
        <v>Super Rubro</v>
      </c>
      <c r="AG655" t="str">
        <f t="shared" si="455"/>
        <v>ComercioExterior</v>
      </c>
      <c r="AH655" t="str">
        <f t="shared" si="456"/>
        <v>PrecioFOB</v>
      </c>
      <c r="AI655" t="str">
        <f t="shared" si="457"/>
        <v>Monto II</v>
      </c>
      <c r="AJ655" t="str">
        <f t="shared" si="458"/>
        <v>Porcentaje II</v>
      </c>
      <c r="AK655" t="str">
        <f t="shared" si="459"/>
        <v>Foto</v>
      </c>
      <c r="AL655" t="str">
        <f t="shared" si="463"/>
        <v xml:space="preserve"> </v>
      </c>
      <c r="AM655" t="str">
        <f t="shared" si="463"/>
        <v xml:space="preserve"> </v>
      </c>
    </row>
    <row r="656" spans="1:39" x14ac:dyDescent="0.25">
      <c r="A656" t="str">
        <f>"AX731"</f>
        <v>AX731</v>
      </c>
      <c r="B656" t="str">
        <f>"COJINETES AXIALES STD PEUGEOT 307 CITROEN C4 1.6 16V TU5JP4"</f>
        <v>COJINETES AXIALES STD PEUGEOT 307 CITROEN C4 1.6 16V TU5JP4</v>
      </c>
      <c r="C656" t="str">
        <f>"$ 4392,10"</f>
        <v>$ 4392,10</v>
      </c>
      <c r="D656" t="str">
        <f>"$ 4392,10"</f>
        <v>$ 4392,10</v>
      </c>
      <c r="E656" t="str">
        <f>"$ 4392,10"</f>
        <v>$ 4392,10</v>
      </c>
      <c r="F656" t="str">
        <f>"$ 4392,10"</f>
        <v>$ 4392,10</v>
      </c>
      <c r="G656" t="str">
        <f>"$ 4392,10"</f>
        <v>$ 4392,10</v>
      </c>
      <c r="H656" t="str">
        <f t="shared" si="440"/>
        <v>$ 0,00</v>
      </c>
      <c r="I656" t="str">
        <f t="shared" si="435"/>
        <v>JUEGO AXIALES</v>
      </c>
      <c r="J656" t="str">
        <f t="shared" si="441"/>
        <v>1</v>
      </c>
      <c r="K656" t="str">
        <f t="shared" si="423"/>
        <v>0</v>
      </c>
      <c r="L656" t="str">
        <f>"2,000"</f>
        <v>2,000</v>
      </c>
      <c r="M656" t="str">
        <f t="shared" si="442"/>
        <v xml:space="preserve"> </v>
      </c>
      <c r="N656" t="str">
        <f t="shared" si="427"/>
        <v>MPSI</v>
      </c>
      <c r="O656" t="str">
        <f t="shared" si="428"/>
        <v>COJINETES</v>
      </c>
      <c r="P656" t="str">
        <f t="shared" si="443"/>
        <v>0</v>
      </c>
      <c r="Q656" t="str">
        <f t="shared" si="443"/>
        <v>0</v>
      </c>
      <c r="R656" t="str">
        <f t="shared" si="444"/>
        <v>0,00</v>
      </c>
      <c r="S656" t="str">
        <f t="shared" si="444"/>
        <v>0,00</v>
      </c>
      <c r="T656" t="str">
        <f t="shared" si="420"/>
        <v xml:space="preserve"> </v>
      </c>
      <c r="U656" t="str">
        <f t="shared" si="462"/>
        <v>-</v>
      </c>
      <c r="V656" t="str">
        <f>"2,000"</f>
        <v>2,000</v>
      </c>
      <c r="W656" t="str">
        <f t="shared" si="445"/>
        <v>Lista 4</v>
      </c>
      <c r="X656" t="str">
        <f t="shared" si="446"/>
        <v>Lista 5</v>
      </c>
      <c r="Y656" t="str">
        <f t="shared" si="447"/>
        <v>Oferta Gral.</v>
      </c>
      <c r="Z656" t="str">
        <f t="shared" si="448"/>
        <v>Rubro</v>
      </c>
      <c r="AA656" t="str">
        <f t="shared" si="449"/>
        <v>Cantidad por Bulto</v>
      </c>
      <c r="AB656" t="str">
        <f t="shared" si="450"/>
        <v>INNER</v>
      </c>
      <c r="AC656" t="str">
        <f t="shared" si="451"/>
        <v>Stock en Bultos</v>
      </c>
      <c r="AD656" t="str">
        <f t="shared" si="452"/>
        <v>SubDepósito</v>
      </c>
      <c r="AE656" t="str">
        <f t="shared" si="453"/>
        <v>Marca</v>
      </c>
      <c r="AF656" t="str">
        <f t="shared" si="454"/>
        <v>Super Rubro</v>
      </c>
      <c r="AG656" t="str">
        <f t="shared" si="455"/>
        <v>ComercioExterior</v>
      </c>
      <c r="AH656" t="str">
        <f t="shared" si="456"/>
        <v>PrecioFOB</v>
      </c>
      <c r="AI656" t="str">
        <f t="shared" si="457"/>
        <v>Monto II</v>
      </c>
      <c r="AJ656" t="str">
        <f t="shared" si="458"/>
        <v>Porcentaje II</v>
      </c>
      <c r="AK656" t="str">
        <f t="shared" si="459"/>
        <v>Foto</v>
      </c>
      <c r="AL656" t="str">
        <f t="shared" si="463"/>
        <v xml:space="preserve"> </v>
      </c>
      <c r="AM656" t="str">
        <f t="shared" si="463"/>
        <v xml:space="preserve"> </v>
      </c>
    </row>
    <row r="657" spans="1:39" x14ac:dyDescent="0.25">
      <c r="A657" t="str">
        <f>"AX412"</f>
        <v>AX412</v>
      </c>
      <c r="B657" t="str">
        <f>"COJINETES AXIALES STD PEUGEOT 404 504 NAFTA 1.6 1.8 2.0"</f>
        <v>COJINETES AXIALES STD PEUGEOT 404 504 NAFTA 1.6 1.8 2.0</v>
      </c>
      <c r="C657" t="str">
        <f>"$ 6766,21"</f>
        <v>$ 6766,21</v>
      </c>
      <c r="D657" t="str">
        <f>"$ 6766,21"</f>
        <v>$ 6766,21</v>
      </c>
      <c r="E657" t="str">
        <f>"$ 6766,21"</f>
        <v>$ 6766,21</v>
      </c>
      <c r="F657" t="str">
        <f>"$ 6766,21"</f>
        <v>$ 6766,21</v>
      </c>
      <c r="G657" t="str">
        <f>"$ 6766,21"</f>
        <v>$ 6766,21</v>
      </c>
      <c r="H657" t="str">
        <f t="shared" si="440"/>
        <v>$ 0,00</v>
      </c>
      <c r="I657" t="str">
        <f t="shared" si="435"/>
        <v>JUEGO AXIALES</v>
      </c>
      <c r="J657" t="str">
        <f t="shared" si="441"/>
        <v>1</v>
      </c>
      <c r="K657" t="str">
        <f t="shared" si="423"/>
        <v>0</v>
      </c>
      <c r="L657" t="str">
        <f>"10,000"</f>
        <v>10,000</v>
      </c>
      <c r="M657" t="str">
        <f t="shared" si="442"/>
        <v xml:space="preserve"> </v>
      </c>
      <c r="N657" t="str">
        <f t="shared" si="427"/>
        <v>MPSI</v>
      </c>
      <c r="O657" t="str">
        <f t="shared" si="428"/>
        <v>COJINETES</v>
      </c>
      <c r="P657" t="str">
        <f t="shared" si="443"/>
        <v>0</v>
      </c>
      <c r="Q657" t="str">
        <f t="shared" si="443"/>
        <v>0</v>
      </c>
      <c r="R657" t="str">
        <f t="shared" si="444"/>
        <v>0,00</v>
      </c>
      <c r="S657" t="str">
        <f t="shared" si="444"/>
        <v>0,00</v>
      </c>
      <c r="T657" t="str">
        <f t="shared" ref="T657:T720" si="464">" "</f>
        <v xml:space="preserve"> </v>
      </c>
      <c r="U657" t="str">
        <f t="shared" si="462"/>
        <v>-</v>
      </c>
      <c r="V657" t="str">
        <f>"10,000"</f>
        <v>10,000</v>
      </c>
      <c r="W657" t="str">
        <f t="shared" si="445"/>
        <v>Lista 4</v>
      </c>
      <c r="X657" t="str">
        <f t="shared" si="446"/>
        <v>Lista 5</v>
      </c>
      <c r="Y657" t="str">
        <f t="shared" si="447"/>
        <v>Oferta Gral.</v>
      </c>
      <c r="Z657" t="str">
        <f t="shared" si="448"/>
        <v>Rubro</v>
      </c>
      <c r="AA657" t="str">
        <f t="shared" si="449"/>
        <v>Cantidad por Bulto</v>
      </c>
      <c r="AB657" t="str">
        <f t="shared" si="450"/>
        <v>INNER</v>
      </c>
      <c r="AC657" t="str">
        <f t="shared" si="451"/>
        <v>Stock en Bultos</v>
      </c>
      <c r="AD657" t="str">
        <f t="shared" si="452"/>
        <v>SubDepósito</v>
      </c>
      <c r="AE657" t="str">
        <f t="shared" si="453"/>
        <v>Marca</v>
      </c>
      <c r="AF657" t="str">
        <f t="shared" si="454"/>
        <v>Super Rubro</v>
      </c>
      <c r="AG657" t="str">
        <f t="shared" si="455"/>
        <v>ComercioExterior</v>
      </c>
      <c r="AH657" t="str">
        <f t="shared" si="456"/>
        <v>PrecioFOB</v>
      </c>
      <c r="AI657" t="str">
        <f t="shared" si="457"/>
        <v>Monto II</v>
      </c>
      <c r="AJ657" t="str">
        <f t="shared" si="458"/>
        <v>Porcentaje II</v>
      </c>
      <c r="AK657" t="str">
        <f t="shared" si="459"/>
        <v>Foto</v>
      </c>
      <c r="AL657" t="str">
        <f t="shared" si="463"/>
        <v xml:space="preserve"> </v>
      </c>
      <c r="AM657" t="str">
        <f t="shared" si="463"/>
        <v xml:space="preserve"> </v>
      </c>
    </row>
    <row r="658" spans="1:39" x14ac:dyDescent="0.25">
      <c r="A658" t="str">
        <f>"AX415"</f>
        <v>AX415</v>
      </c>
      <c r="B658" t="str">
        <f>"COJINETES AXIALES STD PEUGEOT 504 505 DIESEL XD2 XD3"</f>
        <v>COJINETES AXIALES STD PEUGEOT 504 505 DIESEL XD2 XD3</v>
      </c>
      <c r="C658" t="str">
        <f>"$ 7775,21"</f>
        <v>$ 7775,21</v>
      </c>
      <c r="D658" t="str">
        <f>"$ 7775,21"</f>
        <v>$ 7775,21</v>
      </c>
      <c r="E658" t="str">
        <f>"$ 7775,21"</f>
        <v>$ 7775,21</v>
      </c>
      <c r="F658" t="str">
        <f>"$ 7775,21"</f>
        <v>$ 7775,21</v>
      </c>
      <c r="G658" t="str">
        <f>"$ 7775,21"</f>
        <v>$ 7775,21</v>
      </c>
      <c r="H658" t="str">
        <f t="shared" si="440"/>
        <v>$ 0,00</v>
      </c>
      <c r="I658" t="str">
        <f t="shared" ref="I658:I670" si="465">"JUEGO AXIALES"</f>
        <v>JUEGO AXIALES</v>
      </c>
      <c r="J658" t="str">
        <f t="shared" si="441"/>
        <v>1</v>
      </c>
      <c r="K658" t="str">
        <f t="shared" si="423"/>
        <v>0</v>
      </c>
      <c r="L658" t="str">
        <f>"14,000"</f>
        <v>14,000</v>
      </c>
      <c r="M658" t="str">
        <f t="shared" si="442"/>
        <v xml:space="preserve"> </v>
      </c>
      <c r="N658" t="str">
        <f t="shared" si="427"/>
        <v>MPSI</v>
      </c>
      <c r="O658" t="str">
        <f t="shared" si="428"/>
        <v>COJINETES</v>
      </c>
      <c r="P658" t="str">
        <f t="shared" si="443"/>
        <v>0</v>
      </c>
      <c r="Q658" t="str">
        <f t="shared" si="443"/>
        <v>0</v>
      </c>
      <c r="R658" t="str">
        <f t="shared" si="444"/>
        <v>0,00</v>
      </c>
      <c r="S658" t="str">
        <f t="shared" si="444"/>
        <v>0,00</v>
      </c>
      <c r="T658" t="str">
        <f t="shared" si="464"/>
        <v xml:space="preserve"> </v>
      </c>
      <c r="U658" t="str">
        <f t="shared" si="462"/>
        <v>-</v>
      </c>
      <c r="V658" t="str">
        <f>"14,000"</f>
        <v>14,000</v>
      </c>
      <c r="W658" t="str">
        <f t="shared" si="445"/>
        <v>Lista 4</v>
      </c>
      <c r="X658" t="str">
        <f t="shared" si="446"/>
        <v>Lista 5</v>
      </c>
      <c r="Y658" t="str">
        <f t="shared" si="447"/>
        <v>Oferta Gral.</v>
      </c>
      <c r="Z658" t="str">
        <f t="shared" si="448"/>
        <v>Rubro</v>
      </c>
      <c r="AA658" t="str">
        <f t="shared" si="449"/>
        <v>Cantidad por Bulto</v>
      </c>
      <c r="AB658" t="str">
        <f t="shared" si="450"/>
        <v>INNER</v>
      </c>
      <c r="AC658" t="str">
        <f t="shared" si="451"/>
        <v>Stock en Bultos</v>
      </c>
      <c r="AD658" t="str">
        <f t="shared" si="452"/>
        <v>SubDepósito</v>
      </c>
      <c r="AE658" t="str">
        <f t="shared" si="453"/>
        <v>Marca</v>
      </c>
      <c r="AF658" t="str">
        <f t="shared" si="454"/>
        <v>Super Rubro</v>
      </c>
      <c r="AG658" t="str">
        <f t="shared" si="455"/>
        <v>ComercioExterior</v>
      </c>
      <c r="AH658" t="str">
        <f t="shared" si="456"/>
        <v>PrecioFOB</v>
      </c>
      <c r="AI658" t="str">
        <f t="shared" si="457"/>
        <v>Monto II</v>
      </c>
      <c r="AJ658" t="str">
        <f t="shared" si="458"/>
        <v>Porcentaje II</v>
      </c>
      <c r="AK658" t="str">
        <f t="shared" si="459"/>
        <v>Foto</v>
      </c>
      <c r="AL658" t="str">
        <f t="shared" si="463"/>
        <v xml:space="preserve"> </v>
      </c>
      <c r="AM658" t="str">
        <f t="shared" si="463"/>
        <v xml:space="preserve"> </v>
      </c>
    </row>
    <row r="659" spans="1:39" x14ac:dyDescent="0.25">
      <c r="A659" t="str">
        <f>"AX361035"</f>
        <v>AX361035</v>
      </c>
      <c r="B659" t="str">
        <f>"COJINETES AXIALES STD PEUGEOT CITROEN 1.6 16V TURBO THP"</f>
        <v>COJINETES AXIALES STD PEUGEOT CITROEN 1.6 16V TURBO THP</v>
      </c>
      <c r="C659" t="str">
        <f>"$ 4273,40"</f>
        <v>$ 4273,40</v>
      </c>
      <c r="D659" t="str">
        <f>"$ 4273,40"</f>
        <v>$ 4273,40</v>
      </c>
      <c r="E659" t="str">
        <f>"$ 4273,40"</f>
        <v>$ 4273,40</v>
      </c>
      <c r="F659" t="str">
        <f>"$ 4273,40"</f>
        <v>$ 4273,40</v>
      </c>
      <c r="G659" t="str">
        <f>"$ 4273,40"</f>
        <v>$ 4273,40</v>
      </c>
      <c r="H659" t="str">
        <f t="shared" si="440"/>
        <v>$ 0,00</v>
      </c>
      <c r="I659" t="str">
        <f t="shared" si="465"/>
        <v>JUEGO AXIALES</v>
      </c>
      <c r="J659" t="str">
        <f t="shared" si="441"/>
        <v>1</v>
      </c>
      <c r="K659" t="str">
        <f t="shared" si="423"/>
        <v>0</v>
      </c>
      <c r="L659" t="str">
        <f>"0,000"</f>
        <v>0,000</v>
      </c>
      <c r="M659" t="str">
        <f t="shared" si="442"/>
        <v xml:space="preserve"> </v>
      </c>
      <c r="N659" t="str">
        <f t="shared" si="427"/>
        <v>MPSI</v>
      </c>
      <c r="O659" t="str">
        <f t="shared" si="428"/>
        <v>COJINETES</v>
      </c>
      <c r="P659" t="str">
        <f t="shared" si="443"/>
        <v>0</v>
      </c>
      <c r="Q659" t="str">
        <f t="shared" si="443"/>
        <v>0</v>
      </c>
      <c r="R659" t="str">
        <f t="shared" si="444"/>
        <v>0,00</v>
      </c>
      <c r="S659" t="str">
        <f t="shared" si="444"/>
        <v>0,00</v>
      </c>
      <c r="T659" t="str">
        <f t="shared" si="464"/>
        <v xml:space="preserve"> </v>
      </c>
      <c r="U659" t="str">
        <f t="shared" si="462"/>
        <v>-</v>
      </c>
      <c r="V659" t="str">
        <f>"0,000"</f>
        <v>0,000</v>
      </c>
      <c r="W659" t="str">
        <f t="shared" si="445"/>
        <v>Lista 4</v>
      </c>
      <c r="X659" t="str">
        <f t="shared" si="446"/>
        <v>Lista 5</v>
      </c>
      <c r="Y659" t="str">
        <f t="shared" si="447"/>
        <v>Oferta Gral.</v>
      </c>
      <c r="Z659" t="str">
        <f t="shared" si="448"/>
        <v>Rubro</v>
      </c>
      <c r="AA659" t="str">
        <f t="shared" si="449"/>
        <v>Cantidad por Bulto</v>
      </c>
      <c r="AB659" t="str">
        <f t="shared" si="450"/>
        <v>INNER</v>
      </c>
      <c r="AC659" t="str">
        <f t="shared" si="451"/>
        <v>Stock en Bultos</v>
      </c>
      <c r="AD659" t="str">
        <f t="shared" si="452"/>
        <v>SubDepósito</v>
      </c>
      <c r="AE659" t="str">
        <f t="shared" si="453"/>
        <v>Marca</v>
      </c>
      <c r="AF659" t="str">
        <f t="shared" si="454"/>
        <v>Super Rubro</v>
      </c>
      <c r="AG659" t="str">
        <f t="shared" si="455"/>
        <v>ComercioExterior</v>
      </c>
      <c r="AH659" t="str">
        <f t="shared" si="456"/>
        <v>PrecioFOB</v>
      </c>
      <c r="AI659" t="str">
        <f t="shared" si="457"/>
        <v>Monto II</v>
      </c>
      <c r="AJ659" t="str">
        <f t="shared" si="458"/>
        <v>Porcentaje II</v>
      </c>
      <c r="AK659" t="str">
        <f t="shared" si="459"/>
        <v>Foto</v>
      </c>
      <c r="AL659" t="str">
        <f t="shared" si="463"/>
        <v xml:space="preserve"> </v>
      </c>
      <c r="AM659" t="str">
        <f t="shared" si="463"/>
        <v xml:space="preserve"> </v>
      </c>
    </row>
    <row r="660" spans="1:39" x14ac:dyDescent="0.25">
      <c r="A660" t="str">
        <f>"AX241"</f>
        <v>AX241</v>
      </c>
      <c r="B660" t="str">
        <f>"COJINETES AXIALES STD RENAULT 18 FUEGO TRAFIC 2.D NAFTA Y DIESEL"</f>
        <v>COJINETES AXIALES STD RENAULT 18 FUEGO TRAFIC 2.D NAFTA Y DIESEL</v>
      </c>
      <c r="C660" t="str">
        <f>"$ 4906,49"</f>
        <v>$ 4906,49</v>
      </c>
      <c r="D660" t="str">
        <f>"$ 4906,49"</f>
        <v>$ 4906,49</v>
      </c>
      <c r="E660" t="str">
        <f>"$ 4906,49"</f>
        <v>$ 4906,49</v>
      </c>
      <c r="F660" t="str">
        <f>"$ 4906,49"</f>
        <v>$ 4906,49</v>
      </c>
      <c r="G660" t="str">
        <f>"$ 4906,49"</f>
        <v>$ 4906,49</v>
      </c>
      <c r="H660" t="str">
        <f t="shared" si="440"/>
        <v>$ 0,00</v>
      </c>
      <c r="I660" t="str">
        <f t="shared" si="465"/>
        <v>JUEGO AXIALES</v>
      </c>
      <c r="J660" t="str">
        <f t="shared" si="441"/>
        <v>1</v>
      </c>
      <c r="K660" t="str">
        <f t="shared" si="423"/>
        <v>0</v>
      </c>
      <c r="L660" t="str">
        <f>"5,000"</f>
        <v>5,000</v>
      </c>
      <c r="M660" t="str">
        <f t="shared" si="442"/>
        <v xml:space="preserve"> </v>
      </c>
      <c r="N660" t="str">
        <f t="shared" si="427"/>
        <v>MPSI</v>
      </c>
      <c r="O660" t="str">
        <f t="shared" si="428"/>
        <v>COJINETES</v>
      </c>
      <c r="P660" t="str">
        <f t="shared" si="443"/>
        <v>0</v>
      </c>
      <c r="Q660" t="str">
        <f t="shared" si="443"/>
        <v>0</v>
      </c>
      <c r="R660" t="str">
        <f t="shared" si="444"/>
        <v>0,00</v>
      </c>
      <c r="S660" t="str">
        <f t="shared" si="444"/>
        <v>0,00</v>
      </c>
      <c r="T660" t="str">
        <f t="shared" si="464"/>
        <v xml:space="preserve"> </v>
      </c>
      <c r="U660" t="str">
        <f t="shared" si="462"/>
        <v>-</v>
      </c>
      <c r="V660" t="str">
        <f>"5,000"</f>
        <v>5,000</v>
      </c>
      <c r="W660" t="str">
        <f t="shared" si="445"/>
        <v>Lista 4</v>
      </c>
      <c r="X660" t="str">
        <f t="shared" si="446"/>
        <v>Lista 5</v>
      </c>
      <c r="Y660" t="str">
        <f t="shared" si="447"/>
        <v>Oferta Gral.</v>
      </c>
      <c r="Z660" t="str">
        <f t="shared" si="448"/>
        <v>Rubro</v>
      </c>
      <c r="AA660" t="str">
        <f t="shared" si="449"/>
        <v>Cantidad por Bulto</v>
      </c>
      <c r="AB660" t="str">
        <f t="shared" si="450"/>
        <v>INNER</v>
      </c>
      <c r="AC660" t="str">
        <f t="shared" si="451"/>
        <v>Stock en Bultos</v>
      </c>
      <c r="AD660" t="str">
        <f t="shared" si="452"/>
        <v>SubDepósito</v>
      </c>
      <c r="AE660" t="str">
        <f t="shared" si="453"/>
        <v>Marca</v>
      </c>
      <c r="AF660" t="str">
        <f t="shared" si="454"/>
        <v>Super Rubro</v>
      </c>
      <c r="AG660" t="str">
        <f t="shared" si="455"/>
        <v>ComercioExterior</v>
      </c>
      <c r="AH660" t="str">
        <f t="shared" si="456"/>
        <v>PrecioFOB</v>
      </c>
      <c r="AI660" t="str">
        <f t="shared" si="457"/>
        <v>Monto II</v>
      </c>
      <c r="AJ660" t="str">
        <f t="shared" si="458"/>
        <v>Porcentaje II</v>
      </c>
      <c r="AK660" t="str">
        <f t="shared" si="459"/>
        <v>Foto</v>
      </c>
      <c r="AL660" t="str">
        <f t="shared" si="463"/>
        <v xml:space="preserve"> </v>
      </c>
      <c r="AM660" t="str">
        <f t="shared" si="463"/>
        <v xml:space="preserve"> </v>
      </c>
    </row>
    <row r="661" spans="1:39" x14ac:dyDescent="0.25">
      <c r="A661" t="str">
        <f>"AX247"</f>
        <v>AX247</v>
      </c>
      <c r="B661" t="str">
        <f>"COJINETES AXIALES STD RENAULT 19 CLIO 1.9 DIESEL F8Q MEGANE 2.0 F3R"</f>
        <v>COJINETES AXIALES STD RENAULT 19 CLIO 1.9 DIESEL F8Q MEGANE 2.0 F3R</v>
      </c>
      <c r="C661" t="str">
        <f>"$ 4471,24"</f>
        <v>$ 4471,24</v>
      </c>
      <c r="D661" t="str">
        <f>"$ 4471,24"</f>
        <v>$ 4471,24</v>
      </c>
      <c r="E661" t="str">
        <f>"$ 4471,24"</f>
        <v>$ 4471,24</v>
      </c>
      <c r="F661" t="str">
        <f>"$ 4471,24"</f>
        <v>$ 4471,24</v>
      </c>
      <c r="G661" t="str">
        <f>"$ 4471,24"</f>
        <v>$ 4471,24</v>
      </c>
      <c r="H661" t="str">
        <f t="shared" si="440"/>
        <v>$ 0,00</v>
      </c>
      <c r="I661" t="str">
        <f t="shared" si="465"/>
        <v>JUEGO AXIALES</v>
      </c>
      <c r="J661" t="str">
        <f t="shared" si="441"/>
        <v>1</v>
      </c>
      <c r="K661" t="str">
        <f t="shared" si="423"/>
        <v>0</v>
      </c>
      <c r="L661" t="str">
        <f>"10,000"</f>
        <v>10,000</v>
      </c>
      <c r="M661" t="str">
        <f t="shared" si="442"/>
        <v xml:space="preserve"> </v>
      </c>
      <c r="N661" t="str">
        <f t="shared" si="427"/>
        <v>MPSI</v>
      </c>
      <c r="O661" t="str">
        <f t="shared" si="428"/>
        <v>COJINETES</v>
      </c>
      <c r="P661" t="str">
        <f t="shared" si="443"/>
        <v>0</v>
      </c>
      <c r="Q661" t="str">
        <f t="shared" si="443"/>
        <v>0</v>
      </c>
      <c r="R661" t="str">
        <f t="shared" si="444"/>
        <v>0,00</v>
      </c>
      <c r="S661" t="str">
        <f t="shared" si="444"/>
        <v>0,00</v>
      </c>
      <c r="T661" t="str">
        <f t="shared" si="464"/>
        <v xml:space="preserve"> </v>
      </c>
      <c r="U661" t="str">
        <f t="shared" si="462"/>
        <v>-</v>
      </c>
      <c r="V661" t="str">
        <f>"10,000"</f>
        <v>10,000</v>
      </c>
      <c r="W661" t="str">
        <f t="shared" si="445"/>
        <v>Lista 4</v>
      </c>
      <c r="X661" t="str">
        <f t="shared" si="446"/>
        <v>Lista 5</v>
      </c>
      <c r="Y661" t="str">
        <f t="shared" si="447"/>
        <v>Oferta Gral.</v>
      </c>
      <c r="Z661" t="str">
        <f t="shared" si="448"/>
        <v>Rubro</v>
      </c>
      <c r="AA661" t="str">
        <f t="shared" si="449"/>
        <v>Cantidad por Bulto</v>
      </c>
      <c r="AB661" t="str">
        <f t="shared" si="450"/>
        <v>INNER</v>
      </c>
      <c r="AC661" t="str">
        <f t="shared" si="451"/>
        <v>Stock en Bultos</v>
      </c>
      <c r="AD661" t="str">
        <f t="shared" si="452"/>
        <v>SubDepósito</v>
      </c>
      <c r="AE661" t="str">
        <f t="shared" si="453"/>
        <v>Marca</v>
      </c>
      <c r="AF661" t="str">
        <f t="shared" si="454"/>
        <v>Super Rubro</v>
      </c>
      <c r="AG661" t="str">
        <f t="shared" si="455"/>
        <v>ComercioExterior</v>
      </c>
      <c r="AH661" t="str">
        <f t="shared" si="456"/>
        <v>PrecioFOB</v>
      </c>
      <c r="AI661" t="str">
        <f t="shared" si="457"/>
        <v>Monto II</v>
      </c>
      <c r="AJ661" t="str">
        <f t="shared" si="458"/>
        <v>Porcentaje II</v>
      </c>
      <c r="AK661" t="str">
        <f t="shared" si="459"/>
        <v>Foto</v>
      </c>
      <c r="AL661" t="str">
        <f>"{\rtf1\ansi\ansicpg1252\deff0\deflang11274{\fonttbl{\f0\fnil\fcharset0 MS Sans Serif}} \viewkind4\uc1\pard\f0\fs16 COJINETES AXIALES STD RENAULT 19 CLIO 1.9 DIESEL F8Q MEGANE 2.0 F3R\par } "</f>
        <v xml:space="preserve">{\rtf1\ansi\ansicpg1252\deff0\deflang11274{\fonttbl{\f0\fnil\fcharset0 MS Sans Serif}} \viewkind4\uc1\pard\f0\fs16 COJINETES AXIALES STD RENAULT 19 CLIO 1.9 DIESEL F8Q MEGANE 2.0 F3R\par } </v>
      </c>
      <c r="AM661" t="str">
        <f t="shared" ref="AM661:AM692" si="466">" "</f>
        <v xml:space="preserve"> </v>
      </c>
    </row>
    <row r="662" spans="1:39" x14ac:dyDescent="0.25">
      <c r="A662" t="str">
        <f>"AX237"</f>
        <v>AX237</v>
      </c>
      <c r="B662" t="str">
        <f>"COJINETES AXIALES STD RENAULT 4 6 12 1.1 1.3 1.4 BANCADA CHICA"</f>
        <v>COJINETES AXIALES STD RENAULT 4 6 12 1.1 1.3 1.4 BANCADA CHICA</v>
      </c>
      <c r="C662" t="str">
        <f>"$ 4273,40"</f>
        <v>$ 4273,40</v>
      </c>
      <c r="D662" t="str">
        <f>"$ 4273,40"</f>
        <v>$ 4273,40</v>
      </c>
      <c r="E662" t="str">
        <f>"$ 4273,40"</f>
        <v>$ 4273,40</v>
      </c>
      <c r="F662" t="str">
        <f>"$ 4273,40"</f>
        <v>$ 4273,40</v>
      </c>
      <c r="G662" t="str">
        <f>"$ 4273,40"</f>
        <v>$ 4273,40</v>
      </c>
      <c r="H662" t="str">
        <f t="shared" si="440"/>
        <v>$ 0,00</v>
      </c>
      <c r="I662" t="str">
        <f t="shared" si="465"/>
        <v>JUEGO AXIALES</v>
      </c>
      <c r="J662" t="str">
        <f t="shared" si="441"/>
        <v>1</v>
      </c>
      <c r="K662" t="str">
        <f t="shared" si="423"/>
        <v>0</v>
      </c>
      <c r="L662" t="str">
        <f>"0,000"</f>
        <v>0,000</v>
      </c>
      <c r="M662" t="str">
        <f t="shared" si="442"/>
        <v xml:space="preserve"> </v>
      </c>
      <c r="N662" t="str">
        <f t="shared" si="427"/>
        <v>MPSI</v>
      </c>
      <c r="O662" t="str">
        <f t="shared" si="428"/>
        <v>COJINETES</v>
      </c>
      <c r="P662" t="str">
        <f t="shared" si="443"/>
        <v>0</v>
      </c>
      <c r="Q662" t="str">
        <f t="shared" si="443"/>
        <v>0</v>
      </c>
      <c r="R662" t="str">
        <f t="shared" si="444"/>
        <v>0,00</v>
      </c>
      <c r="S662" t="str">
        <f t="shared" si="444"/>
        <v>0,00</v>
      </c>
      <c r="T662" t="str">
        <f t="shared" si="464"/>
        <v xml:space="preserve"> </v>
      </c>
      <c r="U662" t="str">
        <f t="shared" si="462"/>
        <v>-</v>
      </c>
      <c r="V662" t="str">
        <f>"0,000"</f>
        <v>0,000</v>
      </c>
      <c r="W662" t="str">
        <f t="shared" si="445"/>
        <v>Lista 4</v>
      </c>
      <c r="X662" t="str">
        <f t="shared" si="446"/>
        <v>Lista 5</v>
      </c>
      <c r="Y662" t="str">
        <f t="shared" si="447"/>
        <v>Oferta Gral.</v>
      </c>
      <c r="Z662" t="str">
        <f t="shared" si="448"/>
        <v>Rubro</v>
      </c>
      <c r="AA662" t="str">
        <f t="shared" si="449"/>
        <v>Cantidad por Bulto</v>
      </c>
      <c r="AB662" t="str">
        <f t="shared" si="450"/>
        <v>INNER</v>
      </c>
      <c r="AC662" t="str">
        <f t="shared" si="451"/>
        <v>Stock en Bultos</v>
      </c>
      <c r="AD662" t="str">
        <f t="shared" si="452"/>
        <v>SubDepósito</v>
      </c>
      <c r="AE662" t="str">
        <f t="shared" si="453"/>
        <v>Marca</v>
      </c>
      <c r="AF662" t="str">
        <f t="shared" si="454"/>
        <v>Super Rubro</v>
      </c>
      <c r="AG662" t="str">
        <f t="shared" si="455"/>
        <v>ComercioExterior</v>
      </c>
      <c r="AH662" t="str">
        <f t="shared" si="456"/>
        <v>PrecioFOB</v>
      </c>
      <c r="AI662" t="str">
        <f t="shared" si="457"/>
        <v>Monto II</v>
      </c>
      <c r="AJ662" t="str">
        <f t="shared" si="458"/>
        <v>Porcentaje II</v>
      </c>
      <c r="AK662" t="str">
        <f t="shared" si="459"/>
        <v>Foto</v>
      </c>
      <c r="AL662" t="str">
        <f>" "</f>
        <v xml:space="preserve"> </v>
      </c>
      <c r="AM662" t="str">
        <f t="shared" si="466"/>
        <v xml:space="preserve"> </v>
      </c>
    </row>
    <row r="663" spans="1:39" x14ac:dyDescent="0.25">
      <c r="A663" t="str">
        <f>"AX240"</f>
        <v>AX240</v>
      </c>
      <c r="B663" t="str">
        <f>"COJINETES AXIALES STD RENAULT 9 11 12 18 19 CLIO 1.3 1.4 1.6 8V"</f>
        <v>COJINETES AXIALES STD RENAULT 9 11 12 18 19 CLIO 1.3 1.4 1.6 8V</v>
      </c>
      <c r="C663" t="str">
        <f>"$ 4471,24"</f>
        <v>$ 4471,24</v>
      </c>
      <c r="D663" t="str">
        <f>"$ 4471,24"</f>
        <v>$ 4471,24</v>
      </c>
      <c r="E663" t="str">
        <f>"$ 4471,24"</f>
        <v>$ 4471,24</v>
      </c>
      <c r="F663" t="str">
        <f>"$ 4471,24"</f>
        <v>$ 4471,24</v>
      </c>
      <c r="G663" t="str">
        <f>"$ 4471,24"</f>
        <v>$ 4471,24</v>
      </c>
      <c r="H663" t="str">
        <f t="shared" si="440"/>
        <v>$ 0,00</v>
      </c>
      <c r="I663" t="str">
        <f t="shared" si="465"/>
        <v>JUEGO AXIALES</v>
      </c>
      <c r="J663" t="str">
        <f t="shared" si="441"/>
        <v>1</v>
      </c>
      <c r="K663" t="str">
        <f t="shared" ref="K663:K726" si="467">"0"</f>
        <v>0</v>
      </c>
      <c r="L663" t="str">
        <f>"0,000"</f>
        <v>0,000</v>
      </c>
      <c r="M663" t="str">
        <f t="shared" si="442"/>
        <v xml:space="preserve"> </v>
      </c>
      <c r="N663" t="str">
        <f t="shared" si="427"/>
        <v>MPSI</v>
      </c>
      <c r="O663" t="str">
        <f t="shared" si="428"/>
        <v>COJINETES</v>
      </c>
      <c r="P663" t="str">
        <f t="shared" ref="P663:Q682" si="468">"0"</f>
        <v>0</v>
      </c>
      <c r="Q663" t="str">
        <f t="shared" si="468"/>
        <v>0</v>
      </c>
      <c r="R663" t="str">
        <f t="shared" ref="R663:S682" si="469">"0,00"</f>
        <v>0,00</v>
      </c>
      <c r="S663" t="str">
        <f t="shared" si="469"/>
        <v>0,00</v>
      </c>
      <c r="T663" t="str">
        <f t="shared" si="464"/>
        <v xml:space="preserve"> </v>
      </c>
      <c r="U663" t="str">
        <f t="shared" si="462"/>
        <v>-</v>
      </c>
      <c r="V663" t="str">
        <f>"0,000"</f>
        <v>0,000</v>
      </c>
      <c r="W663" t="str">
        <f t="shared" si="445"/>
        <v>Lista 4</v>
      </c>
      <c r="X663" t="str">
        <f t="shared" si="446"/>
        <v>Lista 5</v>
      </c>
      <c r="Y663" t="str">
        <f t="shared" si="447"/>
        <v>Oferta Gral.</v>
      </c>
      <c r="Z663" t="str">
        <f t="shared" si="448"/>
        <v>Rubro</v>
      </c>
      <c r="AA663" t="str">
        <f t="shared" si="449"/>
        <v>Cantidad por Bulto</v>
      </c>
      <c r="AB663" t="str">
        <f t="shared" si="450"/>
        <v>INNER</v>
      </c>
      <c r="AC663" t="str">
        <f t="shared" si="451"/>
        <v>Stock en Bultos</v>
      </c>
      <c r="AD663" t="str">
        <f t="shared" si="452"/>
        <v>SubDepósito</v>
      </c>
      <c r="AE663" t="str">
        <f t="shared" si="453"/>
        <v>Marca</v>
      </c>
      <c r="AF663" t="str">
        <f t="shared" si="454"/>
        <v>Super Rubro</v>
      </c>
      <c r="AG663" t="str">
        <f t="shared" si="455"/>
        <v>ComercioExterior</v>
      </c>
      <c r="AH663" t="str">
        <f t="shared" si="456"/>
        <v>PrecioFOB</v>
      </c>
      <c r="AI663" t="str">
        <f t="shared" si="457"/>
        <v>Monto II</v>
      </c>
      <c r="AJ663" t="str">
        <f t="shared" si="458"/>
        <v>Porcentaje II</v>
      </c>
      <c r="AK663" t="str">
        <f t="shared" si="459"/>
        <v>Foto</v>
      </c>
      <c r="AL663" t="str">
        <f>" "</f>
        <v xml:space="preserve"> </v>
      </c>
      <c r="AM663" t="str">
        <f t="shared" si="466"/>
        <v xml:space="preserve"> </v>
      </c>
    </row>
    <row r="664" spans="1:39" x14ac:dyDescent="0.25">
      <c r="A664" t="str">
        <f>"AX246"</f>
        <v>AX246</v>
      </c>
      <c r="B664" t="str">
        <f>"COJINETES AXIALES STD RENAULT K4M 1.6 16V K9K 1.5 DCI  "</f>
        <v xml:space="preserve">COJINETES AXIALES STD RENAULT K4M 1.6 16V K9K 1.5 DCI  </v>
      </c>
      <c r="C664" t="str">
        <f t="shared" ref="C664:G665" si="470">"$ 4649,30"</f>
        <v>$ 4649,30</v>
      </c>
      <c r="D664" t="str">
        <f t="shared" si="470"/>
        <v>$ 4649,30</v>
      </c>
      <c r="E664" t="str">
        <f t="shared" si="470"/>
        <v>$ 4649,30</v>
      </c>
      <c r="F664" t="str">
        <f t="shared" si="470"/>
        <v>$ 4649,30</v>
      </c>
      <c r="G664" t="str">
        <f t="shared" si="470"/>
        <v>$ 4649,30</v>
      </c>
      <c r="H664" t="str">
        <f t="shared" si="440"/>
        <v>$ 0,00</v>
      </c>
      <c r="I664" t="str">
        <f t="shared" si="465"/>
        <v>JUEGO AXIALES</v>
      </c>
      <c r="J664" t="str">
        <f t="shared" si="441"/>
        <v>1</v>
      </c>
      <c r="K664" t="str">
        <f t="shared" si="467"/>
        <v>0</v>
      </c>
      <c r="L664" t="str">
        <f>"0,000"</f>
        <v>0,000</v>
      </c>
      <c r="M664" t="str">
        <f t="shared" si="442"/>
        <v xml:space="preserve"> </v>
      </c>
      <c r="N664" t="str">
        <f t="shared" si="427"/>
        <v>MPSI</v>
      </c>
      <c r="O664" t="str">
        <f t="shared" si="428"/>
        <v>COJINETES</v>
      </c>
      <c r="P664" t="str">
        <f t="shared" si="468"/>
        <v>0</v>
      </c>
      <c r="Q664" t="str">
        <f t="shared" si="468"/>
        <v>0</v>
      </c>
      <c r="R664" t="str">
        <f t="shared" si="469"/>
        <v>0,00</v>
      </c>
      <c r="S664" t="str">
        <f t="shared" si="469"/>
        <v>0,00</v>
      </c>
      <c r="T664" t="str">
        <f t="shared" si="464"/>
        <v xml:space="preserve"> </v>
      </c>
      <c r="U664" t="str">
        <f>" "</f>
        <v xml:space="preserve"> </v>
      </c>
      <c r="V664" t="str">
        <f>"0,000"</f>
        <v>0,000</v>
      </c>
      <c r="W664" t="str">
        <f t="shared" si="445"/>
        <v>Lista 4</v>
      </c>
      <c r="X664" t="str">
        <f t="shared" si="446"/>
        <v>Lista 5</v>
      </c>
      <c r="Y664" t="str">
        <f t="shared" si="447"/>
        <v>Oferta Gral.</v>
      </c>
      <c r="Z664" t="str">
        <f t="shared" si="448"/>
        <v>Rubro</v>
      </c>
      <c r="AA664" t="str">
        <f t="shared" si="449"/>
        <v>Cantidad por Bulto</v>
      </c>
      <c r="AB664" t="str">
        <f t="shared" si="450"/>
        <v>INNER</v>
      </c>
      <c r="AC664" t="str">
        <f t="shared" si="451"/>
        <v>Stock en Bultos</v>
      </c>
      <c r="AD664" t="str">
        <f t="shared" si="452"/>
        <v>SubDepósito</v>
      </c>
      <c r="AE664" t="str">
        <f t="shared" si="453"/>
        <v>Marca</v>
      </c>
      <c r="AF664" t="str">
        <f t="shared" si="454"/>
        <v>Super Rubro</v>
      </c>
      <c r="AG664" t="str">
        <f t="shared" si="455"/>
        <v>ComercioExterior</v>
      </c>
      <c r="AH664" t="str">
        <f t="shared" si="456"/>
        <v>PrecioFOB</v>
      </c>
      <c r="AI664" t="str">
        <f t="shared" si="457"/>
        <v>Monto II</v>
      </c>
      <c r="AJ664" t="str">
        <f t="shared" si="458"/>
        <v>Porcentaje II</v>
      </c>
      <c r="AK664" t="str">
        <f t="shared" si="459"/>
        <v>Foto</v>
      </c>
      <c r="AL66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664" t="str">
        <f t="shared" si="466"/>
        <v xml:space="preserve"> </v>
      </c>
    </row>
    <row r="665" spans="1:39" x14ac:dyDescent="0.25">
      <c r="A665" t="str">
        <f>"AX381069"</f>
        <v>AX381069</v>
      </c>
      <c r="B665" t="str">
        <f>"COJINETES AXIALES STD RENAULT KWID 1.0 3 CILINDROS"</f>
        <v>COJINETES AXIALES STD RENAULT KWID 1.0 3 CILINDROS</v>
      </c>
      <c r="C665" t="str">
        <f t="shared" si="470"/>
        <v>$ 4649,30</v>
      </c>
      <c r="D665" t="str">
        <f t="shared" si="470"/>
        <v>$ 4649,30</v>
      </c>
      <c r="E665" t="str">
        <f t="shared" si="470"/>
        <v>$ 4649,30</v>
      </c>
      <c r="F665" t="str">
        <f t="shared" si="470"/>
        <v>$ 4649,30</v>
      </c>
      <c r="G665" t="str">
        <f t="shared" si="470"/>
        <v>$ 4649,30</v>
      </c>
      <c r="H665" t="str">
        <f t="shared" si="440"/>
        <v>$ 0,00</v>
      </c>
      <c r="I665" t="str">
        <f t="shared" si="465"/>
        <v>JUEGO AXIALES</v>
      </c>
      <c r="J665" t="str">
        <f t="shared" si="441"/>
        <v>1</v>
      </c>
      <c r="K665" t="str">
        <f t="shared" si="467"/>
        <v>0</v>
      </c>
      <c r="L665" t="str">
        <f>"6,000"</f>
        <v>6,000</v>
      </c>
      <c r="M665" t="str">
        <f t="shared" si="442"/>
        <v xml:space="preserve"> </v>
      </c>
      <c r="N665" t="str">
        <f t="shared" si="427"/>
        <v>MPSI</v>
      </c>
      <c r="O665" t="str">
        <f t="shared" si="428"/>
        <v>COJINETES</v>
      </c>
      <c r="P665" t="str">
        <f t="shared" si="468"/>
        <v>0</v>
      </c>
      <c r="Q665" t="str">
        <f t="shared" si="468"/>
        <v>0</v>
      </c>
      <c r="R665" t="str">
        <f t="shared" si="469"/>
        <v>0,00</v>
      </c>
      <c r="S665" t="str">
        <f t="shared" si="469"/>
        <v>0,00</v>
      </c>
      <c r="T665" t="str">
        <f t="shared" si="464"/>
        <v xml:space="preserve"> </v>
      </c>
      <c r="U665" t="str">
        <f t="shared" ref="U665:U696" si="471">"-"</f>
        <v>-</v>
      </c>
      <c r="V665" t="str">
        <f>"6,000"</f>
        <v>6,000</v>
      </c>
      <c r="W665" t="str">
        <f t="shared" si="445"/>
        <v>Lista 4</v>
      </c>
      <c r="X665" t="str">
        <f t="shared" si="446"/>
        <v>Lista 5</v>
      </c>
      <c r="Y665" t="str">
        <f t="shared" si="447"/>
        <v>Oferta Gral.</v>
      </c>
      <c r="Z665" t="str">
        <f t="shared" si="448"/>
        <v>Rubro</v>
      </c>
      <c r="AA665" t="str">
        <f t="shared" si="449"/>
        <v>Cantidad por Bulto</v>
      </c>
      <c r="AB665" t="str">
        <f t="shared" si="450"/>
        <v>INNER</v>
      </c>
      <c r="AC665" t="str">
        <f t="shared" si="451"/>
        <v>Stock en Bultos</v>
      </c>
      <c r="AD665" t="str">
        <f t="shared" si="452"/>
        <v>SubDepósito</v>
      </c>
      <c r="AE665" t="str">
        <f t="shared" si="453"/>
        <v>Marca</v>
      </c>
      <c r="AF665" t="str">
        <f t="shared" si="454"/>
        <v>Super Rubro</v>
      </c>
      <c r="AG665" t="str">
        <f t="shared" si="455"/>
        <v>ComercioExterior</v>
      </c>
      <c r="AH665" t="str">
        <f t="shared" si="456"/>
        <v>PrecioFOB</v>
      </c>
      <c r="AI665" t="str">
        <f t="shared" si="457"/>
        <v>Monto II</v>
      </c>
      <c r="AJ665" t="str">
        <f t="shared" si="458"/>
        <v>Porcentaje II</v>
      </c>
      <c r="AK665" t="str">
        <f t="shared" si="459"/>
        <v>Foto</v>
      </c>
      <c r="AL665" t="str">
        <f t="shared" ref="AL665:AL674" si="472">" "</f>
        <v xml:space="preserve"> </v>
      </c>
      <c r="AM665" t="str">
        <f t="shared" si="466"/>
        <v xml:space="preserve"> </v>
      </c>
    </row>
    <row r="666" spans="1:39" x14ac:dyDescent="0.25">
      <c r="A666" t="str">
        <f>"AX869"</f>
        <v>AX869</v>
      </c>
      <c r="B666" t="str">
        <f>"COJINETES AXIALES STD RENAULT MASTER 2.5 MOTOR G9U"</f>
        <v>COJINETES AXIALES STD RENAULT MASTER 2.5 MOTOR G9U</v>
      </c>
      <c r="C666" t="str">
        <f>"$ 4728,44"</f>
        <v>$ 4728,44</v>
      </c>
      <c r="D666" t="str">
        <f>"$ 4728,44"</f>
        <v>$ 4728,44</v>
      </c>
      <c r="E666" t="str">
        <f>"$ 4728,44"</f>
        <v>$ 4728,44</v>
      </c>
      <c r="F666" t="str">
        <f>"$ 4728,44"</f>
        <v>$ 4728,44</v>
      </c>
      <c r="G666" t="str">
        <f>"$ 4728,44"</f>
        <v>$ 4728,44</v>
      </c>
      <c r="H666" t="str">
        <f t="shared" si="440"/>
        <v>$ 0,00</v>
      </c>
      <c r="I666" t="str">
        <f t="shared" si="465"/>
        <v>JUEGO AXIALES</v>
      </c>
      <c r="J666" t="str">
        <f t="shared" si="441"/>
        <v>1</v>
      </c>
      <c r="K666" t="str">
        <f t="shared" si="467"/>
        <v>0</v>
      </c>
      <c r="L666" t="str">
        <f>"5,000"</f>
        <v>5,000</v>
      </c>
      <c r="M666" t="str">
        <f t="shared" si="442"/>
        <v xml:space="preserve"> </v>
      </c>
      <c r="N666" t="str">
        <f t="shared" si="427"/>
        <v>MPSI</v>
      </c>
      <c r="O666" t="str">
        <f t="shared" si="428"/>
        <v>COJINETES</v>
      </c>
      <c r="P666" t="str">
        <f t="shared" si="468"/>
        <v>0</v>
      </c>
      <c r="Q666" t="str">
        <f t="shared" si="468"/>
        <v>0</v>
      </c>
      <c r="R666" t="str">
        <f t="shared" si="469"/>
        <v>0,00</v>
      </c>
      <c r="S666" t="str">
        <f t="shared" si="469"/>
        <v>0,00</v>
      </c>
      <c r="T666" t="str">
        <f t="shared" si="464"/>
        <v xml:space="preserve"> </v>
      </c>
      <c r="U666" t="str">
        <f t="shared" si="471"/>
        <v>-</v>
      </c>
      <c r="V666" t="str">
        <f>"5,000"</f>
        <v>5,000</v>
      </c>
      <c r="W666" t="str">
        <f t="shared" si="445"/>
        <v>Lista 4</v>
      </c>
      <c r="X666" t="str">
        <f t="shared" si="446"/>
        <v>Lista 5</v>
      </c>
      <c r="Y666" t="str">
        <f t="shared" si="447"/>
        <v>Oferta Gral.</v>
      </c>
      <c r="Z666" t="str">
        <f t="shared" si="448"/>
        <v>Rubro</v>
      </c>
      <c r="AA666" t="str">
        <f t="shared" si="449"/>
        <v>Cantidad por Bulto</v>
      </c>
      <c r="AB666" t="str">
        <f t="shared" si="450"/>
        <v>INNER</v>
      </c>
      <c r="AC666" t="str">
        <f t="shared" si="451"/>
        <v>Stock en Bultos</v>
      </c>
      <c r="AD666" t="str">
        <f t="shared" si="452"/>
        <v>SubDepósito</v>
      </c>
      <c r="AE666" t="str">
        <f t="shared" si="453"/>
        <v>Marca</v>
      </c>
      <c r="AF666" t="str">
        <f t="shared" si="454"/>
        <v>Super Rubro</v>
      </c>
      <c r="AG666" t="str">
        <f t="shared" si="455"/>
        <v>ComercioExterior</v>
      </c>
      <c r="AH666" t="str">
        <f t="shared" si="456"/>
        <v>PrecioFOB</v>
      </c>
      <c r="AI666" t="str">
        <f t="shared" si="457"/>
        <v>Monto II</v>
      </c>
      <c r="AJ666" t="str">
        <f t="shared" si="458"/>
        <v>Porcentaje II</v>
      </c>
      <c r="AK666" t="str">
        <f t="shared" si="459"/>
        <v>Foto</v>
      </c>
      <c r="AL666" t="str">
        <f t="shared" si="472"/>
        <v xml:space="preserve"> </v>
      </c>
      <c r="AM666" t="str">
        <f t="shared" si="466"/>
        <v xml:space="preserve"> </v>
      </c>
    </row>
    <row r="667" spans="1:39" x14ac:dyDescent="0.25">
      <c r="A667" t="str">
        <f>"AX442332"</f>
        <v>AX442332</v>
      </c>
      <c r="B667" t="str">
        <f>"COJINETES AXIALES STD TOYOTA COROLLA YARIS 1.8 16V MOTOR 2ZR-FE"</f>
        <v>COJINETES AXIALES STD TOYOTA COROLLA YARIS 1.8 16V MOTOR 2ZR-FE</v>
      </c>
      <c r="C667" t="str">
        <f>"$ 5796,79"</f>
        <v>$ 5796,79</v>
      </c>
      <c r="D667" t="str">
        <f>"$ 5796,79"</f>
        <v>$ 5796,79</v>
      </c>
      <c r="E667" t="str">
        <f>"$ 5796,79"</f>
        <v>$ 5796,79</v>
      </c>
      <c r="F667" t="str">
        <f>"$ 5796,79"</f>
        <v>$ 5796,79</v>
      </c>
      <c r="G667" t="str">
        <f>"$ 5796,79"</f>
        <v>$ 5796,79</v>
      </c>
      <c r="H667" t="str">
        <f t="shared" si="440"/>
        <v>$ 0,00</v>
      </c>
      <c r="I667" t="str">
        <f t="shared" si="465"/>
        <v>JUEGO AXIALES</v>
      </c>
      <c r="J667" t="str">
        <f t="shared" si="441"/>
        <v>1</v>
      </c>
      <c r="K667" t="str">
        <f t="shared" si="467"/>
        <v>0</v>
      </c>
      <c r="L667" t="str">
        <f>"0,000"</f>
        <v>0,000</v>
      </c>
      <c r="M667" t="str">
        <f t="shared" si="442"/>
        <v xml:space="preserve"> </v>
      </c>
      <c r="N667" t="str">
        <f t="shared" si="427"/>
        <v>MPSI</v>
      </c>
      <c r="O667" t="str">
        <f t="shared" si="428"/>
        <v>COJINETES</v>
      </c>
      <c r="P667" t="str">
        <f t="shared" si="468"/>
        <v>0</v>
      </c>
      <c r="Q667" t="str">
        <f t="shared" si="468"/>
        <v>0</v>
      </c>
      <c r="R667" t="str">
        <f t="shared" si="469"/>
        <v>0,00</v>
      </c>
      <c r="S667" t="str">
        <f t="shared" si="469"/>
        <v>0,00</v>
      </c>
      <c r="T667" t="str">
        <f t="shared" si="464"/>
        <v xml:space="preserve"> </v>
      </c>
      <c r="U667" t="str">
        <f t="shared" si="471"/>
        <v>-</v>
      </c>
      <c r="V667" t="str">
        <f>"0,000"</f>
        <v>0,000</v>
      </c>
      <c r="W667" t="str">
        <f t="shared" si="445"/>
        <v>Lista 4</v>
      </c>
      <c r="X667" t="str">
        <f t="shared" si="446"/>
        <v>Lista 5</v>
      </c>
      <c r="Y667" t="str">
        <f t="shared" si="447"/>
        <v>Oferta Gral.</v>
      </c>
      <c r="Z667" t="str">
        <f t="shared" si="448"/>
        <v>Rubro</v>
      </c>
      <c r="AA667" t="str">
        <f t="shared" si="449"/>
        <v>Cantidad por Bulto</v>
      </c>
      <c r="AB667" t="str">
        <f t="shared" si="450"/>
        <v>INNER</v>
      </c>
      <c r="AC667" t="str">
        <f t="shared" si="451"/>
        <v>Stock en Bultos</v>
      </c>
      <c r="AD667" t="str">
        <f t="shared" si="452"/>
        <v>SubDepósito</v>
      </c>
      <c r="AE667" t="str">
        <f t="shared" si="453"/>
        <v>Marca</v>
      </c>
      <c r="AF667" t="str">
        <f t="shared" si="454"/>
        <v>Super Rubro</v>
      </c>
      <c r="AG667" t="str">
        <f t="shared" si="455"/>
        <v>ComercioExterior</v>
      </c>
      <c r="AH667" t="str">
        <f t="shared" si="456"/>
        <v>PrecioFOB</v>
      </c>
      <c r="AI667" t="str">
        <f t="shared" si="457"/>
        <v>Monto II</v>
      </c>
      <c r="AJ667" t="str">
        <f t="shared" si="458"/>
        <v>Porcentaje II</v>
      </c>
      <c r="AK667" t="str">
        <f t="shared" si="459"/>
        <v>Foto</v>
      </c>
      <c r="AL667" t="str">
        <f t="shared" si="472"/>
        <v xml:space="preserve"> </v>
      </c>
      <c r="AM667" t="str">
        <f t="shared" si="466"/>
        <v xml:space="preserve"> </v>
      </c>
    </row>
    <row r="668" spans="1:39" x14ac:dyDescent="0.25">
      <c r="A668" t="str">
        <f>"AX442107"</f>
        <v>AX442107</v>
      </c>
      <c r="B668" t="str">
        <f>"COJINETES AXIALES STD TOYOTA ETIOS YARIS 1.5 16V"</f>
        <v>COJINETES AXIALES STD TOYOTA ETIOS YARIS 1.5 16V</v>
      </c>
      <c r="C668" t="str">
        <f>"$ 5044,98"</f>
        <v>$ 5044,98</v>
      </c>
      <c r="D668" t="str">
        <f>"$ 5044,98"</f>
        <v>$ 5044,98</v>
      </c>
      <c r="E668" t="str">
        <f>"$ 5044,98"</f>
        <v>$ 5044,98</v>
      </c>
      <c r="F668" t="str">
        <f>"$ 5044,98"</f>
        <v>$ 5044,98</v>
      </c>
      <c r="G668" t="str">
        <f>"$ 5044,98"</f>
        <v>$ 5044,98</v>
      </c>
      <c r="H668" t="str">
        <f t="shared" si="440"/>
        <v>$ 0,00</v>
      </c>
      <c r="I668" t="str">
        <f t="shared" si="465"/>
        <v>JUEGO AXIALES</v>
      </c>
      <c r="J668" t="str">
        <f t="shared" si="441"/>
        <v>1</v>
      </c>
      <c r="K668" t="str">
        <f t="shared" si="467"/>
        <v>0</v>
      </c>
      <c r="L668" t="str">
        <f>"0,000"</f>
        <v>0,000</v>
      </c>
      <c r="M668" t="str">
        <f t="shared" si="442"/>
        <v xml:space="preserve"> </v>
      </c>
      <c r="N668" t="str">
        <f t="shared" si="427"/>
        <v>MPSI</v>
      </c>
      <c r="O668" t="str">
        <f t="shared" si="428"/>
        <v>COJINETES</v>
      </c>
      <c r="P668" t="str">
        <f t="shared" si="468"/>
        <v>0</v>
      </c>
      <c r="Q668" t="str">
        <f t="shared" si="468"/>
        <v>0</v>
      </c>
      <c r="R668" t="str">
        <f t="shared" si="469"/>
        <v>0,00</v>
      </c>
      <c r="S668" t="str">
        <f t="shared" si="469"/>
        <v>0,00</v>
      </c>
      <c r="T668" t="str">
        <f t="shared" si="464"/>
        <v xml:space="preserve"> </v>
      </c>
      <c r="U668" t="str">
        <f t="shared" si="471"/>
        <v>-</v>
      </c>
      <c r="V668" t="str">
        <f>"0,000"</f>
        <v>0,000</v>
      </c>
      <c r="W668" t="str">
        <f t="shared" si="445"/>
        <v>Lista 4</v>
      </c>
      <c r="X668" t="str">
        <f t="shared" si="446"/>
        <v>Lista 5</v>
      </c>
      <c r="Y668" t="str">
        <f t="shared" si="447"/>
        <v>Oferta Gral.</v>
      </c>
      <c r="Z668" t="str">
        <f t="shared" si="448"/>
        <v>Rubro</v>
      </c>
      <c r="AA668" t="str">
        <f t="shared" si="449"/>
        <v>Cantidad por Bulto</v>
      </c>
      <c r="AB668" t="str">
        <f t="shared" si="450"/>
        <v>INNER</v>
      </c>
      <c r="AC668" t="str">
        <f t="shared" si="451"/>
        <v>Stock en Bultos</v>
      </c>
      <c r="AD668" t="str">
        <f t="shared" si="452"/>
        <v>SubDepósito</v>
      </c>
      <c r="AE668" t="str">
        <f t="shared" si="453"/>
        <v>Marca</v>
      </c>
      <c r="AF668" t="str">
        <f t="shared" si="454"/>
        <v>Super Rubro</v>
      </c>
      <c r="AG668" t="str">
        <f t="shared" si="455"/>
        <v>ComercioExterior</v>
      </c>
      <c r="AH668" t="str">
        <f t="shared" si="456"/>
        <v>PrecioFOB</v>
      </c>
      <c r="AI668" t="str">
        <f t="shared" si="457"/>
        <v>Monto II</v>
      </c>
      <c r="AJ668" t="str">
        <f t="shared" si="458"/>
        <v>Porcentaje II</v>
      </c>
      <c r="AK668" t="str">
        <f t="shared" si="459"/>
        <v>Foto</v>
      </c>
      <c r="AL668" t="str">
        <f t="shared" si="472"/>
        <v xml:space="preserve"> </v>
      </c>
      <c r="AM668" t="str">
        <f t="shared" si="466"/>
        <v xml:space="preserve"> </v>
      </c>
    </row>
    <row r="669" spans="1:39" x14ac:dyDescent="0.25">
      <c r="A669" t="str">
        <f>"AX748"</f>
        <v>AX748</v>
      </c>
      <c r="B669" t="str">
        <f>"COJINETES AXIALES STD TOYOTA HILUX 2.8 L DIESEL MOTOR 3L"</f>
        <v>COJINETES AXIALES STD TOYOTA HILUX 2.8 L DIESEL MOTOR 3L</v>
      </c>
      <c r="C669" t="str">
        <f>"$ 7775,21"</f>
        <v>$ 7775,21</v>
      </c>
      <c r="D669" t="str">
        <f>"$ 7775,21"</f>
        <v>$ 7775,21</v>
      </c>
      <c r="E669" t="str">
        <f>"$ 7775,21"</f>
        <v>$ 7775,21</v>
      </c>
      <c r="F669" t="str">
        <f>"$ 7775,21"</f>
        <v>$ 7775,21</v>
      </c>
      <c r="G669" t="str">
        <f>"$ 7775,21"</f>
        <v>$ 7775,21</v>
      </c>
      <c r="H669" t="str">
        <f t="shared" si="440"/>
        <v>$ 0,00</v>
      </c>
      <c r="I669" t="str">
        <f t="shared" si="465"/>
        <v>JUEGO AXIALES</v>
      </c>
      <c r="J669" t="str">
        <f t="shared" si="441"/>
        <v>1</v>
      </c>
      <c r="K669" t="str">
        <f t="shared" si="467"/>
        <v>0</v>
      </c>
      <c r="L669" t="str">
        <f>"0,000"</f>
        <v>0,000</v>
      </c>
      <c r="M669" t="str">
        <f t="shared" si="442"/>
        <v xml:space="preserve"> </v>
      </c>
      <c r="N669" t="str">
        <f t="shared" si="427"/>
        <v>MPSI</v>
      </c>
      <c r="O669" t="str">
        <f t="shared" si="428"/>
        <v>COJINETES</v>
      </c>
      <c r="P669" t="str">
        <f t="shared" si="468"/>
        <v>0</v>
      </c>
      <c r="Q669" t="str">
        <f t="shared" si="468"/>
        <v>0</v>
      </c>
      <c r="R669" t="str">
        <f t="shared" si="469"/>
        <v>0,00</v>
      </c>
      <c r="S669" t="str">
        <f t="shared" si="469"/>
        <v>0,00</v>
      </c>
      <c r="T669" t="str">
        <f t="shared" si="464"/>
        <v xml:space="preserve"> </v>
      </c>
      <c r="U669" t="str">
        <f t="shared" si="471"/>
        <v>-</v>
      </c>
      <c r="V669" t="str">
        <f>"0,000"</f>
        <v>0,000</v>
      </c>
      <c r="W669" t="str">
        <f t="shared" si="445"/>
        <v>Lista 4</v>
      </c>
      <c r="X669" t="str">
        <f t="shared" si="446"/>
        <v>Lista 5</v>
      </c>
      <c r="Y669" t="str">
        <f t="shared" si="447"/>
        <v>Oferta Gral.</v>
      </c>
      <c r="Z669" t="str">
        <f t="shared" si="448"/>
        <v>Rubro</v>
      </c>
      <c r="AA669" t="str">
        <f t="shared" si="449"/>
        <v>Cantidad por Bulto</v>
      </c>
      <c r="AB669" t="str">
        <f t="shared" si="450"/>
        <v>INNER</v>
      </c>
      <c r="AC669" t="str">
        <f t="shared" si="451"/>
        <v>Stock en Bultos</v>
      </c>
      <c r="AD669" t="str">
        <f t="shared" si="452"/>
        <v>SubDepósito</v>
      </c>
      <c r="AE669" t="str">
        <f t="shared" si="453"/>
        <v>Marca</v>
      </c>
      <c r="AF669" t="str">
        <f t="shared" si="454"/>
        <v>Super Rubro</v>
      </c>
      <c r="AG669" t="str">
        <f t="shared" si="455"/>
        <v>ComercioExterior</v>
      </c>
      <c r="AH669" t="str">
        <f t="shared" si="456"/>
        <v>PrecioFOB</v>
      </c>
      <c r="AI669" t="str">
        <f t="shared" si="457"/>
        <v>Monto II</v>
      </c>
      <c r="AJ669" t="str">
        <f t="shared" si="458"/>
        <v>Porcentaje II</v>
      </c>
      <c r="AK669" t="str">
        <f t="shared" si="459"/>
        <v>Foto</v>
      </c>
      <c r="AL669" t="str">
        <f t="shared" si="472"/>
        <v xml:space="preserve"> </v>
      </c>
      <c r="AM669" t="str">
        <f t="shared" si="466"/>
        <v xml:space="preserve"> </v>
      </c>
    </row>
    <row r="670" spans="1:39" x14ac:dyDescent="0.25">
      <c r="A670" t="str">
        <f>"AX837"</f>
        <v>AX837</v>
      </c>
      <c r="B670" t="str">
        <f>"COJINETES AXIALES STD TOYOTA HILUX 3.0 MOTOR D4D 1KD"</f>
        <v>COJINETES AXIALES STD TOYOTA HILUX 3.0 MOTOR D4D 1KD</v>
      </c>
      <c r="C670" t="str">
        <f>"$ 8348,95"</f>
        <v>$ 8348,95</v>
      </c>
      <c r="D670" t="str">
        <f>"$ 8348,95"</f>
        <v>$ 8348,95</v>
      </c>
      <c r="E670" t="str">
        <f>"$ 8348,95"</f>
        <v>$ 8348,95</v>
      </c>
      <c r="F670" t="str">
        <f>"$ 8348,95"</f>
        <v>$ 8348,95</v>
      </c>
      <c r="G670" t="str">
        <f>"$ 8348,95"</f>
        <v>$ 8348,95</v>
      </c>
      <c r="H670" t="str">
        <f t="shared" si="440"/>
        <v>$ 0,00</v>
      </c>
      <c r="I670" t="str">
        <f t="shared" si="465"/>
        <v>JUEGO AXIALES</v>
      </c>
      <c r="J670" t="str">
        <f t="shared" si="441"/>
        <v>1</v>
      </c>
      <c r="K670" t="str">
        <f t="shared" si="467"/>
        <v>0</v>
      </c>
      <c r="L670" t="str">
        <f>"6,000"</f>
        <v>6,000</v>
      </c>
      <c r="M670" t="str">
        <f t="shared" si="442"/>
        <v xml:space="preserve"> </v>
      </c>
      <c r="N670" t="str">
        <f t="shared" si="427"/>
        <v>MPSI</v>
      </c>
      <c r="O670" t="str">
        <f t="shared" si="428"/>
        <v>COJINETES</v>
      </c>
      <c r="P670" t="str">
        <f t="shared" si="468"/>
        <v>0</v>
      </c>
      <c r="Q670" t="str">
        <f t="shared" si="468"/>
        <v>0</v>
      </c>
      <c r="R670" t="str">
        <f t="shared" si="469"/>
        <v>0,00</v>
      </c>
      <c r="S670" t="str">
        <f t="shared" si="469"/>
        <v>0,00</v>
      </c>
      <c r="T670" t="str">
        <f t="shared" si="464"/>
        <v xml:space="preserve"> </v>
      </c>
      <c r="U670" t="str">
        <f t="shared" si="471"/>
        <v>-</v>
      </c>
      <c r="V670" t="str">
        <f>"6,000"</f>
        <v>6,000</v>
      </c>
      <c r="W670" t="str">
        <f t="shared" si="445"/>
        <v>Lista 4</v>
      </c>
      <c r="X670" t="str">
        <f t="shared" si="446"/>
        <v>Lista 5</v>
      </c>
      <c r="Y670" t="str">
        <f t="shared" si="447"/>
        <v>Oferta Gral.</v>
      </c>
      <c r="Z670" t="str">
        <f t="shared" si="448"/>
        <v>Rubro</v>
      </c>
      <c r="AA670" t="str">
        <f t="shared" si="449"/>
        <v>Cantidad por Bulto</v>
      </c>
      <c r="AB670" t="str">
        <f t="shared" si="450"/>
        <v>INNER</v>
      </c>
      <c r="AC670" t="str">
        <f t="shared" si="451"/>
        <v>Stock en Bultos</v>
      </c>
      <c r="AD670" t="str">
        <f t="shared" si="452"/>
        <v>SubDepósito</v>
      </c>
      <c r="AE670" t="str">
        <f t="shared" si="453"/>
        <v>Marca</v>
      </c>
      <c r="AF670" t="str">
        <f t="shared" si="454"/>
        <v>Super Rubro</v>
      </c>
      <c r="AG670" t="str">
        <f t="shared" si="455"/>
        <v>ComercioExterior</v>
      </c>
      <c r="AH670" t="str">
        <f t="shared" si="456"/>
        <v>PrecioFOB</v>
      </c>
      <c r="AI670" t="str">
        <f t="shared" si="457"/>
        <v>Monto II</v>
      </c>
      <c r="AJ670" t="str">
        <f t="shared" si="458"/>
        <v>Porcentaje II</v>
      </c>
      <c r="AK670" t="str">
        <f t="shared" si="459"/>
        <v>Foto</v>
      </c>
      <c r="AL670" t="str">
        <f t="shared" si="472"/>
        <v xml:space="preserve"> </v>
      </c>
      <c r="AM670" t="str">
        <f t="shared" si="466"/>
        <v xml:space="preserve"> </v>
      </c>
    </row>
    <row r="671" spans="1:39" x14ac:dyDescent="0.25">
      <c r="A671" t="str">
        <f>"BA629 10"</f>
        <v>BA629 10</v>
      </c>
      <c r="B671" t="str">
        <f>"COJINETES BANCADA 0,25 AMAROK 2.0 TDI"</f>
        <v>COJINETES BANCADA 0,25 AMAROK 2.0 TDI</v>
      </c>
      <c r="C671" t="str">
        <f>"$ 31432,50"</f>
        <v>$ 31432,50</v>
      </c>
      <c r="D671" t="str">
        <f>"$ 31432,50"</f>
        <v>$ 31432,50</v>
      </c>
      <c r="E671" t="str">
        <f>"$ 31432,50"</f>
        <v>$ 31432,50</v>
      </c>
      <c r="F671" t="str">
        <f>"$ 31432,50"</f>
        <v>$ 31432,50</v>
      </c>
      <c r="G671" t="str">
        <f>"$ 31432,50"</f>
        <v>$ 31432,50</v>
      </c>
      <c r="H671" t="str">
        <f t="shared" si="440"/>
        <v>$ 0,00</v>
      </c>
      <c r="I671" t="str">
        <f t="shared" ref="I671:I734" si="473">"JUEGO COJINETES BANCADA"</f>
        <v>JUEGO COJINETES BANCADA</v>
      </c>
      <c r="J671" t="str">
        <f t="shared" si="441"/>
        <v>1</v>
      </c>
      <c r="K671" t="str">
        <f t="shared" si="467"/>
        <v>0</v>
      </c>
      <c r="L671" t="str">
        <f>"6,000"</f>
        <v>6,000</v>
      </c>
      <c r="M671" t="str">
        <f t="shared" si="442"/>
        <v xml:space="preserve"> </v>
      </c>
      <c r="N671" t="str">
        <f t="shared" si="427"/>
        <v>MPSI</v>
      </c>
      <c r="O671" t="str">
        <f t="shared" si="428"/>
        <v>COJINETES</v>
      </c>
      <c r="P671" t="str">
        <f t="shared" si="468"/>
        <v>0</v>
      </c>
      <c r="Q671" t="str">
        <f t="shared" si="468"/>
        <v>0</v>
      </c>
      <c r="R671" t="str">
        <f t="shared" si="469"/>
        <v>0,00</v>
      </c>
      <c r="S671" t="str">
        <f t="shared" si="469"/>
        <v>0,00</v>
      </c>
      <c r="T671" t="str">
        <f t="shared" si="464"/>
        <v xml:space="preserve"> </v>
      </c>
      <c r="U671" t="str">
        <f t="shared" si="471"/>
        <v>-</v>
      </c>
      <c r="V671" t="str">
        <f>"6,000"</f>
        <v>6,000</v>
      </c>
      <c r="W671" t="str">
        <f t="shared" si="445"/>
        <v>Lista 4</v>
      </c>
      <c r="X671" t="str">
        <f t="shared" si="446"/>
        <v>Lista 5</v>
      </c>
      <c r="Y671" t="str">
        <f t="shared" si="447"/>
        <v>Oferta Gral.</v>
      </c>
      <c r="Z671" t="str">
        <f t="shared" si="448"/>
        <v>Rubro</v>
      </c>
      <c r="AA671" t="str">
        <f t="shared" si="449"/>
        <v>Cantidad por Bulto</v>
      </c>
      <c r="AB671" t="str">
        <f t="shared" si="450"/>
        <v>INNER</v>
      </c>
      <c r="AC671" t="str">
        <f t="shared" si="451"/>
        <v>Stock en Bultos</v>
      </c>
      <c r="AD671" t="str">
        <f t="shared" si="452"/>
        <v>SubDepósito</v>
      </c>
      <c r="AE671" t="str">
        <f t="shared" si="453"/>
        <v>Marca</v>
      </c>
      <c r="AF671" t="str">
        <f t="shared" si="454"/>
        <v>Super Rubro</v>
      </c>
      <c r="AG671" t="str">
        <f t="shared" si="455"/>
        <v>ComercioExterior</v>
      </c>
      <c r="AH671" t="str">
        <f t="shared" si="456"/>
        <v>PrecioFOB</v>
      </c>
      <c r="AI671" t="str">
        <f t="shared" si="457"/>
        <v>Monto II</v>
      </c>
      <c r="AJ671" t="str">
        <f t="shared" si="458"/>
        <v>Porcentaje II</v>
      </c>
      <c r="AK671" t="str">
        <f t="shared" si="459"/>
        <v>Foto</v>
      </c>
      <c r="AL671" t="str">
        <f t="shared" si="472"/>
        <v xml:space="preserve"> </v>
      </c>
      <c r="AM671" t="str">
        <f t="shared" si="466"/>
        <v xml:space="preserve"> </v>
      </c>
    </row>
    <row r="672" spans="1:39" x14ac:dyDescent="0.25">
      <c r="A672" t="str">
        <f>"BA045481 10"</f>
        <v>BA045481 10</v>
      </c>
      <c r="B672" t="str">
        <f>"COJINETES BANCADA 0,25 CHERY SQR484F/SQR481FC"</f>
        <v>COJINETES BANCADA 0,25 CHERY SQR484F/SQR481FC</v>
      </c>
      <c r="C672" t="str">
        <f>"$ 28675,65"</f>
        <v>$ 28675,65</v>
      </c>
      <c r="D672" t="str">
        <f>"$ 28675,65"</f>
        <v>$ 28675,65</v>
      </c>
      <c r="E672" t="str">
        <f>"$ 28675,65"</f>
        <v>$ 28675,65</v>
      </c>
      <c r="F672" t="str">
        <f>"$ 28675,65"</f>
        <v>$ 28675,65</v>
      </c>
      <c r="G672" t="str">
        <f>"$ 28675,65"</f>
        <v>$ 28675,65</v>
      </c>
      <c r="H672" t="str">
        <f t="shared" si="440"/>
        <v>$ 0,00</v>
      </c>
      <c r="I672" t="str">
        <f t="shared" si="473"/>
        <v>JUEGO COJINETES BANCADA</v>
      </c>
      <c r="J672" t="str">
        <f t="shared" si="441"/>
        <v>1</v>
      </c>
      <c r="K672" t="str">
        <f t="shared" si="467"/>
        <v>0</v>
      </c>
      <c r="L672" t="str">
        <f>"4,000"</f>
        <v>4,000</v>
      </c>
      <c r="M672" t="str">
        <f t="shared" si="442"/>
        <v xml:space="preserve"> </v>
      </c>
      <c r="N672" t="str">
        <f t="shared" si="427"/>
        <v>MPSI</v>
      </c>
      <c r="O672" t="str">
        <f t="shared" si="428"/>
        <v>COJINETES</v>
      </c>
      <c r="P672" t="str">
        <f t="shared" si="468"/>
        <v>0</v>
      </c>
      <c r="Q672" t="str">
        <f t="shared" si="468"/>
        <v>0</v>
      </c>
      <c r="R672" t="str">
        <f t="shared" si="469"/>
        <v>0,00</v>
      </c>
      <c r="S672" t="str">
        <f t="shared" si="469"/>
        <v>0,00</v>
      </c>
      <c r="T672" t="str">
        <f t="shared" si="464"/>
        <v xml:space="preserve"> </v>
      </c>
      <c r="U672" t="str">
        <f t="shared" si="471"/>
        <v>-</v>
      </c>
      <c r="V672" t="str">
        <f>"4,000"</f>
        <v>4,000</v>
      </c>
      <c r="W672" t="str">
        <f t="shared" si="445"/>
        <v>Lista 4</v>
      </c>
      <c r="X672" t="str">
        <f t="shared" si="446"/>
        <v>Lista 5</v>
      </c>
      <c r="Y672" t="str">
        <f t="shared" si="447"/>
        <v>Oferta Gral.</v>
      </c>
      <c r="Z672" t="str">
        <f t="shared" si="448"/>
        <v>Rubro</v>
      </c>
      <c r="AA672" t="str">
        <f t="shared" si="449"/>
        <v>Cantidad por Bulto</v>
      </c>
      <c r="AB672" t="str">
        <f t="shared" si="450"/>
        <v>INNER</v>
      </c>
      <c r="AC672" t="str">
        <f t="shared" si="451"/>
        <v>Stock en Bultos</v>
      </c>
      <c r="AD672" t="str">
        <f t="shared" si="452"/>
        <v>SubDepósito</v>
      </c>
      <c r="AE672" t="str">
        <f t="shared" si="453"/>
        <v>Marca</v>
      </c>
      <c r="AF672" t="str">
        <f t="shared" si="454"/>
        <v>Super Rubro</v>
      </c>
      <c r="AG672" t="str">
        <f t="shared" si="455"/>
        <v>ComercioExterior</v>
      </c>
      <c r="AH672" t="str">
        <f t="shared" si="456"/>
        <v>PrecioFOB</v>
      </c>
      <c r="AI672" t="str">
        <f t="shared" si="457"/>
        <v>Monto II</v>
      </c>
      <c r="AJ672" t="str">
        <f t="shared" si="458"/>
        <v>Porcentaje II</v>
      </c>
      <c r="AK672" t="str">
        <f t="shared" si="459"/>
        <v>Foto</v>
      </c>
      <c r="AL672" t="str">
        <f t="shared" si="472"/>
        <v xml:space="preserve"> </v>
      </c>
      <c r="AM672" t="str">
        <f t="shared" si="466"/>
        <v xml:space="preserve"> </v>
      </c>
    </row>
    <row r="673" spans="1:39" x14ac:dyDescent="0.25">
      <c r="A673" t="str">
        <f>"BA062 10"</f>
        <v>BA062 10</v>
      </c>
      <c r="B673" t="str">
        <f>"COJINETES BANCADA 0,25 CHEVROLET 400 CHEVY C10"</f>
        <v>COJINETES BANCADA 0,25 CHEVROLET 400 CHEVY C10</v>
      </c>
      <c r="C673" t="str">
        <f>"$ 40323,50"</f>
        <v>$ 40323,50</v>
      </c>
      <c r="D673" t="str">
        <f>"$ 40323,50"</f>
        <v>$ 40323,50</v>
      </c>
      <c r="E673" t="str">
        <f>"$ 40323,50"</f>
        <v>$ 40323,50</v>
      </c>
      <c r="F673" t="str">
        <f>"$ 40323,50"</f>
        <v>$ 40323,50</v>
      </c>
      <c r="G673" t="str">
        <f>"$ 40323,50"</f>
        <v>$ 40323,50</v>
      </c>
      <c r="H673" t="str">
        <f t="shared" si="440"/>
        <v>$ 0,00</v>
      </c>
      <c r="I673" t="str">
        <f t="shared" si="473"/>
        <v>JUEGO COJINETES BANCADA</v>
      </c>
      <c r="J673" t="str">
        <f t="shared" si="441"/>
        <v>1</v>
      </c>
      <c r="K673" t="str">
        <f t="shared" si="467"/>
        <v>0</v>
      </c>
      <c r="L673" t="str">
        <f>"3,000"</f>
        <v>3,000</v>
      </c>
      <c r="M673" t="str">
        <f t="shared" si="442"/>
        <v xml:space="preserve"> </v>
      </c>
      <c r="N673" t="str">
        <f t="shared" si="427"/>
        <v>MPSI</v>
      </c>
      <c r="O673" t="str">
        <f t="shared" si="428"/>
        <v>COJINETES</v>
      </c>
      <c r="P673" t="str">
        <f t="shared" si="468"/>
        <v>0</v>
      </c>
      <c r="Q673" t="str">
        <f t="shared" si="468"/>
        <v>0</v>
      </c>
      <c r="R673" t="str">
        <f t="shared" si="469"/>
        <v>0,00</v>
      </c>
      <c r="S673" t="str">
        <f t="shared" si="469"/>
        <v>0,00</v>
      </c>
      <c r="T673" t="str">
        <f t="shared" si="464"/>
        <v xml:space="preserve"> </v>
      </c>
      <c r="U673" t="str">
        <f t="shared" si="471"/>
        <v>-</v>
      </c>
      <c r="V673" t="str">
        <f>"3,000"</f>
        <v>3,000</v>
      </c>
      <c r="W673" t="str">
        <f t="shared" si="445"/>
        <v>Lista 4</v>
      </c>
      <c r="X673" t="str">
        <f t="shared" si="446"/>
        <v>Lista 5</v>
      </c>
      <c r="Y673" t="str">
        <f t="shared" si="447"/>
        <v>Oferta Gral.</v>
      </c>
      <c r="Z673" t="str">
        <f t="shared" si="448"/>
        <v>Rubro</v>
      </c>
      <c r="AA673" t="str">
        <f t="shared" si="449"/>
        <v>Cantidad por Bulto</v>
      </c>
      <c r="AB673" t="str">
        <f t="shared" si="450"/>
        <v>INNER</v>
      </c>
      <c r="AC673" t="str">
        <f t="shared" si="451"/>
        <v>Stock en Bultos</v>
      </c>
      <c r="AD673" t="str">
        <f t="shared" si="452"/>
        <v>SubDepósito</v>
      </c>
      <c r="AE673" t="str">
        <f t="shared" si="453"/>
        <v>Marca</v>
      </c>
      <c r="AF673" t="str">
        <f t="shared" si="454"/>
        <v>Super Rubro</v>
      </c>
      <c r="AG673" t="str">
        <f t="shared" si="455"/>
        <v>ComercioExterior</v>
      </c>
      <c r="AH673" t="str">
        <f t="shared" si="456"/>
        <v>PrecioFOB</v>
      </c>
      <c r="AI673" t="str">
        <f t="shared" si="457"/>
        <v>Monto II</v>
      </c>
      <c r="AJ673" t="str">
        <f t="shared" si="458"/>
        <v>Porcentaje II</v>
      </c>
      <c r="AK673" t="str">
        <f t="shared" si="459"/>
        <v>Foto</v>
      </c>
      <c r="AL673" t="str">
        <f t="shared" si="472"/>
        <v xml:space="preserve"> </v>
      </c>
      <c r="AM673" t="str">
        <f t="shared" si="466"/>
        <v xml:space="preserve"> </v>
      </c>
    </row>
    <row r="674" spans="1:39" x14ac:dyDescent="0.25">
      <c r="A674" t="str">
        <f>"BA068 10"</f>
        <v>BA068 10</v>
      </c>
      <c r="B674" t="str">
        <f>"COJINETES BANCADA 0,25 CHEVROLET ASTRA MONZA 1.8 2.0 8V"</f>
        <v>COJINETES BANCADA 0,25 CHEVROLET ASTRA MONZA 1.8 2.0 8V</v>
      </c>
      <c r="C674" t="str">
        <f>"$ 31803,90"</f>
        <v>$ 31803,90</v>
      </c>
      <c r="D674" t="str">
        <f>"$ 31803,90"</f>
        <v>$ 31803,90</v>
      </c>
      <c r="E674" t="str">
        <f>"$ 31803,90"</f>
        <v>$ 31803,90</v>
      </c>
      <c r="F674" t="str">
        <f>"$ 31803,90"</f>
        <v>$ 31803,90</v>
      </c>
      <c r="G674" t="str">
        <f>"$ 31803,90"</f>
        <v>$ 31803,90</v>
      </c>
      <c r="H674" t="str">
        <f t="shared" si="440"/>
        <v>$ 0,00</v>
      </c>
      <c r="I674" t="str">
        <f t="shared" si="473"/>
        <v>JUEGO COJINETES BANCADA</v>
      </c>
      <c r="J674" t="str">
        <f t="shared" si="441"/>
        <v>1</v>
      </c>
      <c r="K674" t="str">
        <f t="shared" si="467"/>
        <v>0</v>
      </c>
      <c r="L674" t="str">
        <f>"11,000"</f>
        <v>11,000</v>
      </c>
      <c r="M674" t="str">
        <f t="shared" si="442"/>
        <v xml:space="preserve"> </v>
      </c>
      <c r="N674" t="str">
        <f t="shared" si="427"/>
        <v>MPSI</v>
      </c>
      <c r="O674" t="str">
        <f t="shared" si="428"/>
        <v>COJINETES</v>
      </c>
      <c r="P674" t="str">
        <f t="shared" si="468"/>
        <v>0</v>
      </c>
      <c r="Q674" t="str">
        <f t="shared" si="468"/>
        <v>0</v>
      </c>
      <c r="R674" t="str">
        <f t="shared" si="469"/>
        <v>0,00</v>
      </c>
      <c r="S674" t="str">
        <f t="shared" si="469"/>
        <v>0,00</v>
      </c>
      <c r="T674" t="str">
        <f t="shared" si="464"/>
        <v xml:space="preserve"> </v>
      </c>
      <c r="U674" t="str">
        <f t="shared" si="471"/>
        <v>-</v>
      </c>
      <c r="V674" t="str">
        <f>"11,000"</f>
        <v>11,000</v>
      </c>
      <c r="W674" t="str">
        <f t="shared" si="445"/>
        <v>Lista 4</v>
      </c>
      <c r="X674" t="str">
        <f t="shared" si="446"/>
        <v>Lista 5</v>
      </c>
      <c r="Y674" t="str">
        <f t="shared" si="447"/>
        <v>Oferta Gral.</v>
      </c>
      <c r="Z674" t="str">
        <f t="shared" si="448"/>
        <v>Rubro</v>
      </c>
      <c r="AA674" t="str">
        <f t="shared" si="449"/>
        <v>Cantidad por Bulto</v>
      </c>
      <c r="AB674" t="str">
        <f t="shared" si="450"/>
        <v>INNER</v>
      </c>
      <c r="AC674" t="str">
        <f t="shared" si="451"/>
        <v>Stock en Bultos</v>
      </c>
      <c r="AD674" t="str">
        <f t="shared" si="452"/>
        <v>SubDepósito</v>
      </c>
      <c r="AE674" t="str">
        <f t="shared" si="453"/>
        <v>Marca</v>
      </c>
      <c r="AF674" t="str">
        <f t="shared" si="454"/>
        <v>Super Rubro</v>
      </c>
      <c r="AG674" t="str">
        <f t="shared" si="455"/>
        <v>ComercioExterior</v>
      </c>
      <c r="AH674" t="str">
        <f t="shared" si="456"/>
        <v>PrecioFOB</v>
      </c>
      <c r="AI674" t="str">
        <f t="shared" si="457"/>
        <v>Monto II</v>
      </c>
      <c r="AJ674" t="str">
        <f t="shared" si="458"/>
        <v>Porcentaje II</v>
      </c>
      <c r="AK674" t="str">
        <f t="shared" si="459"/>
        <v>Foto</v>
      </c>
      <c r="AL674" t="str">
        <f t="shared" si="472"/>
        <v xml:space="preserve"> </v>
      </c>
      <c r="AM674" t="str">
        <f t="shared" si="466"/>
        <v xml:space="preserve"> </v>
      </c>
    </row>
    <row r="675" spans="1:39" x14ac:dyDescent="0.25">
      <c r="A675" t="str">
        <f>"BA371 10"</f>
        <v>BA371 10</v>
      </c>
      <c r="B675" t="str">
        <f>"COJINETES BANCADA 0,25 CHEVROLET CORSA 1.4 1.6 FIAT PALIO 1.8"</f>
        <v>COJINETES BANCADA 0,25 CHEVROLET CORSA 1.4 1.6 FIAT PALIO 1.8</v>
      </c>
      <c r="C675" t="str">
        <f>"$ 26359,01"</f>
        <v>$ 26359,01</v>
      </c>
      <c r="D675" t="str">
        <f>"$ 26359,01"</f>
        <v>$ 26359,01</v>
      </c>
      <c r="E675" t="str">
        <f>"$ 26359,01"</f>
        <v>$ 26359,01</v>
      </c>
      <c r="F675" t="str">
        <f>"$ 26359,01"</f>
        <v>$ 26359,01</v>
      </c>
      <c r="G675" t="str">
        <f>"$ 26359,01"</f>
        <v>$ 26359,01</v>
      </c>
      <c r="H675" t="str">
        <f t="shared" si="440"/>
        <v>$ 0,00</v>
      </c>
      <c r="I675" t="str">
        <f t="shared" si="473"/>
        <v>JUEGO COJINETES BANCADA</v>
      </c>
      <c r="J675" t="str">
        <f t="shared" si="441"/>
        <v>1</v>
      </c>
      <c r="K675" t="str">
        <f t="shared" si="467"/>
        <v>0</v>
      </c>
      <c r="L675" t="str">
        <f>"23,000"</f>
        <v>23,000</v>
      </c>
      <c r="M675" t="str">
        <f t="shared" si="442"/>
        <v xml:space="preserve"> </v>
      </c>
      <c r="N675" t="str">
        <f t="shared" si="427"/>
        <v>MPSI</v>
      </c>
      <c r="O675" t="str">
        <f t="shared" si="428"/>
        <v>COJINETES</v>
      </c>
      <c r="P675" t="str">
        <f t="shared" si="468"/>
        <v>0</v>
      </c>
      <c r="Q675" t="str">
        <f t="shared" si="468"/>
        <v>0</v>
      </c>
      <c r="R675" t="str">
        <f t="shared" si="469"/>
        <v>0,00</v>
      </c>
      <c r="S675" t="str">
        <f t="shared" si="469"/>
        <v>0,00</v>
      </c>
      <c r="T675" t="str">
        <f t="shared" si="464"/>
        <v xml:space="preserve"> </v>
      </c>
      <c r="U675" t="str">
        <f t="shared" si="471"/>
        <v>-</v>
      </c>
      <c r="V675" t="str">
        <f>"23,000"</f>
        <v>23,000</v>
      </c>
      <c r="W675" t="str">
        <f t="shared" si="445"/>
        <v>Lista 4</v>
      </c>
      <c r="X675" t="str">
        <f t="shared" si="446"/>
        <v>Lista 5</v>
      </c>
      <c r="Y675" t="str">
        <f t="shared" si="447"/>
        <v>Oferta Gral.</v>
      </c>
      <c r="Z675" t="str">
        <f t="shared" si="448"/>
        <v>Rubro</v>
      </c>
      <c r="AA675" t="str">
        <f t="shared" si="449"/>
        <v>Cantidad por Bulto</v>
      </c>
      <c r="AB675" t="str">
        <f t="shared" si="450"/>
        <v>INNER</v>
      </c>
      <c r="AC675" t="str">
        <f t="shared" si="451"/>
        <v>Stock en Bultos</v>
      </c>
      <c r="AD675" t="str">
        <f t="shared" si="452"/>
        <v>SubDepósito</v>
      </c>
      <c r="AE675" t="str">
        <f t="shared" si="453"/>
        <v>Marca</v>
      </c>
      <c r="AF675" t="str">
        <f t="shared" si="454"/>
        <v>Super Rubro</v>
      </c>
      <c r="AG675" t="str">
        <f t="shared" si="455"/>
        <v>ComercioExterior</v>
      </c>
      <c r="AH675" t="str">
        <f t="shared" si="456"/>
        <v>PrecioFOB</v>
      </c>
      <c r="AI675" t="str">
        <f t="shared" si="457"/>
        <v>Monto II</v>
      </c>
      <c r="AJ675" t="str">
        <f t="shared" si="458"/>
        <v>Porcentaje II</v>
      </c>
      <c r="AK675" t="str">
        <f t="shared" si="459"/>
        <v>Foto</v>
      </c>
      <c r="AL675" t="str">
        <f>"{\rtf1\ansi\ansicpg1252\deff0\deflang2058{\fonttbl{\f0\fnil\fcharset0 MS Sans Serif}} \viewkind4\uc1\pard\f0\fs16 COJINETES BANCADA 0,25 CHEVROLET CORSA 1.4 1.6 FIAT PALIO 1.8\par } "</f>
        <v xml:space="preserve">{\rtf1\ansi\ansicpg1252\deff0\deflang2058{\fonttbl{\f0\fnil\fcharset0 MS Sans Serif}} \viewkind4\uc1\pard\f0\fs16 COJINETES BANCADA 0,25 CHEVROLET CORSA 1.4 1.6 FIAT PALIO 1.8\par } </v>
      </c>
      <c r="AM675" t="str">
        <f t="shared" si="466"/>
        <v xml:space="preserve"> </v>
      </c>
    </row>
    <row r="676" spans="1:39" x14ac:dyDescent="0.25">
      <c r="A676" t="str">
        <f>"BA372 10"</f>
        <v>BA372 10</v>
      </c>
      <c r="B676" t="str">
        <f>"COJINETES BANCADA 0,25 CHEVROLET CORSA CON AXIAL +0,40MM"</f>
        <v>COJINETES BANCADA 0,25 CHEVROLET CORSA CON AXIAL +0,40MM</v>
      </c>
      <c r="C676" t="str">
        <f>"$ 31152,18"</f>
        <v>$ 31152,18</v>
      </c>
      <c r="D676" t="str">
        <f>"$ 31152,18"</f>
        <v>$ 31152,18</v>
      </c>
      <c r="E676" t="str">
        <f>"$ 31152,18"</f>
        <v>$ 31152,18</v>
      </c>
      <c r="F676" t="str">
        <f>"$ 31152,18"</f>
        <v>$ 31152,18</v>
      </c>
      <c r="G676" t="str">
        <f>"$ 31152,18"</f>
        <v>$ 31152,18</v>
      </c>
      <c r="H676" t="str">
        <f t="shared" si="440"/>
        <v>$ 0,00</v>
      </c>
      <c r="I676" t="str">
        <f t="shared" si="473"/>
        <v>JUEGO COJINETES BANCADA</v>
      </c>
      <c r="J676" t="str">
        <f t="shared" si="441"/>
        <v>1</v>
      </c>
      <c r="K676" t="str">
        <f t="shared" si="467"/>
        <v>0</v>
      </c>
      <c r="L676" t="str">
        <f>"-3,000"</f>
        <v>-3,000</v>
      </c>
      <c r="M676" t="str">
        <f t="shared" si="442"/>
        <v xml:space="preserve"> </v>
      </c>
      <c r="N676" t="str">
        <f t="shared" si="427"/>
        <v>MPSI</v>
      </c>
      <c r="O676" t="str">
        <f t="shared" si="428"/>
        <v>COJINETES</v>
      </c>
      <c r="P676" t="str">
        <f t="shared" si="468"/>
        <v>0</v>
      </c>
      <c r="Q676" t="str">
        <f t="shared" si="468"/>
        <v>0</v>
      </c>
      <c r="R676" t="str">
        <f t="shared" si="469"/>
        <v>0,00</v>
      </c>
      <c r="S676" t="str">
        <f t="shared" si="469"/>
        <v>0,00</v>
      </c>
      <c r="T676" t="str">
        <f t="shared" si="464"/>
        <v xml:space="preserve"> </v>
      </c>
      <c r="U676" t="str">
        <f t="shared" si="471"/>
        <v>-</v>
      </c>
      <c r="V676" t="str">
        <f>"-3,000"</f>
        <v>-3,000</v>
      </c>
      <c r="W676" t="str">
        <f t="shared" si="445"/>
        <v>Lista 4</v>
      </c>
      <c r="X676" t="str">
        <f t="shared" si="446"/>
        <v>Lista 5</v>
      </c>
      <c r="Y676" t="str">
        <f t="shared" si="447"/>
        <v>Oferta Gral.</v>
      </c>
      <c r="Z676" t="str">
        <f t="shared" si="448"/>
        <v>Rubro</v>
      </c>
      <c r="AA676" t="str">
        <f t="shared" si="449"/>
        <v>Cantidad por Bulto</v>
      </c>
      <c r="AB676" t="str">
        <f t="shared" si="450"/>
        <v>INNER</v>
      </c>
      <c r="AC676" t="str">
        <f t="shared" si="451"/>
        <v>Stock en Bultos</v>
      </c>
      <c r="AD676" t="str">
        <f t="shared" si="452"/>
        <v>SubDepósito</v>
      </c>
      <c r="AE676" t="str">
        <f t="shared" si="453"/>
        <v>Marca</v>
      </c>
      <c r="AF676" t="str">
        <f t="shared" si="454"/>
        <v>Super Rubro</v>
      </c>
      <c r="AG676" t="str">
        <f t="shared" si="455"/>
        <v>ComercioExterior</v>
      </c>
      <c r="AH676" t="str">
        <f t="shared" si="456"/>
        <v>PrecioFOB</v>
      </c>
      <c r="AI676" t="str">
        <f t="shared" si="457"/>
        <v>Monto II</v>
      </c>
      <c r="AJ676" t="str">
        <f t="shared" si="458"/>
        <v>Porcentaje II</v>
      </c>
      <c r="AK676" t="str">
        <f t="shared" si="459"/>
        <v>Foto</v>
      </c>
      <c r="AL676" t="str">
        <f>" "</f>
        <v xml:space="preserve"> </v>
      </c>
      <c r="AM676" t="str">
        <f t="shared" si="466"/>
        <v xml:space="preserve"> </v>
      </c>
    </row>
    <row r="677" spans="1:39" x14ac:dyDescent="0.25">
      <c r="A677" t="str">
        <f>"BA810 10"</f>
        <v>BA810 10</v>
      </c>
      <c r="B677" t="str">
        <f>"COJINETES BANCADA 0,25 CHEVROLET CORSA MERIVA 1.7 DIESEL"</f>
        <v>COJINETES BANCADA 0,25 CHEVROLET CORSA MERIVA 1.7 DIESEL</v>
      </c>
      <c r="C677" t="str">
        <f>"$ 18546,07"</f>
        <v>$ 18546,07</v>
      </c>
      <c r="D677" t="str">
        <f>"$ 18546,07"</f>
        <v>$ 18546,07</v>
      </c>
      <c r="E677" t="str">
        <f>"$ 18546,07"</f>
        <v>$ 18546,07</v>
      </c>
      <c r="F677" t="str">
        <f>"$ 18546,07"</f>
        <v>$ 18546,07</v>
      </c>
      <c r="G677" t="str">
        <f>"$ 18546,07"</f>
        <v>$ 18546,07</v>
      </c>
      <c r="H677" t="str">
        <f t="shared" si="440"/>
        <v>$ 0,00</v>
      </c>
      <c r="I677" t="str">
        <f t="shared" si="473"/>
        <v>JUEGO COJINETES BANCADA</v>
      </c>
      <c r="J677" t="str">
        <f t="shared" si="441"/>
        <v>1</v>
      </c>
      <c r="K677" t="str">
        <f t="shared" si="467"/>
        <v>0</v>
      </c>
      <c r="L677" t="str">
        <f>"7,000"</f>
        <v>7,000</v>
      </c>
      <c r="M677" t="str">
        <f t="shared" si="442"/>
        <v xml:space="preserve"> </v>
      </c>
      <c r="N677" t="str">
        <f t="shared" ref="N677:N740" si="474">"MPSI"</f>
        <v>MPSI</v>
      </c>
      <c r="O677" t="str">
        <f t="shared" ref="O677:O740" si="475">"COJINETES"</f>
        <v>COJINETES</v>
      </c>
      <c r="P677" t="str">
        <f t="shared" si="468"/>
        <v>0</v>
      </c>
      <c r="Q677" t="str">
        <f t="shared" si="468"/>
        <v>0</v>
      </c>
      <c r="R677" t="str">
        <f t="shared" si="469"/>
        <v>0,00</v>
      </c>
      <c r="S677" t="str">
        <f t="shared" si="469"/>
        <v>0,00</v>
      </c>
      <c r="T677" t="str">
        <f t="shared" si="464"/>
        <v xml:space="preserve"> </v>
      </c>
      <c r="U677" t="str">
        <f t="shared" si="471"/>
        <v>-</v>
      </c>
      <c r="V677" t="str">
        <f>"7,000"</f>
        <v>7,000</v>
      </c>
      <c r="W677" t="str">
        <f t="shared" si="445"/>
        <v>Lista 4</v>
      </c>
      <c r="X677" t="str">
        <f t="shared" si="446"/>
        <v>Lista 5</v>
      </c>
      <c r="Y677" t="str">
        <f t="shared" si="447"/>
        <v>Oferta Gral.</v>
      </c>
      <c r="Z677" t="str">
        <f t="shared" si="448"/>
        <v>Rubro</v>
      </c>
      <c r="AA677" t="str">
        <f t="shared" si="449"/>
        <v>Cantidad por Bulto</v>
      </c>
      <c r="AB677" t="str">
        <f t="shared" si="450"/>
        <v>INNER</v>
      </c>
      <c r="AC677" t="str">
        <f t="shared" si="451"/>
        <v>Stock en Bultos</v>
      </c>
      <c r="AD677" t="str">
        <f t="shared" si="452"/>
        <v>SubDepósito</v>
      </c>
      <c r="AE677" t="str">
        <f t="shared" si="453"/>
        <v>Marca</v>
      </c>
      <c r="AF677" t="str">
        <f t="shared" si="454"/>
        <v>Super Rubro</v>
      </c>
      <c r="AG677" t="str">
        <f t="shared" si="455"/>
        <v>ComercioExterior</v>
      </c>
      <c r="AH677" t="str">
        <f t="shared" si="456"/>
        <v>PrecioFOB</v>
      </c>
      <c r="AI677" t="str">
        <f t="shared" si="457"/>
        <v>Monto II</v>
      </c>
      <c r="AJ677" t="str">
        <f t="shared" si="458"/>
        <v>Porcentaje II</v>
      </c>
      <c r="AK677" t="str">
        <f t="shared" si="459"/>
        <v>Foto</v>
      </c>
      <c r="AL677" t="str">
        <f>"{\rtf1\ansi\ansicpg1252\deff0\deflang11274{\fonttbl{\f0\fnil\fcharset0 MS Sans Serif}} \viewkind4\uc1\pard\f0\fs16 COJINETES BANCADA 0,25 CHEVROLET CORSA MERIVA 1.7 DIESEL\par } "</f>
        <v xml:space="preserve">{\rtf1\ansi\ansicpg1252\deff0\deflang11274{\fonttbl{\f0\fnil\fcharset0 MS Sans Serif}} \viewkind4\uc1\pard\f0\fs16 COJINETES BANCADA 0,25 CHEVROLET CORSA MERIVA 1.7 DIESEL\par } </v>
      </c>
      <c r="AM677" t="str">
        <f t="shared" si="466"/>
        <v xml:space="preserve"> </v>
      </c>
    </row>
    <row r="678" spans="1:39" x14ac:dyDescent="0.25">
      <c r="A678" t="str">
        <f>"BA055915 10"</f>
        <v>BA055915 10</v>
      </c>
      <c r="B678" t="str">
        <f>"COJINETES BANCADA 0,25 CHEVROLET CRUZE TRACKER 1.8 16V Z18XE 6 N18XFF"</f>
        <v>COJINETES BANCADA 0,25 CHEVROLET CRUZE TRACKER 1.8 16V Z18XE 6 N18XFF</v>
      </c>
      <c r="C678" t="str">
        <f>"$ 28638,41"</f>
        <v>$ 28638,41</v>
      </c>
      <c r="D678" t="str">
        <f>"$ 28638,41"</f>
        <v>$ 28638,41</v>
      </c>
      <c r="E678" t="str">
        <f>"$ 28638,41"</f>
        <v>$ 28638,41</v>
      </c>
      <c r="F678" t="str">
        <f>"$ 28638,41"</f>
        <v>$ 28638,41</v>
      </c>
      <c r="G678" t="str">
        <f>"$ 28638,41"</f>
        <v>$ 28638,41</v>
      </c>
      <c r="H678" t="str">
        <f t="shared" si="440"/>
        <v>$ 0,00</v>
      </c>
      <c r="I678" t="str">
        <f t="shared" si="473"/>
        <v>JUEGO COJINETES BANCADA</v>
      </c>
      <c r="J678" t="str">
        <f t="shared" si="441"/>
        <v>1</v>
      </c>
      <c r="K678" t="str">
        <f t="shared" si="467"/>
        <v>0</v>
      </c>
      <c r="L678" t="str">
        <f>"3,000"</f>
        <v>3,000</v>
      </c>
      <c r="M678" t="str">
        <f t="shared" si="442"/>
        <v xml:space="preserve"> </v>
      </c>
      <c r="N678" t="str">
        <f t="shared" si="474"/>
        <v>MPSI</v>
      </c>
      <c r="O678" t="str">
        <f t="shared" si="475"/>
        <v>COJINETES</v>
      </c>
      <c r="P678" t="str">
        <f t="shared" si="468"/>
        <v>0</v>
      </c>
      <c r="Q678" t="str">
        <f t="shared" si="468"/>
        <v>0</v>
      </c>
      <c r="R678" t="str">
        <f t="shared" si="469"/>
        <v>0,00</v>
      </c>
      <c r="S678" t="str">
        <f t="shared" si="469"/>
        <v>0,00</v>
      </c>
      <c r="T678" t="str">
        <f t="shared" si="464"/>
        <v xml:space="preserve"> </v>
      </c>
      <c r="U678" t="str">
        <f t="shared" si="471"/>
        <v>-</v>
      </c>
      <c r="V678" t="str">
        <f>"3,000"</f>
        <v>3,000</v>
      </c>
      <c r="W678" t="str">
        <f t="shared" si="445"/>
        <v>Lista 4</v>
      </c>
      <c r="X678" t="str">
        <f t="shared" si="446"/>
        <v>Lista 5</v>
      </c>
      <c r="Y678" t="str">
        <f t="shared" si="447"/>
        <v>Oferta Gral.</v>
      </c>
      <c r="Z678" t="str">
        <f t="shared" si="448"/>
        <v>Rubro</v>
      </c>
      <c r="AA678" t="str">
        <f t="shared" si="449"/>
        <v>Cantidad por Bulto</v>
      </c>
      <c r="AB678" t="str">
        <f t="shared" si="450"/>
        <v>INNER</v>
      </c>
      <c r="AC678" t="str">
        <f t="shared" si="451"/>
        <v>Stock en Bultos</v>
      </c>
      <c r="AD678" t="str">
        <f t="shared" si="452"/>
        <v>SubDepósito</v>
      </c>
      <c r="AE678" t="str">
        <f t="shared" si="453"/>
        <v>Marca</v>
      </c>
      <c r="AF678" t="str">
        <f t="shared" si="454"/>
        <v>Super Rubro</v>
      </c>
      <c r="AG678" t="str">
        <f t="shared" si="455"/>
        <v>ComercioExterior</v>
      </c>
      <c r="AH678" t="str">
        <f t="shared" si="456"/>
        <v>PrecioFOB</v>
      </c>
      <c r="AI678" t="str">
        <f t="shared" si="457"/>
        <v>Monto II</v>
      </c>
      <c r="AJ678" t="str">
        <f t="shared" si="458"/>
        <v>Porcentaje II</v>
      </c>
      <c r="AK678" t="str">
        <f t="shared" si="459"/>
        <v>Foto</v>
      </c>
      <c r="AL678" t="str">
        <f t="shared" ref="AL678:AL685" si="476">" "</f>
        <v xml:space="preserve"> </v>
      </c>
      <c r="AM678" t="str">
        <f t="shared" si="466"/>
        <v xml:space="preserve"> </v>
      </c>
    </row>
    <row r="679" spans="1:39" x14ac:dyDescent="0.25">
      <c r="A679" t="str">
        <f>"BA055928 10"</f>
        <v>BA055928 10</v>
      </c>
      <c r="B679" t="str">
        <f>"COJINETES BANCADA 0,25 CHEVROLET CRUZE X12XE 1.4 TURBO"</f>
        <v>COJINETES BANCADA 0,25 CHEVROLET CRUZE X12XE 1.4 TURBO</v>
      </c>
      <c r="C679" t="str">
        <f>"$ 31096,32"</f>
        <v>$ 31096,32</v>
      </c>
      <c r="D679" t="str">
        <f>"$ 31096,32"</f>
        <v>$ 31096,32</v>
      </c>
      <c r="E679" t="str">
        <f>"$ 31096,32"</f>
        <v>$ 31096,32</v>
      </c>
      <c r="F679" t="str">
        <f>"$ 31096,32"</f>
        <v>$ 31096,32</v>
      </c>
      <c r="G679" t="str">
        <f>"$ 31096,32"</f>
        <v>$ 31096,32</v>
      </c>
      <c r="H679" t="str">
        <f t="shared" si="440"/>
        <v>$ 0,00</v>
      </c>
      <c r="I679" t="str">
        <f t="shared" si="473"/>
        <v>JUEGO COJINETES BANCADA</v>
      </c>
      <c r="J679" t="str">
        <f t="shared" si="441"/>
        <v>1</v>
      </c>
      <c r="K679" t="str">
        <f t="shared" si="467"/>
        <v>0</v>
      </c>
      <c r="L679" t="str">
        <f>"3,000"</f>
        <v>3,000</v>
      </c>
      <c r="M679" t="str">
        <f t="shared" si="442"/>
        <v xml:space="preserve"> </v>
      </c>
      <c r="N679" t="str">
        <f t="shared" si="474"/>
        <v>MPSI</v>
      </c>
      <c r="O679" t="str">
        <f t="shared" si="475"/>
        <v>COJINETES</v>
      </c>
      <c r="P679" t="str">
        <f t="shared" si="468"/>
        <v>0</v>
      </c>
      <c r="Q679" t="str">
        <f t="shared" si="468"/>
        <v>0</v>
      </c>
      <c r="R679" t="str">
        <f t="shared" si="469"/>
        <v>0,00</v>
      </c>
      <c r="S679" t="str">
        <f t="shared" si="469"/>
        <v>0,00</v>
      </c>
      <c r="T679" t="str">
        <f t="shared" si="464"/>
        <v xml:space="preserve"> </v>
      </c>
      <c r="U679" t="str">
        <f t="shared" si="471"/>
        <v>-</v>
      </c>
      <c r="V679" t="str">
        <f>"3,000"</f>
        <v>3,000</v>
      </c>
      <c r="W679" t="str">
        <f t="shared" si="445"/>
        <v>Lista 4</v>
      </c>
      <c r="X679" t="str">
        <f t="shared" si="446"/>
        <v>Lista 5</v>
      </c>
      <c r="Y679" t="str">
        <f t="shared" si="447"/>
        <v>Oferta Gral.</v>
      </c>
      <c r="Z679" t="str">
        <f t="shared" si="448"/>
        <v>Rubro</v>
      </c>
      <c r="AA679" t="str">
        <f t="shared" si="449"/>
        <v>Cantidad por Bulto</v>
      </c>
      <c r="AB679" t="str">
        <f t="shared" si="450"/>
        <v>INNER</v>
      </c>
      <c r="AC679" t="str">
        <f t="shared" si="451"/>
        <v>Stock en Bultos</v>
      </c>
      <c r="AD679" t="str">
        <f t="shared" si="452"/>
        <v>SubDepósito</v>
      </c>
      <c r="AE679" t="str">
        <f t="shared" si="453"/>
        <v>Marca</v>
      </c>
      <c r="AF679" t="str">
        <f t="shared" si="454"/>
        <v>Super Rubro</v>
      </c>
      <c r="AG679" t="str">
        <f t="shared" si="455"/>
        <v>ComercioExterior</v>
      </c>
      <c r="AH679" t="str">
        <f t="shared" si="456"/>
        <v>PrecioFOB</v>
      </c>
      <c r="AI679" t="str">
        <f t="shared" si="457"/>
        <v>Monto II</v>
      </c>
      <c r="AJ679" t="str">
        <f t="shared" si="458"/>
        <v>Porcentaje II</v>
      </c>
      <c r="AK679" t="str">
        <f t="shared" si="459"/>
        <v>Foto</v>
      </c>
      <c r="AL679" t="str">
        <f t="shared" si="476"/>
        <v xml:space="preserve"> </v>
      </c>
      <c r="AM679" t="str">
        <f t="shared" si="466"/>
        <v xml:space="preserve"> </v>
      </c>
    </row>
    <row r="680" spans="1:39" x14ac:dyDescent="0.25">
      <c r="A680" t="str">
        <f>"BA055420 10"</f>
        <v>BA055420 10</v>
      </c>
      <c r="B680" t="str">
        <f>"COJINETES BANCADA 0,25 CHEVROLET S10 DURAMAX 2,8 16V"</f>
        <v>COJINETES BANCADA 0,25 CHEVROLET S10 DURAMAX 2,8 16V</v>
      </c>
      <c r="C680" t="str">
        <f>"$ 44465,87"</f>
        <v>$ 44465,87</v>
      </c>
      <c r="D680" t="str">
        <f>"$ 44465,87"</f>
        <v>$ 44465,87</v>
      </c>
      <c r="E680" t="str">
        <f>"$ 44465,87"</f>
        <v>$ 44465,87</v>
      </c>
      <c r="F680" t="str">
        <f>"$ 44465,87"</f>
        <v>$ 44465,87</v>
      </c>
      <c r="G680" t="str">
        <f>"$ 44465,87"</f>
        <v>$ 44465,87</v>
      </c>
      <c r="H680" t="str">
        <f t="shared" si="440"/>
        <v>$ 0,00</v>
      </c>
      <c r="I680" t="str">
        <f t="shared" si="473"/>
        <v>JUEGO COJINETES BANCADA</v>
      </c>
      <c r="J680" t="str">
        <f t="shared" si="441"/>
        <v>1</v>
      </c>
      <c r="K680" t="str">
        <f t="shared" si="467"/>
        <v>0</v>
      </c>
      <c r="L680" t="str">
        <f>"3,000"</f>
        <v>3,000</v>
      </c>
      <c r="M680" t="str">
        <f t="shared" si="442"/>
        <v xml:space="preserve"> </v>
      </c>
      <c r="N680" t="str">
        <f t="shared" si="474"/>
        <v>MPSI</v>
      </c>
      <c r="O680" t="str">
        <f t="shared" si="475"/>
        <v>COJINETES</v>
      </c>
      <c r="P680" t="str">
        <f t="shared" si="468"/>
        <v>0</v>
      </c>
      <c r="Q680" t="str">
        <f t="shared" si="468"/>
        <v>0</v>
      </c>
      <c r="R680" t="str">
        <f t="shared" si="469"/>
        <v>0,00</v>
      </c>
      <c r="S680" t="str">
        <f t="shared" si="469"/>
        <v>0,00</v>
      </c>
      <c r="T680" t="str">
        <f t="shared" si="464"/>
        <v xml:space="preserve"> </v>
      </c>
      <c r="U680" t="str">
        <f t="shared" si="471"/>
        <v>-</v>
      </c>
      <c r="V680" t="str">
        <f>"3,000"</f>
        <v>3,000</v>
      </c>
      <c r="W680" t="str">
        <f t="shared" si="445"/>
        <v>Lista 4</v>
      </c>
      <c r="X680" t="str">
        <f t="shared" si="446"/>
        <v>Lista 5</v>
      </c>
      <c r="Y680" t="str">
        <f t="shared" si="447"/>
        <v>Oferta Gral.</v>
      </c>
      <c r="Z680" t="str">
        <f t="shared" si="448"/>
        <v>Rubro</v>
      </c>
      <c r="AA680" t="str">
        <f t="shared" si="449"/>
        <v>Cantidad por Bulto</v>
      </c>
      <c r="AB680" t="str">
        <f t="shared" si="450"/>
        <v>INNER</v>
      </c>
      <c r="AC680" t="str">
        <f t="shared" si="451"/>
        <v>Stock en Bultos</v>
      </c>
      <c r="AD680" t="str">
        <f t="shared" si="452"/>
        <v>SubDepósito</v>
      </c>
      <c r="AE680" t="str">
        <f t="shared" si="453"/>
        <v>Marca</v>
      </c>
      <c r="AF680" t="str">
        <f t="shared" si="454"/>
        <v>Super Rubro</v>
      </c>
      <c r="AG680" t="str">
        <f t="shared" si="455"/>
        <v>ComercioExterior</v>
      </c>
      <c r="AH680" t="str">
        <f t="shared" si="456"/>
        <v>PrecioFOB</v>
      </c>
      <c r="AI680" t="str">
        <f t="shared" si="457"/>
        <v>Monto II</v>
      </c>
      <c r="AJ680" t="str">
        <f t="shared" si="458"/>
        <v>Porcentaje II</v>
      </c>
      <c r="AK680" t="str">
        <f t="shared" si="459"/>
        <v>Foto</v>
      </c>
      <c r="AL680" t="str">
        <f t="shared" si="476"/>
        <v xml:space="preserve"> </v>
      </c>
      <c r="AM680" t="str">
        <f t="shared" si="466"/>
        <v xml:space="preserve"> </v>
      </c>
    </row>
    <row r="681" spans="1:39" x14ac:dyDescent="0.25">
      <c r="A681" t="str">
        <f>"BA055919 10"</f>
        <v>BA055919 10</v>
      </c>
      <c r="B681" t="str">
        <f>"COJINETES BANCADA 0,25 CHEVROLET SONIC SPIN TRACKER N18X 1.8/2.2 CC."</f>
        <v>COJINETES BANCADA 0,25 CHEVROLET SONIC SPIN TRACKER N18X 1.8/2.2 CC.</v>
      </c>
      <c r="C681" t="str">
        <f>"$ 31077,70"</f>
        <v>$ 31077,70</v>
      </c>
      <c r="D681" t="str">
        <f>"$ 31077,70"</f>
        <v>$ 31077,70</v>
      </c>
      <c r="E681" t="str">
        <f>"$ 31077,70"</f>
        <v>$ 31077,70</v>
      </c>
      <c r="F681" t="str">
        <f>"$ 31077,70"</f>
        <v>$ 31077,70</v>
      </c>
      <c r="G681" t="str">
        <f>"$ 31077,70"</f>
        <v>$ 31077,70</v>
      </c>
      <c r="H681" t="str">
        <f t="shared" si="440"/>
        <v>$ 0,00</v>
      </c>
      <c r="I681" t="str">
        <f t="shared" si="473"/>
        <v>JUEGO COJINETES BANCADA</v>
      </c>
      <c r="J681" t="str">
        <f t="shared" si="441"/>
        <v>1</v>
      </c>
      <c r="K681" t="str">
        <f t="shared" si="467"/>
        <v>0</v>
      </c>
      <c r="L681" t="str">
        <f>"4,000"</f>
        <v>4,000</v>
      </c>
      <c r="M681" t="str">
        <f t="shared" si="442"/>
        <v xml:space="preserve"> </v>
      </c>
      <c r="N681" t="str">
        <f t="shared" si="474"/>
        <v>MPSI</v>
      </c>
      <c r="O681" t="str">
        <f t="shared" si="475"/>
        <v>COJINETES</v>
      </c>
      <c r="P681" t="str">
        <f t="shared" si="468"/>
        <v>0</v>
      </c>
      <c r="Q681" t="str">
        <f t="shared" si="468"/>
        <v>0</v>
      </c>
      <c r="R681" t="str">
        <f t="shared" si="469"/>
        <v>0,00</v>
      </c>
      <c r="S681" t="str">
        <f t="shared" si="469"/>
        <v>0,00</v>
      </c>
      <c r="T681" t="str">
        <f t="shared" si="464"/>
        <v xml:space="preserve"> </v>
      </c>
      <c r="U681" t="str">
        <f t="shared" si="471"/>
        <v>-</v>
      </c>
      <c r="V681" t="str">
        <f>"4,000"</f>
        <v>4,000</v>
      </c>
      <c r="W681" t="str">
        <f t="shared" si="445"/>
        <v>Lista 4</v>
      </c>
      <c r="X681" t="str">
        <f t="shared" si="446"/>
        <v>Lista 5</v>
      </c>
      <c r="Y681" t="str">
        <f t="shared" si="447"/>
        <v>Oferta Gral.</v>
      </c>
      <c r="Z681" t="str">
        <f t="shared" si="448"/>
        <v>Rubro</v>
      </c>
      <c r="AA681" t="str">
        <f t="shared" si="449"/>
        <v>Cantidad por Bulto</v>
      </c>
      <c r="AB681" t="str">
        <f t="shared" si="450"/>
        <v>INNER</v>
      </c>
      <c r="AC681" t="str">
        <f t="shared" si="451"/>
        <v>Stock en Bultos</v>
      </c>
      <c r="AD681" t="str">
        <f t="shared" si="452"/>
        <v>SubDepósito</v>
      </c>
      <c r="AE681" t="str">
        <f t="shared" si="453"/>
        <v>Marca</v>
      </c>
      <c r="AF681" t="str">
        <f t="shared" si="454"/>
        <v>Super Rubro</v>
      </c>
      <c r="AG681" t="str">
        <f t="shared" si="455"/>
        <v>ComercioExterior</v>
      </c>
      <c r="AH681" t="str">
        <f t="shared" si="456"/>
        <v>PrecioFOB</v>
      </c>
      <c r="AI681" t="str">
        <f t="shared" si="457"/>
        <v>Monto II</v>
      </c>
      <c r="AJ681" t="str">
        <f t="shared" si="458"/>
        <v>Porcentaje II</v>
      </c>
      <c r="AK681" t="str">
        <f t="shared" si="459"/>
        <v>Foto</v>
      </c>
      <c r="AL681" t="str">
        <f t="shared" si="476"/>
        <v xml:space="preserve"> </v>
      </c>
      <c r="AM681" t="str">
        <f t="shared" si="466"/>
        <v xml:space="preserve"> </v>
      </c>
    </row>
    <row r="682" spans="1:39" x14ac:dyDescent="0.25">
      <c r="A682" t="str">
        <f>"BA583 10"</f>
        <v>BA583 10</v>
      </c>
      <c r="B682" t="str">
        <f>"COJINETES BANCADA 0,25 DAEWOO TICO MATIZ MOTOR 3 CILINDROS F8CB F8CV"</f>
        <v>COJINETES BANCADA 0,25 DAEWOO TICO MATIZ MOTOR 3 CILINDROS F8CB F8CV</v>
      </c>
      <c r="C682" t="str">
        <f>"$ 14654,37"</f>
        <v>$ 14654,37</v>
      </c>
      <c r="D682" t="str">
        <f>"$ 14654,37"</f>
        <v>$ 14654,37</v>
      </c>
      <c r="E682" t="str">
        <f>"$ 14654,37"</f>
        <v>$ 14654,37</v>
      </c>
      <c r="F682" t="str">
        <f>"$ 14654,37"</f>
        <v>$ 14654,37</v>
      </c>
      <c r="G682" t="str">
        <f>"$ 14654,37"</f>
        <v>$ 14654,37</v>
      </c>
      <c r="H682" t="str">
        <f t="shared" si="440"/>
        <v>$ 0,00</v>
      </c>
      <c r="I682" t="str">
        <f t="shared" si="473"/>
        <v>JUEGO COJINETES BANCADA</v>
      </c>
      <c r="J682" t="str">
        <f t="shared" si="441"/>
        <v>1</v>
      </c>
      <c r="K682" t="str">
        <f t="shared" si="467"/>
        <v>0</v>
      </c>
      <c r="L682" t="str">
        <f>"3,000"</f>
        <v>3,000</v>
      </c>
      <c r="M682" t="str">
        <f t="shared" si="442"/>
        <v xml:space="preserve"> </v>
      </c>
      <c r="N682" t="str">
        <f t="shared" si="474"/>
        <v>MPSI</v>
      </c>
      <c r="O682" t="str">
        <f t="shared" si="475"/>
        <v>COJINETES</v>
      </c>
      <c r="P682" t="str">
        <f t="shared" si="468"/>
        <v>0</v>
      </c>
      <c r="Q682" t="str">
        <f t="shared" si="468"/>
        <v>0</v>
      </c>
      <c r="R682" t="str">
        <f t="shared" si="469"/>
        <v>0,00</v>
      </c>
      <c r="S682" t="str">
        <f t="shared" si="469"/>
        <v>0,00</v>
      </c>
      <c r="T682" t="str">
        <f t="shared" si="464"/>
        <v xml:space="preserve"> </v>
      </c>
      <c r="U682" t="str">
        <f t="shared" si="471"/>
        <v>-</v>
      </c>
      <c r="V682" t="str">
        <f>"3,000"</f>
        <v>3,000</v>
      </c>
      <c r="W682" t="str">
        <f t="shared" si="445"/>
        <v>Lista 4</v>
      </c>
      <c r="X682" t="str">
        <f t="shared" si="446"/>
        <v>Lista 5</v>
      </c>
      <c r="Y682" t="str">
        <f t="shared" si="447"/>
        <v>Oferta Gral.</v>
      </c>
      <c r="Z682" t="str">
        <f t="shared" si="448"/>
        <v>Rubro</v>
      </c>
      <c r="AA682" t="str">
        <f t="shared" si="449"/>
        <v>Cantidad por Bulto</v>
      </c>
      <c r="AB682" t="str">
        <f t="shared" si="450"/>
        <v>INNER</v>
      </c>
      <c r="AC682" t="str">
        <f t="shared" si="451"/>
        <v>Stock en Bultos</v>
      </c>
      <c r="AD682" t="str">
        <f t="shared" si="452"/>
        <v>SubDepósito</v>
      </c>
      <c r="AE682" t="str">
        <f t="shared" si="453"/>
        <v>Marca</v>
      </c>
      <c r="AF682" t="str">
        <f t="shared" si="454"/>
        <v>Super Rubro</v>
      </c>
      <c r="AG682" t="str">
        <f t="shared" si="455"/>
        <v>ComercioExterior</v>
      </c>
      <c r="AH682" t="str">
        <f t="shared" si="456"/>
        <v>PrecioFOB</v>
      </c>
      <c r="AI682" t="str">
        <f t="shared" si="457"/>
        <v>Monto II</v>
      </c>
      <c r="AJ682" t="str">
        <f t="shared" si="458"/>
        <v>Porcentaje II</v>
      </c>
      <c r="AK682" t="str">
        <f t="shared" si="459"/>
        <v>Foto</v>
      </c>
      <c r="AL682" t="str">
        <f t="shared" si="476"/>
        <v xml:space="preserve"> </v>
      </c>
      <c r="AM682" t="str">
        <f t="shared" si="466"/>
        <v xml:space="preserve"> </v>
      </c>
    </row>
    <row r="683" spans="1:39" x14ac:dyDescent="0.25">
      <c r="A683" t="str">
        <f>"BA082 10"</f>
        <v>BA082 10</v>
      </c>
      <c r="B683" t="str">
        <f>"COJINETES BANCADA 0,25 DODGE 1500"</f>
        <v>COJINETES BANCADA 0,25 DODGE 1500</v>
      </c>
      <c r="C683" t="str">
        <f>"$ 25808,08"</f>
        <v>$ 25808,08</v>
      </c>
      <c r="D683" t="str">
        <f>"$ 25808,08"</f>
        <v>$ 25808,08</v>
      </c>
      <c r="E683" t="str">
        <f>"$ 25808,08"</f>
        <v>$ 25808,08</v>
      </c>
      <c r="F683" t="str">
        <f>"$ 25808,08"</f>
        <v>$ 25808,08</v>
      </c>
      <c r="G683" t="str">
        <f>"$ 25808,08"</f>
        <v>$ 25808,08</v>
      </c>
      <c r="H683" t="str">
        <f t="shared" si="440"/>
        <v>$ 0,00</v>
      </c>
      <c r="I683" t="str">
        <f t="shared" si="473"/>
        <v>JUEGO COJINETES BANCADA</v>
      </c>
      <c r="J683" t="str">
        <f t="shared" si="441"/>
        <v>1</v>
      </c>
      <c r="K683" t="str">
        <f t="shared" si="467"/>
        <v>0</v>
      </c>
      <c r="L683" t="str">
        <f>"3,000"</f>
        <v>3,000</v>
      </c>
      <c r="M683" t="str">
        <f t="shared" si="442"/>
        <v xml:space="preserve"> </v>
      </c>
      <c r="N683" t="str">
        <f t="shared" si="474"/>
        <v>MPSI</v>
      </c>
      <c r="O683" t="str">
        <f t="shared" si="475"/>
        <v>COJINETES</v>
      </c>
      <c r="P683" t="str">
        <f t="shared" ref="P683:Q702" si="477">"0"</f>
        <v>0</v>
      </c>
      <c r="Q683" t="str">
        <f t="shared" si="477"/>
        <v>0</v>
      </c>
      <c r="R683" t="str">
        <f t="shared" ref="R683:S702" si="478">"0,00"</f>
        <v>0,00</v>
      </c>
      <c r="S683" t="str">
        <f t="shared" si="478"/>
        <v>0,00</v>
      </c>
      <c r="T683" t="str">
        <f t="shared" si="464"/>
        <v xml:space="preserve"> </v>
      </c>
      <c r="U683" t="str">
        <f t="shared" si="471"/>
        <v>-</v>
      </c>
      <c r="V683" t="str">
        <f>"3,000"</f>
        <v>3,000</v>
      </c>
      <c r="W683" t="str">
        <f t="shared" si="445"/>
        <v>Lista 4</v>
      </c>
      <c r="X683" t="str">
        <f t="shared" si="446"/>
        <v>Lista 5</v>
      </c>
      <c r="Y683" t="str">
        <f t="shared" si="447"/>
        <v>Oferta Gral.</v>
      </c>
      <c r="Z683" t="str">
        <f t="shared" si="448"/>
        <v>Rubro</v>
      </c>
      <c r="AA683" t="str">
        <f t="shared" si="449"/>
        <v>Cantidad por Bulto</v>
      </c>
      <c r="AB683" t="str">
        <f t="shared" si="450"/>
        <v>INNER</v>
      </c>
      <c r="AC683" t="str">
        <f t="shared" si="451"/>
        <v>Stock en Bultos</v>
      </c>
      <c r="AD683" t="str">
        <f t="shared" si="452"/>
        <v>SubDepósito</v>
      </c>
      <c r="AE683" t="str">
        <f t="shared" si="453"/>
        <v>Marca</v>
      </c>
      <c r="AF683" t="str">
        <f t="shared" si="454"/>
        <v>Super Rubro</v>
      </c>
      <c r="AG683" t="str">
        <f t="shared" si="455"/>
        <v>ComercioExterior</v>
      </c>
      <c r="AH683" t="str">
        <f t="shared" si="456"/>
        <v>PrecioFOB</v>
      </c>
      <c r="AI683" t="str">
        <f t="shared" si="457"/>
        <v>Monto II</v>
      </c>
      <c r="AJ683" t="str">
        <f t="shared" si="458"/>
        <v>Porcentaje II</v>
      </c>
      <c r="AK683" t="str">
        <f t="shared" si="459"/>
        <v>Foto</v>
      </c>
      <c r="AL683" t="str">
        <f t="shared" si="476"/>
        <v xml:space="preserve"> </v>
      </c>
      <c r="AM683" t="str">
        <f t="shared" si="466"/>
        <v xml:space="preserve"> </v>
      </c>
    </row>
    <row r="684" spans="1:39" x14ac:dyDescent="0.25">
      <c r="A684" t="str">
        <f>"BA083 10"</f>
        <v>BA083 10</v>
      </c>
      <c r="B684" t="str">
        <f>"COJINETES BANCADA 0,25 DODGE 1800"</f>
        <v>COJINETES BANCADA 0,25 DODGE 1800</v>
      </c>
      <c r="C684" t="str">
        <f>"$ 25621,88"</f>
        <v>$ 25621,88</v>
      </c>
      <c r="D684" t="str">
        <f>"$ 25621,88"</f>
        <v>$ 25621,88</v>
      </c>
      <c r="E684" t="str">
        <f>"$ 25621,88"</f>
        <v>$ 25621,88</v>
      </c>
      <c r="F684" t="str">
        <f>"$ 25621,88"</f>
        <v>$ 25621,88</v>
      </c>
      <c r="G684" t="str">
        <f>"$ 25621,88"</f>
        <v>$ 25621,88</v>
      </c>
      <c r="H684" t="str">
        <f t="shared" si="440"/>
        <v>$ 0,00</v>
      </c>
      <c r="I684" t="str">
        <f t="shared" si="473"/>
        <v>JUEGO COJINETES BANCADA</v>
      </c>
      <c r="J684" t="str">
        <f t="shared" si="441"/>
        <v>1</v>
      </c>
      <c r="K684" t="str">
        <f t="shared" si="467"/>
        <v>0</v>
      </c>
      <c r="L684" t="str">
        <f>"3,000"</f>
        <v>3,000</v>
      </c>
      <c r="M684" t="str">
        <f t="shared" si="442"/>
        <v xml:space="preserve"> </v>
      </c>
      <c r="N684" t="str">
        <f t="shared" si="474"/>
        <v>MPSI</v>
      </c>
      <c r="O684" t="str">
        <f t="shared" si="475"/>
        <v>COJINETES</v>
      </c>
      <c r="P684" t="str">
        <f t="shared" si="477"/>
        <v>0</v>
      </c>
      <c r="Q684" t="str">
        <f t="shared" si="477"/>
        <v>0</v>
      </c>
      <c r="R684" t="str">
        <f t="shared" si="478"/>
        <v>0,00</v>
      </c>
      <c r="S684" t="str">
        <f t="shared" si="478"/>
        <v>0,00</v>
      </c>
      <c r="T684" t="str">
        <f t="shared" si="464"/>
        <v xml:space="preserve"> </v>
      </c>
      <c r="U684" t="str">
        <f t="shared" si="471"/>
        <v>-</v>
      </c>
      <c r="V684" t="str">
        <f>"3,000"</f>
        <v>3,000</v>
      </c>
      <c r="W684" t="str">
        <f t="shared" si="445"/>
        <v>Lista 4</v>
      </c>
      <c r="X684" t="str">
        <f t="shared" si="446"/>
        <v>Lista 5</v>
      </c>
      <c r="Y684" t="str">
        <f t="shared" si="447"/>
        <v>Oferta Gral.</v>
      </c>
      <c r="Z684" t="str">
        <f t="shared" si="448"/>
        <v>Rubro</v>
      </c>
      <c r="AA684" t="str">
        <f t="shared" si="449"/>
        <v>Cantidad por Bulto</v>
      </c>
      <c r="AB684" t="str">
        <f t="shared" si="450"/>
        <v>INNER</v>
      </c>
      <c r="AC684" t="str">
        <f t="shared" si="451"/>
        <v>Stock en Bultos</v>
      </c>
      <c r="AD684" t="str">
        <f t="shared" si="452"/>
        <v>SubDepósito</v>
      </c>
      <c r="AE684" t="str">
        <f t="shared" si="453"/>
        <v>Marca</v>
      </c>
      <c r="AF684" t="str">
        <f t="shared" si="454"/>
        <v>Super Rubro</v>
      </c>
      <c r="AG684" t="str">
        <f t="shared" si="455"/>
        <v>ComercioExterior</v>
      </c>
      <c r="AH684" t="str">
        <f t="shared" si="456"/>
        <v>PrecioFOB</v>
      </c>
      <c r="AI684" t="str">
        <f t="shared" si="457"/>
        <v>Monto II</v>
      </c>
      <c r="AJ684" t="str">
        <f t="shared" si="458"/>
        <v>Porcentaje II</v>
      </c>
      <c r="AK684" t="str">
        <f t="shared" si="459"/>
        <v>Foto</v>
      </c>
      <c r="AL684" t="str">
        <f t="shared" si="476"/>
        <v xml:space="preserve"> </v>
      </c>
      <c r="AM684" t="str">
        <f t="shared" si="466"/>
        <v xml:space="preserve"> </v>
      </c>
    </row>
    <row r="685" spans="1:39" x14ac:dyDescent="0.25">
      <c r="A685" t="str">
        <f>"BA080 10"</f>
        <v>BA080 10</v>
      </c>
      <c r="B685" t="str">
        <f>"COJINETES BANCADA 0,25 DODGE VALIANT"</f>
        <v>COJINETES BANCADA 0,25 DODGE VALIANT</v>
      </c>
      <c r="C685" t="str">
        <f>"$ 45192,07"</f>
        <v>$ 45192,07</v>
      </c>
      <c r="D685" t="str">
        <f>"$ 45192,07"</f>
        <v>$ 45192,07</v>
      </c>
      <c r="E685" t="str">
        <f>"$ 45192,07"</f>
        <v>$ 45192,07</v>
      </c>
      <c r="F685" t="str">
        <f>"$ 45192,07"</f>
        <v>$ 45192,07</v>
      </c>
      <c r="G685" t="str">
        <f>"$ 45192,07"</f>
        <v>$ 45192,07</v>
      </c>
      <c r="H685" t="str">
        <f t="shared" si="440"/>
        <v>$ 0,00</v>
      </c>
      <c r="I685" t="str">
        <f t="shared" si="473"/>
        <v>JUEGO COJINETES BANCADA</v>
      </c>
      <c r="J685" t="str">
        <f t="shared" si="441"/>
        <v>1</v>
      </c>
      <c r="K685" t="str">
        <f t="shared" si="467"/>
        <v>0</v>
      </c>
      <c r="L685" t="str">
        <f>"2,000"</f>
        <v>2,000</v>
      </c>
      <c r="M685" t="str">
        <f t="shared" si="442"/>
        <v xml:space="preserve"> </v>
      </c>
      <c r="N685" t="str">
        <f t="shared" si="474"/>
        <v>MPSI</v>
      </c>
      <c r="O685" t="str">
        <f t="shared" si="475"/>
        <v>COJINETES</v>
      </c>
      <c r="P685" t="str">
        <f t="shared" si="477"/>
        <v>0</v>
      </c>
      <c r="Q685" t="str">
        <f t="shared" si="477"/>
        <v>0</v>
      </c>
      <c r="R685" t="str">
        <f t="shared" si="478"/>
        <v>0,00</v>
      </c>
      <c r="S685" t="str">
        <f t="shared" si="478"/>
        <v>0,00</v>
      </c>
      <c r="T685" t="str">
        <f t="shared" si="464"/>
        <v xml:space="preserve"> </v>
      </c>
      <c r="U685" t="str">
        <f t="shared" si="471"/>
        <v>-</v>
      </c>
      <c r="V685" t="str">
        <f>"2,000"</f>
        <v>2,000</v>
      </c>
      <c r="W685" t="str">
        <f t="shared" si="445"/>
        <v>Lista 4</v>
      </c>
      <c r="X685" t="str">
        <f t="shared" si="446"/>
        <v>Lista 5</v>
      </c>
      <c r="Y685" t="str">
        <f t="shared" si="447"/>
        <v>Oferta Gral.</v>
      </c>
      <c r="Z685" t="str">
        <f t="shared" si="448"/>
        <v>Rubro</v>
      </c>
      <c r="AA685" t="str">
        <f t="shared" si="449"/>
        <v>Cantidad por Bulto</v>
      </c>
      <c r="AB685" t="str">
        <f t="shared" si="450"/>
        <v>INNER</v>
      </c>
      <c r="AC685" t="str">
        <f t="shared" si="451"/>
        <v>Stock en Bultos</v>
      </c>
      <c r="AD685" t="str">
        <f t="shared" si="452"/>
        <v>SubDepósito</v>
      </c>
      <c r="AE685" t="str">
        <f t="shared" si="453"/>
        <v>Marca</v>
      </c>
      <c r="AF685" t="str">
        <f t="shared" si="454"/>
        <v>Super Rubro</v>
      </c>
      <c r="AG685" t="str">
        <f t="shared" si="455"/>
        <v>ComercioExterior</v>
      </c>
      <c r="AH685" t="str">
        <f t="shared" si="456"/>
        <v>PrecioFOB</v>
      </c>
      <c r="AI685" t="str">
        <f t="shared" si="457"/>
        <v>Monto II</v>
      </c>
      <c r="AJ685" t="str">
        <f t="shared" si="458"/>
        <v>Porcentaje II</v>
      </c>
      <c r="AK685" t="str">
        <f t="shared" si="459"/>
        <v>Foto</v>
      </c>
      <c r="AL685" t="str">
        <f t="shared" si="476"/>
        <v xml:space="preserve"> </v>
      </c>
      <c r="AM685" t="str">
        <f t="shared" si="466"/>
        <v xml:space="preserve"> </v>
      </c>
    </row>
    <row r="686" spans="1:39" x14ac:dyDescent="0.25">
      <c r="A686" t="str">
        <f>"BA145405 10"</f>
        <v>BA145405 10</v>
      </c>
      <c r="B686" t="str">
        <f>"COJINETES BANCADA 0,25 DUCATO DAILY BOXER JUMPER 2.3 MULTIJET"</f>
        <v>COJINETES BANCADA 0,25 DUCATO DAILY BOXER JUMPER 2.3 MULTIJET</v>
      </c>
      <c r="C686" t="str">
        <f>"$ 39065,91"</f>
        <v>$ 39065,91</v>
      </c>
      <c r="D686" t="str">
        <f>"$ 39065,91"</f>
        <v>$ 39065,91</v>
      </c>
      <c r="E686" t="str">
        <f>"$ 39065,91"</f>
        <v>$ 39065,91</v>
      </c>
      <c r="F686" t="str">
        <f>"$ 39065,91"</f>
        <v>$ 39065,91</v>
      </c>
      <c r="G686" t="str">
        <f>"$ 39065,91"</f>
        <v>$ 39065,91</v>
      </c>
      <c r="H686" t="str">
        <f t="shared" si="440"/>
        <v>$ 0,00</v>
      </c>
      <c r="I686" t="str">
        <f t="shared" si="473"/>
        <v>JUEGO COJINETES BANCADA</v>
      </c>
      <c r="J686" t="str">
        <f t="shared" si="441"/>
        <v>1</v>
      </c>
      <c r="K686" t="str">
        <f t="shared" si="467"/>
        <v>0</v>
      </c>
      <c r="L686" t="str">
        <f>"5,000"</f>
        <v>5,000</v>
      </c>
      <c r="M686" t="str">
        <f t="shared" si="442"/>
        <v xml:space="preserve"> </v>
      </c>
      <c r="N686" t="str">
        <f t="shared" si="474"/>
        <v>MPSI</v>
      </c>
      <c r="O686" t="str">
        <f t="shared" si="475"/>
        <v>COJINETES</v>
      </c>
      <c r="P686" t="str">
        <f t="shared" si="477"/>
        <v>0</v>
      </c>
      <c r="Q686" t="str">
        <f t="shared" si="477"/>
        <v>0</v>
      </c>
      <c r="R686" t="str">
        <f t="shared" si="478"/>
        <v>0,00</v>
      </c>
      <c r="S686" t="str">
        <f t="shared" si="478"/>
        <v>0,00</v>
      </c>
      <c r="T686" t="str">
        <f t="shared" si="464"/>
        <v xml:space="preserve"> </v>
      </c>
      <c r="U686" t="str">
        <f t="shared" si="471"/>
        <v>-</v>
      </c>
      <c r="V686" t="str">
        <f>"5,000"</f>
        <v>5,000</v>
      </c>
      <c r="W686" t="str">
        <f t="shared" si="445"/>
        <v>Lista 4</v>
      </c>
      <c r="X686" t="str">
        <f t="shared" si="446"/>
        <v>Lista 5</v>
      </c>
      <c r="Y686" t="str">
        <f t="shared" si="447"/>
        <v>Oferta Gral.</v>
      </c>
      <c r="Z686" t="str">
        <f t="shared" si="448"/>
        <v>Rubro</v>
      </c>
      <c r="AA686" t="str">
        <f t="shared" si="449"/>
        <v>Cantidad por Bulto</v>
      </c>
      <c r="AB686" t="str">
        <f t="shared" si="450"/>
        <v>INNER</v>
      </c>
      <c r="AC686" t="str">
        <f t="shared" si="451"/>
        <v>Stock en Bultos</v>
      </c>
      <c r="AD686" t="str">
        <f t="shared" si="452"/>
        <v>SubDepósito</v>
      </c>
      <c r="AE686" t="str">
        <f t="shared" si="453"/>
        <v>Marca</v>
      </c>
      <c r="AF686" t="str">
        <f t="shared" si="454"/>
        <v>Super Rubro</v>
      </c>
      <c r="AG686" t="str">
        <f t="shared" si="455"/>
        <v>ComercioExterior</v>
      </c>
      <c r="AH686" t="str">
        <f t="shared" si="456"/>
        <v>PrecioFOB</v>
      </c>
      <c r="AI686" t="str">
        <f t="shared" si="457"/>
        <v>Monto II</v>
      </c>
      <c r="AJ686" t="str">
        <f t="shared" si="458"/>
        <v>Porcentaje II</v>
      </c>
      <c r="AK686" t="str">
        <f t="shared" si="459"/>
        <v>Foto</v>
      </c>
      <c r="AL686" t="str">
        <f>"{\rtf1\ansi\ansicpg1252\deff0\deflang11274{\fonttbl{\f0\fnil\fcharset0 MS Sans Serif}} \viewkind4\uc1\pard\f0\fs16 COJINETES BANCADA 0,25 DUCATO DAILY BOXER JUMPER 2.3 MULTIJET\par } "</f>
        <v xml:space="preserve">{\rtf1\ansi\ansicpg1252\deff0\deflang11274{\fonttbl{\f0\fnil\fcharset0 MS Sans Serif}} \viewkind4\uc1\pard\f0\fs16 COJINETES BANCADA 0,25 DUCATO DAILY BOXER JUMPER 2.3 MULTIJET\par } </v>
      </c>
      <c r="AM686" t="str">
        <f t="shared" si="466"/>
        <v xml:space="preserve"> </v>
      </c>
    </row>
    <row r="687" spans="1:39" x14ac:dyDescent="0.25">
      <c r="A687" t="str">
        <f>"BA136 10"</f>
        <v>BA136 10</v>
      </c>
      <c r="B687" t="str">
        <f>"COJINETES BANCADA 0,25 FIAT 147 DUNA 1300 DIESEL"</f>
        <v>COJINETES BANCADA 0,25 FIAT 147 DUNA 1300 DIESEL</v>
      </c>
      <c r="C687" t="str">
        <f>"$ 17583,69"</f>
        <v>$ 17583,69</v>
      </c>
      <c r="D687" t="str">
        <f>"$ 17583,69"</f>
        <v>$ 17583,69</v>
      </c>
      <c r="E687" t="str">
        <f>"$ 17583,69"</f>
        <v>$ 17583,69</v>
      </c>
      <c r="F687" t="str">
        <f>"$ 17583,69"</f>
        <v>$ 17583,69</v>
      </c>
      <c r="G687" t="str">
        <f>"$ 17583,69"</f>
        <v>$ 17583,69</v>
      </c>
      <c r="H687" t="str">
        <f t="shared" si="440"/>
        <v>$ 0,00</v>
      </c>
      <c r="I687" t="str">
        <f t="shared" si="473"/>
        <v>JUEGO COJINETES BANCADA</v>
      </c>
      <c r="J687" t="str">
        <f t="shared" si="441"/>
        <v>1</v>
      </c>
      <c r="K687" t="str">
        <f t="shared" si="467"/>
        <v>0</v>
      </c>
      <c r="L687" t="str">
        <f>"1,000"</f>
        <v>1,000</v>
      </c>
      <c r="M687" t="str">
        <f t="shared" si="442"/>
        <v xml:space="preserve"> </v>
      </c>
      <c r="N687" t="str">
        <f t="shared" si="474"/>
        <v>MPSI</v>
      </c>
      <c r="O687" t="str">
        <f t="shared" si="475"/>
        <v>COJINETES</v>
      </c>
      <c r="P687" t="str">
        <f t="shared" si="477"/>
        <v>0</v>
      </c>
      <c r="Q687" t="str">
        <f t="shared" si="477"/>
        <v>0</v>
      </c>
      <c r="R687" t="str">
        <f t="shared" si="478"/>
        <v>0,00</v>
      </c>
      <c r="S687" t="str">
        <f t="shared" si="478"/>
        <v>0,00</v>
      </c>
      <c r="T687" t="str">
        <f t="shared" si="464"/>
        <v xml:space="preserve"> </v>
      </c>
      <c r="U687" t="str">
        <f t="shared" si="471"/>
        <v>-</v>
      </c>
      <c r="V687" t="str">
        <f>"1,000"</f>
        <v>1,000</v>
      </c>
      <c r="W687" t="str">
        <f t="shared" si="445"/>
        <v>Lista 4</v>
      </c>
      <c r="X687" t="str">
        <f t="shared" si="446"/>
        <v>Lista 5</v>
      </c>
      <c r="Y687" t="str">
        <f t="shared" si="447"/>
        <v>Oferta Gral.</v>
      </c>
      <c r="Z687" t="str">
        <f t="shared" si="448"/>
        <v>Rubro</v>
      </c>
      <c r="AA687" t="str">
        <f t="shared" si="449"/>
        <v>Cantidad por Bulto</v>
      </c>
      <c r="AB687" t="str">
        <f t="shared" si="450"/>
        <v>INNER</v>
      </c>
      <c r="AC687" t="str">
        <f t="shared" si="451"/>
        <v>Stock en Bultos</v>
      </c>
      <c r="AD687" t="str">
        <f t="shared" si="452"/>
        <v>SubDepósito</v>
      </c>
      <c r="AE687" t="str">
        <f t="shared" si="453"/>
        <v>Marca</v>
      </c>
      <c r="AF687" t="str">
        <f t="shared" si="454"/>
        <v>Super Rubro</v>
      </c>
      <c r="AG687" t="str">
        <f t="shared" si="455"/>
        <v>ComercioExterior</v>
      </c>
      <c r="AH687" t="str">
        <f t="shared" si="456"/>
        <v>PrecioFOB</v>
      </c>
      <c r="AI687" t="str">
        <f t="shared" si="457"/>
        <v>Monto II</v>
      </c>
      <c r="AJ687" t="str">
        <f t="shared" si="458"/>
        <v>Porcentaje II</v>
      </c>
      <c r="AK687" t="str">
        <f t="shared" si="459"/>
        <v>Foto</v>
      </c>
      <c r="AL687" t="str">
        <f t="shared" ref="AL687:AL692" si="479">" "</f>
        <v xml:space="preserve"> </v>
      </c>
      <c r="AM687" t="str">
        <f t="shared" si="466"/>
        <v xml:space="preserve"> </v>
      </c>
    </row>
    <row r="688" spans="1:39" x14ac:dyDescent="0.25">
      <c r="A688" t="str">
        <f>"BA133 10"</f>
        <v>BA133 10</v>
      </c>
      <c r="B688" t="str">
        <f>"COJINETES BANCADA 0,25 FIAT 600 S 133"</f>
        <v>COJINETES BANCADA 0,25 FIAT 600 S 133</v>
      </c>
      <c r="C688" t="str">
        <f>"$ 13090,25"</f>
        <v>$ 13090,25</v>
      </c>
      <c r="D688" t="str">
        <f>"$ 13090,25"</f>
        <v>$ 13090,25</v>
      </c>
      <c r="E688" t="str">
        <f>"$ 13090,25"</f>
        <v>$ 13090,25</v>
      </c>
      <c r="F688" t="str">
        <f>"$ 13090,25"</f>
        <v>$ 13090,25</v>
      </c>
      <c r="G688" t="str">
        <f>"$ 13090,25"</f>
        <v>$ 13090,25</v>
      </c>
      <c r="H688" t="str">
        <f t="shared" si="440"/>
        <v>$ 0,00</v>
      </c>
      <c r="I688" t="str">
        <f t="shared" si="473"/>
        <v>JUEGO COJINETES BANCADA</v>
      </c>
      <c r="J688" t="str">
        <f t="shared" si="441"/>
        <v>1</v>
      </c>
      <c r="K688" t="str">
        <f t="shared" si="467"/>
        <v>0</v>
      </c>
      <c r="L688" t="str">
        <f>"3,000"</f>
        <v>3,000</v>
      </c>
      <c r="M688" t="str">
        <f t="shared" si="442"/>
        <v xml:space="preserve"> </v>
      </c>
      <c r="N688" t="str">
        <f t="shared" si="474"/>
        <v>MPSI</v>
      </c>
      <c r="O688" t="str">
        <f t="shared" si="475"/>
        <v>COJINETES</v>
      </c>
      <c r="P688" t="str">
        <f t="shared" si="477"/>
        <v>0</v>
      </c>
      <c r="Q688" t="str">
        <f t="shared" si="477"/>
        <v>0</v>
      </c>
      <c r="R688" t="str">
        <f t="shared" si="478"/>
        <v>0,00</v>
      </c>
      <c r="S688" t="str">
        <f t="shared" si="478"/>
        <v>0,00</v>
      </c>
      <c r="T688" t="str">
        <f t="shared" si="464"/>
        <v xml:space="preserve"> </v>
      </c>
      <c r="U688" t="str">
        <f t="shared" si="471"/>
        <v>-</v>
      </c>
      <c r="V688" t="str">
        <f>"3,000"</f>
        <v>3,000</v>
      </c>
      <c r="W688" t="str">
        <f t="shared" si="445"/>
        <v>Lista 4</v>
      </c>
      <c r="X688" t="str">
        <f t="shared" si="446"/>
        <v>Lista 5</v>
      </c>
      <c r="Y688" t="str">
        <f t="shared" si="447"/>
        <v>Oferta Gral.</v>
      </c>
      <c r="Z688" t="str">
        <f t="shared" si="448"/>
        <v>Rubro</v>
      </c>
      <c r="AA688" t="str">
        <f t="shared" si="449"/>
        <v>Cantidad por Bulto</v>
      </c>
      <c r="AB688" t="str">
        <f t="shared" si="450"/>
        <v>INNER</v>
      </c>
      <c r="AC688" t="str">
        <f t="shared" si="451"/>
        <v>Stock en Bultos</v>
      </c>
      <c r="AD688" t="str">
        <f t="shared" si="452"/>
        <v>SubDepósito</v>
      </c>
      <c r="AE688" t="str">
        <f t="shared" si="453"/>
        <v>Marca</v>
      </c>
      <c r="AF688" t="str">
        <f t="shared" si="454"/>
        <v>Super Rubro</v>
      </c>
      <c r="AG688" t="str">
        <f t="shared" si="455"/>
        <v>ComercioExterior</v>
      </c>
      <c r="AH688" t="str">
        <f t="shared" si="456"/>
        <v>PrecioFOB</v>
      </c>
      <c r="AI688" t="str">
        <f t="shared" si="457"/>
        <v>Monto II</v>
      </c>
      <c r="AJ688" t="str">
        <f t="shared" si="458"/>
        <v>Porcentaje II</v>
      </c>
      <c r="AK688" t="str">
        <f t="shared" si="459"/>
        <v>Foto</v>
      </c>
      <c r="AL688" t="str">
        <f t="shared" si="479"/>
        <v xml:space="preserve"> </v>
      </c>
      <c r="AM688" t="str">
        <f t="shared" si="466"/>
        <v xml:space="preserve"> </v>
      </c>
    </row>
    <row r="689" spans="1:39" x14ac:dyDescent="0.25">
      <c r="A689" t="str">
        <f>"BA135358 10"</f>
        <v>BA135358 10</v>
      </c>
      <c r="B689" t="str">
        <f>"COJINETES BANCADA 0,25 FIAT ARGO CRONOS 1.3 FIREFLY 8V"</f>
        <v>COJINETES BANCADA 0,25 FIAT ARGO CRONOS 1.3 FIREFLY 8V</v>
      </c>
      <c r="C689" t="str">
        <f>"$ 20277,78"</f>
        <v>$ 20277,78</v>
      </c>
      <c r="D689" t="str">
        <f>"$ 20277,78"</f>
        <v>$ 20277,78</v>
      </c>
      <c r="E689" t="str">
        <f>"$ 20277,78"</f>
        <v>$ 20277,78</v>
      </c>
      <c r="F689" t="str">
        <f>"$ 20277,78"</f>
        <v>$ 20277,78</v>
      </c>
      <c r="G689" t="str">
        <f>"$ 20277,78"</f>
        <v>$ 20277,78</v>
      </c>
      <c r="H689" t="str">
        <f t="shared" si="440"/>
        <v>$ 0,00</v>
      </c>
      <c r="I689" t="str">
        <f t="shared" si="473"/>
        <v>JUEGO COJINETES BANCADA</v>
      </c>
      <c r="J689" t="str">
        <f t="shared" si="441"/>
        <v>1</v>
      </c>
      <c r="K689" t="str">
        <f t="shared" si="467"/>
        <v>0</v>
      </c>
      <c r="L689" t="str">
        <f>"5,000"</f>
        <v>5,000</v>
      </c>
      <c r="M689" t="str">
        <f t="shared" si="442"/>
        <v xml:space="preserve"> </v>
      </c>
      <c r="N689" t="str">
        <f t="shared" si="474"/>
        <v>MPSI</v>
      </c>
      <c r="O689" t="str">
        <f t="shared" si="475"/>
        <v>COJINETES</v>
      </c>
      <c r="P689" t="str">
        <f t="shared" si="477"/>
        <v>0</v>
      </c>
      <c r="Q689" t="str">
        <f t="shared" si="477"/>
        <v>0</v>
      </c>
      <c r="R689" t="str">
        <f t="shared" si="478"/>
        <v>0,00</v>
      </c>
      <c r="S689" t="str">
        <f t="shared" si="478"/>
        <v>0,00</v>
      </c>
      <c r="T689" t="str">
        <f t="shared" si="464"/>
        <v xml:space="preserve"> </v>
      </c>
      <c r="U689" t="str">
        <f t="shared" si="471"/>
        <v>-</v>
      </c>
      <c r="V689" t="str">
        <f>"5,000"</f>
        <v>5,000</v>
      </c>
      <c r="W689" t="str">
        <f t="shared" si="445"/>
        <v>Lista 4</v>
      </c>
      <c r="X689" t="str">
        <f t="shared" si="446"/>
        <v>Lista 5</v>
      </c>
      <c r="Y689" t="str">
        <f t="shared" si="447"/>
        <v>Oferta Gral.</v>
      </c>
      <c r="Z689" t="str">
        <f t="shared" si="448"/>
        <v>Rubro</v>
      </c>
      <c r="AA689" t="str">
        <f t="shared" si="449"/>
        <v>Cantidad por Bulto</v>
      </c>
      <c r="AB689" t="str">
        <f t="shared" si="450"/>
        <v>INNER</v>
      </c>
      <c r="AC689" t="str">
        <f t="shared" si="451"/>
        <v>Stock en Bultos</v>
      </c>
      <c r="AD689" t="str">
        <f t="shared" si="452"/>
        <v>SubDepósito</v>
      </c>
      <c r="AE689" t="str">
        <f t="shared" si="453"/>
        <v>Marca</v>
      </c>
      <c r="AF689" t="str">
        <f t="shared" si="454"/>
        <v>Super Rubro</v>
      </c>
      <c r="AG689" t="str">
        <f t="shared" si="455"/>
        <v>ComercioExterior</v>
      </c>
      <c r="AH689" t="str">
        <f t="shared" si="456"/>
        <v>PrecioFOB</v>
      </c>
      <c r="AI689" t="str">
        <f t="shared" si="457"/>
        <v>Monto II</v>
      </c>
      <c r="AJ689" t="str">
        <f t="shared" si="458"/>
        <v>Porcentaje II</v>
      </c>
      <c r="AK689" t="str">
        <f t="shared" si="459"/>
        <v>Foto</v>
      </c>
      <c r="AL689" t="str">
        <f t="shared" si="479"/>
        <v xml:space="preserve"> </v>
      </c>
      <c r="AM689" t="str">
        <f t="shared" si="466"/>
        <v xml:space="preserve"> </v>
      </c>
    </row>
    <row r="690" spans="1:39" x14ac:dyDescent="0.25">
      <c r="A690" t="str">
        <f>"BA135 10"</f>
        <v>BA135 10</v>
      </c>
      <c r="B690" t="str">
        <f>"COJINETES BANCADA 0,25 FIAT DUNA DUCATO 1.7 1.9 DIESEL"</f>
        <v>COJINETES BANCADA 0,25 FIAT DUNA DUCATO 1.7 1.9 DIESEL</v>
      </c>
      <c r="C690" t="str">
        <f>"$ 19699,02"</f>
        <v>$ 19699,02</v>
      </c>
      <c r="D690" t="str">
        <f>"$ 19699,02"</f>
        <v>$ 19699,02</v>
      </c>
      <c r="E690" t="str">
        <f>"$ 19699,02"</f>
        <v>$ 19699,02</v>
      </c>
      <c r="F690" t="str">
        <f>"$ 19699,02"</f>
        <v>$ 19699,02</v>
      </c>
      <c r="G690" t="str">
        <f>"$ 19699,02"</f>
        <v>$ 19699,02</v>
      </c>
      <c r="H690" t="str">
        <f t="shared" si="440"/>
        <v>$ 0,00</v>
      </c>
      <c r="I690" t="str">
        <f t="shared" si="473"/>
        <v>JUEGO COJINETES BANCADA</v>
      </c>
      <c r="J690" t="str">
        <f t="shared" si="441"/>
        <v>1</v>
      </c>
      <c r="K690" t="str">
        <f t="shared" si="467"/>
        <v>0</v>
      </c>
      <c r="L690" t="str">
        <f>"8,000"</f>
        <v>8,000</v>
      </c>
      <c r="M690" t="str">
        <f t="shared" si="442"/>
        <v xml:space="preserve"> </v>
      </c>
      <c r="N690" t="str">
        <f t="shared" si="474"/>
        <v>MPSI</v>
      </c>
      <c r="O690" t="str">
        <f t="shared" si="475"/>
        <v>COJINETES</v>
      </c>
      <c r="P690" t="str">
        <f t="shared" si="477"/>
        <v>0</v>
      </c>
      <c r="Q690" t="str">
        <f t="shared" si="477"/>
        <v>0</v>
      </c>
      <c r="R690" t="str">
        <f t="shared" si="478"/>
        <v>0,00</v>
      </c>
      <c r="S690" t="str">
        <f t="shared" si="478"/>
        <v>0,00</v>
      </c>
      <c r="T690" t="str">
        <f t="shared" si="464"/>
        <v xml:space="preserve"> </v>
      </c>
      <c r="U690" t="str">
        <f t="shared" si="471"/>
        <v>-</v>
      </c>
      <c r="V690" t="str">
        <f>"8,000"</f>
        <v>8,000</v>
      </c>
      <c r="W690" t="str">
        <f t="shared" si="445"/>
        <v>Lista 4</v>
      </c>
      <c r="X690" t="str">
        <f t="shared" si="446"/>
        <v>Lista 5</v>
      </c>
      <c r="Y690" t="str">
        <f t="shared" si="447"/>
        <v>Oferta Gral.</v>
      </c>
      <c r="Z690" t="str">
        <f t="shared" si="448"/>
        <v>Rubro</v>
      </c>
      <c r="AA690" t="str">
        <f t="shared" si="449"/>
        <v>Cantidad por Bulto</v>
      </c>
      <c r="AB690" t="str">
        <f t="shared" si="450"/>
        <v>INNER</v>
      </c>
      <c r="AC690" t="str">
        <f t="shared" si="451"/>
        <v>Stock en Bultos</v>
      </c>
      <c r="AD690" t="str">
        <f t="shared" si="452"/>
        <v>SubDepósito</v>
      </c>
      <c r="AE690" t="str">
        <f t="shared" si="453"/>
        <v>Marca</v>
      </c>
      <c r="AF690" t="str">
        <f t="shared" si="454"/>
        <v>Super Rubro</v>
      </c>
      <c r="AG690" t="str">
        <f t="shared" si="455"/>
        <v>ComercioExterior</v>
      </c>
      <c r="AH690" t="str">
        <f t="shared" si="456"/>
        <v>PrecioFOB</v>
      </c>
      <c r="AI690" t="str">
        <f t="shared" si="457"/>
        <v>Monto II</v>
      </c>
      <c r="AJ690" t="str">
        <f t="shared" si="458"/>
        <v>Porcentaje II</v>
      </c>
      <c r="AK690" t="str">
        <f t="shared" si="459"/>
        <v>Foto</v>
      </c>
      <c r="AL690" t="str">
        <f t="shared" si="479"/>
        <v xml:space="preserve"> </v>
      </c>
      <c r="AM690" t="str">
        <f t="shared" si="466"/>
        <v xml:space="preserve"> </v>
      </c>
    </row>
    <row r="691" spans="1:39" x14ac:dyDescent="0.25">
      <c r="A691" t="str">
        <f>"BA139 10"</f>
        <v>BA139 10</v>
      </c>
      <c r="B691" t="str">
        <f>"COJINETES BANCADA 0,25 FIAT DUNA UNO 147 MOTOR TIPO 1.4 1.6"</f>
        <v>COJINETES BANCADA 0,25 FIAT DUNA UNO 147 MOTOR TIPO 1.4 1.6</v>
      </c>
      <c r="C691" t="str">
        <f>"$ 18211,68"</f>
        <v>$ 18211,68</v>
      </c>
      <c r="D691" t="str">
        <f>"$ 18211,68"</f>
        <v>$ 18211,68</v>
      </c>
      <c r="E691" t="str">
        <f>"$ 18211,68"</f>
        <v>$ 18211,68</v>
      </c>
      <c r="F691" t="str">
        <f>"$ 18211,68"</f>
        <v>$ 18211,68</v>
      </c>
      <c r="G691" t="str">
        <f>"$ 18211,68"</f>
        <v>$ 18211,68</v>
      </c>
      <c r="H691" t="str">
        <f t="shared" si="440"/>
        <v>$ 0,00</v>
      </c>
      <c r="I691" t="str">
        <f t="shared" si="473"/>
        <v>JUEGO COJINETES BANCADA</v>
      </c>
      <c r="J691" t="str">
        <f t="shared" si="441"/>
        <v>1</v>
      </c>
      <c r="K691" t="str">
        <f t="shared" si="467"/>
        <v>0</v>
      </c>
      <c r="L691" t="str">
        <f>"22,000"</f>
        <v>22,000</v>
      </c>
      <c r="M691" t="str">
        <f t="shared" si="442"/>
        <v xml:space="preserve"> </v>
      </c>
      <c r="N691" t="str">
        <f t="shared" si="474"/>
        <v>MPSI</v>
      </c>
      <c r="O691" t="str">
        <f t="shared" si="475"/>
        <v>COJINETES</v>
      </c>
      <c r="P691" t="str">
        <f t="shared" si="477"/>
        <v>0</v>
      </c>
      <c r="Q691" t="str">
        <f t="shared" si="477"/>
        <v>0</v>
      </c>
      <c r="R691" t="str">
        <f t="shared" si="478"/>
        <v>0,00</v>
      </c>
      <c r="S691" t="str">
        <f t="shared" si="478"/>
        <v>0,00</v>
      </c>
      <c r="T691" t="str">
        <f t="shared" si="464"/>
        <v xml:space="preserve"> </v>
      </c>
      <c r="U691" t="str">
        <f t="shared" si="471"/>
        <v>-</v>
      </c>
      <c r="V691" t="str">
        <f>"22,000"</f>
        <v>22,000</v>
      </c>
      <c r="W691" t="str">
        <f t="shared" si="445"/>
        <v>Lista 4</v>
      </c>
      <c r="X691" t="str">
        <f t="shared" si="446"/>
        <v>Lista 5</v>
      </c>
      <c r="Y691" t="str">
        <f t="shared" si="447"/>
        <v>Oferta Gral.</v>
      </c>
      <c r="Z691" t="str">
        <f t="shared" si="448"/>
        <v>Rubro</v>
      </c>
      <c r="AA691" t="str">
        <f t="shared" si="449"/>
        <v>Cantidad por Bulto</v>
      </c>
      <c r="AB691" t="str">
        <f t="shared" si="450"/>
        <v>INNER</v>
      </c>
      <c r="AC691" t="str">
        <f t="shared" si="451"/>
        <v>Stock en Bultos</v>
      </c>
      <c r="AD691" t="str">
        <f t="shared" si="452"/>
        <v>SubDepósito</v>
      </c>
      <c r="AE691" t="str">
        <f t="shared" si="453"/>
        <v>Marca</v>
      </c>
      <c r="AF691" t="str">
        <f t="shared" si="454"/>
        <v>Super Rubro</v>
      </c>
      <c r="AG691" t="str">
        <f t="shared" si="455"/>
        <v>ComercioExterior</v>
      </c>
      <c r="AH691" t="str">
        <f t="shared" si="456"/>
        <v>PrecioFOB</v>
      </c>
      <c r="AI691" t="str">
        <f t="shared" si="457"/>
        <v>Monto II</v>
      </c>
      <c r="AJ691" t="str">
        <f t="shared" si="458"/>
        <v>Porcentaje II</v>
      </c>
      <c r="AK691" t="str">
        <f t="shared" si="459"/>
        <v>Foto</v>
      </c>
      <c r="AL691" t="str">
        <f t="shared" si="479"/>
        <v xml:space="preserve"> </v>
      </c>
      <c r="AM691" t="str">
        <f t="shared" si="466"/>
        <v xml:space="preserve"> </v>
      </c>
    </row>
    <row r="692" spans="1:39" x14ac:dyDescent="0.25">
      <c r="A692" t="str">
        <f>"BA172 10"</f>
        <v>BA172 10</v>
      </c>
      <c r="B692" t="str">
        <f>"COJINETES BANCADA 0,25 FIAT PALIO SIENA ETORQ 1.6 16V"</f>
        <v>COJINETES BANCADA 0,25 FIAT PALIO SIENA ETORQ 1.6 16V</v>
      </c>
      <c r="C692" t="str">
        <f>"$ 24672,23"</f>
        <v>$ 24672,23</v>
      </c>
      <c r="D692" t="str">
        <f>"$ 24672,23"</f>
        <v>$ 24672,23</v>
      </c>
      <c r="E692" t="str">
        <f>"$ 24672,23"</f>
        <v>$ 24672,23</v>
      </c>
      <c r="F692" t="str">
        <f>"$ 24672,23"</f>
        <v>$ 24672,23</v>
      </c>
      <c r="G692" t="str">
        <f>"$ 24672,23"</f>
        <v>$ 24672,23</v>
      </c>
      <c r="H692" t="str">
        <f t="shared" si="440"/>
        <v>$ 0,00</v>
      </c>
      <c r="I692" t="str">
        <f t="shared" si="473"/>
        <v>JUEGO COJINETES BANCADA</v>
      </c>
      <c r="J692" t="str">
        <f t="shared" si="441"/>
        <v>1</v>
      </c>
      <c r="K692" t="str">
        <f t="shared" si="467"/>
        <v>0</v>
      </c>
      <c r="L692" t="str">
        <f>"0,000"</f>
        <v>0,000</v>
      </c>
      <c r="M692" t="str">
        <f t="shared" si="442"/>
        <v xml:space="preserve"> </v>
      </c>
      <c r="N692" t="str">
        <f t="shared" si="474"/>
        <v>MPSI</v>
      </c>
      <c r="O692" t="str">
        <f t="shared" si="475"/>
        <v>COJINETES</v>
      </c>
      <c r="P692" t="str">
        <f t="shared" si="477"/>
        <v>0</v>
      </c>
      <c r="Q692" t="str">
        <f t="shared" si="477"/>
        <v>0</v>
      </c>
      <c r="R692" t="str">
        <f t="shared" si="478"/>
        <v>0,00</v>
      </c>
      <c r="S692" t="str">
        <f t="shared" si="478"/>
        <v>0,00</v>
      </c>
      <c r="T692" t="str">
        <f t="shared" si="464"/>
        <v xml:space="preserve"> </v>
      </c>
      <c r="U692" t="str">
        <f t="shared" si="471"/>
        <v>-</v>
      </c>
      <c r="V692" t="str">
        <f>"0,000"</f>
        <v>0,000</v>
      </c>
      <c r="W692" t="str">
        <f t="shared" si="445"/>
        <v>Lista 4</v>
      </c>
      <c r="X692" t="str">
        <f t="shared" si="446"/>
        <v>Lista 5</v>
      </c>
      <c r="Y692" t="str">
        <f t="shared" si="447"/>
        <v>Oferta Gral.</v>
      </c>
      <c r="Z692" t="str">
        <f t="shared" si="448"/>
        <v>Rubro</v>
      </c>
      <c r="AA692" t="str">
        <f t="shared" si="449"/>
        <v>Cantidad por Bulto</v>
      </c>
      <c r="AB692" t="str">
        <f t="shared" si="450"/>
        <v>INNER</v>
      </c>
      <c r="AC692" t="str">
        <f t="shared" si="451"/>
        <v>Stock en Bultos</v>
      </c>
      <c r="AD692" t="str">
        <f t="shared" si="452"/>
        <v>SubDepósito</v>
      </c>
      <c r="AE692" t="str">
        <f t="shared" si="453"/>
        <v>Marca</v>
      </c>
      <c r="AF692" t="str">
        <f t="shared" si="454"/>
        <v>Super Rubro</v>
      </c>
      <c r="AG692" t="str">
        <f t="shared" si="455"/>
        <v>ComercioExterior</v>
      </c>
      <c r="AH692" t="str">
        <f t="shared" si="456"/>
        <v>PrecioFOB</v>
      </c>
      <c r="AI692" t="str">
        <f t="shared" si="457"/>
        <v>Monto II</v>
      </c>
      <c r="AJ692" t="str">
        <f t="shared" si="458"/>
        <v>Porcentaje II</v>
      </c>
      <c r="AK692" t="str">
        <f t="shared" si="459"/>
        <v>Foto</v>
      </c>
      <c r="AL692" t="str">
        <f t="shared" si="479"/>
        <v xml:space="preserve"> </v>
      </c>
      <c r="AM692" t="str">
        <f t="shared" si="466"/>
        <v xml:space="preserve"> </v>
      </c>
    </row>
    <row r="693" spans="1:39" x14ac:dyDescent="0.25">
      <c r="A693" t="str">
        <f>"BA156 10"</f>
        <v>BA156 10</v>
      </c>
      <c r="B693" t="str">
        <f>"COJINETES BANCADA 0,25 FIAT PALIO SIENA FIRE 1.3 1.4 8V Y 16V"</f>
        <v>COJINETES BANCADA 0,25 FIAT PALIO SIENA FIRE 1.3 1.4 8V Y 16V</v>
      </c>
      <c r="C693" t="str">
        <f>"$ 21467,31"</f>
        <v>$ 21467,31</v>
      </c>
      <c r="D693" t="str">
        <f>"$ 21467,31"</f>
        <v>$ 21467,31</v>
      </c>
      <c r="E693" t="str">
        <f>"$ 21467,31"</f>
        <v>$ 21467,31</v>
      </c>
      <c r="F693" t="str">
        <f>"$ 21467,31"</f>
        <v>$ 21467,31</v>
      </c>
      <c r="G693" t="str">
        <f>"$ 21467,31"</f>
        <v>$ 21467,31</v>
      </c>
      <c r="H693" t="str">
        <f t="shared" si="440"/>
        <v>$ 0,00</v>
      </c>
      <c r="I693" t="str">
        <f t="shared" si="473"/>
        <v>JUEGO COJINETES BANCADA</v>
      </c>
      <c r="J693" t="str">
        <f t="shared" si="441"/>
        <v>1</v>
      </c>
      <c r="K693" t="str">
        <f t="shared" si="467"/>
        <v>0</v>
      </c>
      <c r="L693" t="str">
        <f>"13,000"</f>
        <v>13,000</v>
      </c>
      <c r="M693" t="str">
        <f t="shared" si="442"/>
        <v xml:space="preserve"> </v>
      </c>
      <c r="N693" t="str">
        <f t="shared" si="474"/>
        <v>MPSI</v>
      </c>
      <c r="O693" t="str">
        <f t="shared" si="475"/>
        <v>COJINETES</v>
      </c>
      <c r="P693" t="str">
        <f t="shared" si="477"/>
        <v>0</v>
      </c>
      <c r="Q693" t="str">
        <f t="shared" si="477"/>
        <v>0</v>
      </c>
      <c r="R693" t="str">
        <f t="shared" si="478"/>
        <v>0,00</v>
      </c>
      <c r="S693" t="str">
        <f t="shared" si="478"/>
        <v>0,00</v>
      </c>
      <c r="T693" t="str">
        <f t="shared" si="464"/>
        <v xml:space="preserve"> </v>
      </c>
      <c r="U693" t="str">
        <f t="shared" si="471"/>
        <v>-</v>
      </c>
      <c r="V693" t="str">
        <f>"13,000"</f>
        <v>13,000</v>
      </c>
      <c r="W693" t="str">
        <f t="shared" si="445"/>
        <v>Lista 4</v>
      </c>
      <c r="X693" t="str">
        <f t="shared" si="446"/>
        <v>Lista 5</v>
      </c>
      <c r="Y693" t="str">
        <f t="shared" si="447"/>
        <v>Oferta Gral.</v>
      </c>
      <c r="Z693" t="str">
        <f t="shared" si="448"/>
        <v>Rubro</v>
      </c>
      <c r="AA693" t="str">
        <f t="shared" si="449"/>
        <v>Cantidad por Bulto</v>
      </c>
      <c r="AB693" t="str">
        <f t="shared" si="450"/>
        <v>INNER</v>
      </c>
      <c r="AC693" t="str">
        <f t="shared" si="451"/>
        <v>Stock en Bultos</v>
      </c>
      <c r="AD693" t="str">
        <f t="shared" si="452"/>
        <v>SubDepósito</v>
      </c>
      <c r="AE693" t="str">
        <f t="shared" si="453"/>
        <v>Marca</v>
      </c>
      <c r="AF693" t="str">
        <f t="shared" si="454"/>
        <v>Super Rubro</v>
      </c>
      <c r="AG693" t="str">
        <f t="shared" si="455"/>
        <v>ComercioExterior</v>
      </c>
      <c r="AH693" t="str">
        <f t="shared" si="456"/>
        <v>PrecioFOB</v>
      </c>
      <c r="AI693" t="str">
        <f t="shared" si="457"/>
        <v>Monto II</v>
      </c>
      <c r="AJ693" t="str">
        <f t="shared" si="458"/>
        <v>Porcentaje II</v>
      </c>
      <c r="AK693" t="str">
        <f t="shared" si="459"/>
        <v>Foto</v>
      </c>
      <c r="AL693" t="str">
        <f>"{\rtf1\ansi\ansicpg1252\deff0\deflang2058{\fonttbl{\f0\fnil\fcharset0 MS Sans Serif}} \viewkind4\uc1\pard\f0\fs16 COJINETES BANCADA 0,25 FIAT PALIO SIENA FIRE 1.3 1.4 8V Y 16V\par } "</f>
        <v xml:space="preserve">{\rtf1\ansi\ansicpg1252\deff0\deflang2058{\fonttbl{\f0\fnil\fcharset0 MS Sans Serif}} \viewkind4\uc1\pard\f0\fs16 COJINETES BANCADA 0,25 FIAT PALIO SIENA FIRE 1.3 1.4 8V Y 16V\par } </v>
      </c>
      <c r="AM693" t="str">
        <f t="shared" ref="AM693:AM713" si="480">" "</f>
        <v xml:space="preserve"> </v>
      </c>
    </row>
    <row r="694" spans="1:39" x14ac:dyDescent="0.25">
      <c r="A694" t="str">
        <f>"BA135378 10"</f>
        <v>BA135378 10</v>
      </c>
      <c r="B694" t="str">
        <f>"COJINETES BANCADA 0,25 FIAT TORO MULTIJET 2.0 16 V 170 CV DIESEL"</f>
        <v>COJINETES BANCADA 0,25 FIAT TORO MULTIJET 2.0 16 V 170 CV DIESEL</v>
      </c>
      <c r="C694" t="str">
        <f>"$ 7820,63"</f>
        <v>$ 7820,63</v>
      </c>
      <c r="D694" t="str">
        <f>"$ 7820,63"</f>
        <v>$ 7820,63</v>
      </c>
      <c r="E694" t="str">
        <f>"$ 7820,63"</f>
        <v>$ 7820,63</v>
      </c>
      <c r="F694" t="str">
        <f>"$ 7820,63"</f>
        <v>$ 7820,63</v>
      </c>
      <c r="G694" t="str">
        <f>"$ 7820,63"</f>
        <v>$ 7820,63</v>
      </c>
      <c r="H694" t="str">
        <f t="shared" si="440"/>
        <v>$ 0,00</v>
      </c>
      <c r="I694" t="str">
        <f t="shared" si="473"/>
        <v>JUEGO COJINETES BANCADA</v>
      </c>
      <c r="J694" t="str">
        <f t="shared" si="441"/>
        <v>1</v>
      </c>
      <c r="K694" t="str">
        <f t="shared" si="467"/>
        <v>0</v>
      </c>
      <c r="L694" t="str">
        <f>"0,000"</f>
        <v>0,000</v>
      </c>
      <c r="M694" t="str">
        <f t="shared" si="442"/>
        <v xml:space="preserve"> </v>
      </c>
      <c r="N694" t="str">
        <f t="shared" si="474"/>
        <v>MPSI</v>
      </c>
      <c r="O694" t="str">
        <f t="shared" si="475"/>
        <v>COJINETES</v>
      </c>
      <c r="P694" t="str">
        <f t="shared" si="477"/>
        <v>0</v>
      </c>
      <c r="Q694" t="str">
        <f t="shared" si="477"/>
        <v>0</v>
      </c>
      <c r="R694" t="str">
        <f t="shared" si="478"/>
        <v>0,00</v>
      </c>
      <c r="S694" t="str">
        <f t="shared" si="478"/>
        <v>0,00</v>
      </c>
      <c r="T694" t="str">
        <f t="shared" si="464"/>
        <v xml:space="preserve"> </v>
      </c>
      <c r="U694" t="str">
        <f t="shared" si="471"/>
        <v>-</v>
      </c>
      <c r="V694" t="str">
        <f>"0,000"</f>
        <v>0,000</v>
      </c>
      <c r="W694" t="str">
        <f t="shared" si="445"/>
        <v>Lista 4</v>
      </c>
      <c r="X694" t="str">
        <f t="shared" si="446"/>
        <v>Lista 5</v>
      </c>
      <c r="Y694" t="str">
        <f t="shared" si="447"/>
        <v>Oferta Gral.</v>
      </c>
      <c r="Z694" t="str">
        <f t="shared" si="448"/>
        <v>Rubro</v>
      </c>
      <c r="AA694" t="str">
        <f t="shared" si="449"/>
        <v>Cantidad por Bulto</v>
      </c>
      <c r="AB694" t="str">
        <f t="shared" si="450"/>
        <v>INNER</v>
      </c>
      <c r="AC694" t="str">
        <f t="shared" si="451"/>
        <v>Stock en Bultos</v>
      </c>
      <c r="AD694" t="str">
        <f t="shared" si="452"/>
        <v>SubDepósito</v>
      </c>
      <c r="AE694" t="str">
        <f t="shared" si="453"/>
        <v>Marca</v>
      </c>
      <c r="AF694" t="str">
        <f t="shared" si="454"/>
        <v>Super Rubro</v>
      </c>
      <c r="AG694" t="str">
        <f t="shared" si="455"/>
        <v>ComercioExterior</v>
      </c>
      <c r="AH694" t="str">
        <f t="shared" si="456"/>
        <v>PrecioFOB</v>
      </c>
      <c r="AI694" t="str">
        <f t="shared" si="457"/>
        <v>Monto II</v>
      </c>
      <c r="AJ694" t="str">
        <f t="shared" si="458"/>
        <v>Porcentaje II</v>
      </c>
      <c r="AK694" t="str">
        <f t="shared" si="459"/>
        <v>Foto</v>
      </c>
      <c r="AL694" t="str">
        <f>"{\rtf1\ansi\ansicpg1252\deff0\deflang11274{\fonttbl{\f0\fnil\fcharset0 MS Sans Serif}} \viewkind4\uc1\pard\f0\fs16 COJINETES BANCADA 0,25 FIAT TORO MULTIJET 2.0 16 V 170 CV DIESEL\par } "</f>
        <v xml:space="preserve">{\rtf1\ansi\ansicpg1252\deff0\deflang11274{\fonttbl{\f0\fnil\fcharset0 MS Sans Serif}} \viewkind4\uc1\pard\f0\fs16 COJINETES BANCADA 0,25 FIAT TORO MULTIJET 2.0 16 V 170 CV DIESEL\par } </v>
      </c>
      <c r="AM694" t="str">
        <f t="shared" si="480"/>
        <v xml:space="preserve"> </v>
      </c>
    </row>
    <row r="695" spans="1:39" x14ac:dyDescent="0.25">
      <c r="A695" t="str">
        <f>"BA199 10"</f>
        <v>BA199 10</v>
      </c>
      <c r="B695" t="str">
        <f>"COJINETES BANCADA 0,25 FORD FALCON F100 3.0 3.6"</f>
        <v>COJINETES BANCADA 0,25 FORD FALCON F100 3.0 3.6</v>
      </c>
      <c r="C695" t="str">
        <f>"$ 41910,00"</f>
        <v>$ 41910,00</v>
      </c>
      <c r="D695" t="str">
        <f>"$ 41910,00"</f>
        <v>$ 41910,00</v>
      </c>
      <c r="E695" t="str">
        <f>"$ 41910,00"</f>
        <v>$ 41910,00</v>
      </c>
      <c r="F695" t="str">
        <f>"$ 41910,00"</f>
        <v>$ 41910,00</v>
      </c>
      <c r="G695" t="str">
        <f>"$ 41910,00"</f>
        <v>$ 41910,00</v>
      </c>
      <c r="H695" t="str">
        <f t="shared" si="440"/>
        <v>$ 0,00</v>
      </c>
      <c r="I695" t="str">
        <f t="shared" si="473"/>
        <v>JUEGO COJINETES BANCADA</v>
      </c>
      <c r="J695" t="str">
        <f t="shared" si="441"/>
        <v>1</v>
      </c>
      <c r="K695" t="str">
        <f t="shared" si="467"/>
        <v>0</v>
      </c>
      <c r="L695" t="str">
        <f>"4,000"</f>
        <v>4,000</v>
      </c>
      <c r="M695" t="str">
        <f t="shared" si="442"/>
        <v xml:space="preserve"> </v>
      </c>
      <c r="N695" t="str">
        <f t="shared" si="474"/>
        <v>MPSI</v>
      </c>
      <c r="O695" t="str">
        <f t="shared" si="475"/>
        <v>COJINETES</v>
      </c>
      <c r="P695" t="str">
        <f t="shared" si="477"/>
        <v>0</v>
      </c>
      <c r="Q695" t="str">
        <f t="shared" si="477"/>
        <v>0</v>
      </c>
      <c r="R695" t="str">
        <f t="shared" si="478"/>
        <v>0,00</v>
      </c>
      <c r="S695" t="str">
        <f t="shared" si="478"/>
        <v>0,00</v>
      </c>
      <c r="T695" t="str">
        <f t="shared" si="464"/>
        <v xml:space="preserve"> </v>
      </c>
      <c r="U695" t="str">
        <f t="shared" si="471"/>
        <v>-</v>
      </c>
      <c r="V695" t="str">
        <f>"4,000"</f>
        <v>4,000</v>
      </c>
      <c r="W695" t="str">
        <f t="shared" si="445"/>
        <v>Lista 4</v>
      </c>
      <c r="X695" t="str">
        <f t="shared" si="446"/>
        <v>Lista 5</v>
      </c>
      <c r="Y695" t="str">
        <f t="shared" si="447"/>
        <v>Oferta Gral.</v>
      </c>
      <c r="Z695" t="str">
        <f t="shared" si="448"/>
        <v>Rubro</v>
      </c>
      <c r="AA695" t="str">
        <f t="shared" si="449"/>
        <v>Cantidad por Bulto</v>
      </c>
      <c r="AB695" t="str">
        <f t="shared" si="450"/>
        <v>INNER</v>
      </c>
      <c r="AC695" t="str">
        <f t="shared" si="451"/>
        <v>Stock en Bultos</v>
      </c>
      <c r="AD695" t="str">
        <f t="shared" si="452"/>
        <v>SubDepósito</v>
      </c>
      <c r="AE695" t="str">
        <f t="shared" si="453"/>
        <v>Marca</v>
      </c>
      <c r="AF695" t="str">
        <f t="shared" si="454"/>
        <v>Super Rubro</v>
      </c>
      <c r="AG695" t="str">
        <f t="shared" si="455"/>
        <v>ComercioExterior</v>
      </c>
      <c r="AH695" t="str">
        <f t="shared" si="456"/>
        <v>PrecioFOB</v>
      </c>
      <c r="AI695" t="str">
        <f t="shared" si="457"/>
        <v>Monto II</v>
      </c>
      <c r="AJ695" t="str">
        <f t="shared" si="458"/>
        <v>Porcentaje II</v>
      </c>
      <c r="AK695" t="str">
        <f t="shared" si="459"/>
        <v>Foto</v>
      </c>
      <c r="AL695" t="str">
        <f>"{\rtf1\ansi\ansicpg1252\deff0\deflang2058{\fonttbl{\f0\fnil\fcharset0 MS Sans Serif}} \viewkind4\uc1\pard\f0\fs16 COJINETES BANCADA 0,25 FORD FALCON F100 3.0 3.6\par } "</f>
        <v xml:space="preserve">{\rtf1\ansi\ansicpg1252\deff0\deflang2058{\fonttbl{\f0\fnil\fcharset0 MS Sans Serif}} \viewkind4\uc1\pard\f0\fs16 COJINETES BANCADA 0,25 FORD FALCON F100 3.0 3.6\par } </v>
      </c>
      <c r="AM695" t="str">
        <f t="shared" si="480"/>
        <v xml:space="preserve"> </v>
      </c>
    </row>
    <row r="696" spans="1:39" x14ac:dyDescent="0.25">
      <c r="A696" t="str">
        <f>"BA775 10"</f>
        <v>BA775 10</v>
      </c>
      <c r="B696" t="str">
        <f>"COJINETES BANCADA 0,25 FORD FIESTA 1.3 ENDURA VARILLERO"</f>
        <v>COJINETES BANCADA 0,25 FORD FIESTA 1.3 ENDURA VARILLERO</v>
      </c>
      <c r="C696" t="str">
        <f>"$ 18327,36"</f>
        <v>$ 18327,36</v>
      </c>
      <c r="D696" t="str">
        <f>"$ 18327,36"</f>
        <v>$ 18327,36</v>
      </c>
      <c r="E696" t="str">
        <f>"$ 18327,36"</f>
        <v>$ 18327,36</v>
      </c>
      <c r="F696" t="str">
        <f>"$ 18327,36"</f>
        <v>$ 18327,36</v>
      </c>
      <c r="G696" t="str">
        <f>"$ 18327,36"</f>
        <v>$ 18327,36</v>
      </c>
      <c r="H696" t="str">
        <f t="shared" si="440"/>
        <v>$ 0,00</v>
      </c>
      <c r="I696" t="str">
        <f t="shared" si="473"/>
        <v>JUEGO COJINETES BANCADA</v>
      </c>
      <c r="J696" t="str">
        <f t="shared" si="441"/>
        <v>1</v>
      </c>
      <c r="K696" t="str">
        <f t="shared" si="467"/>
        <v>0</v>
      </c>
      <c r="L696" t="str">
        <f>"0,000"</f>
        <v>0,000</v>
      </c>
      <c r="M696" t="str">
        <f t="shared" si="442"/>
        <v xml:space="preserve"> </v>
      </c>
      <c r="N696" t="str">
        <f t="shared" si="474"/>
        <v>MPSI</v>
      </c>
      <c r="O696" t="str">
        <f t="shared" si="475"/>
        <v>COJINETES</v>
      </c>
      <c r="P696" t="str">
        <f t="shared" si="477"/>
        <v>0</v>
      </c>
      <c r="Q696" t="str">
        <f t="shared" si="477"/>
        <v>0</v>
      </c>
      <c r="R696" t="str">
        <f t="shared" si="478"/>
        <v>0,00</v>
      </c>
      <c r="S696" t="str">
        <f t="shared" si="478"/>
        <v>0,00</v>
      </c>
      <c r="T696" t="str">
        <f t="shared" si="464"/>
        <v xml:space="preserve"> </v>
      </c>
      <c r="U696" t="str">
        <f t="shared" si="471"/>
        <v>-</v>
      </c>
      <c r="V696" t="str">
        <f>"0,000"</f>
        <v>0,000</v>
      </c>
      <c r="W696" t="str">
        <f t="shared" si="445"/>
        <v>Lista 4</v>
      </c>
      <c r="X696" t="str">
        <f t="shared" si="446"/>
        <v>Lista 5</v>
      </c>
      <c r="Y696" t="str">
        <f t="shared" si="447"/>
        <v>Oferta Gral.</v>
      </c>
      <c r="Z696" t="str">
        <f t="shared" si="448"/>
        <v>Rubro</v>
      </c>
      <c r="AA696" t="str">
        <f t="shared" si="449"/>
        <v>Cantidad por Bulto</v>
      </c>
      <c r="AB696" t="str">
        <f t="shared" si="450"/>
        <v>INNER</v>
      </c>
      <c r="AC696" t="str">
        <f t="shared" si="451"/>
        <v>Stock en Bultos</v>
      </c>
      <c r="AD696" t="str">
        <f t="shared" si="452"/>
        <v>SubDepósito</v>
      </c>
      <c r="AE696" t="str">
        <f t="shared" si="453"/>
        <v>Marca</v>
      </c>
      <c r="AF696" t="str">
        <f t="shared" si="454"/>
        <v>Super Rubro</v>
      </c>
      <c r="AG696" t="str">
        <f t="shared" si="455"/>
        <v>ComercioExterior</v>
      </c>
      <c r="AH696" t="str">
        <f t="shared" si="456"/>
        <v>PrecioFOB</v>
      </c>
      <c r="AI696" t="str">
        <f t="shared" si="457"/>
        <v>Monto II</v>
      </c>
      <c r="AJ696" t="str">
        <f t="shared" si="458"/>
        <v>Porcentaje II</v>
      </c>
      <c r="AK696" t="str">
        <f t="shared" si="459"/>
        <v>Foto</v>
      </c>
      <c r="AL696" t="str">
        <f>"{\rtf1\ansi\ansicpg1252\deff0\deflang2058{\fonttbl{\f0\fnil\fcharset0 MS Sans Serif}} \viewkind4\uc1\pard\f0\fs16 COJINETES BANCADA 0,25 FORD FIESTA 1.3 ENDURA VARILLERO\par } "</f>
        <v xml:space="preserve">{\rtf1\ansi\ansicpg1252\deff0\deflang2058{\fonttbl{\f0\fnil\fcharset0 MS Sans Serif}} \viewkind4\uc1\pard\f0\fs16 COJINETES BANCADA 0,25 FORD FIESTA 1.3 ENDURA VARILLERO\par } </v>
      </c>
      <c r="AM696" t="str">
        <f t="shared" si="480"/>
        <v xml:space="preserve"> </v>
      </c>
    </row>
    <row r="697" spans="1:39" x14ac:dyDescent="0.25">
      <c r="A697" t="str">
        <f>"BA679 10"</f>
        <v>BA679 10</v>
      </c>
      <c r="B697" t="str">
        <f>"COJINETES BANCADA 0,25 FORD FIESTA 1.4 TDCI PEUGEOT 307 1.6 HDI"</f>
        <v>COJINETES BANCADA 0,25 FORD FIESTA 1.4 TDCI PEUGEOT 307 1.6 HDI</v>
      </c>
      <c r="C697" t="str">
        <f>"$ 19086,06"</f>
        <v>$ 19086,06</v>
      </c>
      <c r="D697" t="str">
        <f>"$ 19086,06"</f>
        <v>$ 19086,06</v>
      </c>
      <c r="E697" t="str">
        <f>"$ 19086,06"</f>
        <v>$ 19086,06</v>
      </c>
      <c r="F697" t="str">
        <f>"$ 19086,06"</f>
        <v>$ 19086,06</v>
      </c>
      <c r="G697" t="str">
        <f>"$ 19086,06"</f>
        <v>$ 19086,06</v>
      </c>
      <c r="H697" t="str">
        <f t="shared" si="440"/>
        <v>$ 0,00</v>
      </c>
      <c r="I697" t="str">
        <f t="shared" si="473"/>
        <v>JUEGO COJINETES BANCADA</v>
      </c>
      <c r="J697" t="str">
        <f t="shared" si="441"/>
        <v>1</v>
      </c>
      <c r="K697" t="str">
        <f t="shared" si="467"/>
        <v>0</v>
      </c>
      <c r="L697" t="str">
        <f>"14,000"</f>
        <v>14,000</v>
      </c>
      <c r="M697" t="str">
        <f t="shared" si="442"/>
        <v xml:space="preserve"> </v>
      </c>
      <c r="N697" t="str">
        <f t="shared" si="474"/>
        <v>MPSI</v>
      </c>
      <c r="O697" t="str">
        <f t="shared" si="475"/>
        <v>COJINETES</v>
      </c>
      <c r="P697" t="str">
        <f t="shared" si="477"/>
        <v>0</v>
      </c>
      <c r="Q697" t="str">
        <f t="shared" si="477"/>
        <v>0</v>
      </c>
      <c r="R697" t="str">
        <f t="shared" si="478"/>
        <v>0,00</v>
      </c>
      <c r="S697" t="str">
        <f t="shared" si="478"/>
        <v>0,00</v>
      </c>
      <c r="T697" t="str">
        <f t="shared" si="464"/>
        <v xml:space="preserve"> </v>
      </c>
      <c r="U697" t="str">
        <f t="shared" ref="U697:U713" si="481">"-"</f>
        <v>-</v>
      </c>
      <c r="V697" t="str">
        <f>"14,000"</f>
        <v>14,000</v>
      </c>
      <c r="W697" t="str">
        <f t="shared" si="445"/>
        <v>Lista 4</v>
      </c>
      <c r="X697" t="str">
        <f t="shared" si="446"/>
        <v>Lista 5</v>
      </c>
      <c r="Y697" t="str">
        <f t="shared" si="447"/>
        <v>Oferta Gral.</v>
      </c>
      <c r="Z697" t="str">
        <f t="shared" si="448"/>
        <v>Rubro</v>
      </c>
      <c r="AA697" t="str">
        <f t="shared" si="449"/>
        <v>Cantidad por Bulto</v>
      </c>
      <c r="AB697" t="str">
        <f t="shared" si="450"/>
        <v>INNER</v>
      </c>
      <c r="AC697" t="str">
        <f t="shared" si="451"/>
        <v>Stock en Bultos</v>
      </c>
      <c r="AD697" t="str">
        <f t="shared" si="452"/>
        <v>SubDepósito</v>
      </c>
      <c r="AE697" t="str">
        <f t="shared" si="453"/>
        <v>Marca</v>
      </c>
      <c r="AF697" t="str">
        <f t="shared" si="454"/>
        <v>Super Rubro</v>
      </c>
      <c r="AG697" t="str">
        <f t="shared" si="455"/>
        <v>ComercioExterior</v>
      </c>
      <c r="AH697" t="str">
        <f t="shared" si="456"/>
        <v>PrecioFOB</v>
      </c>
      <c r="AI697" t="str">
        <f t="shared" si="457"/>
        <v>Monto II</v>
      </c>
      <c r="AJ697" t="str">
        <f t="shared" si="458"/>
        <v>Porcentaje II</v>
      </c>
      <c r="AK697" t="str">
        <f t="shared" si="459"/>
        <v>Foto</v>
      </c>
      <c r="AL697" t="str">
        <f>"{\rtf1\ansi\ansicpg1252\deff0\deflang11274{\fonttbl{\f0\fnil\fcharset0 MS Sans Serif}} \viewkind4\uc1\pard\f0\fs16 COJINETES BANCADA 0,25 FORD FIESTA 1.4 TDCI PEUGEOT 307 1.6 HDI\par } "</f>
        <v xml:space="preserve">{\rtf1\ansi\ansicpg1252\deff0\deflang11274{\fonttbl{\f0\fnil\fcharset0 MS Sans Serif}} \viewkind4\uc1\pard\f0\fs16 COJINETES BANCADA 0,25 FORD FIESTA 1.4 TDCI PEUGEOT 307 1.6 HDI\par } </v>
      </c>
      <c r="AM697" t="str">
        <f t="shared" si="480"/>
        <v xml:space="preserve"> </v>
      </c>
    </row>
    <row r="698" spans="1:39" x14ac:dyDescent="0.25">
      <c r="A698" t="str">
        <f>"BA776 10"</f>
        <v>BA776 10</v>
      </c>
      <c r="B698" t="str">
        <f>"COJINETES BANCADA 0,25 FORD FIESTA COURIER FOCUS 1.8 DIESEL"</f>
        <v>COJINETES BANCADA 0,25 FORD FIESTA COURIER FOCUS 1.8 DIESEL</v>
      </c>
      <c r="C698" t="str">
        <f>"$ 20343,54"</f>
        <v>$ 20343,54</v>
      </c>
      <c r="D698" t="str">
        <f>"$ 20343,54"</f>
        <v>$ 20343,54</v>
      </c>
      <c r="E698" t="str">
        <f>"$ 20343,54"</f>
        <v>$ 20343,54</v>
      </c>
      <c r="F698" t="str">
        <f>"$ 20343,54"</f>
        <v>$ 20343,54</v>
      </c>
      <c r="G698" t="str">
        <f>"$ 20343,54"</f>
        <v>$ 20343,54</v>
      </c>
      <c r="H698" t="str">
        <f t="shared" si="440"/>
        <v>$ 0,00</v>
      </c>
      <c r="I698" t="str">
        <f t="shared" si="473"/>
        <v>JUEGO COJINETES BANCADA</v>
      </c>
      <c r="J698" t="str">
        <f t="shared" si="441"/>
        <v>1</v>
      </c>
      <c r="K698" t="str">
        <f t="shared" si="467"/>
        <v>0</v>
      </c>
      <c r="L698" t="str">
        <f>"0,000"</f>
        <v>0,000</v>
      </c>
      <c r="M698" t="str">
        <f t="shared" si="442"/>
        <v xml:space="preserve"> </v>
      </c>
      <c r="N698" t="str">
        <f t="shared" si="474"/>
        <v>MPSI</v>
      </c>
      <c r="O698" t="str">
        <f t="shared" si="475"/>
        <v>COJINETES</v>
      </c>
      <c r="P698" t="str">
        <f t="shared" si="477"/>
        <v>0</v>
      </c>
      <c r="Q698" t="str">
        <f t="shared" si="477"/>
        <v>0</v>
      </c>
      <c r="R698" t="str">
        <f t="shared" si="478"/>
        <v>0,00</v>
      </c>
      <c r="S698" t="str">
        <f t="shared" si="478"/>
        <v>0,00</v>
      </c>
      <c r="T698" t="str">
        <f t="shared" si="464"/>
        <v xml:space="preserve"> </v>
      </c>
      <c r="U698" t="str">
        <f t="shared" si="481"/>
        <v>-</v>
      </c>
      <c r="V698" t="str">
        <f>"0,000"</f>
        <v>0,000</v>
      </c>
      <c r="W698" t="str">
        <f t="shared" si="445"/>
        <v>Lista 4</v>
      </c>
      <c r="X698" t="str">
        <f t="shared" si="446"/>
        <v>Lista 5</v>
      </c>
      <c r="Y698" t="str">
        <f t="shared" si="447"/>
        <v>Oferta Gral.</v>
      </c>
      <c r="Z698" t="str">
        <f t="shared" si="448"/>
        <v>Rubro</v>
      </c>
      <c r="AA698" t="str">
        <f t="shared" si="449"/>
        <v>Cantidad por Bulto</v>
      </c>
      <c r="AB698" t="str">
        <f t="shared" si="450"/>
        <v>INNER</v>
      </c>
      <c r="AC698" t="str">
        <f t="shared" si="451"/>
        <v>Stock en Bultos</v>
      </c>
      <c r="AD698" t="str">
        <f t="shared" si="452"/>
        <v>SubDepósito</v>
      </c>
      <c r="AE698" t="str">
        <f t="shared" si="453"/>
        <v>Marca</v>
      </c>
      <c r="AF698" t="str">
        <f t="shared" si="454"/>
        <v>Super Rubro</v>
      </c>
      <c r="AG698" t="str">
        <f t="shared" si="455"/>
        <v>ComercioExterior</v>
      </c>
      <c r="AH698" t="str">
        <f t="shared" si="456"/>
        <v>PrecioFOB</v>
      </c>
      <c r="AI698" t="str">
        <f t="shared" si="457"/>
        <v>Monto II</v>
      </c>
      <c r="AJ698" t="str">
        <f t="shared" si="458"/>
        <v>Porcentaje II</v>
      </c>
      <c r="AK698" t="str">
        <f t="shared" si="459"/>
        <v>Foto</v>
      </c>
      <c r="AL698" t="str">
        <f t="shared" ref="AL698:AL706" si="482">" "</f>
        <v xml:space="preserve"> </v>
      </c>
      <c r="AM698" t="str">
        <f t="shared" si="480"/>
        <v xml:space="preserve"> </v>
      </c>
    </row>
    <row r="699" spans="1:39" x14ac:dyDescent="0.25">
      <c r="A699" t="str">
        <f>"BA771 10"</f>
        <v>BA771 10</v>
      </c>
      <c r="B699" t="str">
        <f>"COJINETES BANCADA 0,25 FORD FOCUS FIESTA SIGMA 1.6 16V"</f>
        <v>COJINETES BANCADA 0,25 FORD FOCUS FIESTA SIGMA 1.6 16V</v>
      </c>
      <c r="C699" t="str">
        <f>"$ 26646,01"</f>
        <v>$ 26646,01</v>
      </c>
      <c r="D699" t="str">
        <f>"$ 26646,01"</f>
        <v>$ 26646,01</v>
      </c>
      <c r="E699" t="str">
        <f>"$ 26646,01"</f>
        <v>$ 26646,01</v>
      </c>
      <c r="F699" t="str">
        <f>"$ 26646,01"</f>
        <v>$ 26646,01</v>
      </c>
      <c r="G699" t="str">
        <f>"$ 26646,01"</f>
        <v>$ 26646,01</v>
      </c>
      <c r="H699" t="str">
        <f t="shared" si="440"/>
        <v>$ 0,00</v>
      </c>
      <c r="I699" t="str">
        <f t="shared" si="473"/>
        <v>JUEGO COJINETES BANCADA</v>
      </c>
      <c r="J699" t="str">
        <f t="shared" si="441"/>
        <v>1</v>
      </c>
      <c r="K699" t="str">
        <f t="shared" si="467"/>
        <v>0</v>
      </c>
      <c r="L699" t="str">
        <f>"2,000"</f>
        <v>2,000</v>
      </c>
      <c r="M699" t="str">
        <f t="shared" si="442"/>
        <v xml:space="preserve"> </v>
      </c>
      <c r="N699" t="str">
        <f t="shared" si="474"/>
        <v>MPSI</v>
      </c>
      <c r="O699" t="str">
        <f t="shared" si="475"/>
        <v>COJINETES</v>
      </c>
      <c r="P699" t="str">
        <f t="shared" si="477"/>
        <v>0</v>
      </c>
      <c r="Q699" t="str">
        <f t="shared" si="477"/>
        <v>0</v>
      </c>
      <c r="R699" t="str">
        <f t="shared" si="478"/>
        <v>0,00</v>
      </c>
      <c r="S699" t="str">
        <f t="shared" si="478"/>
        <v>0,00</v>
      </c>
      <c r="T699" t="str">
        <f t="shared" si="464"/>
        <v xml:space="preserve"> </v>
      </c>
      <c r="U699" t="str">
        <f t="shared" si="481"/>
        <v>-</v>
      </c>
      <c r="V699" t="str">
        <f>"2,000"</f>
        <v>2,000</v>
      </c>
      <c r="W699" t="str">
        <f t="shared" si="445"/>
        <v>Lista 4</v>
      </c>
      <c r="X699" t="str">
        <f t="shared" si="446"/>
        <v>Lista 5</v>
      </c>
      <c r="Y699" t="str">
        <f t="shared" si="447"/>
        <v>Oferta Gral.</v>
      </c>
      <c r="Z699" t="str">
        <f t="shared" si="448"/>
        <v>Rubro</v>
      </c>
      <c r="AA699" t="str">
        <f t="shared" si="449"/>
        <v>Cantidad por Bulto</v>
      </c>
      <c r="AB699" t="str">
        <f t="shared" si="450"/>
        <v>INNER</v>
      </c>
      <c r="AC699" t="str">
        <f t="shared" si="451"/>
        <v>Stock en Bultos</v>
      </c>
      <c r="AD699" t="str">
        <f t="shared" si="452"/>
        <v>SubDepósito</v>
      </c>
      <c r="AE699" t="str">
        <f t="shared" si="453"/>
        <v>Marca</v>
      </c>
      <c r="AF699" t="str">
        <f t="shared" si="454"/>
        <v>Super Rubro</v>
      </c>
      <c r="AG699" t="str">
        <f t="shared" si="455"/>
        <v>ComercioExterior</v>
      </c>
      <c r="AH699" t="str">
        <f t="shared" si="456"/>
        <v>PrecioFOB</v>
      </c>
      <c r="AI699" t="str">
        <f t="shared" si="457"/>
        <v>Monto II</v>
      </c>
      <c r="AJ699" t="str">
        <f t="shared" si="458"/>
        <v>Porcentaje II</v>
      </c>
      <c r="AK699" t="str">
        <f t="shared" si="459"/>
        <v>Foto</v>
      </c>
      <c r="AL699" t="str">
        <f t="shared" si="482"/>
        <v xml:space="preserve"> </v>
      </c>
      <c r="AM699" t="str">
        <f t="shared" si="480"/>
        <v xml:space="preserve"> </v>
      </c>
    </row>
    <row r="700" spans="1:39" x14ac:dyDescent="0.25">
      <c r="A700" t="str">
        <f>"BA777 10"</f>
        <v>BA777 10</v>
      </c>
      <c r="B700" t="str">
        <f>"COJINETES BANCADA 0,25 FORD FOCUS FIESTA ZETEC 1.6 1.8 2.0 16V"</f>
        <v>COJINETES BANCADA 0,25 FORD FOCUS FIESTA ZETEC 1.6 1.8 2.0 16V</v>
      </c>
      <c r="C700" t="str">
        <f>"$ 29103,92"</f>
        <v>$ 29103,92</v>
      </c>
      <c r="D700" t="str">
        <f>"$ 29103,92"</f>
        <v>$ 29103,92</v>
      </c>
      <c r="E700" t="str">
        <f>"$ 29103,92"</f>
        <v>$ 29103,92</v>
      </c>
      <c r="F700" t="str">
        <f>"$ 29103,92"</f>
        <v>$ 29103,92</v>
      </c>
      <c r="G700" t="str">
        <f>"$ 29103,92"</f>
        <v>$ 29103,92</v>
      </c>
      <c r="H700" t="str">
        <f t="shared" si="440"/>
        <v>$ 0,00</v>
      </c>
      <c r="I700" t="str">
        <f t="shared" si="473"/>
        <v>JUEGO COJINETES BANCADA</v>
      </c>
      <c r="J700" t="str">
        <f t="shared" si="441"/>
        <v>1</v>
      </c>
      <c r="K700" t="str">
        <f t="shared" si="467"/>
        <v>0</v>
      </c>
      <c r="L700" t="str">
        <f>"7,000"</f>
        <v>7,000</v>
      </c>
      <c r="M700" t="str">
        <f t="shared" si="442"/>
        <v xml:space="preserve"> </v>
      </c>
      <c r="N700" t="str">
        <f t="shared" si="474"/>
        <v>MPSI</v>
      </c>
      <c r="O700" t="str">
        <f t="shared" si="475"/>
        <v>COJINETES</v>
      </c>
      <c r="P700" t="str">
        <f t="shared" si="477"/>
        <v>0</v>
      </c>
      <c r="Q700" t="str">
        <f t="shared" si="477"/>
        <v>0</v>
      </c>
      <c r="R700" t="str">
        <f t="shared" si="478"/>
        <v>0,00</v>
      </c>
      <c r="S700" t="str">
        <f t="shared" si="478"/>
        <v>0,00</v>
      </c>
      <c r="T700" t="str">
        <f t="shared" si="464"/>
        <v xml:space="preserve"> </v>
      </c>
      <c r="U700" t="str">
        <f t="shared" si="481"/>
        <v>-</v>
      </c>
      <c r="V700" t="str">
        <f>"7,000"</f>
        <v>7,000</v>
      </c>
      <c r="W700" t="str">
        <f t="shared" si="445"/>
        <v>Lista 4</v>
      </c>
      <c r="X700" t="str">
        <f t="shared" si="446"/>
        <v>Lista 5</v>
      </c>
      <c r="Y700" t="str">
        <f t="shared" si="447"/>
        <v>Oferta Gral.</v>
      </c>
      <c r="Z700" t="str">
        <f t="shared" si="448"/>
        <v>Rubro</v>
      </c>
      <c r="AA700" t="str">
        <f t="shared" si="449"/>
        <v>Cantidad por Bulto</v>
      </c>
      <c r="AB700" t="str">
        <f t="shared" si="450"/>
        <v>INNER</v>
      </c>
      <c r="AC700" t="str">
        <f t="shared" si="451"/>
        <v>Stock en Bultos</v>
      </c>
      <c r="AD700" t="str">
        <f t="shared" si="452"/>
        <v>SubDepósito</v>
      </c>
      <c r="AE700" t="str">
        <f t="shared" si="453"/>
        <v>Marca</v>
      </c>
      <c r="AF700" t="str">
        <f t="shared" si="454"/>
        <v>Super Rubro</v>
      </c>
      <c r="AG700" t="str">
        <f t="shared" si="455"/>
        <v>ComercioExterior</v>
      </c>
      <c r="AH700" t="str">
        <f t="shared" si="456"/>
        <v>PrecioFOB</v>
      </c>
      <c r="AI700" t="str">
        <f t="shared" si="457"/>
        <v>Monto II</v>
      </c>
      <c r="AJ700" t="str">
        <f t="shared" si="458"/>
        <v>Porcentaje II</v>
      </c>
      <c r="AK700" t="str">
        <f t="shared" si="459"/>
        <v>Foto</v>
      </c>
      <c r="AL700" t="str">
        <f t="shared" si="482"/>
        <v xml:space="preserve"> </v>
      </c>
      <c r="AM700" t="str">
        <f t="shared" si="480"/>
        <v xml:space="preserve"> </v>
      </c>
    </row>
    <row r="701" spans="1:39" x14ac:dyDescent="0.25">
      <c r="A701" t="str">
        <f>"BA165647 10"</f>
        <v>BA165647 10</v>
      </c>
      <c r="B701" t="str">
        <f>"COJINETES BANCADA 0,25 FORD FOCUS MONDEO DURATEC 2.0 16V"</f>
        <v>COJINETES BANCADA 0,25 FORD FOCUS MONDEO DURATEC 2.0 16V</v>
      </c>
      <c r="C701" t="str">
        <f>"$ 42455,36"</f>
        <v>$ 42455,36</v>
      </c>
      <c r="D701" t="str">
        <f>"$ 42455,36"</f>
        <v>$ 42455,36</v>
      </c>
      <c r="E701" t="str">
        <f>"$ 42455,36"</f>
        <v>$ 42455,36</v>
      </c>
      <c r="F701" t="str">
        <f>"$ 42455,36"</f>
        <v>$ 42455,36</v>
      </c>
      <c r="G701" t="str">
        <f>"$ 42455,36"</f>
        <v>$ 42455,36</v>
      </c>
      <c r="H701" t="str">
        <f t="shared" si="440"/>
        <v>$ 0,00</v>
      </c>
      <c r="I701" t="str">
        <f t="shared" si="473"/>
        <v>JUEGO COJINETES BANCADA</v>
      </c>
      <c r="J701" t="str">
        <f t="shared" si="441"/>
        <v>1</v>
      </c>
      <c r="K701" t="str">
        <f t="shared" si="467"/>
        <v>0</v>
      </c>
      <c r="L701" t="str">
        <f>"7,000"</f>
        <v>7,000</v>
      </c>
      <c r="M701" t="str">
        <f t="shared" si="442"/>
        <v xml:space="preserve"> </v>
      </c>
      <c r="N701" t="str">
        <f t="shared" si="474"/>
        <v>MPSI</v>
      </c>
      <c r="O701" t="str">
        <f t="shared" si="475"/>
        <v>COJINETES</v>
      </c>
      <c r="P701" t="str">
        <f t="shared" si="477"/>
        <v>0</v>
      </c>
      <c r="Q701" t="str">
        <f t="shared" si="477"/>
        <v>0</v>
      </c>
      <c r="R701" t="str">
        <f t="shared" si="478"/>
        <v>0,00</v>
      </c>
      <c r="S701" t="str">
        <f t="shared" si="478"/>
        <v>0,00</v>
      </c>
      <c r="T701" t="str">
        <f t="shared" si="464"/>
        <v xml:space="preserve"> </v>
      </c>
      <c r="U701" t="str">
        <f t="shared" si="481"/>
        <v>-</v>
      </c>
      <c r="V701" t="str">
        <f>"7,000"</f>
        <v>7,000</v>
      </c>
      <c r="W701" t="str">
        <f t="shared" si="445"/>
        <v>Lista 4</v>
      </c>
      <c r="X701" t="str">
        <f t="shared" si="446"/>
        <v>Lista 5</v>
      </c>
      <c r="Y701" t="str">
        <f t="shared" si="447"/>
        <v>Oferta Gral.</v>
      </c>
      <c r="Z701" t="str">
        <f t="shared" si="448"/>
        <v>Rubro</v>
      </c>
      <c r="AA701" t="str">
        <f t="shared" si="449"/>
        <v>Cantidad por Bulto</v>
      </c>
      <c r="AB701" t="str">
        <f t="shared" si="450"/>
        <v>INNER</v>
      </c>
      <c r="AC701" t="str">
        <f t="shared" si="451"/>
        <v>Stock en Bultos</v>
      </c>
      <c r="AD701" t="str">
        <f t="shared" si="452"/>
        <v>SubDepósito</v>
      </c>
      <c r="AE701" t="str">
        <f t="shared" si="453"/>
        <v>Marca</v>
      </c>
      <c r="AF701" t="str">
        <f t="shared" si="454"/>
        <v>Super Rubro</v>
      </c>
      <c r="AG701" t="str">
        <f t="shared" si="455"/>
        <v>ComercioExterior</v>
      </c>
      <c r="AH701" t="str">
        <f t="shared" si="456"/>
        <v>PrecioFOB</v>
      </c>
      <c r="AI701" t="str">
        <f t="shared" si="457"/>
        <v>Monto II</v>
      </c>
      <c r="AJ701" t="str">
        <f t="shared" si="458"/>
        <v>Porcentaje II</v>
      </c>
      <c r="AK701" t="str">
        <f t="shared" si="459"/>
        <v>Foto</v>
      </c>
      <c r="AL701" t="str">
        <f t="shared" si="482"/>
        <v xml:space="preserve"> </v>
      </c>
      <c r="AM701" t="str">
        <f t="shared" si="480"/>
        <v xml:space="preserve"> </v>
      </c>
    </row>
    <row r="702" spans="1:39" x14ac:dyDescent="0.25">
      <c r="A702" t="str">
        <f>"BA165198 10"</f>
        <v>BA165198 10</v>
      </c>
      <c r="B702" t="str">
        <f>"COJINETES BANCADA 0,25 FORD RANGER 2.2 PUMA TDCI 125HP"</f>
        <v>COJINETES BANCADA 0,25 FORD RANGER 2.2 PUMA TDCI 125HP</v>
      </c>
      <c r="C702" t="str">
        <f>"$ 35881,80"</f>
        <v>$ 35881,80</v>
      </c>
      <c r="D702" t="str">
        <f>"$ 35881,80"</f>
        <v>$ 35881,80</v>
      </c>
      <c r="E702" t="str">
        <f>"$ 35881,80"</f>
        <v>$ 35881,80</v>
      </c>
      <c r="F702" t="str">
        <f>"$ 35881,80"</f>
        <v>$ 35881,80</v>
      </c>
      <c r="G702" t="str">
        <f>"$ 35881,80"</f>
        <v>$ 35881,80</v>
      </c>
      <c r="H702" t="str">
        <f t="shared" si="440"/>
        <v>$ 0,00</v>
      </c>
      <c r="I702" t="str">
        <f t="shared" si="473"/>
        <v>JUEGO COJINETES BANCADA</v>
      </c>
      <c r="J702" t="str">
        <f t="shared" si="441"/>
        <v>1</v>
      </c>
      <c r="K702" t="str">
        <f t="shared" si="467"/>
        <v>0</v>
      </c>
      <c r="L702" t="str">
        <f>"1,000"</f>
        <v>1,000</v>
      </c>
      <c r="M702" t="str">
        <f t="shared" si="442"/>
        <v xml:space="preserve"> </v>
      </c>
      <c r="N702" t="str">
        <f t="shared" si="474"/>
        <v>MPSI</v>
      </c>
      <c r="O702" t="str">
        <f t="shared" si="475"/>
        <v>COJINETES</v>
      </c>
      <c r="P702" t="str">
        <f t="shared" si="477"/>
        <v>0</v>
      </c>
      <c r="Q702" t="str">
        <f t="shared" si="477"/>
        <v>0</v>
      </c>
      <c r="R702" t="str">
        <f t="shared" si="478"/>
        <v>0,00</v>
      </c>
      <c r="S702" t="str">
        <f t="shared" si="478"/>
        <v>0,00</v>
      </c>
      <c r="T702" t="str">
        <f t="shared" si="464"/>
        <v xml:space="preserve"> </v>
      </c>
      <c r="U702" t="str">
        <f t="shared" si="481"/>
        <v>-</v>
      </c>
      <c r="V702" t="str">
        <f>"1,000"</f>
        <v>1,000</v>
      </c>
      <c r="W702" t="str">
        <f t="shared" si="445"/>
        <v>Lista 4</v>
      </c>
      <c r="X702" t="str">
        <f t="shared" si="446"/>
        <v>Lista 5</v>
      </c>
      <c r="Y702" t="str">
        <f t="shared" si="447"/>
        <v>Oferta Gral.</v>
      </c>
      <c r="Z702" t="str">
        <f t="shared" si="448"/>
        <v>Rubro</v>
      </c>
      <c r="AA702" t="str">
        <f t="shared" si="449"/>
        <v>Cantidad por Bulto</v>
      </c>
      <c r="AB702" t="str">
        <f t="shared" si="450"/>
        <v>INNER</v>
      </c>
      <c r="AC702" t="str">
        <f t="shared" si="451"/>
        <v>Stock en Bultos</v>
      </c>
      <c r="AD702" t="str">
        <f t="shared" si="452"/>
        <v>SubDepósito</v>
      </c>
      <c r="AE702" t="str">
        <f t="shared" si="453"/>
        <v>Marca</v>
      </c>
      <c r="AF702" t="str">
        <f t="shared" si="454"/>
        <v>Super Rubro</v>
      </c>
      <c r="AG702" t="str">
        <f t="shared" si="455"/>
        <v>ComercioExterior</v>
      </c>
      <c r="AH702" t="str">
        <f t="shared" si="456"/>
        <v>PrecioFOB</v>
      </c>
      <c r="AI702" t="str">
        <f t="shared" si="457"/>
        <v>Monto II</v>
      </c>
      <c r="AJ702" t="str">
        <f t="shared" si="458"/>
        <v>Porcentaje II</v>
      </c>
      <c r="AK702" t="str">
        <f t="shared" si="459"/>
        <v>Foto</v>
      </c>
      <c r="AL702" t="str">
        <f t="shared" si="482"/>
        <v xml:space="preserve"> </v>
      </c>
      <c r="AM702" t="str">
        <f t="shared" si="480"/>
        <v xml:space="preserve"> </v>
      </c>
    </row>
    <row r="703" spans="1:39" x14ac:dyDescent="0.25">
      <c r="A703" t="str">
        <f>"BA404 10"</f>
        <v>BA404 10</v>
      </c>
      <c r="B703" t="str">
        <f>"COJINETES BANCADA 0,25 FORD RANGER 2.8 3.0 POWER STROKE"</f>
        <v>COJINETES BANCADA 0,25 FORD RANGER 2.8 3.0 POWER STROKE</v>
      </c>
      <c r="C703" t="str">
        <f>"$ 30183,91"</f>
        <v>$ 30183,91</v>
      </c>
      <c r="D703" t="str">
        <f>"$ 30183,91"</f>
        <v>$ 30183,91</v>
      </c>
      <c r="E703" t="str">
        <f>"$ 30183,91"</f>
        <v>$ 30183,91</v>
      </c>
      <c r="F703" t="str">
        <f>"$ 30183,91"</f>
        <v>$ 30183,91</v>
      </c>
      <c r="G703" t="str">
        <f>"$ 30183,91"</f>
        <v>$ 30183,91</v>
      </c>
      <c r="H703" t="str">
        <f t="shared" si="440"/>
        <v>$ 0,00</v>
      </c>
      <c r="I703" t="str">
        <f t="shared" si="473"/>
        <v>JUEGO COJINETES BANCADA</v>
      </c>
      <c r="J703" t="str">
        <f t="shared" si="441"/>
        <v>1</v>
      </c>
      <c r="K703" t="str">
        <f t="shared" si="467"/>
        <v>0</v>
      </c>
      <c r="L703" t="str">
        <f>"8,000"</f>
        <v>8,000</v>
      </c>
      <c r="M703" t="str">
        <f t="shared" si="442"/>
        <v xml:space="preserve"> </v>
      </c>
      <c r="N703" t="str">
        <f t="shared" si="474"/>
        <v>MPSI</v>
      </c>
      <c r="O703" t="str">
        <f t="shared" si="475"/>
        <v>COJINETES</v>
      </c>
      <c r="P703" t="str">
        <f t="shared" ref="P703:Q722" si="483">"0"</f>
        <v>0</v>
      </c>
      <c r="Q703" t="str">
        <f t="shared" si="483"/>
        <v>0</v>
      </c>
      <c r="R703" t="str">
        <f t="shared" ref="R703:S722" si="484">"0,00"</f>
        <v>0,00</v>
      </c>
      <c r="S703" t="str">
        <f t="shared" si="484"/>
        <v>0,00</v>
      </c>
      <c r="T703" t="str">
        <f t="shared" si="464"/>
        <v xml:space="preserve"> </v>
      </c>
      <c r="U703" t="str">
        <f t="shared" si="481"/>
        <v>-</v>
      </c>
      <c r="V703" t="str">
        <f>"8,000"</f>
        <v>8,000</v>
      </c>
      <c r="W703" t="str">
        <f t="shared" si="445"/>
        <v>Lista 4</v>
      </c>
      <c r="X703" t="str">
        <f t="shared" si="446"/>
        <v>Lista 5</v>
      </c>
      <c r="Y703" t="str">
        <f t="shared" si="447"/>
        <v>Oferta Gral.</v>
      </c>
      <c r="Z703" t="str">
        <f t="shared" si="448"/>
        <v>Rubro</v>
      </c>
      <c r="AA703" t="str">
        <f t="shared" si="449"/>
        <v>Cantidad por Bulto</v>
      </c>
      <c r="AB703" t="str">
        <f t="shared" si="450"/>
        <v>INNER</v>
      </c>
      <c r="AC703" t="str">
        <f t="shared" si="451"/>
        <v>Stock en Bultos</v>
      </c>
      <c r="AD703" t="str">
        <f t="shared" si="452"/>
        <v>SubDepósito</v>
      </c>
      <c r="AE703" t="str">
        <f t="shared" si="453"/>
        <v>Marca</v>
      </c>
      <c r="AF703" t="str">
        <f t="shared" si="454"/>
        <v>Super Rubro</v>
      </c>
      <c r="AG703" t="str">
        <f t="shared" si="455"/>
        <v>ComercioExterior</v>
      </c>
      <c r="AH703" t="str">
        <f t="shared" si="456"/>
        <v>PrecioFOB</v>
      </c>
      <c r="AI703" t="str">
        <f t="shared" si="457"/>
        <v>Monto II</v>
      </c>
      <c r="AJ703" t="str">
        <f t="shared" si="458"/>
        <v>Porcentaje II</v>
      </c>
      <c r="AK703" t="str">
        <f t="shared" si="459"/>
        <v>Foto</v>
      </c>
      <c r="AL703" t="str">
        <f t="shared" si="482"/>
        <v xml:space="preserve"> </v>
      </c>
      <c r="AM703" t="str">
        <f t="shared" si="480"/>
        <v xml:space="preserve"> </v>
      </c>
    </row>
    <row r="704" spans="1:39" x14ac:dyDescent="0.25">
      <c r="A704" t="str">
        <f>"BA166200 10"</f>
        <v>BA166200 10</v>
      </c>
      <c r="B704" t="str">
        <f>"COJINETES BANCADA 0,25 FORD RANGER 3.2 PUMA TDCI 200HP 5 CIL"</f>
        <v>COJINETES BANCADA 0,25 FORD RANGER 3.2 PUMA TDCI 200HP 5 CIL</v>
      </c>
      <c r="C704" t="str">
        <f>"$ 38954,19"</f>
        <v>$ 38954,19</v>
      </c>
      <c r="D704" t="str">
        <f>"$ 38954,19"</f>
        <v>$ 38954,19</v>
      </c>
      <c r="E704" t="str">
        <f>"$ 38954,19"</f>
        <v>$ 38954,19</v>
      </c>
      <c r="F704" t="str">
        <f>"$ 38954,19"</f>
        <v>$ 38954,19</v>
      </c>
      <c r="G704" t="str">
        <f>"$ 38954,19"</f>
        <v>$ 38954,19</v>
      </c>
      <c r="H704" t="str">
        <f t="shared" si="440"/>
        <v>$ 0,00</v>
      </c>
      <c r="I704" t="str">
        <f t="shared" si="473"/>
        <v>JUEGO COJINETES BANCADA</v>
      </c>
      <c r="J704" t="str">
        <f t="shared" si="441"/>
        <v>1</v>
      </c>
      <c r="K704" t="str">
        <f t="shared" si="467"/>
        <v>0</v>
      </c>
      <c r="L704" t="str">
        <f>"10,000"</f>
        <v>10,000</v>
      </c>
      <c r="M704" t="str">
        <f t="shared" si="442"/>
        <v xml:space="preserve"> </v>
      </c>
      <c r="N704" t="str">
        <f t="shared" si="474"/>
        <v>MPSI</v>
      </c>
      <c r="O704" t="str">
        <f t="shared" si="475"/>
        <v>COJINETES</v>
      </c>
      <c r="P704" t="str">
        <f t="shared" si="483"/>
        <v>0</v>
      </c>
      <c r="Q704" t="str">
        <f t="shared" si="483"/>
        <v>0</v>
      </c>
      <c r="R704" t="str">
        <f t="shared" si="484"/>
        <v>0,00</v>
      </c>
      <c r="S704" t="str">
        <f t="shared" si="484"/>
        <v>0,00</v>
      </c>
      <c r="T704" t="str">
        <f t="shared" si="464"/>
        <v xml:space="preserve"> </v>
      </c>
      <c r="U704" t="str">
        <f t="shared" si="481"/>
        <v>-</v>
      </c>
      <c r="V704" t="str">
        <f>"10,000"</f>
        <v>10,000</v>
      </c>
      <c r="W704" t="str">
        <f t="shared" si="445"/>
        <v>Lista 4</v>
      </c>
      <c r="X704" t="str">
        <f t="shared" si="446"/>
        <v>Lista 5</v>
      </c>
      <c r="Y704" t="str">
        <f t="shared" si="447"/>
        <v>Oferta Gral.</v>
      </c>
      <c r="Z704" t="str">
        <f t="shared" si="448"/>
        <v>Rubro</v>
      </c>
      <c r="AA704" t="str">
        <f t="shared" si="449"/>
        <v>Cantidad por Bulto</v>
      </c>
      <c r="AB704" t="str">
        <f t="shared" si="450"/>
        <v>INNER</v>
      </c>
      <c r="AC704" t="str">
        <f t="shared" si="451"/>
        <v>Stock en Bultos</v>
      </c>
      <c r="AD704" t="str">
        <f t="shared" si="452"/>
        <v>SubDepósito</v>
      </c>
      <c r="AE704" t="str">
        <f t="shared" si="453"/>
        <v>Marca</v>
      </c>
      <c r="AF704" t="str">
        <f t="shared" si="454"/>
        <v>Super Rubro</v>
      </c>
      <c r="AG704" t="str">
        <f t="shared" si="455"/>
        <v>ComercioExterior</v>
      </c>
      <c r="AH704" t="str">
        <f t="shared" si="456"/>
        <v>PrecioFOB</v>
      </c>
      <c r="AI704" t="str">
        <f t="shared" si="457"/>
        <v>Monto II</v>
      </c>
      <c r="AJ704" t="str">
        <f t="shared" si="458"/>
        <v>Porcentaje II</v>
      </c>
      <c r="AK704" t="str">
        <f t="shared" si="459"/>
        <v>Foto</v>
      </c>
      <c r="AL704" t="str">
        <f t="shared" si="482"/>
        <v xml:space="preserve"> </v>
      </c>
      <c r="AM704" t="str">
        <f t="shared" si="480"/>
        <v xml:space="preserve"> </v>
      </c>
    </row>
    <row r="705" spans="1:39" x14ac:dyDescent="0.25">
      <c r="A705" t="str">
        <f>"BA203 10"</f>
        <v>BA203 10</v>
      </c>
      <c r="B705" t="str">
        <f>"COJINETES BANCADA 0,25 FORD SIERRA 1600"</f>
        <v>COJINETES BANCADA 0,25 FORD SIERRA 1600</v>
      </c>
      <c r="C705" t="str">
        <f>"$ 24057,75"</f>
        <v>$ 24057,75</v>
      </c>
      <c r="D705" t="str">
        <f>"$ 24057,75"</f>
        <v>$ 24057,75</v>
      </c>
      <c r="E705" t="str">
        <f>"$ 24057,75"</f>
        <v>$ 24057,75</v>
      </c>
      <c r="F705" t="str">
        <f>"$ 24057,75"</f>
        <v>$ 24057,75</v>
      </c>
      <c r="G705" t="str">
        <f>"$ 24057,75"</f>
        <v>$ 24057,75</v>
      </c>
      <c r="H705" t="str">
        <f t="shared" si="440"/>
        <v>$ 0,00</v>
      </c>
      <c r="I705" t="str">
        <f t="shared" si="473"/>
        <v>JUEGO COJINETES BANCADA</v>
      </c>
      <c r="J705" t="str">
        <f t="shared" si="441"/>
        <v>1</v>
      </c>
      <c r="K705" t="str">
        <f t="shared" si="467"/>
        <v>0</v>
      </c>
      <c r="L705" t="str">
        <f>"1,000"</f>
        <v>1,000</v>
      </c>
      <c r="M705" t="str">
        <f t="shared" si="442"/>
        <v xml:space="preserve"> </v>
      </c>
      <c r="N705" t="str">
        <f t="shared" si="474"/>
        <v>MPSI</v>
      </c>
      <c r="O705" t="str">
        <f t="shared" si="475"/>
        <v>COJINETES</v>
      </c>
      <c r="P705" t="str">
        <f t="shared" si="483"/>
        <v>0</v>
      </c>
      <c r="Q705" t="str">
        <f t="shared" si="483"/>
        <v>0</v>
      </c>
      <c r="R705" t="str">
        <f t="shared" si="484"/>
        <v>0,00</v>
      </c>
      <c r="S705" t="str">
        <f t="shared" si="484"/>
        <v>0,00</v>
      </c>
      <c r="T705" t="str">
        <f t="shared" si="464"/>
        <v xml:space="preserve"> </v>
      </c>
      <c r="U705" t="str">
        <f t="shared" si="481"/>
        <v>-</v>
      </c>
      <c r="V705" t="str">
        <f>"1,000"</f>
        <v>1,000</v>
      </c>
      <c r="W705" t="str">
        <f t="shared" si="445"/>
        <v>Lista 4</v>
      </c>
      <c r="X705" t="str">
        <f t="shared" si="446"/>
        <v>Lista 5</v>
      </c>
      <c r="Y705" t="str">
        <f t="shared" si="447"/>
        <v>Oferta Gral.</v>
      </c>
      <c r="Z705" t="str">
        <f t="shared" si="448"/>
        <v>Rubro</v>
      </c>
      <c r="AA705" t="str">
        <f t="shared" si="449"/>
        <v>Cantidad por Bulto</v>
      </c>
      <c r="AB705" t="str">
        <f t="shared" si="450"/>
        <v>INNER</v>
      </c>
      <c r="AC705" t="str">
        <f t="shared" si="451"/>
        <v>Stock en Bultos</v>
      </c>
      <c r="AD705" t="str">
        <f t="shared" si="452"/>
        <v>SubDepósito</v>
      </c>
      <c r="AE705" t="str">
        <f t="shared" si="453"/>
        <v>Marca</v>
      </c>
      <c r="AF705" t="str">
        <f t="shared" si="454"/>
        <v>Super Rubro</v>
      </c>
      <c r="AG705" t="str">
        <f t="shared" si="455"/>
        <v>ComercioExterior</v>
      </c>
      <c r="AH705" t="str">
        <f t="shared" si="456"/>
        <v>PrecioFOB</v>
      </c>
      <c r="AI705" t="str">
        <f t="shared" si="457"/>
        <v>Monto II</v>
      </c>
      <c r="AJ705" t="str">
        <f t="shared" si="458"/>
        <v>Porcentaje II</v>
      </c>
      <c r="AK705" t="str">
        <f t="shared" si="459"/>
        <v>Foto</v>
      </c>
      <c r="AL705" t="str">
        <f t="shared" si="482"/>
        <v xml:space="preserve"> </v>
      </c>
      <c r="AM705" t="str">
        <f t="shared" si="480"/>
        <v xml:space="preserve"> </v>
      </c>
    </row>
    <row r="706" spans="1:39" x14ac:dyDescent="0.25">
      <c r="A706" t="str">
        <f>"BA201 10"</f>
        <v>BA201 10</v>
      </c>
      <c r="B706" t="str">
        <f>"COJINETES BANCADA 0,25 FORD TAUNUS 2.0 2.3"</f>
        <v>COJINETES BANCADA 0,25 FORD TAUNUS 2.0 2.3</v>
      </c>
      <c r="C706" t="str">
        <f>"$ 44894,15"</f>
        <v>$ 44894,15</v>
      </c>
      <c r="D706" t="str">
        <f>"$ 44894,15"</f>
        <v>$ 44894,15</v>
      </c>
      <c r="E706" t="str">
        <f>"$ 44894,15"</f>
        <v>$ 44894,15</v>
      </c>
      <c r="F706" t="str">
        <f>"$ 44894,15"</f>
        <v>$ 44894,15</v>
      </c>
      <c r="G706" t="str">
        <f>"$ 44894,15"</f>
        <v>$ 44894,15</v>
      </c>
      <c r="H706" t="str">
        <f t="shared" si="440"/>
        <v>$ 0,00</v>
      </c>
      <c r="I706" t="str">
        <f t="shared" si="473"/>
        <v>JUEGO COJINETES BANCADA</v>
      </c>
      <c r="J706" t="str">
        <f t="shared" si="441"/>
        <v>1</v>
      </c>
      <c r="K706" t="str">
        <f t="shared" si="467"/>
        <v>0</v>
      </c>
      <c r="L706" t="str">
        <f>"3,000"</f>
        <v>3,000</v>
      </c>
      <c r="M706" t="str">
        <f t="shared" si="442"/>
        <v xml:space="preserve"> </v>
      </c>
      <c r="N706" t="str">
        <f t="shared" si="474"/>
        <v>MPSI</v>
      </c>
      <c r="O706" t="str">
        <f t="shared" si="475"/>
        <v>COJINETES</v>
      </c>
      <c r="P706" t="str">
        <f t="shared" si="483"/>
        <v>0</v>
      </c>
      <c r="Q706" t="str">
        <f t="shared" si="483"/>
        <v>0</v>
      </c>
      <c r="R706" t="str">
        <f t="shared" si="484"/>
        <v>0,00</v>
      </c>
      <c r="S706" t="str">
        <f t="shared" si="484"/>
        <v>0,00</v>
      </c>
      <c r="T706" t="str">
        <f t="shared" si="464"/>
        <v xml:space="preserve"> </v>
      </c>
      <c r="U706" t="str">
        <f t="shared" si="481"/>
        <v>-</v>
      </c>
      <c r="V706" t="str">
        <f>"3,000"</f>
        <v>3,000</v>
      </c>
      <c r="W706" t="str">
        <f t="shared" si="445"/>
        <v>Lista 4</v>
      </c>
      <c r="X706" t="str">
        <f t="shared" si="446"/>
        <v>Lista 5</v>
      </c>
      <c r="Y706" t="str">
        <f t="shared" si="447"/>
        <v>Oferta Gral.</v>
      </c>
      <c r="Z706" t="str">
        <f t="shared" si="448"/>
        <v>Rubro</v>
      </c>
      <c r="AA706" t="str">
        <f t="shared" si="449"/>
        <v>Cantidad por Bulto</v>
      </c>
      <c r="AB706" t="str">
        <f t="shared" si="450"/>
        <v>INNER</v>
      </c>
      <c r="AC706" t="str">
        <f t="shared" si="451"/>
        <v>Stock en Bultos</v>
      </c>
      <c r="AD706" t="str">
        <f t="shared" si="452"/>
        <v>SubDepósito</v>
      </c>
      <c r="AE706" t="str">
        <f t="shared" si="453"/>
        <v>Marca</v>
      </c>
      <c r="AF706" t="str">
        <f t="shared" si="454"/>
        <v>Super Rubro</v>
      </c>
      <c r="AG706" t="str">
        <f t="shared" si="455"/>
        <v>ComercioExterior</v>
      </c>
      <c r="AH706" t="str">
        <f t="shared" si="456"/>
        <v>PrecioFOB</v>
      </c>
      <c r="AI706" t="str">
        <f t="shared" si="457"/>
        <v>Monto II</v>
      </c>
      <c r="AJ706" t="str">
        <f t="shared" si="458"/>
        <v>Porcentaje II</v>
      </c>
      <c r="AK706" t="str">
        <f t="shared" si="459"/>
        <v>Foto</v>
      </c>
      <c r="AL706" t="str">
        <f t="shared" si="482"/>
        <v xml:space="preserve"> </v>
      </c>
      <c r="AM706" t="str">
        <f t="shared" si="480"/>
        <v xml:space="preserve"> </v>
      </c>
    </row>
    <row r="707" spans="1:39" x14ac:dyDescent="0.25">
      <c r="A707" t="str">
        <f>"BA774 10"</f>
        <v>BA774 10</v>
      </c>
      <c r="B707" t="str">
        <f>"COJINETES BANCADA 0,25 FORD TRANSIT 2,5 DIESEL 2401E"</f>
        <v>COJINETES BANCADA 0,25 FORD TRANSIT 2,5 DIESEL 2401E</v>
      </c>
      <c r="C707" t="str">
        <f>"$ 30314,26"</f>
        <v>$ 30314,26</v>
      </c>
      <c r="D707" t="str">
        <f>"$ 30314,26"</f>
        <v>$ 30314,26</v>
      </c>
      <c r="E707" t="str">
        <f>"$ 30314,26"</f>
        <v>$ 30314,26</v>
      </c>
      <c r="F707" t="str">
        <f>"$ 30314,26"</f>
        <v>$ 30314,26</v>
      </c>
      <c r="G707" t="str">
        <f>"$ 30314,26"</f>
        <v>$ 30314,26</v>
      </c>
      <c r="H707" t="str">
        <f t="shared" ref="H707:H770" si="485">"$ 0,00"</f>
        <v>$ 0,00</v>
      </c>
      <c r="I707" t="str">
        <f t="shared" si="473"/>
        <v>JUEGO COJINETES BANCADA</v>
      </c>
      <c r="J707" t="str">
        <f t="shared" ref="J707:J770" si="486">"1"</f>
        <v>1</v>
      </c>
      <c r="K707" t="str">
        <f t="shared" si="467"/>
        <v>0</v>
      </c>
      <c r="L707" t="str">
        <f>"0,000"</f>
        <v>0,000</v>
      </c>
      <c r="M707" t="str">
        <f t="shared" ref="M707:M770" si="487">" "</f>
        <v xml:space="preserve"> </v>
      </c>
      <c r="N707" t="str">
        <f t="shared" si="474"/>
        <v>MPSI</v>
      </c>
      <c r="O707" t="str">
        <f t="shared" si="475"/>
        <v>COJINETES</v>
      </c>
      <c r="P707" t="str">
        <f t="shared" si="483"/>
        <v>0</v>
      </c>
      <c r="Q707" t="str">
        <f t="shared" si="483"/>
        <v>0</v>
      </c>
      <c r="R707" t="str">
        <f t="shared" si="484"/>
        <v>0,00</v>
      </c>
      <c r="S707" t="str">
        <f t="shared" si="484"/>
        <v>0,00</v>
      </c>
      <c r="T707" t="str">
        <f t="shared" si="464"/>
        <v xml:space="preserve"> </v>
      </c>
      <c r="U707" t="str">
        <f t="shared" si="481"/>
        <v>-</v>
      </c>
      <c r="V707" t="str">
        <f>"0,000"</f>
        <v>0,000</v>
      </c>
      <c r="W707" t="str">
        <f t="shared" ref="W707:W770" si="488">"Lista 4"</f>
        <v>Lista 4</v>
      </c>
      <c r="X707" t="str">
        <f t="shared" ref="X707:X770" si="489">"Lista 5"</f>
        <v>Lista 5</v>
      </c>
      <c r="Y707" t="str">
        <f t="shared" ref="Y707:Y770" si="490">"Oferta Gral."</f>
        <v>Oferta Gral.</v>
      </c>
      <c r="Z707" t="str">
        <f t="shared" ref="Z707:Z770" si="491">"Rubro"</f>
        <v>Rubro</v>
      </c>
      <c r="AA707" t="str">
        <f t="shared" ref="AA707:AA770" si="492">"Cantidad por Bulto"</f>
        <v>Cantidad por Bulto</v>
      </c>
      <c r="AB707" t="str">
        <f t="shared" ref="AB707:AB770" si="493">"INNER"</f>
        <v>INNER</v>
      </c>
      <c r="AC707" t="str">
        <f t="shared" ref="AC707:AC770" si="494">"Stock en Bultos"</f>
        <v>Stock en Bultos</v>
      </c>
      <c r="AD707" t="str">
        <f t="shared" ref="AD707:AD770" si="495">"SubDepósito"</f>
        <v>SubDepósito</v>
      </c>
      <c r="AE707" t="str">
        <f t="shared" ref="AE707:AE770" si="496">"Marca"</f>
        <v>Marca</v>
      </c>
      <c r="AF707" t="str">
        <f t="shared" ref="AF707:AF770" si="497">"Super Rubro"</f>
        <v>Super Rubro</v>
      </c>
      <c r="AG707" t="str">
        <f t="shared" ref="AG707:AG770" si="498">"ComercioExterior"</f>
        <v>ComercioExterior</v>
      </c>
      <c r="AH707" t="str">
        <f t="shared" ref="AH707:AH770" si="499">"PrecioFOB"</f>
        <v>PrecioFOB</v>
      </c>
      <c r="AI707" t="str">
        <f t="shared" ref="AI707:AI770" si="500">"Monto II"</f>
        <v>Monto II</v>
      </c>
      <c r="AJ707" t="str">
        <f t="shared" ref="AJ707:AJ770" si="501">"Porcentaje II"</f>
        <v>Porcentaje II</v>
      </c>
      <c r="AK707" t="str">
        <f t="shared" ref="AK707:AK770" si="502">"Foto"</f>
        <v>Foto</v>
      </c>
      <c r="AL707" t="str">
        <f>"{\rtf1\ansi\ansicpg1252\deff0\deflang11274{\fonttbl{\f0\fnil\fcharset0 MS Sans Serif}} \viewkind4\uc1\pard\f0\fs16 COJINETES BANCADA 0,25 FORD TRANSIT 2,5 DIESEL 2401E\par } "</f>
        <v xml:space="preserve">{\rtf1\ansi\ansicpg1252\deff0\deflang11274{\fonttbl{\f0\fnil\fcharset0 MS Sans Serif}} \viewkind4\uc1\pard\f0\fs16 COJINETES BANCADA 0,25 FORD TRANSIT 2,5 DIESEL 2401E\par } </v>
      </c>
      <c r="AM707" t="str">
        <f t="shared" si="480"/>
        <v xml:space="preserve"> </v>
      </c>
    </row>
    <row r="708" spans="1:39" x14ac:dyDescent="0.25">
      <c r="A708" t="str">
        <f>"BA165211 10"</f>
        <v>BA165211 10</v>
      </c>
      <c r="B708" t="str">
        <f>"COJINETES BANCADA 0,25 FORD TRANSIT 2.4 MONDEO 2.2 TDCI"</f>
        <v>COJINETES BANCADA 0,25 FORD TRANSIT 2.4 MONDEO 2.2 TDCI</v>
      </c>
      <c r="C708" t="str">
        <f>"$ 33125,96"</f>
        <v>$ 33125,96</v>
      </c>
      <c r="D708" t="str">
        <f>"$ 33125,96"</f>
        <v>$ 33125,96</v>
      </c>
      <c r="E708" t="str">
        <f>"$ 33125,96"</f>
        <v>$ 33125,96</v>
      </c>
      <c r="F708" t="str">
        <f>"$ 33125,96"</f>
        <v>$ 33125,96</v>
      </c>
      <c r="G708" t="str">
        <f>"$ 33125,96"</f>
        <v>$ 33125,96</v>
      </c>
      <c r="H708" t="str">
        <f t="shared" si="485"/>
        <v>$ 0,00</v>
      </c>
      <c r="I708" t="str">
        <f t="shared" si="473"/>
        <v>JUEGO COJINETES BANCADA</v>
      </c>
      <c r="J708" t="str">
        <f t="shared" si="486"/>
        <v>1</v>
      </c>
      <c r="K708" t="str">
        <f t="shared" si="467"/>
        <v>0</v>
      </c>
      <c r="L708" t="str">
        <f>"4,000"</f>
        <v>4,000</v>
      </c>
      <c r="M708" t="str">
        <f t="shared" si="487"/>
        <v xml:space="preserve"> </v>
      </c>
      <c r="N708" t="str">
        <f t="shared" si="474"/>
        <v>MPSI</v>
      </c>
      <c r="O708" t="str">
        <f t="shared" si="475"/>
        <v>COJINETES</v>
      </c>
      <c r="P708" t="str">
        <f t="shared" si="483"/>
        <v>0</v>
      </c>
      <c r="Q708" t="str">
        <f t="shared" si="483"/>
        <v>0</v>
      </c>
      <c r="R708" t="str">
        <f t="shared" si="484"/>
        <v>0,00</v>
      </c>
      <c r="S708" t="str">
        <f t="shared" si="484"/>
        <v>0,00</v>
      </c>
      <c r="T708" t="str">
        <f t="shared" si="464"/>
        <v xml:space="preserve"> </v>
      </c>
      <c r="U708" t="str">
        <f t="shared" si="481"/>
        <v>-</v>
      </c>
      <c r="V708" t="str">
        <f>"4,000"</f>
        <v>4,000</v>
      </c>
      <c r="W708" t="str">
        <f t="shared" si="488"/>
        <v>Lista 4</v>
      </c>
      <c r="X708" t="str">
        <f t="shared" si="489"/>
        <v>Lista 5</v>
      </c>
      <c r="Y708" t="str">
        <f t="shared" si="490"/>
        <v>Oferta Gral.</v>
      </c>
      <c r="Z708" t="str">
        <f t="shared" si="491"/>
        <v>Rubro</v>
      </c>
      <c r="AA708" t="str">
        <f t="shared" si="492"/>
        <v>Cantidad por Bulto</v>
      </c>
      <c r="AB708" t="str">
        <f t="shared" si="493"/>
        <v>INNER</v>
      </c>
      <c r="AC708" t="str">
        <f t="shared" si="494"/>
        <v>Stock en Bultos</v>
      </c>
      <c r="AD708" t="str">
        <f t="shared" si="495"/>
        <v>SubDepósito</v>
      </c>
      <c r="AE708" t="str">
        <f t="shared" si="496"/>
        <v>Marca</v>
      </c>
      <c r="AF708" t="str">
        <f t="shared" si="497"/>
        <v>Super Rubro</v>
      </c>
      <c r="AG708" t="str">
        <f t="shared" si="498"/>
        <v>ComercioExterior</v>
      </c>
      <c r="AH708" t="str">
        <f t="shared" si="499"/>
        <v>PrecioFOB</v>
      </c>
      <c r="AI708" t="str">
        <f t="shared" si="500"/>
        <v>Monto II</v>
      </c>
      <c r="AJ708" t="str">
        <f t="shared" si="501"/>
        <v>Porcentaje II</v>
      </c>
      <c r="AK708" t="str">
        <f t="shared" si="502"/>
        <v>Foto</v>
      </c>
      <c r="AL708" t="str">
        <f t="shared" ref="AL708:AL713" si="503">" "</f>
        <v xml:space="preserve"> </v>
      </c>
      <c r="AM708" t="str">
        <f t="shared" si="480"/>
        <v xml:space="preserve"> </v>
      </c>
    </row>
    <row r="709" spans="1:39" x14ac:dyDescent="0.25">
      <c r="A709" t="str">
        <f>"BA538 10"</f>
        <v>BA538 10</v>
      </c>
      <c r="B709" t="str">
        <f>"COJINETES BANCADA 0,25 HONDA 1600 MOTOR D16A1 D16A6 D16Y7 D16Y8"</f>
        <v>COJINETES BANCADA 0,25 HONDA 1600 MOTOR D16A1 D16A6 D16Y7 D16Y8</v>
      </c>
      <c r="C709" t="str">
        <f>"$ 22195,70"</f>
        <v>$ 22195,70</v>
      </c>
      <c r="D709" t="str">
        <f>"$ 22195,70"</f>
        <v>$ 22195,70</v>
      </c>
      <c r="E709" t="str">
        <f>"$ 22195,70"</f>
        <v>$ 22195,70</v>
      </c>
      <c r="F709" t="str">
        <f>"$ 22195,70"</f>
        <v>$ 22195,70</v>
      </c>
      <c r="G709" t="str">
        <f>"$ 22195,70"</f>
        <v>$ 22195,70</v>
      </c>
      <c r="H709" t="str">
        <f t="shared" si="485"/>
        <v>$ 0,00</v>
      </c>
      <c r="I709" t="str">
        <f t="shared" si="473"/>
        <v>JUEGO COJINETES BANCADA</v>
      </c>
      <c r="J709" t="str">
        <f t="shared" si="486"/>
        <v>1</v>
      </c>
      <c r="K709" t="str">
        <f t="shared" si="467"/>
        <v>0</v>
      </c>
      <c r="L709" t="str">
        <f>"2,000"</f>
        <v>2,000</v>
      </c>
      <c r="M709" t="str">
        <f t="shared" si="487"/>
        <v xml:space="preserve"> </v>
      </c>
      <c r="N709" t="str">
        <f t="shared" si="474"/>
        <v>MPSI</v>
      </c>
      <c r="O709" t="str">
        <f t="shared" si="475"/>
        <v>COJINETES</v>
      </c>
      <c r="P709" t="str">
        <f t="shared" si="483"/>
        <v>0</v>
      </c>
      <c r="Q709" t="str">
        <f t="shared" si="483"/>
        <v>0</v>
      </c>
      <c r="R709" t="str">
        <f t="shared" si="484"/>
        <v>0,00</v>
      </c>
      <c r="S709" t="str">
        <f t="shared" si="484"/>
        <v>0,00</v>
      </c>
      <c r="T709" t="str">
        <f t="shared" si="464"/>
        <v xml:space="preserve"> </v>
      </c>
      <c r="U709" t="str">
        <f t="shared" si="481"/>
        <v>-</v>
      </c>
      <c r="V709" t="str">
        <f>"2,000"</f>
        <v>2,000</v>
      </c>
      <c r="W709" t="str">
        <f t="shared" si="488"/>
        <v>Lista 4</v>
      </c>
      <c r="X709" t="str">
        <f t="shared" si="489"/>
        <v>Lista 5</v>
      </c>
      <c r="Y709" t="str">
        <f t="shared" si="490"/>
        <v>Oferta Gral.</v>
      </c>
      <c r="Z709" t="str">
        <f t="shared" si="491"/>
        <v>Rubro</v>
      </c>
      <c r="AA709" t="str">
        <f t="shared" si="492"/>
        <v>Cantidad por Bulto</v>
      </c>
      <c r="AB709" t="str">
        <f t="shared" si="493"/>
        <v>INNER</v>
      </c>
      <c r="AC709" t="str">
        <f t="shared" si="494"/>
        <v>Stock en Bultos</v>
      </c>
      <c r="AD709" t="str">
        <f t="shared" si="495"/>
        <v>SubDepósito</v>
      </c>
      <c r="AE709" t="str">
        <f t="shared" si="496"/>
        <v>Marca</v>
      </c>
      <c r="AF709" t="str">
        <f t="shared" si="497"/>
        <v>Super Rubro</v>
      </c>
      <c r="AG709" t="str">
        <f t="shared" si="498"/>
        <v>ComercioExterior</v>
      </c>
      <c r="AH709" t="str">
        <f t="shared" si="499"/>
        <v>PrecioFOB</v>
      </c>
      <c r="AI709" t="str">
        <f t="shared" si="500"/>
        <v>Monto II</v>
      </c>
      <c r="AJ709" t="str">
        <f t="shared" si="501"/>
        <v>Porcentaje II</v>
      </c>
      <c r="AK709" t="str">
        <f t="shared" si="502"/>
        <v>Foto</v>
      </c>
      <c r="AL709" t="str">
        <f t="shared" si="503"/>
        <v xml:space="preserve"> </v>
      </c>
      <c r="AM709" t="str">
        <f t="shared" si="480"/>
        <v xml:space="preserve"> </v>
      </c>
    </row>
    <row r="710" spans="1:39" x14ac:dyDescent="0.25">
      <c r="A710" t="str">
        <f>"BA235 10"</f>
        <v>BA235 10</v>
      </c>
      <c r="B710" t="str">
        <f>"COJINETES BANCADA 0,25 IKA CONTINENTAL"</f>
        <v>COJINETES BANCADA 0,25 IKA CONTINENTAL</v>
      </c>
      <c r="C710" t="str">
        <f>"$ 47594,13"</f>
        <v>$ 47594,13</v>
      </c>
      <c r="D710" t="str">
        <f>"$ 47594,13"</f>
        <v>$ 47594,13</v>
      </c>
      <c r="E710" t="str">
        <f>"$ 47594,13"</f>
        <v>$ 47594,13</v>
      </c>
      <c r="F710" t="str">
        <f>"$ 47594,13"</f>
        <v>$ 47594,13</v>
      </c>
      <c r="G710" t="str">
        <f>"$ 47594,13"</f>
        <v>$ 47594,13</v>
      </c>
      <c r="H710" t="str">
        <f t="shared" si="485"/>
        <v>$ 0,00</v>
      </c>
      <c r="I710" t="str">
        <f t="shared" si="473"/>
        <v>JUEGO COJINETES BANCADA</v>
      </c>
      <c r="J710" t="str">
        <f t="shared" si="486"/>
        <v>1</v>
      </c>
      <c r="K710" t="str">
        <f t="shared" si="467"/>
        <v>0</v>
      </c>
      <c r="L710" t="str">
        <f>"0,000"</f>
        <v>0,000</v>
      </c>
      <c r="M710" t="str">
        <f t="shared" si="487"/>
        <v xml:space="preserve"> </v>
      </c>
      <c r="N710" t="str">
        <f t="shared" si="474"/>
        <v>MPSI</v>
      </c>
      <c r="O710" t="str">
        <f t="shared" si="475"/>
        <v>COJINETES</v>
      </c>
      <c r="P710" t="str">
        <f t="shared" si="483"/>
        <v>0</v>
      </c>
      <c r="Q710" t="str">
        <f t="shared" si="483"/>
        <v>0</v>
      </c>
      <c r="R710" t="str">
        <f t="shared" si="484"/>
        <v>0,00</v>
      </c>
      <c r="S710" t="str">
        <f t="shared" si="484"/>
        <v>0,00</v>
      </c>
      <c r="T710" t="str">
        <f t="shared" si="464"/>
        <v xml:space="preserve"> </v>
      </c>
      <c r="U710" t="str">
        <f t="shared" si="481"/>
        <v>-</v>
      </c>
      <c r="V710" t="str">
        <f>"0,000"</f>
        <v>0,000</v>
      </c>
      <c r="W710" t="str">
        <f t="shared" si="488"/>
        <v>Lista 4</v>
      </c>
      <c r="X710" t="str">
        <f t="shared" si="489"/>
        <v>Lista 5</v>
      </c>
      <c r="Y710" t="str">
        <f t="shared" si="490"/>
        <v>Oferta Gral.</v>
      </c>
      <c r="Z710" t="str">
        <f t="shared" si="491"/>
        <v>Rubro</v>
      </c>
      <c r="AA710" t="str">
        <f t="shared" si="492"/>
        <v>Cantidad por Bulto</v>
      </c>
      <c r="AB710" t="str">
        <f t="shared" si="493"/>
        <v>INNER</v>
      </c>
      <c r="AC710" t="str">
        <f t="shared" si="494"/>
        <v>Stock en Bultos</v>
      </c>
      <c r="AD710" t="str">
        <f t="shared" si="495"/>
        <v>SubDepósito</v>
      </c>
      <c r="AE710" t="str">
        <f t="shared" si="496"/>
        <v>Marca</v>
      </c>
      <c r="AF710" t="str">
        <f t="shared" si="497"/>
        <v>Super Rubro</v>
      </c>
      <c r="AG710" t="str">
        <f t="shared" si="498"/>
        <v>ComercioExterior</v>
      </c>
      <c r="AH710" t="str">
        <f t="shared" si="499"/>
        <v>PrecioFOB</v>
      </c>
      <c r="AI710" t="str">
        <f t="shared" si="500"/>
        <v>Monto II</v>
      </c>
      <c r="AJ710" t="str">
        <f t="shared" si="501"/>
        <v>Porcentaje II</v>
      </c>
      <c r="AK710" t="str">
        <f t="shared" si="502"/>
        <v>Foto</v>
      </c>
      <c r="AL710" t="str">
        <f t="shared" si="503"/>
        <v xml:space="preserve"> </v>
      </c>
      <c r="AM710" t="str">
        <f t="shared" si="480"/>
        <v xml:space="preserve"> </v>
      </c>
    </row>
    <row r="711" spans="1:39" x14ac:dyDescent="0.25">
      <c r="A711" t="str">
        <f>"BA885 10"</f>
        <v>BA885 10</v>
      </c>
      <c r="B711" t="str">
        <f>"COJINETES BANCADA 0,25 IVECO DAILY 2.5 2.8"</f>
        <v>COJINETES BANCADA 0,25 IVECO DAILY 2.5 2.8</v>
      </c>
      <c r="C711" t="str">
        <f>"$ 78349,88"</f>
        <v>$ 78349,88</v>
      </c>
      <c r="D711" t="str">
        <f>"$ 78349,88"</f>
        <v>$ 78349,88</v>
      </c>
      <c r="E711" t="str">
        <f>"$ 78349,88"</f>
        <v>$ 78349,88</v>
      </c>
      <c r="F711" t="str">
        <f>"$ 78349,88"</f>
        <v>$ 78349,88</v>
      </c>
      <c r="G711" t="str">
        <f>"$ 78349,88"</f>
        <v>$ 78349,88</v>
      </c>
      <c r="H711" t="str">
        <f t="shared" si="485"/>
        <v>$ 0,00</v>
      </c>
      <c r="I711" t="str">
        <f t="shared" si="473"/>
        <v>JUEGO COJINETES BANCADA</v>
      </c>
      <c r="J711" t="str">
        <f t="shared" si="486"/>
        <v>1</v>
      </c>
      <c r="K711" t="str">
        <f t="shared" si="467"/>
        <v>0</v>
      </c>
      <c r="L711" t="str">
        <f>"7,000"</f>
        <v>7,000</v>
      </c>
      <c r="M711" t="str">
        <f t="shared" si="487"/>
        <v xml:space="preserve"> </v>
      </c>
      <c r="N711" t="str">
        <f t="shared" si="474"/>
        <v>MPSI</v>
      </c>
      <c r="O711" t="str">
        <f t="shared" si="475"/>
        <v>COJINETES</v>
      </c>
      <c r="P711" t="str">
        <f t="shared" si="483"/>
        <v>0</v>
      </c>
      <c r="Q711" t="str">
        <f t="shared" si="483"/>
        <v>0</v>
      </c>
      <c r="R711" t="str">
        <f t="shared" si="484"/>
        <v>0,00</v>
      </c>
      <c r="S711" t="str">
        <f t="shared" si="484"/>
        <v>0,00</v>
      </c>
      <c r="T711" t="str">
        <f t="shared" si="464"/>
        <v xml:space="preserve"> </v>
      </c>
      <c r="U711" t="str">
        <f t="shared" si="481"/>
        <v>-</v>
      </c>
      <c r="V711" t="str">
        <f>"7,000"</f>
        <v>7,000</v>
      </c>
      <c r="W711" t="str">
        <f t="shared" si="488"/>
        <v>Lista 4</v>
      </c>
      <c r="X711" t="str">
        <f t="shared" si="489"/>
        <v>Lista 5</v>
      </c>
      <c r="Y711" t="str">
        <f t="shared" si="490"/>
        <v>Oferta Gral.</v>
      </c>
      <c r="Z711" t="str">
        <f t="shared" si="491"/>
        <v>Rubro</v>
      </c>
      <c r="AA711" t="str">
        <f t="shared" si="492"/>
        <v>Cantidad por Bulto</v>
      </c>
      <c r="AB711" t="str">
        <f t="shared" si="493"/>
        <v>INNER</v>
      </c>
      <c r="AC711" t="str">
        <f t="shared" si="494"/>
        <v>Stock en Bultos</v>
      </c>
      <c r="AD711" t="str">
        <f t="shared" si="495"/>
        <v>SubDepósito</v>
      </c>
      <c r="AE711" t="str">
        <f t="shared" si="496"/>
        <v>Marca</v>
      </c>
      <c r="AF711" t="str">
        <f t="shared" si="497"/>
        <v>Super Rubro</v>
      </c>
      <c r="AG711" t="str">
        <f t="shared" si="498"/>
        <v>ComercioExterior</v>
      </c>
      <c r="AH711" t="str">
        <f t="shared" si="499"/>
        <v>PrecioFOB</v>
      </c>
      <c r="AI711" t="str">
        <f t="shared" si="500"/>
        <v>Monto II</v>
      </c>
      <c r="AJ711" t="str">
        <f t="shared" si="501"/>
        <v>Porcentaje II</v>
      </c>
      <c r="AK711" t="str">
        <f t="shared" si="502"/>
        <v>Foto</v>
      </c>
      <c r="AL711" t="str">
        <f t="shared" si="503"/>
        <v xml:space="preserve"> </v>
      </c>
      <c r="AM711" t="str">
        <f t="shared" si="480"/>
        <v xml:space="preserve"> </v>
      </c>
    </row>
    <row r="712" spans="1:39" x14ac:dyDescent="0.25">
      <c r="A712" t="str">
        <f>"BA844 10"</f>
        <v>BA844 10</v>
      </c>
      <c r="B712" t="str">
        <f>"COJINETES BANCADA 0,25 MAXION 2.5 SPRINTER FORD F100 CHEVROLET S10"</f>
        <v>COJINETES BANCADA 0,25 MAXION 2.5 SPRINTER FORD F100 CHEVROLET S10</v>
      </c>
      <c r="C712" t="str">
        <f>"$ 27003,52"</f>
        <v>$ 27003,52</v>
      </c>
      <c r="D712" t="str">
        <f>"$ 27003,52"</f>
        <v>$ 27003,52</v>
      </c>
      <c r="E712" t="str">
        <f>"$ 27003,52"</f>
        <v>$ 27003,52</v>
      </c>
      <c r="F712" t="str">
        <f>"$ 27003,52"</f>
        <v>$ 27003,52</v>
      </c>
      <c r="G712" t="str">
        <f>"$ 27003,52"</f>
        <v>$ 27003,52</v>
      </c>
      <c r="H712" t="str">
        <f t="shared" si="485"/>
        <v>$ 0,00</v>
      </c>
      <c r="I712" t="str">
        <f t="shared" si="473"/>
        <v>JUEGO COJINETES BANCADA</v>
      </c>
      <c r="J712" t="str">
        <f t="shared" si="486"/>
        <v>1</v>
      </c>
      <c r="K712" t="str">
        <f t="shared" si="467"/>
        <v>0</v>
      </c>
      <c r="L712" t="str">
        <f>"8,000"</f>
        <v>8,000</v>
      </c>
      <c r="M712" t="str">
        <f t="shared" si="487"/>
        <v xml:space="preserve"> </v>
      </c>
      <c r="N712" t="str">
        <f t="shared" si="474"/>
        <v>MPSI</v>
      </c>
      <c r="O712" t="str">
        <f t="shared" si="475"/>
        <v>COJINETES</v>
      </c>
      <c r="P712" t="str">
        <f t="shared" si="483"/>
        <v>0</v>
      </c>
      <c r="Q712" t="str">
        <f t="shared" si="483"/>
        <v>0</v>
      </c>
      <c r="R712" t="str">
        <f t="shared" si="484"/>
        <v>0,00</v>
      </c>
      <c r="S712" t="str">
        <f t="shared" si="484"/>
        <v>0,00</v>
      </c>
      <c r="T712" t="str">
        <f t="shared" si="464"/>
        <v xml:space="preserve"> </v>
      </c>
      <c r="U712" t="str">
        <f t="shared" si="481"/>
        <v>-</v>
      </c>
      <c r="V712" t="str">
        <f>"8,000"</f>
        <v>8,000</v>
      </c>
      <c r="W712" t="str">
        <f t="shared" si="488"/>
        <v>Lista 4</v>
      </c>
      <c r="X712" t="str">
        <f t="shared" si="489"/>
        <v>Lista 5</v>
      </c>
      <c r="Y712" t="str">
        <f t="shared" si="490"/>
        <v>Oferta Gral.</v>
      </c>
      <c r="Z712" t="str">
        <f t="shared" si="491"/>
        <v>Rubro</v>
      </c>
      <c r="AA712" t="str">
        <f t="shared" si="492"/>
        <v>Cantidad por Bulto</v>
      </c>
      <c r="AB712" t="str">
        <f t="shared" si="493"/>
        <v>INNER</v>
      </c>
      <c r="AC712" t="str">
        <f t="shared" si="494"/>
        <v>Stock en Bultos</v>
      </c>
      <c r="AD712" t="str">
        <f t="shared" si="495"/>
        <v>SubDepósito</v>
      </c>
      <c r="AE712" t="str">
        <f t="shared" si="496"/>
        <v>Marca</v>
      </c>
      <c r="AF712" t="str">
        <f t="shared" si="497"/>
        <v>Super Rubro</v>
      </c>
      <c r="AG712" t="str">
        <f t="shared" si="498"/>
        <v>ComercioExterior</v>
      </c>
      <c r="AH712" t="str">
        <f t="shared" si="499"/>
        <v>PrecioFOB</v>
      </c>
      <c r="AI712" t="str">
        <f t="shared" si="500"/>
        <v>Monto II</v>
      </c>
      <c r="AJ712" t="str">
        <f t="shared" si="501"/>
        <v>Porcentaje II</v>
      </c>
      <c r="AK712" t="str">
        <f t="shared" si="502"/>
        <v>Foto</v>
      </c>
      <c r="AL712" t="str">
        <f t="shared" si="503"/>
        <v xml:space="preserve"> </v>
      </c>
      <c r="AM712" t="str">
        <f t="shared" si="480"/>
        <v xml:space="preserve"> </v>
      </c>
    </row>
    <row r="713" spans="1:39" x14ac:dyDescent="0.25">
      <c r="A713" t="str">
        <f>"BA556 10"</f>
        <v>BA556 10</v>
      </c>
      <c r="B713" t="str">
        <f>"COJINETES BANCADA 0,25 MERCEDES SPRINTER OM611"</f>
        <v>COJINETES BANCADA 0,25 MERCEDES SPRINTER OM611</v>
      </c>
      <c r="C713" t="str">
        <f>"$ 22679,83"</f>
        <v>$ 22679,83</v>
      </c>
      <c r="D713" t="str">
        <f>"$ 22679,83"</f>
        <v>$ 22679,83</v>
      </c>
      <c r="E713" t="str">
        <f>"$ 22679,83"</f>
        <v>$ 22679,83</v>
      </c>
      <c r="F713" t="str">
        <f>"$ 22679,83"</f>
        <v>$ 22679,83</v>
      </c>
      <c r="G713" t="str">
        <f>"$ 22679,83"</f>
        <v>$ 22679,83</v>
      </c>
      <c r="H713" t="str">
        <f t="shared" si="485"/>
        <v>$ 0,00</v>
      </c>
      <c r="I713" t="str">
        <f t="shared" si="473"/>
        <v>JUEGO COJINETES BANCADA</v>
      </c>
      <c r="J713" t="str">
        <f t="shared" si="486"/>
        <v>1</v>
      </c>
      <c r="K713" t="str">
        <f t="shared" si="467"/>
        <v>0</v>
      </c>
      <c r="L713" t="str">
        <f>"7,000"</f>
        <v>7,000</v>
      </c>
      <c r="M713" t="str">
        <f t="shared" si="487"/>
        <v xml:space="preserve"> </v>
      </c>
      <c r="N713" t="str">
        <f t="shared" si="474"/>
        <v>MPSI</v>
      </c>
      <c r="O713" t="str">
        <f t="shared" si="475"/>
        <v>COJINETES</v>
      </c>
      <c r="P713" t="str">
        <f t="shared" si="483"/>
        <v>0</v>
      </c>
      <c r="Q713" t="str">
        <f t="shared" si="483"/>
        <v>0</v>
      </c>
      <c r="R713" t="str">
        <f t="shared" si="484"/>
        <v>0,00</v>
      </c>
      <c r="S713" t="str">
        <f t="shared" si="484"/>
        <v>0,00</v>
      </c>
      <c r="T713" t="str">
        <f t="shared" si="464"/>
        <v xml:space="preserve"> </v>
      </c>
      <c r="U713" t="str">
        <f t="shared" si="481"/>
        <v>-</v>
      </c>
      <c r="V713" t="str">
        <f>"7,000"</f>
        <v>7,000</v>
      </c>
      <c r="W713" t="str">
        <f t="shared" si="488"/>
        <v>Lista 4</v>
      </c>
      <c r="X713" t="str">
        <f t="shared" si="489"/>
        <v>Lista 5</v>
      </c>
      <c r="Y713" t="str">
        <f t="shared" si="490"/>
        <v>Oferta Gral.</v>
      </c>
      <c r="Z713" t="str">
        <f t="shared" si="491"/>
        <v>Rubro</v>
      </c>
      <c r="AA713" t="str">
        <f t="shared" si="492"/>
        <v>Cantidad por Bulto</v>
      </c>
      <c r="AB713" t="str">
        <f t="shared" si="493"/>
        <v>INNER</v>
      </c>
      <c r="AC713" t="str">
        <f t="shared" si="494"/>
        <v>Stock en Bultos</v>
      </c>
      <c r="AD713" t="str">
        <f t="shared" si="495"/>
        <v>SubDepósito</v>
      </c>
      <c r="AE713" t="str">
        <f t="shared" si="496"/>
        <v>Marca</v>
      </c>
      <c r="AF713" t="str">
        <f t="shared" si="497"/>
        <v>Super Rubro</v>
      </c>
      <c r="AG713" t="str">
        <f t="shared" si="498"/>
        <v>ComercioExterior</v>
      </c>
      <c r="AH713" t="str">
        <f t="shared" si="499"/>
        <v>PrecioFOB</v>
      </c>
      <c r="AI713" t="str">
        <f t="shared" si="500"/>
        <v>Monto II</v>
      </c>
      <c r="AJ713" t="str">
        <f t="shared" si="501"/>
        <v>Porcentaje II</v>
      </c>
      <c r="AK713" t="str">
        <f t="shared" si="502"/>
        <v>Foto</v>
      </c>
      <c r="AL713" t="str">
        <f t="shared" si="503"/>
        <v xml:space="preserve"> </v>
      </c>
      <c r="AM713" t="str">
        <f t="shared" si="480"/>
        <v xml:space="preserve"> </v>
      </c>
    </row>
    <row r="714" spans="1:39" x14ac:dyDescent="0.25">
      <c r="A714" t="str">
        <f>"BA0465 10"</f>
        <v>BA0465 10</v>
      </c>
      <c r="B714" t="str">
        <f>"COJINETES BANCADA 0,25 MM RENAULT LAGUNA 2,0 16V MOTOR N7Q"</f>
        <v>COJINETES BANCADA 0,25 MM RENAULT LAGUNA 2,0 16V MOTOR N7Q</v>
      </c>
      <c r="C714" t="str">
        <f>"$ 90278,72"</f>
        <v>$ 90278,72</v>
      </c>
      <c r="D714" t="str">
        <f>"$ 90278,72"</f>
        <v>$ 90278,72</v>
      </c>
      <c r="E714" t="str">
        <f>"$ 90278,72"</f>
        <v>$ 90278,72</v>
      </c>
      <c r="F714" t="str">
        <f>"$ 90278,72"</f>
        <v>$ 90278,72</v>
      </c>
      <c r="G714" t="str">
        <f>"$ 90278,72"</f>
        <v>$ 90278,72</v>
      </c>
      <c r="H714" t="str">
        <f t="shared" si="485"/>
        <v>$ 0,00</v>
      </c>
      <c r="I714" t="str">
        <f t="shared" si="473"/>
        <v>JUEGO COJINETES BANCADA</v>
      </c>
      <c r="J714" t="str">
        <f t="shared" si="486"/>
        <v>1</v>
      </c>
      <c r="K714" t="str">
        <f t="shared" si="467"/>
        <v>0</v>
      </c>
      <c r="L714" t="str">
        <f>"1,000"</f>
        <v>1,000</v>
      </c>
      <c r="M714" t="str">
        <f t="shared" si="487"/>
        <v xml:space="preserve"> </v>
      </c>
      <c r="N714" t="str">
        <f t="shared" si="474"/>
        <v>MPSI</v>
      </c>
      <c r="O714" t="str">
        <f t="shared" si="475"/>
        <v>COJINETES</v>
      </c>
      <c r="P714" t="str">
        <f t="shared" si="483"/>
        <v>0</v>
      </c>
      <c r="Q714" t="str">
        <f t="shared" si="483"/>
        <v>0</v>
      </c>
      <c r="R714" t="str">
        <f t="shared" si="484"/>
        <v>0,00</v>
      </c>
      <c r="S714" t="str">
        <f t="shared" si="484"/>
        <v>0,00</v>
      </c>
      <c r="T714" t="str">
        <f t="shared" si="464"/>
        <v xml:space="preserve"> </v>
      </c>
      <c r="U714" t="str">
        <f>" "</f>
        <v xml:space="preserve"> </v>
      </c>
      <c r="V714" t="str">
        <f>"1,000"</f>
        <v>1,000</v>
      </c>
      <c r="W714" t="str">
        <f t="shared" si="488"/>
        <v>Lista 4</v>
      </c>
      <c r="X714" t="str">
        <f t="shared" si="489"/>
        <v>Lista 5</v>
      </c>
      <c r="Y714" t="str">
        <f t="shared" si="490"/>
        <v>Oferta Gral.</v>
      </c>
      <c r="Z714" t="str">
        <f t="shared" si="491"/>
        <v>Rubro</v>
      </c>
      <c r="AA714" t="str">
        <f t="shared" si="492"/>
        <v>Cantidad por Bulto</v>
      </c>
      <c r="AB714" t="str">
        <f t="shared" si="493"/>
        <v>INNER</v>
      </c>
      <c r="AC714" t="str">
        <f t="shared" si="494"/>
        <v>Stock en Bultos</v>
      </c>
      <c r="AD714" t="str">
        <f t="shared" si="495"/>
        <v>SubDepósito</v>
      </c>
      <c r="AE714" t="str">
        <f t="shared" si="496"/>
        <v>Marca</v>
      </c>
      <c r="AF714" t="str">
        <f t="shared" si="497"/>
        <v>Super Rubro</v>
      </c>
      <c r="AG714" t="str">
        <f t="shared" si="498"/>
        <v>ComercioExterior</v>
      </c>
      <c r="AH714" t="str">
        <f t="shared" si="499"/>
        <v>PrecioFOB</v>
      </c>
      <c r="AI714" t="str">
        <f t="shared" si="500"/>
        <v>Monto II</v>
      </c>
      <c r="AJ714" t="str">
        <f t="shared" si="501"/>
        <v>Porcentaje II</v>
      </c>
      <c r="AK714" t="str">
        <f t="shared" si="502"/>
        <v>Foto</v>
      </c>
      <c r="AL714" t="str">
        <f>"{\rtf1\ansi\ansicpg1252\deff0\deflang11274{\fonttbl{\f0\fnil\fcharset0 MS Sans Serif}} \viewkind4\uc1\pard\f0\fs16 COJINETES BANCADA 0,25 MM RENAULT LAGUNA 2,0 16V MOTOR N7Q\par } "</f>
        <v xml:space="preserve">{\rtf1\ansi\ansicpg1252\deff0\deflang11274{\fonttbl{\f0\fnil\fcharset0 MS Sans Serif}} \viewkind4\uc1\pard\f0\fs16 COJINETES BANCADA 0,25 MM RENAULT LAGUNA 2,0 16V MOTOR N7Q\par } </v>
      </c>
      <c r="AM714" t="str">
        <f>"-"</f>
        <v>-</v>
      </c>
    </row>
    <row r="715" spans="1:39" x14ac:dyDescent="0.25">
      <c r="A715" t="str">
        <f>"BA388 10"</f>
        <v>BA388 10</v>
      </c>
      <c r="B715" t="str">
        <f>"COJINETES BANCADA 0,25 PERKINS 6-305"</f>
        <v>COJINETES BANCADA 0,25 PERKINS 6-305</v>
      </c>
      <c r="C715" t="str">
        <f>"$ 42984,19"</f>
        <v>$ 42984,19</v>
      </c>
      <c r="D715" t="str">
        <f>"$ 42984,19"</f>
        <v>$ 42984,19</v>
      </c>
      <c r="E715" t="str">
        <f>"$ 42984,19"</f>
        <v>$ 42984,19</v>
      </c>
      <c r="F715" t="str">
        <f>"$ 42984,19"</f>
        <v>$ 42984,19</v>
      </c>
      <c r="G715" t="str">
        <f>"$ 42984,19"</f>
        <v>$ 42984,19</v>
      </c>
      <c r="H715" t="str">
        <f t="shared" si="485"/>
        <v>$ 0,00</v>
      </c>
      <c r="I715" t="str">
        <f t="shared" si="473"/>
        <v>JUEGO COJINETES BANCADA</v>
      </c>
      <c r="J715" t="str">
        <f t="shared" si="486"/>
        <v>1</v>
      </c>
      <c r="K715" t="str">
        <f t="shared" si="467"/>
        <v>0</v>
      </c>
      <c r="L715" t="str">
        <f>"5,000"</f>
        <v>5,000</v>
      </c>
      <c r="M715" t="str">
        <f t="shared" si="487"/>
        <v xml:space="preserve"> </v>
      </c>
      <c r="N715" t="str">
        <f t="shared" si="474"/>
        <v>MPSI</v>
      </c>
      <c r="O715" t="str">
        <f t="shared" si="475"/>
        <v>COJINETES</v>
      </c>
      <c r="P715" t="str">
        <f t="shared" si="483"/>
        <v>0</v>
      </c>
      <c r="Q715" t="str">
        <f t="shared" si="483"/>
        <v>0</v>
      </c>
      <c r="R715" t="str">
        <f t="shared" si="484"/>
        <v>0,00</v>
      </c>
      <c r="S715" t="str">
        <f t="shared" si="484"/>
        <v>0,00</v>
      </c>
      <c r="T715" t="str">
        <f t="shared" si="464"/>
        <v xml:space="preserve"> </v>
      </c>
      <c r="U715" t="str">
        <f t="shared" ref="U715:U740" si="504">"-"</f>
        <v>-</v>
      </c>
      <c r="V715" t="str">
        <f>"5,000"</f>
        <v>5,000</v>
      </c>
      <c r="W715" t="str">
        <f t="shared" si="488"/>
        <v>Lista 4</v>
      </c>
      <c r="X715" t="str">
        <f t="shared" si="489"/>
        <v>Lista 5</v>
      </c>
      <c r="Y715" t="str">
        <f t="shared" si="490"/>
        <v>Oferta Gral.</v>
      </c>
      <c r="Z715" t="str">
        <f t="shared" si="491"/>
        <v>Rubro</v>
      </c>
      <c r="AA715" t="str">
        <f t="shared" si="492"/>
        <v>Cantidad por Bulto</v>
      </c>
      <c r="AB715" t="str">
        <f t="shared" si="493"/>
        <v>INNER</v>
      </c>
      <c r="AC715" t="str">
        <f t="shared" si="494"/>
        <v>Stock en Bultos</v>
      </c>
      <c r="AD715" t="str">
        <f t="shared" si="495"/>
        <v>SubDepósito</v>
      </c>
      <c r="AE715" t="str">
        <f t="shared" si="496"/>
        <v>Marca</v>
      </c>
      <c r="AF715" t="str">
        <f t="shared" si="497"/>
        <v>Super Rubro</v>
      </c>
      <c r="AG715" t="str">
        <f t="shared" si="498"/>
        <v>ComercioExterior</v>
      </c>
      <c r="AH715" t="str">
        <f t="shared" si="499"/>
        <v>PrecioFOB</v>
      </c>
      <c r="AI715" t="str">
        <f t="shared" si="500"/>
        <v>Monto II</v>
      </c>
      <c r="AJ715" t="str">
        <f t="shared" si="501"/>
        <v>Porcentaje II</v>
      </c>
      <c r="AK715" t="str">
        <f t="shared" si="502"/>
        <v>Foto</v>
      </c>
      <c r="AL715" t="str">
        <f>"{\rtf1\ansi\ansicpg1252\deff0\deflang2058{\fonttbl{\f0\fnil\fcharset0 MS Sans Serif}} \viewkind4\uc1\pard\f0\fs16 COJINETES BANCADA 0,25 PERKINS 6-305\par } "</f>
        <v xml:space="preserve">{\rtf1\ansi\ansicpg1252\deff0\deflang2058{\fonttbl{\f0\fnil\fcharset0 MS Sans Serif}} \viewkind4\uc1\pard\f0\fs16 COJINETES BANCADA 0,25 PERKINS 6-305\par } </v>
      </c>
      <c r="AM715" t="str">
        <f t="shared" ref="AM715:AM740" si="505">" "</f>
        <v xml:space="preserve"> </v>
      </c>
    </row>
    <row r="716" spans="1:39" x14ac:dyDescent="0.25">
      <c r="A716" t="str">
        <f>"BA392 10"</f>
        <v>BA392 10</v>
      </c>
      <c r="B716" t="str">
        <f>"COJINETES BANCADA 0,25 PERKINS 6-354 FASE 2"</f>
        <v>COJINETES BANCADA 0,25 PERKINS 6-354 FASE 2</v>
      </c>
      <c r="C716" t="str">
        <f>"$ 58122,03"</f>
        <v>$ 58122,03</v>
      </c>
      <c r="D716" t="str">
        <f>"$ 58122,03"</f>
        <v>$ 58122,03</v>
      </c>
      <c r="E716" t="str">
        <f>"$ 58122,03"</f>
        <v>$ 58122,03</v>
      </c>
      <c r="F716" t="str">
        <f>"$ 58122,03"</f>
        <v>$ 58122,03</v>
      </c>
      <c r="G716" t="str">
        <f>"$ 58122,03"</f>
        <v>$ 58122,03</v>
      </c>
      <c r="H716" t="str">
        <f t="shared" si="485"/>
        <v>$ 0,00</v>
      </c>
      <c r="I716" t="str">
        <f t="shared" si="473"/>
        <v>JUEGO COJINETES BANCADA</v>
      </c>
      <c r="J716" t="str">
        <f t="shared" si="486"/>
        <v>1</v>
      </c>
      <c r="K716" t="str">
        <f t="shared" si="467"/>
        <v>0</v>
      </c>
      <c r="L716" t="str">
        <f>"3,000"</f>
        <v>3,000</v>
      </c>
      <c r="M716" t="str">
        <f t="shared" si="487"/>
        <v xml:space="preserve"> </v>
      </c>
      <c r="N716" t="str">
        <f t="shared" si="474"/>
        <v>MPSI</v>
      </c>
      <c r="O716" t="str">
        <f t="shared" si="475"/>
        <v>COJINETES</v>
      </c>
      <c r="P716" t="str">
        <f t="shared" si="483"/>
        <v>0</v>
      </c>
      <c r="Q716" t="str">
        <f t="shared" si="483"/>
        <v>0</v>
      </c>
      <c r="R716" t="str">
        <f t="shared" si="484"/>
        <v>0,00</v>
      </c>
      <c r="S716" t="str">
        <f t="shared" si="484"/>
        <v>0,00</v>
      </c>
      <c r="T716" t="str">
        <f t="shared" si="464"/>
        <v xml:space="preserve"> </v>
      </c>
      <c r="U716" t="str">
        <f t="shared" si="504"/>
        <v>-</v>
      </c>
      <c r="V716" t="str">
        <f>"3,000"</f>
        <v>3,000</v>
      </c>
      <c r="W716" t="str">
        <f t="shared" si="488"/>
        <v>Lista 4</v>
      </c>
      <c r="X716" t="str">
        <f t="shared" si="489"/>
        <v>Lista 5</v>
      </c>
      <c r="Y716" t="str">
        <f t="shared" si="490"/>
        <v>Oferta Gral.</v>
      </c>
      <c r="Z716" t="str">
        <f t="shared" si="491"/>
        <v>Rubro</v>
      </c>
      <c r="AA716" t="str">
        <f t="shared" si="492"/>
        <v>Cantidad por Bulto</v>
      </c>
      <c r="AB716" t="str">
        <f t="shared" si="493"/>
        <v>INNER</v>
      </c>
      <c r="AC716" t="str">
        <f t="shared" si="494"/>
        <v>Stock en Bultos</v>
      </c>
      <c r="AD716" t="str">
        <f t="shared" si="495"/>
        <v>SubDepósito</v>
      </c>
      <c r="AE716" t="str">
        <f t="shared" si="496"/>
        <v>Marca</v>
      </c>
      <c r="AF716" t="str">
        <f t="shared" si="497"/>
        <v>Super Rubro</v>
      </c>
      <c r="AG716" t="str">
        <f t="shared" si="498"/>
        <v>ComercioExterior</v>
      </c>
      <c r="AH716" t="str">
        <f t="shared" si="499"/>
        <v>PrecioFOB</v>
      </c>
      <c r="AI716" t="str">
        <f t="shared" si="500"/>
        <v>Monto II</v>
      </c>
      <c r="AJ716" t="str">
        <f t="shared" si="501"/>
        <v>Porcentaje II</v>
      </c>
      <c r="AK716" t="str">
        <f t="shared" si="502"/>
        <v>Foto</v>
      </c>
      <c r="AL716" t="str">
        <f>" "</f>
        <v xml:space="preserve"> </v>
      </c>
      <c r="AM716" t="str">
        <f t="shared" si="505"/>
        <v xml:space="preserve"> </v>
      </c>
    </row>
    <row r="717" spans="1:39" x14ac:dyDescent="0.25">
      <c r="A717" t="str">
        <f>"BA365035 10"</f>
        <v>BA365035 10</v>
      </c>
      <c r="B717" t="str">
        <f>"COJINETES BANCADA 0,25 PEUGEOT CITROEN 1.6 16V TURBO THP"</f>
        <v>COJINETES BANCADA 0,25 PEUGEOT CITROEN 1.6 16V TURBO THP</v>
      </c>
      <c r="C717" t="str">
        <f>"$ 18006,07"</f>
        <v>$ 18006,07</v>
      </c>
      <c r="D717" t="str">
        <f>"$ 18006,07"</f>
        <v>$ 18006,07</v>
      </c>
      <c r="E717" t="str">
        <f>"$ 18006,07"</f>
        <v>$ 18006,07</v>
      </c>
      <c r="F717" t="str">
        <f>"$ 18006,07"</f>
        <v>$ 18006,07</v>
      </c>
      <c r="G717" t="str">
        <f>"$ 18006,07"</f>
        <v>$ 18006,07</v>
      </c>
      <c r="H717" t="str">
        <f t="shared" si="485"/>
        <v>$ 0,00</v>
      </c>
      <c r="I717" t="str">
        <f t="shared" si="473"/>
        <v>JUEGO COJINETES BANCADA</v>
      </c>
      <c r="J717" t="str">
        <f t="shared" si="486"/>
        <v>1</v>
      </c>
      <c r="K717" t="str">
        <f t="shared" si="467"/>
        <v>0</v>
      </c>
      <c r="L717" t="str">
        <f>"5,000"</f>
        <v>5,000</v>
      </c>
      <c r="M717" t="str">
        <f t="shared" si="487"/>
        <v xml:space="preserve"> </v>
      </c>
      <c r="N717" t="str">
        <f t="shared" si="474"/>
        <v>MPSI</v>
      </c>
      <c r="O717" t="str">
        <f t="shared" si="475"/>
        <v>COJINETES</v>
      </c>
      <c r="P717" t="str">
        <f t="shared" si="483"/>
        <v>0</v>
      </c>
      <c r="Q717" t="str">
        <f t="shared" si="483"/>
        <v>0</v>
      </c>
      <c r="R717" t="str">
        <f t="shared" si="484"/>
        <v>0,00</v>
      </c>
      <c r="S717" t="str">
        <f t="shared" si="484"/>
        <v>0,00</v>
      </c>
      <c r="T717" t="str">
        <f t="shared" si="464"/>
        <v xml:space="preserve"> </v>
      </c>
      <c r="U717" t="str">
        <f t="shared" si="504"/>
        <v>-</v>
      </c>
      <c r="V717" t="str">
        <f>"5,000"</f>
        <v>5,000</v>
      </c>
      <c r="W717" t="str">
        <f t="shared" si="488"/>
        <v>Lista 4</v>
      </c>
      <c r="X717" t="str">
        <f t="shared" si="489"/>
        <v>Lista 5</v>
      </c>
      <c r="Y717" t="str">
        <f t="shared" si="490"/>
        <v>Oferta Gral.</v>
      </c>
      <c r="Z717" t="str">
        <f t="shared" si="491"/>
        <v>Rubro</v>
      </c>
      <c r="AA717" t="str">
        <f t="shared" si="492"/>
        <v>Cantidad por Bulto</v>
      </c>
      <c r="AB717" t="str">
        <f t="shared" si="493"/>
        <v>INNER</v>
      </c>
      <c r="AC717" t="str">
        <f t="shared" si="494"/>
        <v>Stock en Bultos</v>
      </c>
      <c r="AD717" t="str">
        <f t="shared" si="495"/>
        <v>SubDepósito</v>
      </c>
      <c r="AE717" t="str">
        <f t="shared" si="496"/>
        <v>Marca</v>
      </c>
      <c r="AF717" t="str">
        <f t="shared" si="497"/>
        <v>Super Rubro</v>
      </c>
      <c r="AG717" t="str">
        <f t="shared" si="498"/>
        <v>ComercioExterior</v>
      </c>
      <c r="AH717" t="str">
        <f t="shared" si="499"/>
        <v>PrecioFOB</v>
      </c>
      <c r="AI717" t="str">
        <f t="shared" si="500"/>
        <v>Monto II</v>
      </c>
      <c r="AJ717" t="str">
        <f t="shared" si="501"/>
        <v>Porcentaje II</v>
      </c>
      <c r="AK717" t="str">
        <f t="shared" si="502"/>
        <v>Foto</v>
      </c>
      <c r="AL717" t="str">
        <f>" "</f>
        <v xml:space="preserve"> </v>
      </c>
      <c r="AM717" t="str">
        <f t="shared" si="505"/>
        <v xml:space="preserve"> </v>
      </c>
    </row>
    <row r="718" spans="1:39" x14ac:dyDescent="0.25">
      <c r="A718" t="str">
        <f>"BA241 10"</f>
        <v>BA241 10</v>
      </c>
      <c r="B718" t="str">
        <f>"COJINETES BANCADA 0,25 RENAULT 18 FUEGO TRAFIC 2.0"</f>
        <v>COJINETES BANCADA 0,25 RENAULT 18 FUEGO TRAFIC 2.0</v>
      </c>
      <c r="C718" t="str">
        <f>"$ 23764,42"</f>
        <v>$ 23764,42</v>
      </c>
      <c r="D718" t="str">
        <f>"$ 23764,42"</f>
        <v>$ 23764,42</v>
      </c>
      <c r="E718" t="str">
        <f>"$ 23764,42"</f>
        <v>$ 23764,42</v>
      </c>
      <c r="F718" t="str">
        <f>"$ 23764,42"</f>
        <v>$ 23764,42</v>
      </c>
      <c r="G718" t="str">
        <f>"$ 23764,42"</f>
        <v>$ 23764,42</v>
      </c>
      <c r="H718" t="str">
        <f t="shared" si="485"/>
        <v>$ 0,00</v>
      </c>
      <c r="I718" t="str">
        <f t="shared" si="473"/>
        <v>JUEGO COJINETES BANCADA</v>
      </c>
      <c r="J718" t="str">
        <f t="shared" si="486"/>
        <v>1</v>
      </c>
      <c r="K718" t="str">
        <f t="shared" si="467"/>
        <v>0</v>
      </c>
      <c r="L718" t="str">
        <f>"15,000"</f>
        <v>15,000</v>
      </c>
      <c r="M718" t="str">
        <f t="shared" si="487"/>
        <v xml:space="preserve"> </v>
      </c>
      <c r="N718" t="str">
        <f t="shared" si="474"/>
        <v>MPSI</v>
      </c>
      <c r="O718" t="str">
        <f t="shared" si="475"/>
        <v>COJINETES</v>
      </c>
      <c r="P718" t="str">
        <f t="shared" si="483"/>
        <v>0</v>
      </c>
      <c r="Q718" t="str">
        <f t="shared" si="483"/>
        <v>0</v>
      </c>
      <c r="R718" t="str">
        <f t="shared" si="484"/>
        <v>0,00</v>
      </c>
      <c r="S718" t="str">
        <f t="shared" si="484"/>
        <v>0,00</v>
      </c>
      <c r="T718" t="str">
        <f t="shared" si="464"/>
        <v xml:space="preserve"> </v>
      </c>
      <c r="U718" t="str">
        <f t="shared" si="504"/>
        <v>-</v>
      </c>
      <c r="V718" t="str">
        <f>"15,000"</f>
        <v>15,000</v>
      </c>
      <c r="W718" t="str">
        <f t="shared" si="488"/>
        <v>Lista 4</v>
      </c>
      <c r="X718" t="str">
        <f t="shared" si="489"/>
        <v>Lista 5</v>
      </c>
      <c r="Y718" t="str">
        <f t="shared" si="490"/>
        <v>Oferta Gral.</v>
      </c>
      <c r="Z718" t="str">
        <f t="shared" si="491"/>
        <v>Rubro</v>
      </c>
      <c r="AA718" t="str">
        <f t="shared" si="492"/>
        <v>Cantidad por Bulto</v>
      </c>
      <c r="AB718" t="str">
        <f t="shared" si="493"/>
        <v>INNER</v>
      </c>
      <c r="AC718" t="str">
        <f t="shared" si="494"/>
        <v>Stock en Bultos</v>
      </c>
      <c r="AD718" t="str">
        <f t="shared" si="495"/>
        <v>SubDepósito</v>
      </c>
      <c r="AE718" t="str">
        <f t="shared" si="496"/>
        <v>Marca</v>
      </c>
      <c r="AF718" t="str">
        <f t="shared" si="497"/>
        <v>Super Rubro</v>
      </c>
      <c r="AG718" t="str">
        <f t="shared" si="498"/>
        <v>ComercioExterior</v>
      </c>
      <c r="AH718" t="str">
        <f t="shared" si="499"/>
        <v>PrecioFOB</v>
      </c>
      <c r="AI718" t="str">
        <f t="shared" si="500"/>
        <v>Monto II</v>
      </c>
      <c r="AJ718" t="str">
        <f t="shared" si="501"/>
        <v>Porcentaje II</v>
      </c>
      <c r="AK718" t="str">
        <f t="shared" si="502"/>
        <v>Foto</v>
      </c>
      <c r="AL718" t="str">
        <f>" "</f>
        <v xml:space="preserve"> </v>
      </c>
      <c r="AM718" t="str">
        <f t="shared" si="505"/>
        <v xml:space="preserve"> </v>
      </c>
    </row>
    <row r="719" spans="1:39" x14ac:dyDescent="0.25">
      <c r="A719" t="str">
        <f>"BA247 10"</f>
        <v>BA247 10</v>
      </c>
      <c r="B719" t="str">
        <f>"COJINETES BANCADA 0,25 RENAULT 19 CLIO 1.9 DIESEL F8Q  CON TRABA"</f>
        <v>COJINETES BANCADA 0,25 RENAULT 19 CLIO 1.9 DIESEL F8Q  CON TRABA</v>
      </c>
      <c r="C719" t="str">
        <f>"$ 18062,95"</f>
        <v>$ 18062,95</v>
      </c>
      <c r="D719" t="str">
        <f>"$ 18062,95"</f>
        <v>$ 18062,95</v>
      </c>
      <c r="E719" t="str">
        <f>"$ 18062,95"</f>
        <v>$ 18062,95</v>
      </c>
      <c r="F719" t="str">
        <f>"$ 18062,95"</f>
        <v>$ 18062,95</v>
      </c>
      <c r="G719" t="str">
        <f>"$ 18062,95"</f>
        <v>$ 18062,95</v>
      </c>
      <c r="H719" t="str">
        <f t="shared" si="485"/>
        <v>$ 0,00</v>
      </c>
      <c r="I719" t="str">
        <f t="shared" si="473"/>
        <v>JUEGO COJINETES BANCADA</v>
      </c>
      <c r="J719" t="str">
        <f t="shared" si="486"/>
        <v>1</v>
      </c>
      <c r="K719" t="str">
        <f t="shared" si="467"/>
        <v>0</v>
      </c>
      <c r="L719" t="str">
        <f>"9,000"</f>
        <v>9,000</v>
      </c>
      <c r="M719" t="str">
        <f t="shared" si="487"/>
        <v xml:space="preserve"> </v>
      </c>
      <c r="N719" t="str">
        <f t="shared" si="474"/>
        <v>MPSI</v>
      </c>
      <c r="O719" t="str">
        <f t="shared" si="475"/>
        <v>COJINETES</v>
      </c>
      <c r="P719" t="str">
        <f t="shared" si="483"/>
        <v>0</v>
      </c>
      <c r="Q719" t="str">
        <f t="shared" si="483"/>
        <v>0</v>
      </c>
      <c r="R719" t="str">
        <f t="shared" si="484"/>
        <v>0,00</v>
      </c>
      <c r="S719" t="str">
        <f t="shared" si="484"/>
        <v>0,00</v>
      </c>
      <c r="T719" t="str">
        <f t="shared" si="464"/>
        <v xml:space="preserve"> </v>
      </c>
      <c r="U719" t="str">
        <f t="shared" si="504"/>
        <v>-</v>
      </c>
      <c r="V719" t="str">
        <f>"9,000"</f>
        <v>9,000</v>
      </c>
      <c r="W719" t="str">
        <f t="shared" si="488"/>
        <v>Lista 4</v>
      </c>
      <c r="X719" t="str">
        <f t="shared" si="489"/>
        <v>Lista 5</v>
      </c>
      <c r="Y719" t="str">
        <f t="shared" si="490"/>
        <v>Oferta Gral.</v>
      </c>
      <c r="Z719" t="str">
        <f t="shared" si="491"/>
        <v>Rubro</v>
      </c>
      <c r="AA719" t="str">
        <f t="shared" si="492"/>
        <v>Cantidad por Bulto</v>
      </c>
      <c r="AB719" t="str">
        <f t="shared" si="493"/>
        <v>INNER</v>
      </c>
      <c r="AC719" t="str">
        <f t="shared" si="494"/>
        <v>Stock en Bultos</v>
      </c>
      <c r="AD719" t="str">
        <f t="shared" si="495"/>
        <v>SubDepósito</v>
      </c>
      <c r="AE719" t="str">
        <f t="shared" si="496"/>
        <v>Marca</v>
      </c>
      <c r="AF719" t="str">
        <f t="shared" si="497"/>
        <v>Super Rubro</v>
      </c>
      <c r="AG719" t="str">
        <f t="shared" si="498"/>
        <v>ComercioExterior</v>
      </c>
      <c r="AH719" t="str">
        <f t="shared" si="499"/>
        <v>PrecioFOB</v>
      </c>
      <c r="AI719" t="str">
        <f t="shared" si="500"/>
        <v>Monto II</v>
      </c>
      <c r="AJ719" t="str">
        <f t="shared" si="501"/>
        <v>Porcentaje II</v>
      </c>
      <c r="AK719" t="str">
        <f t="shared" si="502"/>
        <v>Foto</v>
      </c>
      <c r="AL719" t="str">
        <f>" "</f>
        <v xml:space="preserve"> </v>
      </c>
      <c r="AM719" t="str">
        <f t="shared" si="505"/>
        <v xml:space="preserve"> </v>
      </c>
    </row>
    <row r="720" spans="1:39" x14ac:dyDescent="0.25">
      <c r="A720" t="str">
        <f>"BA244 10"</f>
        <v>BA244 10</v>
      </c>
      <c r="B720" t="str">
        <f>"COJINETES BANCADA 0,25 RENAULT 19 KANGOO 1.9 DIESEL F8Q  SIN TRABA"</f>
        <v>COJINETES BANCADA 0,25 RENAULT 19 KANGOO 1.9 DIESEL F8Q  SIN TRABA</v>
      </c>
      <c r="C720" t="str">
        <f>"$ 17782,00"</f>
        <v>$ 17782,00</v>
      </c>
      <c r="D720" t="str">
        <f>"$ 17782,00"</f>
        <v>$ 17782,00</v>
      </c>
      <c r="E720" t="str">
        <f>"$ 17782,00"</f>
        <v>$ 17782,00</v>
      </c>
      <c r="F720" t="str">
        <f>"$ 17782,00"</f>
        <v>$ 17782,00</v>
      </c>
      <c r="G720" t="str">
        <f>"$ 17782,00"</f>
        <v>$ 17782,00</v>
      </c>
      <c r="H720" t="str">
        <f t="shared" si="485"/>
        <v>$ 0,00</v>
      </c>
      <c r="I720" t="str">
        <f t="shared" si="473"/>
        <v>JUEGO COJINETES BANCADA</v>
      </c>
      <c r="J720" t="str">
        <f t="shared" si="486"/>
        <v>1</v>
      </c>
      <c r="K720" t="str">
        <f t="shared" si="467"/>
        <v>0</v>
      </c>
      <c r="L720" t="str">
        <f>"13,000"</f>
        <v>13,000</v>
      </c>
      <c r="M720" t="str">
        <f t="shared" si="487"/>
        <v xml:space="preserve"> </v>
      </c>
      <c r="N720" t="str">
        <f t="shared" si="474"/>
        <v>MPSI</v>
      </c>
      <c r="O720" t="str">
        <f t="shared" si="475"/>
        <v>COJINETES</v>
      </c>
      <c r="P720" t="str">
        <f t="shared" si="483"/>
        <v>0</v>
      </c>
      <c r="Q720" t="str">
        <f t="shared" si="483"/>
        <v>0</v>
      </c>
      <c r="R720" t="str">
        <f t="shared" si="484"/>
        <v>0,00</v>
      </c>
      <c r="S720" t="str">
        <f t="shared" si="484"/>
        <v>0,00</v>
      </c>
      <c r="T720" t="str">
        <f t="shared" si="464"/>
        <v xml:space="preserve"> </v>
      </c>
      <c r="U720" t="str">
        <f t="shared" si="504"/>
        <v>-</v>
      </c>
      <c r="V720" t="str">
        <f>"13,000"</f>
        <v>13,000</v>
      </c>
      <c r="W720" t="str">
        <f t="shared" si="488"/>
        <v>Lista 4</v>
      </c>
      <c r="X720" t="str">
        <f t="shared" si="489"/>
        <v>Lista 5</v>
      </c>
      <c r="Y720" t="str">
        <f t="shared" si="490"/>
        <v>Oferta Gral.</v>
      </c>
      <c r="Z720" t="str">
        <f t="shared" si="491"/>
        <v>Rubro</v>
      </c>
      <c r="AA720" t="str">
        <f t="shared" si="492"/>
        <v>Cantidad por Bulto</v>
      </c>
      <c r="AB720" t="str">
        <f t="shared" si="493"/>
        <v>INNER</v>
      </c>
      <c r="AC720" t="str">
        <f t="shared" si="494"/>
        <v>Stock en Bultos</v>
      </c>
      <c r="AD720" t="str">
        <f t="shared" si="495"/>
        <v>SubDepósito</v>
      </c>
      <c r="AE720" t="str">
        <f t="shared" si="496"/>
        <v>Marca</v>
      </c>
      <c r="AF720" t="str">
        <f t="shared" si="497"/>
        <v>Super Rubro</v>
      </c>
      <c r="AG720" t="str">
        <f t="shared" si="498"/>
        <v>ComercioExterior</v>
      </c>
      <c r="AH720" t="str">
        <f t="shared" si="499"/>
        <v>PrecioFOB</v>
      </c>
      <c r="AI720" t="str">
        <f t="shared" si="500"/>
        <v>Monto II</v>
      </c>
      <c r="AJ720" t="str">
        <f t="shared" si="501"/>
        <v>Porcentaje II</v>
      </c>
      <c r="AK720" t="str">
        <f t="shared" si="502"/>
        <v>Foto</v>
      </c>
      <c r="AL720" t="str">
        <f>" "</f>
        <v xml:space="preserve"> </v>
      </c>
      <c r="AM720" t="str">
        <f t="shared" si="505"/>
        <v xml:space="preserve"> </v>
      </c>
    </row>
    <row r="721" spans="1:39" x14ac:dyDescent="0.25">
      <c r="A721" t="str">
        <f>"BA240 10"</f>
        <v>BA240 10</v>
      </c>
      <c r="B721" t="str">
        <f>"COJINETES BANCADA 0,25 RENAULT 9 11 12 18 19 CLIO 1.3 1.4 1.6 8V"</f>
        <v>COJINETES BANCADA 0,25 RENAULT 9 11 12 18 19 CLIO 1.3 1.4 1.6 8V</v>
      </c>
      <c r="C721" t="str">
        <f>"$ 18690,93"</f>
        <v>$ 18690,93</v>
      </c>
      <c r="D721" t="str">
        <f>"$ 18690,93"</f>
        <v>$ 18690,93</v>
      </c>
      <c r="E721" t="str">
        <f>"$ 18690,93"</f>
        <v>$ 18690,93</v>
      </c>
      <c r="F721" t="str">
        <f>"$ 18690,93"</f>
        <v>$ 18690,93</v>
      </c>
      <c r="G721" t="str">
        <f>"$ 18690,93"</f>
        <v>$ 18690,93</v>
      </c>
      <c r="H721" t="str">
        <f t="shared" si="485"/>
        <v>$ 0,00</v>
      </c>
      <c r="I721" t="str">
        <f t="shared" si="473"/>
        <v>JUEGO COJINETES BANCADA</v>
      </c>
      <c r="J721" t="str">
        <f t="shared" si="486"/>
        <v>1</v>
      </c>
      <c r="K721" t="str">
        <f t="shared" si="467"/>
        <v>0</v>
      </c>
      <c r="L721" t="str">
        <f>"28,000"</f>
        <v>28,000</v>
      </c>
      <c r="M721" t="str">
        <f t="shared" si="487"/>
        <v xml:space="preserve"> </v>
      </c>
      <c r="N721" t="str">
        <f t="shared" si="474"/>
        <v>MPSI</v>
      </c>
      <c r="O721" t="str">
        <f t="shared" si="475"/>
        <v>COJINETES</v>
      </c>
      <c r="P721" t="str">
        <f t="shared" si="483"/>
        <v>0</v>
      </c>
      <c r="Q721" t="str">
        <f t="shared" si="483"/>
        <v>0</v>
      </c>
      <c r="R721" t="str">
        <f t="shared" si="484"/>
        <v>0,00</v>
      </c>
      <c r="S721" t="str">
        <f t="shared" si="484"/>
        <v>0,00</v>
      </c>
      <c r="T721" t="str">
        <f t="shared" ref="T721:T784" si="506">" "</f>
        <v xml:space="preserve"> </v>
      </c>
      <c r="U721" t="str">
        <f t="shared" si="504"/>
        <v>-</v>
      </c>
      <c r="V721" t="str">
        <f>"28,000"</f>
        <v>28,000</v>
      </c>
      <c r="W721" t="str">
        <f t="shared" si="488"/>
        <v>Lista 4</v>
      </c>
      <c r="X721" t="str">
        <f t="shared" si="489"/>
        <v>Lista 5</v>
      </c>
      <c r="Y721" t="str">
        <f t="shared" si="490"/>
        <v>Oferta Gral.</v>
      </c>
      <c r="Z721" t="str">
        <f t="shared" si="491"/>
        <v>Rubro</v>
      </c>
      <c r="AA721" t="str">
        <f t="shared" si="492"/>
        <v>Cantidad por Bulto</v>
      </c>
      <c r="AB721" t="str">
        <f t="shared" si="493"/>
        <v>INNER</v>
      </c>
      <c r="AC721" t="str">
        <f t="shared" si="494"/>
        <v>Stock en Bultos</v>
      </c>
      <c r="AD721" t="str">
        <f t="shared" si="495"/>
        <v>SubDepósito</v>
      </c>
      <c r="AE721" t="str">
        <f t="shared" si="496"/>
        <v>Marca</v>
      </c>
      <c r="AF721" t="str">
        <f t="shared" si="497"/>
        <v>Super Rubro</v>
      </c>
      <c r="AG721" t="str">
        <f t="shared" si="498"/>
        <v>ComercioExterior</v>
      </c>
      <c r="AH721" t="str">
        <f t="shared" si="499"/>
        <v>PrecioFOB</v>
      </c>
      <c r="AI721" t="str">
        <f t="shared" si="500"/>
        <v>Monto II</v>
      </c>
      <c r="AJ721" t="str">
        <f t="shared" si="501"/>
        <v>Porcentaje II</v>
      </c>
      <c r="AK721" t="str">
        <f t="shared" si="502"/>
        <v>Foto</v>
      </c>
      <c r="AL721" t="str">
        <f>"{\rtf1\ansi\ansicpg1252\deff0\deflang2058{\fonttbl{\f0\fnil\fcharset0 MS Sans Serif}} \viewkind4\uc1\pard\f0\fs16 COJINETES BANCADA 0,25 RENAULT 9 11 12 18 19 CLIO 1.3 1.4 1.6 8V\par } "</f>
        <v xml:space="preserve">{\rtf1\ansi\ansicpg1252\deff0\deflang2058{\fonttbl{\f0\fnil\fcharset0 MS Sans Serif}} \viewkind4\uc1\pard\f0\fs16 COJINETES BANCADA 0,25 RENAULT 9 11 12 18 19 CLIO 1.3 1.4 1.6 8V\par } </v>
      </c>
      <c r="AM721" t="str">
        <f t="shared" si="505"/>
        <v xml:space="preserve"> </v>
      </c>
    </row>
    <row r="722" spans="1:39" x14ac:dyDescent="0.25">
      <c r="A722" t="str">
        <f>"BA385101 10"</f>
        <v>BA385101 10</v>
      </c>
      <c r="B722" t="str">
        <f>"COJINETES BANCADA 0,25 RENAULT CAPTUR NISSAN VERSA 1.6 H4M CADENERO"</f>
        <v>COJINETES BANCADA 0,25 RENAULT CAPTUR NISSAN VERSA 1.6 H4M CADENERO</v>
      </c>
      <c r="C722" t="str">
        <f>"$ 15957,81"</f>
        <v>$ 15957,81</v>
      </c>
      <c r="D722" t="str">
        <f>"$ 15957,81"</f>
        <v>$ 15957,81</v>
      </c>
      <c r="E722" t="str">
        <f>"$ 15957,81"</f>
        <v>$ 15957,81</v>
      </c>
      <c r="F722" t="str">
        <f>"$ 15957,81"</f>
        <v>$ 15957,81</v>
      </c>
      <c r="G722" t="str">
        <f>"$ 15957,81"</f>
        <v>$ 15957,81</v>
      </c>
      <c r="H722" t="str">
        <f t="shared" si="485"/>
        <v>$ 0,00</v>
      </c>
      <c r="I722" t="str">
        <f t="shared" si="473"/>
        <v>JUEGO COJINETES BANCADA</v>
      </c>
      <c r="J722" t="str">
        <f t="shared" si="486"/>
        <v>1</v>
      </c>
      <c r="K722" t="str">
        <f t="shared" si="467"/>
        <v>0</v>
      </c>
      <c r="L722" t="str">
        <f>"7,000"</f>
        <v>7,000</v>
      </c>
      <c r="M722" t="str">
        <f t="shared" si="487"/>
        <v xml:space="preserve"> </v>
      </c>
      <c r="N722" t="str">
        <f t="shared" si="474"/>
        <v>MPSI</v>
      </c>
      <c r="O722" t="str">
        <f t="shared" si="475"/>
        <v>COJINETES</v>
      </c>
      <c r="P722" t="str">
        <f t="shared" si="483"/>
        <v>0</v>
      </c>
      <c r="Q722" t="str">
        <f t="shared" si="483"/>
        <v>0</v>
      </c>
      <c r="R722" t="str">
        <f t="shared" si="484"/>
        <v>0,00</v>
      </c>
      <c r="S722" t="str">
        <f t="shared" si="484"/>
        <v>0,00</v>
      </c>
      <c r="T722" t="str">
        <f t="shared" si="506"/>
        <v xml:space="preserve"> </v>
      </c>
      <c r="U722" t="str">
        <f t="shared" si="504"/>
        <v>-</v>
      </c>
      <c r="V722" t="str">
        <f>"7,000"</f>
        <v>7,000</v>
      </c>
      <c r="W722" t="str">
        <f t="shared" si="488"/>
        <v>Lista 4</v>
      </c>
      <c r="X722" t="str">
        <f t="shared" si="489"/>
        <v>Lista 5</v>
      </c>
      <c r="Y722" t="str">
        <f t="shared" si="490"/>
        <v>Oferta Gral.</v>
      </c>
      <c r="Z722" t="str">
        <f t="shared" si="491"/>
        <v>Rubro</v>
      </c>
      <c r="AA722" t="str">
        <f t="shared" si="492"/>
        <v>Cantidad por Bulto</v>
      </c>
      <c r="AB722" t="str">
        <f t="shared" si="493"/>
        <v>INNER</v>
      </c>
      <c r="AC722" t="str">
        <f t="shared" si="494"/>
        <v>Stock en Bultos</v>
      </c>
      <c r="AD722" t="str">
        <f t="shared" si="495"/>
        <v>SubDepósito</v>
      </c>
      <c r="AE722" t="str">
        <f t="shared" si="496"/>
        <v>Marca</v>
      </c>
      <c r="AF722" t="str">
        <f t="shared" si="497"/>
        <v>Super Rubro</v>
      </c>
      <c r="AG722" t="str">
        <f t="shared" si="498"/>
        <v>ComercioExterior</v>
      </c>
      <c r="AH722" t="str">
        <f t="shared" si="499"/>
        <v>PrecioFOB</v>
      </c>
      <c r="AI722" t="str">
        <f t="shared" si="500"/>
        <v>Monto II</v>
      </c>
      <c r="AJ722" t="str">
        <f t="shared" si="501"/>
        <v>Porcentaje II</v>
      </c>
      <c r="AK722" t="str">
        <f t="shared" si="502"/>
        <v>Foto</v>
      </c>
      <c r="AL722" t="str">
        <f>" "</f>
        <v xml:space="preserve"> </v>
      </c>
      <c r="AM722" t="str">
        <f t="shared" si="505"/>
        <v xml:space="preserve"> </v>
      </c>
    </row>
    <row r="723" spans="1:39" x14ac:dyDescent="0.25">
      <c r="A723" t="str">
        <f>"BA872 10"</f>
        <v>BA872 10</v>
      </c>
      <c r="B723" t="str">
        <f>"COJINETES BANCADA 0,25 RENAULT CLIO TWINGO 1.2  D4F D7F SIN TRABA"</f>
        <v>COJINETES BANCADA 0,25 RENAULT CLIO TWINGO 1.2  D4F D7F SIN TRABA</v>
      </c>
      <c r="C723" t="str">
        <f>"$ 22195,70"</f>
        <v>$ 22195,70</v>
      </c>
      <c r="D723" t="str">
        <f>"$ 22195,70"</f>
        <v>$ 22195,70</v>
      </c>
      <c r="E723" t="str">
        <f>"$ 22195,70"</f>
        <v>$ 22195,70</v>
      </c>
      <c r="F723" t="str">
        <f>"$ 22195,70"</f>
        <v>$ 22195,70</v>
      </c>
      <c r="G723" t="str">
        <f>"$ 22195,70"</f>
        <v>$ 22195,70</v>
      </c>
      <c r="H723" t="str">
        <f t="shared" si="485"/>
        <v>$ 0,00</v>
      </c>
      <c r="I723" t="str">
        <f t="shared" si="473"/>
        <v>JUEGO COJINETES BANCADA</v>
      </c>
      <c r="J723" t="str">
        <f t="shared" si="486"/>
        <v>1</v>
      </c>
      <c r="K723" t="str">
        <f t="shared" si="467"/>
        <v>0</v>
      </c>
      <c r="L723" t="str">
        <f>"9,000"</f>
        <v>9,000</v>
      </c>
      <c r="M723" t="str">
        <f t="shared" si="487"/>
        <v xml:space="preserve"> </v>
      </c>
      <c r="N723" t="str">
        <f t="shared" si="474"/>
        <v>MPSI</v>
      </c>
      <c r="O723" t="str">
        <f t="shared" si="475"/>
        <v>COJINETES</v>
      </c>
      <c r="P723" t="str">
        <f t="shared" ref="P723:Q742" si="507">"0"</f>
        <v>0</v>
      </c>
      <c r="Q723" t="str">
        <f t="shared" si="507"/>
        <v>0</v>
      </c>
      <c r="R723" t="str">
        <f t="shared" ref="R723:S742" si="508">"0,00"</f>
        <v>0,00</v>
      </c>
      <c r="S723" t="str">
        <f t="shared" si="508"/>
        <v>0,00</v>
      </c>
      <c r="T723" t="str">
        <f t="shared" si="506"/>
        <v xml:space="preserve"> </v>
      </c>
      <c r="U723" t="str">
        <f t="shared" si="504"/>
        <v>-</v>
      </c>
      <c r="V723" t="str">
        <f>"9,000"</f>
        <v>9,000</v>
      </c>
      <c r="W723" t="str">
        <f t="shared" si="488"/>
        <v>Lista 4</v>
      </c>
      <c r="X723" t="str">
        <f t="shared" si="489"/>
        <v>Lista 5</v>
      </c>
      <c r="Y723" t="str">
        <f t="shared" si="490"/>
        <v>Oferta Gral.</v>
      </c>
      <c r="Z723" t="str">
        <f t="shared" si="491"/>
        <v>Rubro</v>
      </c>
      <c r="AA723" t="str">
        <f t="shared" si="492"/>
        <v>Cantidad por Bulto</v>
      </c>
      <c r="AB723" t="str">
        <f t="shared" si="493"/>
        <v>INNER</v>
      </c>
      <c r="AC723" t="str">
        <f t="shared" si="494"/>
        <v>Stock en Bultos</v>
      </c>
      <c r="AD723" t="str">
        <f t="shared" si="495"/>
        <v>SubDepósito</v>
      </c>
      <c r="AE723" t="str">
        <f t="shared" si="496"/>
        <v>Marca</v>
      </c>
      <c r="AF723" t="str">
        <f t="shared" si="497"/>
        <v>Super Rubro</v>
      </c>
      <c r="AG723" t="str">
        <f t="shared" si="498"/>
        <v>ComercioExterior</v>
      </c>
      <c r="AH723" t="str">
        <f t="shared" si="499"/>
        <v>PrecioFOB</v>
      </c>
      <c r="AI723" t="str">
        <f t="shared" si="500"/>
        <v>Monto II</v>
      </c>
      <c r="AJ723" t="str">
        <f t="shared" si="501"/>
        <v>Porcentaje II</v>
      </c>
      <c r="AK723" t="str">
        <f t="shared" si="502"/>
        <v>Foto</v>
      </c>
      <c r="AL723" t="str">
        <f>" "</f>
        <v xml:space="preserve"> </v>
      </c>
      <c r="AM723" t="str">
        <f t="shared" si="505"/>
        <v xml:space="preserve"> </v>
      </c>
    </row>
    <row r="724" spans="1:39" x14ac:dyDescent="0.25">
      <c r="A724" t="str">
        <f>"BA871 10"</f>
        <v>BA871 10</v>
      </c>
      <c r="B724" t="str">
        <f>"COJINETES BANCADA 0,25 RENAULT CLIO TWINGO 1.2  D7F CON TRABA"</f>
        <v>COJINETES BANCADA 0,25 RENAULT CLIO TWINGO 1.2  D7F CON TRABA</v>
      </c>
      <c r="C724" t="str">
        <f>"$ 24057,75"</f>
        <v>$ 24057,75</v>
      </c>
      <c r="D724" t="str">
        <f>"$ 24057,75"</f>
        <v>$ 24057,75</v>
      </c>
      <c r="E724" t="str">
        <f>"$ 24057,75"</f>
        <v>$ 24057,75</v>
      </c>
      <c r="F724" t="str">
        <f>"$ 24057,75"</f>
        <v>$ 24057,75</v>
      </c>
      <c r="G724" t="str">
        <f>"$ 24057,75"</f>
        <v>$ 24057,75</v>
      </c>
      <c r="H724" t="str">
        <f t="shared" si="485"/>
        <v>$ 0,00</v>
      </c>
      <c r="I724" t="str">
        <f t="shared" si="473"/>
        <v>JUEGO COJINETES BANCADA</v>
      </c>
      <c r="J724" t="str">
        <f t="shared" si="486"/>
        <v>1</v>
      </c>
      <c r="K724" t="str">
        <f t="shared" si="467"/>
        <v>0</v>
      </c>
      <c r="L724" t="str">
        <f>"6,000"</f>
        <v>6,000</v>
      </c>
      <c r="M724" t="str">
        <f t="shared" si="487"/>
        <v xml:space="preserve"> </v>
      </c>
      <c r="N724" t="str">
        <f t="shared" si="474"/>
        <v>MPSI</v>
      </c>
      <c r="O724" t="str">
        <f t="shared" si="475"/>
        <v>COJINETES</v>
      </c>
      <c r="P724" t="str">
        <f t="shared" si="507"/>
        <v>0</v>
      </c>
      <c r="Q724" t="str">
        <f t="shared" si="507"/>
        <v>0</v>
      </c>
      <c r="R724" t="str">
        <f t="shared" si="508"/>
        <v>0,00</v>
      </c>
      <c r="S724" t="str">
        <f t="shared" si="508"/>
        <v>0,00</v>
      </c>
      <c r="T724" t="str">
        <f t="shared" si="506"/>
        <v xml:space="preserve"> </v>
      </c>
      <c r="U724" t="str">
        <f t="shared" si="504"/>
        <v>-</v>
      </c>
      <c r="V724" t="str">
        <f>"6,000"</f>
        <v>6,000</v>
      </c>
      <c r="W724" t="str">
        <f t="shared" si="488"/>
        <v>Lista 4</v>
      </c>
      <c r="X724" t="str">
        <f t="shared" si="489"/>
        <v>Lista 5</v>
      </c>
      <c r="Y724" t="str">
        <f t="shared" si="490"/>
        <v>Oferta Gral.</v>
      </c>
      <c r="Z724" t="str">
        <f t="shared" si="491"/>
        <v>Rubro</v>
      </c>
      <c r="AA724" t="str">
        <f t="shared" si="492"/>
        <v>Cantidad por Bulto</v>
      </c>
      <c r="AB724" t="str">
        <f t="shared" si="493"/>
        <v>INNER</v>
      </c>
      <c r="AC724" t="str">
        <f t="shared" si="494"/>
        <v>Stock en Bultos</v>
      </c>
      <c r="AD724" t="str">
        <f t="shared" si="495"/>
        <v>SubDepósito</v>
      </c>
      <c r="AE724" t="str">
        <f t="shared" si="496"/>
        <v>Marca</v>
      </c>
      <c r="AF724" t="str">
        <f t="shared" si="497"/>
        <v>Super Rubro</v>
      </c>
      <c r="AG724" t="str">
        <f t="shared" si="498"/>
        <v>ComercioExterior</v>
      </c>
      <c r="AH724" t="str">
        <f t="shared" si="499"/>
        <v>PrecioFOB</v>
      </c>
      <c r="AI724" t="str">
        <f t="shared" si="500"/>
        <v>Monto II</v>
      </c>
      <c r="AJ724" t="str">
        <f t="shared" si="501"/>
        <v>Porcentaje II</v>
      </c>
      <c r="AK724" t="str">
        <f t="shared" si="502"/>
        <v>Foto</v>
      </c>
      <c r="AL724" t="str">
        <f>" "</f>
        <v xml:space="preserve"> </v>
      </c>
      <c r="AM724" t="str">
        <f t="shared" si="505"/>
        <v xml:space="preserve"> </v>
      </c>
    </row>
    <row r="725" spans="1:39" x14ac:dyDescent="0.25">
      <c r="A725" t="str">
        <f>"BA873 10"</f>
        <v>BA873 10</v>
      </c>
      <c r="B725" t="str">
        <f>"COJINETES BANCADA 0,25 RENAULT KANGOO LOGAN 1.6 16V K4M 1.5 K9K"</f>
        <v>COJINETES BANCADA 0,25 RENAULT KANGOO LOGAN 1.6 16V K4M 1.5 K9K</v>
      </c>
      <c r="C725" t="str">
        <f>"$ 16674,76"</f>
        <v>$ 16674,76</v>
      </c>
      <c r="D725" t="str">
        <f>"$ 16674,76"</f>
        <v>$ 16674,76</v>
      </c>
      <c r="E725" t="str">
        <f>"$ 16674,76"</f>
        <v>$ 16674,76</v>
      </c>
      <c r="F725" t="str">
        <f>"$ 16674,76"</f>
        <v>$ 16674,76</v>
      </c>
      <c r="G725" t="str">
        <f>"$ 16674,76"</f>
        <v>$ 16674,76</v>
      </c>
      <c r="H725" t="str">
        <f t="shared" si="485"/>
        <v>$ 0,00</v>
      </c>
      <c r="I725" t="str">
        <f t="shared" si="473"/>
        <v>JUEGO COJINETES BANCADA</v>
      </c>
      <c r="J725" t="str">
        <f t="shared" si="486"/>
        <v>1</v>
      </c>
      <c r="K725" t="str">
        <f t="shared" si="467"/>
        <v>0</v>
      </c>
      <c r="L725" t="str">
        <f>"1,000"</f>
        <v>1,000</v>
      </c>
      <c r="M725" t="str">
        <f t="shared" si="487"/>
        <v xml:space="preserve"> </v>
      </c>
      <c r="N725" t="str">
        <f t="shared" si="474"/>
        <v>MPSI</v>
      </c>
      <c r="O725" t="str">
        <f t="shared" si="475"/>
        <v>COJINETES</v>
      </c>
      <c r="P725" t="str">
        <f t="shared" si="507"/>
        <v>0</v>
      </c>
      <c r="Q725" t="str">
        <f t="shared" si="507"/>
        <v>0</v>
      </c>
      <c r="R725" t="str">
        <f t="shared" si="508"/>
        <v>0,00</v>
      </c>
      <c r="S725" t="str">
        <f t="shared" si="508"/>
        <v>0,00</v>
      </c>
      <c r="T725" t="str">
        <f t="shared" si="506"/>
        <v xml:space="preserve"> </v>
      </c>
      <c r="U725" t="str">
        <f t="shared" si="504"/>
        <v>-</v>
      </c>
      <c r="V725" t="str">
        <f>"1,000"</f>
        <v>1,000</v>
      </c>
      <c r="W725" t="str">
        <f t="shared" si="488"/>
        <v>Lista 4</v>
      </c>
      <c r="X725" t="str">
        <f t="shared" si="489"/>
        <v>Lista 5</v>
      </c>
      <c r="Y725" t="str">
        <f t="shared" si="490"/>
        <v>Oferta Gral.</v>
      </c>
      <c r="Z725" t="str">
        <f t="shared" si="491"/>
        <v>Rubro</v>
      </c>
      <c r="AA725" t="str">
        <f t="shared" si="492"/>
        <v>Cantidad por Bulto</v>
      </c>
      <c r="AB725" t="str">
        <f t="shared" si="493"/>
        <v>INNER</v>
      </c>
      <c r="AC725" t="str">
        <f t="shared" si="494"/>
        <v>Stock en Bultos</v>
      </c>
      <c r="AD725" t="str">
        <f t="shared" si="495"/>
        <v>SubDepósito</v>
      </c>
      <c r="AE725" t="str">
        <f t="shared" si="496"/>
        <v>Marca</v>
      </c>
      <c r="AF725" t="str">
        <f t="shared" si="497"/>
        <v>Super Rubro</v>
      </c>
      <c r="AG725" t="str">
        <f t="shared" si="498"/>
        <v>ComercioExterior</v>
      </c>
      <c r="AH725" t="str">
        <f t="shared" si="499"/>
        <v>PrecioFOB</v>
      </c>
      <c r="AI725" t="str">
        <f t="shared" si="500"/>
        <v>Monto II</v>
      </c>
      <c r="AJ725" t="str">
        <f t="shared" si="501"/>
        <v>Porcentaje II</v>
      </c>
      <c r="AK725" t="str">
        <f t="shared" si="502"/>
        <v>Foto</v>
      </c>
      <c r="AL725" t="str">
        <f>"{\rtf1\ansi\ansicpg1252\deff0\deflang2058{\fonttbl{\f0\fnil\fcharset0 MS Sans Serif}} \viewkind4\uc1\pard\f0\fs16 COJINETES BANCADA 0,25 RENAULT KANGOO LOGAN 1.6 16V K4M 1.5 K9K\par } "</f>
        <v xml:space="preserve">{\rtf1\ansi\ansicpg1252\deff0\deflang2058{\fonttbl{\f0\fnil\fcharset0 MS Sans Serif}} \viewkind4\uc1\pard\f0\fs16 COJINETES BANCADA 0,25 RENAULT KANGOO LOGAN 1.6 16V K4M 1.5 K9K\par } </v>
      </c>
      <c r="AM725" t="str">
        <f t="shared" si="505"/>
        <v xml:space="preserve"> </v>
      </c>
    </row>
    <row r="726" spans="1:39" x14ac:dyDescent="0.25">
      <c r="A726" t="str">
        <f>"BA384069 10"</f>
        <v>BA384069 10</v>
      </c>
      <c r="B726" t="str">
        <f>"COJINETES BANCADA 0,25 RENAULT KWID 1.0 3 CILINDROS"</f>
        <v>COJINETES BANCADA 0,25 RENAULT KWID 1.0 3 CILINDROS</v>
      </c>
      <c r="C726" t="str">
        <f>"$ 12010,25"</f>
        <v>$ 12010,25</v>
      </c>
      <c r="D726" t="str">
        <f>"$ 12010,25"</f>
        <v>$ 12010,25</v>
      </c>
      <c r="E726" t="str">
        <f>"$ 12010,25"</f>
        <v>$ 12010,25</v>
      </c>
      <c r="F726" t="str">
        <f>"$ 12010,25"</f>
        <v>$ 12010,25</v>
      </c>
      <c r="G726" t="str">
        <f>"$ 12010,25"</f>
        <v>$ 12010,25</v>
      </c>
      <c r="H726" t="str">
        <f t="shared" si="485"/>
        <v>$ 0,00</v>
      </c>
      <c r="I726" t="str">
        <f t="shared" si="473"/>
        <v>JUEGO COJINETES BANCADA</v>
      </c>
      <c r="J726" t="str">
        <f t="shared" si="486"/>
        <v>1</v>
      </c>
      <c r="K726" t="str">
        <f t="shared" si="467"/>
        <v>0</v>
      </c>
      <c r="L726" t="str">
        <f>"10,000"</f>
        <v>10,000</v>
      </c>
      <c r="M726" t="str">
        <f t="shared" si="487"/>
        <v xml:space="preserve"> </v>
      </c>
      <c r="N726" t="str">
        <f t="shared" si="474"/>
        <v>MPSI</v>
      </c>
      <c r="O726" t="str">
        <f t="shared" si="475"/>
        <v>COJINETES</v>
      </c>
      <c r="P726" t="str">
        <f t="shared" si="507"/>
        <v>0</v>
      </c>
      <c r="Q726" t="str">
        <f t="shared" si="507"/>
        <v>0</v>
      </c>
      <c r="R726" t="str">
        <f t="shared" si="508"/>
        <v>0,00</v>
      </c>
      <c r="S726" t="str">
        <f t="shared" si="508"/>
        <v>0,00</v>
      </c>
      <c r="T726" t="str">
        <f t="shared" si="506"/>
        <v xml:space="preserve"> </v>
      </c>
      <c r="U726" t="str">
        <f t="shared" si="504"/>
        <v>-</v>
      </c>
      <c r="V726" t="str">
        <f>"10,000"</f>
        <v>10,000</v>
      </c>
      <c r="W726" t="str">
        <f t="shared" si="488"/>
        <v>Lista 4</v>
      </c>
      <c r="X726" t="str">
        <f t="shared" si="489"/>
        <v>Lista 5</v>
      </c>
      <c r="Y726" t="str">
        <f t="shared" si="490"/>
        <v>Oferta Gral.</v>
      </c>
      <c r="Z726" t="str">
        <f t="shared" si="491"/>
        <v>Rubro</v>
      </c>
      <c r="AA726" t="str">
        <f t="shared" si="492"/>
        <v>Cantidad por Bulto</v>
      </c>
      <c r="AB726" t="str">
        <f t="shared" si="493"/>
        <v>INNER</v>
      </c>
      <c r="AC726" t="str">
        <f t="shared" si="494"/>
        <v>Stock en Bultos</v>
      </c>
      <c r="AD726" t="str">
        <f t="shared" si="495"/>
        <v>SubDepósito</v>
      </c>
      <c r="AE726" t="str">
        <f t="shared" si="496"/>
        <v>Marca</v>
      </c>
      <c r="AF726" t="str">
        <f t="shared" si="497"/>
        <v>Super Rubro</v>
      </c>
      <c r="AG726" t="str">
        <f t="shared" si="498"/>
        <v>ComercioExterior</v>
      </c>
      <c r="AH726" t="str">
        <f t="shared" si="499"/>
        <v>PrecioFOB</v>
      </c>
      <c r="AI726" t="str">
        <f t="shared" si="500"/>
        <v>Monto II</v>
      </c>
      <c r="AJ726" t="str">
        <f t="shared" si="501"/>
        <v>Porcentaje II</v>
      </c>
      <c r="AK726" t="str">
        <f t="shared" si="502"/>
        <v>Foto</v>
      </c>
      <c r="AL726" t="str">
        <f>"{\rtf1\ansi\ansicpg1252\deff0\deflang11274{\fonttbl{\f0\fnil\fcharset0 MS Sans Serif}} \viewkind4\uc1\pard\f0\fs16 COJINETES BANCADA 0,25 RENAULT KWID 1.0 3 CILINDROS\par } "</f>
        <v xml:space="preserve">{\rtf1\ansi\ansicpg1252\deff0\deflang11274{\fonttbl{\f0\fnil\fcharset0 MS Sans Serif}} \viewkind4\uc1\pard\f0\fs16 COJINETES BANCADA 0,25 RENAULT KWID 1.0 3 CILINDROS\par } </v>
      </c>
      <c r="AM726" t="str">
        <f t="shared" si="505"/>
        <v xml:space="preserve"> </v>
      </c>
    </row>
    <row r="727" spans="1:39" x14ac:dyDescent="0.25">
      <c r="A727" t="str">
        <f>"BA874 10"</f>
        <v>BA874 10</v>
      </c>
      <c r="B727" t="str">
        <f>"COJINETES BANCADA 0,25 RENAULT MASTER 2.5 MOTOR G9U"</f>
        <v>COJINETES BANCADA 0,25 RENAULT MASTER 2.5 MOTOR G9U</v>
      </c>
      <c r="C727" t="str">
        <f>"$ 23163,96"</f>
        <v>$ 23163,96</v>
      </c>
      <c r="D727" t="str">
        <f>"$ 23163,96"</f>
        <v>$ 23163,96</v>
      </c>
      <c r="E727" t="str">
        <f>"$ 23163,96"</f>
        <v>$ 23163,96</v>
      </c>
      <c r="F727" t="str">
        <f>"$ 23163,96"</f>
        <v>$ 23163,96</v>
      </c>
      <c r="G727" t="str">
        <f>"$ 23163,96"</f>
        <v>$ 23163,96</v>
      </c>
      <c r="H727" t="str">
        <f t="shared" si="485"/>
        <v>$ 0,00</v>
      </c>
      <c r="I727" t="str">
        <f t="shared" si="473"/>
        <v>JUEGO COJINETES BANCADA</v>
      </c>
      <c r="J727" t="str">
        <f t="shared" si="486"/>
        <v>1</v>
      </c>
      <c r="K727" t="str">
        <f t="shared" ref="K727:K790" si="509">"0"</f>
        <v>0</v>
      </c>
      <c r="L727" t="str">
        <f>"2,000"</f>
        <v>2,000</v>
      </c>
      <c r="M727" t="str">
        <f t="shared" si="487"/>
        <v xml:space="preserve"> </v>
      </c>
      <c r="N727" t="str">
        <f t="shared" si="474"/>
        <v>MPSI</v>
      </c>
      <c r="O727" t="str">
        <f t="shared" si="475"/>
        <v>COJINETES</v>
      </c>
      <c r="P727" t="str">
        <f t="shared" si="507"/>
        <v>0</v>
      </c>
      <c r="Q727" t="str">
        <f t="shared" si="507"/>
        <v>0</v>
      </c>
      <c r="R727" t="str">
        <f t="shared" si="508"/>
        <v>0,00</v>
      </c>
      <c r="S727" t="str">
        <f t="shared" si="508"/>
        <v>0,00</v>
      </c>
      <c r="T727" t="str">
        <f t="shared" si="506"/>
        <v xml:space="preserve"> </v>
      </c>
      <c r="U727" t="str">
        <f t="shared" si="504"/>
        <v>-</v>
      </c>
      <c r="V727" t="str">
        <f>"2,000"</f>
        <v>2,000</v>
      </c>
      <c r="W727" t="str">
        <f t="shared" si="488"/>
        <v>Lista 4</v>
      </c>
      <c r="X727" t="str">
        <f t="shared" si="489"/>
        <v>Lista 5</v>
      </c>
      <c r="Y727" t="str">
        <f t="shared" si="490"/>
        <v>Oferta Gral.</v>
      </c>
      <c r="Z727" t="str">
        <f t="shared" si="491"/>
        <v>Rubro</v>
      </c>
      <c r="AA727" t="str">
        <f t="shared" si="492"/>
        <v>Cantidad por Bulto</v>
      </c>
      <c r="AB727" t="str">
        <f t="shared" si="493"/>
        <v>INNER</v>
      </c>
      <c r="AC727" t="str">
        <f t="shared" si="494"/>
        <v>Stock en Bultos</v>
      </c>
      <c r="AD727" t="str">
        <f t="shared" si="495"/>
        <v>SubDepósito</v>
      </c>
      <c r="AE727" t="str">
        <f t="shared" si="496"/>
        <v>Marca</v>
      </c>
      <c r="AF727" t="str">
        <f t="shared" si="497"/>
        <v>Super Rubro</v>
      </c>
      <c r="AG727" t="str">
        <f t="shared" si="498"/>
        <v>ComercioExterior</v>
      </c>
      <c r="AH727" t="str">
        <f t="shared" si="499"/>
        <v>PrecioFOB</v>
      </c>
      <c r="AI727" t="str">
        <f t="shared" si="500"/>
        <v>Monto II</v>
      </c>
      <c r="AJ727" t="str">
        <f t="shared" si="501"/>
        <v>Porcentaje II</v>
      </c>
      <c r="AK727" t="str">
        <f t="shared" si="502"/>
        <v>Foto</v>
      </c>
      <c r="AL727" t="str">
        <f t="shared" ref="AL727:AL732" si="510">" "</f>
        <v xml:space="preserve"> </v>
      </c>
      <c r="AM727" t="str">
        <f t="shared" si="505"/>
        <v xml:space="preserve"> </v>
      </c>
    </row>
    <row r="728" spans="1:39" x14ac:dyDescent="0.25">
      <c r="A728" t="str">
        <f>"BA445332 10"</f>
        <v>BA445332 10</v>
      </c>
      <c r="B728" t="str">
        <f>"COJINETES BANCADA 0,25 TOYOTA COROLLA YARIS 1.8 16V MOTOR 2ZR-FE"</f>
        <v>COJINETES BANCADA 0,25 TOYOTA COROLLA YARIS 1.8 16V MOTOR 2ZR-FE</v>
      </c>
      <c r="C728" t="str">
        <f>"$ 18359,86"</f>
        <v>$ 18359,86</v>
      </c>
      <c r="D728" t="str">
        <f>"$ 18359,86"</f>
        <v>$ 18359,86</v>
      </c>
      <c r="E728" t="str">
        <f>"$ 18359,86"</f>
        <v>$ 18359,86</v>
      </c>
      <c r="F728" t="str">
        <f>"$ 18359,86"</f>
        <v>$ 18359,86</v>
      </c>
      <c r="G728" t="str">
        <f>"$ 18359,86"</f>
        <v>$ 18359,86</v>
      </c>
      <c r="H728" t="str">
        <f t="shared" si="485"/>
        <v>$ 0,00</v>
      </c>
      <c r="I728" t="str">
        <f t="shared" si="473"/>
        <v>JUEGO COJINETES BANCADA</v>
      </c>
      <c r="J728" t="str">
        <f t="shared" si="486"/>
        <v>1</v>
      </c>
      <c r="K728" t="str">
        <f t="shared" si="509"/>
        <v>0</v>
      </c>
      <c r="L728" t="str">
        <f>"2,000"</f>
        <v>2,000</v>
      </c>
      <c r="M728" t="str">
        <f t="shared" si="487"/>
        <v xml:space="preserve"> </v>
      </c>
      <c r="N728" t="str">
        <f t="shared" si="474"/>
        <v>MPSI</v>
      </c>
      <c r="O728" t="str">
        <f t="shared" si="475"/>
        <v>COJINETES</v>
      </c>
      <c r="P728" t="str">
        <f t="shared" si="507"/>
        <v>0</v>
      </c>
      <c r="Q728" t="str">
        <f t="shared" si="507"/>
        <v>0</v>
      </c>
      <c r="R728" t="str">
        <f t="shared" si="508"/>
        <v>0,00</v>
      </c>
      <c r="S728" t="str">
        <f t="shared" si="508"/>
        <v>0,00</v>
      </c>
      <c r="T728" t="str">
        <f t="shared" si="506"/>
        <v xml:space="preserve"> </v>
      </c>
      <c r="U728" t="str">
        <f t="shared" si="504"/>
        <v>-</v>
      </c>
      <c r="V728" t="str">
        <f>"2,000"</f>
        <v>2,000</v>
      </c>
      <c r="W728" t="str">
        <f t="shared" si="488"/>
        <v>Lista 4</v>
      </c>
      <c r="X728" t="str">
        <f t="shared" si="489"/>
        <v>Lista 5</v>
      </c>
      <c r="Y728" t="str">
        <f t="shared" si="490"/>
        <v>Oferta Gral.</v>
      </c>
      <c r="Z728" t="str">
        <f t="shared" si="491"/>
        <v>Rubro</v>
      </c>
      <c r="AA728" t="str">
        <f t="shared" si="492"/>
        <v>Cantidad por Bulto</v>
      </c>
      <c r="AB728" t="str">
        <f t="shared" si="493"/>
        <v>INNER</v>
      </c>
      <c r="AC728" t="str">
        <f t="shared" si="494"/>
        <v>Stock en Bultos</v>
      </c>
      <c r="AD728" t="str">
        <f t="shared" si="495"/>
        <v>SubDepósito</v>
      </c>
      <c r="AE728" t="str">
        <f t="shared" si="496"/>
        <v>Marca</v>
      </c>
      <c r="AF728" t="str">
        <f t="shared" si="497"/>
        <v>Super Rubro</v>
      </c>
      <c r="AG728" t="str">
        <f t="shared" si="498"/>
        <v>ComercioExterior</v>
      </c>
      <c r="AH728" t="str">
        <f t="shared" si="499"/>
        <v>PrecioFOB</v>
      </c>
      <c r="AI728" t="str">
        <f t="shared" si="500"/>
        <v>Monto II</v>
      </c>
      <c r="AJ728" t="str">
        <f t="shared" si="501"/>
        <v>Porcentaje II</v>
      </c>
      <c r="AK728" t="str">
        <f t="shared" si="502"/>
        <v>Foto</v>
      </c>
      <c r="AL728" t="str">
        <f t="shared" si="510"/>
        <v xml:space="preserve"> </v>
      </c>
      <c r="AM728" t="str">
        <f t="shared" si="505"/>
        <v xml:space="preserve"> </v>
      </c>
    </row>
    <row r="729" spans="1:39" x14ac:dyDescent="0.25">
      <c r="A729" t="str">
        <f>"BA445107 10"</f>
        <v>BA445107 10</v>
      </c>
      <c r="B729" t="str">
        <f>"COJINETES BANCADA 0,25 TOYOTA ETIOS 1.5"</f>
        <v>COJINETES BANCADA 0,25 TOYOTA ETIOS 1.5</v>
      </c>
      <c r="C729" t="str">
        <f>"$ 17168,15"</f>
        <v>$ 17168,15</v>
      </c>
      <c r="D729" t="str">
        <f>"$ 17168,15"</f>
        <v>$ 17168,15</v>
      </c>
      <c r="E729" t="str">
        <f>"$ 17168,15"</f>
        <v>$ 17168,15</v>
      </c>
      <c r="F729" t="str">
        <f>"$ 17168,15"</f>
        <v>$ 17168,15</v>
      </c>
      <c r="G729" t="str">
        <f>"$ 17168,15"</f>
        <v>$ 17168,15</v>
      </c>
      <c r="H729" t="str">
        <f t="shared" si="485"/>
        <v>$ 0,00</v>
      </c>
      <c r="I729" t="str">
        <f t="shared" si="473"/>
        <v>JUEGO COJINETES BANCADA</v>
      </c>
      <c r="J729" t="str">
        <f t="shared" si="486"/>
        <v>1</v>
      </c>
      <c r="K729" t="str">
        <f t="shared" si="509"/>
        <v>0</v>
      </c>
      <c r="L729" t="str">
        <f>"4,000"</f>
        <v>4,000</v>
      </c>
      <c r="M729" t="str">
        <f t="shared" si="487"/>
        <v xml:space="preserve"> </v>
      </c>
      <c r="N729" t="str">
        <f t="shared" si="474"/>
        <v>MPSI</v>
      </c>
      <c r="O729" t="str">
        <f t="shared" si="475"/>
        <v>COJINETES</v>
      </c>
      <c r="P729" t="str">
        <f t="shared" si="507"/>
        <v>0</v>
      </c>
      <c r="Q729" t="str">
        <f t="shared" si="507"/>
        <v>0</v>
      </c>
      <c r="R729" t="str">
        <f t="shared" si="508"/>
        <v>0,00</v>
      </c>
      <c r="S729" t="str">
        <f t="shared" si="508"/>
        <v>0,00</v>
      </c>
      <c r="T729" t="str">
        <f t="shared" si="506"/>
        <v xml:space="preserve"> </v>
      </c>
      <c r="U729" t="str">
        <f t="shared" si="504"/>
        <v>-</v>
      </c>
      <c r="V729" t="str">
        <f>"4,000"</f>
        <v>4,000</v>
      </c>
      <c r="W729" t="str">
        <f t="shared" si="488"/>
        <v>Lista 4</v>
      </c>
      <c r="X729" t="str">
        <f t="shared" si="489"/>
        <v>Lista 5</v>
      </c>
      <c r="Y729" t="str">
        <f t="shared" si="490"/>
        <v>Oferta Gral.</v>
      </c>
      <c r="Z729" t="str">
        <f t="shared" si="491"/>
        <v>Rubro</v>
      </c>
      <c r="AA729" t="str">
        <f t="shared" si="492"/>
        <v>Cantidad por Bulto</v>
      </c>
      <c r="AB729" t="str">
        <f t="shared" si="493"/>
        <v>INNER</v>
      </c>
      <c r="AC729" t="str">
        <f t="shared" si="494"/>
        <v>Stock en Bultos</v>
      </c>
      <c r="AD729" t="str">
        <f t="shared" si="495"/>
        <v>SubDepósito</v>
      </c>
      <c r="AE729" t="str">
        <f t="shared" si="496"/>
        <v>Marca</v>
      </c>
      <c r="AF729" t="str">
        <f t="shared" si="497"/>
        <v>Super Rubro</v>
      </c>
      <c r="AG729" t="str">
        <f t="shared" si="498"/>
        <v>ComercioExterior</v>
      </c>
      <c r="AH729" t="str">
        <f t="shared" si="499"/>
        <v>PrecioFOB</v>
      </c>
      <c r="AI729" t="str">
        <f t="shared" si="500"/>
        <v>Monto II</v>
      </c>
      <c r="AJ729" t="str">
        <f t="shared" si="501"/>
        <v>Porcentaje II</v>
      </c>
      <c r="AK729" t="str">
        <f t="shared" si="502"/>
        <v>Foto</v>
      </c>
      <c r="AL729" t="str">
        <f t="shared" si="510"/>
        <v xml:space="preserve"> </v>
      </c>
      <c r="AM729" t="str">
        <f t="shared" si="505"/>
        <v xml:space="preserve"> </v>
      </c>
    </row>
    <row r="730" spans="1:39" x14ac:dyDescent="0.25">
      <c r="A730" t="str">
        <f>"BA749 10"</f>
        <v>BA749 10</v>
      </c>
      <c r="B730" t="str">
        <f>"COJINETES BANCADA 0,25 TOYOTA HILUX 2.8 L DIESEL MOTOR 3L"</f>
        <v>COJINETES BANCADA 0,25 TOYOTA HILUX 2.8 L DIESEL MOTOR 3L</v>
      </c>
      <c r="C730" t="str">
        <f>"$ 28452,20"</f>
        <v>$ 28452,20</v>
      </c>
      <c r="D730" t="str">
        <f>"$ 28452,20"</f>
        <v>$ 28452,20</v>
      </c>
      <c r="E730" t="str">
        <f>"$ 28452,20"</f>
        <v>$ 28452,20</v>
      </c>
      <c r="F730" t="str">
        <f>"$ 28452,20"</f>
        <v>$ 28452,20</v>
      </c>
      <c r="G730" t="str">
        <f>"$ 28452,20"</f>
        <v>$ 28452,20</v>
      </c>
      <c r="H730" t="str">
        <f t="shared" si="485"/>
        <v>$ 0,00</v>
      </c>
      <c r="I730" t="str">
        <f t="shared" si="473"/>
        <v>JUEGO COJINETES BANCADA</v>
      </c>
      <c r="J730" t="str">
        <f t="shared" si="486"/>
        <v>1</v>
      </c>
      <c r="K730" t="str">
        <f t="shared" si="509"/>
        <v>0</v>
      </c>
      <c r="L730" t="str">
        <f>"0,000"</f>
        <v>0,000</v>
      </c>
      <c r="M730" t="str">
        <f t="shared" si="487"/>
        <v xml:space="preserve"> </v>
      </c>
      <c r="N730" t="str">
        <f t="shared" si="474"/>
        <v>MPSI</v>
      </c>
      <c r="O730" t="str">
        <f t="shared" si="475"/>
        <v>COJINETES</v>
      </c>
      <c r="P730" t="str">
        <f t="shared" si="507"/>
        <v>0</v>
      </c>
      <c r="Q730" t="str">
        <f t="shared" si="507"/>
        <v>0</v>
      </c>
      <c r="R730" t="str">
        <f t="shared" si="508"/>
        <v>0,00</v>
      </c>
      <c r="S730" t="str">
        <f t="shared" si="508"/>
        <v>0,00</v>
      </c>
      <c r="T730" t="str">
        <f t="shared" si="506"/>
        <v xml:space="preserve"> </v>
      </c>
      <c r="U730" t="str">
        <f t="shared" si="504"/>
        <v>-</v>
      </c>
      <c r="V730" t="str">
        <f>"0,000"</f>
        <v>0,000</v>
      </c>
      <c r="W730" t="str">
        <f t="shared" si="488"/>
        <v>Lista 4</v>
      </c>
      <c r="X730" t="str">
        <f t="shared" si="489"/>
        <v>Lista 5</v>
      </c>
      <c r="Y730" t="str">
        <f t="shared" si="490"/>
        <v>Oferta Gral.</v>
      </c>
      <c r="Z730" t="str">
        <f t="shared" si="491"/>
        <v>Rubro</v>
      </c>
      <c r="AA730" t="str">
        <f t="shared" si="492"/>
        <v>Cantidad por Bulto</v>
      </c>
      <c r="AB730" t="str">
        <f t="shared" si="493"/>
        <v>INNER</v>
      </c>
      <c r="AC730" t="str">
        <f t="shared" si="494"/>
        <v>Stock en Bultos</v>
      </c>
      <c r="AD730" t="str">
        <f t="shared" si="495"/>
        <v>SubDepósito</v>
      </c>
      <c r="AE730" t="str">
        <f t="shared" si="496"/>
        <v>Marca</v>
      </c>
      <c r="AF730" t="str">
        <f t="shared" si="497"/>
        <v>Super Rubro</v>
      </c>
      <c r="AG730" t="str">
        <f t="shared" si="498"/>
        <v>ComercioExterior</v>
      </c>
      <c r="AH730" t="str">
        <f t="shared" si="499"/>
        <v>PrecioFOB</v>
      </c>
      <c r="AI730" t="str">
        <f t="shared" si="500"/>
        <v>Monto II</v>
      </c>
      <c r="AJ730" t="str">
        <f t="shared" si="501"/>
        <v>Porcentaje II</v>
      </c>
      <c r="AK730" t="str">
        <f t="shared" si="502"/>
        <v>Foto</v>
      </c>
      <c r="AL730" t="str">
        <f t="shared" si="510"/>
        <v xml:space="preserve"> </v>
      </c>
      <c r="AM730" t="str">
        <f t="shared" si="505"/>
        <v xml:space="preserve"> </v>
      </c>
    </row>
    <row r="731" spans="1:39" x14ac:dyDescent="0.25">
      <c r="A731" t="str">
        <f>"BA837 10"</f>
        <v>BA837 10</v>
      </c>
      <c r="B731" t="str">
        <f>"COJINETES BANCADA 0,25 TOYOTA HILUX 3.0 MOTOR D4D 1KD"</f>
        <v>COJINETES BANCADA 0,25 TOYOTA HILUX 3.0 MOTOR D4D 1KD</v>
      </c>
      <c r="C731" t="str">
        <f>"$ 33070,10"</f>
        <v>$ 33070,10</v>
      </c>
      <c r="D731" t="str">
        <f>"$ 33070,10"</f>
        <v>$ 33070,10</v>
      </c>
      <c r="E731" t="str">
        <f>"$ 33070,10"</f>
        <v>$ 33070,10</v>
      </c>
      <c r="F731" t="str">
        <f>"$ 33070,10"</f>
        <v>$ 33070,10</v>
      </c>
      <c r="G731" t="str">
        <f>"$ 33070,10"</f>
        <v>$ 33070,10</v>
      </c>
      <c r="H731" t="str">
        <f t="shared" si="485"/>
        <v>$ 0,00</v>
      </c>
      <c r="I731" t="str">
        <f t="shared" si="473"/>
        <v>JUEGO COJINETES BANCADA</v>
      </c>
      <c r="J731" t="str">
        <f t="shared" si="486"/>
        <v>1</v>
      </c>
      <c r="K731" t="str">
        <f t="shared" si="509"/>
        <v>0</v>
      </c>
      <c r="L731" t="str">
        <f>"3,000"</f>
        <v>3,000</v>
      </c>
      <c r="M731" t="str">
        <f t="shared" si="487"/>
        <v xml:space="preserve"> </v>
      </c>
      <c r="N731" t="str">
        <f t="shared" si="474"/>
        <v>MPSI</v>
      </c>
      <c r="O731" t="str">
        <f t="shared" si="475"/>
        <v>COJINETES</v>
      </c>
      <c r="P731" t="str">
        <f t="shared" si="507"/>
        <v>0</v>
      </c>
      <c r="Q731" t="str">
        <f t="shared" si="507"/>
        <v>0</v>
      </c>
      <c r="R731" t="str">
        <f t="shared" si="508"/>
        <v>0,00</v>
      </c>
      <c r="S731" t="str">
        <f t="shared" si="508"/>
        <v>0,00</v>
      </c>
      <c r="T731" t="str">
        <f t="shared" si="506"/>
        <v xml:space="preserve"> </v>
      </c>
      <c r="U731" t="str">
        <f t="shared" si="504"/>
        <v>-</v>
      </c>
      <c r="V731" t="str">
        <f>"3,000"</f>
        <v>3,000</v>
      </c>
      <c r="W731" t="str">
        <f t="shared" si="488"/>
        <v>Lista 4</v>
      </c>
      <c r="X731" t="str">
        <f t="shared" si="489"/>
        <v>Lista 5</v>
      </c>
      <c r="Y731" t="str">
        <f t="shared" si="490"/>
        <v>Oferta Gral.</v>
      </c>
      <c r="Z731" t="str">
        <f t="shared" si="491"/>
        <v>Rubro</v>
      </c>
      <c r="AA731" t="str">
        <f t="shared" si="492"/>
        <v>Cantidad por Bulto</v>
      </c>
      <c r="AB731" t="str">
        <f t="shared" si="493"/>
        <v>INNER</v>
      </c>
      <c r="AC731" t="str">
        <f t="shared" si="494"/>
        <v>Stock en Bultos</v>
      </c>
      <c r="AD731" t="str">
        <f t="shared" si="495"/>
        <v>SubDepósito</v>
      </c>
      <c r="AE731" t="str">
        <f t="shared" si="496"/>
        <v>Marca</v>
      </c>
      <c r="AF731" t="str">
        <f t="shared" si="497"/>
        <v>Super Rubro</v>
      </c>
      <c r="AG731" t="str">
        <f t="shared" si="498"/>
        <v>ComercioExterior</v>
      </c>
      <c r="AH731" t="str">
        <f t="shared" si="499"/>
        <v>PrecioFOB</v>
      </c>
      <c r="AI731" t="str">
        <f t="shared" si="500"/>
        <v>Monto II</v>
      </c>
      <c r="AJ731" t="str">
        <f t="shared" si="501"/>
        <v>Porcentaje II</v>
      </c>
      <c r="AK731" t="str">
        <f t="shared" si="502"/>
        <v>Foto</v>
      </c>
      <c r="AL731" t="str">
        <f t="shared" si="510"/>
        <v xml:space="preserve"> </v>
      </c>
      <c r="AM731" t="str">
        <f t="shared" si="505"/>
        <v xml:space="preserve"> </v>
      </c>
    </row>
    <row r="732" spans="1:39" x14ac:dyDescent="0.25">
      <c r="A732" t="str">
        <f>"BA628 10"</f>
        <v>BA628 10</v>
      </c>
      <c r="B732" t="str">
        <f>"COJINETES BANCADA 0,25 VW FOX SURAN GOL TREND GOLF IVI 1.6 8V"</f>
        <v>COJINETES BANCADA 0,25 VW FOX SURAN GOL TREND GOLF IVI 1.6 8V</v>
      </c>
      <c r="C732" t="str">
        <f>"$ 23052,24"</f>
        <v>$ 23052,24</v>
      </c>
      <c r="D732" t="str">
        <f>"$ 23052,24"</f>
        <v>$ 23052,24</v>
      </c>
      <c r="E732" t="str">
        <f>"$ 23052,24"</f>
        <v>$ 23052,24</v>
      </c>
      <c r="F732" t="str">
        <f>"$ 23052,24"</f>
        <v>$ 23052,24</v>
      </c>
      <c r="G732" t="str">
        <f>"$ 23052,24"</f>
        <v>$ 23052,24</v>
      </c>
      <c r="H732" t="str">
        <f t="shared" si="485"/>
        <v>$ 0,00</v>
      </c>
      <c r="I732" t="str">
        <f t="shared" si="473"/>
        <v>JUEGO COJINETES BANCADA</v>
      </c>
      <c r="J732" t="str">
        <f t="shared" si="486"/>
        <v>1</v>
      </c>
      <c r="K732" t="str">
        <f t="shared" si="509"/>
        <v>0</v>
      </c>
      <c r="L732" t="str">
        <f>"18,000"</f>
        <v>18,000</v>
      </c>
      <c r="M732" t="str">
        <f t="shared" si="487"/>
        <v xml:space="preserve"> </v>
      </c>
      <c r="N732" t="str">
        <f t="shared" si="474"/>
        <v>MPSI</v>
      </c>
      <c r="O732" t="str">
        <f t="shared" si="475"/>
        <v>COJINETES</v>
      </c>
      <c r="P732" t="str">
        <f t="shared" si="507"/>
        <v>0</v>
      </c>
      <c r="Q732" t="str">
        <f t="shared" si="507"/>
        <v>0</v>
      </c>
      <c r="R732" t="str">
        <f t="shared" si="508"/>
        <v>0,00</v>
      </c>
      <c r="S732" t="str">
        <f t="shared" si="508"/>
        <v>0,00</v>
      </c>
      <c r="T732" t="str">
        <f t="shared" si="506"/>
        <v xml:space="preserve"> </v>
      </c>
      <c r="U732" t="str">
        <f t="shared" si="504"/>
        <v>-</v>
      </c>
      <c r="V732" t="str">
        <f>"18,000"</f>
        <v>18,000</v>
      </c>
      <c r="W732" t="str">
        <f t="shared" si="488"/>
        <v>Lista 4</v>
      </c>
      <c r="X732" t="str">
        <f t="shared" si="489"/>
        <v>Lista 5</v>
      </c>
      <c r="Y732" t="str">
        <f t="shared" si="490"/>
        <v>Oferta Gral.</v>
      </c>
      <c r="Z732" t="str">
        <f t="shared" si="491"/>
        <v>Rubro</v>
      </c>
      <c r="AA732" t="str">
        <f t="shared" si="492"/>
        <v>Cantidad por Bulto</v>
      </c>
      <c r="AB732" t="str">
        <f t="shared" si="493"/>
        <v>INNER</v>
      </c>
      <c r="AC732" t="str">
        <f t="shared" si="494"/>
        <v>Stock en Bultos</v>
      </c>
      <c r="AD732" t="str">
        <f t="shared" si="495"/>
        <v>SubDepósito</v>
      </c>
      <c r="AE732" t="str">
        <f t="shared" si="496"/>
        <v>Marca</v>
      </c>
      <c r="AF732" t="str">
        <f t="shared" si="497"/>
        <v>Super Rubro</v>
      </c>
      <c r="AG732" t="str">
        <f t="shared" si="498"/>
        <v>ComercioExterior</v>
      </c>
      <c r="AH732" t="str">
        <f t="shared" si="499"/>
        <v>PrecioFOB</v>
      </c>
      <c r="AI732" t="str">
        <f t="shared" si="500"/>
        <v>Monto II</v>
      </c>
      <c r="AJ732" t="str">
        <f t="shared" si="501"/>
        <v>Porcentaje II</v>
      </c>
      <c r="AK732" t="str">
        <f t="shared" si="502"/>
        <v>Foto</v>
      </c>
      <c r="AL732" t="str">
        <f t="shared" si="510"/>
        <v xml:space="preserve"> </v>
      </c>
      <c r="AM732" t="str">
        <f t="shared" si="505"/>
        <v xml:space="preserve"> </v>
      </c>
    </row>
    <row r="733" spans="1:39" x14ac:dyDescent="0.25">
      <c r="A733" t="str">
        <f>"BA479 10"</f>
        <v>BA479 10</v>
      </c>
      <c r="B733" t="str">
        <f>"COJINETES BANCADA 0,25 VW GOL POLO SAVEIRO MOTOR AUDI 1.6 8V"</f>
        <v>COJINETES BANCADA 0,25 VW GOL POLO SAVEIRO MOTOR AUDI 1.6 8V</v>
      </c>
      <c r="C733" t="str">
        <f>"$ 20459,22"</f>
        <v>$ 20459,22</v>
      </c>
      <c r="D733" t="str">
        <f>"$ 20459,22"</f>
        <v>$ 20459,22</v>
      </c>
      <c r="E733" t="str">
        <f>"$ 20459,22"</f>
        <v>$ 20459,22</v>
      </c>
      <c r="F733" t="str">
        <f>"$ 20459,22"</f>
        <v>$ 20459,22</v>
      </c>
      <c r="G733" t="str">
        <f>"$ 20459,22"</f>
        <v>$ 20459,22</v>
      </c>
      <c r="H733" t="str">
        <f t="shared" si="485"/>
        <v>$ 0,00</v>
      </c>
      <c r="I733" t="str">
        <f t="shared" si="473"/>
        <v>JUEGO COJINETES BANCADA</v>
      </c>
      <c r="J733" t="str">
        <f t="shared" si="486"/>
        <v>1</v>
      </c>
      <c r="K733" t="str">
        <f t="shared" si="509"/>
        <v>0</v>
      </c>
      <c r="L733" t="str">
        <f>"28,000"</f>
        <v>28,000</v>
      </c>
      <c r="M733" t="str">
        <f t="shared" si="487"/>
        <v xml:space="preserve"> </v>
      </c>
      <c r="N733" t="str">
        <f t="shared" si="474"/>
        <v>MPSI</v>
      </c>
      <c r="O733" t="str">
        <f t="shared" si="475"/>
        <v>COJINETES</v>
      </c>
      <c r="P733" t="str">
        <f t="shared" si="507"/>
        <v>0</v>
      </c>
      <c r="Q733" t="str">
        <f t="shared" si="507"/>
        <v>0</v>
      </c>
      <c r="R733" t="str">
        <f t="shared" si="508"/>
        <v>0,00</v>
      </c>
      <c r="S733" t="str">
        <f t="shared" si="508"/>
        <v>0,00</v>
      </c>
      <c r="T733" t="str">
        <f t="shared" si="506"/>
        <v xml:space="preserve"> </v>
      </c>
      <c r="U733" t="str">
        <f t="shared" si="504"/>
        <v>-</v>
      </c>
      <c r="V733" t="str">
        <f>"28,000"</f>
        <v>28,000</v>
      </c>
      <c r="W733" t="str">
        <f t="shared" si="488"/>
        <v>Lista 4</v>
      </c>
      <c r="X733" t="str">
        <f t="shared" si="489"/>
        <v>Lista 5</v>
      </c>
      <c r="Y733" t="str">
        <f t="shared" si="490"/>
        <v>Oferta Gral.</v>
      </c>
      <c r="Z733" t="str">
        <f t="shared" si="491"/>
        <v>Rubro</v>
      </c>
      <c r="AA733" t="str">
        <f t="shared" si="492"/>
        <v>Cantidad por Bulto</v>
      </c>
      <c r="AB733" t="str">
        <f t="shared" si="493"/>
        <v>INNER</v>
      </c>
      <c r="AC733" t="str">
        <f t="shared" si="494"/>
        <v>Stock en Bultos</v>
      </c>
      <c r="AD733" t="str">
        <f t="shared" si="495"/>
        <v>SubDepósito</v>
      </c>
      <c r="AE733" t="str">
        <f t="shared" si="496"/>
        <v>Marca</v>
      </c>
      <c r="AF733" t="str">
        <f t="shared" si="497"/>
        <v>Super Rubro</v>
      </c>
      <c r="AG733" t="str">
        <f t="shared" si="498"/>
        <v>ComercioExterior</v>
      </c>
      <c r="AH733" t="str">
        <f t="shared" si="499"/>
        <v>PrecioFOB</v>
      </c>
      <c r="AI733" t="str">
        <f t="shared" si="500"/>
        <v>Monto II</v>
      </c>
      <c r="AJ733" t="str">
        <f t="shared" si="501"/>
        <v>Porcentaje II</v>
      </c>
      <c r="AK733" t="str">
        <f t="shared" si="502"/>
        <v>Foto</v>
      </c>
      <c r="AL733" t="str">
        <f>"{\rtf1\ansi\ansicpg1252\deff0\deflang2058{\fonttbl{\f0\fnil\fcharset0 MS Sans Serif}} \viewkind4\uc1\pard\f0\fs16 COJINETES BANCADA 0,25 VW GOL POLO SAVEIRO MOTOR AUDI 1.6 8V\par } "</f>
        <v xml:space="preserve">{\rtf1\ansi\ansicpg1252\deff0\deflang2058{\fonttbl{\f0\fnil\fcharset0 MS Sans Serif}} \viewkind4\uc1\pard\f0\fs16 COJINETES BANCADA 0,25 VW GOL POLO SAVEIRO MOTOR AUDI 1.6 8V\par } </v>
      </c>
      <c r="AM733" t="str">
        <f t="shared" si="505"/>
        <v xml:space="preserve"> </v>
      </c>
    </row>
    <row r="734" spans="1:39" x14ac:dyDescent="0.25">
      <c r="A734" t="str">
        <f>"BA480 10"</f>
        <v>BA480 10</v>
      </c>
      <c r="B734" t="str">
        <f>"COJINETES BANCADA 0,25 VW GOL POLO SAVEIRO MOTOR AUDI 1.6 8V CON AXIAL"</f>
        <v>COJINETES BANCADA 0,25 VW GOL POLO SAVEIRO MOTOR AUDI 1.6 8V CON AXIAL</v>
      </c>
      <c r="C734" t="str">
        <f>"$ 31803,90"</f>
        <v>$ 31803,90</v>
      </c>
      <c r="D734" t="str">
        <f>"$ 31803,90"</f>
        <v>$ 31803,90</v>
      </c>
      <c r="E734" t="str">
        <f>"$ 31803,90"</f>
        <v>$ 31803,90</v>
      </c>
      <c r="F734" t="str">
        <f>"$ 31803,90"</f>
        <v>$ 31803,90</v>
      </c>
      <c r="G734" t="str">
        <f>"$ 31803,90"</f>
        <v>$ 31803,90</v>
      </c>
      <c r="H734" t="str">
        <f t="shared" si="485"/>
        <v>$ 0,00</v>
      </c>
      <c r="I734" t="str">
        <f t="shared" si="473"/>
        <v>JUEGO COJINETES BANCADA</v>
      </c>
      <c r="J734" t="str">
        <f t="shared" si="486"/>
        <v>1</v>
      </c>
      <c r="K734" t="str">
        <f t="shared" si="509"/>
        <v>0</v>
      </c>
      <c r="L734" t="str">
        <f>"10,000"</f>
        <v>10,000</v>
      </c>
      <c r="M734" t="str">
        <f t="shared" si="487"/>
        <v xml:space="preserve"> </v>
      </c>
      <c r="N734" t="str">
        <f t="shared" si="474"/>
        <v>MPSI</v>
      </c>
      <c r="O734" t="str">
        <f t="shared" si="475"/>
        <v>COJINETES</v>
      </c>
      <c r="P734" t="str">
        <f t="shared" si="507"/>
        <v>0</v>
      </c>
      <c r="Q734" t="str">
        <f t="shared" si="507"/>
        <v>0</v>
      </c>
      <c r="R734" t="str">
        <f t="shared" si="508"/>
        <v>0,00</v>
      </c>
      <c r="S734" t="str">
        <f t="shared" si="508"/>
        <v>0,00</v>
      </c>
      <c r="T734" t="str">
        <f t="shared" si="506"/>
        <v xml:space="preserve"> </v>
      </c>
      <c r="U734" t="str">
        <f t="shared" si="504"/>
        <v>-</v>
      </c>
      <c r="V734" t="str">
        <f>"10,000"</f>
        <v>10,000</v>
      </c>
      <c r="W734" t="str">
        <f t="shared" si="488"/>
        <v>Lista 4</v>
      </c>
      <c r="X734" t="str">
        <f t="shared" si="489"/>
        <v>Lista 5</v>
      </c>
      <c r="Y734" t="str">
        <f t="shared" si="490"/>
        <v>Oferta Gral.</v>
      </c>
      <c r="Z734" t="str">
        <f t="shared" si="491"/>
        <v>Rubro</v>
      </c>
      <c r="AA734" t="str">
        <f t="shared" si="492"/>
        <v>Cantidad por Bulto</v>
      </c>
      <c r="AB734" t="str">
        <f t="shared" si="493"/>
        <v>INNER</v>
      </c>
      <c r="AC734" t="str">
        <f t="shared" si="494"/>
        <v>Stock en Bultos</v>
      </c>
      <c r="AD734" t="str">
        <f t="shared" si="495"/>
        <v>SubDepósito</v>
      </c>
      <c r="AE734" t="str">
        <f t="shared" si="496"/>
        <v>Marca</v>
      </c>
      <c r="AF734" t="str">
        <f t="shared" si="497"/>
        <v>Super Rubro</v>
      </c>
      <c r="AG734" t="str">
        <f t="shared" si="498"/>
        <v>ComercioExterior</v>
      </c>
      <c r="AH734" t="str">
        <f t="shared" si="499"/>
        <v>PrecioFOB</v>
      </c>
      <c r="AI734" t="str">
        <f t="shared" si="500"/>
        <v>Monto II</v>
      </c>
      <c r="AJ734" t="str">
        <f t="shared" si="501"/>
        <v>Porcentaje II</v>
      </c>
      <c r="AK734" t="str">
        <f t="shared" si="502"/>
        <v>Foto</v>
      </c>
      <c r="AL734" t="str">
        <f t="shared" ref="AL734:AL740" si="511">" "</f>
        <v xml:space="preserve"> </v>
      </c>
      <c r="AM734" t="str">
        <f t="shared" si="505"/>
        <v xml:space="preserve"> </v>
      </c>
    </row>
    <row r="735" spans="1:39" x14ac:dyDescent="0.25">
      <c r="A735" t="str">
        <f>"BA464108 10"</f>
        <v>BA464108 10</v>
      </c>
      <c r="B735" t="str">
        <f>"COJINETES BANCADA 0,25 VW UP 1.0 3 CILINDROS"</f>
        <v>COJINETES BANCADA 0,25 VW UP 1.0 3 CILINDROS</v>
      </c>
      <c r="C735" t="str">
        <f>"$ 16628,15"</f>
        <v>$ 16628,15</v>
      </c>
      <c r="D735" t="str">
        <f>"$ 16628,15"</f>
        <v>$ 16628,15</v>
      </c>
      <c r="E735" t="str">
        <f>"$ 16628,15"</f>
        <v>$ 16628,15</v>
      </c>
      <c r="F735" t="str">
        <f>"$ 16628,15"</f>
        <v>$ 16628,15</v>
      </c>
      <c r="G735" t="str">
        <f>"$ 16628,15"</f>
        <v>$ 16628,15</v>
      </c>
      <c r="H735" t="str">
        <f t="shared" si="485"/>
        <v>$ 0,00</v>
      </c>
      <c r="I735" t="str">
        <f t="shared" ref="I735:I798" si="512">"JUEGO COJINETES BANCADA"</f>
        <v>JUEGO COJINETES BANCADA</v>
      </c>
      <c r="J735" t="str">
        <f t="shared" si="486"/>
        <v>1</v>
      </c>
      <c r="K735" t="str">
        <f t="shared" si="509"/>
        <v>0</v>
      </c>
      <c r="L735" t="str">
        <f>"4,000"</f>
        <v>4,000</v>
      </c>
      <c r="M735" t="str">
        <f t="shared" si="487"/>
        <v xml:space="preserve"> </v>
      </c>
      <c r="N735" t="str">
        <f t="shared" si="474"/>
        <v>MPSI</v>
      </c>
      <c r="O735" t="str">
        <f t="shared" si="475"/>
        <v>COJINETES</v>
      </c>
      <c r="P735" t="str">
        <f t="shared" si="507"/>
        <v>0</v>
      </c>
      <c r="Q735" t="str">
        <f t="shared" si="507"/>
        <v>0</v>
      </c>
      <c r="R735" t="str">
        <f t="shared" si="508"/>
        <v>0,00</v>
      </c>
      <c r="S735" t="str">
        <f t="shared" si="508"/>
        <v>0,00</v>
      </c>
      <c r="T735" t="str">
        <f t="shared" si="506"/>
        <v xml:space="preserve"> </v>
      </c>
      <c r="U735" t="str">
        <f t="shared" si="504"/>
        <v>-</v>
      </c>
      <c r="V735" t="str">
        <f>"4,000"</f>
        <v>4,000</v>
      </c>
      <c r="W735" t="str">
        <f t="shared" si="488"/>
        <v>Lista 4</v>
      </c>
      <c r="X735" t="str">
        <f t="shared" si="489"/>
        <v>Lista 5</v>
      </c>
      <c r="Y735" t="str">
        <f t="shared" si="490"/>
        <v>Oferta Gral.</v>
      </c>
      <c r="Z735" t="str">
        <f t="shared" si="491"/>
        <v>Rubro</v>
      </c>
      <c r="AA735" t="str">
        <f t="shared" si="492"/>
        <v>Cantidad por Bulto</v>
      </c>
      <c r="AB735" t="str">
        <f t="shared" si="493"/>
        <v>INNER</v>
      </c>
      <c r="AC735" t="str">
        <f t="shared" si="494"/>
        <v>Stock en Bultos</v>
      </c>
      <c r="AD735" t="str">
        <f t="shared" si="495"/>
        <v>SubDepósito</v>
      </c>
      <c r="AE735" t="str">
        <f t="shared" si="496"/>
        <v>Marca</v>
      </c>
      <c r="AF735" t="str">
        <f t="shared" si="497"/>
        <v>Super Rubro</v>
      </c>
      <c r="AG735" t="str">
        <f t="shared" si="498"/>
        <v>ComercioExterior</v>
      </c>
      <c r="AH735" t="str">
        <f t="shared" si="499"/>
        <v>PrecioFOB</v>
      </c>
      <c r="AI735" t="str">
        <f t="shared" si="500"/>
        <v>Monto II</v>
      </c>
      <c r="AJ735" t="str">
        <f t="shared" si="501"/>
        <v>Porcentaje II</v>
      </c>
      <c r="AK735" t="str">
        <f t="shared" si="502"/>
        <v>Foto</v>
      </c>
      <c r="AL735" t="str">
        <f t="shared" si="511"/>
        <v xml:space="preserve"> </v>
      </c>
      <c r="AM735" t="str">
        <f t="shared" si="505"/>
        <v xml:space="preserve"> </v>
      </c>
    </row>
    <row r="736" spans="1:39" x14ac:dyDescent="0.25">
      <c r="A736" t="str">
        <f>"BA735 10"</f>
        <v>BA735 10</v>
      </c>
      <c r="B736" t="str">
        <f>"COJINETES BANCADA 0,30 PEUGEOT 205 206 1.4 TU3"</f>
        <v>COJINETES BANCADA 0,30 PEUGEOT 205 206 1.4 TU3</v>
      </c>
      <c r="C736" t="str">
        <f>"$ 16294,66"</f>
        <v>$ 16294,66</v>
      </c>
      <c r="D736" t="str">
        <f>"$ 16294,66"</f>
        <v>$ 16294,66</v>
      </c>
      <c r="E736" t="str">
        <f>"$ 16294,66"</f>
        <v>$ 16294,66</v>
      </c>
      <c r="F736" t="str">
        <f>"$ 16294,66"</f>
        <v>$ 16294,66</v>
      </c>
      <c r="G736" t="str">
        <f>"$ 16294,66"</f>
        <v>$ 16294,66</v>
      </c>
      <c r="H736" t="str">
        <f t="shared" si="485"/>
        <v>$ 0,00</v>
      </c>
      <c r="I736" t="str">
        <f t="shared" si="512"/>
        <v>JUEGO COJINETES BANCADA</v>
      </c>
      <c r="J736" t="str">
        <f t="shared" si="486"/>
        <v>1</v>
      </c>
      <c r="K736" t="str">
        <f t="shared" si="509"/>
        <v>0</v>
      </c>
      <c r="L736" t="str">
        <f>"0,000"</f>
        <v>0,000</v>
      </c>
      <c r="M736" t="str">
        <f t="shared" si="487"/>
        <v xml:space="preserve"> </v>
      </c>
      <c r="N736" t="str">
        <f t="shared" si="474"/>
        <v>MPSI</v>
      </c>
      <c r="O736" t="str">
        <f t="shared" si="475"/>
        <v>COJINETES</v>
      </c>
      <c r="P736" t="str">
        <f t="shared" si="507"/>
        <v>0</v>
      </c>
      <c r="Q736" t="str">
        <f t="shared" si="507"/>
        <v>0</v>
      </c>
      <c r="R736" t="str">
        <f t="shared" si="508"/>
        <v>0,00</v>
      </c>
      <c r="S736" t="str">
        <f t="shared" si="508"/>
        <v>0,00</v>
      </c>
      <c r="T736" t="str">
        <f t="shared" si="506"/>
        <v xml:space="preserve"> </v>
      </c>
      <c r="U736" t="str">
        <f t="shared" si="504"/>
        <v>-</v>
      </c>
      <c r="V736" t="str">
        <f>"0,000"</f>
        <v>0,000</v>
      </c>
      <c r="W736" t="str">
        <f t="shared" si="488"/>
        <v>Lista 4</v>
      </c>
      <c r="X736" t="str">
        <f t="shared" si="489"/>
        <v>Lista 5</v>
      </c>
      <c r="Y736" t="str">
        <f t="shared" si="490"/>
        <v>Oferta Gral.</v>
      </c>
      <c r="Z736" t="str">
        <f t="shared" si="491"/>
        <v>Rubro</v>
      </c>
      <c r="AA736" t="str">
        <f t="shared" si="492"/>
        <v>Cantidad por Bulto</v>
      </c>
      <c r="AB736" t="str">
        <f t="shared" si="493"/>
        <v>INNER</v>
      </c>
      <c r="AC736" t="str">
        <f t="shared" si="494"/>
        <v>Stock en Bultos</v>
      </c>
      <c r="AD736" t="str">
        <f t="shared" si="495"/>
        <v>SubDepósito</v>
      </c>
      <c r="AE736" t="str">
        <f t="shared" si="496"/>
        <v>Marca</v>
      </c>
      <c r="AF736" t="str">
        <f t="shared" si="497"/>
        <v>Super Rubro</v>
      </c>
      <c r="AG736" t="str">
        <f t="shared" si="498"/>
        <v>ComercioExterior</v>
      </c>
      <c r="AH736" t="str">
        <f t="shared" si="499"/>
        <v>PrecioFOB</v>
      </c>
      <c r="AI736" t="str">
        <f t="shared" si="500"/>
        <v>Monto II</v>
      </c>
      <c r="AJ736" t="str">
        <f t="shared" si="501"/>
        <v>Porcentaje II</v>
      </c>
      <c r="AK736" t="str">
        <f t="shared" si="502"/>
        <v>Foto</v>
      </c>
      <c r="AL736" t="str">
        <f t="shared" si="511"/>
        <v xml:space="preserve"> </v>
      </c>
      <c r="AM736" t="str">
        <f t="shared" si="505"/>
        <v xml:space="preserve"> </v>
      </c>
    </row>
    <row r="737" spans="1:39" x14ac:dyDescent="0.25">
      <c r="A737" t="str">
        <f>"BA734 10"</f>
        <v>BA734 10</v>
      </c>
      <c r="B737" t="str">
        <f>"COJINETES BANCADA 0,30 PEUGEOT 306 405 PARTNER 1.9 XUD9 XUDT9"</f>
        <v>COJINETES BANCADA 0,30 PEUGEOT 306 405 PARTNER 1.9 XUD9 XUDT9</v>
      </c>
      <c r="C737" t="str">
        <f>"$ 20029,54"</f>
        <v>$ 20029,54</v>
      </c>
      <c r="D737" t="str">
        <f>"$ 20029,54"</f>
        <v>$ 20029,54</v>
      </c>
      <c r="E737" t="str">
        <f>"$ 20029,54"</f>
        <v>$ 20029,54</v>
      </c>
      <c r="F737" t="str">
        <f>"$ 20029,54"</f>
        <v>$ 20029,54</v>
      </c>
      <c r="G737" t="str">
        <f>"$ 20029,54"</f>
        <v>$ 20029,54</v>
      </c>
      <c r="H737" t="str">
        <f t="shared" si="485"/>
        <v>$ 0,00</v>
      </c>
      <c r="I737" t="str">
        <f t="shared" si="512"/>
        <v>JUEGO COJINETES BANCADA</v>
      </c>
      <c r="J737" t="str">
        <f t="shared" si="486"/>
        <v>1</v>
      </c>
      <c r="K737" t="str">
        <f t="shared" si="509"/>
        <v>0</v>
      </c>
      <c r="L737" t="str">
        <f>"9,000"</f>
        <v>9,000</v>
      </c>
      <c r="M737" t="str">
        <f t="shared" si="487"/>
        <v xml:space="preserve"> </v>
      </c>
      <c r="N737" t="str">
        <f t="shared" si="474"/>
        <v>MPSI</v>
      </c>
      <c r="O737" t="str">
        <f t="shared" si="475"/>
        <v>COJINETES</v>
      </c>
      <c r="P737" t="str">
        <f t="shared" si="507"/>
        <v>0</v>
      </c>
      <c r="Q737" t="str">
        <f t="shared" si="507"/>
        <v>0</v>
      </c>
      <c r="R737" t="str">
        <f t="shared" si="508"/>
        <v>0,00</v>
      </c>
      <c r="S737" t="str">
        <f t="shared" si="508"/>
        <v>0,00</v>
      </c>
      <c r="T737" t="str">
        <f t="shared" si="506"/>
        <v xml:space="preserve"> </v>
      </c>
      <c r="U737" t="str">
        <f t="shared" si="504"/>
        <v>-</v>
      </c>
      <c r="V737" t="str">
        <f>"9,000"</f>
        <v>9,000</v>
      </c>
      <c r="W737" t="str">
        <f t="shared" si="488"/>
        <v>Lista 4</v>
      </c>
      <c r="X737" t="str">
        <f t="shared" si="489"/>
        <v>Lista 5</v>
      </c>
      <c r="Y737" t="str">
        <f t="shared" si="490"/>
        <v>Oferta Gral.</v>
      </c>
      <c r="Z737" t="str">
        <f t="shared" si="491"/>
        <v>Rubro</v>
      </c>
      <c r="AA737" t="str">
        <f t="shared" si="492"/>
        <v>Cantidad por Bulto</v>
      </c>
      <c r="AB737" t="str">
        <f t="shared" si="493"/>
        <v>INNER</v>
      </c>
      <c r="AC737" t="str">
        <f t="shared" si="494"/>
        <v>Stock en Bultos</v>
      </c>
      <c r="AD737" t="str">
        <f t="shared" si="495"/>
        <v>SubDepósito</v>
      </c>
      <c r="AE737" t="str">
        <f t="shared" si="496"/>
        <v>Marca</v>
      </c>
      <c r="AF737" t="str">
        <f t="shared" si="497"/>
        <v>Super Rubro</v>
      </c>
      <c r="AG737" t="str">
        <f t="shared" si="498"/>
        <v>ComercioExterior</v>
      </c>
      <c r="AH737" t="str">
        <f t="shared" si="499"/>
        <v>PrecioFOB</v>
      </c>
      <c r="AI737" t="str">
        <f t="shared" si="500"/>
        <v>Monto II</v>
      </c>
      <c r="AJ737" t="str">
        <f t="shared" si="501"/>
        <v>Porcentaje II</v>
      </c>
      <c r="AK737" t="str">
        <f t="shared" si="502"/>
        <v>Foto</v>
      </c>
      <c r="AL737" t="str">
        <f t="shared" si="511"/>
        <v xml:space="preserve"> </v>
      </c>
      <c r="AM737" t="str">
        <f t="shared" si="505"/>
        <v xml:space="preserve"> </v>
      </c>
    </row>
    <row r="738" spans="1:39" x14ac:dyDescent="0.25">
      <c r="A738" t="str">
        <f>"BA732 10"</f>
        <v>BA732 10</v>
      </c>
      <c r="B738" t="str">
        <f>"COJINETES BANCADA 0,30 PEUGEOT 307 406 2.0 EW10J4 XU7 2 AGUJ"</f>
        <v>COJINETES BANCADA 0,30 PEUGEOT 307 406 2.0 EW10J4 XU7 2 AGUJ</v>
      </c>
      <c r="C738" t="str">
        <f>"$ 22381,90"</f>
        <v>$ 22381,90</v>
      </c>
      <c r="D738" t="str">
        <f>"$ 22381,90"</f>
        <v>$ 22381,90</v>
      </c>
      <c r="E738" t="str">
        <f>"$ 22381,90"</f>
        <v>$ 22381,90</v>
      </c>
      <c r="F738" t="str">
        <f>"$ 22381,90"</f>
        <v>$ 22381,90</v>
      </c>
      <c r="G738" t="str">
        <f>"$ 22381,90"</f>
        <v>$ 22381,90</v>
      </c>
      <c r="H738" t="str">
        <f t="shared" si="485"/>
        <v>$ 0,00</v>
      </c>
      <c r="I738" t="str">
        <f t="shared" si="512"/>
        <v>JUEGO COJINETES BANCADA</v>
      </c>
      <c r="J738" t="str">
        <f t="shared" si="486"/>
        <v>1</v>
      </c>
      <c r="K738" t="str">
        <f t="shared" si="509"/>
        <v>0</v>
      </c>
      <c r="L738" t="str">
        <f>"8,000"</f>
        <v>8,000</v>
      </c>
      <c r="M738" t="str">
        <f t="shared" si="487"/>
        <v xml:space="preserve"> </v>
      </c>
      <c r="N738" t="str">
        <f t="shared" si="474"/>
        <v>MPSI</v>
      </c>
      <c r="O738" t="str">
        <f t="shared" si="475"/>
        <v>COJINETES</v>
      </c>
      <c r="P738" t="str">
        <f t="shared" si="507"/>
        <v>0</v>
      </c>
      <c r="Q738" t="str">
        <f t="shared" si="507"/>
        <v>0</v>
      </c>
      <c r="R738" t="str">
        <f t="shared" si="508"/>
        <v>0,00</v>
      </c>
      <c r="S738" t="str">
        <f t="shared" si="508"/>
        <v>0,00</v>
      </c>
      <c r="T738" t="str">
        <f t="shared" si="506"/>
        <v xml:space="preserve"> </v>
      </c>
      <c r="U738" t="str">
        <f t="shared" si="504"/>
        <v>-</v>
      </c>
      <c r="V738" t="str">
        <f>"8,000"</f>
        <v>8,000</v>
      </c>
      <c r="W738" t="str">
        <f t="shared" si="488"/>
        <v>Lista 4</v>
      </c>
      <c r="X738" t="str">
        <f t="shared" si="489"/>
        <v>Lista 5</v>
      </c>
      <c r="Y738" t="str">
        <f t="shared" si="490"/>
        <v>Oferta Gral.</v>
      </c>
      <c r="Z738" t="str">
        <f t="shared" si="491"/>
        <v>Rubro</v>
      </c>
      <c r="AA738" t="str">
        <f t="shared" si="492"/>
        <v>Cantidad por Bulto</v>
      </c>
      <c r="AB738" t="str">
        <f t="shared" si="493"/>
        <v>INNER</v>
      </c>
      <c r="AC738" t="str">
        <f t="shared" si="494"/>
        <v>Stock en Bultos</v>
      </c>
      <c r="AD738" t="str">
        <f t="shared" si="495"/>
        <v>SubDepósito</v>
      </c>
      <c r="AE738" t="str">
        <f t="shared" si="496"/>
        <v>Marca</v>
      </c>
      <c r="AF738" t="str">
        <f t="shared" si="497"/>
        <v>Super Rubro</v>
      </c>
      <c r="AG738" t="str">
        <f t="shared" si="498"/>
        <v>ComercioExterior</v>
      </c>
      <c r="AH738" t="str">
        <f t="shared" si="499"/>
        <v>PrecioFOB</v>
      </c>
      <c r="AI738" t="str">
        <f t="shared" si="500"/>
        <v>Monto II</v>
      </c>
      <c r="AJ738" t="str">
        <f t="shared" si="501"/>
        <v>Porcentaje II</v>
      </c>
      <c r="AK738" t="str">
        <f t="shared" si="502"/>
        <v>Foto</v>
      </c>
      <c r="AL738" t="str">
        <f t="shared" si="511"/>
        <v xml:space="preserve"> </v>
      </c>
      <c r="AM738" t="str">
        <f t="shared" si="505"/>
        <v xml:space="preserve"> </v>
      </c>
    </row>
    <row r="739" spans="1:39" x14ac:dyDescent="0.25">
      <c r="A739" t="str">
        <f>"BA417 10"</f>
        <v>BA417 10</v>
      </c>
      <c r="B739" t="str">
        <f>"COJINETES BANCADA 0,30 PEUGEOT 307 406 MOTOR 2.0 EW10J4 XU7"</f>
        <v>COJINETES BANCADA 0,30 PEUGEOT 307 406 MOTOR 2.0 EW10J4 XU7</v>
      </c>
      <c r="C739" t="str">
        <f>"$ 22754,31"</f>
        <v>$ 22754,31</v>
      </c>
      <c r="D739" t="str">
        <f>"$ 22754,31"</f>
        <v>$ 22754,31</v>
      </c>
      <c r="E739" t="str">
        <f>"$ 22754,31"</f>
        <v>$ 22754,31</v>
      </c>
      <c r="F739" t="str">
        <f>"$ 22754,31"</f>
        <v>$ 22754,31</v>
      </c>
      <c r="G739" t="str">
        <f>"$ 22754,31"</f>
        <v>$ 22754,31</v>
      </c>
      <c r="H739" t="str">
        <f t="shared" si="485"/>
        <v>$ 0,00</v>
      </c>
      <c r="I739" t="str">
        <f t="shared" si="512"/>
        <v>JUEGO COJINETES BANCADA</v>
      </c>
      <c r="J739" t="str">
        <f t="shared" si="486"/>
        <v>1</v>
      </c>
      <c r="K739" t="str">
        <f t="shared" si="509"/>
        <v>0</v>
      </c>
      <c r="L739" t="str">
        <f>"4,000"</f>
        <v>4,000</v>
      </c>
      <c r="M739" t="str">
        <f t="shared" si="487"/>
        <v xml:space="preserve"> </v>
      </c>
      <c r="N739" t="str">
        <f t="shared" si="474"/>
        <v>MPSI</v>
      </c>
      <c r="O739" t="str">
        <f t="shared" si="475"/>
        <v>COJINETES</v>
      </c>
      <c r="P739" t="str">
        <f t="shared" si="507"/>
        <v>0</v>
      </c>
      <c r="Q739" t="str">
        <f t="shared" si="507"/>
        <v>0</v>
      </c>
      <c r="R739" t="str">
        <f t="shared" si="508"/>
        <v>0,00</v>
      </c>
      <c r="S739" t="str">
        <f t="shared" si="508"/>
        <v>0,00</v>
      </c>
      <c r="T739" t="str">
        <f t="shared" si="506"/>
        <v xml:space="preserve"> </v>
      </c>
      <c r="U739" t="str">
        <f t="shared" si="504"/>
        <v>-</v>
      </c>
      <c r="V739" t="str">
        <f>"4,000"</f>
        <v>4,000</v>
      </c>
      <c r="W739" t="str">
        <f t="shared" si="488"/>
        <v>Lista 4</v>
      </c>
      <c r="X739" t="str">
        <f t="shared" si="489"/>
        <v>Lista 5</v>
      </c>
      <c r="Y739" t="str">
        <f t="shared" si="490"/>
        <v>Oferta Gral.</v>
      </c>
      <c r="Z739" t="str">
        <f t="shared" si="491"/>
        <v>Rubro</v>
      </c>
      <c r="AA739" t="str">
        <f t="shared" si="492"/>
        <v>Cantidad por Bulto</v>
      </c>
      <c r="AB739" t="str">
        <f t="shared" si="493"/>
        <v>INNER</v>
      </c>
      <c r="AC739" t="str">
        <f t="shared" si="494"/>
        <v>Stock en Bultos</v>
      </c>
      <c r="AD739" t="str">
        <f t="shared" si="495"/>
        <v>SubDepósito</v>
      </c>
      <c r="AE739" t="str">
        <f t="shared" si="496"/>
        <v>Marca</v>
      </c>
      <c r="AF739" t="str">
        <f t="shared" si="497"/>
        <v>Super Rubro</v>
      </c>
      <c r="AG739" t="str">
        <f t="shared" si="498"/>
        <v>ComercioExterior</v>
      </c>
      <c r="AH739" t="str">
        <f t="shared" si="499"/>
        <v>PrecioFOB</v>
      </c>
      <c r="AI739" t="str">
        <f t="shared" si="500"/>
        <v>Monto II</v>
      </c>
      <c r="AJ739" t="str">
        <f t="shared" si="501"/>
        <v>Porcentaje II</v>
      </c>
      <c r="AK739" t="str">
        <f t="shared" si="502"/>
        <v>Foto</v>
      </c>
      <c r="AL739" t="str">
        <f t="shared" si="511"/>
        <v xml:space="preserve"> </v>
      </c>
      <c r="AM739" t="str">
        <f t="shared" si="505"/>
        <v xml:space="preserve"> </v>
      </c>
    </row>
    <row r="740" spans="1:39" x14ac:dyDescent="0.25">
      <c r="A740" t="str">
        <f>"BA678 10"</f>
        <v>BA678 10</v>
      </c>
      <c r="B740" t="str">
        <f>"COJINETES BANCADA 0,30 PEUGEOT 307 CITROEN C4 1.6 16V TU5JP4"</f>
        <v>COJINETES BANCADA 0,30 PEUGEOT 307 CITROEN C4 1.6 16V TU5JP4</v>
      </c>
      <c r="C740" t="str">
        <f>"$ 18304,00"</f>
        <v>$ 18304,00</v>
      </c>
      <c r="D740" t="str">
        <f>"$ 18304,00"</f>
        <v>$ 18304,00</v>
      </c>
      <c r="E740" t="str">
        <f>"$ 18304,00"</f>
        <v>$ 18304,00</v>
      </c>
      <c r="F740" t="str">
        <f>"$ 18304,00"</f>
        <v>$ 18304,00</v>
      </c>
      <c r="G740" t="str">
        <f>"$ 18304,00"</f>
        <v>$ 18304,00</v>
      </c>
      <c r="H740" t="str">
        <f t="shared" si="485"/>
        <v>$ 0,00</v>
      </c>
      <c r="I740" t="str">
        <f t="shared" si="512"/>
        <v>JUEGO COJINETES BANCADA</v>
      </c>
      <c r="J740" t="str">
        <f t="shared" si="486"/>
        <v>1</v>
      </c>
      <c r="K740" t="str">
        <f t="shared" si="509"/>
        <v>0</v>
      </c>
      <c r="L740" t="str">
        <f>"2,000"</f>
        <v>2,000</v>
      </c>
      <c r="M740" t="str">
        <f t="shared" si="487"/>
        <v xml:space="preserve"> </v>
      </c>
      <c r="N740" t="str">
        <f t="shared" si="474"/>
        <v>MPSI</v>
      </c>
      <c r="O740" t="str">
        <f t="shared" si="475"/>
        <v>COJINETES</v>
      </c>
      <c r="P740" t="str">
        <f t="shared" si="507"/>
        <v>0</v>
      </c>
      <c r="Q740" t="str">
        <f t="shared" si="507"/>
        <v>0</v>
      </c>
      <c r="R740" t="str">
        <f t="shared" si="508"/>
        <v>0,00</v>
      </c>
      <c r="S740" t="str">
        <f t="shared" si="508"/>
        <v>0,00</v>
      </c>
      <c r="T740" t="str">
        <f t="shared" si="506"/>
        <v xml:space="preserve"> </v>
      </c>
      <c r="U740" t="str">
        <f t="shared" si="504"/>
        <v>-</v>
      </c>
      <c r="V740" t="str">
        <f>"2,000"</f>
        <v>2,000</v>
      </c>
      <c r="W740" t="str">
        <f t="shared" si="488"/>
        <v>Lista 4</v>
      </c>
      <c r="X740" t="str">
        <f t="shared" si="489"/>
        <v>Lista 5</v>
      </c>
      <c r="Y740" t="str">
        <f t="shared" si="490"/>
        <v>Oferta Gral.</v>
      </c>
      <c r="Z740" t="str">
        <f t="shared" si="491"/>
        <v>Rubro</v>
      </c>
      <c r="AA740" t="str">
        <f t="shared" si="492"/>
        <v>Cantidad por Bulto</v>
      </c>
      <c r="AB740" t="str">
        <f t="shared" si="493"/>
        <v>INNER</v>
      </c>
      <c r="AC740" t="str">
        <f t="shared" si="494"/>
        <v>Stock en Bultos</v>
      </c>
      <c r="AD740" t="str">
        <f t="shared" si="495"/>
        <v>SubDepósito</v>
      </c>
      <c r="AE740" t="str">
        <f t="shared" si="496"/>
        <v>Marca</v>
      </c>
      <c r="AF740" t="str">
        <f t="shared" si="497"/>
        <v>Super Rubro</v>
      </c>
      <c r="AG740" t="str">
        <f t="shared" si="498"/>
        <v>ComercioExterior</v>
      </c>
      <c r="AH740" t="str">
        <f t="shared" si="499"/>
        <v>PrecioFOB</v>
      </c>
      <c r="AI740" t="str">
        <f t="shared" si="500"/>
        <v>Monto II</v>
      </c>
      <c r="AJ740" t="str">
        <f t="shared" si="501"/>
        <v>Porcentaje II</v>
      </c>
      <c r="AK740" t="str">
        <f t="shared" si="502"/>
        <v>Foto</v>
      </c>
      <c r="AL740" t="str">
        <f t="shared" si="511"/>
        <v xml:space="preserve"> </v>
      </c>
      <c r="AM740" t="str">
        <f t="shared" si="505"/>
        <v xml:space="preserve"> </v>
      </c>
    </row>
    <row r="741" spans="1:39" x14ac:dyDescent="0.25">
      <c r="A741" t="str">
        <f>"BA411 10"</f>
        <v>BA411 10</v>
      </c>
      <c r="B741" t="str">
        <f>"COJINETES BANCADA 0,30 PEUGEOT 404 1600  FM 4432M"</f>
        <v>COJINETES BANCADA 0,30 PEUGEOT 404 1600  FM 4432M</v>
      </c>
      <c r="C741" t="str">
        <f>"$ 49903,07"</f>
        <v>$ 49903,07</v>
      </c>
      <c r="D741" t="str">
        <f>"$ 49903,07"</f>
        <v>$ 49903,07</v>
      </c>
      <c r="E741" t="str">
        <f>"$ 49903,07"</f>
        <v>$ 49903,07</v>
      </c>
      <c r="F741" t="str">
        <f>"$ 49903,07"</f>
        <v>$ 49903,07</v>
      </c>
      <c r="G741" t="str">
        <f>"$ 49903,07"</f>
        <v>$ 49903,07</v>
      </c>
      <c r="H741" t="str">
        <f t="shared" si="485"/>
        <v>$ 0,00</v>
      </c>
      <c r="I741" t="str">
        <f t="shared" si="512"/>
        <v>JUEGO COJINETES BANCADA</v>
      </c>
      <c r="J741" t="str">
        <f t="shared" si="486"/>
        <v>1</v>
      </c>
      <c r="K741" t="str">
        <f t="shared" si="509"/>
        <v>0</v>
      </c>
      <c r="L741" t="str">
        <f>"0,000"</f>
        <v>0,000</v>
      </c>
      <c r="M741" t="str">
        <f t="shared" si="487"/>
        <v xml:space="preserve"> </v>
      </c>
      <c r="N741" t="str">
        <f t="shared" ref="N741:N804" si="513">"MPSI"</f>
        <v>MPSI</v>
      </c>
      <c r="O741" t="str">
        <f t="shared" ref="O741:O804" si="514">"COJINETES"</f>
        <v>COJINETES</v>
      </c>
      <c r="P741" t="str">
        <f t="shared" si="507"/>
        <v>0</v>
      </c>
      <c r="Q741" t="str">
        <f t="shared" si="507"/>
        <v>0</v>
      </c>
      <c r="R741" t="str">
        <f t="shared" si="508"/>
        <v>0,00</v>
      </c>
      <c r="S741" t="str">
        <f t="shared" si="508"/>
        <v>0,00</v>
      </c>
      <c r="T741" t="str">
        <f t="shared" si="506"/>
        <v xml:space="preserve"> </v>
      </c>
      <c r="U741" t="str">
        <f>" "</f>
        <v xml:space="preserve"> </v>
      </c>
      <c r="V741" t="str">
        <f>"0,000"</f>
        <v>0,000</v>
      </c>
      <c r="W741" t="str">
        <f t="shared" si="488"/>
        <v>Lista 4</v>
      </c>
      <c r="X741" t="str">
        <f t="shared" si="489"/>
        <v>Lista 5</v>
      </c>
      <c r="Y741" t="str">
        <f t="shared" si="490"/>
        <v>Oferta Gral.</v>
      </c>
      <c r="Z741" t="str">
        <f t="shared" si="491"/>
        <v>Rubro</v>
      </c>
      <c r="AA741" t="str">
        <f t="shared" si="492"/>
        <v>Cantidad por Bulto</v>
      </c>
      <c r="AB741" t="str">
        <f t="shared" si="493"/>
        <v>INNER</v>
      </c>
      <c r="AC741" t="str">
        <f t="shared" si="494"/>
        <v>Stock en Bultos</v>
      </c>
      <c r="AD741" t="str">
        <f t="shared" si="495"/>
        <v>SubDepósito</v>
      </c>
      <c r="AE741" t="str">
        <f t="shared" si="496"/>
        <v>Marca</v>
      </c>
      <c r="AF741" t="str">
        <f t="shared" si="497"/>
        <v>Super Rubro</v>
      </c>
      <c r="AG741" t="str">
        <f t="shared" si="498"/>
        <v>ComercioExterior</v>
      </c>
      <c r="AH741" t="str">
        <f t="shared" si="499"/>
        <v>PrecioFOB</v>
      </c>
      <c r="AI741" t="str">
        <f t="shared" si="500"/>
        <v>Monto II</v>
      </c>
      <c r="AJ741" t="str">
        <f t="shared" si="501"/>
        <v>Porcentaje II</v>
      </c>
      <c r="AK741" t="str">
        <f t="shared" si="502"/>
        <v>Foto</v>
      </c>
      <c r="AL741" t="str">
        <f>"{\rtf1\ansi\ansicpg1252\deff0\deflang11274{\fonttbl{\f0\fnil\fcharset0 MS Sans Serif}} \viewkind4\uc1\pard\f0\fs16 COJINETES BANCADA 0,30 PEUGEOT 404 1600  FM 4432M\par } "</f>
        <v xml:space="preserve">{\rtf1\ansi\ansicpg1252\deff0\deflang11274{\fonttbl{\f0\fnil\fcharset0 MS Sans Serif}} \viewkind4\uc1\pard\f0\fs16 COJINETES BANCADA 0,30 PEUGEOT 404 1600  FM 4432M\par } </v>
      </c>
      <c r="AM741" t="str">
        <f>"-"</f>
        <v>-</v>
      </c>
    </row>
    <row r="742" spans="1:39" x14ac:dyDescent="0.25">
      <c r="A742" t="str">
        <f>"BA419 10"</f>
        <v>BA419 10</v>
      </c>
      <c r="B742" t="str">
        <f>"COJINETES BANCADA 0,30 PEUGEOT 404 504 1.6 1.8 2.0"</f>
        <v>COJINETES BANCADA 0,30 PEUGEOT 404 504 1.6 1.8 2.0</v>
      </c>
      <c r="C742" t="str">
        <f>"$ 26292,22"</f>
        <v>$ 26292,22</v>
      </c>
      <c r="D742" t="str">
        <f>"$ 26292,22"</f>
        <v>$ 26292,22</v>
      </c>
      <c r="E742" t="str">
        <f>"$ 26292,22"</f>
        <v>$ 26292,22</v>
      </c>
      <c r="F742" t="str">
        <f>"$ 26292,22"</f>
        <v>$ 26292,22</v>
      </c>
      <c r="G742" t="str">
        <f>"$ 26292,22"</f>
        <v>$ 26292,22</v>
      </c>
      <c r="H742" t="str">
        <f t="shared" si="485"/>
        <v>$ 0,00</v>
      </c>
      <c r="I742" t="str">
        <f t="shared" si="512"/>
        <v>JUEGO COJINETES BANCADA</v>
      </c>
      <c r="J742" t="str">
        <f t="shared" si="486"/>
        <v>1</v>
      </c>
      <c r="K742" t="str">
        <f t="shared" si="509"/>
        <v>0</v>
      </c>
      <c r="L742" t="str">
        <f>"2,000"</f>
        <v>2,000</v>
      </c>
      <c r="M742" t="str">
        <f t="shared" si="487"/>
        <v xml:space="preserve"> </v>
      </c>
      <c r="N742" t="str">
        <f t="shared" si="513"/>
        <v>MPSI</v>
      </c>
      <c r="O742" t="str">
        <f t="shared" si="514"/>
        <v>COJINETES</v>
      </c>
      <c r="P742" t="str">
        <f t="shared" si="507"/>
        <v>0</v>
      </c>
      <c r="Q742" t="str">
        <f t="shared" si="507"/>
        <v>0</v>
      </c>
      <c r="R742" t="str">
        <f t="shared" si="508"/>
        <v>0,00</v>
      </c>
      <c r="S742" t="str">
        <f t="shared" si="508"/>
        <v>0,00</v>
      </c>
      <c r="T742" t="str">
        <f t="shared" si="506"/>
        <v xml:space="preserve"> </v>
      </c>
      <c r="U742" t="str">
        <f t="shared" ref="U742:U773" si="515">"-"</f>
        <v>-</v>
      </c>
      <c r="V742" t="str">
        <f>"2,000"</f>
        <v>2,000</v>
      </c>
      <c r="W742" t="str">
        <f t="shared" si="488"/>
        <v>Lista 4</v>
      </c>
      <c r="X742" t="str">
        <f t="shared" si="489"/>
        <v>Lista 5</v>
      </c>
      <c r="Y742" t="str">
        <f t="shared" si="490"/>
        <v>Oferta Gral.</v>
      </c>
      <c r="Z742" t="str">
        <f t="shared" si="491"/>
        <v>Rubro</v>
      </c>
      <c r="AA742" t="str">
        <f t="shared" si="492"/>
        <v>Cantidad por Bulto</v>
      </c>
      <c r="AB742" t="str">
        <f t="shared" si="493"/>
        <v>INNER</v>
      </c>
      <c r="AC742" t="str">
        <f t="shared" si="494"/>
        <v>Stock en Bultos</v>
      </c>
      <c r="AD742" t="str">
        <f t="shared" si="495"/>
        <v>SubDepósito</v>
      </c>
      <c r="AE742" t="str">
        <f t="shared" si="496"/>
        <v>Marca</v>
      </c>
      <c r="AF742" t="str">
        <f t="shared" si="497"/>
        <v>Super Rubro</v>
      </c>
      <c r="AG742" t="str">
        <f t="shared" si="498"/>
        <v>ComercioExterior</v>
      </c>
      <c r="AH742" t="str">
        <f t="shared" si="499"/>
        <v>PrecioFOB</v>
      </c>
      <c r="AI742" t="str">
        <f t="shared" si="500"/>
        <v>Monto II</v>
      </c>
      <c r="AJ742" t="str">
        <f t="shared" si="501"/>
        <v>Porcentaje II</v>
      </c>
      <c r="AK742" t="str">
        <f t="shared" si="502"/>
        <v>Foto</v>
      </c>
      <c r="AL742" t="str">
        <f t="shared" ref="AL742:AM749" si="516">" "</f>
        <v xml:space="preserve"> </v>
      </c>
      <c r="AM742" t="str">
        <f t="shared" si="516"/>
        <v xml:space="preserve"> </v>
      </c>
    </row>
    <row r="743" spans="1:39" x14ac:dyDescent="0.25">
      <c r="A743" t="str">
        <f>"BA413 10"</f>
        <v>BA413 10</v>
      </c>
      <c r="B743" t="str">
        <f>"COJINETES BANCADA 0,30 PEUGEOT 404 504 DIESEL XD 4.88"</f>
        <v>COJINETES BANCADA 0,30 PEUGEOT 404 504 DIESEL XD 4.88</v>
      </c>
      <c r="C743" t="str">
        <f>"$ 24839,81"</f>
        <v>$ 24839,81</v>
      </c>
      <c r="D743" t="str">
        <f>"$ 24839,81"</f>
        <v>$ 24839,81</v>
      </c>
      <c r="E743" t="str">
        <f>"$ 24839,81"</f>
        <v>$ 24839,81</v>
      </c>
      <c r="F743" t="str">
        <f>"$ 24839,81"</f>
        <v>$ 24839,81</v>
      </c>
      <c r="G743" t="str">
        <f>"$ 24839,81"</f>
        <v>$ 24839,81</v>
      </c>
      <c r="H743" t="str">
        <f t="shared" si="485"/>
        <v>$ 0,00</v>
      </c>
      <c r="I743" t="str">
        <f t="shared" si="512"/>
        <v>JUEGO COJINETES BANCADA</v>
      </c>
      <c r="J743" t="str">
        <f t="shared" si="486"/>
        <v>1</v>
      </c>
      <c r="K743" t="str">
        <f t="shared" si="509"/>
        <v>0</v>
      </c>
      <c r="L743" t="str">
        <f>"2,000"</f>
        <v>2,000</v>
      </c>
      <c r="M743" t="str">
        <f t="shared" si="487"/>
        <v xml:space="preserve"> </v>
      </c>
      <c r="N743" t="str">
        <f t="shared" si="513"/>
        <v>MPSI</v>
      </c>
      <c r="O743" t="str">
        <f t="shared" si="514"/>
        <v>COJINETES</v>
      </c>
      <c r="P743" t="str">
        <f t="shared" ref="P743:Q762" si="517">"0"</f>
        <v>0</v>
      </c>
      <c r="Q743" t="str">
        <f t="shared" si="517"/>
        <v>0</v>
      </c>
      <c r="R743" t="str">
        <f t="shared" ref="R743:S762" si="518">"0,00"</f>
        <v>0,00</v>
      </c>
      <c r="S743" t="str">
        <f t="shared" si="518"/>
        <v>0,00</v>
      </c>
      <c r="T743" t="str">
        <f t="shared" si="506"/>
        <v xml:space="preserve"> </v>
      </c>
      <c r="U743" t="str">
        <f t="shared" si="515"/>
        <v>-</v>
      </c>
      <c r="V743" t="str">
        <f>"2,000"</f>
        <v>2,000</v>
      </c>
      <c r="W743" t="str">
        <f t="shared" si="488"/>
        <v>Lista 4</v>
      </c>
      <c r="X743" t="str">
        <f t="shared" si="489"/>
        <v>Lista 5</v>
      </c>
      <c r="Y743" t="str">
        <f t="shared" si="490"/>
        <v>Oferta Gral.</v>
      </c>
      <c r="Z743" t="str">
        <f t="shared" si="491"/>
        <v>Rubro</v>
      </c>
      <c r="AA743" t="str">
        <f t="shared" si="492"/>
        <v>Cantidad por Bulto</v>
      </c>
      <c r="AB743" t="str">
        <f t="shared" si="493"/>
        <v>INNER</v>
      </c>
      <c r="AC743" t="str">
        <f t="shared" si="494"/>
        <v>Stock en Bultos</v>
      </c>
      <c r="AD743" t="str">
        <f t="shared" si="495"/>
        <v>SubDepósito</v>
      </c>
      <c r="AE743" t="str">
        <f t="shared" si="496"/>
        <v>Marca</v>
      </c>
      <c r="AF743" t="str">
        <f t="shared" si="497"/>
        <v>Super Rubro</v>
      </c>
      <c r="AG743" t="str">
        <f t="shared" si="498"/>
        <v>ComercioExterior</v>
      </c>
      <c r="AH743" t="str">
        <f t="shared" si="499"/>
        <v>PrecioFOB</v>
      </c>
      <c r="AI743" t="str">
        <f t="shared" si="500"/>
        <v>Monto II</v>
      </c>
      <c r="AJ743" t="str">
        <f t="shared" si="501"/>
        <v>Porcentaje II</v>
      </c>
      <c r="AK743" t="str">
        <f t="shared" si="502"/>
        <v>Foto</v>
      </c>
      <c r="AL743" t="str">
        <f t="shared" si="516"/>
        <v xml:space="preserve"> </v>
      </c>
      <c r="AM743" t="str">
        <f t="shared" si="516"/>
        <v xml:space="preserve"> </v>
      </c>
    </row>
    <row r="744" spans="1:39" x14ac:dyDescent="0.25">
      <c r="A744" t="str">
        <f>"BA415 10"</f>
        <v>BA415 10</v>
      </c>
      <c r="B744" t="str">
        <f>"COJINETES BANCADA 0,30 PEUGEOT 504 505 DIESEL XD2 XD3"</f>
        <v>COJINETES BANCADA 0,30 PEUGEOT 504 505 DIESEL XD2 XD3</v>
      </c>
      <c r="C744" t="str">
        <f>"$ 29048,06"</f>
        <v>$ 29048,06</v>
      </c>
      <c r="D744" t="str">
        <f>"$ 29048,06"</f>
        <v>$ 29048,06</v>
      </c>
      <c r="E744" t="str">
        <f>"$ 29048,06"</f>
        <v>$ 29048,06</v>
      </c>
      <c r="F744" t="str">
        <f>"$ 29048,06"</f>
        <v>$ 29048,06</v>
      </c>
      <c r="G744" t="str">
        <f>"$ 29048,06"</f>
        <v>$ 29048,06</v>
      </c>
      <c r="H744" t="str">
        <f t="shared" si="485"/>
        <v>$ 0,00</v>
      </c>
      <c r="I744" t="str">
        <f t="shared" si="512"/>
        <v>JUEGO COJINETES BANCADA</v>
      </c>
      <c r="J744" t="str">
        <f t="shared" si="486"/>
        <v>1</v>
      </c>
      <c r="K744" t="str">
        <f t="shared" si="509"/>
        <v>0</v>
      </c>
      <c r="L744" t="str">
        <f>"8,000"</f>
        <v>8,000</v>
      </c>
      <c r="M744" t="str">
        <f t="shared" si="487"/>
        <v xml:space="preserve"> </v>
      </c>
      <c r="N744" t="str">
        <f t="shared" si="513"/>
        <v>MPSI</v>
      </c>
      <c r="O744" t="str">
        <f t="shared" si="514"/>
        <v>COJINETES</v>
      </c>
      <c r="P744" t="str">
        <f t="shared" si="517"/>
        <v>0</v>
      </c>
      <c r="Q744" t="str">
        <f t="shared" si="517"/>
        <v>0</v>
      </c>
      <c r="R744" t="str">
        <f t="shared" si="518"/>
        <v>0,00</v>
      </c>
      <c r="S744" t="str">
        <f t="shared" si="518"/>
        <v>0,00</v>
      </c>
      <c r="T744" t="str">
        <f t="shared" si="506"/>
        <v xml:space="preserve"> </v>
      </c>
      <c r="U744" t="str">
        <f t="shared" si="515"/>
        <v>-</v>
      </c>
      <c r="V744" t="str">
        <f>"8,000"</f>
        <v>8,000</v>
      </c>
      <c r="W744" t="str">
        <f t="shared" si="488"/>
        <v>Lista 4</v>
      </c>
      <c r="X744" t="str">
        <f t="shared" si="489"/>
        <v>Lista 5</v>
      </c>
      <c r="Y744" t="str">
        <f t="shared" si="490"/>
        <v>Oferta Gral.</v>
      </c>
      <c r="Z744" t="str">
        <f t="shared" si="491"/>
        <v>Rubro</v>
      </c>
      <c r="AA744" t="str">
        <f t="shared" si="492"/>
        <v>Cantidad por Bulto</v>
      </c>
      <c r="AB744" t="str">
        <f t="shared" si="493"/>
        <v>INNER</v>
      </c>
      <c r="AC744" t="str">
        <f t="shared" si="494"/>
        <v>Stock en Bultos</v>
      </c>
      <c r="AD744" t="str">
        <f t="shared" si="495"/>
        <v>SubDepósito</v>
      </c>
      <c r="AE744" t="str">
        <f t="shared" si="496"/>
        <v>Marca</v>
      </c>
      <c r="AF744" t="str">
        <f t="shared" si="497"/>
        <v>Super Rubro</v>
      </c>
      <c r="AG744" t="str">
        <f t="shared" si="498"/>
        <v>ComercioExterior</v>
      </c>
      <c r="AH744" t="str">
        <f t="shared" si="499"/>
        <v>PrecioFOB</v>
      </c>
      <c r="AI744" t="str">
        <f t="shared" si="500"/>
        <v>Monto II</v>
      </c>
      <c r="AJ744" t="str">
        <f t="shared" si="501"/>
        <v>Porcentaje II</v>
      </c>
      <c r="AK744" t="str">
        <f t="shared" si="502"/>
        <v>Foto</v>
      </c>
      <c r="AL744" t="str">
        <f t="shared" si="516"/>
        <v xml:space="preserve"> </v>
      </c>
      <c r="AM744" t="str">
        <f t="shared" si="516"/>
        <v xml:space="preserve"> </v>
      </c>
    </row>
    <row r="745" spans="1:39" x14ac:dyDescent="0.25">
      <c r="A745" t="str">
        <f>"BA733 10"</f>
        <v>BA733 10</v>
      </c>
      <c r="B745" t="str">
        <f>"COJINETES BANCADA 0,30 PEUGEOT BOXER 2,5 DJ5"</f>
        <v>COJINETES BANCADA 0,30 PEUGEOT BOXER 2,5 DJ5</v>
      </c>
      <c r="C745" t="str">
        <f>"$ 40387,97"</f>
        <v>$ 40387,97</v>
      </c>
      <c r="D745" t="str">
        <f>"$ 40387,97"</f>
        <v>$ 40387,97</v>
      </c>
      <c r="E745" t="str">
        <f>"$ 40387,97"</f>
        <v>$ 40387,97</v>
      </c>
      <c r="F745" t="str">
        <f>"$ 40387,97"</f>
        <v>$ 40387,97</v>
      </c>
      <c r="G745" t="str">
        <f>"$ 40387,97"</f>
        <v>$ 40387,97</v>
      </c>
      <c r="H745" t="str">
        <f t="shared" si="485"/>
        <v>$ 0,00</v>
      </c>
      <c r="I745" t="str">
        <f t="shared" si="512"/>
        <v>JUEGO COJINETES BANCADA</v>
      </c>
      <c r="J745" t="str">
        <f t="shared" si="486"/>
        <v>1</v>
      </c>
      <c r="K745" t="str">
        <f t="shared" si="509"/>
        <v>0</v>
      </c>
      <c r="L745" t="str">
        <f>"4,000"</f>
        <v>4,000</v>
      </c>
      <c r="M745" t="str">
        <f t="shared" si="487"/>
        <v xml:space="preserve"> </v>
      </c>
      <c r="N745" t="str">
        <f t="shared" si="513"/>
        <v>MPSI</v>
      </c>
      <c r="O745" t="str">
        <f t="shared" si="514"/>
        <v>COJINETES</v>
      </c>
      <c r="P745" t="str">
        <f t="shared" si="517"/>
        <v>0</v>
      </c>
      <c r="Q745" t="str">
        <f t="shared" si="517"/>
        <v>0</v>
      </c>
      <c r="R745" t="str">
        <f t="shared" si="518"/>
        <v>0,00</v>
      </c>
      <c r="S745" t="str">
        <f t="shared" si="518"/>
        <v>0,00</v>
      </c>
      <c r="T745" t="str">
        <f t="shared" si="506"/>
        <v xml:space="preserve"> </v>
      </c>
      <c r="U745" t="str">
        <f t="shared" si="515"/>
        <v>-</v>
      </c>
      <c r="V745" t="str">
        <f>"4,000"</f>
        <v>4,000</v>
      </c>
      <c r="W745" t="str">
        <f t="shared" si="488"/>
        <v>Lista 4</v>
      </c>
      <c r="X745" t="str">
        <f t="shared" si="489"/>
        <v>Lista 5</v>
      </c>
      <c r="Y745" t="str">
        <f t="shared" si="490"/>
        <v>Oferta Gral.</v>
      </c>
      <c r="Z745" t="str">
        <f t="shared" si="491"/>
        <v>Rubro</v>
      </c>
      <c r="AA745" t="str">
        <f t="shared" si="492"/>
        <v>Cantidad por Bulto</v>
      </c>
      <c r="AB745" t="str">
        <f t="shared" si="493"/>
        <v>INNER</v>
      </c>
      <c r="AC745" t="str">
        <f t="shared" si="494"/>
        <v>Stock en Bultos</v>
      </c>
      <c r="AD745" t="str">
        <f t="shared" si="495"/>
        <v>SubDepósito</v>
      </c>
      <c r="AE745" t="str">
        <f t="shared" si="496"/>
        <v>Marca</v>
      </c>
      <c r="AF745" t="str">
        <f t="shared" si="497"/>
        <v>Super Rubro</v>
      </c>
      <c r="AG745" t="str">
        <f t="shared" si="498"/>
        <v>ComercioExterior</v>
      </c>
      <c r="AH745" t="str">
        <f t="shared" si="499"/>
        <v>PrecioFOB</v>
      </c>
      <c r="AI745" t="str">
        <f t="shared" si="500"/>
        <v>Monto II</v>
      </c>
      <c r="AJ745" t="str">
        <f t="shared" si="501"/>
        <v>Porcentaje II</v>
      </c>
      <c r="AK745" t="str">
        <f t="shared" si="502"/>
        <v>Foto</v>
      </c>
      <c r="AL745" t="str">
        <f t="shared" si="516"/>
        <v xml:space="preserve"> </v>
      </c>
      <c r="AM745" t="str">
        <f t="shared" si="516"/>
        <v xml:space="preserve"> </v>
      </c>
    </row>
    <row r="746" spans="1:39" x14ac:dyDescent="0.25">
      <c r="A746" t="str">
        <f>"BA629 20"</f>
        <v>BA629 20</v>
      </c>
      <c r="B746" t="str">
        <f>"COJINETES BANCADA 0,50 AMAROK 2.0 TDI"</f>
        <v>COJINETES BANCADA 0,50 AMAROK 2.0 TDI</v>
      </c>
      <c r="C746" t="str">
        <f>"$ 31432,50"</f>
        <v>$ 31432,50</v>
      </c>
      <c r="D746" t="str">
        <f>"$ 31432,50"</f>
        <v>$ 31432,50</v>
      </c>
      <c r="E746" t="str">
        <f>"$ 31432,50"</f>
        <v>$ 31432,50</v>
      </c>
      <c r="F746" t="str">
        <f>"$ 31432,50"</f>
        <v>$ 31432,50</v>
      </c>
      <c r="G746" t="str">
        <f>"$ 31432,50"</f>
        <v>$ 31432,50</v>
      </c>
      <c r="H746" t="str">
        <f t="shared" si="485"/>
        <v>$ 0,00</v>
      </c>
      <c r="I746" t="str">
        <f t="shared" si="512"/>
        <v>JUEGO COJINETES BANCADA</v>
      </c>
      <c r="J746" t="str">
        <f t="shared" si="486"/>
        <v>1</v>
      </c>
      <c r="K746" t="str">
        <f t="shared" si="509"/>
        <v>0</v>
      </c>
      <c r="L746" t="str">
        <f>"7,000"</f>
        <v>7,000</v>
      </c>
      <c r="M746" t="str">
        <f t="shared" si="487"/>
        <v xml:space="preserve"> </v>
      </c>
      <c r="N746" t="str">
        <f t="shared" si="513"/>
        <v>MPSI</v>
      </c>
      <c r="O746" t="str">
        <f t="shared" si="514"/>
        <v>COJINETES</v>
      </c>
      <c r="P746" t="str">
        <f t="shared" si="517"/>
        <v>0</v>
      </c>
      <c r="Q746" t="str">
        <f t="shared" si="517"/>
        <v>0</v>
      </c>
      <c r="R746" t="str">
        <f t="shared" si="518"/>
        <v>0,00</v>
      </c>
      <c r="S746" t="str">
        <f t="shared" si="518"/>
        <v>0,00</v>
      </c>
      <c r="T746" t="str">
        <f t="shared" si="506"/>
        <v xml:space="preserve"> </v>
      </c>
      <c r="U746" t="str">
        <f t="shared" si="515"/>
        <v>-</v>
      </c>
      <c r="V746" t="str">
        <f>"7,000"</f>
        <v>7,000</v>
      </c>
      <c r="W746" t="str">
        <f t="shared" si="488"/>
        <v>Lista 4</v>
      </c>
      <c r="X746" t="str">
        <f t="shared" si="489"/>
        <v>Lista 5</v>
      </c>
      <c r="Y746" t="str">
        <f t="shared" si="490"/>
        <v>Oferta Gral.</v>
      </c>
      <c r="Z746" t="str">
        <f t="shared" si="491"/>
        <v>Rubro</v>
      </c>
      <c r="AA746" t="str">
        <f t="shared" si="492"/>
        <v>Cantidad por Bulto</v>
      </c>
      <c r="AB746" t="str">
        <f t="shared" si="493"/>
        <v>INNER</v>
      </c>
      <c r="AC746" t="str">
        <f t="shared" si="494"/>
        <v>Stock en Bultos</v>
      </c>
      <c r="AD746" t="str">
        <f t="shared" si="495"/>
        <v>SubDepósito</v>
      </c>
      <c r="AE746" t="str">
        <f t="shared" si="496"/>
        <v>Marca</v>
      </c>
      <c r="AF746" t="str">
        <f t="shared" si="497"/>
        <v>Super Rubro</v>
      </c>
      <c r="AG746" t="str">
        <f t="shared" si="498"/>
        <v>ComercioExterior</v>
      </c>
      <c r="AH746" t="str">
        <f t="shared" si="499"/>
        <v>PrecioFOB</v>
      </c>
      <c r="AI746" t="str">
        <f t="shared" si="500"/>
        <v>Monto II</v>
      </c>
      <c r="AJ746" t="str">
        <f t="shared" si="501"/>
        <v>Porcentaje II</v>
      </c>
      <c r="AK746" t="str">
        <f t="shared" si="502"/>
        <v>Foto</v>
      </c>
      <c r="AL746" t="str">
        <f t="shared" si="516"/>
        <v xml:space="preserve"> </v>
      </c>
      <c r="AM746" t="str">
        <f t="shared" si="516"/>
        <v xml:space="preserve"> </v>
      </c>
    </row>
    <row r="747" spans="1:39" x14ac:dyDescent="0.25">
      <c r="A747" t="str">
        <f>"BA045481 20"</f>
        <v>BA045481 20</v>
      </c>
      <c r="B747" t="str">
        <f>"COJINETES BANCADA 0,50 CHERY SQR484F/SQR481FC"</f>
        <v>COJINETES BANCADA 0,50 CHERY SQR484F/SQR481FC</v>
      </c>
      <c r="C747" t="str">
        <f>"$ 28675,65"</f>
        <v>$ 28675,65</v>
      </c>
      <c r="D747" t="str">
        <f>"$ 28675,65"</f>
        <v>$ 28675,65</v>
      </c>
      <c r="E747" t="str">
        <f>"$ 28675,65"</f>
        <v>$ 28675,65</v>
      </c>
      <c r="F747" t="str">
        <f>"$ 28675,65"</f>
        <v>$ 28675,65</v>
      </c>
      <c r="G747" t="str">
        <f>"$ 28675,65"</f>
        <v>$ 28675,65</v>
      </c>
      <c r="H747" t="str">
        <f t="shared" si="485"/>
        <v>$ 0,00</v>
      </c>
      <c r="I747" t="str">
        <f t="shared" si="512"/>
        <v>JUEGO COJINETES BANCADA</v>
      </c>
      <c r="J747" t="str">
        <f t="shared" si="486"/>
        <v>1</v>
      </c>
      <c r="K747" t="str">
        <f t="shared" si="509"/>
        <v>0</v>
      </c>
      <c r="L747" t="str">
        <f>"2,000"</f>
        <v>2,000</v>
      </c>
      <c r="M747" t="str">
        <f t="shared" si="487"/>
        <v xml:space="preserve"> </v>
      </c>
      <c r="N747" t="str">
        <f t="shared" si="513"/>
        <v>MPSI</v>
      </c>
      <c r="O747" t="str">
        <f t="shared" si="514"/>
        <v>COJINETES</v>
      </c>
      <c r="P747" t="str">
        <f t="shared" si="517"/>
        <v>0</v>
      </c>
      <c r="Q747" t="str">
        <f t="shared" si="517"/>
        <v>0</v>
      </c>
      <c r="R747" t="str">
        <f t="shared" si="518"/>
        <v>0,00</v>
      </c>
      <c r="S747" t="str">
        <f t="shared" si="518"/>
        <v>0,00</v>
      </c>
      <c r="T747" t="str">
        <f t="shared" si="506"/>
        <v xml:space="preserve"> </v>
      </c>
      <c r="U747" t="str">
        <f t="shared" si="515"/>
        <v>-</v>
      </c>
      <c r="V747" t="str">
        <f>"2,000"</f>
        <v>2,000</v>
      </c>
      <c r="W747" t="str">
        <f t="shared" si="488"/>
        <v>Lista 4</v>
      </c>
      <c r="X747" t="str">
        <f t="shared" si="489"/>
        <v>Lista 5</v>
      </c>
      <c r="Y747" t="str">
        <f t="shared" si="490"/>
        <v>Oferta Gral.</v>
      </c>
      <c r="Z747" t="str">
        <f t="shared" si="491"/>
        <v>Rubro</v>
      </c>
      <c r="AA747" t="str">
        <f t="shared" si="492"/>
        <v>Cantidad por Bulto</v>
      </c>
      <c r="AB747" t="str">
        <f t="shared" si="493"/>
        <v>INNER</v>
      </c>
      <c r="AC747" t="str">
        <f t="shared" si="494"/>
        <v>Stock en Bultos</v>
      </c>
      <c r="AD747" t="str">
        <f t="shared" si="495"/>
        <v>SubDepósito</v>
      </c>
      <c r="AE747" t="str">
        <f t="shared" si="496"/>
        <v>Marca</v>
      </c>
      <c r="AF747" t="str">
        <f t="shared" si="497"/>
        <v>Super Rubro</v>
      </c>
      <c r="AG747" t="str">
        <f t="shared" si="498"/>
        <v>ComercioExterior</v>
      </c>
      <c r="AH747" t="str">
        <f t="shared" si="499"/>
        <v>PrecioFOB</v>
      </c>
      <c r="AI747" t="str">
        <f t="shared" si="500"/>
        <v>Monto II</v>
      </c>
      <c r="AJ747" t="str">
        <f t="shared" si="501"/>
        <v>Porcentaje II</v>
      </c>
      <c r="AK747" t="str">
        <f t="shared" si="502"/>
        <v>Foto</v>
      </c>
      <c r="AL747" t="str">
        <f t="shared" si="516"/>
        <v xml:space="preserve"> </v>
      </c>
      <c r="AM747" t="str">
        <f t="shared" si="516"/>
        <v xml:space="preserve"> </v>
      </c>
    </row>
    <row r="748" spans="1:39" x14ac:dyDescent="0.25">
      <c r="A748" t="str">
        <f>"BA062 20"</f>
        <v>BA062 20</v>
      </c>
      <c r="B748" t="str">
        <f>"COJINETES BANCADA 0,50 CHEVROLET 400 CHEVY C10"</f>
        <v>COJINETES BANCADA 0,50 CHEVROLET 400 CHEVY C10</v>
      </c>
      <c r="C748" t="str">
        <f>"$ 40323,50"</f>
        <v>$ 40323,50</v>
      </c>
      <c r="D748" t="str">
        <f>"$ 40323,50"</f>
        <v>$ 40323,50</v>
      </c>
      <c r="E748" t="str">
        <f>"$ 40323,50"</f>
        <v>$ 40323,50</v>
      </c>
      <c r="F748" t="str">
        <f>"$ 40323,50"</f>
        <v>$ 40323,50</v>
      </c>
      <c r="G748" t="str">
        <f>"$ 40323,50"</f>
        <v>$ 40323,50</v>
      </c>
      <c r="H748" t="str">
        <f t="shared" si="485"/>
        <v>$ 0,00</v>
      </c>
      <c r="I748" t="str">
        <f t="shared" si="512"/>
        <v>JUEGO COJINETES BANCADA</v>
      </c>
      <c r="J748" t="str">
        <f t="shared" si="486"/>
        <v>1</v>
      </c>
      <c r="K748" t="str">
        <f t="shared" si="509"/>
        <v>0</v>
      </c>
      <c r="L748" t="str">
        <f>"5,000"</f>
        <v>5,000</v>
      </c>
      <c r="M748" t="str">
        <f t="shared" si="487"/>
        <v xml:space="preserve"> </v>
      </c>
      <c r="N748" t="str">
        <f t="shared" si="513"/>
        <v>MPSI</v>
      </c>
      <c r="O748" t="str">
        <f t="shared" si="514"/>
        <v>COJINETES</v>
      </c>
      <c r="P748" t="str">
        <f t="shared" si="517"/>
        <v>0</v>
      </c>
      <c r="Q748" t="str">
        <f t="shared" si="517"/>
        <v>0</v>
      </c>
      <c r="R748" t="str">
        <f t="shared" si="518"/>
        <v>0,00</v>
      </c>
      <c r="S748" t="str">
        <f t="shared" si="518"/>
        <v>0,00</v>
      </c>
      <c r="T748" t="str">
        <f t="shared" si="506"/>
        <v xml:space="preserve"> </v>
      </c>
      <c r="U748" t="str">
        <f t="shared" si="515"/>
        <v>-</v>
      </c>
      <c r="V748" t="str">
        <f>"5,000"</f>
        <v>5,000</v>
      </c>
      <c r="W748" t="str">
        <f t="shared" si="488"/>
        <v>Lista 4</v>
      </c>
      <c r="X748" t="str">
        <f t="shared" si="489"/>
        <v>Lista 5</v>
      </c>
      <c r="Y748" t="str">
        <f t="shared" si="490"/>
        <v>Oferta Gral.</v>
      </c>
      <c r="Z748" t="str">
        <f t="shared" si="491"/>
        <v>Rubro</v>
      </c>
      <c r="AA748" t="str">
        <f t="shared" si="492"/>
        <v>Cantidad por Bulto</v>
      </c>
      <c r="AB748" t="str">
        <f t="shared" si="493"/>
        <v>INNER</v>
      </c>
      <c r="AC748" t="str">
        <f t="shared" si="494"/>
        <v>Stock en Bultos</v>
      </c>
      <c r="AD748" t="str">
        <f t="shared" si="495"/>
        <v>SubDepósito</v>
      </c>
      <c r="AE748" t="str">
        <f t="shared" si="496"/>
        <v>Marca</v>
      </c>
      <c r="AF748" t="str">
        <f t="shared" si="497"/>
        <v>Super Rubro</v>
      </c>
      <c r="AG748" t="str">
        <f t="shared" si="498"/>
        <v>ComercioExterior</v>
      </c>
      <c r="AH748" t="str">
        <f t="shared" si="499"/>
        <v>PrecioFOB</v>
      </c>
      <c r="AI748" t="str">
        <f t="shared" si="500"/>
        <v>Monto II</v>
      </c>
      <c r="AJ748" t="str">
        <f t="shared" si="501"/>
        <v>Porcentaje II</v>
      </c>
      <c r="AK748" t="str">
        <f t="shared" si="502"/>
        <v>Foto</v>
      </c>
      <c r="AL748" t="str">
        <f t="shared" si="516"/>
        <v xml:space="preserve"> </v>
      </c>
      <c r="AM748" t="str">
        <f t="shared" si="516"/>
        <v xml:space="preserve"> </v>
      </c>
    </row>
    <row r="749" spans="1:39" x14ac:dyDescent="0.25">
      <c r="A749" t="str">
        <f>"BA068 20"</f>
        <v>BA068 20</v>
      </c>
      <c r="B749" t="str">
        <f>"COJINETES BANCADA 0,50 CHEVROLET ASTRA MONZA 1.8 2.0 8V"</f>
        <v>COJINETES BANCADA 0,50 CHEVROLET ASTRA MONZA 1.8 2.0 8V</v>
      </c>
      <c r="C749" t="str">
        <f>"$ 31803,90"</f>
        <v>$ 31803,90</v>
      </c>
      <c r="D749" t="str">
        <f>"$ 31803,90"</f>
        <v>$ 31803,90</v>
      </c>
      <c r="E749" t="str">
        <f>"$ 31803,90"</f>
        <v>$ 31803,90</v>
      </c>
      <c r="F749" t="str">
        <f>"$ 31803,90"</f>
        <v>$ 31803,90</v>
      </c>
      <c r="G749" t="str">
        <f>"$ 31803,90"</f>
        <v>$ 31803,90</v>
      </c>
      <c r="H749" t="str">
        <f t="shared" si="485"/>
        <v>$ 0,00</v>
      </c>
      <c r="I749" t="str">
        <f t="shared" si="512"/>
        <v>JUEGO COJINETES BANCADA</v>
      </c>
      <c r="J749" t="str">
        <f t="shared" si="486"/>
        <v>1</v>
      </c>
      <c r="K749" t="str">
        <f t="shared" si="509"/>
        <v>0</v>
      </c>
      <c r="L749" t="str">
        <f>"11,000"</f>
        <v>11,000</v>
      </c>
      <c r="M749" t="str">
        <f t="shared" si="487"/>
        <v xml:space="preserve"> </v>
      </c>
      <c r="N749" t="str">
        <f t="shared" si="513"/>
        <v>MPSI</v>
      </c>
      <c r="O749" t="str">
        <f t="shared" si="514"/>
        <v>COJINETES</v>
      </c>
      <c r="P749" t="str">
        <f t="shared" si="517"/>
        <v>0</v>
      </c>
      <c r="Q749" t="str">
        <f t="shared" si="517"/>
        <v>0</v>
      </c>
      <c r="R749" t="str">
        <f t="shared" si="518"/>
        <v>0,00</v>
      </c>
      <c r="S749" t="str">
        <f t="shared" si="518"/>
        <v>0,00</v>
      </c>
      <c r="T749" t="str">
        <f t="shared" si="506"/>
        <v xml:space="preserve"> </v>
      </c>
      <c r="U749" t="str">
        <f t="shared" si="515"/>
        <v>-</v>
      </c>
      <c r="V749" t="str">
        <f>"11,000"</f>
        <v>11,000</v>
      </c>
      <c r="W749" t="str">
        <f t="shared" si="488"/>
        <v>Lista 4</v>
      </c>
      <c r="X749" t="str">
        <f t="shared" si="489"/>
        <v>Lista 5</v>
      </c>
      <c r="Y749" t="str">
        <f t="shared" si="490"/>
        <v>Oferta Gral.</v>
      </c>
      <c r="Z749" t="str">
        <f t="shared" si="491"/>
        <v>Rubro</v>
      </c>
      <c r="AA749" t="str">
        <f t="shared" si="492"/>
        <v>Cantidad por Bulto</v>
      </c>
      <c r="AB749" t="str">
        <f t="shared" si="493"/>
        <v>INNER</v>
      </c>
      <c r="AC749" t="str">
        <f t="shared" si="494"/>
        <v>Stock en Bultos</v>
      </c>
      <c r="AD749" t="str">
        <f t="shared" si="495"/>
        <v>SubDepósito</v>
      </c>
      <c r="AE749" t="str">
        <f t="shared" si="496"/>
        <v>Marca</v>
      </c>
      <c r="AF749" t="str">
        <f t="shared" si="497"/>
        <v>Super Rubro</v>
      </c>
      <c r="AG749" t="str">
        <f t="shared" si="498"/>
        <v>ComercioExterior</v>
      </c>
      <c r="AH749" t="str">
        <f t="shared" si="499"/>
        <v>PrecioFOB</v>
      </c>
      <c r="AI749" t="str">
        <f t="shared" si="500"/>
        <v>Monto II</v>
      </c>
      <c r="AJ749" t="str">
        <f t="shared" si="501"/>
        <v>Porcentaje II</v>
      </c>
      <c r="AK749" t="str">
        <f t="shared" si="502"/>
        <v>Foto</v>
      </c>
      <c r="AL749" t="str">
        <f t="shared" si="516"/>
        <v xml:space="preserve"> </v>
      </c>
      <c r="AM749" t="str">
        <f t="shared" si="516"/>
        <v xml:space="preserve"> </v>
      </c>
    </row>
    <row r="750" spans="1:39" x14ac:dyDescent="0.25">
      <c r="A750" t="str">
        <f>"BA371 20"</f>
        <v>BA371 20</v>
      </c>
      <c r="B750" t="str">
        <f>"COJINETES BANCADA 0,50 CHEVROLET CORSA 1.4 1.6 FIAT PALIO 1.8"</f>
        <v>COJINETES BANCADA 0,50 CHEVROLET CORSA 1.4 1.6 FIAT PALIO 1.8</v>
      </c>
      <c r="C750" t="str">
        <f>"$ 26359,01"</f>
        <v>$ 26359,01</v>
      </c>
      <c r="D750" t="str">
        <f>"$ 26359,01"</f>
        <v>$ 26359,01</v>
      </c>
      <c r="E750" t="str">
        <f>"$ 26359,01"</f>
        <v>$ 26359,01</v>
      </c>
      <c r="F750" t="str">
        <f>"$ 26359,01"</f>
        <v>$ 26359,01</v>
      </c>
      <c r="G750" t="str">
        <f>"$ 26359,01"</f>
        <v>$ 26359,01</v>
      </c>
      <c r="H750" t="str">
        <f t="shared" si="485"/>
        <v>$ 0,00</v>
      </c>
      <c r="I750" t="str">
        <f t="shared" si="512"/>
        <v>JUEGO COJINETES BANCADA</v>
      </c>
      <c r="J750" t="str">
        <f t="shared" si="486"/>
        <v>1</v>
      </c>
      <c r="K750" t="str">
        <f t="shared" si="509"/>
        <v>0</v>
      </c>
      <c r="L750" t="str">
        <f>"3,000"</f>
        <v>3,000</v>
      </c>
      <c r="M750" t="str">
        <f t="shared" si="487"/>
        <v xml:space="preserve"> </v>
      </c>
      <c r="N750" t="str">
        <f t="shared" si="513"/>
        <v>MPSI</v>
      </c>
      <c r="O750" t="str">
        <f t="shared" si="514"/>
        <v>COJINETES</v>
      </c>
      <c r="P750" t="str">
        <f t="shared" si="517"/>
        <v>0</v>
      </c>
      <c r="Q750" t="str">
        <f t="shared" si="517"/>
        <v>0</v>
      </c>
      <c r="R750" t="str">
        <f t="shared" si="518"/>
        <v>0,00</v>
      </c>
      <c r="S750" t="str">
        <f t="shared" si="518"/>
        <v>0,00</v>
      </c>
      <c r="T750" t="str">
        <f t="shared" si="506"/>
        <v xml:space="preserve"> </v>
      </c>
      <c r="U750" t="str">
        <f t="shared" si="515"/>
        <v>-</v>
      </c>
      <c r="V750" t="str">
        <f>"3,000"</f>
        <v>3,000</v>
      </c>
      <c r="W750" t="str">
        <f t="shared" si="488"/>
        <v>Lista 4</v>
      </c>
      <c r="X750" t="str">
        <f t="shared" si="489"/>
        <v>Lista 5</v>
      </c>
      <c r="Y750" t="str">
        <f t="shared" si="490"/>
        <v>Oferta Gral.</v>
      </c>
      <c r="Z750" t="str">
        <f t="shared" si="491"/>
        <v>Rubro</v>
      </c>
      <c r="AA750" t="str">
        <f t="shared" si="492"/>
        <v>Cantidad por Bulto</v>
      </c>
      <c r="AB750" t="str">
        <f t="shared" si="493"/>
        <v>INNER</v>
      </c>
      <c r="AC750" t="str">
        <f t="shared" si="494"/>
        <v>Stock en Bultos</v>
      </c>
      <c r="AD750" t="str">
        <f t="shared" si="495"/>
        <v>SubDepósito</v>
      </c>
      <c r="AE750" t="str">
        <f t="shared" si="496"/>
        <v>Marca</v>
      </c>
      <c r="AF750" t="str">
        <f t="shared" si="497"/>
        <v>Super Rubro</v>
      </c>
      <c r="AG750" t="str">
        <f t="shared" si="498"/>
        <v>ComercioExterior</v>
      </c>
      <c r="AH750" t="str">
        <f t="shared" si="499"/>
        <v>PrecioFOB</v>
      </c>
      <c r="AI750" t="str">
        <f t="shared" si="500"/>
        <v>Monto II</v>
      </c>
      <c r="AJ750" t="str">
        <f t="shared" si="501"/>
        <v>Porcentaje II</v>
      </c>
      <c r="AK750" t="str">
        <f t="shared" si="502"/>
        <v>Foto</v>
      </c>
      <c r="AL750" t="str">
        <f>"{\rtf1\ansi\ansicpg1252\deff0\deflang2058{\fonttbl{\f0\fnil\fcharset0 MS Sans Serif}} \viewkind4\uc1\pard\f0\fs16 COJINETES BANCADA 0,50 CHEVROLET CORSA 1.4 1.6 FIAT PALIO 1.8\par } "</f>
        <v xml:space="preserve">{\rtf1\ansi\ansicpg1252\deff0\deflang2058{\fonttbl{\f0\fnil\fcharset0 MS Sans Serif}} \viewkind4\uc1\pard\f0\fs16 COJINETES BANCADA 0,50 CHEVROLET CORSA 1.4 1.6 FIAT PALIO 1.8\par } </v>
      </c>
      <c r="AM750" t="str">
        <f t="shared" ref="AM750:AM795" si="519">" "</f>
        <v xml:space="preserve"> </v>
      </c>
    </row>
    <row r="751" spans="1:39" x14ac:dyDescent="0.25">
      <c r="A751" t="str">
        <f>"BA372 20"</f>
        <v>BA372 20</v>
      </c>
      <c r="B751" t="str">
        <f>"COJINETES BANCADA 0,50 CHEVROLET CORSA CON AXIAL +0,40MM"</f>
        <v>COJINETES BANCADA 0,50 CHEVROLET CORSA CON AXIAL +0,40MM</v>
      </c>
      <c r="C751" t="str">
        <f>"$ 31152,18"</f>
        <v>$ 31152,18</v>
      </c>
      <c r="D751" t="str">
        <f>"$ 31152,18"</f>
        <v>$ 31152,18</v>
      </c>
      <c r="E751" t="str">
        <f>"$ 31152,18"</f>
        <v>$ 31152,18</v>
      </c>
      <c r="F751" t="str">
        <f>"$ 31152,18"</f>
        <v>$ 31152,18</v>
      </c>
      <c r="G751" t="str">
        <f>"$ 31152,18"</f>
        <v>$ 31152,18</v>
      </c>
      <c r="H751" t="str">
        <f t="shared" si="485"/>
        <v>$ 0,00</v>
      </c>
      <c r="I751" t="str">
        <f t="shared" si="512"/>
        <v>JUEGO COJINETES BANCADA</v>
      </c>
      <c r="J751" t="str">
        <f t="shared" si="486"/>
        <v>1</v>
      </c>
      <c r="K751" t="str">
        <f t="shared" si="509"/>
        <v>0</v>
      </c>
      <c r="L751" t="str">
        <f>"-1,000"</f>
        <v>-1,000</v>
      </c>
      <c r="M751" t="str">
        <f t="shared" si="487"/>
        <v xml:space="preserve"> </v>
      </c>
      <c r="N751" t="str">
        <f t="shared" si="513"/>
        <v>MPSI</v>
      </c>
      <c r="O751" t="str">
        <f t="shared" si="514"/>
        <v>COJINETES</v>
      </c>
      <c r="P751" t="str">
        <f t="shared" si="517"/>
        <v>0</v>
      </c>
      <c r="Q751" t="str">
        <f t="shared" si="517"/>
        <v>0</v>
      </c>
      <c r="R751" t="str">
        <f t="shared" si="518"/>
        <v>0,00</v>
      </c>
      <c r="S751" t="str">
        <f t="shared" si="518"/>
        <v>0,00</v>
      </c>
      <c r="T751" t="str">
        <f t="shared" si="506"/>
        <v xml:space="preserve"> </v>
      </c>
      <c r="U751" t="str">
        <f t="shared" si="515"/>
        <v>-</v>
      </c>
      <c r="V751" t="str">
        <f>"-1,000"</f>
        <v>-1,000</v>
      </c>
      <c r="W751" t="str">
        <f t="shared" si="488"/>
        <v>Lista 4</v>
      </c>
      <c r="X751" t="str">
        <f t="shared" si="489"/>
        <v>Lista 5</v>
      </c>
      <c r="Y751" t="str">
        <f t="shared" si="490"/>
        <v>Oferta Gral.</v>
      </c>
      <c r="Z751" t="str">
        <f t="shared" si="491"/>
        <v>Rubro</v>
      </c>
      <c r="AA751" t="str">
        <f t="shared" si="492"/>
        <v>Cantidad por Bulto</v>
      </c>
      <c r="AB751" t="str">
        <f t="shared" si="493"/>
        <v>INNER</v>
      </c>
      <c r="AC751" t="str">
        <f t="shared" si="494"/>
        <v>Stock en Bultos</v>
      </c>
      <c r="AD751" t="str">
        <f t="shared" si="495"/>
        <v>SubDepósito</v>
      </c>
      <c r="AE751" t="str">
        <f t="shared" si="496"/>
        <v>Marca</v>
      </c>
      <c r="AF751" t="str">
        <f t="shared" si="497"/>
        <v>Super Rubro</v>
      </c>
      <c r="AG751" t="str">
        <f t="shared" si="498"/>
        <v>ComercioExterior</v>
      </c>
      <c r="AH751" t="str">
        <f t="shared" si="499"/>
        <v>PrecioFOB</v>
      </c>
      <c r="AI751" t="str">
        <f t="shared" si="500"/>
        <v>Monto II</v>
      </c>
      <c r="AJ751" t="str">
        <f t="shared" si="501"/>
        <v>Porcentaje II</v>
      </c>
      <c r="AK751" t="str">
        <f t="shared" si="502"/>
        <v>Foto</v>
      </c>
      <c r="AL751" t="str">
        <f>" "</f>
        <v xml:space="preserve"> </v>
      </c>
      <c r="AM751" t="str">
        <f t="shared" si="519"/>
        <v xml:space="preserve"> </v>
      </c>
    </row>
    <row r="752" spans="1:39" x14ac:dyDescent="0.25">
      <c r="A752" t="str">
        <f>"BA810 20"</f>
        <v>BA810 20</v>
      </c>
      <c r="B752" t="str">
        <f>"COJINETES BANCADA 0,50 CHEVROLET CORSA MERIVA 1.7 DIESEL"</f>
        <v>COJINETES BANCADA 0,50 CHEVROLET CORSA MERIVA 1.7 DIESEL</v>
      </c>
      <c r="C752" t="str">
        <f>"$ 18546,07"</f>
        <v>$ 18546,07</v>
      </c>
      <c r="D752" t="str">
        <f>"$ 18546,07"</f>
        <v>$ 18546,07</v>
      </c>
      <c r="E752" t="str">
        <f>"$ 18546,07"</f>
        <v>$ 18546,07</v>
      </c>
      <c r="F752" t="str">
        <f>"$ 18546,07"</f>
        <v>$ 18546,07</v>
      </c>
      <c r="G752" t="str">
        <f>"$ 18546,07"</f>
        <v>$ 18546,07</v>
      </c>
      <c r="H752" t="str">
        <f t="shared" si="485"/>
        <v>$ 0,00</v>
      </c>
      <c r="I752" t="str">
        <f t="shared" si="512"/>
        <v>JUEGO COJINETES BANCADA</v>
      </c>
      <c r="J752" t="str">
        <f t="shared" si="486"/>
        <v>1</v>
      </c>
      <c r="K752" t="str">
        <f t="shared" si="509"/>
        <v>0</v>
      </c>
      <c r="L752" t="str">
        <f>"4,000"</f>
        <v>4,000</v>
      </c>
      <c r="M752" t="str">
        <f t="shared" si="487"/>
        <v xml:space="preserve"> </v>
      </c>
      <c r="N752" t="str">
        <f t="shared" si="513"/>
        <v>MPSI</v>
      </c>
      <c r="O752" t="str">
        <f t="shared" si="514"/>
        <v>COJINETES</v>
      </c>
      <c r="P752" t="str">
        <f t="shared" si="517"/>
        <v>0</v>
      </c>
      <c r="Q752" t="str">
        <f t="shared" si="517"/>
        <v>0</v>
      </c>
      <c r="R752" t="str">
        <f t="shared" si="518"/>
        <v>0,00</v>
      </c>
      <c r="S752" t="str">
        <f t="shared" si="518"/>
        <v>0,00</v>
      </c>
      <c r="T752" t="str">
        <f t="shared" si="506"/>
        <v xml:space="preserve"> </v>
      </c>
      <c r="U752" t="str">
        <f t="shared" si="515"/>
        <v>-</v>
      </c>
      <c r="V752" t="str">
        <f>"4,000"</f>
        <v>4,000</v>
      </c>
      <c r="W752" t="str">
        <f t="shared" si="488"/>
        <v>Lista 4</v>
      </c>
      <c r="X752" t="str">
        <f t="shared" si="489"/>
        <v>Lista 5</v>
      </c>
      <c r="Y752" t="str">
        <f t="shared" si="490"/>
        <v>Oferta Gral.</v>
      </c>
      <c r="Z752" t="str">
        <f t="shared" si="491"/>
        <v>Rubro</v>
      </c>
      <c r="AA752" t="str">
        <f t="shared" si="492"/>
        <v>Cantidad por Bulto</v>
      </c>
      <c r="AB752" t="str">
        <f t="shared" si="493"/>
        <v>INNER</v>
      </c>
      <c r="AC752" t="str">
        <f t="shared" si="494"/>
        <v>Stock en Bultos</v>
      </c>
      <c r="AD752" t="str">
        <f t="shared" si="495"/>
        <v>SubDepósito</v>
      </c>
      <c r="AE752" t="str">
        <f t="shared" si="496"/>
        <v>Marca</v>
      </c>
      <c r="AF752" t="str">
        <f t="shared" si="497"/>
        <v>Super Rubro</v>
      </c>
      <c r="AG752" t="str">
        <f t="shared" si="498"/>
        <v>ComercioExterior</v>
      </c>
      <c r="AH752" t="str">
        <f t="shared" si="499"/>
        <v>PrecioFOB</v>
      </c>
      <c r="AI752" t="str">
        <f t="shared" si="500"/>
        <v>Monto II</v>
      </c>
      <c r="AJ752" t="str">
        <f t="shared" si="501"/>
        <v>Porcentaje II</v>
      </c>
      <c r="AK752" t="str">
        <f t="shared" si="502"/>
        <v>Foto</v>
      </c>
      <c r="AL752" t="str">
        <f>"{\rtf1\ansi\ansicpg1252\deff0\deflang11274{\fonttbl{\f0\fnil\fcharset0 MS Sans Serif}} \viewkind4\uc1\pard\f0\fs16 COJINETES BANCADA 0,50 CHEVROLET CORSA MERIVA 1.7 DIESEL\par } "</f>
        <v xml:space="preserve">{\rtf1\ansi\ansicpg1252\deff0\deflang11274{\fonttbl{\f0\fnil\fcharset0 MS Sans Serif}} \viewkind4\uc1\pard\f0\fs16 COJINETES BANCADA 0,50 CHEVROLET CORSA MERIVA 1.7 DIESEL\par } </v>
      </c>
      <c r="AM752" t="str">
        <f t="shared" si="519"/>
        <v xml:space="preserve"> </v>
      </c>
    </row>
    <row r="753" spans="1:39" x14ac:dyDescent="0.25">
      <c r="A753" t="str">
        <f>"BA055915 20"</f>
        <v>BA055915 20</v>
      </c>
      <c r="B753" t="str">
        <f>"COJINETES BANCADA 0,50 CHEVROLET CRUZE TRACKER 1.8 16V Z18XE 6 N18XFF"</f>
        <v>COJINETES BANCADA 0,50 CHEVROLET CRUZE TRACKER 1.8 16V Z18XE 6 N18XFF</v>
      </c>
      <c r="C753" t="str">
        <f>"$ 28638,41"</f>
        <v>$ 28638,41</v>
      </c>
      <c r="D753" t="str">
        <f>"$ 28638,41"</f>
        <v>$ 28638,41</v>
      </c>
      <c r="E753" t="str">
        <f>"$ 28638,41"</f>
        <v>$ 28638,41</v>
      </c>
      <c r="F753" t="str">
        <f>"$ 28638,41"</f>
        <v>$ 28638,41</v>
      </c>
      <c r="G753" t="str">
        <f>"$ 28638,41"</f>
        <v>$ 28638,41</v>
      </c>
      <c r="H753" t="str">
        <f t="shared" si="485"/>
        <v>$ 0,00</v>
      </c>
      <c r="I753" t="str">
        <f t="shared" si="512"/>
        <v>JUEGO COJINETES BANCADA</v>
      </c>
      <c r="J753" t="str">
        <f t="shared" si="486"/>
        <v>1</v>
      </c>
      <c r="K753" t="str">
        <f t="shared" si="509"/>
        <v>0</v>
      </c>
      <c r="L753" t="str">
        <f>"2,000"</f>
        <v>2,000</v>
      </c>
      <c r="M753" t="str">
        <f t="shared" si="487"/>
        <v xml:space="preserve"> </v>
      </c>
      <c r="N753" t="str">
        <f t="shared" si="513"/>
        <v>MPSI</v>
      </c>
      <c r="O753" t="str">
        <f t="shared" si="514"/>
        <v>COJINETES</v>
      </c>
      <c r="P753" t="str">
        <f t="shared" si="517"/>
        <v>0</v>
      </c>
      <c r="Q753" t="str">
        <f t="shared" si="517"/>
        <v>0</v>
      </c>
      <c r="R753" t="str">
        <f t="shared" si="518"/>
        <v>0,00</v>
      </c>
      <c r="S753" t="str">
        <f t="shared" si="518"/>
        <v>0,00</v>
      </c>
      <c r="T753" t="str">
        <f t="shared" si="506"/>
        <v xml:space="preserve"> </v>
      </c>
      <c r="U753" t="str">
        <f t="shared" si="515"/>
        <v>-</v>
      </c>
      <c r="V753" t="str">
        <f>"2,000"</f>
        <v>2,000</v>
      </c>
      <c r="W753" t="str">
        <f t="shared" si="488"/>
        <v>Lista 4</v>
      </c>
      <c r="X753" t="str">
        <f t="shared" si="489"/>
        <v>Lista 5</v>
      </c>
      <c r="Y753" t="str">
        <f t="shared" si="490"/>
        <v>Oferta Gral.</v>
      </c>
      <c r="Z753" t="str">
        <f t="shared" si="491"/>
        <v>Rubro</v>
      </c>
      <c r="AA753" t="str">
        <f t="shared" si="492"/>
        <v>Cantidad por Bulto</v>
      </c>
      <c r="AB753" t="str">
        <f t="shared" si="493"/>
        <v>INNER</v>
      </c>
      <c r="AC753" t="str">
        <f t="shared" si="494"/>
        <v>Stock en Bultos</v>
      </c>
      <c r="AD753" t="str">
        <f t="shared" si="495"/>
        <v>SubDepósito</v>
      </c>
      <c r="AE753" t="str">
        <f t="shared" si="496"/>
        <v>Marca</v>
      </c>
      <c r="AF753" t="str">
        <f t="shared" si="497"/>
        <v>Super Rubro</v>
      </c>
      <c r="AG753" t="str">
        <f t="shared" si="498"/>
        <v>ComercioExterior</v>
      </c>
      <c r="AH753" t="str">
        <f t="shared" si="499"/>
        <v>PrecioFOB</v>
      </c>
      <c r="AI753" t="str">
        <f t="shared" si="500"/>
        <v>Monto II</v>
      </c>
      <c r="AJ753" t="str">
        <f t="shared" si="501"/>
        <v>Porcentaje II</v>
      </c>
      <c r="AK753" t="str">
        <f t="shared" si="502"/>
        <v>Foto</v>
      </c>
      <c r="AL753" t="str">
        <f t="shared" ref="AL753:AL760" si="520">" "</f>
        <v xml:space="preserve"> </v>
      </c>
      <c r="AM753" t="str">
        <f t="shared" si="519"/>
        <v xml:space="preserve"> </v>
      </c>
    </row>
    <row r="754" spans="1:39" x14ac:dyDescent="0.25">
      <c r="A754" t="str">
        <f>"BA055928 20"</f>
        <v>BA055928 20</v>
      </c>
      <c r="B754" t="str">
        <f>"COJINETES BANCADA 0,50 CHEVROLET CRUZE X12XE 1.4 TURBO"</f>
        <v>COJINETES BANCADA 0,50 CHEVROLET CRUZE X12XE 1.4 TURBO</v>
      </c>
      <c r="C754" t="str">
        <f>"$ 31096,32"</f>
        <v>$ 31096,32</v>
      </c>
      <c r="D754" t="str">
        <f>"$ 31096,32"</f>
        <v>$ 31096,32</v>
      </c>
      <c r="E754" t="str">
        <f>"$ 31096,32"</f>
        <v>$ 31096,32</v>
      </c>
      <c r="F754" t="str">
        <f>"$ 31096,32"</f>
        <v>$ 31096,32</v>
      </c>
      <c r="G754" t="str">
        <f>"$ 31096,32"</f>
        <v>$ 31096,32</v>
      </c>
      <c r="H754" t="str">
        <f t="shared" si="485"/>
        <v>$ 0,00</v>
      </c>
      <c r="I754" t="str">
        <f t="shared" si="512"/>
        <v>JUEGO COJINETES BANCADA</v>
      </c>
      <c r="J754" t="str">
        <f t="shared" si="486"/>
        <v>1</v>
      </c>
      <c r="K754" t="str">
        <f t="shared" si="509"/>
        <v>0</v>
      </c>
      <c r="L754" t="str">
        <f>"3,000"</f>
        <v>3,000</v>
      </c>
      <c r="M754" t="str">
        <f t="shared" si="487"/>
        <v xml:space="preserve"> </v>
      </c>
      <c r="N754" t="str">
        <f t="shared" si="513"/>
        <v>MPSI</v>
      </c>
      <c r="O754" t="str">
        <f t="shared" si="514"/>
        <v>COJINETES</v>
      </c>
      <c r="P754" t="str">
        <f t="shared" si="517"/>
        <v>0</v>
      </c>
      <c r="Q754" t="str">
        <f t="shared" si="517"/>
        <v>0</v>
      </c>
      <c r="R754" t="str">
        <f t="shared" si="518"/>
        <v>0,00</v>
      </c>
      <c r="S754" t="str">
        <f t="shared" si="518"/>
        <v>0,00</v>
      </c>
      <c r="T754" t="str">
        <f t="shared" si="506"/>
        <v xml:space="preserve"> </v>
      </c>
      <c r="U754" t="str">
        <f t="shared" si="515"/>
        <v>-</v>
      </c>
      <c r="V754" t="str">
        <f>"3,000"</f>
        <v>3,000</v>
      </c>
      <c r="W754" t="str">
        <f t="shared" si="488"/>
        <v>Lista 4</v>
      </c>
      <c r="X754" t="str">
        <f t="shared" si="489"/>
        <v>Lista 5</v>
      </c>
      <c r="Y754" t="str">
        <f t="shared" si="490"/>
        <v>Oferta Gral.</v>
      </c>
      <c r="Z754" t="str">
        <f t="shared" si="491"/>
        <v>Rubro</v>
      </c>
      <c r="AA754" t="str">
        <f t="shared" si="492"/>
        <v>Cantidad por Bulto</v>
      </c>
      <c r="AB754" t="str">
        <f t="shared" si="493"/>
        <v>INNER</v>
      </c>
      <c r="AC754" t="str">
        <f t="shared" si="494"/>
        <v>Stock en Bultos</v>
      </c>
      <c r="AD754" t="str">
        <f t="shared" si="495"/>
        <v>SubDepósito</v>
      </c>
      <c r="AE754" t="str">
        <f t="shared" si="496"/>
        <v>Marca</v>
      </c>
      <c r="AF754" t="str">
        <f t="shared" si="497"/>
        <v>Super Rubro</v>
      </c>
      <c r="AG754" t="str">
        <f t="shared" si="498"/>
        <v>ComercioExterior</v>
      </c>
      <c r="AH754" t="str">
        <f t="shared" si="499"/>
        <v>PrecioFOB</v>
      </c>
      <c r="AI754" t="str">
        <f t="shared" si="500"/>
        <v>Monto II</v>
      </c>
      <c r="AJ754" t="str">
        <f t="shared" si="501"/>
        <v>Porcentaje II</v>
      </c>
      <c r="AK754" t="str">
        <f t="shared" si="502"/>
        <v>Foto</v>
      </c>
      <c r="AL754" t="str">
        <f t="shared" si="520"/>
        <v xml:space="preserve"> </v>
      </c>
      <c r="AM754" t="str">
        <f t="shared" si="519"/>
        <v xml:space="preserve"> </v>
      </c>
    </row>
    <row r="755" spans="1:39" x14ac:dyDescent="0.25">
      <c r="A755" t="str">
        <f>"BA055420 20"</f>
        <v>BA055420 20</v>
      </c>
      <c r="B755" t="str">
        <f>"COJINETES BANCADA 0,50 CHEVROLET S10 DURAMAX 2,8 16V"</f>
        <v>COJINETES BANCADA 0,50 CHEVROLET S10 DURAMAX 2,8 16V</v>
      </c>
      <c r="C755" t="str">
        <f>"$ 44465,87"</f>
        <v>$ 44465,87</v>
      </c>
      <c r="D755" t="str">
        <f>"$ 44465,87"</f>
        <v>$ 44465,87</v>
      </c>
      <c r="E755" t="str">
        <f>"$ 44465,87"</f>
        <v>$ 44465,87</v>
      </c>
      <c r="F755" t="str">
        <f>"$ 44465,87"</f>
        <v>$ 44465,87</v>
      </c>
      <c r="G755" t="str">
        <f>"$ 44465,87"</f>
        <v>$ 44465,87</v>
      </c>
      <c r="H755" t="str">
        <f t="shared" si="485"/>
        <v>$ 0,00</v>
      </c>
      <c r="I755" t="str">
        <f t="shared" si="512"/>
        <v>JUEGO COJINETES BANCADA</v>
      </c>
      <c r="J755" t="str">
        <f t="shared" si="486"/>
        <v>1</v>
      </c>
      <c r="K755" t="str">
        <f t="shared" si="509"/>
        <v>0</v>
      </c>
      <c r="L755" t="str">
        <f>"5,000"</f>
        <v>5,000</v>
      </c>
      <c r="M755" t="str">
        <f t="shared" si="487"/>
        <v xml:space="preserve"> </v>
      </c>
      <c r="N755" t="str">
        <f t="shared" si="513"/>
        <v>MPSI</v>
      </c>
      <c r="O755" t="str">
        <f t="shared" si="514"/>
        <v>COJINETES</v>
      </c>
      <c r="P755" t="str">
        <f t="shared" si="517"/>
        <v>0</v>
      </c>
      <c r="Q755" t="str">
        <f t="shared" si="517"/>
        <v>0</v>
      </c>
      <c r="R755" t="str">
        <f t="shared" si="518"/>
        <v>0,00</v>
      </c>
      <c r="S755" t="str">
        <f t="shared" si="518"/>
        <v>0,00</v>
      </c>
      <c r="T755" t="str">
        <f t="shared" si="506"/>
        <v xml:space="preserve"> </v>
      </c>
      <c r="U755" t="str">
        <f t="shared" si="515"/>
        <v>-</v>
      </c>
      <c r="V755" t="str">
        <f>"5,000"</f>
        <v>5,000</v>
      </c>
      <c r="W755" t="str">
        <f t="shared" si="488"/>
        <v>Lista 4</v>
      </c>
      <c r="X755" t="str">
        <f t="shared" si="489"/>
        <v>Lista 5</v>
      </c>
      <c r="Y755" t="str">
        <f t="shared" si="490"/>
        <v>Oferta Gral.</v>
      </c>
      <c r="Z755" t="str">
        <f t="shared" si="491"/>
        <v>Rubro</v>
      </c>
      <c r="AA755" t="str">
        <f t="shared" si="492"/>
        <v>Cantidad por Bulto</v>
      </c>
      <c r="AB755" t="str">
        <f t="shared" si="493"/>
        <v>INNER</v>
      </c>
      <c r="AC755" t="str">
        <f t="shared" si="494"/>
        <v>Stock en Bultos</v>
      </c>
      <c r="AD755" t="str">
        <f t="shared" si="495"/>
        <v>SubDepósito</v>
      </c>
      <c r="AE755" t="str">
        <f t="shared" si="496"/>
        <v>Marca</v>
      </c>
      <c r="AF755" t="str">
        <f t="shared" si="497"/>
        <v>Super Rubro</v>
      </c>
      <c r="AG755" t="str">
        <f t="shared" si="498"/>
        <v>ComercioExterior</v>
      </c>
      <c r="AH755" t="str">
        <f t="shared" si="499"/>
        <v>PrecioFOB</v>
      </c>
      <c r="AI755" t="str">
        <f t="shared" si="500"/>
        <v>Monto II</v>
      </c>
      <c r="AJ755" t="str">
        <f t="shared" si="501"/>
        <v>Porcentaje II</v>
      </c>
      <c r="AK755" t="str">
        <f t="shared" si="502"/>
        <v>Foto</v>
      </c>
      <c r="AL755" t="str">
        <f t="shared" si="520"/>
        <v xml:space="preserve"> </v>
      </c>
      <c r="AM755" t="str">
        <f t="shared" si="519"/>
        <v xml:space="preserve"> </v>
      </c>
    </row>
    <row r="756" spans="1:39" x14ac:dyDescent="0.25">
      <c r="A756" t="str">
        <f>"BA055919 20"</f>
        <v>BA055919 20</v>
      </c>
      <c r="B756" t="str">
        <f>"COJINETES BANCADA 0,50 CHEVROLET SONIC SPIN TRACKER N18X 1.8/2.2 CC."</f>
        <v>COJINETES BANCADA 0,50 CHEVROLET SONIC SPIN TRACKER N18X 1.8/2.2 CC.</v>
      </c>
      <c r="C756" t="str">
        <f>"$ 31077,70"</f>
        <v>$ 31077,70</v>
      </c>
      <c r="D756" t="str">
        <f>"$ 31077,70"</f>
        <v>$ 31077,70</v>
      </c>
      <c r="E756" t="str">
        <f>"$ 31077,70"</f>
        <v>$ 31077,70</v>
      </c>
      <c r="F756" t="str">
        <f>"$ 31077,70"</f>
        <v>$ 31077,70</v>
      </c>
      <c r="G756" t="str">
        <f>"$ 31077,70"</f>
        <v>$ 31077,70</v>
      </c>
      <c r="H756" t="str">
        <f t="shared" si="485"/>
        <v>$ 0,00</v>
      </c>
      <c r="I756" t="str">
        <f t="shared" si="512"/>
        <v>JUEGO COJINETES BANCADA</v>
      </c>
      <c r="J756" t="str">
        <f t="shared" si="486"/>
        <v>1</v>
      </c>
      <c r="K756" t="str">
        <f t="shared" si="509"/>
        <v>0</v>
      </c>
      <c r="L756" t="str">
        <f>"4,000"</f>
        <v>4,000</v>
      </c>
      <c r="M756" t="str">
        <f t="shared" si="487"/>
        <v xml:space="preserve"> </v>
      </c>
      <c r="N756" t="str">
        <f t="shared" si="513"/>
        <v>MPSI</v>
      </c>
      <c r="O756" t="str">
        <f t="shared" si="514"/>
        <v>COJINETES</v>
      </c>
      <c r="P756" t="str">
        <f t="shared" si="517"/>
        <v>0</v>
      </c>
      <c r="Q756" t="str">
        <f t="shared" si="517"/>
        <v>0</v>
      </c>
      <c r="R756" t="str">
        <f t="shared" si="518"/>
        <v>0,00</v>
      </c>
      <c r="S756" t="str">
        <f t="shared" si="518"/>
        <v>0,00</v>
      </c>
      <c r="T756" t="str">
        <f t="shared" si="506"/>
        <v xml:space="preserve"> </v>
      </c>
      <c r="U756" t="str">
        <f t="shared" si="515"/>
        <v>-</v>
      </c>
      <c r="V756" t="str">
        <f>"4,000"</f>
        <v>4,000</v>
      </c>
      <c r="W756" t="str">
        <f t="shared" si="488"/>
        <v>Lista 4</v>
      </c>
      <c r="X756" t="str">
        <f t="shared" si="489"/>
        <v>Lista 5</v>
      </c>
      <c r="Y756" t="str">
        <f t="shared" si="490"/>
        <v>Oferta Gral.</v>
      </c>
      <c r="Z756" t="str">
        <f t="shared" si="491"/>
        <v>Rubro</v>
      </c>
      <c r="AA756" t="str">
        <f t="shared" si="492"/>
        <v>Cantidad por Bulto</v>
      </c>
      <c r="AB756" t="str">
        <f t="shared" si="493"/>
        <v>INNER</v>
      </c>
      <c r="AC756" t="str">
        <f t="shared" si="494"/>
        <v>Stock en Bultos</v>
      </c>
      <c r="AD756" t="str">
        <f t="shared" si="495"/>
        <v>SubDepósito</v>
      </c>
      <c r="AE756" t="str">
        <f t="shared" si="496"/>
        <v>Marca</v>
      </c>
      <c r="AF756" t="str">
        <f t="shared" si="497"/>
        <v>Super Rubro</v>
      </c>
      <c r="AG756" t="str">
        <f t="shared" si="498"/>
        <v>ComercioExterior</v>
      </c>
      <c r="AH756" t="str">
        <f t="shared" si="499"/>
        <v>PrecioFOB</v>
      </c>
      <c r="AI756" t="str">
        <f t="shared" si="500"/>
        <v>Monto II</v>
      </c>
      <c r="AJ756" t="str">
        <f t="shared" si="501"/>
        <v>Porcentaje II</v>
      </c>
      <c r="AK756" t="str">
        <f t="shared" si="502"/>
        <v>Foto</v>
      </c>
      <c r="AL756" t="str">
        <f t="shared" si="520"/>
        <v xml:space="preserve"> </v>
      </c>
      <c r="AM756" t="str">
        <f t="shared" si="519"/>
        <v xml:space="preserve"> </v>
      </c>
    </row>
    <row r="757" spans="1:39" x14ac:dyDescent="0.25">
      <c r="A757" t="str">
        <f>"BA583 20"</f>
        <v>BA583 20</v>
      </c>
      <c r="B757" t="str">
        <f>"COJINETES BANCADA 0,50 DAEWOO TICO MATIZ MOTOR 3 CILINDROS F8CB F8CV"</f>
        <v>COJINETES BANCADA 0,50 DAEWOO TICO MATIZ MOTOR 3 CILINDROS F8CB F8CV</v>
      </c>
      <c r="C757" t="str">
        <f>"$ 14654,37"</f>
        <v>$ 14654,37</v>
      </c>
      <c r="D757" t="str">
        <f>"$ 14654,37"</f>
        <v>$ 14654,37</v>
      </c>
      <c r="E757" t="str">
        <f>"$ 14654,37"</f>
        <v>$ 14654,37</v>
      </c>
      <c r="F757" t="str">
        <f>"$ 14654,37"</f>
        <v>$ 14654,37</v>
      </c>
      <c r="G757" t="str">
        <f>"$ 14654,37"</f>
        <v>$ 14654,37</v>
      </c>
      <c r="H757" t="str">
        <f t="shared" si="485"/>
        <v>$ 0,00</v>
      </c>
      <c r="I757" t="str">
        <f t="shared" si="512"/>
        <v>JUEGO COJINETES BANCADA</v>
      </c>
      <c r="J757" t="str">
        <f t="shared" si="486"/>
        <v>1</v>
      </c>
      <c r="K757" t="str">
        <f t="shared" si="509"/>
        <v>0</v>
      </c>
      <c r="L757" t="str">
        <f>"2,000"</f>
        <v>2,000</v>
      </c>
      <c r="M757" t="str">
        <f t="shared" si="487"/>
        <v xml:space="preserve"> </v>
      </c>
      <c r="N757" t="str">
        <f t="shared" si="513"/>
        <v>MPSI</v>
      </c>
      <c r="O757" t="str">
        <f t="shared" si="514"/>
        <v>COJINETES</v>
      </c>
      <c r="P757" t="str">
        <f t="shared" si="517"/>
        <v>0</v>
      </c>
      <c r="Q757" t="str">
        <f t="shared" si="517"/>
        <v>0</v>
      </c>
      <c r="R757" t="str">
        <f t="shared" si="518"/>
        <v>0,00</v>
      </c>
      <c r="S757" t="str">
        <f t="shared" si="518"/>
        <v>0,00</v>
      </c>
      <c r="T757" t="str">
        <f t="shared" si="506"/>
        <v xml:space="preserve"> </v>
      </c>
      <c r="U757" t="str">
        <f t="shared" si="515"/>
        <v>-</v>
      </c>
      <c r="V757" t="str">
        <f>"2,000"</f>
        <v>2,000</v>
      </c>
      <c r="W757" t="str">
        <f t="shared" si="488"/>
        <v>Lista 4</v>
      </c>
      <c r="X757" t="str">
        <f t="shared" si="489"/>
        <v>Lista 5</v>
      </c>
      <c r="Y757" t="str">
        <f t="shared" si="490"/>
        <v>Oferta Gral.</v>
      </c>
      <c r="Z757" t="str">
        <f t="shared" si="491"/>
        <v>Rubro</v>
      </c>
      <c r="AA757" t="str">
        <f t="shared" si="492"/>
        <v>Cantidad por Bulto</v>
      </c>
      <c r="AB757" t="str">
        <f t="shared" si="493"/>
        <v>INNER</v>
      </c>
      <c r="AC757" t="str">
        <f t="shared" si="494"/>
        <v>Stock en Bultos</v>
      </c>
      <c r="AD757" t="str">
        <f t="shared" si="495"/>
        <v>SubDepósito</v>
      </c>
      <c r="AE757" t="str">
        <f t="shared" si="496"/>
        <v>Marca</v>
      </c>
      <c r="AF757" t="str">
        <f t="shared" si="497"/>
        <v>Super Rubro</v>
      </c>
      <c r="AG757" t="str">
        <f t="shared" si="498"/>
        <v>ComercioExterior</v>
      </c>
      <c r="AH757" t="str">
        <f t="shared" si="499"/>
        <v>PrecioFOB</v>
      </c>
      <c r="AI757" t="str">
        <f t="shared" si="500"/>
        <v>Monto II</v>
      </c>
      <c r="AJ757" t="str">
        <f t="shared" si="501"/>
        <v>Porcentaje II</v>
      </c>
      <c r="AK757" t="str">
        <f t="shared" si="502"/>
        <v>Foto</v>
      </c>
      <c r="AL757" t="str">
        <f t="shared" si="520"/>
        <v xml:space="preserve"> </v>
      </c>
      <c r="AM757" t="str">
        <f t="shared" si="519"/>
        <v xml:space="preserve"> </v>
      </c>
    </row>
    <row r="758" spans="1:39" x14ac:dyDescent="0.25">
      <c r="A758" t="str">
        <f>"BA082 20"</f>
        <v>BA082 20</v>
      </c>
      <c r="B758" t="str">
        <f>"COJINETES BANCADA 0,50 DODGE 1500"</f>
        <v>COJINETES BANCADA 0,50 DODGE 1500</v>
      </c>
      <c r="C758" t="str">
        <f>"$ 25808,08"</f>
        <v>$ 25808,08</v>
      </c>
      <c r="D758" t="str">
        <f>"$ 25808,08"</f>
        <v>$ 25808,08</v>
      </c>
      <c r="E758" t="str">
        <f>"$ 25808,08"</f>
        <v>$ 25808,08</v>
      </c>
      <c r="F758" t="str">
        <f>"$ 25808,08"</f>
        <v>$ 25808,08</v>
      </c>
      <c r="G758" t="str">
        <f>"$ 25808,08"</f>
        <v>$ 25808,08</v>
      </c>
      <c r="H758" t="str">
        <f t="shared" si="485"/>
        <v>$ 0,00</v>
      </c>
      <c r="I758" t="str">
        <f t="shared" si="512"/>
        <v>JUEGO COJINETES BANCADA</v>
      </c>
      <c r="J758" t="str">
        <f t="shared" si="486"/>
        <v>1</v>
      </c>
      <c r="K758" t="str">
        <f t="shared" si="509"/>
        <v>0</v>
      </c>
      <c r="L758" t="str">
        <f>"2,000"</f>
        <v>2,000</v>
      </c>
      <c r="M758" t="str">
        <f t="shared" si="487"/>
        <v xml:space="preserve"> </v>
      </c>
      <c r="N758" t="str">
        <f t="shared" si="513"/>
        <v>MPSI</v>
      </c>
      <c r="O758" t="str">
        <f t="shared" si="514"/>
        <v>COJINETES</v>
      </c>
      <c r="P758" t="str">
        <f t="shared" si="517"/>
        <v>0</v>
      </c>
      <c r="Q758" t="str">
        <f t="shared" si="517"/>
        <v>0</v>
      </c>
      <c r="R758" t="str">
        <f t="shared" si="518"/>
        <v>0,00</v>
      </c>
      <c r="S758" t="str">
        <f t="shared" si="518"/>
        <v>0,00</v>
      </c>
      <c r="T758" t="str">
        <f t="shared" si="506"/>
        <v xml:space="preserve"> </v>
      </c>
      <c r="U758" t="str">
        <f t="shared" si="515"/>
        <v>-</v>
      </c>
      <c r="V758" t="str">
        <f>"2,000"</f>
        <v>2,000</v>
      </c>
      <c r="W758" t="str">
        <f t="shared" si="488"/>
        <v>Lista 4</v>
      </c>
      <c r="X758" t="str">
        <f t="shared" si="489"/>
        <v>Lista 5</v>
      </c>
      <c r="Y758" t="str">
        <f t="shared" si="490"/>
        <v>Oferta Gral.</v>
      </c>
      <c r="Z758" t="str">
        <f t="shared" si="491"/>
        <v>Rubro</v>
      </c>
      <c r="AA758" t="str">
        <f t="shared" si="492"/>
        <v>Cantidad por Bulto</v>
      </c>
      <c r="AB758" t="str">
        <f t="shared" si="493"/>
        <v>INNER</v>
      </c>
      <c r="AC758" t="str">
        <f t="shared" si="494"/>
        <v>Stock en Bultos</v>
      </c>
      <c r="AD758" t="str">
        <f t="shared" si="495"/>
        <v>SubDepósito</v>
      </c>
      <c r="AE758" t="str">
        <f t="shared" si="496"/>
        <v>Marca</v>
      </c>
      <c r="AF758" t="str">
        <f t="shared" si="497"/>
        <v>Super Rubro</v>
      </c>
      <c r="AG758" t="str">
        <f t="shared" si="498"/>
        <v>ComercioExterior</v>
      </c>
      <c r="AH758" t="str">
        <f t="shared" si="499"/>
        <v>PrecioFOB</v>
      </c>
      <c r="AI758" t="str">
        <f t="shared" si="500"/>
        <v>Monto II</v>
      </c>
      <c r="AJ758" t="str">
        <f t="shared" si="501"/>
        <v>Porcentaje II</v>
      </c>
      <c r="AK758" t="str">
        <f t="shared" si="502"/>
        <v>Foto</v>
      </c>
      <c r="AL758" t="str">
        <f t="shared" si="520"/>
        <v xml:space="preserve"> </v>
      </c>
      <c r="AM758" t="str">
        <f t="shared" si="519"/>
        <v xml:space="preserve"> </v>
      </c>
    </row>
    <row r="759" spans="1:39" x14ac:dyDescent="0.25">
      <c r="A759" t="str">
        <f>"BA083 20"</f>
        <v>BA083 20</v>
      </c>
      <c r="B759" t="str">
        <f>"COJINETES BANCADA 0,50 DODGE 1800"</f>
        <v>COJINETES BANCADA 0,50 DODGE 1800</v>
      </c>
      <c r="C759" t="str">
        <f>"$ 25621,88"</f>
        <v>$ 25621,88</v>
      </c>
      <c r="D759" t="str">
        <f>"$ 25621,88"</f>
        <v>$ 25621,88</v>
      </c>
      <c r="E759" t="str">
        <f>"$ 25621,88"</f>
        <v>$ 25621,88</v>
      </c>
      <c r="F759" t="str">
        <f>"$ 25621,88"</f>
        <v>$ 25621,88</v>
      </c>
      <c r="G759" t="str">
        <f>"$ 25621,88"</f>
        <v>$ 25621,88</v>
      </c>
      <c r="H759" t="str">
        <f t="shared" si="485"/>
        <v>$ 0,00</v>
      </c>
      <c r="I759" t="str">
        <f t="shared" si="512"/>
        <v>JUEGO COJINETES BANCADA</v>
      </c>
      <c r="J759" t="str">
        <f t="shared" si="486"/>
        <v>1</v>
      </c>
      <c r="K759" t="str">
        <f t="shared" si="509"/>
        <v>0</v>
      </c>
      <c r="L759" t="str">
        <f>"5,000"</f>
        <v>5,000</v>
      </c>
      <c r="M759" t="str">
        <f t="shared" si="487"/>
        <v xml:space="preserve"> </v>
      </c>
      <c r="N759" t="str">
        <f t="shared" si="513"/>
        <v>MPSI</v>
      </c>
      <c r="O759" t="str">
        <f t="shared" si="514"/>
        <v>COJINETES</v>
      </c>
      <c r="P759" t="str">
        <f t="shared" si="517"/>
        <v>0</v>
      </c>
      <c r="Q759" t="str">
        <f t="shared" si="517"/>
        <v>0</v>
      </c>
      <c r="R759" t="str">
        <f t="shared" si="518"/>
        <v>0,00</v>
      </c>
      <c r="S759" t="str">
        <f t="shared" si="518"/>
        <v>0,00</v>
      </c>
      <c r="T759" t="str">
        <f t="shared" si="506"/>
        <v xml:space="preserve"> </v>
      </c>
      <c r="U759" t="str">
        <f t="shared" si="515"/>
        <v>-</v>
      </c>
      <c r="V759" t="str">
        <f>"5,000"</f>
        <v>5,000</v>
      </c>
      <c r="W759" t="str">
        <f t="shared" si="488"/>
        <v>Lista 4</v>
      </c>
      <c r="X759" t="str">
        <f t="shared" si="489"/>
        <v>Lista 5</v>
      </c>
      <c r="Y759" t="str">
        <f t="shared" si="490"/>
        <v>Oferta Gral.</v>
      </c>
      <c r="Z759" t="str">
        <f t="shared" si="491"/>
        <v>Rubro</v>
      </c>
      <c r="AA759" t="str">
        <f t="shared" si="492"/>
        <v>Cantidad por Bulto</v>
      </c>
      <c r="AB759" t="str">
        <f t="shared" si="493"/>
        <v>INNER</v>
      </c>
      <c r="AC759" t="str">
        <f t="shared" si="494"/>
        <v>Stock en Bultos</v>
      </c>
      <c r="AD759" t="str">
        <f t="shared" si="495"/>
        <v>SubDepósito</v>
      </c>
      <c r="AE759" t="str">
        <f t="shared" si="496"/>
        <v>Marca</v>
      </c>
      <c r="AF759" t="str">
        <f t="shared" si="497"/>
        <v>Super Rubro</v>
      </c>
      <c r="AG759" t="str">
        <f t="shared" si="498"/>
        <v>ComercioExterior</v>
      </c>
      <c r="AH759" t="str">
        <f t="shared" si="499"/>
        <v>PrecioFOB</v>
      </c>
      <c r="AI759" t="str">
        <f t="shared" si="500"/>
        <v>Monto II</v>
      </c>
      <c r="AJ759" t="str">
        <f t="shared" si="501"/>
        <v>Porcentaje II</v>
      </c>
      <c r="AK759" t="str">
        <f t="shared" si="502"/>
        <v>Foto</v>
      </c>
      <c r="AL759" t="str">
        <f t="shared" si="520"/>
        <v xml:space="preserve"> </v>
      </c>
      <c r="AM759" t="str">
        <f t="shared" si="519"/>
        <v xml:space="preserve"> </v>
      </c>
    </row>
    <row r="760" spans="1:39" x14ac:dyDescent="0.25">
      <c r="A760" t="str">
        <f>"BA080 20"</f>
        <v>BA080 20</v>
      </c>
      <c r="B760" t="str">
        <f>"COJINETES BANCADA 0,50 DODGE VALIANT"</f>
        <v>COJINETES BANCADA 0,50 DODGE VALIANT</v>
      </c>
      <c r="C760" t="str">
        <f>"$ 45192,07"</f>
        <v>$ 45192,07</v>
      </c>
      <c r="D760" t="str">
        <f>"$ 45192,07"</f>
        <v>$ 45192,07</v>
      </c>
      <c r="E760" t="str">
        <f>"$ 45192,07"</f>
        <v>$ 45192,07</v>
      </c>
      <c r="F760" t="str">
        <f>"$ 45192,07"</f>
        <v>$ 45192,07</v>
      </c>
      <c r="G760" t="str">
        <f>"$ 45192,07"</f>
        <v>$ 45192,07</v>
      </c>
      <c r="H760" t="str">
        <f t="shared" si="485"/>
        <v>$ 0,00</v>
      </c>
      <c r="I760" t="str">
        <f t="shared" si="512"/>
        <v>JUEGO COJINETES BANCADA</v>
      </c>
      <c r="J760" t="str">
        <f t="shared" si="486"/>
        <v>1</v>
      </c>
      <c r="K760" t="str">
        <f t="shared" si="509"/>
        <v>0</v>
      </c>
      <c r="L760" t="str">
        <f>"1,000"</f>
        <v>1,000</v>
      </c>
      <c r="M760" t="str">
        <f t="shared" si="487"/>
        <v xml:space="preserve"> </v>
      </c>
      <c r="N760" t="str">
        <f t="shared" si="513"/>
        <v>MPSI</v>
      </c>
      <c r="O760" t="str">
        <f t="shared" si="514"/>
        <v>COJINETES</v>
      </c>
      <c r="P760" t="str">
        <f t="shared" si="517"/>
        <v>0</v>
      </c>
      <c r="Q760" t="str">
        <f t="shared" si="517"/>
        <v>0</v>
      </c>
      <c r="R760" t="str">
        <f t="shared" si="518"/>
        <v>0,00</v>
      </c>
      <c r="S760" t="str">
        <f t="shared" si="518"/>
        <v>0,00</v>
      </c>
      <c r="T760" t="str">
        <f t="shared" si="506"/>
        <v xml:space="preserve"> </v>
      </c>
      <c r="U760" t="str">
        <f t="shared" si="515"/>
        <v>-</v>
      </c>
      <c r="V760" t="str">
        <f>"1,000"</f>
        <v>1,000</v>
      </c>
      <c r="W760" t="str">
        <f t="shared" si="488"/>
        <v>Lista 4</v>
      </c>
      <c r="X760" t="str">
        <f t="shared" si="489"/>
        <v>Lista 5</v>
      </c>
      <c r="Y760" t="str">
        <f t="shared" si="490"/>
        <v>Oferta Gral.</v>
      </c>
      <c r="Z760" t="str">
        <f t="shared" si="491"/>
        <v>Rubro</v>
      </c>
      <c r="AA760" t="str">
        <f t="shared" si="492"/>
        <v>Cantidad por Bulto</v>
      </c>
      <c r="AB760" t="str">
        <f t="shared" si="493"/>
        <v>INNER</v>
      </c>
      <c r="AC760" t="str">
        <f t="shared" si="494"/>
        <v>Stock en Bultos</v>
      </c>
      <c r="AD760" t="str">
        <f t="shared" si="495"/>
        <v>SubDepósito</v>
      </c>
      <c r="AE760" t="str">
        <f t="shared" si="496"/>
        <v>Marca</v>
      </c>
      <c r="AF760" t="str">
        <f t="shared" si="497"/>
        <v>Super Rubro</v>
      </c>
      <c r="AG760" t="str">
        <f t="shared" si="498"/>
        <v>ComercioExterior</v>
      </c>
      <c r="AH760" t="str">
        <f t="shared" si="499"/>
        <v>PrecioFOB</v>
      </c>
      <c r="AI760" t="str">
        <f t="shared" si="500"/>
        <v>Monto II</v>
      </c>
      <c r="AJ760" t="str">
        <f t="shared" si="501"/>
        <v>Porcentaje II</v>
      </c>
      <c r="AK760" t="str">
        <f t="shared" si="502"/>
        <v>Foto</v>
      </c>
      <c r="AL760" t="str">
        <f t="shared" si="520"/>
        <v xml:space="preserve"> </v>
      </c>
      <c r="AM760" t="str">
        <f t="shared" si="519"/>
        <v xml:space="preserve"> </v>
      </c>
    </row>
    <row r="761" spans="1:39" x14ac:dyDescent="0.25">
      <c r="A761" t="str">
        <f>"BA145405 20"</f>
        <v>BA145405 20</v>
      </c>
      <c r="B761" t="str">
        <f>"COJINETES BANCADA 0,50 DUCATO DAILY BOXER JUMPER 2.3 MULTIJET"</f>
        <v>COJINETES BANCADA 0,50 DUCATO DAILY BOXER JUMPER 2.3 MULTIJET</v>
      </c>
      <c r="C761" t="str">
        <f>"$ 39065,91"</f>
        <v>$ 39065,91</v>
      </c>
      <c r="D761" t="str">
        <f>"$ 39065,91"</f>
        <v>$ 39065,91</v>
      </c>
      <c r="E761" t="str">
        <f>"$ 39065,91"</f>
        <v>$ 39065,91</v>
      </c>
      <c r="F761" t="str">
        <f>"$ 39065,91"</f>
        <v>$ 39065,91</v>
      </c>
      <c r="G761" t="str">
        <f>"$ 39065,91"</f>
        <v>$ 39065,91</v>
      </c>
      <c r="H761" t="str">
        <f t="shared" si="485"/>
        <v>$ 0,00</v>
      </c>
      <c r="I761" t="str">
        <f t="shared" si="512"/>
        <v>JUEGO COJINETES BANCADA</v>
      </c>
      <c r="J761" t="str">
        <f t="shared" si="486"/>
        <v>1</v>
      </c>
      <c r="K761" t="str">
        <f t="shared" si="509"/>
        <v>0</v>
      </c>
      <c r="L761" t="str">
        <f>"3,000"</f>
        <v>3,000</v>
      </c>
      <c r="M761" t="str">
        <f t="shared" si="487"/>
        <v xml:space="preserve"> </v>
      </c>
      <c r="N761" t="str">
        <f t="shared" si="513"/>
        <v>MPSI</v>
      </c>
      <c r="O761" t="str">
        <f t="shared" si="514"/>
        <v>COJINETES</v>
      </c>
      <c r="P761" t="str">
        <f t="shared" si="517"/>
        <v>0</v>
      </c>
      <c r="Q761" t="str">
        <f t="shared" si="517"/>
        <v>0</v>
      </c>
      <c r="R761" t="str">
        <f t="shared" si="518"/>
        <v>0,00</v>
      </c>
      <c r="S761" t="str">
        <f t="shared" si="518"/>
        <v>0,00</v>
      </c>
      <c r="T761" t="str">
        <f t="shared" si="506"/>
        <v xml:space="preserve"> </v>
      </c>
      <c r="U761" t="str">
        <f t="shared" si="515"/>
        <v>-</v>
      </c>
      <c r="V761" t="str">
        <f>"3,000"</f>
        <v>3,000</v>
      </c>
      <c r="W761" t="str">
        <f t="shared" si="488"/>
        <v>Lista 4</v>
      </c>
      <c r="X761" t="str">
        <f t="shared" si="489"/>
        <v>Lista 5</v>
      </c>
      <c r="Y761" t="str">
        <f t="shared" si="490"/>
        <v>Oferta Gral.</v>
      </c>
      <c r="Z761" t="str">
        <f t="shared" si="491"/>
        <v>Rubro</v>
      </c>
      <c r="AA761" t="str">
        <f t="shared" si="492"/>
        <v>Cantidad por Bulto</v>
      </c>
      <c r="AB761" t="str">
        <f t="shared" si="493"/>
        <v>INNER</v>
      </c>
      <c r="AC761" t="str">
        <f t="shared" si="494"/>
        <v>Stock en Bultos</v>
      </c>
      <c r="AD761" t="str">
        <f t="shared" si="495"/>
        <v>SubDepósito</v>
      </c>
      <c r="AE761" t="str">
        <f t="shared" si="496"/>
        <v>Marca</v>
      </c>
      <c r="AF761" t="str">
        <f t="shared" si="497"/>
        <v>Super Rubro</v>
      </c>
      <c r="AG761" t="str">
        <f t="shared" si="498"/>
        <v>ComercioExterior</v>
      </c>
      <c r="AH761" t="str">
        <f t="shared" si="499"/>
        <v>PrecioFOB</v>
      </c>
      <c r="AI761" t="str">
        <f t="shared" si="500"/>
        <v>Monto II</v>
      </c>
      <c r="AJ761" t="str">
        <f t="shared" si="501"/>
        <v>Porcentaje II</v>
      </c>
      <c r="AK761" t="str">
        <f t="shared" si="502"/>
        <v>Foto</v>
      </c>
      <c r="AL761" t="str">
        <f>"{\rtf1\ansi\ansicpg1252\deff0\deflang11274{\fonttbl{\f0\fnil\fcharset0 MS Sans Serif}} \viewkind4\uc1\pard\f0\fs16 COJINETES BANCADA 0,50 DUCATO DAILY BOXER JUMPER 2.3 MULTIJET\par } "</f>
        <v xml:space="preserve">{\rtf1\ansi\ansicpg1252\deff0\deflang11274{\fonttbl{\f0\fnil\fcharset0 MS Sans Serif}} \viewkind4\uc1\pard\f0\fs16 COJINETES BANCADA 0,50 DUCATO DAILY BOXER JUMPER 2.3 MULTIJET\par } </v>
      </c>
      <c r="AM761" t="str">
        <f t="shared" si="519"/>
        <v xml:space="preserve"> </v>
      </c>
    </row>
    <row r="762" spans="1:39" x14ac:dyDescent="0.25">
      <c r="A762" t="str">
        <f>"BA136 20"</f>
        <v>BA136 20</v>
      </c>
      <c r="B762" t="str">
        <f>"COJINETES BANCADA 0,50 FIAT 147 DUNA 1300 DIESEL"</f>
        <v>COJINETES BANCADA 0,50 FIAT 147 DUNA 1300 DIESEL</v>
      </c>
      <c r="C762" t="str">
        <f>"$ 17583,69"</f>
        <v>$ 17583,69</v>
      </c>
      <c r="D762" t="str">
        <f>"$ 17583,69"</f>
        <v>$ 17583,69</v>
      </c>
      <c r="E762" t="str">
        <f>"$ 17583,69"</f>
        <v>$ 17583,69</v>
      </c>
      <c r="F762" t="str">
        <f>"$ 17583,69"</f>
        <v>$ 17583,69</v>
      </c>
      <c r="G762" t="str">
        <f>"$ 17583,69"</f>
        <v>$ 17583,69</v>
      </c>
      <c r="H762" t="str">
        <f t="shared" si="485"/>
        <v>$ 0,00</v>
      </c>
      <c r="I762" t="str">
        <f t="shared" si="512"/>
        <v>JUEGO COJINETES BANCADA</v>
      </c>
      <c r="J762" t="str">
        <f t="shared" si="486"/>
        <v>1</v>
      </c>
      <c r="K762" t="str">
        <f t="shared" si="509"/>
        <v>0</v>
      </c>
      <c r="L762" t="str">
        <f>"2,000"</f>
        <v>2,000</v>
      </c>
      <c r="M762" t="str">
        <f t="shared" si="487"/>
        <v xml:space="preserve"> </v>
      </c>
      <c r="N762" t="str">
        <f t="shared" si="513"/>
        <v>MPSI</v>
      </c>
      <c r="O762" t="str">
        <f t="shared" si="514"/>
        <v>COJINETES</v>
      </c>
      <c r="P762" t="str">
        <f t="shared" si="517"/>
        <v>0</v>
      </c>
      <c r="Q762" t="str">
        <f t="shared" si="517"/>
        <v>0</v>
      </c>
      <c r="R762" t="str">
        <f t="shared" si="518"/>
        <v>0,00</v>
      </c>
      <c r="S762" t="str">
        <f t="shared" si="518"/>
        <v>0,00</v>
      </c>
      <c r="T762" t="str">
        <f t="shared" si="506"/>
        <v xml:space="preserve"> </v>
      </c>
      <c r="U762" t="str">
        <f t="shared" si="515"/>
        <v>-</v>
      </c>
      <c r="V762" t="str">
        <f>"2,000"</f>
        <v>2,000</v>
      </c>
      <c r="W762" t="str">
        <f t="shared" si="488"/>
        <v>Lista 4</v>
      </c>
      <c r="X762" t="str">
        <f t="shared" si="489"/>
        <v>Lista 5</v>
      </c>
      <c r="Y762" t="str">
        <f t="shared" si="490"/>
        <v>Oferta Gral.</v>
      </c>
      <c r="Z762" t="str">
        <f t="shared" si="491"/>
        <v>Rubro</v>
      </c>
      <c r="AA762" t="str">
        <f t="shared" si="492"/>
        <v>Cantidad por Bulto</v>
      </c>
      <c r="AB762" t="str">
        <f t="shared" si="493"/>
        <v>INNER</v>
      </c>
      <c r="AC762" t="str">
        <f t="shared" si="494"/>
        <v>Stock en Bultos</v>
      </c>
      <c r="AD762" t="str">
        <f t="shared" si="495"/>
        <v>SubDepósito</v>
      </c>
      <c r="AE762" t="str">
        <f t="shared" si="496"/>
        <v>Marca</v>
      </c>
      <c r="AF762" t="str">
        <f t="shared" si="497"/>
        <v>Super Rubro</v>
      </c>
      <c r="AG762" t="str">
        <f t="shared" si="498"/>
        <v>ComercioExterior</v>
      </c>
      <c r="AH762" t="str">
        <f t="shared" si="499"/>
        <v>PrecioFOB</v>
      </c>
      <c r="AI762" t="str">
        <f t="shared" si="500"/>
        <v>Monto II</v>
      </c>
      <c r="AJ762" t="str">
        <f t="shared" si="501"/>
        <v>Porcentaje II</v>
      </c>
      <c r="AK762" t="str">
        <f t="shared" si="502"/>
        <v>Foto</v>
      </c>
      <c r="AL762" t="str">
        <f t="shared" ref="AL762:AL767" si="521">" "</f>
        <v xml:space="preserve"> </v>
      </c>
      <c r="AM762" t="str">
        <f t="shared" si="519"/>
        <v xml:space="preserve"> </v>
      </c>
    </row>
    <row r="763" spans="1:39" x14ac:dyDescent="0.25">
      <c r="A763" t="str">
        <f>"BA133 20"</f>
        <v>BA133 20</v>
      </c>
      <c r="B763" t="str">
        <f>"COJINETES BANCADA 0,50 FIAT 600 S 133"</f>
        <v>COJINETES BANCADA 0,50 FIAT 600 S 133</v>
      </c>
      <c r="C763" t="str">
        <f>"$ 13090,25"</f>
        <v>$ 13090,25</v>
      </c>
      <c r="D763" t="str">
        <f>"$ 13090,25"</f>
        <v>$ 13090,25</v>
      </c>
      <c r="E763" t="str">
        <f>"$ 13090,25"</f>
        <v>$ 13090,25</v>
      </c>
      <c r="F763" t="str">
        <f>"$ 13090,25"</f>
        <v>$ 13090,25</v>
      </c>
      <c r="G763" t="str">
        <f>"$ 13090,25"</f>
        <v>$ 13090,25</v>
      </c>
      <c r="H763" t="str">
        <f t="shared" si="485"/>
        <v>$ 0,00</v>
      </c>
      <c r="I763" t="str">
        <f t="shared" si="512"/>
        <v>JUEGO COJINETES BANCADA</v>
      </c>
      <c r="J763" t="str">
        <f t="shared" si="486"/>
        <v>1</v>
      </c>
      <c r="K763" t="str">
        <f t="shared" si="509"/>
        <v>0</v>
      </c>
      <c r="L763" t="str">
        <f>"5,000"</f>
        <v>5,000</v>
      </c>
      <c r="M763" t="str">
        <f t="shared" si="487"/>
        <v xml:space="preserve"> </v>
      </c>
      <c r="N763" t="str">
        <f t="shared" si="513"/>
        <v>MPSI</v>
      </c>
      <c r="O763" t="str">
        <f t="shared" si="514"/>
        <v>COJINETES</v>
      </c>
      <c r="P763" t="str">
        <f t="shared" ref="P763:Q782" si="522">"0"</f>
        <v>0</v>
      </c>
      <c r="Q763" t="str">
        <f t="shared" si="522"/>
        <v>0</v>
      </c>
      <c r="R763" t="str">
        <f t="shared" ref="R763:S782" si="523">"0,00"</f>
        <v>0,00</v>
      </c>
      <c r="S763" t="str">
        <f t="shared" si="523"/>
        <v>0,00</v>
      </c>
      <c r="T763" t="str">
        <f t="shared" si="506"/>
        <v xml:space="preserve"> </v>
      </c>
      <c r="U763" t="str">
        <f t="shared" si="515"/>
        <v>-</v>
      </c>
      <c r="V763" t="str">
        <f>"5,000"</f>
        <v>5,000</v>
      </c>
      <c r="W763" t="str">
        <f t="shared" si="488"/>
        <v>Lista 4</v>
      </c>
      <c r="X763" t="str">
        <f t="shared" si="489"/>
        <v>Lista 5</v>
      </c>
      <c r="Y763" t="str">
        <f t="shared" si="490"/>
        <v>Oferta Gral.</v>
      </c>
      <c r="Z763" t="str">
        <f t="shared" si="491"/>
        <v>Rubro</v>
      </c>
      <c r="AA763" t="str">
        <f t="shared" si="492"/>
        <v>Cantidad por Bulto</v>
      </c>
      <c r="AB763" t="str">
        <f t="shared" si="493"/>
        <v>INNER</v>
      </c>
      <c r="AC763" t="str">
        <f t="shared" si="494"/>
        <v>Stock en Bultos</v>
      </c>
      <c r="AD763" t="str">
        <f t="shared" si="495"/>
        <v>SubDepósito</v>
      </c>
      <c r="AE763" t="str">
        <f t="shared" si="496"/>
        <v>Marca</v>
      </c>
      <c r="AF763" t="str">
        <f t="shared" si="497"/>
        <v>Super Rubro</v>
      </c>
      <c r="AG763" t="str">
        <f t="shared" si="498"/>
        <v>ComercioExterior</v>
      </c>
      <c r="AH763" t="str">
        <f t="shared" si="499"/>
        <v>PrecioFOB</v>
      </c>
      <c r="AI763" t="str">
        <f t="shared" si="500"/>
        <v>Monto II</v>
      </c>
      <c r="AJ763" t="str">
        <f t="shared" si="501"/>
        <v>Porcentaje II</v>
      </c>
      <c r="AK763" t="str">
        <f t="shared" si="502"/>
        <v>Foto</v>
      </c>
      <c r="AL763" t="str">
        <f t="shared" si="521"/>
        <v xml:space="preserve"> </v>
      </c>
      <c r="AM763" t="str">
        <f t="shared" si="519"/>
        <v xml:space="preserve"> </v>
      </c>
    </row>
    <row r="764" spans="1:39" x14ac:dyDescent="0.25">
      <c r="A764" t="str">
        <f>"BA135358 20"</f>
        <v>BA135358 20</v>
      </c>
      <c r="B764" t="str">
        <f>"COJINETES BANCADA 0,50 FIAT ARGO CRONOS 1.3 FIREFLY 8V"</f>
        <v>COJINETES BANCADA 0,50 FIAT ARGO CRONOS 1.3 FIREFLY 8V</v>
      </c>
      <c r="C764" t="str">
        <f>"$ 20277,78"</f>
        <v>$ 20277,78</v>
      </c>
      <c r="D764" t="str">
        <f>"$ 20277,78"</f>
        <v>$ 20277,78</v>
      </c>
      <c r="E764" t="str">
        <f>"$ 20277,78"</f>
        <v>$ 20277,78</v>
      </c>
      <c r="F764" t="str">
        <f>"$ 20277,78"</f>
        <v>$ 20277,78</v>
      </c>
      <c r="G764" t="str">
        <f>"$ 20277,78"</f>
        <v>$ 20277,78</v>
      </c>
      <c r="H764" t="str">
        <f t="shared" si="485"/>
        <v>$ 0,00</v>
      </c>
      <c r="I764" t="str">
        <f t="shared" si="512"/>
        <v>JUEGO COJINETES BANCADA</v>
      </c>
      <c r="J764" t="str">
        <f t="shared" si="486"/>
        <v>1</v>
      </c>
      <c r="K764" t="str">
        <f t="shared" si="509"/>
        <v>0</v>
      </c>
      <c r="L764" t="str">
        <f>"5,000"</f>
        <v>5,000</v>
      </c>
      <c r="M764" t="str">
        <f t="shared" si="487"/>
        <v xml:space="preserve"> </v>
      </c>
      <c r="N764" t="str">
        <f t="shared" si="513"/>
        <v>MPSI</v>
      </c>
      <c r="O764" t="str">
        <f t="shared" si="514"/>
        <v>COJINETES</v>
      </c>
      <c r="P764" t="str">
        <f t="shared" si="522"/>
        <v>0</v>
      </c>
      <c r="Q764" t="str">
        <f t="shared" si="522"/>
        <v>0</v>
      </c>
      <c r="R764" t="str">
        <f t="shared" si="523"/>
        <v>0,00</v>
      </c>
      <c r="S764" t="str">
        <f t="shared" si="523"/>
        <v>0,00</v>
      </c>
      <c r="T764" t="str">
        <f t="shared" si="506"/>
        <v xml:space="preserve"> </v>
      </c>
      <c r="U764" t="str">
        <f t="shared" si="515"/>
        <v>-</v>
      </c>
      <c r="V764" t="str">
        <f>"5,000"</f>
        <v>5,000</v>
      </c>
      <c r="W764" t="str">
        <f t="shared" si="488"/>
        <v>Lista 4</v>
      </c>
      <c r="X764" t="str">
        <f t="shared" si="489"/>
        <v>Lista 5</v>
      </c>
      <c r="Y764" t="str">
        <f t="shared" si="490"/>
        <v>Oferta Gral.</v>
      </c>
      <c r="Z764" t="str">
        <f t="shared" si="491"/>
        <v>Rubro</v>
      </c>
      <c r="AA764" t="str">
        <f t="shared" si="492"/>
        <v>Cantidad por Bulto</v>
      </c>
      <c r="AB764" t="str">
        <f t="shared" si="493"/>
        <v>INNER</v>
      </c>
      <c r="AC764" t="str">
        <f t="shared" si="494"/>
        <v>Stock en Bultos</v>
      </c>
      <c r="AD764" t="str">
        <f t="shared" si="495"/>
        <v>SubDepósito</v>
      </c>
      <c r="AE764" t="str">
        <f t="shared" si="496"/>
        <v>Marca</v>
      </c>
      <c r="AF764" t="str">
        <f t="shared" si="497"/>
        <v>Super Rubro</v>
      </c>
      <c r="AG764" t="str">
        <f t="shared" si="498"/>
        <v>ComercioExterior</v>
      </c>
      <c r="AH764" t="str">
        <f t="shared" si="499"/>
        <v>PrecioFOB</v>
      </c>
      <c r="AI764" t="str">
        <f t="shared" si="500"/>
        <v>Monto II</v>
      </c>
      <c r="AJ764" t="str">
        <f t="shared" si="501"/>
        <v>Porcentaje II</v>
      </c>
      <c r="AK764" t="str">
        <f t="shared" si="502"/>
        <v>Foto</v>
      </c>
      <c r="AL764" t="str">
        <f t="shared" si="521"/>
        <v xml:space="preserve"> </v>
      </c>
      <c r="AM764" t="str">
        <f t="shared" si="519"/>
        <v xml:space="preserve"> </v>
      </c>
    </row>
    <row r="765" spans="1:39" x14ac:dyDescent="0.25">
      <c r="A765" t="str">
        <f>"BA135 20"</f>
        <v>BA135 20</v>
      </c>
      <c r="B765" t="str">
        <f>"COJINETES BANCADA 0,50 FIAT DUNA DUCATO 1.7 1.9 DIESEL"</f>
        <v>COJINETES BANCADA 0,50 FIAT DUNA DUCATO 1.7 1.9 DIESEL</v>
      </c>
      <c r="C765" t="str">
        <f>"$ 19699,02"</f>
        <v>$ 19699,02</v>
      </c>
      <c r="D765" t="str">
        <f>"$ 19699,02"</f>
        <v>$ 19699,02</v>
      </c>
      <c r="E765" t="str">
        <f>"$ 19699,02"</f>
        <v>$ 19699,02</v>
      </c>
      <c r="F765" t="str">
        <f>"$ 19699,02"</f>
        <v>$ 19699,02</v>
      </c>
      <c r="G765" t="str">
        <f>"$ 19699,02"</f>
        <v>$ 19699,02</v>
      </c>
      <c r="H765" t="str">
        <f t="shared" si="485"/>
        <v>$ 0,00</v>
      </c>
      <c r="I765" t="str">
        <f t="shared" si="512"/>
        <v>JUEGO COJINETES BANCADA</v>
      </c>
      <c r="J765" t="str">
        <f t="shared" si="486"/>
        <v>1</v>
      </c>
      <c r="K765" t="str">
        <f t="shared" si="509"/>
        <v>0</v>
      </c>
      <c r="L765" t="str">
        <f>"7,000"</f>
        <v>7,000</v>
      </c>
      <c r="M765" t="str">
        <f t="shared" si="487"/>
        <v xml:space="preserve"> </v>
      </c>
      <c r="N765" t="str">
        <f t="shared" si="513"/>
        <v>MPSI</v>
      </c>
      <c r="O765" t="str">
        <f t="shared" si="514"/>
        <v>COJINETES</v>
      </c>
      <c r="P765" t="str">
        <f t="shared" si="522"/>
        <v>0</v>
      </c>
      <c r="Q765" t="str">
        <f t="shared" si="522"/>
        <v>0</v>
      </c>
      <c r="R765" t="str">
        <f t="shared" si="523"/>
        <v>0,00</v>
      </c>
      <c r="S765" t="str">
        <f t="shared" si="523"/>
        <v>0,00</v>
      </c>
      <c r="T765" t="str">
        <f t="shared" si="506"/>
        <v xml:space="preserve"> </v>
      </c>
      <c r="U765" t="str">
        <f t="shared" si="515"/>
        <v>-</v>
      </c>
      <c r="V765" t="str">
        <f>"7,000"</f>
        <v>7,000</v>
      </c>
      <c r="W765" t="str">
        <f t="shared" si="488"/>
        <v>Lista 4</v>
      </c>
      <c r="X765" t="str">
        <f t="shared" si="489"/>
        <v>Lista 5</v>
      </c>
      <c r="Y765" t="str">
        <f t="shared" si="490"/>
        <v>Oferta Gral.</v>
      </c>
      <c r="Z765" t="str">
        <f t="shared" si="491"/>
        <v>Rubro</v>
      </c>
      <c r="AA765" t="str">
        <f t="shared" si="492"/>
        <v>Cantidad por Bulto</v>
      </c>
      <c r="AB765" t="str">
        <f t="shared" si="493"/>
        <v>INNER</v>
      </c>
      <c r="AC765" t="str">
        <f t="shared" si="494"/>
        <v>Stock en Bultos</v>
      </c>
      <c r="AD765" t="str">
        <f t="shared" si="495"/>
        <v>SubDepósito</v>
      </c>
      <c r="AE765" t="str">
        <f t="shared" si="496"/>
        <v>Marca</v>
      </c>
      <c r="AF765" t="str">
        <f t="shared" si="497"/>
        <v>Super Rubro</v>
      </c>
      <c r="AG765" t="str">
        <f t="shared" si="498"/>
        <v>ComercioExterior</v>
      </c>
      <c r="AH765" t="str">
        <f t="shared" si="499"/>
        <v>PrecioFOB</v>
      </c>
      <c r="AI765" t="str">
        <f t="shared" si="500"/>
        <v>Monto II</v>
      </c>
      <c r="AJ765" t="str">
        <f t="shared" si="501"/>
        <v>Porcentaje II</v>
      </c>
      <c r="AK765" t="str">
        <f t="shared" si="502"/>
        <v>Foto</v>
      </c>
      <c r="AL765" t="str">
        <f t="shared" si="521"/>
        <v xml:space="preserve"> </v>
      </c>
      <c r="AM765" t="str">
        <f t="shared" si="519"/>
        <v xml:space="preserve"> </v>
      </c>
    </row>
    <row r="766" spans="1:39" x14ac:dyDescent="0.25">
      <c r="A766" t="str">
        <f>"BA139 20"</f>
        <v>BA139 20</v>
      </c>
      <c r="B766" t="str">
        <f>"COJINETES BANCADA 0,50 FIAT DUNA UNO 147 MOTOR TIPO 1.4 1.6"</f>
        <v>COJINETES BANCADA 0,50 FIAT DUNA UNO 147 MOTOR TIPO 1.4 1.6</v>
      </c>
      <c r="C766" t="str">
        <f>"$ 18211,68"</f>
        <v>$ 18211,68</v>
      </c>
      <c r="D766" t="str">
        <f>"$ 18211,68"</f>
        <v>$ 18211,68</v>
      </c>
      <c r="E766" t="str">
        <f>"$ 18211,68"</f>
        <v>$ 18211,68</v>
      </c>
      <c r="F766" t="str">
        <f>"$ 18211,68"</f>
        <v>$ 18211,68</v>
      </c>
      <c r="G766" t="str">
        <f>"$ 18211,68"</f>
        <v>$ 18211,68</v>
      </c>
      <c r="H766" t="str">
        <f t="shared" si="485"/>
        <v>$ 0,00</v>
      </c>
      <c r="I766" t="str">
        <f t="shared" si="512"/>
        <v>JUEGO COJINETES BANCADA</v>
      </c>
      <c r="J766" t="str">
        <f t="shared" si="486"/>
        <v>1</v>
      </c>
      <c r="K766" t="str">
        <f t="shared" si="509"/>
        <v>0</v>
      </c>
      <c r="L766" t="str">
        <f>"16,000"</f>
        <v>16,000</v>
      </c>
      <c r="M766" t="str">
        <f t="shared" si="487"/>
        <v xml:space="preserve"> </v>
      </c>
      <c r="N766" t="str">
        <f t="shared" si="513"/>
        <v>MPSI</v>
      </c>
      <c r="O766" t="str">
        <f t="shared" si="514"/>
        <v>COJINETES</v>
      </c>
      <c r="P766" t="str">
        <f t="shared" si="522"/>
        <v>0</v>
      </c>
      <c r="Q766" t="str">
        <f t="shared" si="522"/>
        <v>0</v>
      </c>
      <c r="R766" t="str">
        <f t="shared" si="523"/>
        <v>0,00</v>
      </c>
      <c r="S766" t="str">
        <f t="shared" si="523"/>
        <v>0,00</v>
      </c>
      <c r="T766" t="str">
        <f t="shared" si="506"/>
        <v xml:space="preserve"> </v>
      </c>
      <c r="U766" t="str">
        <f t="shared" si="515"/>
        <v>-</v>
      </c>
      <c r="V766" t="str">
        <f>"16,000"</f>
        <v>16,000</v>
      </c>
      <c r="W766" t="str">
        <f t="shared" si="488"/>
        <v>Lista 4</v>
      </c>
      <c r="X766" t="str">
        <f t="shared" si="489"/>
        <v>Lista 5</v>
      </c>
      <c r="Y766" t="str">
        <f t="shared" si="490"/>
        <v>Oferta Gral.</v>
      </c>
      <c r="Z766" t="str">
        <f t="shared" si="491"/>
        <v>Rubro</v>
      </c>
      <c r="AA766" t="str">
        <f t="shared" si="492"/>
        <v>Cantidad por Bulto</v>
      </c>
      <c r="AB766" t="str">
        <f t="shared" si="493"/>
        <v>INNER</v>
      </c>
      <c r="AC766" t="str">
        <f t="shared" si="494"/>
        <v>Stock en Bultos</v>
      </c>
      <c r="AD766" t="str">
        <f t="shared" si="495"/>
        <v>SubDepósito</v>
      </c>
      <c r="AE766" t="str">
        <f t="shared" si="496"/>
        <v>Marca</v>
      </c>
      <c r="AF766" t="str">
        <f t="shared" si="497"/>
        <v>Super Rubro</v>
      </c>
      <c r="AG766" t="str">
        <f t="shared" si="498"/>
        <v>ComercioExterior</v>
      </c>
      <c r="AH766" t="str">
        <f t="shared" si="499"/>
        <v>PrecioFOB</v>
      </c>
      <c r="AI766" t="str">
        <f t="shared" si="500"/>
        <v>Monto II</v>
      </c>
      <c r="AJ766" t="str">
        <f t="shared" si="501"/>
        <v>Porcentaje II</v>
      </c>
      <c r="AK766" t="str">
        <f t="shared" si="502"/>
        <v>Foto</v>
      </c>
      <c r="AL766" t="str">
        <f t="shared" si="521"/>
        <v xml:space="preserve"> </v>
      </c>
      <c r="AM766" t="str">
        <f t="shared" si="519"/>
        <v xml:space="preserve"> </v>
      </c>
    </row>
    <row r="767" spans="1:39" x14ac:dyDescent="0.25">
      <c r="A767" t="str">
        <f>"BA172 20"</f>
        <v>BA172 20</v>
      </c>
      <c r="B767" t="str">
        <f>"COJINETES BANCADA 0,50 FIAT PALIO SIENA ETORQ 1.6 16V"</f>
        <v>COJINETES BANCADA 0,50 FIAT PALIO SIENA ETORQ 1.6 16V</v>
      </c>
      <c r="C767" t="str">
        <f>"$ 24672,23"</f>
        <v>$ 24672,23</v>
      </c>
      <c r="D767" t="str">
        <f>"$ 24672,23"</f>
        <v>$ 24672,23</v>
      </c>
      <c r="E767" t="str">
        <f>"$ 24672,23"</f>
        <v>$ 24672,23</v>
      </c>
      <c r="F767" t="str">
        <f>"$ 24672,23"</f>
        <v>$ 24672,23</v>
      </c>
      <c r="G767" t="str">
        <f>"$ 24672,23"</f>
        <v>$ 24672,23</v>
      </c>
      <c r="H767" t="str">
        <f t="shared" si="485"/>
        <v>$ 0,00</v>
      </c>
      <c r="I767" t="str">
        <f t="shared" si="512"/>
        <v>JUEGO COJINETES BANCADA</v>
      </c>
      <c r="J767" t="str">
        <f t="shared" si="486"/>
        <v>1</v>
      </c>
      <c r="K767" t="str">
        <f t="shared" si="509"/>
        <v>0</v>
      </c>
      <c r="L767" t="str">
        <f>"3,000"</f>
        <v>3,000</v>
      </c>
      <c r="M767" t="str">
        <f t="shared" si="487"/>
        <v xml:space="preserve"> </v>
      </c>
      <c r="N767" t="str">
        <f t="shared" si="513"/>
        <v>MPSI</v>
      </c>
      <c r="O767" t="str">
        <f t="shared" si="514"/>
        <v>COJINETES</v>
      </c>
      <c r="P767" t="str">
        <f t="shared" si="522"/>
        <v>0</v>
      </c>
      <c r="Q767" t="str">
        <f t="shared" si="522"/>
        <v>0</v>
      </c>
      <c r="R767" t="str">
        <f t="shared" si="523"/>
        <v>0,00</v>
      </c>
      <c r="S767" t="str">
        <f t="shared" si="523"/>
        <v>0,00</v>
      </c>
      <c r="T767" t="str">
        <f t="shared" si="506"/>
        <v xml:space="preserve"> </v>
      </c>
      <c r="U767" t="str">
        <f t="shared" si="515"/>
        <v>-</v>
      </c>
      <c r="V767" t="str">
        <f>"3,000"</f>
        <v>3,000</v>
      </c>
      <c r="W767" t="str">
        <f t="shared" si="488"/>
        <v>Lista 4</v>
      </c>
      <c r="X767" t="str">
        <f t="shared" si="489"/>
        <v>Lista 5</v>
      </c>
      <c r="Y767" t="str">
        <f t="shared" si="490"/>
        <v>Oferta Gral.</v>
      </c>
      <c r="Z767" t="str">
        <f t="shared" si="491"/>
        <v>Rubro</v>
      </c>
      <c r="AA767" t="str">
        <f t="shared" si="492"/>
        <v>Cantidad por Bulto</v>
      </c>
      <c r="AB767" t="str">
        <f t="shared" si="493"/>
        <v>INNER</v>
      </c>
      <c r="AC767" t="str">
        <f t="shared" si="494"/>
        <v>Stock en Bultos</v>
      </c>
      <c r="AD767" t="str">
        <f t="shared" si="495"/>
        <v>SubDepósito</v>
      </c>
      <c r="AE767" t="str">
        <f t="shared" si="496"/>
        <v>Marca</v>
      </c>
      <c r="AF767" t="str">
        <f t="shared" si="497"/>
        <v>Super Rubro</v>
      </c>
      <c r="AG767" t="str">
        <f t="shared" si="498"/>
        <v>ComercioExterior</v>
      </c>
      <c r="AH767" t="str">
        <f t="shared" si="499"/>
        <v>PrecioFOB</v>
      </c>
      <c r="AI767" t="str">
        <f t="shared" si="500"/>
        <v>Monto II</v>
      </c>
      <c r="AJ767" t="str">
        <f t="shared" si="501"/>
        <v>Porcentaje II</v>
      </c>
      <c r="AK767" t="str">
        <f t="shared" si="502"/>
        <v>Foto</v>
      </c>
      <c r="AL767" t="str">
        <f t="shared" si="521"/>
        <v xml:space="preserve"> </v>
      </c>
      <c r="AM767" t="str">
        <f t="shared" si="519"/>
        <v xml:space="preserve"> </v>
      </c>
    </row>
    <row r="768" spans="1:39" x14ac:dyDescent="0.25">
      <c r="A768" t="str">
        <f>"BA156 20"</f>
        <v>BA156 20</v>
      </c>
      <c r="B768" t="str">
        <f>"COJINETES BANCADA 0,50 FIAT PALIO SIENA FIRE 1.3 1.4 8V Y 16V"</f>
        <v>COJINETES BANCADA 0,50 FIAT PALIO SIENA FIRE 1.3 1.4 8V Y 16V</v>
      </c>
      <c r="C768" t="str">
        <f>"$ 21467,31"</f>
        <v>$ 21467,31</v>
      </c>
      <c r="D768" t="str">
        <f>"$ 21467,31"</f>
        <v>$ 21467,31</v>
      </c>
      <c r="E768" t="str">
        <f>"$ 21467,31"</f>
        <v>$ 21467,31</v>
      </c>
      <c r="F768" t="str">
        <f>"$ 21467,31"</f>
        <v>$ 21467,31</v>
      </c>
      <c r="G768" t="str">
        <f>"$ 21467,31"</f>
        <v>$ 21467,31</v>
      </c>
      <c r="H768" t="str">
        <f t="shared" si="485"/>
        <v>$ 0,00</v>
      </c>
      <c r="I768" t="str">
        <f t="shared" si="512"/>
        <v>JUEGO COJINETES BANCADA</v>
      </c>
      <c r="J768" t="str">
        <f t="shared" si="486"/>
        <v>1</v>
      </c>
      <c r="K768" t="str">
        <f t="shared" si="509"/>
        <v>0</v>
      </c>
      <c r="L768" t="str">
        <f>"15,000"</f>
        <v>15,000</v>
      </c>
      <c r="M768" t="str">
        <f t="shared" si="487"/>
        <v xml:space="preserve"> </v>
      </c>
      <c r="N768" t="str">
        <f t="shared" si="513"/>
        <v>MPSI</v>
      </c>
      <c r="O768" t="str">
        <f t="shared" si="514"/>
        <v>COJINETES</v>
      </c>
      <c r="P768" t="str">
        <f t="shared" si="522"/>
        <v>0</v>
      </c>
      <c r="Q768" t="str">
        <f t="shared" si="522"/>
        <v>0</v>
      </c>
      <c r="R768" t="str">
        <f t="shared" si="523"/>
        <v>0,00</v>
      </c>
      <c r="S768" t="str">
        <f t="shared" si="523"/>
        <v>0,00</v>
      </c>
      <c r="T768" t="str">
        <f t="shared" si="506"/>
        <v xml:space="preserve"> </v>
      </c>
      <c r="U768" t="str">
        <f t="shared" si="515"/>
        <v>-</v>
      </c>
      <c r="V768" t="str">
        <f>"15,000"</f>
        <v>15,000</v>
      </c>
      <c r="W768" t="str">
        <f t="shared" si="488"/>
        <v>Lista 4</v>
      </c>
      <c r="X768" t="str">
        <f t="shared" si="489"/>
        <v>Lista 5</v>
      </c>
      <c r="Y768" t="str">
        <f t="shared" si="490"/>
        <v>Oferta Gral.</v>
      </c>
      <c r="Z768" t="str">
        <f t="shared" si="491"/>
        <v>Rubro</v>
      </c>
      <c r="AA768" t="str">
        <f t="shared" si="492"/>
        <v>Cantidad por Bulto</v>
      </c>
      <c r="AB768" t="str">
        <f t="shared" si="493"/>
        <v>INNER</v>
      </c>
      <c r="AC768" t="str">
        <f t="shared" si="494"/>
        <v>Stock en Bultos</v>
      </c>
      <c r="AD768" t="str">
        <f t="shared" si="495"/>
        <v>SubDepósito</v>
      </c>
      <c r="AE768" t="str">
        <f t="shared" si="496"/>
        <v>Marca</v>
      </c>
      <c r="AF768" t="str">
        <f t="shared" si="497"/>
        <v>Super Rubro</v>
      </c>
      <c r="AG768" t="str">
        <f t="shared" si="498"/>
        <v>ComercioExterior</v>
      </c>
      <c r="AH768" t="str">
        <f t="shared" si="499"/>
        <v>PrecioFOB</v>
      </c>
      <c r="AI768" t="str">
        <f t="shared" si="500"/>
        <v>Monto II</v>
      </c>
      <c r="AJ768" t="str">
        <f t="shared" si="501"/>
        <v>Porcentaje II</v>
      </c>
      <c r="AK768" t="str">
        <f t="shared" si="502"/>
        <v>Foto</v>
      </c>
      <c r="AL768" t="str">
        <f>"{\rtf1\ansi\ansicpg1252\deff0\deflang2058{\fonttbl{\f0\fnil\fcharset0 MS Sans Serif}} \viewkind4\uc1\pard\f0\fs16 COJINETES BANCADA 0,50 FIAT PALIO SIENA FIRE 1.3 1.4 8V Y 16V\par } "</f>
        <v xml:space="preserve">{\rtf1\ansi\ansicpg1252\deff0\deflang2058{\fonttbl{\f0\fnil\fcharset0 MS Sans Serif}} \viewkind4\uc1\pard\f0\fs16 COJINETES BANCADA 0,50 FIAT PALIO SIENA FIRE 1.3 1.4 8V Y 16V\par } </v>
      </c>
      <c r="AM768" t="str">
        <f t="shared" si="519"/>
        <v xml:space="preserve"> </v>
      </c>
    </row>
    <row r="769" spans="1:39" x14ac:dyDescent="0.25">
      <c r="A769" t="str">
        <f>"BA135378 20"</f>
        <v>BA135378 20</v>
      </c>
      <c r="B769" t="str">
        <f>"COJINETES BANCADA 0,50 FIAT TORO MULTIJET 2.0 16 V 170 CV DIESEL"</f>
        <v>COJINETES BANCADA 0,50 FIAT TORO MULTIJET 2.0 16 V 170 CV DIESEL</v>
      </c>
      <c r="C769" t="str">
        <f>"$ 7820,63"</f>
        <v>$ 7820,63</v>
      </c>
      <c r="D769" t="str">
        <f>"$ 7820,63"</f>
        <v>$ 7820,63</v>
      </c>
      <c r="E769" t="str">
        <f>"$ 7820,63"</f>
        <v>$ 7820,63</v>
      </c>
      <c r="F769" t="str">
        <f>"$ 7820,63"</f>
        <v>$ 7820,63</v>
      </c>
      <c r="G769" t="str">
        <f>"$ 7820,63"</f>
        <v>$ 7820,63</v>
      </c>
      <c r="H769" t="str">
        <f t="shared" si="485"/>
        <v>$ 0,00</v>
      </c>
      <c r="I769" t="str">
        <f t="shared" si="512"/>
        <v>JUEGO COJINETES BANCADA</v>
      </c>
      <c r="J769" t="str">
        <f t="shared" si="486"/>
        <v>1</v>
      </c>
      <c r="K769" t="str">
        <f t="shared" si="509"/>
        <v>0</v>
      </c>
      <c r="L769" t="str">
        <f>"0,000"</f>
        <v>0,000</v>
      </c>
      <c r="M769" t="str">
        <f t="shared" si="487"/>
        <v xml:space="preserve"> </v>
      </c>
      <c r="N769" t="str">
        <f t="shared" si="513"/>
        <v>MPSI</v>
      </c>
      <c r="O769" t="str">
        <f t="shared" si="514"/>
        <v>COJINETES</v>
      </c>
      <c r="P769" t="str">
        <f t="shared" si="522"/>
        <v>0</v>
      </c>
      <c r="Q769" t="str">
        <f t="shared" si="522"/>
        <v>0</v>
      </c>
      <c r="R769" t="str">
        <f t="shared" si="523"/>
        <v>0,00</v>
      </c>
      <c r="S769" t="str">
        <f t="shared" si="523"/>
        <v>0,00</v>
      </c>
      <c r="T769" t="str">
        <f t="shared" si="506"/>
        <v xml:space="preserve"> </v>
      </c>
      <c r="U769" t="str">
        <f t="shared" si="515"/>
        <v>-</v>
      </c>
      <c r="V769" t="str">
        <f>"0,000"</f>
        <v>0,000</v>
      </c>
      <c r="W769" t="str">
        <f t="shared" si="488"/>
        <v>Lista 4</v>
      </c>
      <c r="X769" t="str">
        <f t="shared" si="489"/>
        <v>Lista 5</v>
      </c>
      <c r="Y769" t="str">
        <f t="shared" si="490"/>
        <v>Oferta Gral.</v>
      </c>
      <c r="Z769" t="str">
        <f t="shared" si="491"/>
        <v>Rubro</v>
      </c>
      <c r="AA769" t="str">
        <f t="shared" si="492"/>
        <v>Cantidad por Bulto</v>
      </c>
      <c r="AB769" t="str">
        <f t="shared" si="493"/>
        <v>INNER</v>
      </c>
      <c r="AC769" t="str">
        <f t="shared" si="494"/>
        <v>Stock en Bultos</v>
      </c>
      <c r="AD769" t="str">
        <f t="shared" si="495"/>
        <v>SubDepósito</v>
      </c>
      <c r="AE769" t="str">
        <f t="shared" si="496"/>
        <v>Marca</v>
      </c>
      <c r="AF769" t="str">
        <f t="shared" si="497"/>
        <v>Super Rubro</v>
      </c>
      <c r="AG769" t="str">
        <f t="shared" si="498"/>
        <v>ComercioExterior</v>
      </c>
      <c r="AH769" t="str">
        <f t="shared" si="499"/>
        <v>PrecioFOB</v>
      </c>
      <c r="AI769" t="str">
        <f t="shared" si="500"/>
        <v>Monto II</v>
      </c>
      <c r="AJ769" t="str">
        <f t="shared" si="501"/>
        <v>Porcentaje II</v>
      </c>
      <c r="AK769" t="str">
        <f t="shared" si="502"/>
        <v>Foto</v>
      </c>
      <c r="AL769" t="str">
        <f>"{\rtf1\ansi\ansicpg1252\deff0\deflang11274{\fonttbl{\f0\fnil\fcharset0 MS Sans Serif}} \viewkind4\uc1\pard\f0\fs16 COJINETES BANCADA 0,50 FIAT TORO MULTIJET 2.0 16 V 170 CV DIESEL\par } "</f>
        <v xml:space="preserve">{\rtf1\ansi\ansicpg1252\deff0\deflang11274{\fonttbl{\f0\fnil\fcharset0 MS Sans Serif}} \viewkind4\uc1\pard\f0\fs16 COJINETES BANCADA 0,50 FIAT TORO MULTIJET 2.0 16 V 170 CV DIESEL\par } </v>
      </c>
      <c r="AM769" t="str">
        <f t="shared" si="519"/>
        <v xml:space="preserve"> </v>
      </c>
    </row>
    <row r="770" spans="1:39" x14ac:dyDescent="0.25">
      <c r="A770" t="str">
        <f>"BA199 20"</f>
        <v>BA199 20</v>
      </c>
      <c r="B770" t="str">
        <f>"COJINETES BANCADA 0,50 FORD FALCON F100 3.0 3.6"</f>
        <v>COJINETES BANCADA 0,50 FORD FALCON F100 3.0 3.6</v>
      </c>
      <c r="C770" t="str">
        <f>"$ 41910,00"</f>
        <v>$ 41910,00</v>
      </c>
      <c r="D770" t="str">
        <f>"$ 41910,00"</f>
        <v>$ 41910,00</v>
      </c>
      <c r="E770" t="str">
        <f>"$ 41910,00"</f>
        <v>$ 41910,00</v>
      </c>
      <c r="F770" t="str">
        <f>"$ 41910,00"</f>
        <v>$ 41910,00</v>
      </c>
      <c r="G770" t="str">
        <f>"$ 41910,00"</f>
        <v>$ 41910,00</v>
      </c>
      <c r="H770" t="str">
        <f t="shared" si="485"/>
        <v>$ 0,00</v>
      </c>
      <c r="I770" t="str">
        <f t="shared" si="512"/>
        <v>JUEGO COJINETES BANCADA</v>
      </c>
      <c r="J770" t="str">
        <f t="shared" si="486"/>
        <v>1</v>
      </c>
      <c r="K770" t="str">
        <f t="shared" si="509"/>
        <v>0</v>
      </c>
      <c r="L770" t="str">
        <f>"3,000"</f>
        <v>3,000</v>
      </c>
      <c r="M770" t="str">
        <f t="shared" si="487"/>
        <v xml:space="preserve"> </v>
      </c>
      <c r="N770" t="str">
        <f t="shared" si="513"/>
        <v>MPSI</v>
      </c>
      <c r="O770" t="str">
        <f t="shared" si="514"/>
        <v>COJINETES</v>
      </c>
      <c r="P770" t="str">
        <f t="shared" si="522"/>
        <v>0</v>
      </c>
      <c r="Q770" t="str">
        <f t="shared" si="522"/>
        <v>0</v>
      </c>
      <c r="R770" t="str">
        <f t="shared" si="523"/>
        <v>0,00</v>
      </c>
      <c r="S770" t="str">
        <f t="shared" si="523"/>
        <v>0,00</v>
      </c>
      <c r="T770" t="str">
        <f t="shared" si="506"/>
        <v xml:space="preserve"> </v>
      </c>
      <c r="U770" t="str">
        <f t="shared" si="515"/>
        <v>-</v>
      </c>
      <c r="V770" t="str">
        <f>"3,000"</f>
        <v>3,000</v>
      </c>
      <c r="W770" t="str">
        <f t="shared" si="488"/>
        <v>Lista 4</v>
      </c>
      <c r="X770" t="str">
        <f t="shared" si="489"/>
        <v>Lista 5</v>
      </c>
      <c r="Y770" t="str">
        <f t="shared" si="490"/>
        <v>Oferta Gral.</v>
      </c>
      <c r="Z770" t="str">
        <f t="shared" si="491"/>
        <v>Rubro</v>
      </c>
      <c r="AA770" t="str">
        <f t="shared" si="492"/>
        <v>Cantidad por Bulto</v>
      </c>
      <c r="AB770" t="str">
        <f t="shared" si="493"/>
        <v>INNER</v>
      </c>
      <c r="AC770" t="str">
        <f t="shared" si="494"/>
        <v>Stock en Bultos</v>
      </c>
      <c r="AD770" t="str">
        <f t="shared" si="495"/>
        <v>SubDepósito</v>
      </c>
      <c r="AE770" t="str">
        <f t="shared" si="496"/>
        <v>Marca</v>
      </c>
      <c r="AF770" t="str">
        <f t="shared" si="497"/>
        <v>Super Rubro</v>
      </c>
      <c r="AG770" t="str">
        <f t="shared" si="498"/>
        <v>ComercioExterior</v>
      </c>
      <c r="AH770" t="str">
        <f t="shared" si="499"/>
        <v>PrecioFOB</v>
      </c>
      <c r="AI770" t="str">
        <f t="shared" si="500"/>
        <v>Monto II</v>
      </c>
      <c r="AJ770" t="str">
        <f t="shared" si="501"/>
        <v>Porcentaje II</v>
      </c>
      <c r="AK770" t="str">
        <f t="shared" si="502"/>
        <v>Foto</v>
      </c>
      <c r="AL770" t="str">
        <f>"{\rtf1\ansi\ansicpg1252\deff0\deflang2058{\fonttbl{\f0\fnil\fcharset0 MS Sans Serif}} \viewkind4\uc1\pard\f0\fs16 COJINETES BANCADA 0,50 FORD FALCON F100 3.0 3.6\par } "</f>
        <v xml:space="preserve">{\rtf1\ansi\ansicpg1252\deff0\deflang2058{\fonttbl{\f0\fnil\fcharset0 MS Sans Serif}} \viewkind4\uc1\pard\f0\fs16 COJINETES BANCADA 0,50 FORD FALCON F100 3.0 3.6\par } </v>
      </c>
      <c r="AM770" t="str">
        <f t="shared" si="519"/>
        <v xml:space="preserve"> </v>
      </c>
    </row>
    <row r="771" spans="1:39" x14ac:dyDescent="0.25">
      <c r="A771" t="str">
        <f>"BA775 20"</f>
        <v>BA775 20</v>
      </c>
      <c r="B771" t="str">
        <f>"COJINETES BANCADA 0,50 FORD FIESTA 1.3 ENDURA VARILLERO"</f>
        <v>COJINETES BANCADA 0,50 FORD FIESTA 1.3 ENDURA VARILLERO</v>
      </c>
      <c r="C771" t="str">
        <f>"$ 18327,36"</f>
        <v>$ 18327,36</v>
      </c>
      <c r="D771" t="str">
        <f>"$ 18327,36"</f>
        <v>$ 18327,36</v>
      </c>
      <c r="E771" t="str">
        <f>"$ 18327,36"</f>
        <v>$ 18327,36</v>
      </c>
      <c r="F771" t="str">
        <f>"$ 18327,36"</f>
        <v>$ 18327,36</v>
      </c>
      <c r="G771" t="str">
        <f>"$ 18327,36"</f>
        <v>$ 18327,36</v>
      </c>
      <c r="H771" t="str">
        <f t="shared" ref="H771:H834" si="524">"$ 0,00"</f>
        <v>$ 0,00</v>
      </c>
      <c r="I771" t="str">
        <f t="shared" si="512"/>
        <v>JUEGO COJINETES BANCADA</v>
      </c>
      <c r="J771" t="str">
        <f t="shared" ref="J771:J834" si="525">"1"</f>
        <v>1</v>
      </c>
      <c r="K771" t="str">
        <f t="shared" si="509"/>
        <v>0</v>
      </c>
      <c r="L771" t="str">
        <f>"2,000"</f>
        <v>2,000</v>
      </c>
      <c r="M771" t="str">
        <f t="shared" ref="M771:M834" si="526">" "</f>
        <v xml:space="preserve"> </v>
      </c>
      <c r="N771" t="str">
        <f t="shared" si="513"/>
        <v>MPSI</v>
      </c>
      <c r="O771" t="str">
        <f t="shared" si="514"/>
        <v>COJINETES</v>
      </c>
      <c r="P771" t="str">
        <f t="shared" si="522"/>
        <v>0</v>
      </c>
      <c r="Q771" t="str">
        <f t="shared" si="522"/>
        <v>0</v>
      </c>
      <c r="R771" t="str">
        <f t="shared" si="523"/>
        <v>0,00</v>
      </c>
      <c r="S771" t="str">
        <f t="shared" si="523"/>
        <v>0,00</v>
      </c>
      <c r="T771" t="str">
        <f t="shared" si="506"/>
        <v xml:space="preserve"> </v>
      </c>
      <c r="U771" t="str">
        <f t="shared" si="515"/>
        <v>-</v>
      </c>
      <c r="V771" t="str">
        <f>"2,000"</f>
        <v>2,000</v>
      </c>
      <c r="W771" t="str">
        <f t="shared" ref="W771:W834" si="527">"Lista 4"</f>
        <v>Lista 4</v>
      </c>
      <c r="X771" t="str">
        <f t="shared" ref="X771:X834" si="528">"Lista 5"</f>
        <v>Lista 5</v>
      </c>
      <c r="Y771" t="str">
        <f t="shared" ref="Y771:Y834" si="529">"Oferta Gral."</f>
        <v>Oferta Gral.</v>
      </c>
      <c r="Z771" t="str">
        <f t="shared" ref="Z771:Z834" si="530">"Rubro"</f>
        <v>Rubro</v>
      </c>
      <c r="AA771" t="str">
        <f t="shared" ref="AA771:AA834" si="531">"Cantidad por Bulto"</f>
        <v>Cantidad por Bulto</v>
      </c>
      <c r="AB771" t="str">
        <f t="shared" ref="AB771:AB834" si="532">"INNER"</f>
        <v>INNER</v>
      </c>
      <c r="AC771" t="str">
        <f t="shared" ref="AC771:AC834" si="533">"Stock en Bultos"</f>
        <v>Stock en Bultos</v>
      </c>
      <c r="AD771" t="str">
        <f t="shared" ref="AD771:AD834" si="534">"SubDepósito"</f>
        <v>SubDepósito</v>
      </c>
      <c r="AE771" t="str">
        <f t="shared" ref="AE771:AE834" si="535">"Marca"</f>
        <v>Marca</v>
      </c>
      <c r="AF771" t="str">
        <f t="shared" ref="AF771:AF834" si="536">"Super Rubro"</f>
        <v>Super Rubro</v>
      </c>
      <c r="AG771" t="str">
        <f t="shared" ref="AG771:AG834" si="537">"ComercioExterior"</f>
        <v>ComercioExterior</v>
      </c>
      <c r="AH771" t="str">
        <f t="shared" ref="AH771:AH834" si="538">"PrecioFOB"</f>
        <v>PrecioFOB</v>
      </c>
      <c r="AI771" t="str">
        <f t="shared" ref="AI771:AI834" si="539">"Monto II"</f>
        <v>Monto II</v>
      </c>
      <c r="AJ771" t="str">
        <f t="shared" ref="AJ771:AJ834" si="540">"Porcentaje II"</f>
        <v>Porcentaje II</v>
      </c>
      <c r="AK771" t="str">
        <f t="shared" ref="AK771:AK834" si="541">"Foto"</f>
        <v>Foto</v>
      </c>
      <c r="AL771" t="str">
        <f>"{\rtf1\ansi\ansicpg1252\deff0\deflang2058{\fonttbl{\f0\fnil\fcharset0 MS Sans Serif}} \viewkind4\uc1\pard\f0\fs16 COJINETES BANCADA 0,50 FORD FIESTA 1.3 ENDURA VARILLERO\par } "</f>
        <v xml:space="preserve">{\rtf1\ansi\ansicpg1252\deff0\deflang2058{\fonttbl{\f0\fnil\fcharset0 MS Sans Serif}} \viewkind4\uc1\pard\f0\fs16 COJINETES BANCADA 0,50 FORD FIESTA 1.3 ENDURA VARILLERO\par } </v>
      </c>
      <c r="AM771" t="str">
        <f t="shared" si="519"/>
        <v xml:space="preserve"> </v>
      </c>
    </row>
    <row r="772" spans="1:39" x14ac:dyDescent="0.25">
      <c r="A772" t="str">
        <f>"BA679 20"</f>
        <v>BA679 20</v>
      </c>
      <c r="B772" t="str">
        <f>"COJINETES BANCADA 0,50 FORD FIESTA 1.4 TDCI PEUGEOT 307 1.6 HDI"</f>
        <v>COJINETES BANCADA 0,50 FORD FIESTA 1.4 TDCI PEUGEOT 307 1.6 HDI</v>
      </c>
      <c r="C772" t="str">
        <f>"$ 19086,06"</f>
        <v>$ 19086,06</v>
      </c>
      <c r="D772" t="str">
        <f>"$ 19086,06"</f>
        <v>$ 19086,06</v>
      </c>
      <c r="E772" t="str">
        <f>"$ 19086,06"</f>
        <v>$ 19086,06</v>
      </c>
      <c r="F772" t="str">
        <f>"$ 19086,06"</f>
        <v>$ 19086,06</v>
      </c>
      <c r="G772" t="str">
        <f>"$ 19086,06"</f>
        <v>$ 19086,06</v>
      </c>
      <c r="H772" t="str">
        <f t="shared" si="524"/>
        <v>$ 0,00</v>
      </c>
      <c r="I772" t="str">
        <f t="shared" si="512"/>
        <v>JUEGO COJINETES BANCADA</v>
      </c>
      <c r="J772" t="str">
        <f t="shared" si="525"/>
        <v>1</v>
      </c>
      <c r="K772" t="str">
        <f t="shared" si="509"/>
        <v>0</v>
      </c>
      <c r="L772" t="str">
        <f>"7,000"</f>
        <v>7,000</v>
      </c>
      <c r="M772" t="str">
        <f t="shared" si="526"/>
        <v xml:space="preserve"> </v>
      </c>
      <c r="N772" t="str">
        <f t="shared" si="513"/>
        <v>MPSI</v>
      </c>
      <c r="O772" t="str">
        <f t="shared" si="514"/>
        <v>COJINETES</v>
      </c>
      <c r="P772" t="str">
        <f t="shared" si="522"/>
        <v>0</v>
      </c>
      <c r="Q772" t="str">
        <f t="shared" si="522"/>
        <v>0</v>
      </c>
      <c r="R772" t="str">
        <f t="shared" si="523"/>
        <v>0,00</v>
      </c>
      <c r="S772" t="str">
        <f t="shared" si="523"/>
        <v>0,00</v>
      </c>
      <c r="T772" t="str">
        <f t="shared" si="506"/>
        <v xml:space="preserve"> </v>
      </c>
      <c r="U772" t="str">
        <f t="shared" si="515"/>
        <v>-</v>
      </c>
      <c r="V772" t="str">
        <f>"7,000"</f>
        <v>7,000</v>
      </c>
      <c r="W772" t="str">
        <f t="shared" si="527"/>
        <v>Lista 4</v>
      </c>
      <c r="X772" t="str">
        <f t="shared" si="528"/>
        <v>Lista 5</v>
      </c>
      <c r="Y772" t="str">
        <f t="shared" si="529"/>
        <v>Oferta Gral.</v>
      </c>
      <c r="Z772" t="str">
        <f t="shared" si="530"/>
        <v>Rubro</v>
      </c>
      <c r="AA772" t="str">
        <f t="shared" si="531"/>
        <v>Cantidad por Bulto</v>
      </c>
      <c r="AB772" t="str">
        <f t="shared" si="532"/>
        <v>INNER</v>
      </c>
      <c r="AC772" t="str">
        <f t="shared" si="533"/>
        <v>Stock en Bultos</v>
      </c>
      <c r="AD772" t="str">
        <f t="shared" si="534"/>
        <v>SubDepósito</v>
      </c>
      <c r="AE772" t="str">
        <f t="shared" si="535"/>
        <v>Marca</v>
      </c>
      <c r="AF772" t="str">
        <f t="shared" si="536"/>
        <v>Super Rubro</v>
      </c>
      <c r="AG772" t="str">
        <f t="shared" si="537"/>
        <v>ComercioExterior</v>
      </c>
      <c r="AH772" t="str">
        <f t="shared" si="538"/>
        <v>PrecioFOB</v>
      </c>
      <c r="AI772" t="str">
        <f t="shared" si="539"/>
        <v>Monto II</v>
      </c>
      <c r="AJ772" t="str">
        <f t="shared" si="540"/>
        <v>Porcentaje II</v>
      </c>
      <c r="AK772" t="str">
        <f t="shared" si="541"/>
        <v>Foto</v>
      </c>
      <c r="AL772" t="str">
        <f t="shared" ref="AL772:AL788" si="542">" "</f>
        <v xml:space="preserve"> </v>
      </c>
      <c r="AM772" t="str">
        <f t="shared" si="519"/>
        <v xml:space="preserve"> </v>
      </c>
    </row>
    <row r="773" spans="1:39" x14ac:dyDescent="0.25">
      <c r="A773" t="str">
        <f>"BA776 20"</f>
        <v>BA776 20</v>
      </c>
      <c r="B773" t="str">
        <f>"COJINETES BANCADA 0,50 FORD FIESTA COURIER FOCUS 1.8 DIESEL"</f>
        <v>COJINETES BANCADA 0,50 FORD FIESTA COURIER FOCUS 1.8 DIESEL</v>
      </c>
      <c r="C773" t="str">
        <f>"$ 20343,54"</f>
        <v>$ 20343,54</v>
      </c>
      <c r="D773" t="str">
        <f>"$ 20343,54"</f>
        <v>$ 20343,54</v>
      </c>
      <c r="E773" t="str">
        <f>"$ 20343,54"</f>
        <v>$ 20343,54</v>
      </c>
      <c r="F773" t="str">
        <f>"$ 20343,54"</f>
        <v>$ 20343,54</v>
      </c>
      <c r="G773" t="str">
        <f>"$ 20343,54"</f>
        <v>$ 20343,54</v>
      </c>
      <c r="H773" t="str">
        <f t="shared" si="524"/>
        <v>$ 0,00</v>
      </c>
      <c r="I773" t="str">
        <f t="shared" si="512"/>
        <v>JUEGO COJINETES BANCADA</v>
      </c>
      <c r="J773" t="str">
        <f t="shared" si="525"/>
        <v>1</v>
      </c>
      <c r="K773" t="str">
        <f t="shared" si="509"/>
        <v>0</v>
      </c>
      <c r="L773" t="str">
        <f>"6,000"</f>
        <v>6,000</v>
      </c>
      <c r="M773" t="str">
        <f t="shared" si="526"/>
        <v xml:space="preserve"> </v>
      </c>
      <c r="N773" t="str">
        <f t="shared" si="513"/>
        <v>MPSI</v>
      </c>
      <c r="O773" t="str">
        <f t="shared" si="514"/>
        <v>COJINETES</v>
      </c>
      <c r="P773" t="str">
        <f t="shared" si="522"/>
        <v>0</v>
      </c>
      <c r="Q773" t="str">
        <f t="shared" si="522"/>
        <v>0</v>
      </c>
      <c r="R773" t="str">
        <f t="shared" si="523"/>
        <v>0,00</v>
      </c>
      <c r="S773" t="str">
        <f t="shared" si="523"/>
        <v>0,00</v>
      </c>
      <c r="T773" t="str">
        <f t="shared" si="506"/>
        <v xml:space="preserve"> </v>
      </c>
      <c r="U773" t="str">
        <f t="shared" si="515"/>
        <v>-</v>
      </c>
      <c r="V773" t="str">
        <f>"6,000"</f>
        <v>6,000</v>
      </c>
      <c r="W773" t="str">
        <f t="shared" si="527"/>
        <v>Lista 4</v>
      </c>
      <c r="X773" t="str">
        <f t="shared" si="528"/>
        <v>Lista 5</v>
      </c>
      <c r="Y773" t="str">
        <f t="shared" si="529"/>
        <v>Oferta Gral.</v>
      </c>
      <c r="Z773" t="str">
        <f t="shared" si="530"/>
        <v>Rubro</v>
      </c>
      <c r="AA773" t="str">
        <f t="shared" si="531"/>
        <v>Cantidad por Bulto</v>
      </c>
      <c r="AB773" t="str">
        <f t="shared" si="532"/>
        <v>INNER</v>
      </c>
      <c r="AC773" t="str">
        <f t="shared" si="533"/>
        <v>Stock en Bultos</v>
      </c>
      <c r="AD773" t="str">
        <f t="shared" si="534"/>
        <v>SubDepósito</v>
      </c>
      <c r="AE773" t="str">
        <f t="shared" si="535"/>
        <v>Marca</v>
      </c>
      <c r="AF773" t="str">
        <f t="shared" si="536"/>
        <v>Super Rubro</v>
      </c>
      <c r="AG773" t="str">
        <f t="shared" si="537"/>
        <v>ComercioExterior</v>
      </c>
      <c r="AH773" t="str">
        <f t="shared" si="538"/>
        <v>PrecioFOB</v>
      </c>
      <c r="AI773" t="str">
        <f t="shared" si="539"/>
        <v>Monto II</v>
      </c>
      <c r="AJ773" t="str">
        <f t="shared" si="540"/>
        <v>Porcentaje II</v>
      </c>
      <c r="AK773" t="str">
        <f t="shared" si="541"/>
        <v>Foto</v>
      </c>
      <c r="AL773" t="str">
        <f t="shared" si="542"/>
        <v xml:space="preserve"> </v>
      </c>
      <c r="AM773" t="str">
        <f t="shared" si="519"/>
        <v xml:space="preserve"> </v>
      </c>
    </row>
    <row r="774" spans="1:39" x14ac:dyDescent="0.25">
      <c r="A774" t="str">
        <f>"BA771 20"</f>
        <v>BA771 20</v>
      </c>
      <c r="B774" t="str">
        <f>"COJINETES BANCADA 0,50 FORD FOCUS FIESTA SIGMA 1.6 16V"</f>
        <v>COJINETES BANCADA 0,50 FORD FOCUS FIESTA SIGMA 1.6 16V</v>
      </c>
      <c r="C774" t="str">
        <f>"$ 26646,01"</f>
        <v>$ 26646,01</v>
      </c>
      <c r="D774" t="str">
        <f>"$ 26646,01"</f>
        <v>$ 26646,01</v>
      </c>
      <c r="E774" t="str">
        <f>"$ 26646,01"</f>
        <v>$ 26646,01</v>
      </c>
      <c r="F774" t="str">
        <f>"$ 26646,01"</f>
        <v>$ 26646,01</v>
      </c>
      <c r="G774" t="str">
        <f>"$ 26646,01"</f>
        <v>$ 26646,01</v>
      </c>
      <c r="H774" t="str">
        <f t="shared" si="524"/>
        <v>$ 0,00</v>
      </c>
      <c r="I774" t="str">
        <f t="shared" si="512"/>
        <v>JUEGO COJINETES BANCADA</v>
      </c>
      <c r="J774" t="str">
        <f t="shared" si="525"/>
        <v>1</v>
      </c>
      <c r="K774" t="str">
        <f t="shared" si="509"/>
        <v>0</v>
      </c>
      <c r="L774" t="str">
        <f>"5,000"</f>
        <v>5,000</v>
      </c>
      <c r="M774" t="str">
        <f t="shared" si="526"/>
        <v xml:space="preserve"> </v>
      </c>
      <c r="N774" t="str">
        <f t="shared" si="513"/>
        <v>MPSI</v>
      </c>
      <c r="O774" t="str">
        <f t="shared" si="514"/>
        <v>COJINETES</v>
      </c>
      <c r="P774" t="str">
        <f t="shared" si="522"/>
        <v>0</v>
      </c>
      <c r="Q774" t="str">
        <f t="shared" si="522"/>
        <v>0</v>
      </c>
      <c r="R774" t="str">
        <f t="shared" si="523"/>
        <v>0,00</v>
      </c>
      <c r="S774" t="str">
        <f t="shared" si="523"/>
        <v>0,00</v>
      </c>
      <c r="T774" t="str">
        <f t="shared" si="506"/>
        <v xml:space="preserve"> </v>
      </c>
      <c r="U774" t="str">
        <f t="shared" ref="U774:U795" si="543">"-"</f>
        <v>-</v>
      </c>
      <c r="V774" t="str">
        <f>"5,000"</f>
        <v>5,000</v>
      </c>
      <c r="W774" t="str">
        <f t="shared" si="527"/>
        <v>Lista 4</v>
      </c>
      <c r="X774" t="str">
        <f t="shared" si="528"/>
        <v>Lista 5</v>
      </c>
      <c r="Y774" t="str">
        <f t="shared" si="529"/>
        <v>Oferta Gral.</v>
      </c>
      <c r="Z774" t="str">
        <f t="shared" si="530"/>
        <v>Rubro</v>
      </c>
      <c r="AA774" t="str">
        <f t="shared" si="531"/>
        <v>Cantidad por Bulto</v>
      </c>
      <c r="AB774" t="str">
        <f t="shared" si="532"/>
        <v>INNER</v>
      </c>
      <c r="AC774" t="str">
        <f t="shared" si="533"/>
        <v>Stock en Bultos</v>
      </c>
      <c r="AD774" t="str">
        <f t="shared" si="534"/>
        <v>SubDepósito</v>
      </c>
      <c r="AE774" t="str">
        <f t="shared" si="535"/>
        <v>Marca</v>
      </c>
      <c r="AF774" t="str">
        <f t="shared" si="536"/>
        <v>Super Rubro</v>
      </c>
      <c r="AG774" t="str">
        <f t="shared" si="537"/>
        <v>ComercioExterior</v>
      </c>
      <c r="AH774" t="str">
        <f t="shared" si="538"/>
        <v>PrecioFOB</v>
      </c>
      <c r="AI774" t="str">
        <f t="shared" si="539"/>
        <v>Monto II</v>
      </c>
      <c r="AJ774" t="str">
        <f t="shared" si="540"/>
        <v>Porcentaje II</v>
      </c>
      <c r="AK774" t="str">
        <f t="shared" si="541"/>
        <v>Foto</v>
      </c>
      <c r="AL774" t="str">
        <f t="shared" si="542"/>
        <v xml:space="preserve"> </v>
      </c>
      <c r="AM774" t="str">
        <f t="shared" si="519"/>
        <v xml:space="preserve"> </v>
      </c>
    </row>
    <row r="775" spans="1:39" x14ac:dyDescent="0.25">
      <c r="A775" t="str">
        <f>"BA777 20"</f>
        <v>BA777 20</v>
      </c>
      <c r="B775" t="str">
        <f>"COJINETES BANCADA 0,50 FORD FOCUS FIESTA ZETEC 1.6 1.8 2.0 16V"</f>
        <v>COJINETES BANCADA 0,50 FORD FOCUS FIESTA ZETEC 1.6 1.8 2.0 16V</v>
      </c>
      <c r="C775" t="str">
        <f>"$ 29103,92"</f>
        <v>$ 29103,92</v>
      </c>
      <c r="D775" t="str">
        <f>"$ 29103,92"</f>
        <v>$ 29103,92</v>
      </c>
      <c r="E775" t="str">
        <f>"$ 29103,92"</f>
        <v>$ 29103,92</v>
      </c>
      <c r="F775" t="str">
        <f>"$ 29103,92"</f>
        <v>$ 29103,92</v>
      </c>
      <c r="G775" t="str">
        <f>"$ 29103,92"</f>
        <v>$ 29103,92</v>
      </c>
      <c r="H775" t="str">
        <f t="shared" si="524"/>
        <v>$ 0,00</v>
      </c>
      <c r="I775" t="str">
        <f t="shared" si="512"/>
        <v>JUEGO COJINETES BANCADA</v>
      </c>
      <c r="J775" t="str">
        <f t="shared" si="525"/>
        <v>1</v>
      </c>
      <c r="K775" t="str">
        <f t="shared" si="509"/>
        <v>0</v>
      </c>
      <c r="L775" t="str">
        <f>"4,000"</f>
        <v>4,000</v>
      </c>
      <c r="M775" t="str">
        <f t="shared" si="526"/>
        <v xml:space="preserve"> </v>
      </c>
      <c r="N775" t="str">
        <f t="shared" si="513"/>
        <v>MPSI</v>
      </c>
      <c r="O775" t="str">
        <f t="shared" si="514"/>
        <v>COJINETES</v>
      </c>
      <c r="P775" t="str">
        <f t="shared" si="522"/>
        <v>0</v>
      </c>
      <c r="Q775" t="str">
        <f t="shared" si="522"/>
        <v>0</v>
      </c>
      <c r="R775" t="str">
        <f t="shared" si="523"/>
        <v>0,00</v>
      </c>
      <c r="S775" t="str">
        <f t="shared" si="523"/>
        <v>0,00</v>
      </c>
      <c r="T775" t="str">
        <f t="shared" si="506"/>
        <v xml:space="preserve"> </v>
      </c>
      <c r="U775" t="str">
        <f t="shared" si="543"/>
        <v>-</v>
      </c>
      <c r="V775" t="str">
        <f>"4,000"</f>
        <v>4,000</v>
      </c>
      <c r="W775" t="str">
        <f t="shared" si="527"/>
        <v>Lista 4</v>
      </c>
      <c r="X775" t="str">
        <f t="shared" si="528"/>
        <v>Lista 5</v>
      </c>
      <c r="Y775" t="str">
        <f t="shared" si="529"/>
        <v>Oferta Gral.</v>
      </c>
      <c r="Z775" t="str">
        <f t="shared" si="530"/>
        <v>Rubro</v>
      </c>
      <c r="AA775" t="str">
        <f t="shared" si="531"/>
        <v>Cantidad por Bulto</v>
      </c>
      <c r="AB775" t="str">
        <f t="shared" si="532"/>
        <v>INNER</v>
      </c>
      <c r="AC775" t="str">
        <f t="shared" si="533"/>
        <v>Stock en Bultos</v>
      </c>
      <c r="AD775" t="str">
        <f t="shared" si="534"/>
        <v>SubDepósito</v>
      </c>
      <c r="AE775" t="str">
        <f t="shared" si="535"/>
        <v>Marca</v>
      </c>
      <c r="AF775" t="str">
        <f t="shared" si="536"/>
        <v>Super Rubro</v>
      </c>
      <c r="AG775" t="str">
        <f t="shared" si="537"/>
        <v>ComercioExterior</v>
      </c>
      <c r="AH775" t="str">
        <f t="shared" si="538"/>
        <v>PrecioFOB</v>
      </c>
      <c r="AI775" t="str">
        <f t="shared" si="539"/>
        <v>Monto II</v>
      </c>
      <c r="AJ775" t="str">
        <f t="shared" si="540"/>
        <v>Porcentaje II</v>
      </c>
      <c r="AK775" t="str">
        <f t="shared" si="541"/>
        <v>Foto</v>
      </c>
      <c r="AL775" t="str">
        <f t="shared" si="542"/>
        <v xml:space="preserve"> </v>
      </c>
      <c r="AM775" t="str">
        <f t="shared" si="519"/>
        <v xml:space="preserve"> </v>
      </c>
    </row>
    <row r="776" spans="1:39" x14ac:dyDescent="0.25">
      <c r="A776" t="str">
        <f>"BA165647 20"</f>
        <v>BA165647 20</v>
      </c>
      <c r="B776" t="str">
        <f>"COJINETES BANCADA 0,50 FORD FOCUS MONDEO DURATEC 2.0 16V"</f>
        <v>COJINETES BANCADA 0,50 FORD FOCUS MONDEO DURATEC 2.0 16V</v>
      </c>
      <c r="C776" t="str">
        <f>"$ 42455,36"</f>
        <v>$ 42455,36</v>
      </c>
      <c r="D776" t="str">
        <f>"$ 42455,36"</f>
        <v>$ 42455,36</v>
      </c>
      <c r="E776" t="str">
        <f>"$ 42455,36"</f>
        <v>$ 42455,36</v>
      </c>
      <c r="F776" t="str">
        <f>"$ 42455,36"</f>
        <v>$ 42455,36</v>
      </c>
      <c r="G776" t="str">
        <f>"$ 42455,36"</f>
        <v>$ 42455,36</v>
      </c>
      <c r="H776" t="str">
        <f t="shared" si="524"/>
        <v>$ 0,00</v>
      </c>
      <c r="I776" t="str">
        <f t="shared" si="512"/>
        <v>JUEGO COJINETES BANCADA</v>
      </c>
      <c r="J776" t="str">
        <f t="shared" si="525"/>
        <v>1</v>
      </c>
      <c r="K776" t="str">
        <f t="shared" si="509"/>
        <v>0</v>
      </c>
      <c r="L776" t="str">
        <f>"4,000"</f>
        <v>4,000</v>
      </c>
      <c r="M776" t="str">
        <f t="shared" si="526"/>
        <v xml:space="preserve"> </v>
      </c>
      <c r="N776" t="str">
        <f t="shared" si="513"/>
        <v>MPSI</v>
      </c>
      <c r="O776" t="str">
        <f t="shared" si="514"/>
        <v>COJINETES</v>
      </c>
      <c r="P776" t="str">
        <f t="shared" si="522"/>
        <v>0</v>
      </c>
      <c r="Q776" t="str">
        <f t="shared" si="522"/>
        <v>0</v>
      </c>
      <c r="R776" t="str">
        <f t="shared" si="523"/>
        <v>0,00</v>
      </c>
      <c r="S776" t="str">
        <f t="shared" si="523"/>
        <v>0,00</v>
      </c>
      <c r="T776" t="str">
        <f t="shared" si="506"/>
        <v xml:space="preserve"> </v>
      </c>
      <c r="U776" t="str">
        <f t="shared" si="543"/>
        <v>-</v>
      </c>
      <c r="V776" t="str">
        <f>"4,000"</f>
        <v>4,000</v>
      </c>
      <c r="W776" t="str">
        <f t="shared" si="527"/>
        <v>Lista 4</v>
      </c>
      <c r="X776" t="str">
        <f t="shared" si="528"/>
        <v>Lista 5</v>
      </c>
      <c r="Y776" t="str">
        <f t="shared" si="529"/>
        <v>Oferta Gral.</v>
      </c>
      <c r="Z776" t="str">
        <f t="shared" si="530"/>
        <v>Rubro</v>
      </c>
      <c r="AA776" t="str">
        <f t="shared" si="531"/>
        <v>Cantidad por Bulto</v>
      </c>
      <c r="AB776" t="str">
        <f t="shared" si="532"/>
        <v>INNER</v>
      </c>
      <c r="AC776" t="str">
        <f t="shared" si="533"/>
        <v>Stock en Bultos</v>
      </c>
      <c r="AD776" t="str">
        <f t="shared" si="534"/>
        <v>SubDepósito</v>
      </c>
      <c r="AE776" t="str">
        <f t="shared" si="535"/>
        <v>Marca</v>
      </c>
      <c r="AF776" t="str">
        <f t="shared" si="536"/>
        <v>Super Rubro</v>
      </c>
      <c r="AG776" t="str">
        <f t="shared" si="537"/>
        <v>ComercioExterior</v>
      </c>
      <c r="AH776" t="str">
        <f t="shared" si="538"/>
        <v>PrecioFOB</v>
      </c>
      <c r="AI776" t="str">
        <f t="shared" si="539"/>
        <v>Monto II</v>
      </c>
      <c r="AJ776" t="str">
        <f t="shared" si="540"/>
        <v>Porcentaje II</v>
      </c>
      <c r="AK776" t="str">
        <f t="shared" si="541"/>
        <v>Foto</v>
      </c>
      <c r="AL776" t="str">
        <f t="shared" si="542"/>
        <v xml:space="preserve"> </v>
      </c>
      <c r="AM776" t="str">
        <f t="shared" si="519"/>
        <v xml:space="preserve"> </v>
      </c>
    </row>
    <row r="777" spans="1:39" x14ac:dyDescent="0.25">
      <c r="A777" t="str">
        <f>"BA165198 20"</f>
        <v>BA165198 20</v>
      </c>
      <c r="B777" t="str">
        <f>"COJINETES BANCADA 0,50 FORD RANGER 2.2 PUMA TDCI 125HP"</f>
        <v>COJINETES BANCADA 0,50 FORD RANGER 2.2 PUMA TDCI 125HP</v>
      </c>
      <c r="C777" t="str">
        <f>"$ 35881,80"</f>
        <v>$ 35881,80</v>
      </c>
      <c r="D777" t="str">
        <f>"$ 35881,80"</f>
        <v>$ 35881,80</v>
      </c>
      <c r="E777" t="str">
        <f>"$ 35881,80"</f>
        <v>$ 35881,80</v>
      </c>
      <c r="F777" t="str">
        <f>"$ 35881,80"</f>
        <v>$ 35881,80</v>
      </c>
      <c r="G777" t="str">
        <f>"$ 35881,80"</f>
        <v>$ 35881,80</v>
      </c>
      <c r="H777" t="str">
        <f t="shared" si="524"/>
        <v>$ 0,00</v>
      </c>
      <c r="I777" t="str">
        <f t="shared" si="512"/>
        <v>JUEGO COJINETES BANCADA</v>
      </c>
      <c r="J777" t="str">
        <f t="shared" si="525"/>
        <v>1</v>
      </c>
      <c r="K777" t="str">
        <f t="shared" si="509"/>
        <v>0</v>
      </c>
      <c r="L777" t="str">
        <f>"8,000"</f>
        <v>8,000</v>
      </c>
      <c r="M777" t="str">
        <f t="shared" si="526"/>
        <v xml:space="preserve"> </v>
      </c>
      <c r="N777" t="str">
        <f t="shared" si="513"/>
        <v>MPSI</v>
      </c>
      <c r="O777" t="str">
        <f t="shared" si="514"/>
        <v>COJINETES</v>
      </c>
      <c r="P777" t="str">
        <f t="shared" si="522"/>
        <v>0</v>
      </c>
      <c r="Q777" t="str">
        <f t="shared" si="522"/>
        <v>0</v>
      </c>
      <c r="R777" t="str">
        <f t="shared" si="523"/>
        <v>0,00</v>
      </c>
      <c r="S777" t="str">
        <f t="shared" si="523"/>
        <v>0,00</v>
      </c>
      <c r="T777" t="str">
        <f t="shared" si="506"/>
        <v xml:space="preserve"> </v>
      </c>
      <c r="U777" t="str">
        <f t="shared" si="543"/>
        <v>-</v>
      </c>
      <c r="V777" t="str">
        <f>"8,000"</f>
        <v>8,000</v>
      </c>
      <c r="W777" t="str">
        <f t="shared" si="527"/>
        <v>Lista 4</v>
      </c>
      <c r="X777" t="str">
        <f t="shared" si="528"/>
        <v>Lista 5</v>
      </c>
      <c r="Y777" t="str">
        <f t="shared" si="529"/>
        <v>Oferta Gral.</v>
      </c>
      <c r="Z777" t="str">
        <f t="shared" si="530"/>
        <v>Rubro</v>
      </c>
      <c r="AA777" t="str">
        <f t="shared" si="531"/>
        <v>Cantidad por Bulto</v>
      </c>
      <c r="AB777" t="str">
        <f t="shared" si="532"/>
        <v>INNER</v>
      </c>
      <c r="AC777" t="str">
        <f t="shared" si="533"/>
        <v>Stock en Bultos</v>
      </c>
      <c r="AD777" t="str">
        <f t="shared" si="534"/>
        <v>SubDepósito</v>
      </c>
      <c r="AE777" t="str">
        <f t="shared" si="535"/>
        <v>Marca</v>
      </c>
      <c r="AF777" t="str">
        <f t="shared" si="536"/>
        <v>Super Rubro</v>
      </c>
      <c r="AG777" t="str">
        <f t="shared" si="537"/>
        <v>ComercioExterior</v>
      </c>
      <c r="AH777" t="str">
        <f t="shared" si="538"/>
        <v>PrecioFOB</v>
      </c>
      <c r="AI777" t="str">
        <f t="shared" si="539"/>
        <v>Monto II</v>
      </c>
      <c r="AJ777" t="str">
        <f t="shared" si="540"/>
        <v>Porcentaje II</v>
      </c>
      <c r="AK777" t="str">
        <f t="shared" si="541"/>
        <v>Foto</v>
      </c>
      <c r="AL777" t="str">
        <f t="shared" si="542"/>
        <v xml:space="preserve"> </v>
      </c>
      <c r="AM777" t="str">
        <f t="shared" si="519"/>
        <v xml:space="preserve"> </v>
      </c>
    </row>
    <row r="778" spans="1:39" x14ac:dyDescent="0.25">
      <c r="A778" t="str">
        <f>"BA404 20"</f>
        <v>BA404 20</v>
      </c>
      <c r="B778" t="str">
        <f>"COJINETES BANCADA 0,50 FORD RANGER 2.8 3.0 POWER STROKE"</f>
        <v>COJINETES BANCADA 0,50 FORD RANGER 2.8 3.0 POWER STROKE</v>
      </c>
      <c r="C778" t="str">
        <f>"$ 30183,91"</f>
        <v>$ 30183,91</v>
      </c>
      <c r="D778" t="str">
        <f>"$ 30183,91"</f>
        <v>$ 30183,91</v>
      </c>
      <c r="E778" t="str">
        <f>"$ 30183,91"</f>
        <v>$ 30183,91</v>
      </c>
      <c r="F778" t="str">
        <f>"$ 30183,91"</f>
        <v>$ 30183,91</v>
      </c>
      <c r="G778" t="str">
        <f>"$ 30183,91"</f>
        <v>$ 30183,91</v>
      </c>
      <c r="H778" t="str">
        <f t="shared" si="524"/>
        <v>$ 0,00</v>
      </c>
      <c r="I778" t="str">
        <f t="shared" si="512"/>
        <v>JUEGO COJINETES BANCADA</v>
      </c>
      <c r="J778" t="str">
        <f t="shared" si="525"/>
        <v>1</v>
      </c>
      <c r="K778" t="str">
        <f t="shared" si="509"/>
        <v>0</v>
      </c>
      <c r="L778" t="str">
        <f>"5,000"</f>
        <v>5,000</v>
      </c>
      <c r="M778" t="str">
        <f t="shared" si="526"/>
        <v xml:space="preserve"> </v>
      </c>
      <c r="N778" t="str">
        <f t="shared" si="513"/>
        <v>MPSI</v>
      </c>
      <c r="O778" t="str">
        <f t="shared" si="514"/>
        <v>COJINETES</v>
      </c>
      <c r="P778" t="str">
        <f t="shared" si="522"/>
        <v>0</v>
      </c>
      <c r="Q778" t="str">
        <f t="shared" si="522"/>
        <v>0</v>
      </c>
      <c r="R778" t="str">
        <f t="shared" si="523"/>
        <v>0,00</v>
      </c>
      <c r="S778" t="str">
        <f t="shared" si="523"/>
        <v>0,00</v>
      </c>
      <c r="T778" t="str">
        <f t="shared" si="506"/>
        <v xml:space="preserve"> </v>
      </c>
      <c r="U778" t="str">
        <f t="shared" si="543"/>
        <v>-</v>
      </c>
      <c r="V778" t="str">
        <f>"5,000"</f>
        <v>5,000</v>
      </c>
      <c r="W778" t="str">
        <f t="shared" si="527"/>
        <v>Lista 4</v>
      </c>
      <c r="X778" t="str">
        <f t="shared" si="528"/>
        <v>Lista 5</v>
      </c>
      <c r="Y778" t="str">
        <f t="shared" si="529"/>
        <v>Oferta Gral.</v>
      </c>
      <c r="Z778" t="str">
        <f t="shared" si="530"/>
        <v>Rubro</v>
      </c>
      <c r="AA778" t="str">
        <f t="shared" si="531"/>
        <v>Cantidad por Bulto</v>
      </c>
      <c r="AB778" t="str">
        <f t="shared" si="532"/>
        <v>INNER</v>
      </c>
      <c r="AC778" t="str">
        <f t="shared" si="533"/>
        <v>Stock en Bultos</v>
      </c>
      <c r="AD778" t="str">
        <f t="shared" si="534"/>
        <v>SubDepósito</v>
      </c>
      <c r="AE778" t="str">
        <f t="shared" si="535"/>
        <v>Marca</v>
      </c>
      <c r="AF778" t="str">
        <f t="shared" si="536"/>
        <v>Super Rubro</v>
      </c>
      <c r="AG778" t="str">
        <f t="shared" si="537"/>
        <v>ComercioExterior</v>
      </c>
      <c r="AH778" t="str">
        <f t="shared" si="538"/>
        <v>PrecioFOB</v>
      </c>
      <c r="AI778" t="str">
        <f t="shared" si="539"/>
        <v>Monto II</v>
      </c>
      <c r="AJ778" t="str">
        <f t="shared" si="540"/>
        <v>Porcentaje II</v>
      </c>
      <c r="AK778" t="str">
        <f t="shared" si="541"/>
        <v>Foto</v>
      </c>
      <c r="AL778" t="str">
        <f t="shared" si="542"/>
        <v xml:space="preserve"> </v>
      </c>
      <c r="AM778" t="str">
        <f t="shared" si="519"/>
        <v xml:space="preserve"> </v>
      </c>
    </row>
    <row r="779" spans="1:39" x14ac:dyDescent="0.25">
      <c r="A779" t="str">
        <f>"BA166200 20"</f>
        <v>BA166200 20</v>
      </c>
      <c r="B779" t="str">
        <f>"COJINETES BANCADA 0,50 FORD RANGER 3.2 PUMA TDCI 200HP 5 CIL"</f>
        <v>COJINETES BANCADA 0,50 FORD RANGER 3.2 PUMA TDCI 200HP 5 CIL</v>
      </c>
      <c r="C779" t="str">
        <f>"$ 38954,19"</f>
        <v>$ 38954,19</v>
      </c>
      <c r="D779" t="str">
        <f>"$ 38954,19"</f>
        <v>$ 38954,19</v>
      </c>
      <c r="E779" t="str">
        <f>"$ 38954,19"</f>
        <v>$ 38954,19</v>
      </c>
      <c r="F779" t="str">
        <f>"$ 38954,19"</f>
        <v>$ 38954,19</v>
      </c>
      <c r="G779" t="str">
        <f>"$ 38954,19"</f>
        <v>$ 38954,19</v>
      </c>
      <c r="H779" t="str">
        <f t="shared" si="524"/>
        <v>$ 0,00</v>
      </c>
      <c r="I779" t="str">
        <f t="shared" si="512"/>
        <v>JUEGO COJINETES BANCADA</v>
      </c>
      <c r="J779" t="str">
        <f t="shared" si="525"/>
        <v>1</v>
      </c>
      <c r="K779" t="str">
        <f t="shared" si="509"/>
        <v>0</v>
      </c>
      <c r="L779" t="str">
        <f>"6,000"</f>
        <v>6,000</v>
      </c>
      <c r="M779" t="str">
        <f t="shared" si="526"/>
        <v xml:space="preserve"> </v>
      </c>
      <c r="N779" t="str">
        <f t="shared" si="513"/>
        <v>MPSI</v>
      </c>
      <c r="O779" t="str">
        <f t="shared" si="514"/>
        <v>COJINETES</v>
      </c>
      <c r="P779" t="str">
        <f t="shared" si="522"/>
        <v>0</v>
      </c>
      <c r="Q779" t="str">
        <f t="shared" si="522"/>
        <v>0</v>
      </c>
      <c r="R779" t="str">
        <f t="shared" si="523"/>
        <v>0,00</v>
      </c>
      <c r="S779" t="str">
        <f t="shared" si="523"/>
        <v>0,00</v>
      </c>
      <c r="T779" t="str">
        <f t="shared" si="506"/>
        <v xml:space="preserve"> </v>
      </c>
      <c r="U779" t="str">
        <f t="shared" si="543"/>
        <v>-</v>
      </c>
      <c r="V779" t="str">
        <f>"6,000"</f>
        <v>6,000</v>
      </c>
      <c r="W779" t="str">
        <f t="shared" si="527"/>
        <v>Lista 4</v>
      </c>
      <c r="X779" t="str">
        <f t="shared" si="528"/>
        <v>Lista 5</v>
      </c>
      <c r="Y779" t="str">
        <f t="shared" si="529"/>
        <v>Oferta Gral.</v>
      </c>
      <c r="Z779" t="str">
        <f t="shared" si="530"/>
        <v>Rubro</v>
      </c>
      <c r="AA779" t="str">
        <f t="shared" si="531"/>
        <v>Cantidad por Bulto</v>
      </c>
      <c r="AB779" t="str">
        <f t="shared" si="532"/>
        <v>INNER</v>
      </c>
      <c r="AC779" t="str">
        <f t="shared" si="533"/>
        <v>Stock en Bultos</v>
      </c>
      <c r="AD779" t="str">
        <f t="shared" si="534"/>
        <v>SubDepósito</v>
      </c>
      <c r="AE779" t="str">
        <f t="shared" si="535"/>
        <v>Marca</v>
      </c>
      <c r="AF779" t="str">
        <f t="shared" si="536"/>
        <v>Super Rubro</v>
      </c>
      <c r="AG779" t="str">
        <f t="shared" si="537"/>
        <v>ComercioExterior</v>
      </c>
      <c r="AH779" t="str">
        <f t="shared" si="538"/>
        <v>PrecioFOB</v>
      </c>
      <c r="AI779" t="str">
        <f t="shared" si="539"/>
        <v>Monto II</v>
      </c>
      <c r="AJ779" t="str">
        <f t="shared" si="540"/>
        <v>Porcentaje II</v>
      </c>
      <c r="AK779" t="str">
        <f t="shared" si="541"/>
        <v>Foto</v>
      </c>
      <c r="AL779" t="str">
        <f t="shared" si="542"/>
        <v xml:space="preserve"> </v>
      </c>
      <c r="AM779" t="str">
        <f t="shared" si="519"/>
        <v xml:space="preserve"> </v>
      </c>
    </row>
    <row r="780" spans="1:39" x14ac:dyDescent="0.25">
      <c r="A780" t="str">
        <f>"BA203 20"</f>
        <v>BA203 20</v>
      </c>
      <c r="B780" t="str">
        <f>"COJINETES BANCADA 0,50 FORD SIERRA 1600"</f>
        <v>COJINETES BANCADA 0,50 FORD SIERRA 1600</v>
      </c>
      <c r="C780" t="str">
        <f>"$ 24057,75"</f>
        <v>$ 24057,75</v>
      </c>
      <c r="D780" t="str">
        <f>"$ 24057,75"</f>
        <v>$ 24057,75</v>
      </c>
      <c r="E780" t="str">
        <f>"$ 24057,75"</f>
        <v>$ 24057,75</v>
      </c>
      <c r="F780" t="str">
        <f>"$ 24057,75"</f>
        <v>$ 24057,75</v>
      </c>
      <c r="G780" t="str">
        <f>"$ 24057,75"</f>
        <v>$ 24057,75</v>
      </c>
      <c r="H780" t="str">
        <f t="shared" si="524"/>
        <v>$ 0,00</v>
      </c>
      <c r="I780" t="str">
        <f t="shared" si="512"/>
        <v>JUEGO COJINETES BANCADA</v>
      </c>
      <c r="J780" t="str">
        <f t="shared" si="525"/>
        <v>1</v>
      </c>
      <c r="K780" t="str">
        <f t="shared" si="509"/>
        <v>0</v>
      </c>
      <c r="L780" t="str">
        <f>"2,000"</f>
        <v>2,000</v>
      </c>
      <c r="M780" t="str">
        <f t="shared" si="526"/>
        <v xml:space="preserve"> </v>
      </c>
      <c r="N780" t="str">
        <f t="shared" si="513"/>
        <v>MPSI</v>
      </c>
      <c r="O780" t="str">
        <f t="shared" si="514"/>
        <v>COJINETES</v>
      </c>
      <c r="P780" t="str">
        <f t="shared" si="522"/>
        <v>0</v>
      </c>
      <c r="Q780" t="str">
        <f t="shared" si="522"/>
        <v>0</v>
      </c>
      <c r="R780" t="str">
        <f t="shared" si="523"/>
        <v>0,00</v>
      </c>
      <c r="S780" t="str">
        <f t="shared" si="523"/>
        <v>0,00</v>
      </c>
      <c r="T780" t="str">
        <f t="shared" si="506"/>
        <v xml:space="preserve"> </v>
      </c>
      <c r="U780" t="str">
        <f t="shared" si="543"/>
        <v>-</v>
      </c>
      <c r="V780" t="str">
        <f>"2,000"</f>
        <v>2,000</v>
      </c>
      <c r="W780" t="str">
        <f t="shared" si="527"/>
        <v>Lista 4</v>
      </c>
      <c r="X780" t="str">
        <f t="shared" si="528"/>
        <v>Lista 5</v>
      </c>
      <c r="Y780" t="str">
        <f t="shared" si="529"/>
        <v>Oferta Gral.</v>
      </c>
      <c r="Z780" t="str">
        <f t="shared" si="530"/>
        <v>Rubro</v>
      </c>
      <c r="AA780" t="str">
        <f t="shared" si="531"/>
        <v>Cantidad por Bulto</v>
      </c>
      <c r="AB780" t="str">
        <f t="shared" si="532"/>
        <v>INNER</v>
      </c>
      <c r="AC780" t="str">
        <f t="shared" si="533"/>
        <v>Stock en Bultos</v>
      </c>
      <c r="AD780" t="str">
        <f t="shared" si="534"/>
        <v>SubDepósito</v>
      </c>
      <c r="AE780" t="str">
        <f t="shared" si="535"/>
        <v>Marca</v>
      </c>
      <c r="AF780" t="str">
        <f t="shared" si="536"/>
        <v>Super Rubro</v>
      </c>
      <c r="AG780" t="str">
        <f t="shared" si="537"/>
        <v>ComercioExterior</v>
      </c>
      <c r="AH780" t="str">
        <f t="shared" si="538"/>
        <v>PrecioFOB</v>
      </c>
      <c r="AI780" t="str">
        <f t="shared" si="539"/>
        <v>Monto II</v>
      </c>
      <c r="AJ780" t="str">
        <f t="shared" si="540"/>
        <v>Porcentaje II</v>
      </c>
      <c r="AK780" t="str">
        <f t="shared" si="541"/>
        <v>Foto</v>
      </c>
      <c r="AL780" t="str">
        <f t="shared" si="542"/>
        <v xml:space="preserve"> </v>
      </c>
      <c r="AM780" t="str">
        <f t="shared" si="519"/>
        <v xml:space="preserve"> </v>
      </c>
    </row>
    <row r="781" spans="1:39" x14ac:dyDescent="0.25">
      <c r="A781" t="str">
        <f>"BA201 20"</f>
        <v>BA201 20</v>
      </c>
      <c r="B781" t="str">
        <f>"COJINETES BANCADA 0,50 FORD TAUNUS 2.0 2.3"</f>
        <v>COJINETES BANCADA 0,50 FORD TAUNUS 2.0 2.3</v>
      </c>
      <c r="C781" t="str">
        <f>"$ 44894,15"</f>
        <v>$ 44894,15</v>
      </c>
      <c r="D781" t="str">
        <f>"$ 44894,15"</f>
        <v>$ 44894,15</v>
      </c>
      <c r="E781" t="str">
        <f>"$ 44894,15"</f>
        <v>$ 44894,15</v>
      </c>
      <c r="F781" t="str">
        <f>"$ 44894,15"</f>
        <v>$ 44894,15</v>
      </c>
      <c r="G781" t="str">
        <f>"$ 44894,15"</f>
        <v>$ 44894,15</v>
      </c>
      <c r="H781" t="str">
        <f t="shared" si="524"/>
        <v>$ 0,00</v>
      </c>
      <c r="I781" t="str">
        <f t="shared" si="512"/>
        <v>JUEGO COJINETES BANCADA</v>
      </c>
      <c r="J781" t="str">
        <f t="shared" si="525"/>
        <v>1</v>
      </c>
      <c r="K781" t="str">
        <f t="shared" si="509"/>
        <v>0</v>
      </c>
      <c r="L781" t="str">
        <f>"6,000"</f>
        <v>6,000</v>
      </c>
      <c r="M781" t="str">
        <f t="shared" si="526"/>
        <v xml:space="preserve"> </v>
      </c>
      <c r="N781" t="str">
        <f t="shared" si="513"/>
        <v>MPSI</v>
      </c>
      <c r="O781" t="str">
        <f t="shared" si="514"/>
        <v>COJINETES</v>
      </c>
      <c r="P781" t="str">
        <f t="shared" si="522"/>
        <v>0</v>
      </c>
      <c r="Q781" t="str">
        <f t="shared" si="522"/>
        <v>0</v>
      </c>
      <c r="R781" t="str">
        <f t="shared" si="523"/>
        <v>0,00</v>
      </c>
      <c r="S781" t="str">
        <f t="shared" si="523"/>
        <v>0,00</v>
      </c>
      <c r="T781" t="str">
        <f t="shared" si="506"/>
        <v xml:space="preserve"> </v>
      </c>
      <c r="U781" t="str">
        <f t="shared" si="543"/>
        <v>-</v>
      </c>
      <c r="V781" t="str">
        <f>"6,000"</f>
        <v>6,000</v>
      </c>
      <c r="W781" t="str">
        <f t="shared" si="527"/>
        <v>Lista 4</v>
      </c>
      <c r="X781" t="str">
        <f t="shared" si="528"/>
        <v>Lista 5</v>
      </c>
      <c r="Y781" t="str">
        <f t="shared" si="529"/>
        <v>Oferta Gral.</v>
      </c>
      <c r="Z781" t="str">
        <f t="shared" si="530"/>
        <v>Rubro</v>
      </c>
      <c r="AA781" t="str">
        <f t="shared" si="531"/>
        <v>Cantidad por Bulto</v>
      </c>
      <c r="AB781" t="str">
        <f t="shared" si="532"/>
        <v>INNER</v>
      </c>
      <c r="AC781" t="str">
        <f t="shared" si="533"/>
        <v>Stock en Bultos</v>
      </c>
      <c r="AD781" t="str">
        <f t="shared" si="534"/>
        <v>SubDepósito</v>
      </c>
      <c r="AE781" t="str">
        <f t="shared" si="535"/>
        <v>Marca</v>
      </c>
      <c r="AF781" t="str">
        <f t="shared" si="536"/>
        <v>Super Rubro</v>
      </c>
      <c r="AG781" t="str">
        <f t="shared" si="537"/>
        <v>ComercioExterior</v>
      </c>
      <c r="AH781" t="str">
        <f t="shared" si="538"/>
        <v>PrecioFOB</v>
      </c>
      <c r="AI781" t="str">
        <f t="shared" si="539"/>
        <v>Monto II</v>
      </c>
      <c r="AJ781" t="str">
        <f t="shared" si="540"/>
        <v>Porcentaje II</v>
      </c>
      <c r="AK781" t="str">
        <f t="shared" si="541"/>
        <v>Foto</v>
      </c>
      <c r="AL781" t="str">
        <f t="shared" si="542"/>
        <v xml:space="preserve"> </v>
      </c>
      <c r="AM781" t="str">
        <f t="shared" si="519"/>
        <v xml:space="preserve"> </v>
      </c>
    </row>
    <row r="782" spans="1:39" x14ac:dyDescent="0.25">
      <c r="A782" t="str">
        <f>"BA774 20"</f>
        <v>BA774 20</v>
      </c>
      <c r="B782" t="str">
        <f>"COJINETES BANCADA 0,50 FORD TRANSIT 2,5 DIESEL 2401E"</f>
        <v>COJINETES BANCADA 0,50 FORD TRANSIT 2,5 DIESEL 2401E</v>
      </c>
      <c r="C782" t="str">
        <f>"$ 30314,26"</f>
        <v>$ 30314,26</v>
      </c>
      <c r="D782" t="str">
        <f>"$ 30314,26"</f>
        <v>$ 30314,26</v>
      </c>
      <c r="E782" t="str">
        <f>"$ 30314,26"</f>
        <v>$ 30314,26</v>
      </c>
      <c r="F782" t="str">
        <f>"$ 30314,26"</f>
        <v>$ 30314,26</v>
      </c>
      <c r="G782" t="str">
        <f>"$ 30314,26"</f>
        <v>$ 30314,26</v>
      </c>
      <c r="H782" t="str">
        <f t="shared" si="524"/>
        <v>$ 0,00</v>
      </c>
      <c r="I782" t="str">
        <f t="shared" si="512"/>
        <v>JUEGO COJINETES BANCADA</v>
      </c>
      <c r="J782" t="str">
        <f t="shared" si="525"/>
        <v>1</v>
      </c>
      <c r="K782" t="str">
        <f t="shared" si="509"/>
        <v>0</v>
      </c>
      <c r="L782" t="str">
        <f>"0,000"</f>
        <v>0,000</v>
      </c>
      <c r="M782" t="str">
        <f t="shared" si="526"/>
        <v xml:space="preserve"> </v>
      </c>
      <c r="N782" t="str">
        <f t="shared" si="513"/>
        <v>MPSI</v>
      </c>
      <c r="O782" t="str">
        <f t="shared" si="514"/>
        <v>COJINETES</v>
      </c>
      <c r="P782" t="str">
        <f t="shared" si="522"/>
        <v>0</v>
      </c>
      <c r="Q782" t="str">
        <f t="shared" si="522"/>
        <v>0</v>
      </c>
      <c r="R782" t="str">
        <f t="shared" si="523"/>
        <v>0,00</v>
      </c>
      <c r="S782" t="str">
        <f t="shared" si="523"/>
        <v>0,00</v>
      </c>
      <c r="T782" t="str">
        <f t="shared" si="506"/>
        <v xml:space="preserve"> </v>
      </c>
      <c r="U782" t="str">
        <f t="shared" si="543"/>
        <v>-</v>
      </c>
      <c r="V782" t="str">
        <f>"0,000"</f>
        <v>0,000</v>
      </c>
      <c r="W782" t="str">
        <f t="shared" si="527"/>
        <v>Lista 4</v>
      </c>
      <c r="X782" t="str">
        <f t="shared" si="528"/>
        <v>Lista 5</v>
      </c>
      <c r="Y782" t="str">
        <f t="shared" si="529"/>
        <v>Oferta Gral.</v>
      </c>
      <c r="Z782" t="str">
        <f t="shared" si="530"/>
        <v>Rubro</v>
      </c>
      <c r="AA782" t="str">
        <f t="shared" si="531"/>
        <v>Cantidad por Bulto</v>
      </c>
      <c r="AB782" t="str">
        <f t="shared" si="532"/>
        <v>INNER</v>
      </c>
      <c r="AC782" t="str">
        <f t="shared" si="533"/>
        <v>Stock en Bultos</v>
      </c>
      <c r="AD782" t="str">
        <f t="shared" si="534"/>
        <v>SubDepósito</v>
      </c>
      <c r="AE782" t="str">
        <f t="shared" si="535"/>
        <v>Marca</v>
      </c>
      <c r="AF782" t="str">
        <f t="shared" si="536"/>
        <v>Super Rubro</v>
      </c>
      <c r="AG782" t="str">
        <f t="shared" si="537"/>
        <v>ComercioExterior</v>
      </c>
      <c r="AH782" t="str">
        <f t="shared" si="538"/>
        <v>PrecioFOB</v>
      </c>
      <c r="AI782" t="str">
        <f t="shared" si="539"/>
        <v>Monto II</v>
      </c>
      <c r="AJ782" t="str">
        <f t="shared" si="540"/>
        <v>Porcentaje II</v>
      </c>
      <c r="AK782" t="str">
        <f t="shared" si="541"/>
        <v>Foto</v>
      </c>
      <c r="AL782" t="str">
        <f t="shared" si="542"/>
        <v xml:space="preserve"> </v>
      </c>
      <c r="AM782" t="str">
        <f t="shared" si="519"/>
        <v xml:space="preserve"> </v>
      </c>
    </row>
    <row r="783" spans="1:39" x14ac:dyDescent="0.25">
      <c r="A783" t="str">
        <f>"BA165211 20"</f>
        <v>BA165211 20</v>
      </c>
      <c r="B783" t="str">
        <f>"COJINETES BANCADA 0,50 FORD TRANSIT 2.4 MONDEO 2.2 TDCI"</f>
        <v>COJINETES BANCADA 0,50 FORD TRANSIT 2.4 MONDEO 2.2 TDCI</v>
      </c>
      <c r="C783" t="str">
        <f>"$ 33125,96"</f>
        <v>$ 33125,96</v>
      </c>
      <c r="D783" t="str">
        <f>"$ 33125,96"</f>
        <v>$ 33125,96</v>
      </c>
      <c r="E783" t="str">
        <f>"$ 33125,96"</f>
        <v>$ 33125,96</v>
      </c>
      <c r="F783" t="str">
        <f>"$ 33125,96"</f>
        <v>$ 33125,96</v>
      </c>
      <c r="G783" t="str">
        <f>"$ 33125,96"</f>
        <v>$ 33125,96</v>
      </c>
      <c r="H783" t="str">
        <f t="shared" si="524"/>
        <v>$ 0,00</v>
      </c>
      <c r="I783" t="str">
        <f t="shared" si="512"/>
        <v>JUEGO COJINETES BANCADA</v>
      </c>
      <c r="J783" t="str">
        <f t="shared" si="525"/>
        <v>1</v>
      </c>
      <c r="K783" t="str">
        <f t="shared" si="509"/>
        <v>0</v>
      </c>
      <c r="L783" t="str">
        <f>"4,000"</f>
        <v>4,000</v>
      </c>
      <c r="M783" t="str">
        <f t="shared" si="526"/>
        <v xml:space="preserve"> </v>
      </c>
      <c r="N783" t="str">
        <f t="shared" si="513"/>
        <v>MPSI</v>
      </c>
      <c r="O783" t="str">
        <f t="shared" si="514"/>
        <v>COJINETES</v>
      </c>
      <c r="P783" t="str">
        <f t="shared" ref="P783:Q802" si="544">"0"</f>
        <v>0</v>
      </c>
      <c r="Q783" t="str">
        <f t="shared" si="544"/>
        <v>0</v>
      </c>
      <c r="R783" t="str">
        <f t="shared" ref="R783:S802" si="545">"0,00"</f>
        <v>0,00</v>
      </c>
      <c r="S783" t="str">
        <f t="shared" si="545"/>
        <v>0,00</v>
      </c>
      <c r="T783" t="str">
        <f t="shared" si="506"/>
        <v xml:space="preserve"> </v>
      </c>
      <c r="U783" t="str">
        <f t="shared" si="543"/>
        <v>-</v>
      </c>
      <c r="V783" t="str">
        <f>"4,000"</f>
        <v>4,000</v>
      </c>
      <c r="W783" t="str">
        <f t="shared" si="527"/>
        <v>Lista 4</v>
      </c>
      <c r="X783" t="str">
        <f t="shared" si="528"/>
        <v>Lista 5</v>
      </c>
      <c r="Y783" t="str">
        <f t="shared" si="529"/>
        <v>Oferta Gral.</v>
      </c>
      <c r="Z783" t="str">
        <f t="shared" si="530"/>
        <v>Rubro</v>
      </c>
      <c r="AA783" t="str">
        <f t="shared" si="531"/>
        <v>Cantidad por Bulto</v>
      </c>
      <c r="AB783" t="str">
        <f t="shared" si="532"/>
        <v>INNER</v>
      </c>
      <c r="AC783" t="str">
        <f t="shared" si="533"/>
        <v>Stock en Bultos</v>
      </c>
      <c r="AD783" t="str">
        <f t="shared" si="534"/>
        <v>SubDepósito</v>
      </c>
      <c r="AE783" t="str">
        <f t="shared" si="535"/>
        <v>Marca</v>
      </c>
      <c r="AF783" t="str">
        <f t="shared" si="536"/>
        <v>Super Rubro</v>
      </c>
      <c r="AG783" t="str">
        <f t="shared" si="537"/>
        <v>ComercioExterior</v>
      </c>
      <c r="AH783" t="str">
        <f t="shared" si="538"/>
        <v>PrecioFOB</v>
      </c>
      <c r="AI783" t="str">
        <f t="shared" si="539"/>
        <v>Monto II</v>
      </c>
      <c r="AJ783" t="str">
        <f t="shared" si="540"/>
        <v>Porcentaje II</v>
      </c>
      <c r="AK783" t="str">
        <f t="shared" si="541"/>
        <v>Foto</v>
      </c>
      <c r="AL783" t="str">
        <f t="shared" si="542"/>
        <v xml:space="preserve"> </v>
      </c>
      <c r="AM783" t="str">
        <f t="shared" si="519"/>
        <v xml:space="preserve"> </v>
      </c>
    </row>
    <row r="784" spans="1:39" x14ac:dyDescent="0.25">
      <c r="A784" t="str">
        <f>"BA538 20"</f>
        <v>BA538 20</v>
      </c>
      <c r="B784" t="str">
        <f>"COJINETES BANCADA 0,50 HONDA 1600 MOTOR D16A1 D16A6 D16Y7 D16Y8"</f>
        <v>COJINETES BANCADA 0,50 HONDA 1600 MOTOR D16A1 D16A6 D16Y7 D16Y8</v>
      </c>
      <c r="C784" t="str">
        <f>"$ 22195,70"</f>
        <v>$ 22195,70</v>
      </c>
      <c r="D784" t="str">
        <f>"$ 22195,70"</f>
        <v>$ 22195,70</v>
      </c>
      <c r="E784" t="str">
        <f>"$ 22195,70"</f>
        <v>$ 22195,70</v>
      </c>
      <c r="F784" t="str">
        <f>"$ 22195,70"</f>
        <v>$ 22195,70</v>
      </c>
      <c r="G784" t="str">
        <f>"$ 22195,70"</f>
        <v>$ 22195,70</v>
      </c>
      <c r="H784" t="str">
        <f t="shared" si="524"/>
        <v>$ 0,00</v>
      </c>
      <c r="I784" t="str">
        <f t="shared" si="512"/>
        <v>JUEGO COJINETES BANCADA</v>
      </c>
      <c r="J784" t="str">
        <f t="shared" si="525"/>
        <v>1</v>
      </c>
      <c r="K784" t="str">
        <f t="shared" si="509"/>
        <v>0</v>
      </c>
      <c r="L784" t="str">
        <f>"2,000"</f>
        <v>2,000</v>
      </c>
      <c r="M784" t="str">
        <f t="shared" si="526"/>
        <v xml:space="preserve"> </v>
      </c>
      <c r="N784" t="str">
        <f t="shared" si="513"/>
        <v>MPSI</v>
      </c>
      <c r="O784" t="str">
        <f t="shared" si="514"/>
        <v>COJINETES</v>
      </c>
      <c r="P784" t="str">
        <f t="shared" si="544"/>
        <v>0</v>
      </c>
      <c r="Q784" t="str">
        <f t="shared" si="544"/>
        <v>0</v>
      </c>
      <c r="R784" t="str">
        <f t="shared" si="545"/>
        <v>0,00</v>
      </c>
      <c r="S784" t="str">
        <f t="shared" si="545"/>
        <v>0,00</v>
      </c>
      <c r="T784" t="str">
        <f t="shared" si="506"/>
        <v xml:space="preserve"> </v>
      </c>
      <c r="U784" t="str">
        <f t="shared" si="543"/>
        <v>-</v>
      </c>
      <c r="V784" t="str">
        <f>"2,000"</f>
        <v>2,000</v>
      </c>
      <c r="W784" t="str">
        <f t="shared" si="527"/>
        <v>Lista 4</v>
      </c>
      <c r="X784" t="str">
        <f t="shared" si="528"/>
        <v>Lista 5</v>
      </c>
      <c r="Y784" t="str">
        <f t="shared" si="529"/>
        <v>Oferta Gral.</v>
      </c>
      <c r="Z784" t="str">
        <f t="shared" si="530"/>
        <v>Rubro</v>
      </c>
      <c r="AA784" t="str">
        <f t="shared" si="531"/>
        <v>Cantidad por Bulto</v>
      </c>
      <c r="AB784" t="str">
        <f t="shared" si="532"/>
        <v>INNER</v>
      </c>
      <c r="AC784" t="str">
        <f t="shared" si="533"/>
        <v>Stock en Bultos</v>
      </c>
      <c r="AD784" t="str">
        <f t="shared" si="534"/>
        <v>SubDepósito</v>
      </c>
      <c r="AE784" t="str">
        <f t="shared" si="535"/>
        <v>Marca</v>
      </c>
      <c r="AF784" t="str">
        <f t="shared" si="536"/>
        <v>Super Rubro</v>
      </c>
      <c r="AG784" t="str">
        <f t="shared" si="537"/>
        <v>ComercioExterior</v>
      </c>
      <c r="AH784" t="str">
        <f t="shared" si="538"/>
        <v>PrecioFOB</v>
      </c>
      <c r="AI784" t="str">
        <f t="shared" si="539"/>
        <v>Monto II</v>
      </c>
      <c r="AJ784" t="str">
        <f t="shared" si="540"/>
        <v>Porcentaje II</v>
      </c>
      <c r="AK784" t="str">
        <f t="shared" si="541"/>
        <v>Foto</v>
      </c>
      <c r="AL784" t="str">
        <f t="shared" si="542"/>
        <v xml:space="preserve"> </v>
      </c>
      <c r="AM784" t="str">
        <f t="shared" si="519"/>
        <v xml:space="preserve"> </v>
      </c>
    </row>
    <row r="785" spans="1:39" x14ac:dyDescent="0.25">
      <c r="A785" t="str">
        <f>"BA235 20"</f>
        <v>BA235 20</v>
      </c>
      <c r="B785" t="str">
        <f>"COJINETES BANCADA 0,50 IKA CONTINENTAL"</f>
        <v>COJINETES BANCADA 0,50 IKA CONTINENTAL</v>
      </c>
      <c r="C785" t="str">
        <f>"$ 47594,13"</f>
        <v>$ 47594,13</v>
      </c>
      <c r="D785" t="str">
        <f>"$ 47594,13"</f>
        <v>$ 47594,13</v>
      </c>
      <c r="E785" t="str">
        <f>"$ 47594,13"</f>
        <v>$ 47594,13</v>
      </c>
      <c r="F785" t="str">
        <f>"$ 47594,13"</f>
        <v>$ 47594,13</v>
      </c>
      <c r="G785" t="str">
        <f>"$ 47594,13"</f>
        <v>$ 47594,13</v>
      </c>
      <c r="H785" t="str">
        <f t="shared" si="524"/>
        <v>$ 0,00</v>
      </c>
      <c r="I785" t="str">
        <f t="shared" si="512"/>
        <v>JUEGO COJINETES BANCADA</v>
      </c>
      <c r="J785" t="str">
        <f t="shared" si="525"/>
        <v>1</v>
      </c>
      <c r="K785" t="str">
        <f t="shared" si="509"/>
        <v>0</v>
      </c>
      <c r="L785" t="str">
        <f>"0,000"</f>
        <v>0,000</v>
      </c>
      <c r="M785" t="str">
        <f t="shared" si="526"/>
        <v xml:space="preserve"> </v>
      </c>
      <c r="N785" t="str">
        <f t="shared" si="513"/>
        <v>MPSI</v>
      </c>
      <c r="O785" t="str">
        <f t="shared" si="514"/>
        <v>COJINETES</v>
      </c>
      <c r="P785" t="str">
        <f t="shared" si="544"/>
        <v>0</v>
      </c>
      <c r="Q785" t="str">
        <f t="shared" si="544"/>
        <v>0</v>
      </c>
      <c r="R785" t="str">
        <f t="shared" si="545"/>
        <v>0,00</v>
      </c>
      <c r="S785" t="str">
        <f t="shared" si="545"/>
        <v>0,00</v>
      </c>
      <c r="T785" t="str">
        <f t="shared" ref="T785:T848" si="546">" "</f>
        <v xml:space="preserve"> </v>
      </c>
      <c r="U785" t="str">
        <f t="shared" si="543"/>
        <v>-</v>
      </c>
      <c r="V785" t="str">
        <f>"0,000"</f>
        <v>0,000</v>
      </c>
      <c r="W785" t="str">
        <f t="shared" si="527"/>
        <v>Lista 4</v>
      </c>
      <c r="X785" t="str">
        <f t="shared" si="528"/>
        <v>Lista 5</v>
      </c>
      <c r="Y785" t="str">
        <f t="shared" si="529"/>
        <v>Oferta Gral.</v>
      </c>
      <c r="Z785" t="str">
        <f t="shared" si="530"/>
        <v>Rubro</v>
      </c>
      <c r="AA785" t="str">
        <f t="shared" si="531"/>
        <v>Cantidad por Bulto</v>
      </c>
      <c r="AB785" t="str">
        <f t="shared" si="532"/>
        <v>INNER</v>
      </c>
      <c r="AC785" t="str">
        <f t="shared" si="533"/>
        <v>Stock en Bultos</v>
      </c>
      <c r="AD785" t="str">
        <f t="shared" si="534"/>
        <v>SubDepósito</v>
      </c>
      <c r="AE785" t="str">
        <f t="shared" si="535"/>
        <v>Marca</v>
      </c>
      <c r="AF785" t="str">
        <f t="shared" si="536"/>
        <v>Super Rubro</v>
      </c>
      <c r="AG785" t="str">
        <f t="shared" si="537"/>
        <v>ComercioExterior</v>
      </c>
      <c r="AH785" t="str">
        <f t="shared" si="538"/>
        <v>PrecioFOB</v>
      </c>
      <c r="AI785" t="str">
        <f t="shared" si="539"/>
        <v>Monto II</v>
      </c>
      <c r="AJ785" t="str">
        <f t="shared" si="540"/>
        <v>Porcentaje II</v>
      </c>
      <c r="AK785" t="str">
        <f t="shared" si="541"/>
        <v>Foto</v>
      </c>
      <c r="AL785" t="str">
        <f t="shared" si="542"/>
        <v xml:space="preserve"> </v>
      </c>
      <c r="AM785" t="str">
        <f t="shared" si="519"/>
        <v xml:space="preserve"> </v>
      </c>
    </row>
    <row r="786" spans="1:39" x14ac:dyDescent="0.25">
      <c r="A786" t="str">
        <f>"BA885 20"</f>
        <v>BA885 20</v>
      </c>
      <c r="B786" t="str">
        <f>"COJINETES BANCADA 0,50 IVECO DAILY 2.5 2.8"</f>
        <v>COJINETES BANCADA 0,50 IVECO DAILY 2.5 2.8</v>
      </c>
      <c r="C786" t="str">
        <f>"$ 78349,88"</f>
        <v>$ 78349,88</v>
      </c>
      <c r="D786" t="str">
        <f>"$ 78349,88"</f>
        <v>$ 78349,88</v>
      </c>
      <c r="E786" t="str">
        <f>"$ 78349,88"</f>
        <v>$ 78349,88</v>
      </c>
      <c r="F786" t="str">
        <f>"$ 78349,88"</f>
        <v>$ 78349,88</v>
      </c>
      <c r="G786" t="str">
        <f>"$ 78349,88"</f>
        <v>$ 78349,88</v>
      </c>
      <c r="H786" t="str">
        <f t="shared" si="524"/>
        <v>$ 0,00</v>
      </c>
      <c r="I786" t="str">
        <f t="shared" si="512"/>
        <v>JUEGO COJINETES BANCADA</v>
      </c>
      <c r="J786" t="str">
        <f t="shared" si="525"/>
        <v>1</v>
      </c>
      <c r="K786" t="str">
        <f t="shared" si="509"/>
        <v>0</v>
      </c>
      <c r="L786" t="str">
        <f>"6,000"</f>
        <v>6,000</v>
      </c>
      <c r="M786" t="str">
        <f t="shared" si="526"/>
        <v xml:space="preserve"> </v>
      </c>
      <c r="N786" t="str">
        <f t="shared" si="513"/>
        <v>MPSI</v>
      </c>
      <c r="O786" t="str">
        <f t="shared" si="514"/>
        <v>COJINETES</v>
      </c>
      <c r="P786" t="str">
        <f t="shared" si="544"/>
        <v>0</v>
      </c>
      <c r="Q786" t="str">
        <f t="shared" si="544"/>
        <v>0</v>
      </c>
      <c r="R786" t="str">
        <f t="shared" si="545"/>
        <v>0,00</v>
      </c>
      <c r="S786" t="str">
        <f t="shared" si="545"/>
        <v>0,00</v>
      </c>
      <c r="T786" t="str">
        <f t="shared" si="546"/>
        <v xml:space="preserve"> </v>
      </c>
      <c r="U786" t="str">
        <f t="shared" si="543"/>
        <v>-</v>
      </c>
      <c r="V786" t="str">
        <f>"6,000"</f>
        <v>6,000</v>
      </c>
      <c r="W786" t="str">
        <f t="shared" si="527"/>
        <v>Lista 4</v>
      </c>
      <c r="X786" t="str">
        <f t="shared" si="528"/>
        <v>Lista 5</v>
      </c>
      <c r="Y786" t="str">
        <f t="shared" si="529"/>
        <v>Oferta Gral.</v>
      </c>
      <c r="Z786" t="str">
        <f t="shared" si="530"/>
        <v>Rubro</v>
      </c>
      <c r="AA786" t="str">
        <f t="shared" si="531"/>
        <v>Cantidad por Bulto</v>
      </c>
      <c r="AB786" t="str">
        <f t="shared" si="532"/>
        <v>INNER</v>
      </c>
      <c r="AC786" t="str">
        <f t="shared" si="533"/>
        <v>Stock en Bultos</v>
      </c>
      <c r="AD786" t="str">
        <f t="shared" si="534"/>
        <v>SubDepósito</v>
      </c>
      <c r="AE786" t="str">
        <f t="shared" si="535"/>
        <v>Marca</v>
      </c>
      <c r="AF786" t="str">
        <f t="shared" si="536"/>
        <v>Super Rubro</v>
      </c>
      <c r="AG786" t="str">
        <f t="shared" si="537"/>
        <v>ComercioExterior</v>
      </c>
      <c r="AH786" t="str">
        <f t="shared" si="538"/>
        <v>PrecioFOB</v>
      </c>
      <c r="AI786" t="str">
        <f t="shared" si="539"/>
        <v>Monto II</v>
      </c>
      <c r="AJ786" t="str">
        <f t="shared" si="540"/>
        <v>Porcentaje II</v>
      </c>
      <c r="AK786" t="str">
        <f t="shared" si="541"/>
        <v>Foto</v>
      </c>
      <c r="AL786" t="str">
        <f t="shared" si="542"/>
        <v xml:space="preserve"> </v>
      </c>
      <c r="AM786" t="str">
        <f t="shared" si="519"/>
        <v xml:space="preserve"> </v>
      </c>
    </row>
    <row r="787" spans="1:39" x14ac:dyDescent="0.25">
      <c r="A787" t="str">
        <f>"BA844 20"</f>
        <v>BA844 20</v>
      </c>
      <c r="B787" t="str">
        <f>"COJINETES BANCADA 0,50 MAXION 2.5 SPRINTER FORD F100 CHEVROLET S10"</f>
        <v>COJINETES BANCADA 0,50 MAXION 2.5 SPRINTER FORD F100 CHEVROLET S10</v>
      </c>
      <c r="C787" t="str">
        <f>"$ 27003,52"</f>
        <v>$ 27003,52</v>
      </c>
      <c r="D787" t="str">
        <f>"$ 27003,52"</f>
        <v>$ 27003,52</v>
      </c>
      <c r="E787" t="str">
        <f>"$ 27003,52"</f>
        <v>$ 27003,52</v>
      </c>
      <c r="F787" t="str">
        <f>"$ 27003,52"</f>
        <v>$ 27003,52</v>
      </c>
      <c r="G787" t="str">
        <f>"$ 27003,52"</f>
        <v>$ 27003,52</v>
      </c>
      <c r="H787" t="str">
        <f t="shared" si="524"/>
        <v>$ 0,00</v>
      </c>
      <c r="I787" t="str">
        <f t="shared" si="512"/>
        <v>JUEGO COJINETES BANCADA</v>
      </c>
      <c r="J787" t="str">
        <f t="shared" si="525"/>
        <v>1</v>
      </c>
      <c r="K787" t="str">
        <f t="shared" si="509"/>
        <v>0</v>
      </c>
      <c r="L787" t="str">
        <f>"8,000"</f>
        <v>8,000</v>
      </c>
      <c r="M787" t="str">
        <f t="shared" si="526"/>
        <v xml:space="preserve"> </v>
      </c>
      <c r="N787" t="str">
        <f t="shared" si="513"/>
        <v>MPSI</v>
      </c>
      <c r="O787" t="str">
        <f t="shared" si="514"/>
        <v>COJINETES</v>
      </c>
      <c r="P787" t="str">
        <f t="shared" si="544"/>
        <v>0</v>
      </c>
      <c r="Q787" t="str">
        <f t="shared" si="544"/>
        <v>0</v>
      </c>
      <c r="R787" t="str">
        <f t="shared" si="545"/>
        <v>0,00</v>
      </c>
      <c r="S787" t="str">
        <f t="shared" si="545"/>
        <v>0,00</v>
      </c>
      <c r="T787" t="str">
        <f t="shared" si="546"/>
        <v xml:space="preserve"> </v>
      </c>
      <c r="U787" t="str">
        <f t="shared" si="543"/>
        <v>-</v>
      </c>
      <c r="V787" t="str">
        <f>"8,000"</f>
        <v>8,000</v>
      </c>
      <c r="W787" t="str">
        <f t="shared" si="527"/>
        <v>Lista 4</v>
      </c>
      <c r="X787" t="str">
        <f t="shared" si="528"/>
        <v>Lista 5</v>
      </c>
      <c r="Y787" t="str">
        <f t="shared" si="529"/>
        <v>Oferta Gral.</v>
      </c>
      <c r="Z787" t="str">
        <f t="shared" si="530"/>
        <v>Rubro</v>
      </c>
      <c r="AA787" t="str">
        <f t="shared" si="531"/>
        <v>Cantidad por Bulto</v>
      </c>
      <c r="AB787" t="str">
        <f t="shared" si="532"/>
        <v>INNER</v>
      </c>
      <c r="AC787" t="str">
        <f t="shared" si="533"/>
        <v>Stock en Bultos</v>
      </c>
      <c r="AD787" t="str">
        <f t="shared" si="534"/>
        <v>SubDepósito</v>
      </c>
      <c r="AE787" t="str">
        <f t="shared" si="535"/>
        <v>Marca</v>
      </c>
      <c r="AF787" t="str">
        <f t="shared" si="536"/>
        <v>Super Rubro</v>
      </c>
      <c r="AG787" t="str">
        <f t="shared" si="537"/>
        <v>ComercioExterior</v>
      </c>
      <c r="AH787" t="str">
        <f t="shared" si="538"/>
        <v>PrecioFOB</v>
      </c>
      <c r="AI787" t="str">
        <f t="shared" si="539"/>
        <v>Monto II</v>
      </c>
      <c r="AJ787" t="str">
        <f t="shared" si="540"/>
        <v>Porcentaje II</v>
      </c>
      <c r="AK787" t="str">
        <f t="shared" si="541"/>
        <v>Foto</v>
      </c>
      <c r="AL787" t="str">
        <f t="shared" si="542"/>
        <v xml:space="preserve"> </v>
      </c>
      <c r="AM787" t="str">
        <f t="shared" si="519"/>
        <v xml:space="preserve"> </v>
      </c>
    </row>
    <row r="788" spans="1:39" x14ac:dyDescent="0.25">
      <c r="A788" t="str">
        <f>"BA556 20"</f>
        <v>BA556 20</v>
      </c>
      <c r="B788" t="str">
        <f>"COJINETES BANCADA 0,50 MERCEDES SPRINTER OM611"</f>
        <v>COJINETES BANCADA 0,50 MERCEDES SPRINTER OM611</v>
      </c>
      <c r="C788" t="str">
        <f>"$ 22679,83"</f>
        <v>$ 22679,83</v>
      </c>
      <c r="D788" t="str">
        <f>"$ 22679,83"</f>
        <v>$ 22679,83</v>
      </c>
      <c r="E788" t="str">
        <f>"$ 22679,83"</f>
        <v>$ 22679,83</v>
      </c>
      <c r="F788" t="str">
        <f>"$ 22679,83"</f>
        <v>$ 22679,83</v>
      </c>
      <c r="G788" t="str">
        <f>"$ 22679,83"</f>
        <v>$ 22679,83</v>
      </c>
      <c r="H788" t="str">
        <f t="shared" si="524"/>
        <v>$ 0,00</v>
      </c>
      <c r="I788" t="str">
        <f t="shared" si="512"/>
        <v>JUEGO COJINETES BANCADA</v>
      </c>
      <c r="J788" t="str">
        <f t="shared" si="525"/>
        <v>1</v>
      </c>
      <c r="K788" t="str">
        <f t="shared" si="509"/>
        <v>0</v>
      </c>
      <c r="L788" t="str">
        <f>"8,000"</f>
        <v>8,000</v>
      </c>
      <c r="M788" t="str">
        <f t="shared" si="526"/>
        <v xml:space="preserve"> </v>
      </c>
      <c r="N788" t="str">
        <f t="shared" si="513"/>
        <v>MPSI</v>
      </c>
      <c r="O788" t="str">
        <f t="shared" si="514"/>
        <v>COJINETES</v>
      </c>
      <c r="P788" t="str">
        <f t="shared" si="544"/>
        <v>0</v>
      </c>
      <c r="Q788" t="str">
        <f t="shared" si="544"/>
        <v>0</v>
      </c>
      <c r="R788" t="str">
        <f t="shared" si="545"/>
        <v>0,00</v>
      </c>
      <c r="S788" t="str">
        <f t="shared" si="545"/>
        <v>0,00</v>
      </c>
      <c r="T788" t="str">
        <f t="shared" si="546"/>
        <v xml:space="preserve"> </v>
      </c>
      <c r="U788" t="str">
        <f t="shared" si="543"/>
        <v>-</v>
      </c>
      <c r="V788" t="str">
        <f>"8,000"</f>
        <v>8,000</v>
      </c>
      <c r="W788" t="str">
        <f t="shared" si="527"/>
        <v>Lista 4</v>
      </c>
      <c r="X788" t="str">
        <f t="shared" si="528"/>
        <v>Lista 5</v>
      </c>
      <c r="Y788" t="str">
        <f t="shared" si="529"/>
        <v>Oferta Gral.</v>
      </c>
      <c r="Z788" t="str">
        <f t="shared" si="530"/>
        <v>Rubro</v>
      </c>
      <c r="AA788" t="str">
        <f t="shared" si="531"/>
        <v>Cantidad por Bulto</v>
      </c>
      <c r="AB788" t="str">
        <f t="shared" si="532"/>
        <v>INNER</v>
      </c>
      <c r="AC788" t="str">
        <f t="shared" si="533"/>
        <v>Stock en Bultos</v>
      </c>
      <c r="AD788" t="str">
        <f t="shared" si="534"/>
        <v>SubDepósito</v>
      </c>
      <c r="AE788" t="str">
        <f t="shared" si="535"/>
        <v>Marca</v>
      </c>
      <c r="AF788" t="str">
        <f t="shared" si="536"/>
        <v>Super Rubro</v>
      </c>
      <c r="AG788" t="str">
        <f t="shared" si="537"/>
        <v>ComercioExterior</v>
      </c>
      <c r="AH788" t="str">
        <f t="shared" si="538"/>
        <v>PrecioFOB</v>
      </c>
      <c r="AI788" t="str">
        <f t="shared" si="539"/>
        <v>Monto II</v>
      </c>
      <c r="AJ788" t="str">
        <f t="shared" si="540"/>
        <v>Porcentaje II</v>
      </c>
      <c r="AK788" t="str">
        <f t="shared" si="541"/>
        <v>Foto</v>
      </c>
      <c r="AL788" t="str">
        <f t="shared" si="542"/>
        <v xml:space="preserve"> </v>
      </c>
      <c r="AM788" t="str">
        <f t="shared" si="519"/>
        <v xml:space="preserve"> </v>
      </c>
    </row>
    <row r="789" spans="1:39" x14ac:dyDescent="0.25">
      <c r="A789" t="str">
        <f>"BA388 20"</f>
        <v>BA388 20</v>
      </c>
      <c r="B789" t="str">
        <f>"COJINETES BANCADA 0,50 PERKINS 6-305"</f>
        <v>COJINETES BANCADA 0,50 PERKINS 6-305</v>
      </c>
      <c r="C789" t="str">
        <f>"$ 42984,19"</f>
        <v>$ 42984,19</v>
      </c>
      <c r="D789" t="str">
        <f>"$ 42984,19"</f>
        <v>$ 42984,19</v>
      </c>
      <c r="E789" t="str">
        <f>"$ 42984,19"</f>
        <v>$ 42984,19</v>
      </c>
      <c r="F789" t="str">
        <f>"$ 42984,19"</f>
        <v>$ 42984,19</v>
      </c>
      <c r="G789" t="str">
        <f>"$ 42984,19"</f>
        <v>$ 42984,19</v>
      </c>
      <c r="H789" t="str">
        <f t="shared" si="524"/>
        <v>$ 0,00</v>
      </c>
      <c r="I789" t="str">
        <f t="shared" si="512"/>
        <v>JUEGO COJINETES BANCADA</v>
      </c>
      <c r="J789" t="str">
        <f t="shared" si="525"/>
        <v>1</v>
      </c>
      <c r="K789" t="str">
        <f t="shared" si="509"/>
        <v>0</v>
      </c>
      <c r="L789" t="str">
        <f>"3,000"</f>
        <v>3,000</v>
      </c>
      <c r="M789" t="str">
        <f t="shared" si="526"/>
        <v xml:space="preserve"> </v>
      </c>
      <c r="N789" t="str">
        <f t="shared" si="513"/>
        <v>MPSI</v>
      </c>
      <c r="O789" t="str">
        <f t="shared" si="514"/>
        <v>COJINETES</v>
      </c>
      <c r="P789" t="str">
        <f t="shared" si="544"/>
        <v>0</v>
      </c>
      <c r="Q789" t="str">
        <f t="shared" si="544"/>
        <v>0</v>
      </c>
      <c r="R789" t="str">
        <f t="shared" si="545"/>
        <v>0,00</v>
      </c>
      <c r="S789" t="str">
        <f t="shared" si="545"/>
        <v>0,00</v>
      </c>
      <c r="T789" t="str">
        <f t="shared" si="546"/>
        <v xml:space="preserve"> </v>
      </c>
      <c r="U789" t="str">
        <f t="shared" si="543"/>
        <v>-</v>
      </c>
      <c r="V789" t="str">
        <f>"3,000"</f>
        <v>3,000</v>
      </c>
      <c r="W789" t="str">
        <f t="shared" si="527"/>
        <v>Lista 4</v>
      </c>
      <c r="X789" t="str">
        <f t="shared" si="528"/>
        <v>Lista 5</v>
      </c>
      <c r="Y789" t="str">
        <f t="shared" si="529"/>
        <v>Oferta Gral.</v>
      </c>
      <c r="Z789" t="str">
        <f t="shared" si="530"/>
        <v>Rubro</v>
      </c>
      <c r="AA789" t="str">
        <f t="shared" si="531"/>
        <v>Cantidad por Bulto</v>
      </c>
      <c r="AB789" t="str">
        <f t="shared" si="532"/>
        <v>INNER</v>
      </c>
      <c r="AC789" t="str">
        <f t="shared" si="533"/>
        <v>Stock en Bultos</v>
      </c>
      <c r="AD789" t="str">
        <f t="shared" si="534"/>
        <v>SubDepósito</v>
      </c>
      <c r="AE789" t="str">
        <f t="shared" si="535"/>
        <v>Marca</v>
      </c>
      <c r="AF789" t="str">
        <f t="shared" si="536"/>
        <v>Super Rubro</v>
      </c>
      <c r="AG789" t="str">
        <f t="shared" si="537"/>
        <v>ComercioExterior</v>
      </c>
      <c r="AH789" t="str">
        <f t="shared" si="538"/>
        <v>PrecioFOB</v>
      </c>
      <c r="AI789" t="str">
        <f t="shared" si="539"/>
        <v>Monto II</v>
      </c>
      <c r="AJ789" t="str">
        <f t="shared" si="540"/>
        <v>Porcentaje II</v>
      </c>
      <c r="AK789" t="str">
        <f t="shared" si="541"/>
        <v>Foto</v>
      </c>
      <c r="AL789" t="str">
        <f>"{\rtf1\ansi\ansicpg1252\deff0\deflang2058{\fonttbl{\f0\fnil\fcharset0 MS Sans Serif}} \viewkind4\uc1\pard\f0\fs16 COJINETES BANCADA 0,50 PERKINS 6-305\par } "</f>
        <v xml:space="preserve">{\rtf1\ansi\ansicpg1252\deff0\deflang2058{\fonttbl{\f0\fnil\fcharset0 MS Sans Serif}} \viewkind4\uc1\pard\f0\fs16 COJINETES BANCADA 0,50 PERKINS 6-305\par } </v>
      </c>
      <c r="AM789" t="str">
        <f t="shared" si="519"/>
        <v xml:space="preserve"> </v>
      </c>
    </row>
    <row r="790" spans="1:39" x14ac:dyDescent="0.25">
      <c r="A790" t="str">
        <f>"BA392 20"</f>
        <v>BA392 20</v>
      </c>
      <c r="B790" t="str">
        <f>"COJINETES BANCADA 0,50 PERKINS 6-354 FASE 2"</f>
        <v>COJINETES BANCADA 0,50 PERKINS 6-354 FASE 2</v>
      </c>
      <c r="C790" t="str">
        <f>"$ 58122,03"</f>
        <v>$ 58122,03</v>
      </c>
      <c r="D790" t="str">
        <f>"$ 58122,03"</f>
        <v>$ 58122,03</v>
      </c>
      <c r="E790" t="str">
        <f>"$ 58122,03"</f>
        <v>$ 58122,03</v>
      </c>
      <c r="F790" t="str">
        <f>"$ 58122,03"</f>
        <v>$ 58122,03</v>
      </c>
      <c r="G790" t="str">
        <f>"$ 58122,03"</f>
        <v>$ 58122,03</v>
      </c>
      <c r="H790" t="str">
        <f t="shared" si="524"/>
        <v>$ 0,00</v>
      </c>
      <c r="I790" t="str">
        <f t="shared" si="512"/>
        <v>JUEGO COJINETES BANCADA</v>
      </c>
      <c r="J790" t="str">
        <f t="shared" si="525"/>
        <v>1</v>
      </c>
      <c r="K790" t="str">
        <f t="shared" si="509"/>
        <v>0</v>
      </c>
      <c r="L790" t="str">
        <f>"2,000"</f>
        <v>2,000</v>
      </c>
      <c r="M790" t="str">
        <f t="shared" si="526"/>
        <v xml:space="preserve"> </v>
      </c>
      <c r="N790" t="str">
        <f t="shared" si="513"/>
        <v>MPSI</v>
      </c>
      <c r="O790" t="str">
        <f t="shared" si="514"/>
        <v>COJINETES</v>
      </c>
      <c r="P790" t="str">
        <f t="shared" si="544"/>
        <v>0</v>
      </c>
      <c r="Q790" t="str">
        <f t="shared" si="544"/>
        <v>0</v>
      </c>
      <c r="R790" t="str">
        <f t="shared" si="545"/>
        <v>0,00</v>
      </c>
      <c r="S790" t="str">
        <f t="shared" si="545"/>
        <v>0,00</v>
      </c>
      <c r="T790" t="str">
        <f t="shared" si="546"/>
        <v xml:space="preserve"> </v>
      </c>
      <c r="U790" t="str">
        <f t="shared" si="543"/>
        <v>-</v>
      </c>
      <c r="V790" t="str">
        <f>"2,000"</f>
        <v>2,000</v>
      </c>
      <c r="W790" t="str">
        <f t="shared" si="527"/>
        <v>Lista 4</v>
      </c>
      <c r="X790" t="str">
        <f t="shared" si="528"/>
        <v>Lista 5</v>
      </c>
      <c r="Y790" t="str">
        <f t="shared" si="529"/>
        <v>Oferta Gral.</v>
      </c>
      <c r="Z790" t="str">
        <f t="shared" si="530"/>
        <v>Rubro</v>
      </c>
      <c r="AA790" t="str">
        <f t="shared" si="531"/>
        <v>Cantidad por Bulto</v>
      </c>
      <c r="AB790" t="str">
        <f t="shared" si="532"/>
        <v>INNER</v>
      </c>
      <c r="AC790" t="str">
        <f t="shared" si="533"/>
        <v>Stock en Bultos</v>
      </c>
      <c r="AD790" t="str">
        <f t="shared" si="534"/>
        <v>SubDepósito</v>
      </c>
      <c r="AE790" t="str">
        <f t="shared" si="535"/>
        <v>Marca</v>
      </c>
      <c r="AF790" t="str">
        <f t="shared" si="536"/>
        <v>Super Rubro</v>
      </c>
      <c r="AG790" t="str">
        <f t="shared" si="537"/>
        <v>ComercioExterior</v>
      </c>
      <c r="AH790" t="str">
        <f t="shared" si="538"/>
        <v>PrecioFOB</v>
      </c>
      <c r="AI790" t="str">
        <f t="shared" si="539"/>
        <v>Monto II</v>
      </c>
      <c r="AJ790" t="str">
        <f t="shared" si="540"/>
        <v>Porcentaje II</v>
      </c>
      <c r="AK790" t="str">
        <f t="shared" si="541"/>
        <v>Foto</v>
      </c>
      <c r="AL790" t="str">
        <f t="shared" ref="AL790:AL795" si="547">" "</f>
        <v xml:space="preserve"> </v>
      </c>
      <c r="AM790" t="str">
        <f t="shared" si="519"/>
        <v xml:space="preserve"> </v>
      </c>
    </row>
    <row r="791" spans="1:39" x14ac:dyDescent="0.25">
      <c r="A791" t="str">
        <f>"BA735 20"</f>
        <v>BA735 20</v>
      </c>
      <c r="B791" t="str">
        <f>"COJINETES BANCADA 0,50 PEUGEOT 205 206 1.4 TU3"</f>
        <v>COJINETES BANCADA 0,50 PEUGEOT 205 206 1.4 TU3</v>
      </c>
      <c r="C791" t="str">
        <f>"$ 16294,66"</f>
        <v>$ 16294,66</v>
      </c>
      <c r="D791" t="str">
        <f>"$ 16294,66"</f>
        <v>$ 16294,66</v>
      </c>
      <c r="E791" t="str">
        <f>"$ 16294,66"</f>
        <v>$ 16294,66</v>
      </c>
      <c r="F791" t="str">
        <f>"$ 16294,66"</f>
        <v>$ 16294,66</v>
      </c>
      <c r="G791" t="str">
        <f>"$ 16294,66"</f>
        <v>$ 16294,66</v>
      </c>
      <c r="H791" t="str">
        <f t="shared" si="524"/>
        <v>$ 0,00</v>
      </c>
      <c r="I791" t="str">
        <f t="shared" si="512"/>
        <v>JUEGO COJINETES BANCADA</v>
      </c>
      <c r="J791" t="str">
        <f t="shared" si="525"/>
        <v>1</v>
      </c>
      <c r="K791" t="str">
        <f t="shared" ref="K791:K854" si="548">"0"</f>
        <v>0</v>
      </c>
      <c r="L791" t="str">
        <f>"9,000"</f>
        <v>9,000</v>
      </c>
      <c r="M791" t="str">
        <f t="shared" si="526"/>
        <v xml:space="preserve"> </v>
      </c>
      <c r="N791" t="str">
        <f t="shared" si="513"/>
        <v>MPSI</v>
      </c>
      <c r="O791" t="str">
        <f t="shared" si="514"/>
        <v>COJINETES</v>
      </c>
      <c r="P791" t="str">
        <f t="shared" si="544"/>
        <v>0</v>
      </c>
      <c r="Q791" t="str">
        <f t="shared" si="544"/>
        <v>0</v>
      </c>
      <c r="R791" t="str">
        <f t="shared" si="545"/>
        <v>0,00</v>
      </c>
      <c r="S791" t="str">
        <f t="shared" si="545"/>
        <v>0,00</v>
      </c>
      <c r="T791" t="str">
        <f t="shared" si="546"/>
        <v xml:space="preserve"> </v>
      </c>
      <c r="U791" t="str">
        <f t="shared" si="543"/>
        <v>-</v>
      </c>
      <c r="V791" t="str">
        <f>"9,000"</f>
        <v>9,000</v>
      </c>
      <c r="W791" t="str">
        <f t="shared" si="527"/>
        <v>Lista 4</v>
      </c>
      <c r="X791" t="str">
        <f t="shared" si="528"/>
        <v>Lista 5</v>
      </c>
      <c r="Y791" t="str">
        <f t="shared" si="529"/>
        <v>Oferta Gral.</v>
      </c>
      <c r="Z791" t="str">
        <f t="shared" si="530"/>
        <v>Rubro</v>
      </c>
      <c r="AA791" t="str">
        <f t="shared" si="531"/>
        <v>Cantidad por Bulto</v>
      </c>
      <c r="AB791" t="str">
        <f t="shared" si="532"/>
        <v>INNER</v>
      </c>
      <c r="AC791" t="str">
        <f t="shared" si="533"/>
        <v>Stock en Bultos</v>
      </c>
      <c r="AD791" t="str">
        <f t="shared" si="534"/>
        <v>SubDepósito</v>
      </c>
      <c r="AE791" t="str">
        <f t="shared" si="535"/>
        <v>Marca</v>
      </c>
      <c r="AF791" t="str">
        <f t="shared" si="536"/>
        <v>Super Rubro</v>
      </c>
      <c r="AG791" t="str">
        <f t="shared" si="537"/>
        <v>ComercioExterior</v>
      </c>
      <c r="AH791" t="str">
        <f t="shared" si="538"/>
        <v>PrecioFOB</v>
      </c>
      <c r="AI791" t="str">
        <f t="shared" si="539"/>
        <v>Monto II</v>
      </c>
      <c r="AJ791" t="str">
        <f t="shared" si="540"/>
        <v>Porcentaje II</v>
      </c>
      <c r="AK791" t="str">
        <f t="shared" si="541"/>
        <v>Foto</v>
      </c>
      <c r="AL791" t="str">
        <f t="shared" si="547"/>
        <v xml:space="preserve"> </v>
      </c>
      <c r="AM791" t="str">
        <f t="shared" si="519"/>
        <v xml:space="preserve"> </v>
      </c>
    </row>
    <row r="792" spans="1:39" x14ac:dyDescent="0.25">
      <c r="A792" t="str">
        <f>"BA734 20"</f>
        <v>BA734 20</v>
      </c>
      <c r="B792" t="str">
        <f>"COJINETES BANCADA 0,50 PEUGEOT 306 405 PARTNER 1.9 XUD9 XUDT9"</f>
        <v>COJINETES BANCADA 0,50 PEUGEOT 306 405 PARTNER 1.9 XUD9 XUDT9</v>
      </c>
      <c r="C792" t="str">
        <f>"$ 20029,54"</f>
        <v>$ 20029,54</v>
      </c>
      <c r="D792" t="str">
        <f>"$ 20029,54"</f>
        <v>$ 20029,54</v>
      </c>
      <c r="E792" t="str">
        <f>"$ 20029,54"</f>
        <v>$ 20029,54</v>
      </c>
      <c r="F792" t="str">
        <f>"$ 20029,54"</f>
        <v>$ 20029,54</v>
      </c>
      <c r="G792" t="str">
        <f>"$ 20029,54"</f>
        <v>$ 20029,54</v>
      </c>
      <c r="H792" t="str">
        <f t="shared" si="524"/>
        <v>$ 0,00</v>
      </c>
      <c r="I792" t="str">
        <f t="shared" si="512"/>
        <v>JUEGO COJINETES BANCADA</v>
      </c>
      <c r="J792" t="str">
        <f t="shared" si="525"/>
        <v>1</v>
      </c>
      <c r="K792" t="str">
        <f t="shared" si="548"/>
        <v>0</v>
      </c>
      <c r="L792" t="str">
        <f>"10,000"</f>
        <v>10,000</v>
      </c>
      <c r="M792" t="str">
        <f t="shared" si="526"/>
        <v xml:space="preserve"> </v>
      </c>
      <c r="N792" t="str">
        <f t="shared" si="513"/>
        <v>MPSI</v>
      </c>
      <c r="O792" t="str">
        <f t="shared" si="514"/>
        <v>COJINETES</v>
      </c>
      <c r="P792" t="str">
        <f t="shared" si="544"/>
        <v>0</v>
      </c>
      <c r="Q792" t="str">
        <f t="shared" si="544"/>
        <v>0</v>
      </c>
      <c r="R792" t="str">
        <f t="shared" si="545"/>
        <v>0,00</v>
      </c>
      <c r="S792" t="str">
        <f t="shared" si="545"/>
        <v>0,00</v>
      </c>
      <c r="T792" t="str">
        <f t="shared" si="546"/>
        <v xml:space="preserve"> </v>
      </c>
      <c r="U792" t="str">
        <f t="shared" si="543"/>
        <v>-</v>
      </c>
      <c r="V792" t="str">
        <f>"10,000"</f>
        <v>10,000</v>
      </c>
      <c r="W792" t="str">
        <f t="shared" si="527"/>
        <v>Lista 4</v>
      </c>
      <c r="X792" t="str">
        <f t="shared" si="528"/>
        <v>Lista 5</v>
      </c>
      <c r="Y792" t="str">
        <f t="shared" si="529"/>
        <v>Oferta Gral.</v>
      </c>
      <c r="Z792" t="str">
        <f t="shared" si="530"/>
        <v>Rubro</v>
      </c>
      <c r="AA792" t="str">
        <f t="shared" si="531"/>
        <v>Cantidad por Bulto</v>
      </c>
      <c r="AB792" t="str">
        <f t="shared" si="532"/>
        <v>INNER</v>
      </c>
      <c r="AC792" t="str">
        <f t="shared" si="533"/>
        <v>Stock en Bultos</v>
      </c>
      <c r="AD792" t="str">
        <f t="shared" si="534"/>
        <v>SubDepósito</v>
      </c>
      <c r="AE792" t="str">
        <f t="shared" si="535"/>
        <v>Marca</v>
      </c>
      <c r="AF792" t="str">
        <f t="shared" si="536"/>
        <v>Super Rubro</v>
      </c>
      <c r="AG792" t="str">
        <f t="shared" si="537"/>
        <v>ComercioExterior</v>
      </c>
      <c r="AH792" t="str">
        <f t="shared" si="538"/>
        <v>PrecioFOB</v>
      </c>
      <c r="AI792" t="str">
        <f t="shared" si="539"/>
        <v>Monto II</v>
      </c>
      <c r="AJ792" t="str">
        <f t="shared" si="540"/>
        <v>Porcentaje II</v>
      </c>
      <c r="AK792" t="str">
        <f t="shared" si="541"/>
        <v>Foto</v>
      </c>
      <c r="AL792" t="str">
        <f t="shared" si="547"/>
        <v xml:space="preserve"> </v>
      </c>
      <c r="AM792" t="str">
        <f t="shared" si="519"/>
        <v xml:space="preserve"> </v>
      </c>
    </row>
    <row r="793" spans="1:39" x14ac:dyDescent="0.25">
      <c r="A793" t="str">
        <f>"BA732 20"</f>
        <v>BA732 20</v>
      </c>
      <c r="B793" t="str">
        <f>"COJINETES BANCADA 0,50 PEUGEOT 307 406 2.0 EW10J4 XU7 2 AGUJ"</f>
        <v>COJINETES BANCADA 0,50 PEUGEOT 307 406 2.0 EW10J4 XU7 2 AGUJ</v>
      </c>
      <c r="C793" t="str">
        <f>"$ 22381,90"</f>
        <v>$ 22381,90</v>
      </c>
      <c r="D793" t="str">
        <f>"$ 22381,90"</f>
        <v>$ 22381,90</v>
      </c>
      <c r="E793" t="str">
        <f>"$ 22381,90"</f>
        <v>$ 22381,90</v>
      </c>
      <c r="F793" t="str">
        <f>"$ 22381,90"</f>
        <v>$ 22381,90</v>
      </c>
      <c r="G793" t="str">
        <f>"$ 22381,90"</f>
        <v>$ 22381,90</v>
      </c>
      <c r="H793" t="str">
        <f t="shared" si="524"/>
        <v>$ 0,00</v>
      </c>
      <c r="I793" t="str">
        <f t="shared" si="512"/>
        <v>JUEGO COJINETES BANCADA</v>
      </c>
      <c r="J793" t="str">
        <f t="shared" si="525"/>
        <v>1</v>
      </c>
      <c r="K793" t="str">
        <f t="shared" si="548"/>
        <v>0</v>
      </c>
      <c r="L793" t="str">
        <f>"1,000"</f>
        <v>1,000</v>
      </c>
      <c r="M793" t="str">
        <f t="shared" si="526"/>
        <v xml:space="preserve"> </v>
      </c>
      <c r="N793" t="str">
        <f t="shared" si="513"/>
        <v>MPSI</v>
      </c>
      <c r="O793" t="str">
        <f t="shared" si="514"/>
        <v>COJINETES</v>
      </c>
      <c r="P793" t="str">
        <f t="shared" si="544"/>
        <v>0</v>
      </c>
      <c r="Q793" t="str">
        <f t="shared" si="544"/>
        <v>0</v>
      </c>
      <c r="R793" t="str">
        <f t="shared" si="545"/>
        <v>0,00</v>
      </c>
      <c r="S793" t="str">
        <f t="shared" si="545"/>
        <v>0,00</v>
      </c>
      <c r="T793" t="str">
        <f t="shared" si="546"/>
        <v xml:space="preserve"> </v>
      </c>
      <c r="U793" t="str">
        <f t="shared" si="543"/>
        <v>-</v>
      </c>
      <c r="V793" t="str">
        <f>"1,000"</f>
        <v>1,000</v>
      </c>
      <c r="W793" t="str">
        <f t="shared" si="527"/>
        <v>Lista 4</v>
      </c>
      <c r="X793" t="str">
        <f t="shared" si="528"/>
        <v>Lista 5</v>
      </c>
      <c r="Y793" t="str">
        <f t="shared" si="529"/>
        <v>Oferta Gral.</v>
      </c>
      <c r="Z793" t="str">
        <f t="shared" si="530"/>
        <v>Rubro</v>
      </c>
      <c r="AA793" t="str">
        <f t="shared" si="531"/>
        <v>Cantidad por Bulto</v>
      </c>
      <c r="AB793" t="str">
        <f t="shared" si="532"/>
        <v>INNER</v>
      </c>
      <c r="AC793" t="str">
        <f t="shared" si="533"/>
        <v>Stock en Bultos</v>
      </c>
      <c r="AD793" t="str">
        <f t="shared" si="534"/>
        <v>SubDepósito</v>
      </c>
      <c r="AE793" t="str">
        <f t="shared" si="535"/>
        <v>Marca</v>
      </c>
      <c r="AF793" t="str">
        <f t="shared" si="536"/>
        <v>Super Rubro</v>
      </c>
      <c r="AG793" t="str">
        <f t="shared" si="537"/>
        <v>ComercioExterior</v>
      </c>
      <c r="AH793" t="str">
        <f t="shared" si="538"/>
        <v>PrecioFOB</v>
      </c>
      <c r="AI793" t="str">
        <f t="shared" si="539"/>
        <v>Monto II</v>
      </c>
      <c r="AJ793" t="str">
        <f t="shared" si="540"/>
        <v>Porcentaje II</v>
      </c>
      <c r="AK793" t="str">
        <f t="shared" si="541"/>
        <v>Foto</v>
      </c>
      <c r="AL793" t="str">
        <f t="shared" si="547"/>
        <v xml:space="preserve"> </v>
      </c>
      <c r="AM793" t="str">
        <f t="shared" si="519"/>
        <v xml:space="preserve"> </v>
      </c>
    </row>
    <row r="794" spans="1:39" x14ac:dyDescent="0.25">
      <c r="A794" t="str">
        <f>"BA417 20"</f>
        <v>BA417 20</v>
      </c>
      <c r="B794" t="str">
        <f>"COJINETES BANCADA 0,50 PEUGEOT 307 406 MOTOR 2.0 EW10J4 XU7"</f>
        <v>COJINETES BANCADA 0,50 PEUGEOT 307 406 MOTOR 2.0 EW10J4 XU7</v>
      </c>
      <c r="C794" t="str">
        <f>"$ 22754,31"</f>
        <v>$ 22754,31</v>
      </c>
      <c r="D794" t="str">
        <f>"$ 22754,31"</f>
        <v>$ 22754,31</v>
      </c>
      <c r="E794" t="str">
        <f>"$ 22754,31"</f>
        <v>$ 22754,31</v>
      </c>
      <c r="F794" t="str">
        <f>"$ 22754,31"</f>
        <v>$ 22754,31</v>
      </c>
      <c r="G794" t="str">
        <f>"$ 22754,31"</f>
        <v>$ 22754,31</v>
      </c>
      <c r="H794" t="str">
        <f t="shared" si="524"/>
        <v>$ 0,00</v>
      </c>
      <c r="I794" t="str">
        <f t="shared" si="512"/>
        <v>JUEGO COJINETES BANCADA</v>
      </c>
      <c r="J794" t="str">
        <f t="shared" si="525"/>
        <v>1</v>
      </c>
      <c r="K794" t="str">
        <f t="shared" si="548"/>
        <v>0</v>
      </c>
      <c r="L794" t="str">
        <f>"4,000"</f>
        <v>4,000</v>
      </c>
      <c r="M794" t="str">
        <f t="shared" si="526"/>
        <v xml:space="preserve"> </v>
      </c>
      <c r="N794" t="str">
        <f t="shared" si="513"/>
        <v>MPSI</v>
      </c>
      <c r="O794" t="str">
        <f t="shared" si="514"/>
        <v>COJINETES</v>
      </c>
      <c r="P794" t="str">
        <f t="shared" si="544"/>
        <v>0</v>
      </c>
      <c r="Q794" t="str">
        <f t="shared" si="544"/>
        <v>0</v>
      </c>
      <c r="R794" t="str">
        <f t="shared" si="545"/>
        <v>0,00</v>
      </c>
      <c r="S794" t="str">
        <f t="shared" si="545"/>
        <v>0,00</v>
      </c>
      <c r="T794" t="str">
        <f t="shared" si="546"/>
        <v xml:space="preserve"> </v>
      </c>
      <c r="U794" t="str">
        <f t="shared" si="543"/>
        <v>-</v>
      </c>
      <c r="V794" t="str">
        <f>"4,000"</f>
        <v>4,000</v>
      </c>
      <c r="W794" t="str">
        <f t="shared" si="527"/>
        <v>Lista 4</v>
      </c>
      <c r="X794" t="str">
        <f t="shared" si="528"/>
        <v>Lista 5</v>
      </c>
      <c r="Y794" t="str">
        <f t="shared" si="529"/>
        <v>Oferta Gral.</v>
      </c>
      <c r="Z794" t="str">
        <f t="shared" si="530"/>
        <v>Rubro</v>
      </c>
      <c r="AA794" t="str">
        <f t="shared" si="531"/>
        <v>Cantidad por Bulto</v>
      </c>
      <c r="AB794" t="str">
        <f t="shared" si="532"/>
        <v>INNER</v>
      </c>
      <c r="AC794" t="str">
        <f t="shared" si="533"/>
        <v>Stock en Bultos</v>
      </c>
      <c r="AD794" t="str">
        <f t="shared" si="534"/>
        <v>SubDepósito</v>
      </c>
      <c r="AE794" t="str">
        <f t="shared" si="535"/>
        <v>Marca</v>
      </c>
      <c r="AF794" t="str">
        <f t="shared" si="536"/>
        <v>Super Rubro</v>
      </c>
      <c r="AG794" t="str">
        <f t="shared" si="537"/>
        <v>ComercioExterior</v>
      </c>
      <c r="AH794" t="str">
        <f t="shared" si="538"/>
        <v>PrecioFOB</v>
      </c>
      <c r="AI794" t="str">
        <f t="shared" si="539"/>
        <v>Monto II</v>
      </c>
      <c r="AJ794" t="str">
        <f t="shared" si="540"/>
        <v>Porcentaje II</v>
      </c>
      <c r="AK794" t="str">
        <f t="shared" si="541"/>
        <v>Foto</v>
      </c>
      <c r="AL794" t="str">
        <f t="shared" si="547"/>
        <v xml:space="preserve"> </v>
      </c>
      <c r="AM794" t="str">
        <f t="shared" si="519"/>
        <v xml:space="preserve"> </v>
      </c>
    </row>
    <row r="795" spans="1:39" x14ac:dyDescent="0.25">
      <c r="A795" t="str">
        <f>"BA678 20"</f>
        <v>BA678 20</v>
      </c>
      <c r="B795" t="str">
        <f>"COJINETES BANCADA 0,50 PEUGEOT 307 CITROEN C4 1.6 16V TU5JP4"</f>
        <v>COJINETES BANCADA 0,50 PEUGEOT 307 CITROEN C4 1.6 16V TU5JP4</v>
      </c>
      <c r="C795" t="str">
        <f>"$ 18304,00"</f>
        <v>$ 18304,00</v>
      </c>
      <c r="D795" t="str">
        <f>"$ 18304,00"</f>
        <v>$ 18304,00</v>
      </c>
      <c r="E795" t="str">
        <f>"$ 18304,00"</f>
        <v>$ 18304,00</v>
      </c>
      <c r="F795" t="str">
        <f>"$ 18304,00"</f>
        <v>$ 18304,00</v>
      </c>
      <c r="G795" t="str">
        <f>"$ 18304,00"</f>
        <v>$ 18304,00</v>
      </c>
      <c r="H795" t="str">
        <f t="shared" si="524"/>
        <v>$ 0,00</v>
      </c>
      <c r="I795" t="str">
        <f t="shared" si="512"/>
        <v>JUEGO COJINETES BANCADA</v>
      </c>
      <c r="J795" t="str">
        <f t="shared" si="525"/>
        <v>1</v>
      </c>
      <c r="K795" t="str">
        <f t="shared" si="548"/>
        <v>0</v>
      </c>
      <c r="L795" t="str">
        <f>"9,000"</f>
        <v>9,000</v>
      </c>
      <c r="M795" t="str">
        <f t="shared" si="526"/>
        <v xml:space="preserve"> </v>
      </c>
      <c r="N795" t="str">
        <f t="shared" si="513"/>
        <v>MPSI</v>
      </c>
      <c r="O795" t="str">
        <f t="shared" si="514"/>
        <v>COJINETES</v>
      </c>
      <c r="P795" t="str">
        <f t="shared" si="544"/>
        <v>0</v>
      </c>
      <c r="Q795" t="str">
        <f t="shared" si="544"/>
        <v>0</v>
      </c>
      <c r="R795" t="str">
        <f t="shared" si="545"/>
        <v>0,00</v>
      </c>
      <c r="S795" t="str">
        <f t="shared" si="545"/>
        <v>0,00</v>
      </c>
      <c r="T795" t="str">
        <f t="shared" si="546"/>
        <v xml:space="preserve"> </v>
      </c>
      <c r="U795" t="str">
        <f t="shared" si="543"/>
        <v>-</v>
      </c>
      <c r="V795" t="str">
        <f>"9,000"</f>
        <v>9,000</v>
      </c>
      <c r="W795" t="str">
        <f t="shared" si="527"/>
        <v>Lista 4</v>
      </c>
      <c r="X795" t="str">
        <f t="shared" si="528"/>
        <v>Lista 5</v>
      </c>
      <c r="Y795" t="str">
        <f t="shared" si="529"/>
        <v>Oferta Gral.</v>
      </c>
      <c r="Z795" t="str">
        <f t="shared" si="530"/>
        <v>Rubro</v>
      </c>
      <c r="AA795" t="str">
        <f t="shared" si="531"/>
        <v>Cantidad por Bulto</v>
      </c>
      <c r="AB795" t="str">
        <f t="shared" si="532"/>
        <v>INNER</v>
      </c>
      <c r="AC795" t="str">
        <f t="shared" si="533"/>
        <v>Stock en Bultos</v>
      </c>
      <c r="AD795" t="str">
        <f t="shared" si="534"/>
        <v>SubDepósito</v>
      </c>
      <c r="AE795" t="str">
        <f t="shared" si="535"/>
        <v>Marca</v>
      </c>
      <c r="AF795" t="str">
        <f t="shared" si="536"/>
        <v>Super Rubro</v>
      </c>
      <c r="AG795" t="str">
        <f t="shared" si="537"/>
        <v>ComercioExterior</v>
      </c>
      <c r="AH795" t="str">
        <f t="shared" si="538"/>
        <v>PrecioFOB</v>
      </c>
      <c r="AI795" t="str">
        <f t="shared" si="539"/>
        <v>Monto II</v>
      </c>
      <c r="AJ795" t="str">
        <f t="shared" si="540"/>
        <v>Porcentaje II</v>
      </c>
      <c r="AK795" t="str">
        <f t="shared" si="541"/>
        <v>Foto</v>
      </c>
      <c r="AL795" t="str">
        <f t="shared" si="547"/>
        <v xml:space="preserve"> </v>
      </c>
      <c r="AM795" t="str">
        <f t="shared" si="519"/>
        <v xml:space="preserve"> </v>
      </c>
    </row>
    <row r="796" spans="1:39" x14ac:dyDescent="0.25">
      <c r="A796" t="str">
        <f>"BA411 20"</f>
        <v>BA411 20</v>
      </c>
      <c r="B796" t="str">
        <f>"COJINETES BANCADA 0,50 PEUGEOT 404 1600  FM 4432M"</f>
        <v>COJINETES BANCADA 0,50 PEUGEOT 404 1600  FM 4432M</v>
      </c>
      <c r="C796" t="str">
        <f>"$ 49903,07"</f>
        <v>$ 49903,07</v>
      </c>
      <c r="D796" t="str">
        <f>"$ 49903,07"</f>
        <v>$ 49903,07</v>
      </c>
      <c r="E796" t="str">
        <f>"$ 49903,07"</f>
        <v>$ 49903,07</v>
      </c>
      <c r="F796" t="str">
        <f>"$ 49903,07"</f>
        <v>$ 49903,07</v>
      </c>
      <c r="G796" t="str">
        <f>"$ 49903,07"</f>
        <v>$ 49903,07</v>
      </c>
      <c r="H796" t="str">
        <f t="shared" si="524"/>
        <v>$ 0,00</v>
      </c>
      <c r="I796" t="str">
        <f t="shared" si="512"/>
        <v>JUEGO COJINETES BANCADA</v>
      </c>
      <c r="J796" t="str">
        <f t="shared" si="525"/>
        <v>1</v>
      </c>
      <c r="K796" t="str">
        <f t="shared" si="548"/>
        <v>0</v>
      </c>
      <c r="L796" t="str">
        <f>"1,000"</f>
        <v>1,000</v>
      </c>
      <c r="M796" t="str">
        <f t="shared" si="526"/>
        <v xml:space="preserve"> </v>
      </c>
      <c r="N796" t="str">
        <f t="shared" si="513"/>
        <v>MPSI</v>
      </c>
      <c r="O796" t="str">
        <f t="shared" si="514"/>
        <v>COJINETES</v>
      </c>
      <c r="P796" t="str">
        <f t="shared" si="544"/>
        <v>0</v>
      </c>
      <c r="Q796" t="str">
        <f t="shared" si="544"/>
        <v>0</v>
      </c>
      <c r="R796" t="str">
        <f t="shared" si="545"/>
        <v>0,00</v>
      </c>
      <c r="S796" t="str">
        <f t="shared" si="545"/>
        <v>0,00</v>
      </c>
      <c r="T796" t="str">
        <f t="shared" si="546"/>
        <v xml:space="preserve"> </v>
      </c>
      <c r="U796" t="str">
        <f>" "</f>
        <v xml:space="preserve"> </v>
      </c>
      <c r="V796" t="str">
        <f>"1,000"</f>
        <v>1,000</v>
      </c>
      <c r="W796" t="str">
        <f t="shared" si="527"/>
        <v>Lista 4</v>
      </c>
      <c r="X796" t="str">
        <f t="shared" si="528"/>
        <v>Lista 5</v>
      </c>
      <c r="Y796" t="str">
        <f t="shared" si="529"/>
        <v>Oferta Gral.</v>
      </c>
      <c r="Z796" t="str">
        <f t="shared" si="530"/>
        <v>Rubro</v>
      </c>
      <c r="AA796" t="str">
        <f t="shared" si="531"/>
        <v>Cantidad por Bulto</v>
      </c>
      <c r="AB796" t="str">
        <f t="shared" si="532"/>
        <v>INNER</v>
      </c>
      <c r="AC796" t="str">
        <f t="shared" si="533"/>
        <v>Stock en Bultos</v>
      </c>
      <c r="AD796" t="str">
        <f t="shared" si="534"/>
        <v>SubDepósito</v>
      </c>
      <c r="AE796" t="str">
        <f t="shared" si="535"/>
        <v>Marca</v>
      </c>
      <c r="AF796" t="str">
        <f t="shared" si="536"/>
        <v>Super Rubro</v>
      </c>
      <c r="AG796" t="str">
        <f t="shared" si="537"/>
        <v>ComercioExterior</v>
      </c>
      <c r="AH796" t="str">
        <f t="shared" si="538"/>
        <v>PrecioFOB</v>
      </c>
      <c r="AI796" t="str">
        <f t="shared" si="539"/>
        <v>Monto II</v>
      </c>
      <c r="AJ796" t="str">
        <f t="shared" si="540"/>
        <v>Porcentaje II</v>
      </c>
      <c r="AK796" t="str">
        <f t="shared" si="541"/>
        <v>Foto</v>
      </c>
      <c r="AL796" t="str">
        <f>"{\rtf1\ansi\ansicpg1252\deff0\deflang11274{\fonttbl{\f0\fnil\fcharset0 MS Sans Serif}} \viewkind4\uc1\pard\f0\fs16 COJINETES BANCADA 0,50 PEUGEOT 404 1600  FM 4432M\par } "</f>
        <v xml:space="preserve">{\rtf1\ansi\ansicpg1252\deff0\deflang11274{\fonttbl{\f0\fnil\fcharset0 MS Sans Serif}} \viewkind4\uc1\pard\f0\fs16 COJINETES BANCADA 0,50 PEUGEOT 404 1600  FM 4432M\par } </v>
      </c>
      <c r="AM796" t="str">
        <f>"-"</f>
        <v>-</v>
      </c>
    </row>
    <row r="797" spans="1:39" x14ac:dyDescent="0.25">
      <c r="A797" t="str">
        <f>"BA419 20"</f>
        <v>BA419 20</v>
      </c>
      <c r="B797" t="str">
        <f>"COJINETES BANCADA 0,50 PEUGEOT 404 504 1.6 1.8 2.0"</f>
        <v>COJINETES BANCADA 0,50 PEUGEOT 404 504 1.6 1.8 2.0</v>
      </c>
      <c r="C797" t="str">
        <f>"$ 26292,22"</f>
        <v>$ 26292,22</v>
      </c>
      <c r="D797" t="str">
        <f>"$ 26292,22"</f>
        <v>$ 26292,22</v>
      </c>
      <c r="E797" t="str">
        <f>"$ 26292,22"</f>
        <v>$ 26292,22</v>
      </c>
      <c r="F797" t="str">
        <f>"$ 26292,22"</f>
        <v>$ 26292,22</v>
      </c>
      <c r="G797" t="str">
        <f>"$ 26292,22"</f>
        <v>$ 26292,22</v>
      </c>
      <c r="H797" t="str">
        <f t="shared" si="524"/>
        <v>$ 0,00</v>
      </c>
      <c r="I797" t="str">
        <f t="shared" si="512"/>
        <v>JUEGO COJINETES BANCADA</v>
      </c>
      <c r="J797" t="str">
        <f t="shared" si="525"/>
        <v>1</v>
      </c>
      <c r="K797" t="str">
        <f t="shared" si="548"/>
        <v>0</v>
      </c>
      <c r="L797" t="str">
        <f>"7,000"</f>
        <v>7,000</v>
      </c>
      <c r="M797" t="str">
        <f t="shared" si="526"/>
        <v xml:space="preserve"> </v>
      </c>
      <c r="N797" t="str">
        <f t="shared" si="513"/>
        <v>MPSI</v>
      </c>
      <c r="O797" t="str">
        <f t="shared" si="514"/>
        <v>COJINETES</v>
      </c>
      <c r="P797" t="str">
        <f t="shared" si="544"/>
        <v>0</v>
      </c>
      <c r="Q797" t="str">
        <f t="shared" si="544"/>
        <v>0</v>
      </c>
      <c r="R797" t="str">
        <f t="shared" si="545"/>
        <v>0,00</v>
      </c>
      <c r="S797" t="str">
        <f t="shared" si="545"/>
        <v>0,00</v>
      </c>
      <c r="T797" t="str">
        <f t="shared" si="546"/>
        <v xml:space="preserve"> </v>
      </c>
      <c r="U797" t="str">
        <f t="shared" ref="U797:U828" si="549">"-"</f>
        <v>-</v>
      </c>
      <c r="V797" t="str">
        <f>"7,000"</f>
        <v>7,000</v>
      </c>
      <c r="W797" t="str">
        <f t="shared" si="527"/>
        <v>Lista 4</v>
      </c>
      <c r="X797" t="str">
        <f t="shared" si="528"/>
        <v>Lista 5</v>
      </c>
      <c r="Y797" t="str">
        <f t="shared" si="529"/>
        <v>Oferta Gral.</v>
      </c>
      <c r="Z797" t="str">
        <f t="shared" si="530"/>
        <v>Rubro</v>
      </c>
      <c r="AA797" t="str">
        <f t="shared" si="531"/>
        <v>Cantidad por Bulto</v>
      </c>
      <c r="AB797" t="str">
        <f t="shared" si="532"/>
        <v>INNER</v>
      </c>
      <c r="AC797" t="str">
        <f t="shared" si="533"/>
        <v>Stock en Bultos</v>
      </c>
      <c r="AD797" t="str">
        <f t="shared" si="534"/>
        <v>SubDepósito</v>
      </c>
      <c r="AE797" t="str">
        <f t="shared" si="535"/>
        <v>Marca</v>
      </c>
      <c r="AF797" t="str">
        <f t="shared" si="536"/>
        <v>Super Rubro</v>
      </c>
      <c r="AG797" t="str">
        <f t="shared" si="537"/>
        <v>ComercioExterior</v>
      </c>
      <c r="AH797" t="str">
        <f t="shared" si="538"/>
        <v>PrecioFOB</v>
      </c>
      <c r="AI797" t="str">
        <f t="shared" si="539"/>
        <v>Monto II</v>
      </c>
      <c r="AJ797" t="str">
        <f t="shared" si="540"/>
        <v>Porcentaje II</v>
      </c>
      <c r="AK797" t="str">
        <f t="shared" si="541"/>
        <v>Foto</v>
      </c>
      <c r="AL797" t="str">
        <f t="shared" ref="AL797:AM804" si="550">" "</f>
        <v xml:space="preserve"> </v>
      </c>
      <c r="AM797" t="str">
        <f t="shared" si="550"/>
        <v xml:space="preserve"> </v>
      </c>
    </row>
    <row r="798" spans="1:39" x14ac:dyDescent="0.25">
      <c r="A798" t="str">
        <f>"BA413 20"</f>
        <v>BA413 20</v>
      </c>
      <c r="B798" t="str">
        <f>"COJINETES BANCADA 0,50 PEUGEOT 404 504 DIESEL XD 4.88"</f>
        <v>COJINETES BANCADA 0,50 PEUGEOT 404 504 DIESEL XD 4.88</v>
      </c>
      <c r="C798" t="str">
        <f>"$ 24839,81"</f>
        <v>$ 24839,81</v>
      </c>
      <c r="D798" t="str">
        <f>"$ 24839,81"</f>
        <v>$ 24839,81</v>
      </c>
      <c r="E798" t="str">
        <f>"$ 24839,81"</f>
        <v>$ 24839,81</v>
      </c>
      <c r="F798" t="str">
        <f>"$ 24839,81"</f>
        <v>$ 24839,81</v>
      </c>
      <c r="G798" t="str">
        <f>"$ 24839,81"</f>
        <v>$ 24839,81</v>
      </c>
      <c r="H798" t="str">
        <f t="shared" si="524"/>
        <v>$ 0,00</v>
      </c>
      <c r="I798" t="str">
        <f t="shared" si="512"/>
        <v>JUEGO COJINETES BANCADA</v>
      </c>
      <c r="J798" t="str">
        <f t="shared" si="525"/>
        <v>1</v>
      </c>
      <c r="K798" t="str">
        <f t="shared" si="548"/>
        <v>0</v>
      </c>
      <c r="L798" t="str">
        <f>"0,000"</f>
        <v>0,000</v>
      </c>
      <c r="M798" t="str">
        <f t="shared" si="526"/>
        <v xml:space="preserve"> </v>
      </c>
      <c r="N798" t="str">
        <f t="shared" si="513"/>
        <v>MPSI</v>
      </c>
      <c r="O798" t="str">
        <f t="shared" si="514"/>
        <v>COJINETES</v>
      </c>
      <c r="P798" t="str">
        <f t="shared" si="544"/>
        <v>0</v>
      </c>
      <c r="Q798" t="str">
        <f t="shared" si="544"/>
        <v>0</v>
      </c>
      <c r="R798" t="str">
        <f t="shared" si="545"/>
        <v>0,00</v>
      </c>
      <c r="S798" t="str">
        <f t="shared" si="545"/>
        <v>0,00</v>
      </c>
      <c r="T798" t="str">
        <f t="shared" si="546"/>
        <v xml:space="preserve"> </v>
      </c>
      <c r="U798" t="str">
        <f t="shared" si="549"/>
        <v>-</v>
      </c>
      <c r="V798" t="str">
        <f>"0,000"</f>
        <v>0,000</v>
      </c>
      <c r="W798" t="str">
        <f t="shared" si="527"/>
        <v>Lista 4</v>
      </c>
      <c r="X798" t="str">
        <f t="shared" si="528"/>
        <v>Lista 5</v>
      </c>
      <c r="Y798" t="str">
        <f t="shared" si="529"/>
        <v>Oferta Gral.</v>
      </c>
      <c r="Z798" t="str">
        <f t="shared" si="530"/>
        <v>Rubro</v>
      </c>
      <c r="AA798" t="str">
        <f t="shared" si="531"/>
        <v>Cantidad por Bulto</v>
      </c>
      <c r="AB798" t="str">
        <f t="shared" si="532"/>
        <v>INNER</v>
      </c>
      <c r="AC798" t="str">
        <f t="shared" si="533"/>
        <v>Stock en Bultos</v>
      </c>
      <c r="AD798" t="str">
        <f t="shared" si="534"/>
        <v>SubDepósito</v>
      </c>
      <c r="AE798" t="str">
        <f t="shared" si="535"/>
        <v>Marca</v>
      </c>
      <c r="AF798" t="str">
        <f t="shared" si="536"/>
        <v>Super Rubro</v>
      </c>
      <c r="AG798" t="str">
        <f t="shared" si="537"/>
        <v>ComercioExterior</v>
      </c>
      <c r="AH798" t="str">
        <f t="shared" si="538"/>
        <v>PrecioFOB</v>
      </c>
      <c r="AI798" t="str">
        <f t="shared" si="539"/>
        <v>Monto II</v>
      </c>
      <c r="AJ798" t="str">
        <f t="shared" si="540"/>
        <v>Porcentaje II</v>
      </c>
      <c r="AK798" t="str">
        <f t="shared" si="541"/>
        <v>Foto</v>
      </c>
      <c r="AL798" t="str">
        <f t="shared" si="550"/>
        <v xml:space="preserve"> </v>
      </c>
      <c r="AM798" t="str">
        <f t="shared" si="550"/>
        <v xml:space="preserve"> </v>
      </c>
    </row>
    <row r="799" spans="1:39" x14ac:dyDescent="0.25">
      <c r="A799" t="str">
        <f>"BA415 20"</f>
        <v>BA415 20</v>
      </c>
      <c r="B799" t="str">
        <f>"COJINETES BANCADA 0,50 PEUGEOT 504 505 DIESEL XD2 XD3"</f>
        <v>COJINETES BANCADA 0,50 PEUGEOT 504 505 DIESEL XD2 XD3</v>
      </c>
      <c r="C799" t="str">
        <f>"$ 29048,06"</f>
        <v>$ 29048,06</v>
      </c>
      <c r="D799" t="str">
        <f>"$ 29048,06"</f>
        <v>$ 29048,06</v>
      </c>
      <c r="E799" t="str">
        <f>"$ 29048,06"</f>
        <v>$ 29048,06</v>
      </c>
      <c r="F799" t="str">
        <f>"$ 29048,06"</f>
        <v>$ 29048,06</v>
      </c>
      <c r="G799" t="str">
        <f>"$ 29048,06"</f>
        <v>$ 29048,06</v>
      </c>
      <c r="H799" t="str">
        <f t="shared" si="524"/>
        <v>$ 0,00</v>
      </c>
      <c r="I799" t="str">
        <f t="shared" ref="I799:I862" si="551">"JUEGO COJINETES BANCADA"</f>
        <v>JUEGO COJINETES BANCADA</v>
      </c>
      <c r="J799" t="str">
        <f t="shared" si="525"/>
        <v>1</v>
      </c>
      <c r="K799" t="str">
        <f t="shared" si="548"/>
        <v>0</v>
      </c>
      <c r="L799" t="str">
        <f>"3,000"</f>
        <v>3,000</v>
      </c>
      <c r="M799" t="str">
        <f t="shared" si="526"/>
        <v xml:space="preserve"> </v>
      </c>
      <c r="N799" t="str">
        <f t="shared" si="513"/>
        <v>MPSI</v>
      </c>
      <c r="O799" t="str">
        <f t="shared" si="514"/>
        <v>COJINETES</v>
      </c>
      <c r="P799" t="str">
        <f t="shared" si="544"/>
        <v>0</v>
      </c>
      <c r="Q799" t="str">
        <f t="shared" si="544"/>
        <v>0</v>
      </c>
      <c r="R799" t="str">
        <f t="shared" si="545"/>
        <v>0,00</v>
      </c>
      <c r="S799" t="str">
        <f t="shared" si="545"/>
        <v>0,00</v>
      </c>
      <c r="T799" t="str">
        <f t="shared" si="546"/>
        <v xml:space="preserve"> </v>
      </c>
      <c r="U799" t="str">
        <f t="shared" si="549"/>
        <v>-</v>
      </c>
      <c r="V799" t="str">
        <f>"3,000"</f>
        <v>3,000</v>
      </c>
      <c r="W799" t="str">
        <f t="shared" si="527"/>
        <v>Lista 4</v>
      </c>
      <c r="X799" t="str">
        <f t="shared" si="528"/>
        <v>Lista 5</v>
      </c>
      <c r="Y799" t="str">
        <f t="shared" si="529"/>
        <v>Oferta Gral.</v>
      </c>
      <c r="Z799" t="str">
        <f t="shared" si="530"/>
        <v>Rubro</v>
      </c>
      <c r="AA799" t="str">
        <f t="shared" si="531"/>
        <v>Cantidad por Bulto</v>
      </c>
      <c r="AB799" t="str">
        <f t="shared" si="532"/>
        <v>INNER</v>
      </c>
      <c r="AC799" t="str">
        <f t="shared" si="533"/>
        <v>Stock en Bultos</v>
      </c>
      <c r="AD799" t="str">
        <f t="shared" si="534"/>
        <v>SubDepósito</v>
      </c>
      <c r="AE799" t="str">
        <f t="shared" si="535"/>
        <v>Marca</v>
      </c>
      <c r="AF799" t="str">
        <f t="shared" si="536"/>
        <v>Super Rubro</v>
      </c>
      <c r="AG799" t="str">
        <f t="shared" si="537"/>
        <v>ComercioExterior</v>
      </c>
      <c r="AH799" t="str">
        <f t="shared" si="538"/>
        <v>PrecioFOB</v>
      </c>
      <c r="AI799" t="str">
        <f t="shared" si="539"/>
        <v>Monto II</v>
      </c>
      <c r="AJ799" t="str">
        <f t="shared" si="540"/>
        <v>Porcentaje II</v>
      </c>
      <c r="AK799" t="str">
        <f t="shared" si="541"/>
        <v>Foto</v>
      </c>
      <c r="AL799" t="str">
        <f t="shared" si="550"/>
        <v xml:space="preserve"> </v>
      </c>
      <c r="AM799" t="str">
        <f t="shared" si="550"/>
        <v xml:space="preserve"> </v>
      </c>
    </row>
    <row r="800" spans="1:39" x14ac:dyDescent="0.25">
      <c r="A800" t="str">
        <f>"BA733 20"</f>
        <v>BA733 20</v>
      </c>
      <c r="B800" t="str">
        <f>"COJINETES BANCADA 0,50 PEUGEOT BOXER 2,5 DJ5"</f>
        <v>COJINETES BANCADA 0,50 PEUGEOT BOXER 2,5 DJ5</v>
      </c>
      <c r="C800" t="str">
        <f>"$ 40387,97"</f>
        <v>$ 40387,97</v>
      </c>
      <c r="D800" t="str">
        <f>"$ 40387,97"</f>
        <v>$ 40387,97</v>
      </c>
      <c r="E800" t="str">
        <f>"$ 40387,97"</f>
        <v>$ 40387,97</v>
      </c>
      <c r="F800" t="str">
        <f>"$ 40387,97"</f>
        <v>$ 40387,97</v>
      </c>
      <c r="G800" t="str">
        <f>"$ 40387,97"</f>
        <v>$ 40387,97</v>
      </c>
      <c r="H800" t="str">
        <f t="shared" si="524"/>
        <v>$ 0,00</v>
      </c>
      <c r="I800" t="str">
        <f t="shared" si="551"/>
        <v>JUEGO COJINETES BANCADA</v>
      </c>
      <c r="J800" t="str">
        <f t="shared" si="525"/>
        <v>1</v>
      </c>
      <c r="K800" t="str">
        <f t="shared" si="548"/>
        <v>0</v>
      </c>
      <c r="L800" t="str">
        <f>"3,000"</f>
        <v>3,000</v>
      </c>
      <c r="M800" t="str">
        <f t="shared" si="526"/>
        <v xml:space="preserve"> </v>
      </c>
      <c r="N800" t="str">
        <f t="shared" si="513"/>
        <v>MPSI</v>
      </c>
      <c r="O800" t="str">
        <f t="shared" si="514"/>
        <v>COJINETES</v>
      </c>
      <c r="P800" t="str">
        <f t="shared" si="544"/>
        <v>0</v>
      </c>
      <c r="Q800" t="str">
        <f t="shared" si="544"/>
        <v>0</v>
      </c>
      <c r="R800" t="str">
        <f t="shared" si="545"/>
        <v>0,00</v>
      </c>
      <c r="S800" t="str">
        <f t="shared" si="545"/>
        <v>0,00</v>
      </c>
      <c r="T800" t="str">
        <f t="shared" si="546"/>
        <v xml:space="preserve"> </v>
      </c>
      <c r="U800" t="str">
        <f t="shared" si="549"/>
        <v>-</v>
      </c>
      <c r="V800" t="str">
        <f>"3,000"</f>
        <v>3,000</v>
      </c>
      <c r="W800" t="str">
        <f t="shared" si="527"/>
        <v>Lista 4</v>
      </c>
      <c r="X800" t="str">
        <f t="shared" si="528"/>
        <v>Lista 5</v>
      </c>
      <c r="Y800" t="str">
        <f t="shared" si="529"/>
        <v>Oferta Gral.</v>
      </c>
      <c r="Z800" t="str">
        <f t="shared" si="530"/>
        <v>Rubro</v>
      </c>
      <c r="AA800" t="str">
        <f t="shared" si="531"/>
        <v>Cantidad por Bulto</v>
      </c>
      <c r="AB800" t="str">
        <f t="shared" si="532"/>
        <v>INNER</v>
      </c>
      <c r="AC800" t="str">
        <f t="shared" si="533"/>
        <v>Stock en Bultos</v>
      </c>
      <c r="AD800" t="str">
        <f t="shared" si="534"/>
        <v>SubDepósito</v>
      </c>
      <c r="AE800" t="str">
        <f t="shared" si="535"/>
        <v>Marca</v>
      </c>
      <c r="AF800" t="str">
        <f t="shared" si="536"/>
        <v>Super Rubro</v>
      </c>
      <c r="AG800" t="str">
        <f t="shared" si="537"/>
        <v>ComercioExterior</v>
      </c>
      <c r="AH800" t="str">
        <f t="shared" si="538"/>
        <v>PrecioFOB</v>
      </c>
      <c r="AI800" t="str">
        <f t="shared" si="539"/>
        <v>Monto II</v>
      </c>
      <c r="AJ800" t="str">
        <f t="shared" si="540"/>
        <v>Porcentaje II</v>
      </c>
      <c r="AK800" t="str">
        <f t="shared" si="541"/>
        <v>Foto</v>
      </c>
      <c r="AL800" t="str">
        <f t="shared" si="550"/>
        <v xml:space="preserve"> </v>
      </c>
      <c r="AM800" t="str">
        <f t="shared" si="550"/>
        <v xml:space="preserve"> </v>
      </c>
    </row>
    <row r="801" spans="1:39" x14ac:dyDescent="0.25">
      <c r="A801" t="str">
        <f>"BA365035 20"</f>
        <v>BA365035 20</v>
      </c>
      <c r="B801" t="str">
        <f>"COJINETES BANCADA 0,50 PEUGEOT CITROEN 1.6 16V TURBO THP"</f>
        <v>COJINETES BANCADA 0,50 PEUGEOT CITROEN 1.6 16V TURBO THP</v>
      </c>
      <c r="C801" t="str">
        <f>"$ 18006,07"</f>
        <v>$ 18006,07</v>
      </c>
      <c r="D801" t="str">
        <f>"$ 18006,07"</f>
        <v>$ 18006,07</v>
      </c>
      <c r="E801" t="str">
        <f>"$ 18006,07"</f>
        <v>$ 18006,07</v>
      </c>
      <c r="F801" t="str">
        <f>"$ 18006,07"</f>
        <v>$ 18006,07</v>
      </c>
      <c r="G801" t="str">
        <f>"$ 18006,07"</f>
        <v>$ 18006,07</v>
      </c>
      <c r="H801" t="str">
        <f t="shared" si="524"/>
        <v>$ 0,00</v>
      </c>
      <c r="I801" t="str">
        <f t="shared" si="551"/>
        <v>JUEGO COJINETES BANCADA</v>
      </c>
      <c r="J801" t="str">
        <f t="shared" si="525"/>
        <v>1</v>
      </c>
      <c r="K801" t="str">
        <f t="shared" si="548"/>
        <v>0</v>
      </c>
      <c r="L801" t="str">
        <f>"4,000"</f>
        <v>4,000</v>
      </c>
      <c r="M801" t="str">
        <f t="shared" si="526"/>
        <v xml:space="preserve"> </v>
      </c>
      <c r="N801" t="str">
        <f t="shared" si="513"/>
        <v>MPSI</v>
      </c>
      <c r="O801" t="str">
        <f t="shared" si="514"/>
        <v>COJINETES</v>
      </c>
      <c r="P801" t="str">
        <f t="shared" si="544"/>
        <v>0</v>
      </c>
      <c r="Q801" t="str">
        <f t="shared" si="544"/>
        <v>0</v>
      </c>
      <c r="R801" t="str">
        <f t="shared" si="545"/>
        <v>0,00</v>
      </c>
      <c r="S801" t="str">
        <f t="shared" si="545"/>
        <v>0,00</v>
      </c>
      <c r="T801" t="str">
        <f t="shared" si="546"/>
        <v xml:space="preserve"> </v>
      </c>
      <c r="U801" t="str">
        <f t="shared" si="549"/>
        <v>-</v>
      </c>
      <c r="V801" t="str">
        <f>"4,000"</f>
        <v>4,000</v>
      </c>
      <c r="W801" t="str">
        <f t="shared" si="527"/>
        <v>Lista 4</v>
      </c>
      <c r="X801" t="str">
        <f t="shared" si="528"/>
        <v>Lista 5</v>
      </c>
      <c r="Y801" t="str">
        <f t="shared" si="529"/>
        <v>Oferta Gral.</v>
      </c>
      <c r="Z801" t="str">
        <f t="shared" si="530"/>
        <v>Rubro</v>
      </c>
      <c r="AA801" t="str">
        <f t="shared" si="531"/>
        <v>Cantidad por Bulto</v>
      </c>
      <c r="AB801" t="str">
        <f t="shared" si="532"/>
        <v>INNER</v>
      </c>
      <c r="AC801" t="str">
        <f t="shared" si="533"/>
        <v>Stock en Bultos</v>
      </c>
      <c r="AD801" t="str">
        <f t="shared" si="534"/>
        <v>SubDepósito</v>
      </c>
      <c r="AE801" t="str">
        <f t="shared" si="535"/>
        <v>Marca</v>
      </c>
      <c r="AF801" t="str">
        <f t="shared" si="536"/>
        <v>Super Rubro</v>
      </c>
      <c r="AG801" t="str">
        <f t="shared" si="537"/>
        <v>ComercioExterior</v>
      </c>
      <c r="AH801" t="str">
        <f t="shared" si="538"/>
        <v>PrecioFOB</v>
      </c>
      <c r="AI801" t="str">
        <f t="shared" si="539"/>
        <v>Monto II</v>
      </c>
      <c r="AJ801" t="str">
        <f t="shared" si="540"/>
        <v>Porcentaje II</v>
      </c>
      <c r="AK801" t="str">
        <f t="shared" si="541"/>
        <v>Foto</v>
      </c>
      <c r="AL801" t="str">
        <f t="shared" si="550"/>
        <v xml:space="preserve"> </v>
      </c>
      <c r="AM801" t="str">
        <f t="shared" si="550"/>
        <v xml:space="preserve"> </v>
      </c>
    </row>
    <row r="802" spans="1:39" x14ac:dyDescent="0.25">
      <c r="A802" t="str">
        <f>"BA241 20"</f>
        <v>BA241 20</v>
      </c>
      <c r="B802" t="str">
        <f>"COJINETES BANCADA 0,50 RENAULT 18 FUEGO TRAFIC 2.0"</f>
        <v>COJINETES BANCADA 0,50 RENAULT 18 FUEGO TRAFIC 2.0</v>
      </c>
      <c r="C802" t="str">
        <f>"$ 23764,42"</f>
        <v>$ 23764,42</v>
      </c>
      <c r="D802" t="str">
        <f>"$ 23764,42"</f>
        <v>$ 23764,42</v>
      </c>
      <c r="E802" t="str">
        <f>"$ 23764,42"</f>
        <v>$ 23764,42</v>
      </c>
      <c r="F802" t="str">
        <f>"$ 23764,42"</f>
        <v>$ 23764,42</v>
      </c>
      <c r="G802" t="str">
        <f>"$ 23764,42"</f>
        <v>$ 23764,42</v>
      </c>
      <c r="H802" t="str">
        <f t="shared" si="524"/>
        <v>$ 0,00</v>
      </c>
      <c r="I802" t="str">
        <f t="shared" si="551"/>
        <v>JUEGO COJINETES BANCADA</v>
      </c>
      <c r="J802" t="str">
        <f t="shared" si="525"/>
        <v>1</v>
      </c>
      <c r="K802" t="str">
        <f t="shared" si="548"/>
        <v>0</v>
      </c>
      <c r="L802" t="str">
        <f>"11,000"</f>
        <v>11,000</v>
      </c>
      <c r="M802" t="str">
        <f t="shared" si="526"/>
        <v xml:space="preserve"> </v>
      </c>
      <c r="N802" t="str">
        <f t="shared" si="513"/>
        <v>MPSI</v>
      </c>
      <c r="O802" t="str">
        <f t="shared" si="514"/>
        <v>COJINETES</v>
      </c>
      <c r="P802" t="str">
        <f t="shared" si="544"/>
        <v>0</v>
      </c>
      <c r="Q802" t="str">
        <f t="shared" si="544"/>
        <v>0</v>
      </c>
      <c r="R802" t="str">
        <f t="shared" si="545"/>
        <v>0,00</v>
      </c>
      <c r="S802" t="str">
        <f t="shared" si="545"/>
        <v>0,00</v>
      </c>
      <c r="T802" t="str">
        <f t="shared" si="546"/>
        <v xml:space="preserve"> </v>
      </c>
      <c r="U802" t="str">
        <f t="shared" si="549"/>
        <v>-</v>
      </c>
      <c r="V802" t="str">
        <f>"11,000"</f>
        <v>11,000</v>
      </c>
      <c r="W802" t="str">
        <f t="shared" si="527"/>
        <v>Lista 4</v>
      </c>
      <c r="X802" t="str">
        <f t="shared" si="528"/>
        <v>Lista 5</v>
      </c>
      <c r="Y802" t="str">
        <f t="shared" si="529"/>
        <v>Oferta Gral.</v>
      </c>
      <c r="Z802" t="str">
        <f t="shared" si="530"/>
        <v>Rubro</v>
      </c>
      <c r="AA802" t="str">
        <f t="shared" si="531"/>
        <v>Cantidad por Bulto</v>
      </c>
      <c r="AB802" t="str">
        <f t="shared" si="532"/>
        <v>INNER</v>
      </c>
      <c r="AC802" t="str">
        <f t="shared" si="533"/>
        <v>Stock en Bultos</v>
      </c>
      <c r="AD802" t="str">
        <f t="shared" si="534"/>
        <v>SubDepósito</v>
      </c>
      <c r="AE802" t="str">
        <f t="shared" si="535"/>
        <v>Marca</v>
      </c>
      <c r="AF802" t="str">
        <f t="shared" si="536"/>
        <v>Super Rubro</v>
      </c>
      <c r="AG802" t="str">
        <f t="shared" si="537"/>
        <v>ComercioExterior</v>
      </c>
      <c r="AH802" t="str">
        <f t="shared" si="538"/>
        <v>PrecioFOB</v>
      </c>
      <c r="AI802" t="str">
        <f t="shared" si="539"/>
        <v>Monto II</v>
      </c>
      <c r="AJ802" t="str">
        <f t="shared" si="540"/>
        <v>Porcentaje II</v>
      </c>
      <c r="AK802" t="str">
        <f t="shared" si="541"/>
        <v>Foto</v>
      </c>
      <c r="AL802" t="str">
        <f t="shared" si="550"/>
        <v xml:space="preserve"> </v>
      </c>
      <c r="AM802" t="str">
        <f t="shared" si="550"/>
        <v xml:space="preserve"> </v>
      </c>
    </row>
    <row r="803" spans="1:39" x14ac:dyDescent="0.25">
      <c r="A803" t="str">
        <f>"BA247 20"</f>
        <v>BA247 20</v>
      </c>
      <c r="B803" t="str">
        <f>"COJINETES BANCADA 0,50 RENAULT 19 CLIO 1.9 DIESEL F8Q  CON TRABA"</f>
        <v>COJINETES BANCADA 0,50 RENAULT 19 CLIO 1.9 DIESEL F8Q  CON TRABA</v>
      </c>
      <c r="C803" t="str">
        <f>"$ 18062,95"</f>
        <v>$ 18062,95</v>
      </c>
      <c r="D803" t="str">
        <f>"$ 18062,95"</f>
        <v>$ 18062,95</v>
      </c>
      <c r="E803" t="str">
        <f>"$ 18062,95"</f>
        <v>$ 18062,95</v>
      </c>
      <c r="F803" t="str">
        <f>"$ 18062,95"</f>
        <v>$ 18062,95</v>
      </c>
      <c r="G803" t="str">
        <f>"$ 18062,95"</f>
        <v>$ 18062,95</v>
      </c>
      <c r="H803" t="str">
        <f t="shared" si="524"/>
        <v>$ 0,00</v>
      </c>
      <c r="I803" t="str">
        <f t="shared" si="551"/>
        <v>JUEGO COJINETES BANCADA</v>
      </c>
      <c r="J803" t="str">
        <f t="shared" si="525"/>
        <v>1</v>
      </c>
      <c r="K803" t="str">
        <f t="shared" si="548"/>
        <v>0</v>
      </c>
      <c r="L803" t="str">
        <f>"5,000"</f>
        <v>5,000</v>
      </c>
      <c r="M803" t="str">
        <f t="shared" si="526"/>
        <v xml:space="preserve"> </v>
      </c>
      <c r="N803" t="str">
        <f t="shared" si="513"/>
        <v>MPSI</v>
      </c>
      <c r="O803" t="str">
        <f t="shared" si="514"/>
        <v>COJINETES</v>
      </c>
      <c r="P803" t="str">
        <f t="shared" ref="P803:Q822" si="552">"0"</f>
        <v>0</v>
      </c>
      <c r="Q803" t="str">
        <f t="shared" si="552"/>
        <v>0</v>
      </c>
      <c r="R803" t="str">
        <f t="shared" ref="R803:S822" si="553">"0,00"</f>
        <v>0,00</v>
      </c>
      <c r="S803" t="str">
        <f t="shared" si="553"/>
        <v>0,00</v>
      </c>
      <c r="T803" t="str">
        <f t="shared" si="546"/>
        <v xml:space="preserve"> </v>
      </c>
      <c r="U803" t="str">
        <f t="shared" si="549"/>
        <v>-</v>
      </c>
      <c r="V803" t="str">
        <f>"5,000"</f>
        <v>5,000</v>
      </c>
      <c r="W803" t="str">
        <f t="shared" si="527"/>
        <v>Lista 4</v>
      </c>
      <c r="X803" t="str">
        <f t="shared" si="528"/>
        <v>Lista 5</v>
      </c>
      <c r="Y803" t="str">
        <f t="shared" si="529"/>
        <v>Oferta Gral.</v>
      </c>
      <c r="Z803" t="str">
        <f t="shared" si="530"/>
        <v>Rubro</v>
      </c>
      <c r="AA803" t="str">
        <f t="shared" si="531"/>
        <v>Cantidad por Bulto</v>
      </c>
      <c r="AB803" t="str">
        <f t="shared" si="532"/>
        <v>INNER</v>
      </c>
      <c r="AC803" t="str">
        <f t="shared" si="533"/>
        <v>Stock en Bultos</v>
      </c>
      <c r="AD803" t="str">
        <f t="shared" si="534"/>
        <v>SubDepósito</v>
      </c>
      <c r="AE803" t="str">
        <f t="shared" si="535"/>
        <v>Marca</v>
      </c>
      <c r="AF803" t="str">
        <f t="shared" si="536"/>
        <v>Super Rubro</v>
      </c>
      <c r="AG803" t="str">
        <f t="shared" si="537"/>
        <v>ComercioExterior</v>
      </c>
      <c r="AH803" t="str">
        <f t="shared" si="538"/>
        <v>PrecioFOB</v>
      </c>
      <c r="AI803" t="str">
        <f t="shared" si="539"/>
        <v>Monto II</v>
      </c>
      <c r="AJ803" t="str">
        <f t="shared" si="540"/>
        <v>Porcentaje II</v>
      </c>
      <c r="AK803" t="str">
        <f t="shared" si="541"/>
        <v>Foto</v>
      </c>
      <c r="AL803" t="str">
        <f t="shared" si="550"/>
        <v xml:space="preserve"> </v>
      </c>
      <c r="AM803" t="str">
        <f t="shared" si="550"/>
        <v xml:space="preserve"> </v>
      </c>
    </row>
    <row r="804" spans="1:39" x14ac:dyDescent="0.25">
      <c r="A804" t="str">
        <f>"BA244 20"</f>
        <v>BA244 20</v>
      </c>
      <c r="B804" t="str">
        <f>"COJINETES BANCADA 0,50 RENAULT 19 KANGOO 1.9 DIESEL F8Q  SIN TRABA"</f>
        <v>COJINETES BANCADA 0,50 RENAULT 19 KANGOO 1.9 DIESEL F8Q  SIN TRABA</v>
      </c>
      <c r="C804" t="str">
        <f>"$ 17782,00"</f>
        <v>$ 17782,00</v>
      </c>
      <c r="D804" t="str">
        <f>"$ 17782,00"</f>
        <v>$ 17782,00</v>
      </c>
      <c r="E804" t="str">
        <f>"$ 17782,00"</f>
        <v>$ 17782,00</v>
      </c>
      <c r="F804" t="str">
        <f>"$ 17782,00"</f>
        <v>$ 17782,00</v>
      </c>
      <c r="G804" t="str">
        <f>"$ 17782,00"</f>
        <v>$ 17782,00</v>
      </c>
      <c r="H804" t="str">
        <f t="shared" si="524"/>
        <v>$ 0,00</v>
      </c>
      <c r="I804" t="str">
        <f t="shared" si="551"/>
        <v>JUEGO COJINETES BANCADA</v>
      </c>
      <c r="J804" t="str">
        <f t="shared" si="525"/>
        <v>1</v>
      </c>
      <c r="K804" t="str">
        <f t="shared" si="548"/>
        <v>0</v>
      </c>
      <c r="L804" t="str">
        <f>"10,000"</f>
        <v>10,000</v>
      </c>
      <c r="M804" t="str">
        <f t="shared" si="526"/>
        <v xml:space="preserve"> </v>
      </c>
      <c r="N804" t="str">
        <f t="shared" si="513"/>
        <v>MPSI</v>
      </c>
      <c r="O804" t="str">
        <f t="shared" si="514"/>
        <v>COJINETES</v>
      </c>
      <c r="P804" t="str">
        <f t="shared" si="552"/>
        <v>0</v>
      </c>
      <c r="Q804" t="str">
        <f t="shared" si="552"/>
        <v>0</v>
      </c>
      <c r="R804" t="str">
        <f t="shared" si="553"/>
        <v>0,00</v>
      </c>
      <c r="S804" t="str">
        <f t="shared" si="553"/>
        <v>0,00</v>
      </c>
      <c r="T804" t="str">
        <f t="shared" si="546"/>
        <v xml:space="preserve"> </v>
      </c>
      <c r="U804" t="str">
        <f t="shared" si="549"/>
        <v>-</v>
      </c>
      <c r="V804" t="str">
        <f>"10,000"</f>
        <v>10,000</v>
      </c>
      <c r="W804" t="str">
        <f t="shared" si="527"/>
        <v>Lista 4</v>
      </c>
      <c r="X804" t="str">
        <f t="shared" si="528"/>
        <v>Lista 5</v>
      </c>
      <c r="Y804" t="str">
        <f t="shared" si="529"/>
        <v>Oferta Gral.</v>
      </c>
      <c r="Z804" t="str">
        <f t="shared" si="530"/>
        <v>Rubro</v>
      </c>
      <c r="AA804" t="str">
        <f t="shared" si="531"/>
        <v>Cantidad por Bulto</v>
      </c>
      <c r="AB804" t="str">
        <f t="shared" si="532"/>
        <v>INNER</v>
      </c>
      <c r="AC804" t="str">
        <f t="shared" si="533"/>
        <v>Stock en Bultos</v>
      </c>
      <c r="AD804" t="str">
        <f t="shared" si="534"/>
        <v>SubDepósito</v>
      </c>
      <c r="AE804" t="str">
        <f t="shared" si="535"/>
        <v>Marca</v>
      </c>
      <c r="AF804" t="str">
        <f t="shared" si="536"/>
        <v>Super Rubro</v>
      </c>
      <c r="AG804" t="str">
        <f t="shared" si="537"/>
        <v>ComercioExterior</v>
      </c>
      <c r="AH804" t="str">
        <f t="shared" si="538"/>
        <v>PrecioFOB</v>
      </c>
      <c r="AI804" t="str">
        <f t="shared" si="539"/>
        <v>Monto II</v>
      </c>
      <c r="AJ804" t="str">
        <f t="shared" si="540"/>
        <v>Porcentaje II</v>
      </c>
      <c r="AK804" t="str">
        <f t="shared" si="541"/>
        <v>Foto</v>
      </c>
      <c r="AL804" t="str">
        <f t="shared" si="550"/>
        <v xml:space="preserve"> </v>
      </c>
      <c r="AM804" t="str">
        <f t="shared" si="550"/>
        <v xml:space="preserve"> </v>
      </c>
    </row>
    <row r="805" spans="1:39" x14ac:dyDescent="0.25">
      <c r="A805" t="str">
        <f>"BA240 20"</f>
        <v>BA240 20</v>
      </c>
      <c r="B805" t="str">
        <f>"COJINETES BANCADA 0,50 RENAULT 9 11 12 18 19 CLIO 1.3 1.4 1.6 8V"</f>
        <v>COJINETES BANCADA 0,50 RENAULT 9 11 12 18 19 CLIO 1.3 1.4 1.6 8V</v>
      </c>
      <c r="C805" t="str">
        <f>"$ 18690,93"</f>
        <v>$ 18690,93</v>
      </c>
      <c r="D805" t="str">
        <f>"$ 18690,93"</f>
        <v>$ 18690,93</v>
      </c>
      <c r="E805" t="str">
        <f>"$ 18690,93"</f>
        <v>$ 18690,93</v>
      </c>
      <c r="F805" t="str">
        <f>"$ 18690,93"</f>
        <v>$ 18690,93</v>
      </c>
      <c r="G805" t="str">
        <f>"$ 18690,93"</f>
        <v>$ 18690,93</v>
      </c>
      <c r="H805" t="str">
        <f t="shared" si="524"/>
        <v>$ 0,00</v>
      </c>
      <c r="I805" t="str">
        <f t="shared" si="551"/>
        <v>JUEGO COJINETES BANCADA</v>
      </c>
      <c r="J805" t="str">
        <f t="shared" si="525"/>
        <v>1</v>
      </c>
      <c r="K805" t="str">
        <f t="shared" si="548"/>
        <v>0</v>
      </c>
      <c r="L805" t="str">
        <f>"28,000"</f>
        <v>28,000</v>
      </c>
      <c r="M805" t="str">
        <f t="shared" si="526"/>
        <v xml:space="preserve"> </v>
      </c>
      <c r="N805" t="str">
        <f t="shared" ref="N805:N868" si="554">"MPSI"</f>
        <v>MPSI</v>
      </c>
      <c r="O805" t="str">
        <f t="shared" ref="O805:O868" si="555">"COJINETES"</f>
        <v>COJINETES</v>
      </c>
      <c r="P805" t="str">
        <f t="shared" si="552"/>
        <v>0</v>
      </c>
      <c r="Q805" t="str">
        <f t="shared" si="552"/>
        <v>0</v>
      </c>
      <c r="R805" t="str">
        <f t="shared" si="553"/>
        <v>0,00</v>
      </c>
      <c r="S805" t="str">
        <f t="shared" si="553"/>
        <v>0,00</v>
      </c>
      <c r="T805" t="str">
        <f t="shared" si="546"/>
        <v xml:space="preserve"> </v>
      </c>
      <c r="U805" t="str">
        <f t="shared" si="549"/>
        <v>-</v>
      </c>
      <c r="V805" t="str">
        <f>"28,000"</f>
        <v>28,000</v>
      </c>
      <c r="W805" t="str">
        <f t="shared" si="527"/>
        <v>Lista 4</v>
      </c>
      <c r="X805" t="str">
        <f t="shared" si="528"/>
        <v>Lista 5</v>
      </c>
      <c r="Y805" t="str">
        <f t="shared" si="529"/>
        <v>Oferta Gral.</v>
      </c>
      <c r="Z805" t="str">
        <f t="shared" si="530"/>
        <v>Rubro</v>
      </c>
      <c r="AA805" t="str">
        <f t="shared" si="531"/>
        <v>Cantidad por Bulto</v>
      </c>
      <c r="AB805" t="str">
        <f t="shared" si="532"/>
        <v>INNER</v>
      </c>
      <c r="AC805" t="str">
        <f t="shared" si="533"/>
        <v>Stock en Bultos</v>
      </c>
      <c r="AD805" t="str">
        <f t="shared" si="534"/>
        <v>SubDepósito</v>
      </c>
      <c r="AE805" t="str">
        <f t="shared" si="535"/>
        <v>Marca</v>
      </c>
      <c r="AF805" t="str">
        <f t="shared" si="536"/>
        <v>Super Rubro</v>
      </c>
      <c r="AG805" t="str">
        <f t="shared" si="537"/>
        <v>ComercioExterior</v>
      </c>
      <c r="AH805" t="str">
        <f t="shared" si="538"/>
        <v>PrecioFOB</v>
      </c>
      <c r="AI805" t="str">
        <f t="shared" si="539"/>
        <v>Monto II</v>
      </c>
      <c r="AJ805" t="str">
        <f t="shared" si="540"/>
        <v>Porcentaje II</v>
      </c>
      <c r="AK805" t="str">
        <f t="shared" si="541"/>
        <v>Foto</v>
      </c>
      <c r="AL805" t="str">
        <f>"{\rtf1\ansi\ansicpg1252\deff0\deflang2058{\fonttbl{\f0\fnil\fcharset0 MS Sans Serif}} \viewkind4\uc1\pard\f0\fs16 COJINETES BANCADA 0,50 RENAULT 9 11 12 18 19 CLIO 1.3 1.4 1.6 8V\par } "</f>
        <v xml:space="preserve">{\rtf1\ansi\ansicpg1252\deff0\deflang2058{\fonttbl{\f0\fnil\fcharset0 MS Sans Serif}} \viewkind4\uc1\pard\f0\fs16 COJINETES BANCADA 0,50 RENAULT 9 11 12 18 19 CLIO 1.3 1.4 1.6 8V\par } </v>
      </c>
      <c r="AM805" t="str">
        <f t="shared" ref="AM805:AM836" si="556">" "</f>
        <v xml:space="preserve"> </v>
      </c>
    </row>
    <row r="806" spans="1:39" x14ac:dyDescent="0.25">
      <c r="A806" t="str">
        <f>"BA385101 20"</f>
        <v>BA385101 20</v>
      </c>
      <c r="B806" t="str">
        <f>"COJINETES BANCADA 0,50 RENAULT CAPTUR NISSAN VERSA 1.6 H4M CADENERO"</f>
        <v>COJINETES BANCADA 0,50 RENAULT CAPTUR NISSAN VERSA 1.6 H4M CADENERO</v>
      </c>
      <c r="C806" t="str">
        <f>"$ 15957,81"</f>
        <v>$ 15957,81</v>
      </c>
      <c r="D806" t="str">
        <f>"$ 15957,81"</f>
        <v>$ 15957,81</v>
      </c>
      <c r="E806" t="str">
        <f>"$ 15957,81"</f>
        <v>$ 15957,81</v>
      </c>
      <c r="F806" t="str">
        <f>"$ 15957,81"</f>
        <v>$ 15957,81</v>
      </c>
      <c r="G806" t="str">
        <f>"$ 15957,81"</f>
        <v>$ 15957,81</v>
      </c>
      <c r="H806" t="str">
        <f t="shared" si="524"/>
        <v>$ 0,00</v>
      </c>
      <c r="I806" t="str">
        <f t="shared" si="551"/>
        <v>JUEGO COJINETES BANCADA</v>
      </c>
      <c r="J806" t="str">
        <f t="shared" si="525"/>
        <v>1</v>
      </c>
      <c r="K806" t="str">
        <f t="shared" si="548"/>
        <v>0</v>
      </c>
      <c r="L806" t="str">
        <f>"7,000"</f>
        <v>7,000</v>
      </c>
      <c r="M806" t="str">
        <f t="shared" si="526"/>
        <v xml:space="preserve"> </v>
      </c>
      <c r="N806" t="str">
        <f t="shared" si="554"/>
        <v>MPSI</v>
      </c>
      <c r="O806" t="str">
        <f t="shared" si="555"/>
        <v>COJINETES</v>
      </c>
      <c r="P806" t="str">
        <f t="shared" si="552"/>
        <v>0</v>
      </c>
      <c r="Q806" t="str">
        <f t="shared" si="552"/>
        <v>0</v>
      </c>
      <c r="R806" t="str">
        <f t="shared" si="553"/>
        <v>0,00</v>
      </c>
      <c r="S806" t="str">
        <f t="shared" si="553"/>
        <v>0,00</v>
      </c>
      <c r="T806" t="str">
        <f t="shared" si="546"/>
        <v xml:space="preserve"> </v>
      </c>
      <c r="U806" t="str">
        <f t="shared" si="549"/>
        <v>-</v>
      </c>
      <c r="V806" t="str">
        <f>"7,000"</f>
        <v>7,000</v>
      </c>
      <c r="W806" t="str">
        <f t="shared" si="527"/>
        <v>Lista 4</v>
      </c>
      <c r="X806" t="str">
        <f t="shared" si="528"/>
        <v>Lista 5</v>
      </c>
      <c r="Y806" t="str">
        <f t="shared" si="529"/>
        <v>Oferta Gral.</v>
      </c>
      <c r="Z806" t="str">
        <f t="shared" si="530"/>
        <v>Rubro</v>
      </c>
      <c r="AA806" t="str">
        <f t="shared" si="531"/>
        <v>Cantidad por Bulto</v>
      </c>
      <c r="AB806" t="str">
        <f t="shared" si="532"/>
        <v>INNER</v>
      </c>
      <c r="AC806" t="str">
        <f t="shared" si="533"/>
        <v>Stock en Bultos</v>
      </c>
      <c r="AD806" t="str">
        <f t="shared" si="534"/>
        <v>SubDepósito</v>
      </c>
      <c r="AE806" t="str">
        <f t="shared" si="535"/>
        <v>Marca</v>
      </c>
      <c r="AF806" t="str">
        <f t="shared" si="536"/>
        <v>Super Rubro</v>
      </c>
      <c r="AG806" t="str">
        <f t="shared" si="537"/>
        <v>ComercioExterior</v>
      </c>
      <c r="AH806" t="str">
        <f t="shared" si="538"/>
        <v>PrecioFOB</v>
      </c>
      <c r="AI806" t="str">
        <f t="shared" si="539"/>
        <v>Monto II</v>
      </c>
      <c r="AJ806" t="str">
        <f t="shared" si="540"/>
        <v>Porcentaje II</v>
      </c>
      <c r="AK806" t="str">
        <f t="shared" si="541"/>
        <v>Foto</v>
      </c>
      <c r="AL806" t="str">
        <f>" "</f>
        <v xml:space="preserve"> </v>
      </c>
      <c r="AM806" t="str">
        <f t="shared" si="556"/>
        <v xml:space="preserve"> </v>
      </c>
    </row>
    <row r="807" spans="1:39" x14ac:dyDescent="0.25">
      <c r="A807" t="str">
        <f>"BA872 20"</f>
        <v>BA872 20</v>
      </c>
      <c r="B807" t="str">
        <f>"COJINETES BANCADA 0,50 RENAULT CLIO TWINGO 1.2  D4F D7F SIN TRABA"</f>
        <v>COJINETES BANCADA 0,50 RENAULT CLIO TWINGO 1.2  D4F D7F SIN TRABA</v>
      </c>
      <c r="C807" t="str">
        <f>"$ 22195,70"</f>
        <v>$ 22195,70</v>
      </c>
      <c r="D807" t="str">
        <f>"$ 22195,70"</f>
        <v>$ 22195,70</v>
      </c>
      <c r="E807" t="str">
        <f>"$ 22195,70"</f>
        <v>$ 22195,70</v>
      </c>
      <c r="F807" t="str">
        <f>"$ 22195,70"</f>
        <v>$ 22195,70</v>
      </c>
      <c r="G807" t="str">
        <f>"$ 22195,70"</f>
        <v>$ 22195,70</v>
      </c>
      <c r="H807" t="str">
        <f t="shared" si="524"/>
        <v>$ 0,00</v>
      </c>
      <c r="I807" t="str">
        <f t="shared" si="551"/>
        <v>JUEGO COJINETES BANCADA</v>
      </c>
      <c r="J807" t="str">
        <f t="shared" si="525"/>
        <v>1</v>
      </c>
      <c r="K807" t="str">
        <f t="shared" si="548"/>
        <v>0</v>
      </c>
      <c r="L807" t="str">
        <f>"8,000"</f>
        <v>8,000</v>
      </c>
      <c r="M807" t="str">
        <f t="shared" si="526"/>
        <v xml:space="preserve"> </v>
      </c>
      <c r="N807" t="str">
        <f t="shared" si="554"/>
        <v>MPSI</v>
      </c>
      <c r="O807" t="str">
        <f t="shared" si="555"/>
        <v>COJINETES</v>
      </c>
      <c r="P807" t="str">
        <f t="shared" si="552"/>
        <v>0</v>
      </c>
      <c r="Q807" t="str">
        <f t="shared" si="552"/>
        <v>0</v>
      </c>
      <c r="R807" t="str">
        <f t="shared" si="553"/>
        <v>0,00</v>
      </c>
      <c r="S807" t="str">
        <f t="shared" si="553"/>
        <v>0,00</v>
      </c>
      <c r="T807" t="str">
        <f t="shared" si="546"/>
        <v xml:space="preserve"> </v>
      </c>
      <c r="U807" t="str">
        <f t="shared" si="549"/>
        <v>-</v>
      </c>
      <c r="V807" t="str">
        <f>"8,000"</f>
        <v>8,000</v>
      </c>
      <c r="W807" t="str">
        <f t="shared" si="527"/>
        <v>Lista 4</v>
      </c>
      <c r="X807" t="str">
        <f t="shared" si="528"/>
        <v>Lista 5</v>
      </c>
      <c r="Y807" t="str">
        <f t="shared" si="529"/>
        <v>Oferta Gral.</v>
      </c>
      <c r="Z807" t="str">
        <f t="shared" si="530"/>
        <v>Rubro</v>
      </c>
      <c r="AA807" t="str">
        <f t="shared" si="531"/>
        <v>Cantidad por Bulto</v>
      </c>
      <c r="AB807" t="str">
        <f t="shared" si="532"/>
        <v>INNER</v>
      </c>
      <c r="AC807" t="str">
        <f t="shared" si="533"/>
        <v>Stock en Bultos</v>
      </c>
      <c r="AD807" t="str">
        <f t="shared" si="534"/>
        <v>SubDepósito</v>
      </c>
      <c r="AE807" t="str">
        <f t="shared" si="535"/>
        <v>Marca</v>
      </c>
      <c r="AF807" t="str">
        <f t="shared" si="536"/>
        <v>Super Rubro</v>
      </c>
      <c r="AG807" t="str">
        <f t="shared" si="537"/>
        <v>ComercioExterior</v>
      </c>
      <c r="AH807" t="str">
        <f t="shared" si="538"/>
        <v>PrecioFOB</v>
      </c>
      <c r="AI807" t="str">
        <f t="shared" si="539"/>
        <v>Monto II</v>
      </c>
      <c r="AJ807" t="str">
        <f t="shared" si="540"/>
        <v>Porcentaje II</v>
      </c>
      <c r="AK807" t="str">
        <f t="shared" si="541"/>
        <v>Foto</v>
      </c>
      <c r="AL807" t="str">
        <f>" "</f>
        <v xml:space="preserve"> </v>
      </c>
      <c r="AM807" t="str">
        <f t="shared" si="556"/>
        <v xml:space="preserve"> </v>
      </c>
    </row>
    <row r="808" spans="1:39" x14ac:dyDescent="0.25">
      <c r="A808" t="str">
        <f>"BA871 20"</f>
        <v>BA871 20</v>
      </c>
      <c r="B808" t="str">
        <f>"COJINETES BANCADA 0,50 RENAULT CLIO TWINGO 1.2  D7F CON TRABA"</f>
        <v>COJINETES BANCADA 0,50 RENAULT CLIO TWINGO 1.2  D7F CON TRABA</v>
      </c>
      <c r="C808" t="str">
        <f>"$ 24057,75"</f>
        <v>$ 24057,75</v>
      </c>
      <c r="D808" t="str">
        <f>"$ 24057,75"</f>
        <v>$ 24057,75</v>
      </c>
      <c r="E808" t="str">
        <f>"$ 24057,75"</f>
        <v>$ 24057,75</v>
      </c>
      <c r="F808" t="str">
        <f>"$ 24057,75"</f>
        <v>$ 24057,75</v>
      </c>
      <c r="G808" t="str">
        <f>"$ 24057,75"</f>
        <v>$ 24057,75</v>
      </c>
      <c r="H808" t="str">
        <f t="shared" si="524"/>
        <v>$ 0,00</v>
      </c>
      <c r="I808" t="str">
        <f t="shared" si="551"/>
        <v>JUEGO COJINETES BANCADA</v>
      </c>
      <c r="J808" t="str">
        <f t="shared" si="525"/>
        <v>1</v>
      </c>
      <c r="K808" t="str">
        <f t="shared" si="548"/>
        <v>0</v>
      </c>
      <c r="L808" t="str">
        <f>"8,000"</f>
        <v>8,000</v>
      </c>
      <c r="M808" t="str">
        <f t="shared" si="526"/>
        <v xml:space="preserve"> </v>
      </c>
      <c r="N808" t="str">
        <f t="shared" si="554"/>
        <v>MPSI</v>
      </c>
      <c r="O808" t="str">
        <f t="shared" si="555"/>
        <v>COJINETES</v>
      </c>
      <c r="P808" t="str">
        <f t="shared" si="552"/>
        <v>0</v>
      </c>
      <c r="Q808" t="str">
        <f t="shared" si="552"/>
        <v>0</v>
      </c>
      <c r="R808" t="str">
        <f t="shared" si="553"/>
        <v>0,00</v>
      </c>
      <c r="S808" t="str">
        <f t="shared" si="553"/>
        <v>0,00</v>
      </c>
      <c r="T808" t="str">
        <f t="shared" si="546"/>
        <v xml:space="preserve"> </v>
      </c>
      <c r="U808" t="str">
        <f t="shared" si="549"/>
        <v>-</v>
      </c>
      <c r="V808" t="str">
        <f>"8,000"</f>
        <v>8,000</v>
      </c>
      <c r="W808" t="str">
        <f t="shared" si="527"/>
        <v>Lista 4</v>
      </c>
      <c r="X808" t="str">
        <f t="shared" si="528"/>
        <v>Lista 5</v>
      </c>
      <c r="Y808" t="str">
        <f t="shared" si="529"/>
        <v>Oferta Gral.</v>
      </c>
      <c r="Z808" t="str">
        <f t="shared" si="530"/>
        <v>Rubro</v>
      </c>
      <c r="AA808" t="str">
        <f t="shared" si="531"/>
        <v>Cantidad por Bulto</v>
      </c>
      <c r="AB808" t="str">
        <f t="shared" si="532"/>
        <v>INNER</v>
      </c>
      <c r="AC808" t="str">
        <f t="shared" si="533"/>
        <v>Stock en Bultos</v>
      </c>
      <c r="AD808" t="str">
        <f t="shared" si="534"/>
        <v>SubDepósito</v>
      </c>
      <c r="AE808" t="str">
        <f t="shared" si="535"/>
        <v>Marca</v>
      </c>
      <c r="AF808" t="str">
        <f t="shared" si="536"/>
        <v>Super Rubro</v>
      </c>
      <c r="AG808" t="str">
        <f t="shared" si="537"/>
        <v>ComercioExterior</v>
      </c>
      <c r="AH808" t="str">
        <f t="shared" si="538"/>
        <v>PrecioFOB</v>
      </c>
      <c r="AI808" t="str">
        <f t="shared" si="539"/>
        <v>Monto II</v>
      </c>
      <c r="AJ808" t="str">
        <f t="shared" si="540"/>
        <v>Porcentaje II</v>
      </c>
      <c r="AK808" t="str">
        <f t="shared" si="541"/>
        <v>Foto</v>
      </c>
      <c r="AL808" t="str">
        <f>" "</f>
        <v xml:space="preserve"> </v>
      </c>
      <c r="AM808" t="str">
        <f t="shared" si="556"/>
        <v xml:space="preserve"> </v>
      </c>
    </row>
    <row r="809" spans="1:39" x14ac:dyDescent="0.25">
      <c r="A809" t="str">
        <f>"BA873 20"</f>
        <v>BA873 20</v>
      </c>
      <c r="B809" t="str">
        <f>"COJINETES BANCADA 0,50 RENAULT KANGOO LOGAN 1.6 16V K4M 1.5 K9K"</f>
        <v>COJINETES BANCADA 0,50 RENAULT KANGOO LOGAN 1.6 16V K4M 1.5 K9K</v>
      </c>
      <c r="C809" t="str">
        <f>"$ 16674,76"</f>
        <v>$ 16674,76</v>
      </c>
      <c r="D809" t="str">
        <f>"$ 16674,76"</f>
        <v>$ 16674,76</v>
      </c>
      <c r="E809" t="str">
        <f>"$ 16674,76"</f>
        <v>$ 16674,76</v>
      </c>
      <c r="F809" t="str">
        <f>"$ 16674,76"</f>
        <v>$ 16674,76</v>
      </c>
      <c r="G809" t="str">
        <f>"$ 16674,76"</f>
        <v>$ 16674,76</v>
      </c>
      <c r="H809" t="str">
        <f t="shared" si="524"/>
        <v>$ 0,00</v>
      </c>
      <c r="I809" t="str">
        <f t="shared" si="551"/>
        <v>JUEGO COJINETES BANCADA</v>
      </c>
      <c r="J809" t="str">
        <f t="shared" si="525"/>
        <v>1</v>
      </c>
      <c r="K809" t="str">
        <f t="shared" si="548"/>
        <v>0</v>
      </c>
      <c r="L809" t="str">
        <f>"5,000"</f>
        <v>5,000</v>
      </c>
      <c r="M809" t="str">
        <f t="shared" si="526"/>
        <v xml:space="preserve"> </v>
      </c>
      <c r="N809" t="str">
        <f t="shared" si="554"/>
        <v>MPSI</v>
      </c>
      <c r="O809" t="str">
        <f t="shared" si="555"/>
        <v>COJINETES</v>
      </c>
      <c r="P809" t="str">
        <f t="shared" si="552"/>
        <v>0</v>
      </c>
      <c r="Q809" t="str">
        <f t="shared" si="552"/>
        <v>0</v>
      </c>
      <c r="R809" t="str">
        <f t="shared" si="553"/>
        <v>0,00</v>
      </c>
      <c r="S809" t="str">
        <f t="shared" si="553"/>
        <v>0,00</v>
      </c>
      <c r="T809" t="str">
        <f t="shared" si="546"/>
        <v xml:space="preserve"> </v>
      </c>
      <c r="U809" t="str">
        <f t="shared" si="549"/>
        <v>-</v>
      </c>
      <c r="V809" t="str">
        <f>"5,000"</f>
        <v>5,000</v>
      </c>
      <c r="W809" t="str">
        <f t="shared" si="527"/>
        <v>Lista 4</v>
      </c>
      <c r="X809" t="str">
        <f t="shared" si="528"/>
        <v>Lista 5</v>
      </c>
      <c r="Y809" t="str">
        <f t="shared" si="529"/>
        <v>Oferta Gral.</v>
      </c>
      <c r="Z809" t="str">
        <f t="shared" si="530"/>
        <v>Rubro</v>
      </c>
      <c r="AA809" t="str">
        <f t="shared" si="531"/>
        <v>Cantidad por Bulto</v>
      </c>
      <c r="AB809" t="str">
        <f t="shared" si="532"/>
        <v>INNER</v>
      </c>
      <c r="AC809" t="str">
        <f t="shared" si="533"/>
        <v>Stock en Bultos</v>
      </c>
      <c r="AD809" t="str">
        <f t="shared" si="534"/>
        <v>SubDepósito</v>
      </c>
      <c r="AE809" t="str">
        <f t="shared" si="535"/>
        <v>Marca</v>
      </c>
      <c r="AF809" t="str">
        <f t="shared" si="536"/>
        <v>Super Rubro</v>
      </c>
      <c r="AG809" t="str">
        <f t="shared" si="537"/>
        <v>ComercioExterior</v>
      </c>
      <c r="AH809" t="str">
        <f t="shared" si="538"/>
        <v>PrecioFOB</v>
      </c>
      <c r="AI809" t="str">
        <f t="shared" si="539"/>
        <v>Monto II</v>
      </c>
      <c r="AJ809" t="str">
        <f t="shared" si="540"/>
        <v>Porcentaje II</v>
      </c>
      <c r="AK809" t="str">
        <f t="shared" si="541"/>
        <v>Foto</v>
      </c>
      <c r="AL809" t="str">
        <f>"{\rtf1\ansi\ansicpg1252\deff0\deflang2058{\fonttbl{\f0\fnil\fcharset0 MS Sans Serif}} \viewkind4\uc1\pard\f0\fs16 COJINETES BANCADA 0,50 RENAULT KANGOO LOGAN 1.6 16V K4M 1.5 K9K\par } "</f>
        <v xml:space="preserve">{\rtf1\ansi\ansicpg1252\deff0\deflang2058{\fonttbl{\f0\fnil\fcharset0 MS Sans Serif}} \viewkind4\uc1\pard\f0\fs16 COJINETES BANCADA 0,50 RENAULT KANGOO LOGAN 1.6 16V K4M 1.5 K9K\par } </v>
      </c>
      <c r="AM809" t="str">
        <f t="shared" si="556"/>
        <v xml:space="preserve"> </v>
      </c>
    </row>
    <row r="810" spans="1:39" x14ac:dyDescent="0.25">
      <c r="A810" t="str">
        <f>"BA384069 20"</f>
        <v>BA384069 20</v>
      </c>
      <c r="B810" t="str">
        <f>"COJINETES BANCADA 0,50 RENAULT KWID 1.0 3 CILINDROS"</f>
        <v>COJINETES BANCADA 0,50 RENAULT KWID 1.0 3 CILINDROS</v>
      </c>
      <c r="C810" t="str">
        <f>"$ 12010,25"</f>
        <v>$ 12010,25</v>
      </c>
      <c r="D810" t="str">
        <f>"$ 12010,25"</f>
        <v>$ 12010,25</v>
      </c>
      <c r="E810" t="str">
        <f>"$ 12010,25"</f>
        <v>$ 12010,25</v>
      </c>
      <c r="F810" t="str">
        <f>"$ 12010,25"</f>
        <v>$ 12010,25</v>
      </c>
      <c r="G810" t="str">
        <f>"$ 12010,25"</f>
        <v>$ 12010,25</v>
      </c>
      <c r="H810" t="str">
        <f t="shared" si="524"/>
        <v>$ 0,00</v>
      </c>
      <c r="I810" t="str">
        <f t="shared" si="551"/>
        <v>JUEGO COJINETES BANCADA</v>
      </c>
      <c r="J810" t="str">
        <f t="shared" si="525"/>
        <v>1</v>
      </c>
      <c r="K810" t="str">
        <f t="shared" si="548"/>
        <v>0</v>
      </c>
      <c r="L810" t="str">
        <f>"7,000"</f>
        <v>7,000</v>
      </c>
      <c r="M810" t="str">
        <f t="shared" si="526"/>
        <v xml:space="preserve"> </v>
      </c>
      <c r="N810" t="str">
        <f t="shared" si="554"/>
        <v>MPSI</v>
      </c>
      <c r="O810" t="str">
        <f t="shared" si="555"/>
        <v>COJINETES</v>
      </c>
      <c r="P810" t="str">
        <f t="shared" si="552"/>
        <v>0</v>
      </c>
      <c r="Q810" t="str">
        <f t="shared" si="552"/>
        <v>0</v>
      </c>
      <c r="R810" t="str">
        <f t="shared" si="553"/>
        <v>0,00</v>
      </c>
      <c r="S810" t="str">
        <f t="shared" si="553"/>
        <v>0,00</v>
      </c>
      <c r="T810" t="str">
        <f t="shared" si="546"/>
        <v xml:space="preserve"> </v>
      </c>
      <c r="U810" t="str">
        <f t="shared" si="549"/>
        <v>-</v>
      </c>
      <c r="V810" t="str">
        <f>"7,000"</f>
        <v>7,000</v>
      </c>
      <c r="W810" t="str">
        <f t="shared" si="527"/>
        <v>Lista 4</v>
      </c>
      <c r="X810" t="str">
        <f t="shared" si="528"/>
        <v>Lista 5</v>
      </c>
      <c r="Y810" t="str">
        <f t="shared" si="529"/>
        <v>Oferta Gral.</v>
      </c>
      <c r="Z810" t="str">
        <f t="shared" si="530"/>
        <v>Rubro</v>
      </c>
      <c r="AA810" t="str">
        <f t="shared" si="531"/>
        <v>Cantidad por Bulto</v>
      </c>
      <c r="AB810" t="str">
        <f t="shared" si="532"/>
        <v>INNER</v>
      </c>
      <c r="AC810" t="str">
        <f t="shared" si="533"/>
        <v>Stock en Bultos</v>
      </c>
      <c r="AD810" t="str">
        <f t="shared" si="534"/>
        <v>SubDepósito</v>
      </c>
      <c r="AE810" t="str">
        <f t="shared" si="535"/>
        <v>Marca</v>
      </c>
      <c r="AF810" t="str">
        <f t="shared" si="536"/>
        <v>Super Rubro</v>
      </c>
      <c r="AG810" t="str">
        <f t="shared" si="537"/>
        <v>ComercioExterior</v>
      </c>
      <c r="AH810" t="str">
        <f t="shared" si="538"/>
        <v>PrecioFOB</v>
      </c>
      <c r="AI810" t="str">
        <f t="shared" si="539"/>
        <v>Monto II</v>
      </c>
      <c r="AJ810" t="str">
        <f t="shared" si="540"/>
        <v>Porcentaje II</v>
      </c>
      <c r="AK810" t="str">
        <f t="shared" si="541"/>
        <v>Foto</v>
      </c>
      <c r="AL810" t="str">
        <f>"{\rtf1\ansi\ansicpg1252\deff0\deflang11274{\fonttbl{\f0\fnil\fcharset0 MS Sans Serif}} \viewkind4\uc1\pard\f0\fs16 COJINETES BANCADA 0,50 RENAULT KWID 1.0 3 CILINDROS\par } "</f>
        <v xml:space="preserve">{\rtf1\ansi\ansicpg1252\deff0\deflang11274{\fonttbl{\f0\fnil\fcharset0 MS Sans Serif}} \viewkind4\uc1\pard\f0\fs16 COJINETES BANCADA 0,50 RENAULT KWID 1.0 3 CILINDROS\par } </v>
      </c>
      <c r="AM810" t="str">
        <f t="shared" si="556"/>
        <v xml:space="preserve"> </v>
      </c>
    </row>
    <row r="811" spans="1:39" x14ac:dyDescent="0.25">
      <c r="A811" t="str">
        <f>"BA874 20"</f>
        <v>BA874 20</v>
      </c>
      <c r="B811" t="str">
        <f>"COJINETES BANCADA 0,50 RENAULT MASTER 2.5 MOTOR G9U"</f>
        <v>COJINETES BANCADA 0,50 RENAULT MASTER 2.5 MOTOR G9U</v>
      </c>
      <c r="C811" t="str">
        <f>"$ 23163,96"</f>
        <v>$ 23163,96</v>
      </c>
      <c r="D811" t="str">
        <f>"$ 23163,96"</f>
        <v>$ 23163,96</v>
      </c>
      <c r="E811" t="str">
        <f>"$ 23163,96"</f>
        <v>$ 23163,96</v>
      </c>
      <c r="F811" t="str">
        <f>"$ 23163,96"</f>
        <v>$ 23163,96</v>
      </c>
      <c r="G811" t="str">
        <f>"$ 23163,96"</f>
        <v>$ 23163,96</v>
      </c>
      <c r="H811" t="str">
        <f t="shared" si="524"/>
        <v>$ 0,00</v>
      </c>
      <c r="I811" t="str">
        <f t="shared" si="551"/>
        <v>JUEGO COJINETES BANCADA</v>
      </c>
      <c r="J811" t="str">
        <f t="shared" si="525"/>
        <v>1</v>
      </c>
      <c r="K811" t="str">
        <f t="shared" si="548"/>
        <v>0</v>
      </c>
      <c r="L811" t="str">
        <f>"4,000"</f>
        <v>4,000</v>
      </c>
      <c r="M811" t="str">
        <f t="shared" si="526"/>
        <v xml:space="preserve"> </v>
      </c>
      <c r="N811" t="str">
        <f t="shared" si="554"/>
        <v>MPSI</v>
      </c>
      <c r="O811" t="str">
        <f t="shared" si="555"/>
        <v>COJINETES</v>
      </c>
      <c r="P811" t="str">
        <f t="shared" si="552"/>
        <v>0</v>
      </c>
      <c r="Q811" t="str">
        <f t="shared" si="552"/>
        <v>0</v>
      </c>
      <c r="R811" t="str">
        <f t="shared" si="553"/>
        <v>0,00</v>
      </c>
      <c r="S811" t="str">
        <f t="shared" si="553"/>
        <v>0,00</v>
      </c>
      <c r="T811" t="str">
        <f t="shared" si="546"/>
        <v xml:space="preserve"> </v>
      </c>
      <c r="U811" t="str">
        <f t="shared" si="549"/>
        <v>-</v>
      </c>
      <c r="V811" t="str">
        <f>"4,000"</f>
        <v>4,000</v>
      </c>
      <c r="W811" t="str">
        <f t="shared" si="527"/>
        <v>Lista 4</v>
      </c>
      <c r="X811" t="str">
        <f t="shared" si="528"/>
        <v>Lista 5</v>
      </c>
      <c r="Y811" t="str">
        <f t="shared" si="529"/>
        <v>Oferta Gral.</v>
      </c>
      <c r="Z811" t="str">
        <f t="shared" si="530"/>
        <v>Rubro</v>
      </c>
      <c r="AA811" t="str">
        <f t="shared" si="531"/>
        <v>Cantidad por Bulto</v>
      </c>
      <c r="AB811" t="str">
        <f t="shared" si="532"/>
        <v>INNER</v>
      </c>
      <c r="AC811" t="str">
        <f t="shared" si="533"/>
        <v>Stock en Bultos</v>
      </c>
      <c r="AD811" t="str">
        <f t="shared" si="534"/>
        <v>SubDepósito</v>
      </c>
      <c r="AE811" t="str">
        <f t="shared" si="535"/>
        <v>Marca</v>
      </c>
      <c r="AF811" t="str">
        <f t="shared" si="536"/>
        <v>Super Rubro</v>
      </c>
      <c r="AG811" t="str">
        <f t="shared" si="537"/>
        <v>ComercioExterior</v>
      </c>
      <c r="AH811" t="str">
        <f t="shared" si="538"/>
        <v>PrecioFOB</v>
      </c>
      <c r="AI811" t="str">
        <f t="shared" si="539"/>
        <v>Monto II</v>
      </c>
      <c r="AJ811" t="str">
        <f t="shared" si="540"/>
        <v>Porcentaje II</v>
      </c>
      <c r="AK811" t="str">
        <f t="shared" si="541"/>
        <v>Foto</v>
      </c>
      <c r="AL811" t="str">
        <f t="shared" ref="AL811:AL816" si="557">" "</f>
        <v xml:space="preserve"> </v>
      </c>
      <c r="AM811" t="str">
        <f t="shared" si="556"/>
        <v xml:space="preserve"> </v>
      </c>
    </row>
    <row r="812" spans="1:39" x14ac:dyDescent="0.25">
      <c r="A812" t="str">
        <f>"BA445332 20"</f>
        <v>BA445332 20</v>
      </c>
      <c r="B812" t="str">
        <f>"COJINETES BANCADA 0,50 TOYOTA COROLLA YARIS 1.8 16V MOTOR 2ZR-FE"</f>
        <v>COJINETES BANCADA 0,50 TOYOTA COROLLA YARIS 1.8 16V MOTOR 2ZR-FE</v>
      </c>
      <c r="C812" t="str">
        <f>"$ 18359,86"</f>
        <v>$ 18359,86</v>
      </c>
      <c r="D812" t="str">
        <f>"$ 18359,86"</f>
        <v>$ 18359,86</v>
      </c>
      <c r="E812" t="str">
        <f>"$ 18359,86"</f>
        <v>$ 18359,86</v>
      </c>
      <c r="F812" t="str">
        <f>"$ 18359,86"</f>
        <v>$ 18359,86</v>
      </c>
      <c r="G812" t="str">
        <f>"$ 18359,86"</f>
        <v>$ 18359,86</v>
      </c>
      <c r="H812" t="str">
        <f t="shared" si="524"/>
        <v>$ 0,00</v>
      </c>
      <c r="I812" t="str">
        <f t="shared" si="551"/>
        <v>JUEGO COJINETES BANCADA</v>
      </c>
      <c r="J812" t="str">
        <f t="shared" si="525"/>
        <v>1</v>
      </c>
      <c r="K812" t="str">
        <f t="shared" si="548"/>
        <v>0</v>
      </c>
      <c r="L812" t="str">
        <f>"2,000"</f>
        <v>2,000</v>
      </c>
      <c r="M812" t="str">
        <f t="shared" si="526"/>
        <v xml:space="preserve"> </v>
      </c>
      <c r="N812" t="str">
        <f t="shared" si="554"/>
        <v>MPSI</v>
      </c>
      <c r="O812" t="str">
        <f t="shared" si="555"/>
        <v>COJINETES</v>
      </c>
      <c r="P812" t="str">
        <f t="shared" si="552"/>
        <v>0</v>
      </c>
      <c r="Q812" t="str">
        <f t="shared" si="552"/>
        <v>0</v>
      </c>
      <c r="R812" t="str">
        <f t="shared" si="553"/>
        <v>0,00</v>
      </c>
      <c r="S812" t="str">
        <f t="shared" si="553"/>
        <v>0,00</v>
      </c>
      <c r="T812" t="str">
        <f t="shared" si="546"/>
        <v xml:space="preserve"> </v>
      </c>
      <c r="U812" t="str">
        <f t="shared" si="549"/>
        <v>-</v>
      </c>
      <c r="V812" t="str">
        <f>"2,000"</f>
        <v>2,000</v>
      </c>
      <c r="W812" t="str">
        <f t="shared" si="527"/>
        <v>Lista 4</v>
      </c>
      <c r="X812" t="str">
        <f t="shared" si="528"/>
        <v>Lista 5</v>
      </c>
      <c r="Y812" t="str">
        <f t="shared" si="529"/>
        <v>Oferta Gral.</v>
      </c>
      <c r="Z812" t="str">
        <f t="shared" si="530"/>
        <v>Rubro</v>
      </c>
      <c r="AA812" t="str">
        <f t="shared" si="531"/>
        <v>Cantidad por Bulto</v>
      </c>
      <c r="AB812" t="str">
        <f t="shared" si="532"/>
        <v>INNER</v>
      </c>
      <c r="AC812" t="str">
        <f t="shared" si="533"/>
        <v>Stock en Bultos</v>
      </c>
      <c r="AD812" t="str">
        <f t="shared" si="534"/>
        <v>SubDepósito</v>
      </c>
      <c r="AE812" t="str">
        <f t="shared" si="535"/>
        <v>Marca</v>
      </c>
      <c r="AF812" t="str">
        <f t="shared" si="536"/>
        <v>Super Rubro</v>
      </c>
      <c r="AG812" t="str">
        <f t="shared" si="537"/>
        <v>ComercioExterior</v>
      </c>
      <c r="AH812" t="str">
        <f t="shared" si="538"/>
        <v>PrecioFOB</v>
      </c>
      <c r="AI812" t="str">
        <f t="shared" si="539"/>
        <v>Monto II</v>
      </c>
      <c r="AJ812" t="str">
        <f t="shared" si="540"/>
        <v>Porcentaje II</v>
      </c>
      <c r="AK812" t="str">
        <f t="shared" si="541"/>
        <v>Foto</v>
      </c>
      <c r="AL812" t="str">
        <f t="shared" si="557"/>
        <v xml:space="preserve"> </v>
      </c>
      <c r="AM812" t="str">
        <f t="shared" si="556"/>
        <v xml:space="preserve"> </v>
      </c>
    </row>
    <row r="813" spans="1:39" x14ac:dyDescent="0.25">
      <c r="A813" t="str">
        <f>"BA445107 20"</f>
        <v>BA445107 20</v>
      </c>
      <c r="B813" t="str">
        <f>"COJINETES BANCADA 0,50 TOYOTA ETIOS 1.5"</f>
        <v>COJINETES BANCADA 0,50 TOYOTA ETIOS 1.5</v>
      </c>
      <c r="C813" t="str">
        <f>"$ 17168,15"</f>
        <v>$ 17168,15</v>
      </c>
      <c r="D813" t="str">
        <f>"$ 17168,15"</f>
        <v>$ 17168,15</v>
      </c>
      <c r="E813" t="str">
        <f>"$ 17168,15"</f>
        <v>$ 17168,15</v>
      </c>
      <c r="F813" t="str">
        <f>"$ 17168,15"</f>
        <v>$ 17168,15</v>
      </c>
      <c r="G813" t="str">
        <f>"$ 17168,15"</f>
        <v>$ 17168,15</v>
      </c>
      <c r="H813" t="str">
        <f t="shared" si="524"/>
        <v>$ 0,00</v>
      </c>
      <c r="I813" t="str">
        <f t="shared" si="551"/>
        <v>JUEGO COJINETES BANCADA</v>
      </c>
      <c r="J813" t="str">
        <f t="shared" si="525"/>
        <v>1</v>
      </c>
      <c r="K813" t="str">
        <f t="shared" si="548"/>
        <v>0</v>
      </c>
      <c r="L813" t="str">
        <f>"4,000"</f>
        <v>4,000</v>
      </c>
      <c r="M813" t="str">
        <f t="shared" si="526"/>
        <v xml:space="preserve"> </v>
      </c>
      <c r="N813" t="str">
        <f t="shared" si="554"/>
        <v>MPSI</v>
      </c>
      <c r="O813" t="str">
        <f t="shared" si="555"/>
        <v>COJINETES</v>
      </c>
      <c r="P813" t="str">
        <f t="shared" si="552"/>
        <v>0</v>
      </c>
      <c r="Q813" t="str">
        <f t="shared" si="552"/>
        <v>0</v>
      </c>
      <c r="R813" t="str">
        <f t="shared" si="553"/>
        <v>0,00</v>
      </c>
      <c r="S813" t="str">
        <f t="shared" si="553"/>
        <v>0,00</v>
      </c>
      <c r="T813" t="str">
        <f t="shared" si="546"/>
        <v xml:space="preserve"> </v>
      </c>
      <c r="U813" t="str">
        <f t="shared" si="549"/>
        <v>-</v>
      </c>
      <c r="V813" t="str">
        <f>"4,000"</f>
        <v>4,000</v>
      </c>
      <c r="W813" t="str">
        <f t="shared" si="527"/>
        <v>Lista 4</v>
      </c>
      <c r="X813" t="str">
        <f t="shared" si="528"/>
        <v>Lista 5</v>
      </c>
      <c r="Y813" t="str">
        <f t="shared" si="529"/>
        <v>Oferta Gral.</v>
      </c>
      <c r="Z813" t="str">
        <f t="shared" si="530"/>
        <v>Rubro</v>
      </c>
      <c r="AA813" t="str">
        <f t="shared" si="531"/>
        <v>Cantidad por Bulto</v>
      </c>
      <c r="AB813" t="str">
        <f t="shared" si="532"/>
        <v>INNER</v>
      </c>
      <c r="AC813" t="str">
        <f t="shared" si="533"/>
        <v>Stock en Bultos</v>
      </c>
      <c r="AD813" t="str">
        <f t="shared" si="534"/>
        <v>SubDepósito</v>
      </c>
      <c r="AE813" t="str">
        <f t="shared" si="535"/>
        <v>Marca</v>
      </c>
      <c r="AF813" t="str">
        <f t="shared" si="536"/>
        <v>Super Rubro</v>
      </c>
      <c r="AG813" t="str">
        <f t="shared" si="537"/>
        <v>ComercioExterior</v>
      </c>
      <c r="AH813" t="str">
        <f t="shared" si="538"/>
        <v>PrecioFOB</v>
      </c>
      <c r="AI813" t="str">
        <f t="shared" si="539"/>
        <v>Monto II</v>
      </c>
      <c r="AJ813" t="str">
        <f t="shared" si="540"/>
        <v>Porcentaje II</v>
      </c>
      <c r="AK813" t="str">
        <f t="shared" si="541"/>
        <v>Foto</v>
      </c>
      <c r="AL813" t="str">
        <f t="shared" si="557"/>
        <v xml:space="preserve"> </v>
      </c>
      <c r="AM813" t="str">
        <f t="shared" si="556"/>
        <v xml:space="preserve"> </v>
      </c>
    </row>
    <row r="814" spans="1:39" x14ac:dyDescent="0.25">
      <c r="A814" t="str">
        <f>"BA749 20"</f>
        <v>BA749 20</v>
      </c>
      <c r="B814" t="str">
        <f>"COJINETES BANCADA 0,50 TOYOTA HILUX 2.8 L DIESEL MOTOR 3L"</f>
        <v>COJINETES BANCADA 0,50 TOYOTA HILUX 2.8 L DIESEL MOTOR 3L</v>
      </c>
      <c r="C814" t="str">
        <f>"$ 28452,20"</f>
        <v>$ 28452,20</v>
      </c>
      <c r="D814" t="str">
        <f>"$ 28452,20"</f>
        <v>$ 28452,20</v>
      </c>
      <c r="E814" t="str">
        <f>"$ 28452,20"</f>
        <v>$ 28452,20</v>
      </c>
      <c r="F814" t="str">
        <f>"$ 28452,20"</f>
        <v>$ 28452,20</v>
      </c>
      <c r="G814" t="str">
        <f>"$ 28452,20"</f>
        <v>$ 28452,20</v>
      </c>
      <c r="H814" t="str">
        <f t="shared" si="524"/>
        <v>$ 0,00</v>
      </c>
      <c r="I814" t="str">
        <f t="shared" si="551"/>
        <v>JUEGO COJINETES BANCADA</v>
      </c>
      <c r="J814" t="str">
        <f t="shared" si="525"/>
        <v>1</v>
      </c>
      <c r="K814" t="str">
        <f t="shared" si="548"/>
        <v>0</v>
      </c>
      <c r="L814" t="str">
        <f>"4,000"</f>
        <v>4,000</v>
      </c>
      <c r="M814" t="str">
        <f t="shared" si="526"/>
        <v xml:space="preserve"> </v>
      </c>
      <c r="N814" t="str">
        <f t="shared" si="554"/>
        <v>MPSI</v>
      </c>
      <c r="O814" t="str">
        <f t="shared" si="555"/>
        <v>COJINETES</v>
      </c>
      <c r="P814" t="str">
        <f t="shared" si="552"/>
        <v>0</v>
      </c>
      <c r="Q814" t="str">
        <f t="shared" si="552"/>
        <v>0</v>
      </c>
      <c r="R814" t="str">
        <f t="shared" si="553"/>
        <v>0,00</v>
      </c>
      <c r="S814" t="str">
        <f t="shared" si="553"/>
        <v>0,00</v>
      </c>
      <c r="T814" t="str">
        <f t="shared" si="546"/>
        <v xml:space="preserve"> </v>
      </c>
      <c r="U814" t="str">
        <f t="shared" si="549"/>
        <v>-</v>
      </c>
      <c r="V814" t="str">
        <f>"4,000"</f>
        <v>4,000</v>
      </c>
      <c r="W814" t="str">
        <f t="shared" si="527"/>
        <v>Lista 4</v>
      </c>
      <c r="X814" t="str">
        <f t="shared" si="528"/>
        <v>Lista 5</v>
      </c>
      <c r="Y814" t="str">
        <f t="shared" si="529"/>
        <v>Oferta Gral.</v>
      </c>
      <c r="Z814" t="str">
        <f t="shared" si="530"/>
        <v>Rubro</v>
      </c>
      <c r="AA814" t="str">
        <f t="shared" si="531"/>
        <v>Cantidad por Bulto</v>
      </c>
      <c r="AB814" t="str">
        <f t="shared" si="532"/>
        <v>INNER</v>
      </c>
      <c r="AC814" t="str">
        <f t="shared" si="533"/>
        <v>Stock en Bultos</v>
      </c>
      <c r="AD814" t="str">
        <f t="shared" si="534"/>
        <v>SubDepósito</v>
      </c>
      <c r="AE814" t="str">
        <f t="shared" si="535"/>
        <v>Marca</v>
      </c>
      <c r="AF814" t="str">
        <f t="shared" si="536"/>
        <v>Super Rubro</v>
      </c>
      <c r="AG814" t="str">
        <f t="shared" si="537"/>
        <v>ComercioExterior</v>
      </c>
      <c r="AH814" t="str">
        <f t="shared" si="538"/>
        <v>PrecioFOB</v>
      </c>
      <c r="AI814" t="str">
        <f t="shared" si="539"/>
        <v>Monto II</v>
      </c>
      <c r="AJ814" t="str">
        <f t="shared" si="540"/>
        <v>Porcentaje II</v>
      </c>
      <c r="AK814" t="str">
        <f t="shared" si="541"/>
        <v>Foto</v>
      </c>
      <c r="AL814" t="str">
        <f t="shared" si="557"/>
        <v xml:space="preserve"> </v>
      </c>
      <c r="AM814" t="str">
        <f t="shared" si="556"/>
        <v xml:space="preserve"> </v>
      </c>
    </row>
    <row r="815" spans="1:39" x14ac:dyDescent="0.25">
      <c r="A815" t="str">
        <f>"BA837 20"</f>
        <v>BA837 20</v>
      </c>
      <c r="B815" t="str">
        <f>"COJINETES BANCADA 0,50 TOYOTA HILUX 3.0 MOTOR D4D 1KD"</f>
        <v>COJINETES BANCADA 0,50 TOYOTA HILUX 3.0 MOTOR D4D 1KD</v>
      </c>
      <c r="C815" t="str">
        <f>"$ 33070,10"</f>
        <v>$ 33070,10</v>
      </c>
      <c r="D815" t="str">
        <f>"$ 33070,10"</f>
        <v>$ 33070,10</v>
      </c>
      <c r="E815" t="str">
        <f>"$ 33070,10"</f>
        <v>$ 33070,10</v>
      </c>
      <c r="F815" t="str">
        <f>"$ 33070,10"</f>
        <v>$ 33070,10</v>
      </c>
      <c r="G815" t="str">
        <f>"$ 33070,10"</f>
        <v>$ 33070,10</v>
      </c>
      <c r="H815" t="str">
        <f t="shared" si="524"/>
        <v>$ 0,00</v>
      </c>
      <c r="I815" t="str">
        <f t="shared" si="551"/>
        <v>JUEGO COJINETES BANCADA</v>
      </c>
      <c r="J815" t="str">
        <f t="shared" si="525"/>
        <v>1</v>
      </c>
      <c r="K815" t="str">
        <f t="shared" si="548"/>
        <v>0</v>
      </c>
      <c r="L815" t="str">
        <f>"4,000"</f>
        <v>4,000</v>
      </c>
      <c r="M815" t="str">
        <f t="shared" si="526"/>
        <v xml:space="preserve"> </v>
      </c>
      <c r="N815" t="str">
        <f t="shared" si="554"/>
        <v>MPSI</v>
      </c>
      <c r="O815" t="str">
        <f t="shared" si="555"/>
        <v>COJINETES</v>
      </c>
      <c r="P815" t="str">
        <f t="shared" si="552"/>
        <v>0</v>
      </c>
      <c r="Q815" t="str">
        <f t="shared" si="552"/>
        <v>0</v>
      </c>
      <c r="R815" t="str">
        <f t="shared" si="553"/>
        <v>0,00</v>
      </c>
      <c r="S815" t="str">
        <f t="shared" si="553"/>
        <v>0,00</v>
      </c>
      <c r="T815" t="str">
        <f t="shared" si="546"/>
        <v xml:space="preserve"> </v>
      </c>
      <c r="U815" t="str">
        <f t="shared" si="549"/>
        <v>-</v>
      </c>
      <c r="V815" t="str">
        <f>"4,000"</f>
        <v>4,000</v>
      </c>
      <c r="W815" t="str">
        <f t="shared" si="527"/>
        <v>Lista 4</v>
      </c>
      <c r="X815" t="str">
        <f t="shared" si="528"/>
        <v>Lista 5</v>
      </c>
      <c r="Y815" t="str">
        <f t="shared" si="529"/>
        <v>Oferta Gral.</v>
      </c>
      <c r="Z815" t="str">
        <f t="shared" si="530"/>
        <v>Rubro</v>
      </c>
      <c r="AA815" t="str">
        <f t="shared" si="531"/>
        <v>Cantidad por Bulto</v>
      </c>
      <c r="AB815" t="str">
        <f t="shared" si="532"/>
        <v>INNER</v>
      </c>
      <c r="AC815" t="str">
        <f t="shared" si="533"/>
        <v>Stock en Bultos</v>
      </c>
      <c r="AD815" t="str">
        <f t="shared" si="534"/>
        <v>SubDepósito</v>
      </c>
      <c r="AE815" t="str">
        <f t="shared" si="535"/>
        <v>Marca</v>
      </c>
      <c r="AF815" t="str">
        <f t="shared" si="536"/>
        <v>Super Rubro</v>
      </c>
      <c r="AG815" t="str">
        <f t="shared" si="537"/>
        <v>ComercioExterior</v>
      </c>
      <c r="AH815" t="str">
        <f t="shared" si="538"/>
        <v>PrecioFOB</v>
      </c>
      <c r="AI815" t="str">
        <f t="shared" si="539"/>
        <v>Monto II</v>
      </c>
      <c r="AJ815" t="str">
        <f t="shared" si="540"/>
        <v>Porcentaje II</v>
      </c>
      <c r="AK815" t="str">
        <f t="shared" si="541"/>
        <v>Foto</v>
      </c>
      <c r="AL815" t="str">
        <f t="shared" si="557"/>
        <v xml:space="preserve"> </v>
      </c>
      <c r="AM815" t="str">
        <f t="shared" si="556"/>
        <v xml:space="preserve"> </v>
      </c>
    </row>
    <row r="816" spans="1:39" x14ac:dyDescent="0.25">
      <c r="A816" t="str">
        <f>"BA628 20"</f>
        <v>BA628 20</v>
      </c>
      <c r="B816" t="str">
        <f>"COJINETES BANCADA 0,50 VW FOX SURAN GOL TREND GOLF IVI 1.6 8V"</f>
        <v>COJINETES BANCADA 0,50 VW FOX SURAN GOL TREND GOLF IVI 1.6 8V</v>
      </c>
      <c r="C816" t="str">
        <f>"$ 23052,24"</f>
        <v>$ 23052,24</v>
      </c>
      <c r="D816" t="str">
        <f>"$ 23052,24"</f>
        <v>$ 23052,24</v>
      </c>
      <c r="E816" t="str">
        <f>"$ 23052,24"</f>
        <v>$ 23052,24</v>
      </c>
      <c r="F816" t="str">
        <f>"$ 23052,24"</f>
        <v>$ 23052,24</v>
      </c>
      <c r="G816" t="str">
        <f>"$ 23052,24"</f>
        <v>$ 23052,24</v>
      </c>
      <c r="H816" t="str">
        <f t="shared" si="524"/>
        <v>$ 0,00</v>
      </c>
      <c r="I816" t="str">
        <f t="shared" si="551"/>
        <v>JUEGO COJINETES BANCADA</v>
      </c>
      <c r="J816" t="str">
        <f t="shared" si="525"/>
        <v>1</v>
      </c>
      <c r="K816" t="str">
        <f t="shared" si="548"/>
        <v>0</v>
      </c>
      <c r="L816" t="str">
        <f>"9,000"</f>
        <v>9,000</v>
      </c>
      <c r="M816" t="str">
        <f t="shared" si="526"/>
        <v xml:space="preserve"> </v>
      </c>
      <c r="N816" t="str">
        <f t="shared" si="554"/>
        <v>MPSI</v>
      </c>
      <c r="O816" t="str">
        <f t="shared" si="555"/>
        <v>COJINETES</v>
      </c>
      <c r="P816" t="str">
        <f t="shared" si="552"/>
        <v>0</v>
      </c>
      <c r="Q816" t="str">
        <f t="shared" si="552"/>
        <v>0</v>
      </c>
      <c r="R816" t="str">
        <f t="shared" si="553"/>
        <v>0,00</v>
      </c>
      <c r="S816" t="str">
        <f t="shared" si="553"/>
        <v>0,00</v>
      </c>
      <c r="T816" t="str">
        <f t="shared" si="546"/>
        <v xml:space="preserve"> </v>
      </c>
      <c r="U816" t="str">
        <f t="shared" si="549"/>
        <v>-</v>
      </c>
      <c r="V816" t="str">
        <f>"9,000"</f>
        <v>9,000</v>
      </c>
      <c r="W816" t="str">
        <f t="shared" si="527"/>
        <v>Lista 4</v>
      </c>
      <c r="X816" t="str">
        <f t="shared" si="528"/>
        <v>Lista 5</v>
      </c>
      <c r="Y816" t="str">
        <f t="shared" si="529"/>
        <v>Oferta Gral.</v>
      </c>
      <c r="Z816" t="str">
        <f t="shared" si="530"/>
        <v>Rubro</v>
      </c>
      <c r="AA816" t="str">
        <f t="shared" si="531"/>
        <v>Cantidad por Bulto</v>
      </c>
      <c r="AB816" t="str">
        <f t="shared" si="532"/>
        <v>INNER</v>
      </c>
      <c r="AC816" t="str">
        <f t="shared" si="533"/>
        <v>Stock en Bultos</v>
      </c>
      <c r="AD816" t="str">
        <f t="shared" si="534"/>
        <v>SubDepósito</v>
      </c>
      <c r="AE816" t="str">
        <f t="shared" si="535"/>
        <v>Marca</v>
      </c>
      <c r="AF816" t="str">
        <f t="shared" si="536"/>
        <v>Super Rubro</v>
      </c>
      <c r="AG816" t="str">
        <f t="shared" si="537"/>
        <v>ComercioExterior</v>
      </c>
      <c r="AH816" t="str">
        <f t="shared" si="538"/>
        <v>PrecioFOB</v>
      </c>
      <c r="AI816" t="str">
        <f t="shared" si="539"/>
        <v>Monto II</v>
      </c>
      <c r="AJ816" t="str">
        <f t="shared" si="540"/>
        <v>Porcentaje II</v>
      </c>
      <c r="AK816" t="str">
        <f t="shared" si="541"/>
        <v>Foto</v>
      </c>
      <c r="AL816" t="str">
        <f t="shared" si="557"/>
        <v xml:space="preserve"> </v>
      </c>
      <c r="AM816" t="str">
        <f t="shared" si="556"/>
        <v xml:space="preserve"> </v>
      </c>
    </row>
    <row r="817" spans="1:39" x14ac:dyDescent="0.25">
      <c r="A817" t="str">
        <f>"BA479 20"</f>
        <v>BA479 20</v>
      </c>
      <c r="B817" t="str">
        <f>"COJINETES BANCADA 0,50 VW GOL POLO SAVEIRO MOTOR AUDI 1.6 8V"</f>
        <v>COJINETES BANCADA 0,50 VW GOL POLO SAVEIRO MOTOR AUDI 1.6 8V</v>
      </c>
      <c r="C817" t="str">
        <f>"$ 20459,22"</f>
        <v>$ 20459,22</v>
      </c>
      <c r="D817" t="str">
        <f>"$ 20459,22"</f>
        <v>$ 20459,22</v>
      </c>
      <c r="E817" t="str">
        <f>"$ 20459,22"</f>
        <v>$ 20459,22</v>
      </c>
      <c r="F817" t="str">
        <f>"$ 20459,22"</f>
        <v>$ 20459,22</v>
      </c>
      <c r="G817" t="str">
        <f>"$ 20459,22"</f>
        <v>$ 20459,22</v>
      </c>
      <c r="H817" t="str">
        <f t="shared" si="524"/>
        <v>$ 0,00</v>
      </c>
      <c r="I817" t="str">
        <f t="shared" si="551"/>
        <v>JUEGO COJINETES BANCADA</v>
      </c>
      <c r="J817" t="str">
        <f t="shared" si="525"/>
        <v>1</v>
      </c>
      <c r="K817" t="str">
        <f t="shared" si="548"/>
        <v>0</v>
      </c>
      <c r="L817" t="str">
        <f>"14,000"</f>
        <v>14,000</v>
      </c>
      <c r="M817" t="str">
        <f t="shared" si="526"/>
        <v xml:space="preserve"> </v>
      </c>
      <c r="N817" t="str">
        <f t="shared" si="554"/>
        <v>MPSI</v>
      </c>
      <c r="O817" t="str">
        <f t="shared" si="555"/>
        <v>COJINETES</v>
      </c>
      <c r="P817" t="str">
        <f t="shared" si="552"/>
        <v>0</v>
      </c>
      <c r="Q817" t="str">
        <f t="shared" si="552"/>
        <v>0</v>
      </c>
      <c r="R817" t="str">
        <f t="shared" si="553"/>
        <v>0,00</v>
      </c>
      <c r="S817" t="str">
        <f t="shared" si="553"/>
        <v>0,00</v>
      </c>
      <c r="T817" t="str">
        <f t="shared" si="546"/>
        <v xml:space="preserve"> </v>
      </c>
      <c r="U817" t="str">
        <f t="shared" si="549"/>
        <v>-</v>
      </c>
      <c r="V817" t="str">
        <f>"14,000"</f>
        <v>14,000</v>
      </c>
      <c r="W817" t="str">
        <f t="shared" si="527"/>
        <v>Lista 4</v>
      </c>
      <c r="X817" t="str">
        <f t="shared" si="528"/>
        <v>Lista 5</v>
      </c>
      <c r="Y817" t="str">
        <f t="shared" si="529"/>
        <v>Oferta Gral.</v>
      </c>
      <c r="Z817" t="str">
        <f t="shared" si="530"/>
        <v>Rubro</v>
      </c>
      <c r="AA817" t="str">
        <f t="shared" si="531"/>
        <v>Cantidad por Bulto</v>
      </c>
      <c r="AB817" t="str">
        <f t="shared" si="532"/>
        <v>INNER</v>
      </c>
      <c r="AC817" t="str">
        <f t="shared" si="533"/>
        <v>Stock en Bultos</v>
      </c>
      <c r="AD817" t="str">
        <f t="shared" si="534"/>
        <v>SubDepósito</v>
      </c>
      <c r="AE817" t="str">
        <f t="shared" si="535"/>
        <v>Marca</v>
      </c>
      <c r="AF817" t="str">
        <f t="shared" si="536"/>
        <v>Super Rubro</v>
      </c>
      <c r="AG817" t="str">
        <f t="shared" si="537"/>
        <v>ComercioExterior</v>
      </c>
      <c r="AH817" t="str">
        <f t="shared" si="538"/>
        <v>PrecioFOB</v>
      </c>
      <c r="AI817" t="str">
        <f t="shared" si="539"/>
        <v>Monto II</v>
      </c>
      <c r="AJ817" t="str">
        <f t="shared" si="540"/>
        <v>Porcentaje II</v>
      </c>
      <c r="AK817" t="str">
        <f t="shared" si="541"/>
        <v>Foto</v>
      </c>
      <c r="AL817" t="str">
        <f>"{\rtf1\ansi\ansicpg1252\deff0\deflang2058{\fonttbl{\f0\fnil\fcharset0 MS Sans Serif}} \viewkind4\uc1\pard\f0\fs16 COJINETES BANCADA 0,50 VW GOL POLO SAVEIRO MOTOR AUDI 1.6 8V\par } "</f>
        <v xml:space="preserve">{\rtf1\ansi\ansicpg1252\deff0\deflang2058{\fonttbl{\f0\fnil\fcharset0 MS Sans Serif}} \viewkind4\uc1\pard\f0\fs16 COJINETES BANCADA 0,50 VW GOL POLO SAVEIRO MOTOR AUDI 1.6 8V\par } </v>
      </c>
      <c r="AM817" t="str">
        <f t="shared" si="556"/>
        <v xml:space="preserve"> </v>
      </c>
    </row>
    <row r="818" spans="1:39" x14ac:dyDescent="0.25">
      <c r="A818" t="str">
        <f>"BA480 20"</f>
        <v>BA480 20</v>
      </c>
      <c r="B818" t="str">
        <f>"COJINETES BANCADA 0,50 VW GOL POLO SAVEIRO MOTOR AUDI 1.6 8V CON AXIAL"</f>
        <v>COJINETES BANCADA 0,50 VW GOL POLO SAVEIRO MOTOR AUDI 1.6 8V CON AXIAL</v>
      </c>
      <c r="C818" t="str">
        <f>"$ 31803,90"</f>
        <v>$ 31803,90</v>
      </c>
      <c r="D818" t="str">
        <f>"$ 31803,90"</f>
        <v>$ 31803,90</v>
      </c>
      <c r="E818" t="str">
        <f>"$ 31803,90"</f>
        <v>$ 31803,90</v>
      </c>
      <c r="F818" t="str">
        <f>"$ 31803,90"</f>
        <v>$ 31803,90</v>
      </c>
      <c r="G818" t="str">
        <f>"$ 31803,90"</f>
        <v>$ 31803,90</v>
      </c>
      <c r="H818" t="str">
        <f t="shared" si="524"/>
        <v>$ 0,00</v>
      </c>
      <c r="I818" t="str">
        <f t="shared" si="551"/>
        <v>JUEGO COJINETES BANCADA</v>
      </c>
      <c r="J818" t="str">
        <f t="shared" si="525"/>
        <v>1</v>
      </c>
      <c r="K818" t="str">
        <f t="shared" si="548"/>
        <v>0</v>
      </c>
      <c r="L818" t="str">
        <f>"9,000"</f>
        <v>9,000</v>
      </c>
      <c r="M818" t="str">
        <f t="shared" si="526"/>
        <v xml:space="preserve"> </v>
      </c>
      <c r="N818" t="str">
        <f t="shared" si="554"/>
        <v>MPSI</v>
      </c>
      <c r="O818" t="str">
        <f t="shared" si="555"/>
        <v>COJINETES</v>
      </c>
      <c r="P818" t="str">
        <f t="shared" si="552"/>
        <v>0</v>
      </c>
      <c r="Q818" t="str">
        <f t="shared" si="552"/>
        <v>0</v>
      </c>
      <c r="R818" t="str">
        <f t="shared" si="553"/>
        <v>0,00</v>
      </c>
      <c r="S818" t="str">
        <f t="shared" si="553"/>
        <v>0,00</v>
      </c>
      <c r="T818" t="str">
        <f t="shared" si="546"/>
        <v xml:space="preserve"> </v>
      </c>
      <c r="U818" t="str">
        <f t="shared" si="549"/>
        <v>-</v>
      </c>
      <c r="V818" t="str">
        <f>"9,000"</f>
        <v>9,000</v>
      </c>
      <c r="W818" t="str">
        <f t="shared" si="527"/>
        <v>Lista 4</v>
      </c>
      <c r="X818" t="str">
        <f t="shared" si="528"/>
        <v>Lista 5</v>
      </c>
      <c r="Y818" t="str">
        <f t="shared" si="529"/>
        <v>Oferta Gral.</v>
      </c>
      <c r="Z818" t="str">
        <f t="shared" si="530"/>
        <v>Rubro</v>
      </c>
      <c r="AA818" t="str">
        <f t="shared" si="531"/>
        <v>Cantidad por Bulto</v>
      </c>
      <c r="AB818" t="str">
        <f t="shared" si="532"/>
        <v>INNER</v>
      </c>
      <c r="AC818" t="str">
        <f t="shared" si="533"/>
        <v>Stock en Bultos</v>
      </c>
      <c r="AD818" t="str">
        <f t="shared" si="534"/>
        <v>SubDepósito</v>
      </c>
      <c r="AE818" t="str">
        <f t="shared" si="535"/>
        <v>Marca</v>
      </c>
      <c r="AF818" t="str">
        <f t="shared" si="536"/>
        <v>Super Rubro</v>
      </c>
      <c r="AG818" t="str">
        <f t="shared" si="537"/>
        <v>ComercioExterior</v>
      </c>
      <c r="AH818" t="str">
        <f t="shared" si="538"/>
        <v>PrecioFOB</v>
      </c>
      <c r="AI818" t="str">
        <f t="shared" si="539"/>
        <v>Monto II</v>
      </c>
      <c r="AJ818" t="str">
        <f t="shared" si="540"/>
        <v>Porcentaje II</v>
      </c>
      <c r="AK818" t="str">
        <f t="shared" si="541"/>
        <v>Foto</v>
      </c>
      <c r="AL818" t="str">
        <f>" "</f>
        <v xml:space="preserve"> </v>
      </c>
      <c r="AM818" t="str">
        <f t="shared" si="556"/>
        <v xml:space="preserve"> </v>
      </c>
    </row>
    <row r="819" spans="1:39" x14ac:dyDescent="0.25">
      <c r="A819" t="str">
        <f>"BA464108 20"</f>
        <v>BA464108 20</v>
      </c>
      <c r="B819" t="str">
        <f>"COJINETES BANCADA 0,50 VW UP 1.0 3 CILINDROS"</f>
        <v>COJINETES BANCADA 0,50 VW UP 1.0 3 CILINDROS</v>
      </c>
      <c r="C819" t="str">
        <f>"$ 16628,15"</f>
        <v>$ 16628,15</v>
      </c>
      <c r="D819" t="str">
        <f>"$ 16628,15"</f>
        <v>$ 16628,15</v>
      </c>
      <c r="E819" t="str">
        <f>"$ 16628,15"</f>
        <v>$ 16628,15</v>
      </c>
      <c r="F819" t="str">
        <f>"$ 16628,15"</f>
        <v>$ 16628,15</v>
      </c>
      <c r="G819" t="str">
        <f>"$ 16628,15"</f>
        <v>$ 16628,15</v>
      </c>
      <c r="H819" t="str">
        <f t="shared" si="524"/>
        <v>$ 0,00</v>
      </c>
      <c r="I819" t="str">
        <f t="shared" si="551"/>
        <v>JUEGO COJINETES BANCADA</v>
      </c>
      <c r="J819" t="str">
        <f t="shared" si="525"/>
        <v>1</v>
      </c>
      <c r="K819" t="str">
        <f t="shared" si="548"/>
        <v>0</v>
      </c>
      <c r="L819" t="str">
        <f>"2,000"</f>
        <v>2,000</v>
      </c>
      <c r="M819" t="str">
        <f t="shared" si="526"/>
        <v xml:space="preserve"> </v>
      </c>
      <c r="N819" t="str">
        <f t="shared" si="554"/>
        <v>MPSI</v>
      </c>
      <c r="O819" t="str">
        <f t="shared" si="555"/>
        <v>COJINETES</v>
      </c>
      <c r="P819" t="str">
        <f t="shared" si="552"/>
        <v>0</v>
      </c>
      <c r="Q819" t="str">
        <f t="shared" si="552"/>
        <v>0</v>
      </c>
      <c r="R819" t="str">
        <f t="shared" si="553"/>
        <v>0,00</v>
      </c>
      <c r="S819" t="str">
        <f t="shared" si="553"/>
        <v>0,00</v>
      </c>
      <c r="T819" t="str">
        <f t="shared" si="546"/>
        <v xml:space="preserve"> </v>
      </c>
      <c r="U819" t="str">
        <f t="shared" si="549"/>
        <v>-</v>
      </c>
      <c r="V819" t="str">
        <f>"2,000"</f>
        <v>2,000</v>
      </c>
      <c r="W819" t="str">
        <f t="shared" si="527"/>
        <v>Lista 4</v>
      </c>
      <c r="X819" t="str">
        <f t="shared" si="528"/>
        <v>Lista 5</v>
      </c>
      <c r="Y819" t="str">
        <f t="shared" si="529"/>
        <v>Oferta Gral.</v>
      </c>
      <c r="Z819" t="str">
        <f t="shared" si="530"/>
        <v>Rubro</v>
      </c>
      <c r="AA819" t="str">
        <f t="shared" si="531"/>
        <v>Cantidad por Bulto</v>
      </c>
      <c r="AB819" t="str">
        <f t="shared" si="532"/>
        <v>INNER</v>
      </c>
      <c r="AC819" t="str">
        <f t="shared" si="533"/>
        <v>Stock en Bultos</v>
      </c>
      <c r="AD819" t="str">
        <f t="shared" si="534"/>
        <v>SubDepósito</v>
      </c>
      <c r="AE819" t="str">
        <f t="shared" si="535"/>
        <v>Marca</v>
      </c>
      <c r="AF819" t="str">
        <f t="shared" si="536"/>
        <v>Super Rubro</v>
      </c>
      <c r="AG819" t="str">
        <f t="shared" si="537"/>
        <v>ComercioExterior</v>
      </c>
      <c r="AH819" t="str">
        <f t="shared" si="538"/>
        <v>PrecioFOB</v>
      </c>
      <c r="AI819" t="str">
        <f t="shared" si="539"/>
        <v>Monto II</v>
      </c>
      <c r="AJ819" t="str">
        <f t="shared" si="540"/>
        <v>Porcentaje II</v>
      </c>
      <c r="AK819" t="str">
        <f t="shared" si="541"/>
        <v>Foto</v>
      </c>
      <c r="AL819" t="str">
        <f>" "</f>
        <v xml:space="preserve"> </v>
      </c>
      <c r="AM819" t="str">
        <f t="shared" si="556"/>
        <v xml:space="preserve"> </v>
      </c>
    </row>
    <row r="820" spans="1:39" x14ac:dyDescent="0.25">
      <c r="A820" t="str">
        <f>"BA629 30"</f>
        <v>BA629 30</v>
      </c>
      <c r="B820" t="str">
        <f>"COJINETES BANCADA 0,75 AMAROK 2.0 TDI"</f>
        <v>COJINETES BANCADA 0,75 AMAROK 2.0 TDI</v>
      </c>
      <c r="C820" t="str">
        <f>"$ 31432,50"</f>
        <v>$ 31432,50</v>
      </c>
      <c r="D820" t="str">
        <f>"$ 31432,50"</f>
        <v>$ 31432,50</v>
      </c>
      <c r="E820" t="str">
        <f>"$ 31432,50"</f>
        <v>$ 31432,50</v>
      </c>
      <c r="F820" t="str">
        <f>"$ 31432,50"</f>
        <v>$ 31432,50</v>
      </c>
      <c r="G820" t="str">
        <f>"$ 31432,50"</f>
        <v>$ 31432,50</v>
      </c>
      <c r="H820" t="str">
        <f t="shared" si="524"/>
        <v>$ 0,00</v>
      </c>
      <c r="I820" t="str">
        <f t="shared" si="551"/>
        <v>JUEGO COJINETES BANCADA</v>
      </c>
      <c r="J820" t="str">
        <f t="shared" si="525"/>
        <v>1</v>
      </c>
      <c r="K820" t="str">
        <f t="shared" si="548"/>
        <v>0</v>
      </c>
      <c r="L820" t="str">
        <f>"4,000"</f>
        <v>4,000</v>
      </c>
      <c r="M820" t="str">
        <f t="shared" si="526"/>
        <v xml:space="preserve"> </v>
      </c>
      <c r="N820" t="str">
        <f t="shared" si="554"/>
        <v>MPSI</v>
      </c>
      <c r="O820" t="str">
        <f t="shared" si="555"/>
        <v>COJINETES</v>
      </c>
      <c r="P820" t="str">
        <f t="shared" si="552"/>
        <v>0</v>
      </c>
      <c r="Q820" t="str">
        <f t="shared" si="552"/>
        <v>0</v>
      </c>
      <c r="R820" t="str">
        <f t="shared" si="553"/>
        <v>0,00</v>
      </c>
      <c r="S820" t="str">
        <f t="shared" si="553"/>
        <v>0,00</v>
      </c>
      <c r="T820" t="str">
        <f t="shared" si="546"/>
        <v xml:space="preserve"> </v>
      </c>
      <c r="U820" t="str">
        <f t="shared" si="549"/>
        <v>-</v>
      </c>
      <c r="V820" t="str">
        <f>"4,000"</f>
        <v>4,000</v>
      </c>
      <c r="W820" t="str">
        <f t="shared" si="527"/>
        <v>Lista 4</v>
      </c>
      <c r="X820" t="str">
        <f t="shared" si="528"/>
        <v>Lista 5</v>
      </c>
      <c r="Y820" t="str">
        <f t="shared" si="529"/>
        <v>Oferta Gral.</v>
      </c>
      <c r="Z820" t="str">
        <f t="shared" si="530"/>
        <v>Rubro</v>
      </c>
      <c r="AA820" t="str">
        <f t="shared" si="531"/>
        <v>Cantidad por Bulto</v>
      </c>
      <c r="AB820" t="str">
        <f t="shared" si="532"/>
        <v>INNER</v>
      </c>
      <c r="AC820" t="str">
        <f t="shared" si="533"/>
        <v>Stock en Bultos</v>
      </c>
      <c r="AD820" t="str">
        <f t="shared" si="534"/>
        <v>SubDepósito</v>
      </c>
      <c r="AE820" t="str">
        <f t="shared" si="535"/>
        <v>Marca</v>
      </c>
      <c r="AF820" t="str">
        <f t="shared" si="536"/>
        <v>Super Rubro</v>
      </c>
      <c r="AG820" t="str">
        <f t="shared" si="537"/>
        <v>ComercioExterior</v>
      </c>
      <c r="AH820" t="str">
        <f t="shared" si="538"/>
        <v>PrecioFOB</v>
      </c>
      <c r="AI820" t="str">
        <f t="shared" si="539"/>
        <v>Monto II</v>
      </c>
      <c r="AJ820" t="str">
        <f t="shared" si="540"/>
        <v>Porcentaje II</v>
      </c>
      <c r="AK820" t="str">
        <f t="shared" si="541"/>
        <v>Foto</v>
      </c>
      <c r="AL820" t="str">
        <f>" "</f>
        <v xml:space="preserve"> </v>
      </c>
      <c r="AM820" t="str">
        <f t="shared" si="556"/>
        <v xml:space="preserve"> </v>
      </c>
    </row>
    <row r="821" spans="1:39" x14ac:dyDescent="0.25">
      <c r="A821" t="str">
        <f>"BA062 30"</f>
        <v>BA062 30</v>
      </c>
      <c r="B821" t="str">
        <f>"COJINETES BANCADA 0,75 CHEVROLET 400 CHEVY C10"</f>
        <v>COJINETES BANCADA 0,75 CHEVROLET 400 CHEVY C10</v>
      </c>
      <c r="C821" t="str">
        <f>"$ 40323,50"</f>
        <v>$ 40323,50</v>
      </c>
      <c r="D821" t="str">
        <f>"$ 40323,50"</f>
        <v>$ 40323,50</v>
      </c>
      <c r="E821" t="str">
        <f>"$ 40323,50"</f>
        <v>$ 40323,50</v>
      </c>
      <c r="F821" t="str">
        <f>"$ 40323,50"</f>
        <v>$ 40323,50</v>
      </c>
      <c r="G821" t="str">
        <f>"$ 40323,50"</f>
        <v>$ 40323,50</v>
      </c>
      <c r="H821" t="str">
        <f t="shared" si="524"/>
        <v>$ 0,00</v>
      </c>
      <c r="I821" t="str">
        <f t="shared" si="551"/>
        <v>JUEGO COJINETES BANCADA</v>
      </c>
      <c r="J821" t="str">
        <f t="shared" si="525"/>
        <v>1</v>
      </c>
      <c r="K821" t="str">
        <f t="shared" si="548"/>
        <v>0</v>
      </c>
      <c r="L821" t="str">
        <f>"4,000"</f>
        <v>4,000</v>
      </c>
      <c r="M821" t="str">
        <f t="shared" si="526"/>
        <v xml:space="preserve"> </v>
      </c>
      <c r="N821" t="str">
        <f t="shared" si="554"/>
        <v>MPSI</v>
      </c>
      <c r="O821" t="str">
        <f t="shared" si="555"/>
        <v>COJINETES</v>
      </c>
      <c r="P821" t="str">
        <f t="shared" si="552"/>
        <v>0</v>
      </c>
      <c r="Q821" t="str">
        <f t="shared" si="552"/>
        <v>0</v>
      </c>
      <c r="R821" t="str">
        <f t="shared" si="553"/>
        <v>0,00</v>
      </c>
      <c r="S821" t="str">
        <f t="shared" si="553"/>
        <v>0,00</v>
      </c>
      <c r="T821" t="str">
        <f t="shared" si="546"/>
        <v xml:space="preserve"> </v>
      </c>
      <c r="U821" t="str">
        <f t="shared" si="549"/>
        <v>-</v>
      </c>
      <c r="V821" t="str">
        <f>"4,000"</f>
        <v>4,000</v>
      </c>
      <c r="W821" t="str">
        <f t="shared" si="527"/>
        <v>Lista 4</v>
      </c>
      <c r="X821" t="str">
        <f t="shared" si="528"/>
        <v>Lista 5</v>
      </c>
      <c r="Y821" t="str">
        <f t="shared" si="529"/>
        <v>Oferta Gral.</v>
      </c>
      <c r="Z821" t="str">
        <f t="shared" si="530"/>
        <v>Rubro</v>
      </c>
      <c r="AA821" t="str">
        <f t="shared" si="531"/>
        <v>Cantidad por Bulto</v>
      </c>
      <c r="AB821" t="str">
        <f t="shared" si="532"/>
        <v>INNER</v>
      </c>
      <c r="AC821" t="str">
        <f t="shared" si="533"/>
        <v>Stock en Bultos</v>
      </c>
      <c r="AD821" t="str">
        <f t="shared" si="534"/>
        <v>SubDepósito</v>
      </c>
      <c r="AE821" t="str">
        <f t="shared" si="535"/>
        <v>Marca</v>
      </c>
      <c r="AF821" t="str">
        <f t="shared" si="536"/>
        <v>Super Rubro</v>
      </c>
      <c r="AG821" t="str">
        <f t="shared" si="537"/>
        <v>ComercioExterior</v>
      </c>
      <c r="AH821" t="str">
        <f t="shared" si="538"/>
        <v>PrecioFOB</v>
      </c>
      <c r="AI821" t="str">
        <f t="shared" si="539"/>
        <v>Monto II</v>
      </c>
      <c r="AJ821" t="str">
        <f t="shared" si="540"/>
        <v>Porcentaje II</v>
      </c>
      <c r="AK821" t="str">
        <f t="shared" si="541"/>
        <v>Foto</v>
      </c>
      <c r="AL821" t="str">
        <f>" "</f>
        <v xml:space="preserve"> </v>
      </c>
      <c r="AM821" t="str">
        <f t="shared" si="556"/>
        <v xml:space="preserve"> </v>
      </c>
    </row>
    <row r="822" spans="1:39" x14ac:dyDescent="0.25">
      <c r="A822" t="str">
        <f>"BA068 30"</f>
        <v>BA068 30</v>
      </c>
      <c r="B822" t="str">
        <f>"COJINETES BANCADA 0,75 CHEVROLET ASTRA MONZA 1.8 2.0 8V"</f>
        <v>COJINETES BANCADA 0,75 CHEVROLET ASTRA MONZA 1.8 2.0 8V</v>
      </c>
      <c r="C822" t="str">
        <f>"$ 31803,90"</f>
        <v>$ 31803,90</v>
      </c>
      <c r="D822" t="str">
        <f>"$ 31803,90"</f>
        <v>$ 31803,90</v>
      </c>
      <c r="E822" t="str">
        <f>"$ 31803,90"</f>
        <v>$ 31803,90</v>
      </c>
      <c r="F822" t="str">
        <f>"$ 31803,90"</f>
        <v>$ 31803,90</v>
      </c>
      <c r="G822" t="str">
        <f>"$ 31803,90"</f>
        <v>$ 31803,90</v>
      </c>
      <c r="H822" t="str">
        <f t="shared" si="524"/>
        <v>$ 0,00</v>
      </c>
      <c r="I822" t="str">
        <f t="shared" si="551"/>
        <v>JUEGO COJINETES BANCADA</v>
      </c>
      <c r="J822" t="str">
        <f t="shared" si="525"/>
        <v>1</v>
      </c>
      <c r="K822" t="str">
        <f t="shared" si="548"/>
        <v>0</v>
      </c>
      <c r="L822" t="str">
        <f>"10,000"</f>
        <v>10,000</v>
      </c>
      <c r="M822" t="str">
        <f t="shared" si="526"/>
        <v xml:space="preserve"> </v>
      </c>
      <c r="N822" t="str">
        <f t="shared" si="554"/>
        <v>MPSI</v>
      </c>
      <c r="O822" t="str">
        <f t="shared" si="555"/>
        <v>COJINETES</v>
      </c>
      <c r="P822" t="str">
        <f t="shared" si="552"/>
        <v>0</v>
      </c>
      <c r="Q822" t="str">
        <f t="shared" si="552"/>
        <v>0</v>
      </c>
      <c r="R822" t="str">
        <f t="shared" si="553"/>
        <v>0,00</v>
      </c>
      <c r="S822" t="str">
        <f t="shared" si="553"/>
        <v>0,00</v>
      </c>
      <c r="T822" t="str">
        <f t="shared" si="546"/>
        <v xml:space="preserve"> </v>
      </c>
      <c r="U822" t="str">
        <f t="shared" si="549"/>
        <v>-</v>
      </c>
      <c r="V822" t="str">
        <f>"10,000"</f>
        <v>10,000</v>
      </c>
      <c r="W822" t="str">
        <f t="shared" si="527"/>
        <v>Lista 4</v>
      </c>
      <c r="X822" t="str">
        <f t="shared" si="528"/>
        <v>Lista 5</v>
      </c>
      <c r="Y822" t="str">
        <f t="shared" si="529"/>
        <v>Oferta Gral.</v>
      </c>
      <c r="Z822" t="str">
        <f t="shared" si="530"/>
        <v>Rubro</v>
      </c>
      <c r="AA822" t="str">
        <f t="shared" si="531"/>
        <v>Cantidad por Bulto</v>
      </c>
      <c r="AB822" t="str">
        <f t="shared" si="532"/>
        <v>INNER</v>
      </c>
      <c r="AC822" t="str">
        <f t="shared" si="533"/>
        <v>Stock en Bultos</v>
      </c>
      <c r="AD822" t="str">
        <f t="shared" si="534"/>
        <v>SubDepósito</v>
      </c>
      <c r="AE822" t="str">
        <f t="shared" si="535"/>
        <v>Marca</v>
      </c>
      <c r="AF822" t="str">
        <f t="shared" si="536"/>
        <v>Super Rubro</v>
      </c>
      <c r="AG822" t="str">
        <f t="shared" si="537"/>
        <v>ComercioExterior</v>
      </c>
      <c r="AH822" t="str">
        <f t="shared" si="538"/>
        <v>PrecioFOB</v>
      </c>
      <c r="AI822" t="str">
        <f t="shared" si="539"/>
        <v>Monto II</v>
      </c>
      <c r="AJ822" t="str">
        <f t="shared" si="540"/>
        <v>Porcentaje II</v>
      </c>
      <c r="AK822" t="str">
        <f t="shared" si="541"/>
        <v>Foto</v>
      </c>
      <c r="AL822" t="str">
        <f>" "</f>
        <v xml:space="preserve"> </v>
      </c>
      <c r="AM822" t="str">
        <f t="shared" si="556"/>
        <v xml:space="preserve"> </v>
      </c>
    </row>
    <row r="823" spans="1:39" x14ac:dyDescent="0.25">
      <c r="A823" t="str">
        <f>"BA371 30"</f>
        <v>BA371 30</v>
      </c>
      <c r="B823" t="str">
        <f>"COJINETES BANCADA 0,75 CHEVROLET CORSA 1.4 1.6 FIAT PALIO 1.8"</f>
        <v>COJINETES BANCADA 0,75 CHEVROLET CORSA 1.4 1.6 FIAT PALIO 1.8</v>
      </c>
      <c r="C823" t="str">
        <f>"$ 26359,01"</f>
        <v>$ 26359,01</v>
      </c>
      <c r="D823" t="str">
        <f>"$ 26359,01"</f>
        <v>$ 26359,01</v>
      </c>
      <c r="E823" t="str">
        <f>"$ 26359,01"</f>
        <v>$ 26359,01</v>
      </c>
      <c r="F823" t="str">
        <f>"$ 26359,01"</f>
        <v>$ 26359,01</v>
      </c>
      <c r="G823" t="str">
        <f>"$ 26359,01"</f>
        <v>$ 26359,01</v>
      </c>
      <c r="H823" t="str">
        <f t="shared" si="524"/>
        <v>$ 0,00</v>
      </c>
      <c r="I823" t="str">
        <f t="shared" si="551"/>
        <v>JUEGO COJINETES BANCADA</v>
      </c>
      <c r="J823" t="str">
        <f t="shared" si="525"/>
        <v>1</v>
      </c>
      <c r="K823" t="str">
        <f t="shared" si="548"/>
        <v>0</v>
      </c>
      <c r="L823" t="str">
        <f>"6,000"</f>
        <v>6,000</v>
      </c>
      <c r="M823" t="str">
        <f t="shared" si="526"/>
        <v xml:space="preserve"> </v>
      </c>
      <c r="N823" t="str">
        <f t="shared" si="554"/>
        <v>MPSI</v>
      </c>
      <c r="O823" t="str">
        <f t="shared" si="555"/>
        <v>COJINETES</v>
      </c>
      <c r="P823" t="str">
        <f t="shared" ref="P823:Q842" si="558">"0"</f>
        <v>0</v>
      </c>
      <c r="Q823" t="str">
        <f t="shared" si="558"/>
        <v>0</v>
      </c>
      <c r="R823" t="str">
        <f t="shared" ref="R823:S842" si="559">"0,00"</f>
        <v>0,00</v>
      </c>
      <c r="S823" t="str">
        <f t="shared" si="559"/>
        <v>0,00</v>
      </c>
      <c r="T823" t="str">
        <f t="shared" si="546"/>
        <v xml:space="preserve"> </v>
      </c>
      <c r="U823" t="str">
        <f t="shared" si="549"/>
        <v>-</v>
      </c>
      <c r="V823" t="str">
        <f>"6,000"</f>
        <v>6,000</v>
      </c>
      <c r="W823" t="str">
        <f t="shared" si="527"/>
        <v>Lista 4</v>
      </c>
      <c r="X823" t="str">
        <f t="shared" si="528"/>
        <v>Lista 5</v>
      </c>
      <c r="Y823" t="str">
        <f t="shared" si="529"/>
        <v>Oferta Gral.</v>
      </c>
      <c r="Z823" t="str">
        <f t="shared" si="530"/>
        <v>Rubro</v>
      </c>
      <c r="AA823" t="str">
        <f t="shared" si="531"/>
        <v>Cantidad por Bulto</v>
      </c>
      <c r="AB823" t="str">
        <f t="shared" si="532"/>
        <v>INNER</v>
      </c>
      <c r="AC823" t="str">
        <f t="shared" si="533"/>
        <v>Stock en Bultos</v>
      </c>
      <c r="AD823" t="str">
        <f t="shared" si="534"/>
        <v>SubDepósito</v>
      </c>
      <c r="AE823" t="str">
        <f t="shared" si="535"/>
        <v>Marca</v>
      </c>
      <c r="AF823" t="str">
        <f t="shared" si="536"/>
        <v>Super Rubro</v>
      </c>
      <c r="AG823" t="str">
        <f t="shared" si="537"/>
        <v>ComercioExterior</v>
      </c>
      <c r="AH823" t="str">
        <f t="shared" si="538"/>
        <v>PrecioFOB</v>
      </c>
      <c r="AI823" t="str">
        <f t="shared" si="539"/>
        <v>Monto II</v>
      </c>
      <c r="AJ823" t="str">
        <f t="shared" si="540"/>
        <v>Porcentaje II</v>
      </c>
      <c r="AK823" t="str">
        <f t="shared" si="541"/>
        <v>Foto</v>
      </c>
      <c r="AL823" t="str">
        <f>"{\rtf1\ansi\ansicpg1252\deff0\deflang2058{\fonttbl{\f0\fnil\fcharset0 MS Sans Serif}} \viewkind4\uc1\pard\f0\fs16 COJINETES BANCADA 0,75 CHEVROLET CORSA 1.4 1.6 FIAT PALIO 1.8\par } "</f>
        <v xml:space="preserve">{\rtf1\ansi\ansicpg1252\deff0\deflang2058{\fonttbl{\f0\fnil\fcharset0 MS Sans Serif}} \viewkind4\uc1\pard\f0\fs16 COJINETES BANCADA 0,75 CHEVROLET CORSA 1.4 1.6 FIAT PALIO 1.8\par } </v>
      </c>
      <c r="AM823" t="str">
        <f t="shared" si="556"/>
        <v xml:space="preserve"> </v>
      </c>
    </row>
    <row r="824" spans="1:39" x14ac:dyDescent="0.25">
      <c r="A824" t="str">
        <f>"BA372 30"</f>
        <v>BA372 30</v>
      </c>
      <c r="B824" t="str">
        <f>"COJINETES BANCADA 0,75 CHEVROLET CORSA CON AXIAL +0,40MM"</f>
        <v>COJINETES BANCADA 0,75 CHEVROLET CORSA CON AXIAL +0,40MM</v>
      </c>
      <c r="C824" t="str">
        <f>"$ 31152,18"</f>
        <v>$ 31152,18</v>
      </c>
      <c r="D824" t="str">
        <f>"$ 31152,18"</f>
        <v>$ 31152,18</v>
      </c>
      <c r="E824" t="str">
        <f>"$ 31152,18"</f>
        <v>$ 31152,18</v>
      </c>
      <c r="F824" t="str">
        <f>"$ 31152,18"</f>
        <v>$ 31152,18</v>
      </c>
      <c r="G824" t="str">
        <f>"$ 31152,18"</f>
        <v>$ 31152,18</v>
      </c>
      <c r="H824" t="str">
        <f t="shared" si="524"/>
        <v>$ 0,00</v>
      </c>
      <c r="I824" t="str">
        <f t="shared" si="551"/>
        <v>JUEGO COJINETES BANCADA</v>
      </c>
      <c r="J824" t="str">
        <f t="shared" si="525"/>
        <v>1</v>
      </c>
      <c r="K824" t="str">
        <f t="shared" si="548"/>
        <v>0</v>
      </c>
      <c r="L824" t="str">
        <f>"0,000"</f>
        <v>0,000</v>
      </c>
      <c r="M824" t="str">
        <f t="shared" si="526"/>
        <v xml:space="preserve"> </v>
      </c>
      <c r="N824" t="str">
        <f t="shared" si="554"/>
        <v>MPSI</v>
      </c>
      <c r="O824" t="str">
        <f t="shared" si="555"/>
        <v>COJINETES</v>
      </c>
      <c r="P824" t="str">
        <f t="shared" si="558"/>
        <v>0</v>
      </c>
      <c r="Q824" t="str">
        <f t="shared" si="558"/>
        <v>0</v>
      </c>
      <c r="R824" t="str">
        <f t="shared" si="559"/>
        <v>0,00</v>
      </c>
      <c r="S824" t="str">
        <f t="shared" si="559"/>
        <v>0,00</v>
      </c>
      <c r="T824" t="str">
        <f t="shared" si="546"/>
        <v xml:space="preserve"> </v>
      </c>
      <c r="U824" t="str">
        <f t="shared" si="549"/>
        <v>-</v>
      </c>
      <c r="V824" t="str">
        <f>"0,000"</f>
        <v>0,000</v>
      </c>
      <c r="W824" t="str">
        <f t="shared" si="527"/>
        <v>Lista 4</v>
      </c>
      <c r="X824" t="str">
        <f t="shared" si="528"/>
        <v>Lista 5</v>
      </c>
      <c r="Y824" t="str">
        <f t="shared" si="529"/>
        <v>Oferta Gral.</v>
      </c>
      <c r="Z824" t="str">
        <f t="shared" si="530"/>
        <v>Rubro</v>
      </c>
      <c r="AA824" t="str">
        <f t="shared" si="531"/>
        <v>Cantidad por Bulto</v>
      </c>
      <c r="AB824" t="str">
        <f t="shared" si="532"/>
        <v>INNER</v>
      </c>
      <c r="AC824" t="str">
        <f t="shared" si="533"/>
        <v>Stock en Bultos</v>
      </c>
      <c r="AD824" t="str">
        <f t="shared" si="534"/>
        <v>SubDepósito</v>
      </c>
      <c r="AE824" t="str">
        <f t="shared" si="535"/>
        <v>Marca</v>
      </c>
      <c r="AF824" t="str">
        <f t="shared" si="536"/>
        <v>Super Rubro</v>
      </c>
      <c r="AG824" t="str">
        <f t="shared" si="537"/>
        <v>ComercioExterior</v>
      </c>
      <c r="AH824" t="str">
        <f t="shared" si="538"/>
        <v>PrecioFOB</v>
      </c>
      <c r="AI824" t="str">
        <f t="shared" si="539"/>
        <v>Monto II</v>
      </c>
      <c r="AJ824" t="str">
        <f t="shared" si="540"/>
        <v>Porcentaje II</v>
      </c>
      <c r="AK824" t="str">
        <f t="shared" si="541"/>
        <v>Foto</v>
      </c>
      <c r="AL824" t="str">
        <f>" "</f>
        <v xml:space="preserve"> </v>
      </c>
      <c r="AM824" t="str">
        <f t="shared" si="556"/>
        <v xml:space="preserve"> </v>
      </c>
    </row>
    <row r="825" spans="1:39" x14ac:dyDescent="0.25">
      <c r="A825" t="str">
        <f>"BA810 30"</f>
        <v>BA810 30</v>
      </c>
      <c r="B825" t="str">
        <f>"COJINETES BANCADA 0,75 CHEVROLET CORSA MERIVA 1.7 DIESEL"</f>
        <v>COJINETES BANCADA 0,75 CHEVROLET CORSA MERIVA 1.7 DIESEL</v>
      </c>
      <c r="C825" t="str">
        <f>"$ 18546,07"</f>
        <v>$ 18546,07</v>
      </c>
      <c r="D825" t="str">
        <f>"$ 18546,07"</f>
        <v>$ 18546,07</v>
      </c>
      <c r="E825" t="str">
        <f>"$ 18546,07"</f>
        <v>$ 18546,07</v>
      </c>
      <c r="F825" t="str">
        <f>"$ 18546,07"</f>
        <v>$ 18546,07</v>
      </c>
      <c r="G825" t="str">
        <f>"$ 18546,07"</f>
        <v>$ 18546,07</v>
      </c>
      <c r="H825" t="str">
        <f t="shared" si="524"/>
        <v>$ 0,00</v>
      </c>
      <c r="I825" t="str">
        <f t="shared" si="551"/>
        <v>JUEGO COJINETES BANCADA</v>
      </c>
      <c r="J825" t="str">
        <f t="shared" si="525"/>
        <v>1</v>
      </c>
      <c r="K825" t="str">
        <f t="shared" si="548"/>
        <v>0</v>
      </c>
      <c r="L825" t="str">
        <f>"5,000"</f>
        <v>5,000</v>
      </c>
      <c r="M825" t="str">
        <f t="shared" si="526"/>
        <v xml:space="preserve"> </v>
      </c>
      <c r="N825" t="str">
        <f t="shared" si="554"/>
        <v>MPSI</v>
      </c>
      <c r="O825" t="str">
        <f t="shared" si="555"/>
        <v>COJINETES</v>
      </c>
      <c r="P825" t="str">
        <f t="shared" si="558"/>
        <v>0</v>
      </c>
      <c r="Q825" t="str">
        <f t="shared" si="558"/>
        <v>0</v>
      </c>
      <c r="R825" t="str">
        <f t="shared" si="559"/>
        <v>0,00</v>
      </c>
      <c r="S825" t="str">
        <f t="shared" si="559"/>
        <v>0,00</v>
      </c>
      <c r="T825" t="str">
        <f t="shared" si="546"/>
        <v xml:space="preserve"> </v>
      </c>
      <c r="U825" t="str">
        <f t="shared" si="549"/>
        <v>-</v>
      </c>
      <c r="V825" t="str">
        <f>"5,000"</f>
        <v>5,000</v>
      </c>
      <c r="W825" t="str">
        <f t="shared" si="527"/>
        <v>Lista 4</v>
      </c>
      <c r="X825" t="str">
        <f t="shared" si="528"/>
        <v>Lista 5</v>
      </c>
      <c r="Y825" t="str">
        <f t="shared" si="529"/>
        <v>Oferta Gral.</v>
      </c>
      <c r="Z825" t="str">
        <f t="shared" si="530"/>
        <v>Rubro</v>
      </c>
      <c r="AA825" t="str">
        <f t="shared" si="531"/>
        <v>Cantidad por Bulto</v>
      </c>
      <c r="AB825" t="str">
        <f t="shared" si="532"/>
        <v>INNER</v>
      </c>
      <c r="AC825" t="str">
        <f t="shared" si="533"/>
        <v>Stock en Bultos</v>
      </c>
      <c r="AD825" t="str">
        <f t="shared" si="534"/>
        <v>SubDepósito</v>
      </c>
      <c r="AE825" t="str">
        <f t="shared" si="535"/>
        <v>Marca</v>
      </c>
      <c r="AF825" t="str">
        <f t="shared" si="536"/>
        <v>Super Rubro</v>
      </c>
      <c r="AG825" t="str">
        <f t="shared" si="537"/>
        <v>ComercioExterior</v>
      </c>
      <c r="AH825" t="str">
        <f t="shared" si="538"/>
        <v>PrecioFOB</v>
      </c>
      <c r="AI825" t="str">
        <f t="shared" si="539"/>
        <v>Monto II</v>
      </c>
      <c r="AJ825" t="str">
        <f t="shared" si="540"/>
        <v>Porcentaje II</v>
      </c>
      <c r="AK825" t="str">
        <f t="shared" si="541"/>
        <v>Foto</v>
      </c>
      <c r="AL825" t="str">
        <f>"{\rtf1\ansi\ansicpg1252\deff0\deflang11274{\fonttbl{\f0\fnil\fcharset0 MS Sans Serif}} \viewkind4\uc1\pard\f0\fs16 COJINETES BANCADA 0,75 CHEVROLET CORSA MERIVA 1.7 DIESEL\par } "</f>
        <v xml:space="preserve">{\rtf1\ansi\ansicpg1252\deff0\deflang11274{\fonttbl{\f0\fnil\fcharset0 MS Sans Serif}} \viewkind4\uc1\pard\f0\fs16 COJINETES BANCADA 0,75 CHEVROLET CORSA MERIVA 1.7 DIESEL\par } </v>
      </c>
      <c r="AM825" t="str">
        <f t="shared" si="556"/>
        <v xml:space="preserve"> </v>
      </c>
    </row>
    <row r="826" spans="1:39" x14ac:dyDescent="0.25">
      <c r="A826" t="str">
        <f>"BA082 30"</f>
        <v>BA082 30</v>
      </c>
      <c r="B826" t="str">
        <f>"COJINETES BANCADA 0,75 DODGE 1500"</f>
        <v>COJINETES BANCADA 0,75 DODGE 1500</v>
      </c>
      <c r="C826" t="str">
        <f>"$ 25808,08"</f>
        <v>$ 25808,08</v>
      </c>
      <c r="D826" t="str">
        <f>"$ 25808,08"</f>
        <v>$ 25808,08</v>
      </c>
      <c r="E826" t="str">
        <f>"$ 25808,08"</f>
        <v>$ 25808,08</v>
      </c>
      <c r="F826" t="str">
        <f>"$ 25808,08"</f>
        <v>$ 25808,08</v>
      </c>
      <c r="G826" t="str">
        <f>"$ 25808,08"</f>
        <v>$ 25808,08</v>
      </c>
      <c r="H826" t="str">
        <f t="shared" si="524"/>
        <v>$ 0,00</v>
      </c>
      <c r="I826" t="str">
        <f t="shared" si="551"/>
        <v>JUEGO COJINETES BANCADA</v>
      </c>
      <c r="J826" t="str">
        <f t="shared" si="525"/>
        <v>1</v>
      </c>
      <c r="K826" t="str">
        <f t="shared" si="548"/>
        <v>0</v>
      </c>
      <c r="L826" t="str">
        <f>"2,000"</f>
        <v>2,000</v>
      </c>
      <c r="M826" t="str">
        <f t="shared" si="526"/>
        <v xml:space="preserve"> </v>
      </c>
      <c r="N826" t="str">
        <f t="shared" si="554"/>
        <v>MPSI</v>
      </c>
      <c r="O826" t="str">
        <f t="shared" si="555"/>
        <v>COJINETES</v>
      </c>
      <c r="P826" t="str">
        <f t="shared" si="558"/>
        <v>0</v>
      </c>
      <c r="Q826" t="str">
        <f t="shared" si="558"/>
        <v>0</v>
      </c>
      <c r="R826" t="str">
        <f t="shared" si="559"/>
        <v>0,00</v>
      </c>
      <c r="S826" t="str">
        <f t="shared" si="559"/>
        <v>0,00</v>
      </c>
      <c r="T826" t="str">
        <f t="shared" si="546"/>
        <v xml:space="preserve"> </v>
      </c>
      <c r="U826" t="str">
        <f t="shared" si="549"/>
        <v>-</v>
      </c>
      <c r="V826" t="str">
        <f>"2,000"</f>
        <v>2,000</v>
      </c>
      <c r="W826" t="str">
        <f t="shared" si="527"/>
        <v>Lista 4</v>
      </c>
      <c r="X826" t="str">
        <f t="shared" si="528"/>
        <v>Lista 5</v>
      </c>
      <c r="Y826" t="str">
        <f t="shared" si="529"/>
        <v>Oferta Gral.</v>
      </c>
      <c r="Z826" t="str">
        <f t="shared" si="530"/>
        <v>Rubro</v>
      </c>
      <c r="AA826" t="str">
        <f t="shared" si="531"/>
        <v>Cantidad por Bulto</v>
      </c>
      <c r="AB826" t="str">
        <f t="shared" si="532"/>
        <v>INNER</v>
      </c>
      <c r="AC826" t="str">
        <f t="shared" si="533"/>
        <v>Stock en Bultos</v>
      </c>
      <c r="AD826" t="str">
        <f t="shared" si="534"/>
        <v>SubDepósito</v>
      </c>
      <c r="AE826" t="str">
        <f t="shared" si="535"/>
        <v>Marca</v>
      </c>
      <c r="AF826" t="str">
        <f t="shared" si="536"/>
        <v>Super Rubro</v>
      </c>
      <c r="AG826" t="str">
        <f t="shared" si="537"/>
        <v>ComercioExterior</v>
      </c>
      <c r="AH826" t="str">
        <f t="shared" si="538"/>
        <v>PrecioFOB</v>
      </c>
      <c r="AI826" t="str">
        <f t="shared" si="539"/>
        <v>Monto II</v>
      </c>
      <c r="AJ826" t="str">
        <f t="shared" si="540"/>
        <v>Porcentaje II</v>
      </c>
      <c r="AK826" t="str">
        <f t="shared" si="541"/>
        <v>Foto</v>
      </c>
      <c r="AL826" t="str">
        <f>" "</f>
        <v xml:space="preserve"> </v>
      </c>
      <c r="AM826" t="str">
        <f t="shared" si="556"/>
        <v xml:space="preserve"> </v>
      </c>
    </row>
    <row r="827" spans="1:39" x14ac:dyDescent="0.25">
      <c r="A827" t="str">
        <f>"BA083 30"</f>
        <v>BA083 30</v>
      </c>
      <c r="B827" t="str">
        <f>"COJINETES BANCADA 0,75 DODGE 1800"</f>
        <v>COJINETES BANCADA 0,75 DODGE 1800</v>
      </c>
      <c r="C827" t="str">
        <f>"$ 25621,88"</f>
        <v>$ 25621,88</v>
      </c>
      <c r="D827" t="str">
        <f>"$ 25621,88"</f>
        <v>$ 25621,88</v>
      </c>
      <c r="E827" t="str">
        <f>"$ 25621,88"</f>
        <v>$ 25621,88</v>
      </c>
      <c r="F827" t="str">
        <f>"$ 25621,88"</f>
        <v>$ 25621,88</v>
      </c>
      <c r="G827" t="str">
        <f>"$ 25621,88"</f>
        <v>$ 25621,88</v>
      </c>
      <c r="H827" t="str">
        <f t="shared" si="524"/>
        <v>$ 0,00</v>
      </c>
      <c r="I827" t="str">
        <f t="shared" si="551"/>
        <v>JUEGO COJINETES BANCADA</v>
      </c>
      <c r="J827" t="str">
        <f t="shared" si="525"/>
        <v>1</v>
      </c>
      <c r="K827" t="str">
        <f t="shared" si="548"/>
        <v>0</v>
      </c>
      <c r="L827" t="str">
        <f>"2,000"</f>
        <v>2,000</v>
      </c>
      <c r="M827" t="str">
        <f t="shared" si="526"/>
        <v xml:space="preserve"> </v>
      </c>
      <c r="N827" t="str">
        <f t="shared" si="554"/>
        <v>MPSI</v>
      </c>
      <c r="O827" t="str">
        <f t="shared" si="555"/>
        <v>COJINETES</v>
      </c>
      <c r="P827" t="str">
        <f t="shared" si="558"/>
        <v>0</v>
      </c>
      <c r="Q827" t="str">
        <f t="shared" si="558"/>
        <v>0</v>
      </c>
      <c r="R827" t="str">
        <f t="shared" si="559"/>
        <v>0,00</v>
      </c>
      <c r="S827" t="str">
        <f t="shared" si="559"/>
        <v>0,00</v>
      </c>
      <c r="T827" t="str">
        <f t="shared" si="546"/>
        <v xml:space="preserve"> </v>
      </c>
      <c r="U827" t="str">
        <f t="shared" si="549"/>
        <v>-</v>
      </c>
      <c r="V827" t="str">
        <f>"2,000"</f>
        <v>2,000</v>
      </c>
      <c r="W827" t="str">
        <f t="shared" si="527"/>
        <v>Lista 4</v>
      </c>
      <c r="X827" t="str">
        <f t="shared" si="528"/>
        <v>Lista 5</v>
      </c>
      <c r="Y827" t="str">
        <f t="shared" si="529"/>
        <v>Oferta Gral.</v>
      </c>
      <c r="Z827" t="str">
        <f t="shared" si="530"/>
        <v>Rubro</v>
      </c>
      <c r="AA827" t="str">
        <f t="shared" si="531"/>
        <v>Cantidad por Bulto</v>
      </c>
      <c r="AB827" t="str">
        <f t="shared" si="532"/>
        <v>INNER</v>
      </c>
      <c r="AC827" t="str">
        <f t="shared" si="533"/>
        <v>Stock en Bultos</v>
      </c>
      <c r="AD827" t="str">
        <f t="shared" si="534"/>
        <v>SubDepósito</v>
      </c>
      <c r="AE827" t="str">
        <f t="shared" si="535"/>
        <v>Marca</v>
      </c>
      <c r="AF827" t="str">
        <f t="shared" si="536"/>
        <v>Super Rubro</v>
      </c>
      <c r="AG827" t="str">
        <f t="shared" si="537"/>
        <v>ComercioExterior</v>
      </c>
      <c r="AH827" t="str">
        <f t="shared" si="538"/>
        <v>PrecioFOB</v>
      </c>
      <c r="AI827" t="str">
        <f t="shared" si="539"/>
        <v>Monto II</v>
      </c>
      <c r="AJ827" t="str">
        <f t="shared" si="540"/>
        <v>Porcentaje II</v>
      </c>
      <c r="AK827" t="str">
        <f t="shared" si="541"/>
        <v>Foto</v>
      </c>
      <c r="AL827" t="str">
        <f>" "</f>
        <v xml:space="preserve"> </v>
      </c>
      <c r="AM827" t="str">
        <f t="shared" si="556"/>
        <v xml:space="preserve"> </v>
      </c>
    </row>
    <row r="828" spans="1:39" x14ac:dyDescent="0.25">
      <c r="A828" t="str">
        <f>"BA080 30"</f>
        <v>BA080 30</v>
      </c>
      <c r="B828" t="str">
        <f>"COJINETES BANCADA 0,75 DODGE VALIANT"</f>
        <v>COJINETES BANCADA 0,75 DODGE VALIANT</v>
      </c>
      <c r="C828" t="str">
        <f>"$ 45192,07"</f>
        <v>$ 45192,07</v>
      </c>
      <c r="D828" t="str">
        <f>"$ 45192,07"</f>
        <v>$ 45192,07</v>
      </c>
      <c r="E828" t="str">
        <f>"$ 45192,07"</f>
        <v>$ 45192,07</v>
      </c>
      <c r="F828" t="str">
        <f>"$ 45192,07"</f>
        <v>$ 45192,07</v>
      </c>
      <c r="G828" t="str">
        <f>"$ 45192,07"</f>
        <v>$ 45192,07</v>
      </c>
      <c r="H828" t="str">
        <f t="shared" si="524"/>
        <v>$ 0,00</v>
      </c>
      <c r="I828" t="str">
        <f t="shared" si="551"/>
        <v>JUEGO COJINETES BANCADA</v>
      </c>
      <c r="J828" t="str">
        <f t="shared" si="525"/>
        <v>1</v>
      </c>
      <c r="K828" t="str">
        <f t="shared" si="548"/>
        <v>0</v>
      </c>
      <c r="L828" t="str">
        <f>"1,000"</f>
        <v>1,000</v>
      </c>
      <c r="M828" t="str">
        <f t="shared" si="526"/>
        <v xml:space="preserve"> </v>
      </c>
      <c r="N828" t="str">
        <f t="shared" si="554"/>
        <v>MPSI</v>
      </c>
      <c r="O828" t="str">
        <f t="shared" si="555"/>
        <v>COJINETES</v>
      </c>
      <c r="P828" t="str">
        <f t="shared" si="558"/>
        <v>0</v>
      </c>
      <c r="Q828" t="str">
        <f t="shared" si="558"/>
        <v>0</v>
      </c>
      <c r="R828" t="str">
        <f t="shared" si="559"/>
        <v>0,00</v>
      </c>
      <c r="S828" t="str">
        <f t="shared" si="559"/>
        <v>0,00</v>
      </c>
      <c r="T828" t="str">
        <f t="shared" si="546"/>
        <v xml:space="preserve"> </v>
      </c>
      <c r="U828" t="str">
        <f t="shared" si="549"/>
        <v>-</v>
      </c>
      <c r="V828" t="str">
        <f>"1,000"</f>
        <v>1,000</v>
      </c>
      <c r="W828" t="str">
        <f t="shared" si="527"/>
        <v>Lista 4</v>
      </c>
      <c r="X828" t="str">
        <f t="shared" si="528"/>
        <v>Lista 5</v>
      </c>
      <c r="Y828" t="str">
        <f t="shared" si="529"/>
        <v>Oferta Gral.</v>
      </c>
      <c r="Z828" t="str">
        <f t="shared" si="530"/>
        <v>Rubro</v>
      </c>
      <c r="AA828" t="str">
        <f t="shared" si="531"/>
        <v>Cantidad por Bulto</v>
      </c>
      <c r="AB828" t="str">
        <f t="shared" si="532"/>
        <v>INNER</v>
      </c>
      <c r="AC828" t="str">
        <f t="shared" si="533"/>
        <v>Stock en Bultos</v>
      </c>
      <c r="AD828" t="str">
        <f t="shared" si="534"/>
        <v>SubDepósito</v>
      </c>
      <c r="AE828" t="str">
        <f t="shared" si="535"/>
        <v>Marca</v>
      </c>
      <c r="AF828" t="str">
        <f t="shared" si="536"/>
        <v>Super Rubro</v>
      </c>
      <c r="AG828" t="str">
        <f t="shared" si="537"/>
        <v>ComercioExterior</v>
      </c>
      <c r="AH828" t="str">
        <f t="shared" si="538"/>
        <v>PrecioFOB</v>
      </c>
      <c r="AI828" t="str">
        <f t="shared" si="539"/>
        <v>Monto II</v>
      </c>
      <c r="AJ828" t="str">
        <f t="shared" si="540"/>
        <v>Porcentaje II</v>
      </c>
      <c r="AK828" t="str">
        <f t="shared" si="541"/>
        <v>Foto</v>
      </c>
      <c r="AL828" t="str">
        <f>" "</f>
        <v xml:space="preserve"> </v>
      </c>
      <c r="AM828" t="str">
        <f t="shared" si="556"/>
        <v xml:space="preserve"> </v>
      </c>
    </row>
    <row r="829" spans="1:39" x14ac:dyDescent="0.25">
      <c r="A829" t="str">
        <f>"BA145405 30"</f>
        <v>BA145405 30</v>
      </c>
      <c r="B829" t="str">
        <f>"COJINETES BANCADA 0,75 DUCATO DAILY BOXER JUMPER 2.3 MULTIJET"</f>
        <v>COJINETES BANCADA 0,75 DUCATO DAILY BOXER JUMPER 2.3 MULTIJET</v>
      </c>
      <c r="C829" t="str">
        <f>"$ 39065,91"</f>
        <v>$ 39065,91</v>
      </c>
      <c r="D829" t="str">
        <f>"$ 39065,91"</f>
        <v>$ 39065,91</v>
      </c>
      <c r="E829" t="str">
        <f>"$ 39065,91"</f>
        <v>$ 39065,91</v>
      </c>
      <c r="F829" t="str">
        <f>"$ 39065,91"</f>
        <v>$ 39065,91</v>
      </c>
      <c r="G829" t="str">
        <f>"$ 39065,91"</f>
        <v>$ 39065,91</v>
      </c>
      <c r="H829" t="str">
        <f t="shared" si="524"/>
        <v>$ 0,00</v>
      </c>
      <c r="I829" t="str">
        <f t="shared" si="551"/>
        <v>JUEGO COJINETES BANCADA</v>
      </c>
      <c r="J829" t="str">
        <f t="shared" si="525"/>
        <v>1</v>
      </c>
      <c r="K829" t="str">
        <f t="shared" si="548"/>
        <v>0</v>
      </c>
      <c r="L829" t="str">
        <f>"0,000"</f>
        <v>0,000</v>
      </c>
      <c r="M829" t="str">
        <f t="shared" si="526"/>
        <v xml:space="preserve"> </v>
      </c>
      <c r="N829" t="str">
        <f t="shared" si="554"/>
        <v>MPSI</v>
      </c>
      <c r="O829" t="str">
        <f t="shared" si="555"/>
        <v>COJINETES</v>
      </c>
      <c r="P829" t="str">
        <f t="shared" si="558"/>
        <v>0</v>
      </c>
      <c r="Q829" t="str">
        <f t="shared" si="558"/>
        <v>0</v>
      </c>
      <c r="R829" t="str">
        <f t="shared" si="559"/>
        <v>0,00</v>
      </c>
      <c r="S829" t="str">
        <f t="shared" si="559"/>
        <v>0,00</v>
      </c>
      <c r="T829" t="str">
        <f t="shared" si="546"/>
        <v xml:space="preserve"> </v>
      </c>
      <c r="U829" t="str">
        <f t="shared" ref="U829:U860" si="560">"-"</f>
        <v>-</v>
      </c>
      <c r="V829" t="str">
        <f>"0,000"</f>
        <v>0,000</v>
      </c>
      <c r="W829" t="str">
        <f t="shared" si="527"/>
        <v>Lista 4</v>
      </c>
      <c r="X829" t="str">
        <f t="shared" si="528"/>
        <v>Lista 5</v>
      </c>
      <c r="Y829" t="str">
        <f t="shared" si="529"/>
        <v>Oferta Gral.</v>
      </c>
      <c r="Z829" t="str">
        <f t="shared" si="530"/>
        <v>Rubro</v>
      </c>
      <c r="AA829" t="str">
        <f t="shared" si="531"/>
        <v>Cantidad por Bulto</v>
      </c>
      <c r="AB829" t="str">
        <f t="shared" si="532"/>
        <v>INNER</v>
      </c>
      <c r="AC829" t="str">
        <f t="shared" si="533"/>
        <v>Stock en Bultos</v>
      </c>
      <c r="AD829" t="str">
        <f t="shared" si="534"/>
        <v>SubDepósito</v>
      </c>
      <c r="AE829" t="str">
        <f t="shared" si="535"/>
        <v>Marca</v>
      </c>
      <c r="AF829" t="str">
        <f t="shared" si="536"/>
        <v>Super Rubro</v>
      </c>
      <c r="AG829" t="str">
        <f t="shared" si="537"/>
        <v>ComercioExterior</v>
      </c>
      <c r="AH829" t="str">
        <f t="shared" si="538"/>
        <v>PrecioFOB</v>
      </c>
      <c r="AI829" t="str">
        <f t="shared" si="539"/>
        <v>Monto II</v>
      </c>
      <c r="AJ829" t="str">
        <f t="shared" si="540"/>
        <v>Porcentaje II</v>
      </c>
      <c r="AK829" t="str">
        <f t="shared" si="541"/>
        <v>Foto</v>
      </c>
      <c r="AL829" t="str">
        <f>"{\rtf1\ansi\ansicpg1252\deff0\deflang11274{\fonttbl{\f0\fnil\fcharset0 MS Sans Serif}} \viewkind4\uc1\pard\f0\fs16 COJINETES BANCADA 0,75 DUCATO DAILY BOXER JUMPER 2.3 MULTIJET\par } "</f>
        <v xml:space="preserve">{\rtf1\ansi\ansicpg1252\deff0\deflang11274{\fonttbl{\f0\fnil\fcharset0 MS Sans Serif}} \viewkind4\uc1\pard\f0\fs16 COJINETES BANCADA 0,75 DUCATO DAILY BOXER JUMPER 2.3 MULTIJET\par } </v>
      </c>
      <c r="AM829" t="str">
        <f t="shared" si="556"/>
        <v xml:space="preserve"> </v>
      </c>
    </row>
    <row r="830" spans="1:39" x14ac:dyDescent="0.25">
      <c r="A830" t="str">
        <f>"BA136 30"</f>
        <v>BA136 30</v>
      </c>
      <c r="B830" t="str">
        <f>"COJINETES BANCADA 0,75 FIAT 147 DUNA 1300 DIESEL"</f>
        <v>COJINETES BANCADA 0,75 FIAT 147 DUNA 1300 DIESEL</v>
      </c>
      <c r="C830" t="str">
        <f>"$ 17583,69"</f>
        <v>$ 17583,69</v>
      </c>
      <c r="D830" t="str">
        <f>"$ 17583,69"</f>
        <v>$ 17583,69</v>
      </c>
      <c r="E830" t="str">
        <f>"$ 17583,69"</f>
        <v>$ 17583,69</v>
      </c>
      <c r="F830" t="str">
        <f>"$ 17583,69"</f>
        <v>$ 17583,69</v>
      </c>
      <c r="G830" t="str">
        <f>"$ 17583,69"</f>
        <v>$ 17583,69</v>
      </c>
      <c r="H830" t="str">
        <f t="shared" si="524"/>
        <v>$ 0,00</v>
      </c>
      <c r="I830" t="str">
        <f t="shared" si="551"/>
        <v>JUEGO COJINETES BANCADA</v>
      </c>
      <c r="J830" t="str">
        <f t="shared" si="525"/>
        <v>1</v>
      </c>
      <c r="K830" t="str">
        <f t="shared" si="548"/>
        <v>0</v>
      </c>
      <c r="L830" t="str">
        <f>"5,000"</f>
        <v>5,000</v>
      </c>
      <c r="M830" t="str">
        <f t="shared" si="526"/>
        <v xml:space="preserve"> </v>
      </c>
      <c r="N830" t="str">
        <f t="shared" si="554"/>
        <v>MPSI</v>
      </c>
      <c r="O830" t="str">
        <f t="shared" si="555"/>
        <v>COJINETES</v>
      </c>
      <c r="P830" t="str">
        <f t="shared" si="558"/>
        <v>0</v>
      </c>
      <c r="Q830" t="str">
        <f t="shared" si="558"/>
        <v>0</v>
      </c>
      <c r="R830" t="str">
        <f t="shared" si="559"/>
        <v>0,00</v>
      </c>
      <c r="S830" t="str">
        <f t="shared" si="559"/>
        <v>0,00</v>
      </c>
      <c r="T830" t="str">
        <f t="shared" si="546"/>
        <v xml:space="preserve"> </v>
      </c>
      <c r="U830" t="str">
        <f t="shared" si="560"/>
        <v>-</v>
      </c>
      <c r="V830" t="str">
        <f>"5,000"</f>
        <v>5,000</v>
      </c>
      <c r="W830" t="str">
        <f t="shared" si="527"/>
        <v>Lista 4</v>
      </c>
      <c r="X830" t="str">
        <f t="shared" si="528"/>
        <v>Lista 5</v>
      </c>
      <c r="Y830" t="str">
        <f t="shared" si="529"/>
        <v>Oferta Gral.</v>
      </c>
      <c r="Z830" t="str">
        <f t="shared" si="530"/>
        <v>Rubro</v>
      </c>
      <c r="AA830" t="str">
        <f t="shared" si="531"/>
        <v>Cantidad por Bulto</v>
      </c>
      <c r="AB830" t="str">
        <f t="shared" si="532"/>
        <v>INNER</v>
      </c>
      <c r="AC830" t="str">
        <f t="shared" si="533"/>
        <v>Stock en Bultos</v>
      </c>
      <c r="AD830" t="str">
        <f t="shared" si="534"/>
        <v>SubDepósito</v>
      </c>
      <c r="AE830" t="str">
        <f t="shared" si="535"/>
        <v>Marca</v>
      </c>
      <c r="AF830" t="str">
        <f t="shared" si="536"/>
        <v>Super Rubro</v>
      </c>
      <c r="AG830" t="str">
        <f t="shared" si="537"/>
        <v>ComercioExterior</v>
      </c>
      <c r="AH830" t="str">
        <f t="shared" si="538"/>
        <v>PrecioFOB</v>
      </c>
      <c r="AI830" t="str">
        <f t="shared" si="539"/>
        <v>Monto II</v>
      </c>
      <c r="AJ830" t="str">
        <f t="shared" si="540"/>
        <v>Porcentaje II</v>
      </c>
      <c r="AK830" t="str">
        <f t="shared" si="541"/>
        <v>Foto</v>
      </c>
      <c r="AL830" t="str">
        <f>" "</f>
        <v xml:space="preserve"> </v>
      </c>
      <c r="AM830" t="str">
        <f t="shared" si="556"/>
        <v xml:space="preserve"> </v>
      </c>
    </row>
    <row r="831" spans="1:39" x14ac:dyDescent="0.25">
      <c r="A831" t="str">
        <f>"BA133 30"</f>
        <v>BA133 30</v>
      </c>
      <c r="B831" t="str">
        <f>"COJINETES BANCADA 0,75 FIAT 600 S 133"</f>
        <v>COJINETES BANCADA 0,75 FIAT 600 S 133</v>
      </c>
      <c r="C831" t="str">
        <f>"$ 13090,25"</f>
        <v>$ 13090,25</v>
      </c>
      <c r="D831" t="str">
        <f>"$ 13090,25"</f>
        <v>$ 13090,25</v>
      </c>
      <c r="E831" t="str">
        <f>"$ 13090,25"</f>
        <v>$ 13090,25</v>
      </c>
      <c r="F831" t="str">
        <f>"$ 13090,25"</f>
        <v>$ 13090,25</v>
      </c>
      <c r="G831" t="str">
        <f>"$ 13090,25"</f>
        <v>$ 13090,25</v>
      </c>
      <c r="H831" t="str">
        <f t="shared" si="524"/>
        <v>$ 0,00</v>
      </c>
      <c r="I831" t="str">
        <f t="shared" si="551"/>
        <v>JUEGO COJINETES BANCADA</v>
      </c>
      <c r="J831" t="str">
        <f t="shared" si="525"/>
        <v>1</v>
      </c>
      <c r="K831" t="str">
        <f t="shared" si="548"/>
        <v>0</v>
      </c>
      <c r="L831" t="str">
        <f>"0,000"</f>
        <v>0,000</v>
      </c>
      <c r="M831" t="str">
        <f t="shared" si="526"/>
        <v xml:space="preserve"> </v>
      </c>
      <c r="N831" t="str">
        <f t="shared" si="554"/>
        <v>MPSI</v>
      </c>
      <c r="O831" t="str">
        <f t="shared" si="555"/>
        <v>COJINETES</v>
      </c>
      <c r="P831" t="str">
        <f t="shared" si="558"/>
        <v>0</v>
      </c>
      <c r="Q831" t="str">
        <f t="shared" si="558"/>
        <v>0</v>
      </c>
      <c r="R831" t="str">
        <f t="shared" si="559"/>
        <v>0,00</v>
      </c>
      <c r="S831" t="str">
        <f t="shared" si="559"/>
        <v>0,00</v>
      </c>
      <c r="T831" t="str">
        <f t="shared" si="546"/>
        <v xml:space="preserve"> </v>
      </c>
      <c r="U831" t="str">
        <f t="shared" si="560"/>
        <v>-</v>
      </c>
      <c r="V831" t="str">
        <f>"0,000"</f>
        <v>0,000</v>
      </c>
      <c r="W831" t="str">
        <f t="shared" si="527"/>
        <v>Lista 4</v>
      </c>
      <c r="X831" t="str">
        <f t="shared" si="528"/>
        <v>Lista 5</v>
      </c>
      <c r="Y831" t="str">
        <f t="shared" si="529"/>
        <v>Oferta Gral.</v>
      </c>
      <c r="Z831" t="str">
        <f t="shared" si="530"/>
        <v>Rubro</v>
      </c>
      <c r="AA831" t="str">
        <f t="shared" si="531"/>
        <v>Cantidad por Bulto</v>
      </c>
      <c r="AB831" t="str">
        <f t="shared" si="532"/>
        <v>INNER</v>
      </c>
      <c r="AC831" t="str">
        <f t="shared" si="533"/>
        <v>Stock en Bultos</v>
      </c>
      <c r="AD831" t="str">
        <f t="shared" si="534"/>
        <v>SubDepósito</v>
      </c>
      <c r="AE831" t="str">
        <f t="shared" si="535"/>
        <v>Marca</v>
      </c>
      <c r="AF831" t="str">
        <f t="shared" si="536"/>
        <v>Super Rubro</v>
      </c>
      <c r="AG831" t="str">
        <f t="shared" si="537"/>
        <v>ComercioExterior</v>
      </c>
      <c r="AH831" t="str">
        <f t="shared" si="538"/>
        <v>PrecioFOB</v>
      </c>
      <c r="AI831" t="str">
        <f t="shared" si="539"/>
        <v>Monto II</v>
      </c>
      <c r="AJ831" t="str">
        <f t="shared" si="540"/>
        <v>Porcentaje II</v>
      </c>
      <c r="AK831" t="str">
        <f t="shared" si="541"/>
        <v>Foto</v>
      </c>
      <c r="AL831" t="str">
        <f>" "</f>
        <v xml:space="preserve"> </v>
      </c>
      <c r="AM831" t="str">
        <f t="shared" si="556"/>
        <v xml:space="preserve"> </v>
      </c>
    </row>
    <row r="832" spans="1:39" x14ac:dyDescent="0.25">
      <c r="A832" t="str">
        <f>"BA135 30"</f>
        <v>BA135 30</v>
      </c>
      <c r="B832" t="str">
        <f>"COJINETES BANCADA 0,75 FIAT DUNA DUCATO 1.7 1.9 DIESEL"</f>
        <v>COJINETES BANCADA 0,75 FIAT DUNA DUCATO 1.7 1.9 DIESEL</v>
      </c>
      <c r="C832" t="str">
        <f>"$ 19699,02"</f>
        <v>$ 19699,02</v>
      </c>
      <c r="D832" t="str">
        <f>"$ 19699,02"</f>
        <v>$ 19699,02</v>
      </c>
      <c r="E832" t="str">
        <f>"$ 19699,02"</f>
        <v>$ 19699,02</v>
      </c>
      <c r="F832" t="str">
        <f>"$ 19699,02"</f>
        <v>$ 19699,02</v>
      </c>
      <c r="G832" t="str">
        <f>"$ 19699,02"</f>
        <v>$ 19699,02</v>
      </c>
      <c r="H832" t="str">
        <f t="shared" si="524"/>
        <v>$ 0,00</v>
      </c>
      <c r="I832" t="str">
        <f t="shared" si="551"/>
        <v>JUEGO COJINETES BANCADA</v>
      </c>
      <c r="J832" t="str">
        <f t="shared" si="525"/>
        <v>1</v>
      </c>
      <c r="K832" t="str">
        <f t="shared" si="548"/>
        <v>0</v>
      </c>
      <c r="L832" t="str">
        <f>"7,000"</f>
        <v>7,000</v>
      </c>
      <c r="M832" t="str">
        <f t="shared" si="526"/>
        <v xml:space="preserve"> </v>
      </c>
      <c r="N832" t="str">
        <f t="shared" si="554"/>
        <v>MPSI</v>
      </c>
      <c r="O832" t="str">
        <f t="shared" si="555"/>
        <v>COJINETES</v>
      </c>
      <c r="P832" t="str">
        <f t="shared" si="558"/>
        <v>0</v>
      </c>
      <c r="Q832" t="str">
        <f t="shared" si="558"/>
        <v>0</v>
      </c>
      <c r="R832" t="str">
        <f t="shared" si="559"/>
        <v>0,00</v>
      </c>
      <c r="S832" t="str">
        <f t="shared" si="559"/>
        <v>0,00</v>
      </c>
      <c r="T832" t="str">
        <f t="shared" si="546"/>
        <v xml:space="preserve"> </v>
      </c>
      <c r="U832" t="str">
        <f t="shared" si="560"/>
        <v>-</v>
      </c>
      <c r="V832" t="str">
        <f>"7,000"</f>
        <v>7,000</v>
      </c>
      <c r="W832" t="str">
        <f t="shared" si="527"/>
        <v>Lista 4</v>
      </c>
      <c r="X832" t="str">
        <f t="shared" si="528"/>
        <v>Lista 5</v>
      </c>
      <c r="Y832" t="str">
        <f t="shared" si="529"/>
        <v>Oferta Gral.</v>
      </c>
      <c r="Z832" t="str">
        <f t="shared" si="530"/>
        <v>Rubro</v>
      </c>
      <c r="AA832" t="str">
        <f t="shared" si="531"/>
        <v>Cantidad por Bulto</v>
      </c>
      <c r="AB832" t="str">
        <f t="shared" si="532"/>
        <v>INNER</v>
      </c>
      <c r="AC832" t="str">
        <f t="shared" si="533"/>
        <v>Stock en Bultos</v>
      </c>
      <c r="AD832" t="str">
        <f t="shared" si="534"/>
        <v>SubDepósito</v>
      </c>
      <c r="AE832" t="str">
        <f t="shared" si="535"/>
        <v>Marca</v>
      </c>
      <c r="AF832" t="str">
        <f t="shared" si="536"/>
        <v>Super Rubro</v>
      </c>
      <c r="AG832" t="str">
        <f t="shared" si="537"/>
        <v>ComercioExterior</v>
      </c>
      <c r="AH832" t="str">
        <f t="shared" si="538"/>
        <v>PrecioFOB</v>
      </c>
      <c r="AI832" t="str">
        <f t="shared" si="539"/>
        <v>Monto II</v>
      </c>
      <c r="AJ832" t="str">
        <f t="shared" si="540"/>
        <v>Porcentaje II</v>
      </c>
      <c r="AK832" t="str">
        <f t="shared" si="541"/>
        <v>Foto</v>
      </c>
      <c r="AL832" t="str">
        <f>" "</f>
        <v xml:space="preserve"> </v>
      </c>
      <c r="AM832" t="str">
        <f t="shared" si="556"/>
        <v xml:space="preserve"> </v>
      </c>
    </row>
    <row r="833" spans="1:39" x14ac:dyDescent="0.25">
      <c r="A833" t="str">
        <f>"BA139 30"</f>
        <v>BA139 30</v>
      </c>
      <c r="B833" t="str">
        <f>"COJINETES BANCADA 0,75 FIAT DUNA UNO 147 MOTOR TIPO 1.4 1.6"</f>
        <v>COJINETES BANCADA 0,75 FIAT DUNA UNO 147 MOTOR TIPO 1.4 1.6</v>
      </c>
      <c r="C833" t="str">
        <f>"$ 18211,68"</f>
        <v>$ 18211,68</v>
      </c>
      <c r="D833" t="str">
        <f>"$ 18211,68"</f>
        <v>$ 18211,68</v>
      </c>
      <c r="E833" t="str">
        <f>"$ 18211,68"</f>
        <v>$ 18211,68</v>
      </c>
      <c r="F833" t="str">
        <f>"$ 18211,68"</f>
        <v>$ 18211,68</v>
      </c>
      <c r="G833" t="str">
        <f>"$ 18211,68"</f>
        <v>$ 18211,68</v>
      </c>
      <c r="H833" t="str">
        <f t="shared" si="524"/>
        <v>$ 0,00</v>
      </c>
      <c r="I833" t="str">
        <f t="shared" si="551"/>
        <v>JUEGO COJINETES BANCADA</v>
      </c>
      <c r="J833" t="str">
        <f t="shared" si="525"/>
        <v>1</v>
      </c>
      <c r="K833" t="str">
        <f t="shared" si="548"/>
        <v>0</v>
      </c>
      <c r="L833" t="str">
        <f>"5,000"</f>
        <v>5,000</v>
      </c>
      <c r="M833" t="str">
        <f t="shared" si="526"/>
        <v xml:space="preserve"> </v>
      </c>
      <c r="N833" t="str">
        <f t="shared" si="554"/>
        <v>MPSI</v>
      </c>
      <c r="O833" t="str">
        <f t="shared" si="555"/>
        <v>COJINETES</v>
      </c>
      <c r="P833" t="str">
        <f t="shared" si="558"/>
        <v>0</v>
      </c>
      <c r="Q833" t="str">
        <f t="shared" si="558"/>
        <v>0</v>
      </c>
      <c r="R833" t="str">
        <f t="shared" si="559"/>
        <v>0,00</v>
      </c>
      <c r="S833" t="str">
        <f t="shared" si="559"/>
        <v>0,00</v>
      </c>
      <c r="T833" t="str">
        <f t="shared" si="546"/>
        <v xml:space="preserve"> </v>
      </c>
      <c r="U833" t="str">
        <f t="shared" si="560"/>
        <v>-</v>
      </c>
      <c r="V833" t="str">
        <f>"5,000"</f>
        <v>5,000</v>
      </c>
      <c r="W833" t="str">
        <f t="shared" si="527"/>
        <v>Lista 4</v>
      </c>
      <c r="X833" t="str">
        <f t="shared" si="528"/>
        <v>Lista 5</v>
      </c>
      <c r="Y833" t="str">
        <f t="shared" si="529"/>
        <v>Oferta Gral.</v>
      </c>
      <c r="Z833" t="str">
        <f t="shared" si="530"/>
        <v>Rubro</v>
      </c>
      <c r="AA833" t="str">
        <f t="shared" si="531"/>
        <v>Cantidad por Bulto</v>
      </c>
      <c r="AB833" t="str">
        <f t="shared" si="532"/>
        <v>INNER</v>
      </c>
      <c r="AC833" t="str">
        <f t="shared" si="533"/>
        <v>Stock en Bultos</v>
      </c>
      <c r="AD833" t="str">
        <f t="shared" si="534"/>
        <v>SubDepósito</v>
      </c>
      <c r="AE833" t="str">
        <f t="shared" si="535"/>
        <v>Marca</v>
      </c>
      <c r="AF833" t="str">
        <f t="shared" si="536"/>
        <v>Super Rubro</v>
      </c>
      <c r="AG833" t="str">
        <f t="shared" si="537"/>
        <v>ComercioExterior</v>
      </c>
      <c r="AH833" t="str">
        <f t="shared" si="538"/>
        <v>PrecioFOB</v>
      </c>
      <c r="AI833" t="str">
        <f t="shared" si="539"/>
        <v>Monto II</v>
      </c>
      <c r="AJ833" t="str">
        <f t="shared" si="540"/>
        <v>Porcentaje II</v>
      </c>
      <c r="AK833" t="str">
        <f t="shared" si="541"/>
        <v>Foto</v>
      </c>
      <c r="AL833" t="str">
        <f>" "</f>
        <v xml:space="preserve"> </v>
      </c>
      <c r="AM833" t="str">
        <f t="shared" si="556"/>
        <v xml:space="preserve"> </v>
      </c>
    </row>
    <row r="834" spans="1:39" x14ac:dyDescent="0.25">
      <c r="A834" t="str">
        <f>"BA172 30"</f>
        <v>BA172 30</v>
      </c>
      <c r="B834" t="str">
        <f>"COJINETES BANCADA 0,75 FIAT PALIO SIENA ETORQ 1.6 16V"</f>
        <v>COJINETES BANCADA 0,75 FIAT PALIO SIENA ETORQ 1.6 16V</v>
      </c>
      <c r="C834" t="str">
        <f>"$ 24672,23"</f>
        <v>$ 24672,23</v>
      </c>
      <c r="D834" t="str">
        <f>"$ 24672,23"</f>
        <v>$ 24672,23</v>
      </c>
      <c r="E834" t="str">
        <f>"$ 24672,23"</f>
        <v>$ 24672,23</v>
      </c>
      <c r="F834" t="str">
        <f>"$ 24672,23"</f>
        <v>$ 24672,23</v>
      </c>
      <c r="G834" t="str">
        <f>"$ 24672,23"</f>
        <v>$ 24672,23</v>
      </c>
      <c r="H834" t="str">
        <f t="shared" si="524"/>
        <v>$ 0,00</v>
      </c>
      <c r="I834" t="str">
        <f t="shared" si="551"/>
        <v>JUEGO COJINETES BANCADA</v>
      </c>
      <c r="J834" t="str">
        <f t="shared" si="525"/>
        <v>1</v>
      </c>
      <c r="K834" t="str">
        <f t="shared" si="548"/>
        <v>0</v>
      </c>
      <c r="L834" t="str">
        <f>"10,000"</f>
        <v>10,000</v>
      </c>
      <c r="M834" t="str">
        <f t="shared" si="526"/>
        <v xml:space="preserve"> </v>
      </c>
      <c r="N834" t="str">
        <f t="shared" si="554"/>
        <v>MPSI</v>
      </c>
      <c r="O834" t="str">
        <f t="shared" si="555"/>
        <v>COJINETES</v>
      </c>
      <c r="P834" t="str">
        <f t="shared" si="558"/>
        <v>0</v>
      </c>
      <c r="Q834" t="str">
        <f t="shared" si="558"/>
        <v>0</v>
      </c>
      <c r="R834" t="str">
        <f t="shared" si="559"/>
        <v>0,00</v>
      </c>
      <c r="S834" t="str">
        <f t="shared" si="559"/>
        <v>0,00</v>
      </c>
      <c r="T834" t="str">
        <f t="shared" si="546"/>
        <v xml:space="preserve"> </v>
      </c>
      <c r="U834" t="str">
        <f t="shared" si="560"/>
        <v>-</v>
      </c>
      <c r="V834" t="str">
        <f>"10,000"</f>
        <v>10,000</v>
      </c>
      <c r="W834" t="str">
        <f t="shared" si="527"/>
        <v>Lista 4</v>
      </c>
      <c r="X834" t="str">
        <f t="shared" si="528"/>
        <v>Lista 5</v>
      </c>
      <c r="Y834" t="str">
        <f t="shared" si="529"/>
        <v>Oferta Gral.</v>
      </c>
      <c r="Z834" t="str">
        <f t="shared" si="530"/>
        <v>Rubro</v>
      </c>
      <c r="AA834" t="str">
        <f t="shared" si="531"/>
        <v>Cantidad por Bulto</v>
      </c>
      <c r="AB834" t="str">
        <f t="shared" si="532"/>
        <v>INNER</v>
      </c>
      <c r="AC834" t="str">
        <f t="shared" si="533"/>
        <v>Stock en Bultos</v>
      </c>
      <c r="AD834" t="str">
        <f t="shared" si="534"/>
        <v>SubDepósito</v>
      </c>
      <c r="AE834" t="str">
        <f t="shared" si="535"/>
        <v>Marca</v>
      </c>
      <c r="AF834" t="str">
        <f t="shared" si="536"/>
        <v>Super Rubro</v>
      </c>
      <c r="AG834" t="str">
        <f t="shared" si="537"/>
        <v>ComercioExterior</v>
      </c>
      <c r="AH834" t="str">
        <f t="shared" si="538"/>
        <v>PrecioFOB</v>
      </c>
      <c r="AI834" t="str">
        <f t="shared" si="539"/>
        <v>Monto II</v>
      </c>
      <c r="AJ834" t="str">
        <f t="shared" si="540"/>
        <v>Porcentaje II</v>
      </c>
      <c r="AK834" t="str">
        <f t="shared" si="541"/>
        <v>Foto</v>
      </c>
      <c r="AL834" t="str">
        <f>" "</f>
        <v xml:space="preserve"> </v>
      </c>
      <c r="AM834" t="str">
        <f t="shared" si="556"/>
        <v xml:space="preserve"> </v>
      </c>
    </row>
    <row r="835" spans="1:39" x14ac:dyDescent="0.25">
      <c r="A835" t="str">
        <f>"BA156 30"</f>
        <v>BA156 30</v>
      </c>
      <c r="B835" t="str">
        <f>"COJINETES BANCADA 0,75 FIAT PALIO SIENA FIRE 1.3 1.4 8V Y 16V"</f>
        <v>COJINETES BANCADA 0,75 FIAT PALIO SIENA FIRE 1.3 1.4 8V Y 16V</v>
      </c>
      <c r="C835" t="str">
        <f>"$ 21467,31"</f>
        <v>$ 21467,31</v>
      </c>
      <c r="D835" t="str">
        <f>"$ 21467,31"</f>
        <v>$ 21467,31</v>
      </c>
      <c r="E835" t="str">
        <f>"$ 21467,31"</f>
        <v>$ 21467,31</v>
      </c>
      <c r="F835" t="str">
        <f>"$ 21467,31"</f>
        <v>$ 21467,31</v>
      </c>
      <c r="G835" t="str">
        <f>"$ 21467,31"</f>
        <v>$ 21467,31</v>
      </c>
      <c r="H835" t="str">
        <f t="shared" ref="H835:H898" si="561">"$ 0,00"</f>
        <v>$ 0,00</v>
      </c>
      <c r="I835" t="str">
        <f t="shared" si="551"/>
        <v>JUEGO COJINETES BANCADA</v>
      </c>
      <c r="J835" t="str">
        <f t="shared" ref="J835:J898" si="562">"1"</f>
        <v>1</v>
      </c>
      <c r="K835" t="str">
        <f t="shared" si="548"/>
        <v>0</v>
      </c>
      <c r="L835" t="str">
        <f>"2,000"</f>
        <v>2,000</v>
      </c>
      <c r="M835" t="str">
        <f t="shared" ref="M835:M898" si="563">" "</f>
        <v xml:space="preserve"> </v>
      </c>
      <c r="N835" t="str">
        <f t="shared" si="554"/>
        <v>MPSI</v>
      </c>
      <c r="O835" t="str">
        <f t="shared" si="555"/>
        <v>COJINETES</v>
      </c>
      <c r="P835" t="str">
        <f t="shared" si="558"/>
        <v>0</v>
      </c>
      <c r="Q835" t="str">
        <f t="shared" si="558"/>
        <v>0</v>
      </c>
      <c r="R835" t="str">
        <f t="shared" si="559"/>
        <v>0,00</v>
      </c>
      <c r="S835" t="str">
        <f t="shared" si="559"/>
        <v>0,00</v>
      </c>
      <c r="T835" t="str">
        <f t="shared" si="546"/>
        <v xml:space="preserve"> </v>
      </c>
      <c r="U835" t="str">
        <f t="shared" si="560"/>
        <v>-</v>
      </c>
      <c r="V835" t="str">
        <f>"2,000"</f>
        <v>2,000</v>
      </c>
      <c r="W835" t="str">
        <f t="shared" ref="W835:W898" si="564">"Lista 4"</f>
        <v>Lista 4</v>
      </c>
      <c r="X835" t="str">
        <f t="shared" ref="X835:X898" si="565">"Lista 5"</f>
        <v>Lista 5</v>
      </c>
      <c r="Y835" t="str">
        <f t="shared" ref="Y835:Y898" si="566">"Oferta Gral."</f>
        <v>Oferta Gral.</v>
      </c>
      <c r="Z835" t="str">
        <f t="shared" ref="Z835:Z898" si="567">"Rubro"</f>
        <v>Rubro</v>
      </c>
      <c r="AA835" t="str">
        <f t="shared" ref="AA835:AA898" si="568">"Cantidad por Bulto"</f>
        <v>Cantidad por Bulto</v>
      </c>
      <c r="AB835" t="str">
        <f t="shared" ref="AB835:AB898" si="569">"INNER"</f>
        <v>INNER</v>
      </c>
      <c r="AC835" t="str">
        <f t="shared" ref="AC835:AC898" si="570">"Stock en Bultos"</f>
        <v>Stock en Bultos</v>
      </c>
      <c r="AD835" t="str">
        <f t="shared" ref="AD835:AD898" si="571">"SubDepósito"</f>
        <v>SubDepósito</v>
      </c>
      <c r="AE835" t="str">
        <f t="shared" ref="AE835:AE898" si="572">"Marca"</f>
        <v>Marca</v>
      </c>
      <c r="AF835" t="str">
        <f t="shared" ref="AF835:AF898" si="573">"Super Rubro"</f>
        <v>Super Rubro</v>
      </c>
      <c r="AG835" t="str">
        <f t="shared" ref="AG835:AG898" si="574">"ComercioExterior"</f>
        <v>ComercioExterior</v>
      </c>
      <c r="AH835" t="str">
        <f t="shared" ref="AH835:AH898" si="575">"PrecioFOB"</f>
        <v>PrecioFOB</v>
      </c>
      <c r="AI835" t="str">
        <f t="shared" ref="AI835:AI898" si="576">"Monto II"</f>
        <v>Monto II</v>
      </c>
      <c r="AJ835" t="str">
        <f t="shared" ref="AJ835:AJ898" si="577">"Porcentaje II"</f>
        <v>Porcentaje II</v>
      </c>
      <c r="AK835" t="str">
        <f t="shared" ref="AK835:AK898" si="578">"Foto"</f>
        <v>Foto</v>
      </c>
      <c r="AL835" t="str">
        <f>"{\rtf1\ansi\ansicpg1252\deff0\deflang2058{\fonttbl{\f0\fnil\fcharset0 MS Sans Serif}} \viewkind4\uc1\pard\f0\fs16 COJINETES BANCADA 0,75 FIAT PALIO SIENA FIRE 1.3 1.4 8V Y 16V\par } "</f>
        <v xml:space="preserve">{\rtf1\ansi\ansicpg1252\deff0\deflang2058{\fonttbl{\f0\fnil\fcharset0 MS Sans Serif}} \viewkind4\uc1\pard\f0\fs16 COJINETES BANCADA 0,75 FIAT PALIO SIENA FIRE 1.3 1.4 8V Y 16V\par } </v>
      </c>
      <c r="AM835" t="str">
        <f t="shared" si="556"/>
        <v xml:space="preserve"> </v>
      </c>
    </row>
    <row r="836" spans="1:39" x14ac:dyDescent="0.25">
      <c r="A836" t="str">
        <f>"BA199 30"</f>
        <v>BA199 30</v>
      </c>
      <c r="B836" t="str">
        <f>"COJINETES BANCADA 0,75 FORD FALCON F100 3.0 3.6"</f>
        <v>COJINETES BANCADA 0,75 FORD FALCON F100 3.0 3.6</v>
      </c>
      <c r="C836" t="str">
        <f>"$ 41910,00"</f>
        <v>$ 41910,00</v>
      </c>
      <c r="D836" t="str">
        <f>"$ 41910,00"</f>
        <v>$ 41910,00</v>
      </c>
      <c r="E836" t="str">
        <f>"$ 41910,00"</f>
        <v>$ 41910,00</v>
      </c>
      <c r="F836" t="str">
        <f>"$ 41910,00"</f>
        <v>$ 41910,00</v>
      </c>
      <c r="G836" t="str">
        <f>"$ 41910,00"</f>
        <v>$ 41910,00</v>
      </c>
      <c r="H836" t="str">
        <f t="shared" si="561"/>
        <v>$ 0,00</v>
      </c>
      <c r="I836" t="str">
        <f t="shared" si="551"/>
        <v>JUEGO COJINETES BANCADA</v>
      </c>
      <c r="J836" t="str">
        <f t="shared" si="562"/>
        <v>1</v>
      </c>
      <c r="K836" t="str">
        <f t="shared" si="548"/>
        <v>0</v>
      </c>
      <c r="L836" t="str">
        <f>"2,000"</f>
        <v>2,000</v>
      </c>
      <c r="M836" t="str">
        <f t="shared" si="563"/>
        <v xml:space="preserve"> </v>
      </c>
      <c r="N836" t="str">
        <f t="shared" si="554"/>
        <v>MPSI</v>
      </c>
      <c r="O836" t="str">
        <f t="shared" si="555"/>
        <v>COJINETES</v>
      </c>
      <c r="P836" t="str">
        <f t="shared" si="558"/>
        <v>0</v>
      </c>
      <c r="Q836" t="str">
        <f t="shared" si="558"/>
        <v>0</v>
      </c>
      <c r="R836" t="str">
        <f t="shared" si="559"/>
        <v>0,00</v>
      </c>
      <c r="S836" t="str">
        <f t="shared" si="559"/>
        <v>0,00</v>
      </c>
      <c r="T836" t="str">
        <f t="shared" si="546"/>
        <v xml:space="preserve"> </v>
      </c>
      <c r="U836" t="str">
        <f t="shared" si="560"/>
        <v>-</v>
      </c>
      <c r="V836" t="str">
        <f>"2,000"</f>
        <v>2,000</v>
      </c>
      <c r="W836" t="str">
        <f t="shared" si="564"/>
        <v>Lista 4</v>
      </c>
      <c r="X836" t="str">
        <f t="shared" si="565"/>
        <v>Lista 5</v>
      </c>
      <c r="Y836" t="str">
        <f t="shared" si="566"/>
        <v>Oferta Gral.</v>
      </c>
      <c r="Z836" t="str">
        <f t="shared" si="567"/>
        <v>Rubro</v>
      </c>
      <c r="AA836" t="str">
        <f t="shared" si="568"/>
        <v>Cantidad por Bulto</v>
      </c>
      <c r="AB836" t="str">
        <f t="shared" si="569"/>
        <v>INNER</v>
      </c>
      <c r="AC836" t="str">
        <f t="shared" si="570"/>
        <v>Stock en Bultos</v>
      </c>
      <c r="AD836" t="str">
        <f t="shared" si="571"/>
        <v>SubDepósito</v>
      </c>
      <c r="AE836" t="str">
        <f t="shared" si="572"/>
        <v>Marca</v>
      </c>
      <c r="AF836" t="str">
        <f t="shared" si="573"/>
        <v>Super Rubro</v>
      </c>
      <c r="AG836" t="str">
        <f t="shared" si="574"/>
        <v>ComercioExterior</v>
      </c>
      <c r="AH836" t="str">
        <f t="shared" si="575"/>
        <v>PrecioFOB</v>
      </c>
      <c r="AI836" t="str">
        <f t="shared" si="576"/>
        <v>Monto II</v>
      </c>
      <c r="AJ836" t="str">
        <f t="shared" si="577"/>
        <v>Porcentaje II</v>
      </c>
      <c r="AK836" t="str">
        <f t="shared" si="578"/>
        <v>Foto</v>
      </c>
      <c r="AL836" t="str">
        <f>"{\rtf1\ansi\ansicpg1252\deff0\deflang2058{\fonttbl{\f0\fnil\fcharset0 MS Sans Serif}} \viewkind4\uc1\pard\f0\fs16 COJINETES BANCADA 0,75 FORD FALCON F100 3.0 3.6\par } "</f>
        <v xml:space="preserve">{\rtf1\ansi\ansicpg1252\deff0\deflang2058{\fonttbl{\f0\fnil\fcharset0 MS Sans Serif}} \viewkind4\uc1\pard\f0\fs16 COJINETES BANCADA 0,75 FORD FALCON F100 3.0 3.6\par } </v>
      </c>
      <c r="AM836" t="str">
        <f t="shared" si="556"/>
        <v xml:space="preserve"> </v>
      </c>
    </row>
    <row r="837" spans="1:39" x14ac:dyDescent="0.25">
      <c r="A837" t="str">
        <f>"BA775 30"</f>
        <v>BA775 30</v>
      </c>
      <c r="B837" t="str">
        <f>"COJINETES BANCADA 0,75 FORD FIESTA 1.3 ENDURA VARILLERO"</f>
        <v>COJINETES BANCADA 0,75 FORD FIESTA 1.3 ENDURA VARILLERO</v>
      </c>
      <c r="C837" t="str">
        <f>"$ 18327,36"</f>
        <v>$ 18327,36</v>
      </c>
      <c r="D837" t="str">
        <f>"$ 18327,36"</f>
        <v>$ 18327,36</v>
      </c>
      <c r="E837" t="str">
        <f>"$ 18327,36"</f>
        <v>$ 18327,36</v>
      </c>
      <c r="F837" t="str">
        <f>"$ 18327,36"</f>
        <v>$ 18327,36</v>
      </c>
      <c r="G837" t="str">
        <f>"$ 18327,36"</f>
        <v>$ 18327,36</v>
      </c>
      <c r="H837" t="str">
        <f t="shared" si="561"/>
        <v>$ 0,00</v>
      </c>
      <c r="I837" t="str">
        <f t="shared" si="551"/>
        <v>JUEGO COJINETES BANCADA</v>
      </c>
      <c r="J837" t="str">
        <f t="shared" si="562"/>
        <v>1</v>
      </c>
      <c r="K837" t="str">
        <f t="shared" si="548"/>
        <v>0</v>
      </c>
      <c r="L837" t="str">
        <f>"5,000"</f>
        <v>5,000</v>
      </c>
      <c r="M837" t="str">
        <f t="shared" si="563"/>
        <v xml:space="preserve"> </v>
      </c>
      <c r="N837" t="str">
        <f t="shared" si="554"/>
        <v>MPSI</v>
      </c>
      <c r="O837" t="str">
        <f t="shared" si="555"/>
        <v>COJINETES</v>
      </c>
      <c r="P837" t="str">
        <f t="shared" si="558"/>
        <v>0</v>
      </c>
      <c r="Q837" t="str">
        <f t="shared" si="558"/>
        <v>0</v>
      </c>
      <c r="R837" t="str">
        <f t="shared" si="559"/>
        <v>0,00</v>
      </c>
      <c r="S837" t="str">
        <f t="shared" si="559"/>
        <v>0,00</v>
      </c>
      <c r="T837" t="str">
        <f t="shared" si="546"/>
        <v xml:space="preserve"> </v>
      </c>
      <c r="U837" t="str">
        <f t="shared" si="560"/>
        <v>-</v>
      </c>
      <c r="V837" t="str">
        <f>"5,000"</f>
        <v>5,000</v>
      </c>
      <c r="W837" t="str">
        <f t="shared" si="564"/>
        <v>Lista 4</v>
      </c>
      <c r="X837" t="str">
        <f t="shared" si="565"/>
        <v>Lista 5</v>
      </c>
      <c r="Y837" t="str">
        <f t="shared" si="566"/>
        <v>Oferta Gral.</v>
      </c>
      <c r="Z837" t="str">
        <f t="shared" si="567"/>
        <v>Rubro</v>
      </c>
      <c r="AA837" t="str">
        <f t="shared" si="568"/>
        <v>Cantidad por Bulto</v>
      </c>
      <c r="AB837" t="str">
        <f t="shared" si="569"/>
        <v>INNER</v>
      </c>
      <c r="AC837" t="str">
        <f t="shared" si="570"/>
        <v>Stock en Bultos</v>
      </c>
      <c r="AD837" t="str">
        <f t="shared" si="571"/>
        <v>SubDepósito</v>
      </c>
      <c r="AE837" t="str">
        <f t="shared" si="572"/>
        <v>Marca</v>
      </c>
      <c r="AF837" t="str">
        <f t="shared" si="573"/>
        <v>Super Rubro</v>
      </c>
      <c r="AG837" t="str">
        <f t="shared" si="574"/>
        <v>ComercioExterior</v>
      </c>
      <c r="AH837" t="str">
        <f t="shared" si="575"/>
        <v>PrecioFOB</v>
      </c>
      <c r="AI837" t="str">
        <f t="shared" si="576"/>
        <v>Monto II</v>
      </c>
      <c r="AJ837" t="str">
        <f t="shared" si="577"/>
        <v>Porcentaje II</v>
      </c>
      <c r="AK837" t="str">
        <f t="shared" si="578"/>
        <v>Foto</v>
      </c>
      <c r="AL837" t="str">
        <f>"{\rtf1\ansi\ansicpg1252\deff0\deflang2058{\fonttbl{\f0\fnil\fcharset0 MS Sans Serif}} \viewkind4\uc1\pard\f0\fs16 COJINETES BANCADA 0,75 FORD FIESTA 1.3 ENDURA VARILLERO\par } "</f>
        <v xml:space="preserve">{\rtf1\ansi\ansicpg1252\deff0\deflang2058{\fonttbl{\f0\fnil\fcharset0 MS Sans Serif}} \viewkind4\uc1\pard\f0\fs16 COJINETES BANCADA 0,75 FORD FIESTA 1.3 ENDURA VARILLERO\par } </v>
      </c>
      <c r="AM837" t="str">
        <f t="shared" ref="AM837:AM868" si="579">" "</f>
        <v xml:space="preserve"> </v>
      </c>
    </row>
    <row r="838" spans="1:39" x14ac:dyDescent="0.25">
      <c r="A838" t="str">
        <f>"BA679 30"</f>
        <v>BA679 30</v>
      </c>
      <c r="B838" t="str">
        <f>"COJINETES BANCADA 0,75 FORD FIESTA 1.4 TDCI PEUGEOT 307 1.6 HDI"</f>
        <v>COJINETES BANCADA 0,75 FORD FIESTA 1.4 TDCI PEUGEOT 307 1.6 HDI</v>
      </c>
      <c r="C838" t="str">
        <f>"$ 19086,06"</f>
        <v>$ 19086,06</v>
      </c>
      <c r="D838" t="str">
        <f>"$ 19086,06"</f>
        <v>$ 19086,06</v>
      </c>
      <c r="E838" t="str">
        <f>"$ 19086,06"</f>
        <v>$ 19086,06</v>
      </c>
      <c r="F838" t="str">
        <f>"$ 19086,06"</f>
        <v>$ 19086,06</v>
      </c>
      <c r="G838" t="str">
        <f>"$ 19086,06"</f>
        <v>$ 19086,06</v>
      </c>
      <c r="H838" t="str">
        <f t="shared" si="561"/>
        <v>$ 0,00</v>
      </c>
      <c r="I838" t="str">
        <f t="shared" si="551"/>
        <v>JUEGO COJINETES BANCADA</v>
      </c>
      <c r="J838" t="str">
        <f t="shared" si="562"/>
        <v>1</v>
      </c>
      <c r="K838" t="str">
        <f t="shared" si="548"/>
        <v>0</v>
      </c>
      <c r="L838" t="str">
        <f>"2,000"</f>
        <v>2,000</v>
      </c>
      <c r="M838" t="str">
        <f t="shared" si="563"/>
        <v xml:space="preserve"> </v>
      </c>
      <c r="N838" t="str">
        <f t="shared" si="554"/>
        <v>MPSI</v>
      </c>
      <c r="O838" t="str">
        <f t="shared" si="555"/>
        <v>COJINETES</v>
      </c>
      <c r="P838" t="str">
        <f t="shared" si="558"/>
        <v>0</v>
      </c>
      <c r="Q838" t="str">
        <f t="shared" si="558"/>
        <v>0</v>
      </c>
      <c r="R838" t="str">
        <f t="shared" si="559"/>
        <v>0,00</v>
      </c>
      <c r="S838" t="str">
        <f t="shared" si="559"/>
        <v>0,00</v>
      </c>
      <c r="T838" t="str">
        <f t="shared" si="546"/>
        <v xml:space="preserve"> </v>
      </c>
      <c r="U838" t="str">
        <f t="shared" si="560"/>
        <v>-</v>
      </c>
      <c r="V838" t="str">
        <f>"2,000"</f>
        <v>2,000</v>
      </c>
      <c r="W838" t="str">
        <f t="shared" si="564"/>
        <v>Lista 4</v>
      </c>
      <c r="X838" t="str">
        <f t="shared" si="565"/>
        <v>Lista 5</v>
      </c>
      <c r="Y838" t="str">
        <f t="shared" si="566"/>
        <v>Oferta Gral.</v>
      </c>
      <c r="Z838" t="str">
        <f t="shared" si="567"/>
        <v>Rubro</v>
      </c>
      <c r="AA838" t="str">
        <f t="shared" si="568"/>
        <v>Cantidad por Bulto</v>
      </c>
      <c r="AB838" t="str">
        <f t="shared" si="569"/>
        <v>INNER</v>
      </c>
      <c r="AC838" t="str">
        <f t="shared" si="570"/>
        <v>Stock en Bultos</v>
      </c>
      <c r="AD838" t="str">
        <f t="shared" si="571"/>
        <v>SubDepósito</v>
      </c>
      <c r="AE838" t="str">
        <f t="shared" si="572"/>
        <v>Marca</v>
      </c>
      <c r="AF838" t="str">
        <f t="shared" si="573"/>
        <v>Super Rubro</v>
      </c>
      <c r="AG838" t="str">
        <f t="shared" si="574"/>
        <v>ComercioExterior</v>
      </c>
      <c r="AH838" t="str">
        <f t="shared" si="575"/>
        <v>PrecioFOB</v>
      </c>
      <c r="AI838" t="str">
        <f t="shared" si="576"/>
        <v>Monto II</v>
      </c>
      <c r="AJ838" t="str">
        <f t="shared" si="577"/>
        <v>Porcentaje II</v>
      </c>
      <c r="AK838" t="str">
        <f t="shared" si="578"/>
        <v>Foto</v>
      </c>
      <c r="AL838" t="str">
        <f t="shared" ref="AL838:AL854" si="580">" "</f>
        <v xml:space="preserve"> </v>
      </c>
      <c r="AM838" t="str">
        <f t="shared" si="579"/>
        <v xml:space="preserve"> </v>
      </c>
    </row>
    <row r="839" spans="1:39" x14ac:dyDescent="0.25">
      <c r="A839" t="str">
        <f>"BA776 30"</f>
        <v>BA776 30</v>
      </c>
      <c r="B839" t="str">
        <f>"COJINETES BANCADA 0,75 FORD FIESTA COURIER FOCUS 1.8 DIESEL"</f>
        <v>COJINETES BANCADA 0,75 FORD FIESTA COURIER FOCUS 1.8 DIESEL</v>
      </c>
      <c r="C839" t="str">
        <f>"$ 20343,54"</f>
        <v>$ 20343,54</v>
      </c>
      <c r="D839" t="str">
        <f>"$ 20343,54"</f>
        <v>$ 20343,54</v>
      </c>
      <c r="E839" t="str">
        <f>"$ 20343,54"</f>
        <v>$ 20343,54</v>
      </c>
      <c r="F839" t="str">
        <f>"$ 20343,54"</f>
        <v>$ 20343,54</v>
      </c>
      <c r="G839" t="str">
        <f>"$ 20343,54"</f>
        <v>$ 20343,54</v>
      </c>
      <c r="H839" t="str">
        <f t="shared" si="561"/>
        <v>$ 0,00</v>
      </c>
      <c r="I839" t="str">
        <f t="shared" si="551"/>
        <v>JUEGO COJINETES BANCADA</v>
      </c>
      <c r="J839" t="str">
        <f t="shared" si="562"/>
        <v>1</v>
      </c>
      <c r="K839" t="str">
        <f t="shared" si="548"/>
        <v>0</v>
      </c>
      <c r="L839" t="str">
        <f>"3,000"</f>
        <v>3,000</v>
      </c>
      <c r="M839" t="str">
        <f t="shared" si="563"/>
        <v xml:space="preserve"> </v>
      </c>
      <c r="N839" t="str">
        <f t="shared" si="554"/>
        <v>MPSI</v>
      </c>
      <c r="O839" t="str">
        <f t="shared" si="555"/>
        <v>COJINETES</v>
      </c>
      <c r="P839" t="str">
        <f t="shared" si="558"/>
        <v>0</v>
      </c>
      <c r="Q839" t="str">
        <f t="shared" si="558"/>
        <v>0</v>
      </c>
      <c r="R839" t="str">
        <f t="shared" si="559"/>
        <v>0,00</v>
      </c>
      <c r="S839" t="str">
        <f t="shared" si="559"/>
        <v>0,00</v>
      </c>
      <c r="T839" t="str">
        <f t="shared" si="546"/>
        <v xml:space="preserve"> </v>
      </c>
      <c r="U839" t="str">
        <f t="shared" si="560"/>
        <v>-</v>
      </c>
      <c r="V839" t="str">
        <f>"3,000"</f>
        <v>3,000</v>
      </c>
      <c r="W839" t="str">
        <f t="shared" si="564"/>
        <v>Lista 4</v>
      </c>
      <c r="X839" t="str">
        <f t="shared" si="565"/>
        <v>Lista 5</v>
      </c>
      <c r="Y839" t="str">
        <f t="shared" si="566"/>
        <v>Oferta Gral.</v>
      </c>
      <c r="Z839" t="str">
        <f t="shared" si="567"/>
        <v>Rubro</v>
      </c>
      <c r="AA839" t="str">
        <f t="shared" si="568"/>
        <v>Cantidad por Bulto</v>
      </c>
      <c r="AB839" t="str">
        <f t="shared" si="569"/>
        <v>INNER</v>
      </c>
      <c r="AC839" t="str">
        <f t="shared" si="570"/>
        <v>Stock en Bultos</v>
      </c>
      <c r="AD839" t="str">
        <f t="shared" si="571"/>
        <v>SubDepósito</v>
      </c>
      <c r="AE839" t="str">
        <f t="shared" si="572"/>
        <v>Marca</v>
      </c>
      <c r="AF839" t="str">
        <f t="shared" si="573"/>
        <v>Super Rubro</v>
      </c>
      <c r="AG839" t="str">
        <f t="shared" si="574"/>
        <v>ComercioExterior</v>
      </c>
      <c r="AH839" t="str">
        <f t="shared" si="575"/>
        <v>PrecioFOB</v>
      </c>
      <c r="AI839" t="str">
        <f t="shared" si="576"/>
        <v>Monto II</v>
      </c>
      <c r="AJ839" t="str">
        <f t="shared" si="577"/>
        <v>Porcentaje II</v>
      </c>
      <c r="AK839" t="str">
        <f t="shared" si="578"/>
        <v>Foto</v>
      </c>
      <c r="AL839" t="str">
        <f t="shared" si="580"/>
        <v xml:space="preserve"> </v>
      </c>
      <c r="AM839" t="str">
        <f t="shared" si="579"/>
        <v xml:space="preserve"> </v>
      </c>
    </row>
    <row r="840" spans="1:39" x14ac:dyDescent="0.25">
      <c r="A840" t="str">
        <f>"BA771 30"</f>
        <v>BA771 30</v>
      </c>
      <c r="B840" t="str">
        <f>"COJINETES BANCADA 0,75 FORD FOCUS FIESTA SIGMA 1.6 16V"</f>
        <v>COJINETES BANCADA 0,75 FORD FOCUS FIESTA SIGMA 1.6 16V</v>
      </c>
      <c r="C840" t="str">
        <f>"$ 26646,01"</f>
        <v>$ 26646,01</v>
      </c>
      <c r="D840" t="str">
        <f>"$ 26646,01"</f>
        <v>$ 26646,01</v>
      </c>
      <c r="E840" t="str">
        <f>"$ 26646,01"</f>
        <v>$ 26646,01</v>
      </c>
      <c r="F840" t="str">
        <f>"$ 26646,01"</f>
        <v>$ 26646,01</v>
      </c>
      <c r="G840" t="str">
        <f>"$ 26646,01"</f>
        <v>$ 26646,01</v>
      </c>
      <c r="H840" t="str">
        <f t="shared" si="561"/>
        <v>$ 0,00</v>
      </c>
      <c r="I840" t="str">
        <f t="shared" si="551"/>
        <v>JUEGO COJINETES BANCADA</v>
      </c>
      <c r="J840" t="str">
        <f t="shared" si="562"/>
        <v>1</v>
      </c>
      <c r="K840" t="str">
        <f t="shared" si="548"/>
        <v>0</v>
      </c>
      <c r="L840" t="str">
        <f>"4,000"</f>
        <v>4,000</v>
      </c>
      <c r="M840" t="str">
        <f t="shared" si="563"/>
        <v xml:space="preserve"> </v>
      </c>
      <c r="N840" t="str">
        <f t="shared" si="554"/>
        <v>MPSI</v>
      </c>
      <c r="O840" t="str">
        <f t="shared" si="555"/>
        <v>COJINETES</v>
      </c>
      <c r="P840" t="str">
        <f t="shared" si="558"/>
        <v>0</v>
      </c>
      <c r="Q840" t="str">
        <f t="shared" si="558"/>
        <v>0</v>
      </c>
      <c r="R840" t="str">
        <f t="shared" si="559"/>
        <v>0,00</v>
      </c>
      <c r="S840" t="str">
        <f t="shared" si="559"/>
        <v>0,00</v>
      </c>
      <c r="T840" t="str">
        <f t="shared" si="546"/>
        <v xml:space="preserve"> </v>
      </c>
      <c r="U840" t="str">
        <f t="shared" si="560"/>
        <v>-</v>
      </c>
      <c r="V840" t="str">
        <f>"4,000"</f>
        <v>4,000</v>
      </c>
      <c r="W840" t="str">
        <f t="shared" si="564"/>
        <v>Lista 4</v>
      </c>
      <c r="X840" t="str">
        <f t="shared" si="565"/>
        <v>Lista 5</v>
      </c>
      <c r="Y840" t="str">
        <f t="shared" si="566"/>
        <v>Oferta Gral.</v>
      </c>
      <c r="Z840" t="str">
        <f t="shared" si="567"/>
        <v>Rubro</v>
      </c>
      <c r="AA840" t="str">
        <f t="shared" si="568"/>
        <v>Cantidad por Bulto</v>
      </c>
      <c r="AB840" t="str">
        <f t="shared" si="569"/>
        <v>INNER</v>
      </c>
      <c r="AC840" t="str">
        <f t="shared" si="570"/>
        <v>Stock en Bultos</v>
      </c>
      <c r="AD840" t="str">
        <f t="shared" si="571"/>
        <v>SubDepósito</v>
      </c>
      <c r="AE840" t="str">
        <f t="shared" si="572"/>
        <v>Marca</v>
      </c>
      <c r="AF840" t="str">
        <f t="shared" si="573"/>
        <v>Super Rubro</v>
      </c>
      <c r="AG840" t="str">
        <f t="shared" si="574"/>
        <v>ComercioExterior</v>
      </c>
      <c r="AH840" t="str">
        <f t="shared" si="575"/>
        <v>PrecioFOB</v>
      </c>
      <c r="AI840" t="str">
        <f t="shared" si="576"/>
        <v>Monto II</v>
      </c>
      <c r="AJ840" t="str">
        <f t="shared" si="577"/>
        <v>Porcentaje II</v>
      </c>
      <c r="AK840" t="str">
        <f t="shared" si="578"/>
        <v>Foto</v>
      </c>
      <c r="AL840" t="str">
        <f t="shared" si="580"/>
        <v xml:space="preserve"> </v>
      </c>
      <c r="AM840" t="str">
        <f t="shared" si="579"/>
        <v xml:space="preserve"> </v>
      </c>
    </row>
    <row r="841" spans="1:39" x14ac:dyDescent="0.25">
      <c r="A841" t="str">
        <f>"BA777 30"</f>
        <v>BA777 30</v>
      </c>
      <c r="B841" t="str">
        <f>"COJINETES BANCADA 0,75 FORD FOCUS FIESTA ZETEC 1.6 1.8 2.0 16V"</f>
        <v>COJINETES BANCADA 0,75 FORD FOCUS FIESTA ZETEC 1.6 1.8 2.0 16V</v>
      </c>
      <c r="C841" t="str">
        <f>"$ 29103,92"</f>
        <v>$ 29103,92</v>
      </c>
      <c r="D841" t="str">
        <f>"$ 29103,92"</f>
        <v>$ 29103,92</v>
      </c>
      <c r="E841" t="str">
        <f>"$ 29103,92"</f>
        <v>$ 29103,92</v>
      </c>
      <c r="F841" t="str">
        <f>"$ 29103,92"</f>
        <v>$ 29103,92</v>
      </c>
      <c r="G841" t="str">
        <f>"$ 29103,92"</f>
        <v>$ 29103,92</v>
      </c>
      <c r="H841" t="str">
        <f t="shared" si="561"/>
        <v>$ 0,00</v>
      </c>
      <c r="I841" t="str">
        <f t="shared" si="551"/>
        <v>JUEGO COJINETES BANCADA</v>
      </c>
      <c r="J841" t="str">
        <f t="shared" si="562"/>
        <v>1</v>
      </c>
      <c r="K841" t="str">
        <f t="shared" si="548"/>
        <v>0</v>
      </c>
      <c r="L841" t="str">
        <f>"4,000"</f>
        <v>4,000</v>
      </c>
      <c r="M841" t="str">
        <f t="shared" si="563"/>
        <v xml:space="preserve"> </v>
      </c>
      <c r="N841" t="str">
        <f t="shared" si="554"/>
        <v>MPSI</v>
      </c>
      <c r="O841" t="str">
        <f t="shared" si="555"/>
        <v>COJINETES</v>
      </c>
      <c r="P841" t="str">
        <f t="shared" si="558"/>
        <v>0</v>
      </c>
      <c r="Q841" t="str">
        <f t="shared" si="558"/>
        <v>0</v>
      </c>
      <c r="R841" t="str">
        <f t="shared" si="559"/>
        <v>0,00</v>
      </c>
      <c r="S841" t="str">
        <f t="shared" si="559"/>
        <v>0,00</v>
      </c>
      <c r="T841" t="str">
        <f t="shared" si="546"/>
        <v xml:space="preserve"> </v>
      </c>
      <c r="U841" t="str">
        <f t="shared" si="560"/>
        <v>-</v>
      </c>
      <c r="V841" t="str">
        <f>"4,000"</f>
        <v>4,000</v>
      </c>
      <c r="W841" t="str">
        <f t="shared" si="564"/>
        <v>Lista 4</v>
      </c>
      <c r="X841" t="str">
        <f t="shared" si="565"/>
        <v>Lista 5</v>
      </c>
      <c r="Y841" t="str">
        <f t="shared" si="566"/>
        <v>Oferta Gral.</v>
      </c>
      <c r="Z841" t="str">
        <f t="shared" si="567"/>
        <v>Rubro</v>
      </c>
      <c r="AA841" t="str">
        <f t="shared" si="568"/>
        <v>Cantidad por Bulto</v>
      </c>
      <c r="AB841" t="str">
        <f t="shared" si="569"/>
        <v>INNER</v>
      </c>
      <c r="AC841" t="str">
        <f t="shared" si="570"/>
        <v>Stock en Bultos</v>
      </c>
      <c r="AD841" t="str">
        <f t="shared" si="571"/>
        <v>SubDepósito</v>
      </c>
      <c r="AE841" t="str">
        <f t="shared" si="572"/>
        <v>Marca</v>
      </c>
      <c r="AF841" t="str">
        <f t="shared" si="573"/>
        <v>Super Rubro</v>
      </c>
      <c r="AG841" t="str">
        <f t="shared" si="574"/>
        <v>ComercioExterior</v>
      </c>
      <c r="AH841" t="str">
        <f t="shared" si="575"/>
        <v>PrecioFOB</v>
      </c>
      <c r="AI841" t="str">
        <f t="shared" si="576"/>
        <v>Monto II</v>
      </c>
      <c r="AJ841" t="str">
        <f t="shared" si="577"/>
        <v>Porcentaje II</v>
      </c>
      <c r="AK841" t="str">
        <f t="shared" si="578"/>
        <v>Foto</v>
      </c>
      <c r="AL841" t="str">
        <f t="shared" si="580"/>
        <v xml:space="preserve"> </v>
      </c>
      <c r="AM841" t="str">
        <f t="shared" si="579"/>
        <v xml:space="preserve"> </v>
      </c>
    </row>
    <row r="842" spans="1:39" x14ac:dyDescent="0.25">
      <c r="A842" t="str">
        <f>"BA165647 30"</f>
        <v>BA165647 30</v>
      </c>
      <c r="B842" t="str">
        <f>"COJINETES BANCADA 0,75 FORD FOCUS MONDEO DURATEC 2.0 16V"</f>
        <v>COJINETES BANCADA 0,75 FORD FOCUS MONDEO DURATEC 2.0 16V</v>
      </c>
      <c r="C842" t="str">
        <f>"$ 42455,36"</f>
        <v>$ 42455,36</v>
      </c>
      <c r="D842" t="str">
        <f>"$ 42455,36"</f>
        <v>$ 42455,36</v>
      </c>
      <c r="E842" t="str">
        <f>"$ 42455,36"</f>
        <v>$ 42455,36</v>
      </c>
      <c r="F842" t="str">
        <f>"$ 42455,36"</f>
        <v>$ 42455,36</v>
      </c>
      <c r="G842" t="str">
        <f>"$ 42455,36"</f>
        <v>$ 42455,36</v>
      </c>
      <c r="H842" t="str">
        <f t="shared" si="561"/>
        <v>$ 0,00</v>
      </c>
      <c r="I842" t="str">
        <f t="shared" si="551"/>
        <v>JUEGO COJINETES BANCADA</v>
      </c>
      <c r="J842" t="str">
        <f t="shared" si="562"/>
        <v>1</v>
      </c>
      <c r="K842" t="str">
        <f t="shared" si="548"/>
        <v>0</v>
      </c>
      <c r="L842" t="str">
        <f>"3,000"</f>
        <v>3,000</v>
      </c>
      <c r="M842" t="str">
        <f t="shared" si="563"/>
        <v xml:space="preserve"> </v>
      </c>
      <c r="N842" t="str">
        <f t="shared" si="554"/>
        <v>MPSI</v>
      </c>
      <c r="O842" t="str">
        <f t="shared" si="555"/>
        <v>COJINETES</v>
      </c>
      <c r="P842" t="str">
        <f t="shared" si="558"/>
        <v>0</v>
      </c>
      <c r="Q842" t="str">
        <f t="shared" si="558"/>
        <v>0</v>
      </c>
      <c r="R842" t="str">
        <f t="shared" si="559"/>
        <v>0,00</v>
      </c>
      <c r="S842" t="str">
        <f t="shared" si="559"/>
        <v>0,00</v>
      </c>
      <c r="T842" t="str">
        <f t="shared" si="546"/>
        <v xml:space="preserve"> </v>
      </c>
      <c r="U842" t="str">
        <f t="shared" si="560"/>
        <v>-</v>
      </c>
      <c r="V842" t="str">
        <f>"3,000"</f>
        <v>3,000</v>
      </c>
      <c r="W842" t="str">
        <f t="shared" si="564"/>
        <v>Lista 4</v>
      </c>
      <c r="X842" t="str">
        <f t="shared" si="565"/>
        <v>Lista 5</v>
      </c>
      <c r="Y842" t="str">
        <f t="shared" si="566"/>
        <v>Oferta Gral.</v>
      </c>
      <c r="Z842" t="str">
        <f t="shared" si="567"/>
        <v>Rubro</v>
      </c>
      <c r="AA842" t="str">
        <f t="shared" si="568"/>
        <v>Cantidad por Bulto</v>
      </c>
      <c r="AB842" t="str">
        <f t="shared" si="569"/>
        <v>INNER</v>
      </c>
      <c r="AC842" t="str">
        <f t="shared" si="570"/>
        <v>Stock en Bultos</v>
      </c>
      <c r="AD842" t="str">
        <f t="shared" si="571"/>
        <v>SubDepósito</v>
      </c>
      <c r="AE842" t="str">
        <f t="shared" si="572"/>
        <v>Marca</v>
      </c>
      <c r="AF842" t="str">
        <f t="shared" si="573"/>
        <v>Super Rubro</v>
      </c>
      <c r="AG842" t="str">
        <f t="shared" si="574"/>
        <v>ComercioExterior</v>
      </c>
      <c r="AH842" t="str">
        <f t="shared" si="575"/>
        <v>PrecioFOB</v>
      </c>
      <c r="AI842" t="str">
        <f t="shared" si="576"/>
        <v>Monto II</v>
      </c>
      <c r="AJ842" t="str">
        <f t="shared" si="577"/>
        <v>Porcentaje II</v>
      </c>
      <c r="AK842" t="str">
        <f t="shared" si="578"/>
        <v>Foto</v>
      </c>
      <c r="AL842" t="str">
        <f t="shared" si="580"/>
        <v xml:space="preserve"> </v>
      </c>
      <c r="AM842" t="str">
        <f t="shared" si="579"/>
        <v xml:space="preserve"> </v>
      </c>
    </row>
    <row r="843" spans="1:39" x14ac:dyDescent="0.25">
      <c r="A843" t="str">
        <f>"BA165198 30"</f>
        <v>BA165198 30</v>
      </c>
      <c r="B843" t="str">
        <f>"COJINETES BANCADA 0,75 FORD RANGER 2.2 PUMA TDCI 125HP"</f>
        <v>COJINETES BANCADA 0,75 FORD RANGER 2.2 PUMA TDCI 125HP</v>
      </c>
      <c r="C843" t="str">
        <f>"$ 35881,80"</f>
        <v>$ 35881,80</v>
      </c>
      <c r="D843" t="str">
        <f>"$ 35881,80"</f>
        <v>$ 35881,80</v>
      </c>
      <c r="E843" t="str">
        <f>"$ 35881,80"</f>
        <v>$ 35881,80</v>
      </c>
      <c r="F843" t="str">
        <f>"$ 35881,80"</f>
        <v>$ 35881,80</v>
      </c>
      <c r="G843" t="str">
        <f>"$ 35881,80"</f>
        <v>$ 35881,80</v>
      </c>
      <c r="H843" t="str">
        <f t="shared" si="561"/>
        <v>$ 0,00</v>
      </c>
      <c r="I843" t="str">
        <f t="shared" si="551"/>
        <v>JUEGO COJINETES BANCADA</v>
      </c>
      <c r="J843" t="str">
        <f t="shared" si="562"/>
        <v>1</v>
      </c>
      <c r="K843" t="str">
        <f t="shared" si="548"/>
        <v>0</v>
      </c>
      <c r="L843" t="str">
        <f>"6,000"</f>
        <v>6,000</v>
      </c>
      <c r="M843" t="str">
        <f t="shared" si="563"/>
        <v xml:space="preserve"> </v>
      </c>
      <c r="N843" t="str">
        <f t="shared" si="554"/>
        <v>MPSI</v>
      </c>
      <c r="O843" t="str">
        <f t="shared" si="555"/>
        <v>COJINETES</v>
      </c>
      <c r="P843" t="str">
        <f t="shared" ref="P843:Q862" si="581">"0"</f>
        <v>0</v>
      </c>
      <c r="Q843" t="str">
        <f t="shared" si="581"/>
        <v>0</v>
      </c>
      <c r="R843" t="str">
        <f t="shared" ref="R843:S862" si="582">"0,00"</f>
        <v>0,00</v>
      </c>
      <c r="S843" t="str">
        <f t="shared" si="582"/>
        <v>0,00</v>
      </c>
      <c r="T843" t="str">
        <f t="shared" si="546"/>
        <v xml:space="preserve"> </v>
      </c>
      <c r="U843" t="str">
        <f t="shared" si="560"/>
        <v>-</v>
      </c>
      <c r="V843" t="str">
        <f>"6,000"</f>
        <v>6,000</v>
      </c>
      <c r="W843" t="str">
        <f t="shared" si="564"/>
        <v>Lista 4</v>
      </c>
      <c r="X843" t="str">
        <f t="shared" si="565"/>
        <v>Lista 5</v>
      </c>
      <c r="Y843" t="str">
        <f t="shared" si="566"/>
        <v>Oferta Gral.</v>
      </c>
      <c r="Z843" t="str">
        <f t="shared" si="567"/>
        <v>Rubro</v>
      </c>
      <c r="AA843" t="str">
        <f t="shared" si="568"/>
        <v>Cantidad por Bulto</v>
      </c>
      <c r="AB843" t="str">
        <f t="shared" si="569"/>
        <v>INNER</v>
      </c>
      <c r="AC843" t="str">
        <f t="shared" si="570"/>
        <v>Stock en Bultos</v>
      </c>
      <c r="AD843" t="str">
        <f t="shared" si="571"/>
        <v>SubDepósito</v>
      </c>
      <c r="AE843" t="str">
        <f t="shared" si="572"/>
        <v>Marca</v>
      </c>
      <c r="AF843" t="str">
        <f t="shared" si="573"/>
        <v>Super Rubro</v>
      </c>
      <c r="AG843" t="str">
        <f t="shared" si="574"/>
        <v>ComercioExterior</v>
      </c>
      <c r="AH843" t="str">
        <f t="shared" si="575"/>
        <v>PrecioFOB</v>
      </c>
      <c r="AI843" t="str">
        <f t="shared" si="576"/>
        <v>Monto II</v>
      </c>
      <c r="AJ843" t="str">
        <f t="shared" si="577"/>
        <v>Porcentaje II</v>
      </c>
      <c r="AK843" t="str">
        <f t="shared" si="578"/>
        <v>Foto</v>
      </c>
      <c r="AL843" t="str">
        <f t="shared" si="580"/>
        <v xml:space="preserve"> </v>
      </c>
      <c r="AM843" t="str">
        <f t="shared" si="579"/>
        <v xml:space="preserve"> </v>
      </c>
    </row>
    <row r="844" spans="1:39" x14ac:dyDescent="0.25">
      <c r="A844" t="str">
        <f>"BA404 30"</f>
        <v>BA404 30</v>
      </c>
      <c r="B844" t="str">
        <f>"COJINETES BANCADA 0,75 FORD RANGER 2.8 3.0 POWER STROKE"</f>
        <v>COJINETES BANCADA 0,75 FORD RANGER 2.8 3.0 POWER STROKE</v>
      </c>
      <c r="C844" t="str">
        <f>"$ 30183,91"</f>
        <v>$ 30183,91</v>
      </c>
      <c r="D844" t="str">
        <f>"$ 30183,91"</f>
        <v>$ 30183,91</v>
      </c>
      <c r="E844" t="str">
        <f>"$ 30183,91"</f>
        <v>$ 30183,91</v>
      </c>
      <c r="F844" t="str">
        <f>"$ 30183,91"</f>
        <v>$ 30183,91</v>
      </c>
      <c r="G844" t="str">
        <f>"$ 30183,91"</f>
        <v>$ 30183,91</v>
      </c>
      <c r="H844" t="str">
        <f t="shared" si="561"/>
        <v>$ 0,00</v>
      </c>
      <c r="I844" t="str">
        <f t="shared" si="551"/>
        <v>JUEGO COJINETES BANCADA</v>
      </c>
      <c r="J844" t="str">
        <f t="shared" si="562"/>
        <v>1</v>
      </c>
      <c r="K844" t="str">
        <f t="shared" si="548"/>
        <v>0</v>
      </c>
      <c r="L844" t="str">
        <f>"4,000"</f>
        <v>4,000</v>
      </c>
      <c r="M844" t="str">
        <f t="shared" si="563"/>
        <v xml:space="preserve"> </v>
      </c>
      <c r="N844" t="str">
        <f t="shared" si="554"/>
        <v>MPSI</v>
      </c>
      <c r="O844" t="str">
        <f t="shared" si="555"/>
        <v>COJINETES</v>
      </c>
      <c r="P844" t="str">
        <f t="shared" si="581"/>
        <v>0</v>
      </c>
      <c r="Q844" t="str">
        <f t="shared" si="581"/>
        <v>0</v>
      </c>
      <c r="R844" t="str">
        <f t="shared" si="582"/>
        <v>0,00</v>
      </c>
      <c r="S844" t="str">
        <f t="shared" si="582"/>
        <v>0,00</v>
      </c>
      <c r="T844" t="str">
        <f t="shared" si="546"/>
        <v xml:space="preserve"> </v>
      </c>
      <c r="U844" t="str">
        <f t="shared" si="560"/>
        <v>-</v>
      </c>
      <c r="V844" t="str">
        <f>"4,000"</f>
        <v>4,000</v>
      </c>
      <c r="W844" t="str">
        <f t="shared" si="564"/>
        <v>Lista 4</v>
      </c>
      <c r="X844" t="str">
        <f t="shared" si="565"/>
        <v>Lista 5</v>
      </c>
      <c r="Y844" t="str">
        <f t="shared" si="566"/>
        <v>Oferta Gral.</v>
      </c>
      <c r="Z844" t="str">
        <f t="shared" si="567"/>
        <v>Rubro</v>
      </c>
      <c r="AA844" t="str">
        <f t="shared" si="568"/>
        <v>Cantidad por Bulto</v>
      </c>
      <c r="AB844" t="str">
        <f t="shared" si="569"/>
        <v>INNER</v>
      </c>
      <c r="AC844" t="str">
        <f t="shared" si="570"/>
        <v>Stock en Bultos</v>
      </c>
      <c r="AD844" t="str">
        <f t="shared" si="571"/>
        <v>SubDepósito</v>
      </c>
      <c r="AE844" t="str">
        <f t="shared" si="572"/>
        <v>Marca</v>
      </c>
      <c r="AF844" t="str">
        <f t="shared" si="573"/>
        <v>Super Rubro</v>
      </c>
      <c r="AG844" t="str">
        <f t="shared" si="574"/>
        <v>ComercioExterior</v>
      </c>
      <c r="AH844" t="str">
        <f t="shared" si="575"/>
        <v>PrecioFOB</v>
      </c>
      <c r="AI844" t="str">
        <f t="shared" si="576"/>
        <v>Monto II</v>
      </c>
      <c r="AJ844" t="str">
        <f t="shared" si="577"/>
        <v>Porcentaje II</v>
      </c>
      <c r="AK844" t="str">
        <f t="shared" si="578"/>
        <v>Foto</v>
      </c>
      <c r="AL844" t="str">
        <f t="shared" si="580"/>
        <v xml:space="preserve"> </v>
      </c>
      <c r="AM844" t="str">
        <f t="shared" si="579"/>
        <v xml:space="preserve"> </v>
      </c>
    </row>
    <row r="845" spans="1:39" x14ac:dyDescent="0.25">
      <c r="A845" t="str">
        <f>"BA166200 30"</f>
        <v>BA166200 30</v>
      </c>
      <c r="B845" t="str">
        <f>"COJINETES BANCADA 0,75 FORD RANGER 3.2 PUMA TDCI 200HP 5 CIL"</f>
        <v>COJINETES BANCADA 0,75 FORD RANGER 3.2 PUMA TDCI 200HP 5 CIL</v>
      </c>
      <c r="C845" t="str">
        <f>"$ 38954,19"</f>
        <v>$ 38954,19</v>
      </c>
      <c r="D845" t="str">
        <f>"$ 38954,19"</f>
        <v>$ 38954,19</v>
      </c>
      <c r="E845" t="str">
        <f>"$ 38954,19"</f>
        <v>$ 38954,19</v>
      </c>
      <c r="F845" t="str">
        <f>"$ 38954,19"</f>
        <v>$ 38954,19</v>
      </c>
      <c r="G845" t="str">
        <f>"$ 38954,19"</f>
        <v>$ 38954,19</v>
      </c>
      <c r="H845" t="str">
        <f t="shared" si="561"/>
        <v>$ 0,00</v>
      </c>
      <c r="I845" t="str">
        <f t="shared" si="551"/>
        <v>JUEGO COJINETES BANCADA</v>
      </c>
      <c r="J845" t="str">
        <f t="shared" si="562"/>
        <v>1</v>
      </c>
      <c r="K845" t="str">
        <f t="shared" si="548"/>
        <v>0</v>
      </c>
      <c r="L845" t="str">
        <f>"4,000"</f>
        <v>4,000</v>
      </c>
      <c r="M845" t="str">
        <f t="shared" si="563"/>
        <v xml:space="preserve"> </v>
      </c>
      <c r="N845" t="str">
        <f t="shared" si="554"/>
        <v>MPSI</v>
      </c>
      <c r="O845" t="str">
        <f t="shared" si="555"/>
        <v>COJINETES</v>
      </c>
      <c r="P845" t="str">
        <f t="shared" si="581"/>
        <v>0</v>
      </c>
      <c r="Q845" t="str">
        <f t="shared" si="581"/>
        <v>0</v>
      </c>
      <c r="R845" t="str">
        <f t="shared" si="582"/>
        <v>0,00</v>
      </c>
      <c r="S845" t="str">
        <f t="shared" si="582"/>
        <v>0,00</v>
      </c>
      <c r="T845" t="str">
        <f t="shared" si="546"/>
        <v xml:space="preserve"> </v>
      </c>
      <c r="U845" t="str">
        <f t="shared" si="560"/>
        <v>-</v>
      </c>
      <c r="V845" t="str">
        <f>"4,000"</f>
        <v>4,000</v>
      </c>
      <c r="W845" t="str">
        <f t="shared" si="564"/>
        <v>Lista 4</v>
      </c>
      <c r="X845" t="str">
        <f t="shared" si="565"/>
        <v>Lista 5</v>
      </c>
      <c r="Y845" t="str">
        <f t="shared" si="566"/>
        <v>Oferta Gral.</v>
      </c>
      <c r="Z845" t="str">
        <f t="shared" si="567"/>
        <v>Rubro</v>
      </c>
      <c r="AA845" t="str">
        <f t="shared" si="568"/>
        <v>Cantidad por Bulto</v>
      </c>
      <c r="AB845" t="str">
        <f t="shared" si="569"/>
        <v>INNER</v>
      </c>
      <c r="AC845" t="str">
        <f t="shared" si="570"/>
        <v>Stock en Bultos</v>
      </c>
      <c r="AD845" t="str">
        <f t="shared" si="571"/>
        <v>SubDepósito</v>
      </c>
      <c r="AE845" t="str">
        <f t="shared" si="572"/>
        <v>Marca</v>
      </c>
      <c r="AF845" t="str">
        <f t="shared" si="573"/>
        <v>Super Rubro</v>
      </c>
      <c r="AG845" t="str">
        <f t="shared" si="574"/>
        <v>ComercioExterior</v>
      </c>
      <c r="AH845" t="str">
        <f t="shared" si="575"/>
        <v>PrecioFOB</v>
      </c>
      <c r="AI845" t="str">
        <f t="shared" si="576"/>
        <v>Monto II</v>
      </c>
      <c r="AJ845" t="str">
        <f t="shared" si="577"/>
        <v>Porcentaje II</v>
      </c>
      <c r="AK845" t="str">
        <f t="shared" si="578"/>
        <v>Foto</v>
      </c>
      <c r="AL845" t="str">
        <f t="shared" si="580"/>
        <v xml:space="preserve"> </v>
      </c>
      <c r="AM845" t="str">
        <f t="shared" si="579"/>
        <v xml:space="preserve"> </v>
      </c>
    </row>
    <row r="846" spans="1:39" x14ac:dyDescent="0.25">
      <c r="A846" t="str">
        <f>"BA203 30"</f>
        <v>BA203 30</v>
      </c>
      <c r="B846" t="str">
        <f>"COJINETES BANCADA 0,75 FORD SIERRA 1600"</f>
        <v>COJINETES BANCADA 0,75 FORD SIERRA 1600</v>
      </c>
      <c r="C846" t="str">
        <f>"$ 24057,75"</f>
        <v>$ 24057,75</v>
      </c>
      <c r="D846" t="str">
        <f>"$ 24057,75"</f>
        <v>$ 24057,75</v>
      </c>
      <c r="E846" t="str">
        <f>"$ 24057,75"</f>
        <v>$ 24057,75</v>
      </c>
      <c r="F846" t="str">
        <f>"$ 24057,75"</f>
        <v>$ 24057,75</v>
      </c>
      <c r="G846" t="str">
        <f>"$ 24057,75"</f>
        <v>$ 24057,75</v>
      </c>
      <c r="H846" t="str">
        <f t="shared" si="561"/>
        <v>$ 0,00</v>
      </c>
      <c r="I846" t="str">
        <f t="shared" si="551"/>
        <v>JUEGO COJINETES BANCADA</v>
      </c>
      <c r="J846" t="str">
        <f t="shared" si="562"/>
        <v>1</v>
      </c>
      <c r="K846" t="str">
        <f t="shared" si="548"/>
        <v>0</v>
      </c>
      <c r="L846" t="str">
        <f>"4,000"</f>
        <v>4,000</v>
      </c>
      <c r="M846" t="str">
        <f t="shared" si="563"/>
        <v xml:space="preserve"> </v>
      </c>
      <c r="N846" t="str">
        <f t="shared" si="554"/>
        <v>MPSI</v>
      </c>
      <c r="O846" t="str">
        <f t="shared" si="555"/>
        <v>COJINETES</v>
      </c>
      <c r="P846" t="str">
        <f t="shared" si="581"/>
        <v>0</v>
      </c>
      <c r="Q846" t="str">
        <f t="shared" si="581"/>
        <v>0</v>
      </c>
      <c r="R846" t="str">
        <f t="shared" si="582"/>
        <v>0,00</v>
      </c>
      <c r="S846" t="str">
        <f t="shared" si="582"/>
        <v>0,00</v>
      </c>
      <c r="T846" t="str">
        <f t="shared" si="546"/>
        <v xml:space="preserve"> </v>
      </c>
      <c r="U846" t="str">
        <f t="shared" si="560"/>
        <v>-</v>
      </c>
      <c r="V846" t="str">
        <f>"4,000"</f>
        <v>4,000</v>
      </c>
      <c r="W846" t="str">
        <f t="shared" si="564"/>
        <v>Lista 4</v>
      </c>
      <c r="X846" t="str">
        <f t="shared" si="565"/>
        <v>Lista 5</v>
      </c>
      <c r="Y846" t="str">
        <f t="shared" si="566"/>
        <v>Oferta Gral.</v>
      </c>
      <c r="Z846" t="str">
        <f t="shared" si="567"/>
        <v>Rubro</v>
      </c>
      <c r="AA846" t="str">
        <f t="shared" si="568"/>
        <v>Cantidad por Bulto</v>
      </c>
      <c r="AB846" t="str">
        <f t="shared" si="569"/>
        <v>INNER</v>
      </c>
      <c r="AC846" t="str">
        <f t="shared" si="570"/>
        <v>Stock en Bultos</v>
      </c>
      <c r="AD846" t="str">
        <f t="shared" si="571"/>
        <v>SubDepósito</v>
      </c>
      <c r="AE846" t="str">
        <f t="shared" si="572"/>
        <v>Marca</v>
      </c>
      <c r="AF846" t="str">
        <f t="shared" si="573"/>
        <v>Super Rubro</v>
      </c>
      <c r="AG846" t="str">
        <f t="shared" si="574"/>
        <v>ComercioExterior</v>
      </c>
      <c r="AH846" t="str">
        <f t="shared" si="575"/>
        <v>PrecioFOB</v>
      </c>
      <c r="AI846" t="str">
        <f t="shared" si="576"/>
        <v>Monto II</v>
      </c>
      <c r="AJ846" t="str">
        <f t="shared" si="577"/>
        <v>Porcentaje II</v>
      </c>
      <c r="AK846" t="str">
        <f t="shared" si="578"/>
        <v>Foto</v>
      </c>
      <c r="AL846" t="str">
        <f t="shared" si="580"/>
        <v xml:space="preserve"> </v>
      </c>
      <c r="AM846" t="str">
        <f t="shared" si="579"/>
        <v xml:space="preserve"> </v>
      </c>
    </row>
    <row r="847" spans="1:39" x14ac:dyDescent="0.25">
      <c r="A847" t="str">
        <f>"BA201 30"</f>
        <v>BA201 30</v>
      </c>
      <c r="B847" t="str">
        <f>"COJINETES BANCADA 0,75 FORD TAUNUS 2.0 2.3"</f>
        <v>COJINETES BANCADA 0,75 FORD TAUNUS 2.0 2.3</v>
      </c>
      <c r="C847" t="str">
        <f>"$ 44894,15"</f>
        <v>$ 44894,15</v>
      </c>
      <c r="D847" t="str">
        <f>"$ 44894,15"</f>
        <v>$ 44894,15</v>
      </c>
      <c r="E847" t="str">
        <f>"$ 44894,15"</f>
        <v>$ 44894,15</v>
      </c>
      <c r="F847" t="str">
        <f>"$ 44894,15"</f>
        <v>$ 44894,15</v>
      </c>
      <c r="G847" t="str">
        <f>"$ 44894,15"</f>
        <v>$ 44894,15</v>
      </c>
      <c r="H847" t="str">
        <f t="shared" si="561"/>
        <v>$ 0,00</v>
      </c>
      <c r="I847" t="str">
        <f t="shared" si="551"/>
        <v>JUEGO COJINETES BANCADA</v>
      </c>
      <c r="J847" t="str">
        <f t="shared" si="562"/>
        <v>1</v>
      </c>
      <c r="K847" t="str">
        <f t="shared" si="548"/>
        <v>0</v>
      </c>
      <c r="L847" t="str">
        <f>"5,000"</f>
        <v>5,000</v>
      </c>
      <c r="M847" t="str">
        <f t="shared" si="563"/>
        <v xml:space="preserve"> </v>
      </c>
      <c r="N847" t="str">
        <f t="shared" si="554"/>
        <v>MPSI</v>
      </c>
      <c r="O847" t="str">
        <f t="shared" si="555"/>
        <v>COJINETES</v>
      </c>
      <c r="P847" t="str">
        <f t="shared" si="581"/>
        <v>0</v>
      </c>
      <c r="Q847" t="str">
        <f t="shared" si="581"/>
        <v>0</v>
      </c>
      <c r="R847" t="str">
        <f t="shared" si="582"/>
        <v>0,00</v>
      </c>
      <c r="S847" t="str">
        <f t="shared" si="582"/>
        <v>0,00</v>
      </c>
      <c r="T847" t="str">
        <f t="shared" si="546"/>
        <v xml:space="preserve"> </v>
      </c>
      <c r="U847" t="str">
        <f t="shared" si="560"/>
        <v>-</v>
      </c>
      <c r="V847" t="str">
        <f>"5,000"</f>
        <v>5,000</v>
      </c>
      <c r="W847" t="str">
        <f t="shared" si="564"/>
        <v>Lista 4</v>
      </c>
      <c r="X847" t="str">
        <f t="shared" si="565"/>
        <v>Lista 5</v>
      </c>
      <c r="Y847" t="str">
        <f t="shared" si="566"/>
        <v>Oferta Gral.</v>
      </c>
      <c r="Z847" t="str">
        <f t="shared" si="567"/>
        <v>Rubro</v>
      </c>
      <c r="AA847" t="str">
        <f t="shared" si="568"/>
        <v>Cantidad por Bulto</v>
      </c>
      <c r="AB847" t="str">
        <f t="shared" si="569"/>
        <v>INNER</v>
      </c>
      <c r="AC847" t="str">
        <f t="shared" si="570"/>
        <v>Stock en Bultos</v>
      </c>
      <c r="AD847" t="str">
        <f t="shared" si="571"/>
        <v>SubDepósito</v>
      </c>
      <c r="AE847" t="str">
        <f t="shared" si="572"/>
        <v>Marca</v>
      </c>
      <c r="AF847" t="str">
        <f t="shared" si="573"/>
        <v>Super Rubro</v>
      </c>
      <c r="AG847" t="str">
        <f t="shared" si="574"/>
        <v>ComercioExterior</v>
      </c>
      <c r="AH847" t="str">
        <f t="shared" si="575"/>
        <v>PrecioFOB</v>
      </c>
      <c r="AI847" t="str">
        <f t="shared" si="576"/>
        <v>Monto II</v>
      </c>
      <c r="AJ847" t="str">
        <f t="shared" si="577"/>
        <v>Porcentaje II</v>
      </c>
      <c r="AK847" t="str">
        <f t="shared" si="578"/>
        <v>Foto</v>
      </c>
      <c r="AL847" t="str">
        <f t="shared" si="580"/>
        <v xml:space="preserve"> </v>
      </c>
      <c r="AM847" t="str">
        <f t="shared" si="579"/>
        <v xml:space="preserve"> </v>
      </c>
    </row>
    <row r="848" spans="1:39" x14ac:dyDescent="0.25">
      <c r="A848" t="str">
        <f>"BA774 30"</f>
        <v>BA774 30</v>
      </c>
      <c r="B848" t="str">
        <f>"COJINETES BANCADA 0,75 FORD TRANSIT 2,5 DIESEL 2401E"</f>
        <v>COJINETES BANCADA 0,75 FORD TRANSIT 2,5 DIESEL 2401E</v>
      </c>
      <c r="C848" t="str">
        <f>"$ 30314,26"</f>
        <v>$ 30314,26</v>
      </c>
      <c r="D848" t="str">
        <f>"$ 30314,26"</f>
        <v>$ 30314,26</v>
      </c>
      <c r="E848" t="str">
        <f>"$ 30314,26"</f>
        <v>$ 30314,26</v>
      </c>
      <c r="F848" t="str">
        <f>"$ 30314,26"</f>
        <v>$ 30314,26</v>
      </c>
      <c r="G848" t="str">
        <f>"$ 30314,26"</f>
        <v>$ 30314,26</v>
      </c>
      <c r="H848" t="str">
        <f t="shared" si="561"/>
        <v>$ 0,00</v>
      </c>
      <c r="I848" t="str">
        <f t="shared" si="551"/>
        <v>JUEGO COJINETES BANCADA</v>
      </c>
      <c r="J848" t="str">
        <f t="shared" si="562"/>
        <v>1</v>
      </c>
      <c r="K848" t="str">
        <f t="shared" si="548"/>
        <v>0</v>
      </c>
      <c r="L848" t="str">
        <f>"0,000"</f>
        <v>0,000</v>
      </c>
      <c r="M848" t="str">
        <f t="shared" si="563"/>
        <v xml:space="preserve"> </v>
      </c>
      <c r="N848" t="str">
        <f t="shared" si="554"/>
        <v>MPSI</v>
      </c>
      <c r="O848" t="str">
        <f t="shared" si="555"/>
        <v>COJINETES</v>
      </c>
      <c r="P848" t="str">
        <f t="shared" si="581"/>
        <v>0</v>
      </c>
      <c r="Q848" t="str">
        <f t="shared" si="581"/>
        <v>0</v>
      </c>
      <c r="R848" t="str">
        <f t="shared" si="582"/>
        <v>0,00</v>
      </c>
      <c r="S848" t="str">
        <f t="shared" si="582"/>
        <v>0,00</v>
      </c>
      <c r="T848" t="str">
        <f t="shared" si="546"/>
        <v xml:space="preserve"> </v>
      </c>
      <c r="U848" t="str">
        <f t="shared" si="560"/>
        <v>-</v>
      </c>
      <c r="V848" t="str">
        <f>"0,000"</f>
        <v>0,000</v>
      </c>
      <c r="W848" t="str">
        <f t="shared" si="564"/>
        <v>Lista 4</v>
      </c>
      <c r="X848" t="str">
        <f t="shared" si="565"/>
        <v>Lista 5</v>
      </c>
      <c r="Y848" t="str">
        <f t="shared" si="566"/>
        <v>Oferta Gral.</v>
      </c>
      <c r="Z848" t="str">
        <f t="shared" si="567"/>
        <v>Rubro</v>
      </c>
      <c r="AA848" t="str">
        <f t="shared" si="568"/>
        <v>Cantidad por Bulto</v>
      </c>
      <c r="AB848" t="str">
        <f t="shared" si="569"/>
        <v>INNER</v>
      </c>
      <c r="AC848" t="str">
        <f t="shared" si="570"/>
        <v>Stock en Bultos</v>
      </c>
      <c r="AD848" t="str">
        <f t="shared" si="571"/>
        <v>SubDepósito</v>
      </c>
      <c r="AE848" t="str">
        <f t="shared" si="572"/>
        <v>Marca</v>
      </c>
      <c r="AF848" t="str">
        <f t="shared" si="573"/>
        <v>Super Rubro</v>
      </c>
      <c r="AG848" t="str">
        <f t="shared" si="574"/>
        <v>ComercioExterior</v>
      </c>
      <c r="AH848" t="str">
        <f t="shared" si="575"/>
        <v>PrecioFOB</v>
      </c>
      <c r="AI848" t="str">
        <f t="shared" si="576"/>
        <v>Monto II</v>
      </c>
      <c r="AJ848" t="str">
        <f t="shared" si="577"/>
        <v>Porcentaje II</v>
      </c>
      <c r="AK848" t="str">
        <f t="shared" si="578"/>
        <v>Foto</v>
      </c>
      <c r="AL848" t="str">
        <f t="shared" si="580"/>
        <v xml:space="preserve"> </v>
      </c>
      <c r="AM848" t="str">
        <f t="shared" si="579"/>
        <v xml:space="preserve"> </v>
      </c>
    </row>
    <row r="849" spans="1:39" x14ac:dyDescent="0.25">
      <c r="A849" t="str">
        <f>"BA165211 30"</f>
        <v>BA165211 30</v>
      </c>
      <c r="B849" t="str">
        <f>"COJINETES BANCADA 0,75 FORD TRANSIT 2.4 MONDEO 2.2 TDCI"</f>
        <v>COJINETES BANCADA 0,75 FORD TRANSIT 2.4 MONDEO 2.2 TDCI</v>
      </c>
      <c r="C849" t="str">
        <f>"$ 33125,96"</f>
        <v>$ 33125,96</v>
      </c>
      <c r="D849" t="str">
        <f>"$ 33125,96"</f>
        <v>$ 33125,96</v>
      </c>
      <c r="E849" t="str">
        <f>"$ 33125,96"</f>
        <v>$ 33125,96</v>
      </c>
      <c r="F849" t="str">
        <f>"$ 33125,96"</f>
        <v>$ 33125,96</v>
      </c>
      <c r="G849" t="str">
        <f>"$ 33125,96"</f>
        <v>$ 33125,96</v>
      </c>
      <c r="H849" t="str">
        <f t="shared" si="561"/>
        <v>$ 0,00</v>
      </c>
      <c r="I849" t="str">
        <f t="shared" si="551"/>
        <v>JUEGO COJINETES BANCADA</v>
      </c>
      <c r="J849" t="str">
        <f t="shared" si="562"/>
        <v>1</v>
      </c>
      <c r="K849" t="str">
        <f t="shared" si="548"/>
        <v>0</v>
      </c>
      <c r="L849" t="str">
        <f>"2,000"</f>
        <v>2,000</v>
      </c>
      <c r="M849" t="str">
        <f t="shared" si="563"/>
        <v xml:space="preserve"> </v>
      </c>
      <c r="N849" t="str">
        <f t="shared" si="554"/>
        <v>MPSI</v>
      </c>
      <c r="O849" t="str">
        <f t="shared" si="555"/>
        <v>COJINETES</v>
      </c>
      <c r="P849" t="str">
        <f t="shared" si="581"/>
        <v>0</v>
      </c>
      <c r="Q849" t="str">
        <f t="shared" si="581"/>
        <v>0</v>
      </c>
      <c r="R849" t="str">
        <f t="shared" si="582"/>
        <v>0,00</v>
      </c>
      <c r="S849" t="str">
        <f t="shared" si="582"/>
        <v>0,00</v>
      </c>
      <c r="T849" t="str">
        <f t="shared" ref="T849:T912" si="583">" "</f>
        <v xml:space="preserve"> </v>
      </c>
      <c r="U849" t="str">
        <f t="shared" si="560"/>
        <v>-</v>
      </c>
      <c r="V849" t="str">
        <f>"2,000"</f>
        <v>2,000</v>
      </c>
      <c r="W849" t="str">
        <f t="shared" si="564"/>
        <v>Lista 4</v>
      </c>
      <c r="X849" t="str">
        <f t="shared" si="565"/>
        <v>Lista 5</v>
      </c>
      <c r="Y849" t="str">
        <f t="shared" si="566"/>
        <v>Oferta Gral.</v>
      </c>
      <c r="Z849" t="str">
        <f t="shared" si="567"/>
        <v>Rubro</v>
      </c>
      <c r="AA849" t="str">
        <f t="shared" si="568"/>
        <v>Cantidad por Bulto</v>
      </c>
      <c r="AB849" t="str">
        <f t="shared" si="569"/>
        <v>INNER</v>
      </c>
      <c r="AC849" t="str">
        <f t="shared" si="570"/>
        <v>Stock en Bultos</v>
      </c>
      <c r="AD849" t="str">
        <f t="shared" si="571"/>
        <v>SubDepósito</v>
      </c>
      <c r="AE849" t="str">
        <f t="shared" si="572"/>
        <v>Marca</v>
      </c>
      <c r="AF849" t="str">
        <f t="shared" si="573"/>
        <v>Super Rubro</v>
      </c>
      <c r="AG849" t="str">
        <f t="shared" si="574"/>
        <v>ComercioExterior</v>
      </c>
      <c r="AH849" t="str">
        <f t="shared" si="575"/>
        <v>PrecioFOB</v>
      </c>
      <c r="AI849" t="str">
        <f t="shared" si="576"/>
        <v>Monto II</v>
      </c>
      <c r="AJ849" t="str">
        <f t="shared" si="577"/>
        <v>Porcentaje II</v>
      </c>
      <c r="AK849" t="str">
        <f t="shared" si="578"/>
        <v>Foto</v>
      </c>
      <c r="AL849" t="str">
        <f t="shared" si="580"/>
        <v xml:space="preserve"> </v>
      </c>
      <c r="AM849" t="str">
        <f t="shared" si="579"/>
        <v xml:space="preserve"> </v>
      </c>
    </row>
    <row r="850" spans="1:39" x14ac:dyDescent="0.25">
      <c r="A850" t="str">
        <f>"BA538 30"</f>
        <v>BA538 30</v>
      </c>
      <c r="B850" t="str">
        <f>"COJINETES BANCADA 0,75 HONDA 1600 MOTOR D16A1 D16A6 D16Y7 D16Y8"</f>
        <v>COJINETES BANCADA 0,75 HONDA 1600 MOTOR D16A1 D16A6 D16Y7 D16Y8</v>
      </c>
      <c r="C850" t="str">
        <f>"$ 22195,70"</f>
        <v>$ 22195,70</v>
      </c>
      <c r="D850" t="str">
        <f>"$ 22195,70"</f>
        <v>$ 22195,70</v>
      </c>
      <c r="E850" t="str">
        <f>"$ 22195,70"</f>
        <v>$ 22195,70</v>
      </c>
      <c r="F850" t="str">
        <f>"$ 22195,70"</f>
        <v>$ 22195,70</v>
      </c>
      <c r="G850" t="str">
        <f>"$ 22195,70"</f>
        <v>$ 22195,70</v>
      </c>
      <c r="H850" t="str">
        <f t="shared" si="561"/>
        <v>$ 0,00</v>
      </c>
      <c r="I850" t="str">
        <f t="shared" si="551"/>
        <v>JUEGO COJINETES BANCADA</v>
      </c>
      <c r="J850" t="str">
        <f t="shared" si="562"/>
        <v>1</v>
      </c>
      <c r="K850" t="str">
        <f t="shared" si="548"/>
        <v>0</v>
      </c>
      <c r="L850" t="str">
        <f>"0,000"</f>
        <v>0,000</v>
      </c>
      <c r="M850" t="str">
        <f t="shared" si="563"/>
        <v xml:space="preserve"> </v>
      </c>
      <c r="N850" t="str">
        <f t="shared" si="554"/>
        <v>MPSI</v>
      </c>
      <c r="O850" t="str">
        <f t="shared" si="555"/>
        <v>COJINETES</v>
      </c>
      <c r="P850" t="str">
        <f t="shared" si="581"/>
        <v>0</v>
      </c>
      <c r="Q850" t="str">
        <f t="shared" si="581"/>
        <v>0</v>
      </c>
      <c r="R850" t="str">
        <f t="shared" si="582"/>
        <v>0,00</v>
      </c>
      <c r="S850" t="str">
        <f t="shared" si="582"/>
        <v>0,00</v>
      </c>
      <c r="T850" t="str">
        <f t="shared" si="583"/>
        <v xml:space="preserve"> </v>
      </c>
      <c r="U850" t="str">
        <f t="shared" si="560"/>
        <v>-</v>
      </c>
      <c r="V850" t="str">
        <f>"0,000"</f>
        <v>0,000</v>
      </c>
      <c r="W850" t="str">
        <f t="shared" si="564"/>
        <v>Lista 4</v>
      </c>
      <c r="X850" t="str">
        <f t="shared" si="565"/>
        <v>Lista 5</v>
      </c>
      <c r="Y850" t="str">
        <f t="shared" si="566"/>
        <v>Oferta Gral.</v>
      </c>
      <c r="Z850" t="str">
        <f t="shared" si="567"/>
        <v>Rubro</v>
      </c>
      <c r="AA850" t="str">
        <f t="shared" si="568"/>
        <v>Cantidad por Bulto</v>
      </c>
      <c r="AB850" t="str">
        <f t="shared" si="569"/>
        <v>INNER</v>
      </c>
      <c r="AC850" t="str">
        <f t="shared" si="570"/>
        <v>Stock en Bultos</v>
      </c>
      <c r="AD850" t="str">
        <f t="shared" si="571"/>
        <v>SubDepósito</v>
      </c>
      <c r="AE850" t="str">
        <f t="shared" si="572"/>
        <v>Marca</v>
      </c>
      <c r="AF850" t="str">
        <f t="shared" si="573"/>
        <v>Super Rubro</v>
      </c>
      <c r="AG850" t="str">
        <f t="shared" si="574"/>
        <v>ComercioExterior</v>
      </c>
      <c r="AH850" t="str">
        <f t="shared" si="575"/>
        <v>PrecioFOB</v>
      </c>
      <c r="AI850" t="str">
        <f t="shared" si="576"/>
        <v>Monto II</v>
      </c>
      <c r="AJ850" t="str">
        <f t="shared" si="577"/>
        <v>Porcentaje II</v>
      </c>
      <c r="AK850" t="str">
        <f t="shared" si="578"/>
        <v>Foto</v>
      </c>
      <c r="AL850" t="str">
        <f t="shared" si="580"/>
        <v xml:space="preserve"> </v>
      </c>
      <c r="AM850" t="str">
        <f t="shared" si="579"/>
        <v xml:space="preserve"> </v>
      </c>
    </row>
    <row r="851" spans="1:39" x14ac:dyDescent="0.25">
      <c r="A851" t="str">
        <f>"BA235 30"</f>
        <v>BA235 30</v>
      </c>
      <c r="B851" t="str">
        <f>"COJINETES BANCADA 0,75 IKA CONTINENTAL"</f>
        <v>COJINETES BANCADA 0,75 IKA CONTINENTAL</v>
      </c>
      <c r="C851" t="str">
        <f>"$ 47594,13"</f>
        <v>$ 47594,13</v>
      </c>
      <c r="D851" t="str">
        <f>"$ 47594,13"</f>
        <v>$ 47594,13</v>
      </c>
      <c r="E851" t="str">
        <f>"$ 47594,13"</f>
        <v>$ 47594,13</v>
      </c>
      <c r="F851" t="str">
        <f>"$ 47594,13"</f>
        <v>$ 47594,13</v>
      </c>
      <c r="G851" t="str">
        <f>"$ 47594,13"</f>
        <v>$ 47594,13</v>
      </c>
      <c r="H851" t="str">
        <f t="shared" si="561"/>
        <v>$ 0,00</v>
      </c>
      <c r="I851" t="str">
        <f t="shared" si="551"/>
        <v>JUEGO COJINETES BANCADA</v>
      </c>
      <c r="J851" t="str">
        <f t="shared" si="562"/>
        <v>1</v>
      </c>
      <c r="K851" t="str">
        <f t="shared" si="548"/>
        <v>0</v>
      </c>
      <c r="L851" t="str">
        <f>"0,000"</f>
        <v>0,000</v>
      </c>
      <c r="M851" t="str">
        <f t="shared" si="563"/>
        <v xml:space="preserve"> </v>
      </c>
      <c r="N851" t="str">
        <f t="shared" si="554"/>
        <v>MPSI</v>
      </c>
      <c r="O851" t="str">
        <f t="shared" si="555"/>
        <v>COJINETES</v>
      </c>
      <c r="P851" t="str">
        <f t="shared" si="581"/>
        <v>0</v>
      </c>
      <c r="Q851" t="str">
        <f t="shared" si="581"/>
        <v>0</v>
      </c>
      <c r="R851" t="str">
        <f t="shared" si="582"/>
        <v>0,00</v>
      </c>
      <c r="S851" t="str">
        <f t="shared" si="582"/>
        <v>0,00</v>
      </c>
      <c r="T851" t="str">
        <f t="shared" si="583"/>
        <v xml:space="preserve"> </v>
      </c>
      <c r="U851" t="str">
        <f t="shared" si="560"/>
        <v>-</v>
      </c>
      <c r="V851" t="str">
        <f>"0,000"</f>
        <v>0,000</v>
      </c>
      <c r="W851" t="str">
        <f t="shared" si="564"/>
        <v>Lista 4</v>
      </c>
      <c r="X851" t="str">
        <f t="shared" si="565"/>
        <v>Lista 5</v>
      </c>
      <c r="Y851" t="str">
        <f t="shared" si="566"/>
        <v>Oferta Gral.</v>
      </c>
      <c r="Z851" t="str">
        <f t="shared" si="567"/>
        <v>Rubro</v>
      </c>
      <c r="AA851" t="str">
        <f t="shared" si="568"/>
        <v>Cantidad por Bulto</v>
      </c>
      <c r="AB851" t="str">
        <f t="shared" si="569"/>
        <v>INNER</v>
      </c>
      <c r="AC851" t="str">
        <f t="shared" si="570"/>
        <v>Stock en Bultos</v>
      </c>
      <c r="AD851" t="str">
        <f t="shared" si="571"/>
        <v>SubDepósito</v>
      </c>
      <c r="AE851" t="str">
        <f t="shared" si="572"/>
        <v>Marca</v>
      </c>
      <c r="AF851" t="str">
        <f t="shared" si="573"/>
        <v>Super Rubro</v>
      </c>
      <c r="AG851" t="str">
        <f t="shared" si="574"/>
        <v>ComercioExterior</v>
      </c>
      <c r="AH851" t="str">
        <f t="shared" si="575"/>
        <v>PrecioFOB</v>
      </c>
      <c r="AI851" t="str">
        <f t="shared" si="576"/>
        <v>Monto II</v>
      </c>
      <c r="AJ851" t="str">
        <f t="shared" si="577"/>
        <v>Porcentaje II</v>
      </c>
      <c r="AK851" t="str">
        <f t="shared" si="578"/>
        <v>Foto</v>
      </c>
      <c r="AL851" t="str">
        <f t="shared" si="580"/>
        <v xml:space="preserve"> </v>
      </c>
      <c r="AM851" t="str">
        <f t="shared" si="579"/>
        <v xml:space="preserve"> </v>
      </c>
    </row>
    <row r="852" spans="1:39" x14ac:dyDescent="0.25">
      <c r="A852" t="str">
        <f>"BA885 30"</f>
        <v>BA885 30</v>
      </c>
      <c r="B852" t="str">
        <f>"COJINETES BANCADA 0,75 IVECO DAILY 2.5 2.8"</f>
        <v>COJINETES BANCADA 0,75 IVECO DAILY 2.5 2.8</v>
      </c>
      <c r="C852" t="str">
        <f>"$ 78349,88"</f>
        <v>$ 78349,88</v>
      </c>
      <c r="D852" t="str">
        <f>"$ 78349,88"</f>
        <v>$ 78349,88</v>
      </c>
      <c r="E852" t="str">
        <f>"$ 78349,88"</f>
        <v>$ 78349,88</v>
      </c>
      <c r="F852" t="str">
        <f>"$ 78349,88"</f>
        <v>$ 78349,88</v>
      </c>
      <c r="G852" t="str">
        <f>"$ 78349,88"</f>
        <v>$ 78349,88</v>
      </c>
      <c r="H852" t="str">
        <f t="shared" si="561"/>
        <v>$ 0,00</v>
      </c>
      <c r="I852" t="str">
        <f t="shared" si="551"/>
        <v>JUEGO COJINETES BANCADA</v>
      </c>
      <c r="J852" t="str">
        <f t="shared" si="562"/>
        <v>1</v>
      </c>
      <c r="K852" t="str">
        <f t="shared" si="548"/>
        <v>0</v>
      </c>
      <c r="L852" t="str">
        <f>"3,000"</f>
        <v>3,000</v>
      </c>
      <c r="M852" t="str">
        <f t="shared" si="563"/>
        <v xml:space="preserve"> </v>
      </c>
      <c r="N852" t="str">
        <f t="shared" si="554"/>
        <v>MPSI</v>
      </c>
      <c r="O852" t="str">
        <f t="shared" si="555"/>
        <v>COJINETES</v>
      </c>
      <c r="P852" t="str">
        <f t="shared" si="581"/>
        <v>0</v>
      </c>
      <c r="Q852" t="str">
        <f t="shared" si="581"/>
        <v>0</v>
      </c>
      <c r="R852" t="str">
        <f t="shared" si="582"/>
        <v>0,00</v>
      </c>
      <c r="S852" t="str">
        <f t="shared" si="582"/>
        <v>0,00</v>
      </c>
      <c r="T852" t="str">
        <f t="shared" si="583"/>
        <v xml:space="preserve"> </v>
      </c>
      <c r="U852" t="str">
        <f t="shared" si="560"/>
        <v>-</v>
      </c>
      <c r="V852" t="str">
        <f>"3,000"</f>
        <v>3,000</v>
      </c>
      <c r="W852" t="str">
        <f t="shared" si="564"/>
        <v>Lista 4</v>
      </c>
      <c r="X852" t="str">
        <f t="shared" si="565"/>
        <v>Lista 5</v>
      </c>
      <c r="Y852" t="str">
        <f t="shared" si="566"/>
        <v>Oferta Gral.</v>
      </c>
      <c r="Z852" t="str">
        <f t="shared" si="567"/>
        <v>Rubro</v>
      </c>
      <c r="AA852" t="str">
        <f t="shared" si="568"/>
        <v>Cantidad por Bulto</v>
      </c>
      <c r="AB852" t="str">
        <f t="shared" si="569"/>
        <v>INNER</v>
      </c>
      <c r="AC852" t="str">
        <f t="shared" si="570"/>
        <v>Stock en Bultos</v>
      </c>
      <c r="AD852" t="str">
        <f t="shared" si="571"/>
        <v>SubDepósito</v>
      </c>
      <c r="AE852" t="str">
        <f t="shared" si="572"/>
        <v>Marca</v>
      </c>
      <c r="AF852" t="str">
        <f t="shared" si="573"/>
        <v>Super Rubro</v>
      </c>
      <c r="AG852" t="str">
        <f t="shared" si="574"/>
        <v>ComercioExterior</v>
      </c>
      <c r="AH852" t="str">
        <f t="shared" si="575"/>
        <v>PrecioFOB</v>
      </c>
      <c r="AI852" t="str">
        <f t="shared" si="576"/>
        <v>Monto II</v>
      </c>
      <c r="AJ852" t="str">
        <f t="shared" si="577"/>
        <v>Porcentaje II</v>
      </c>
      <c r="AK852" t="str">
        <f t="shared" si="578"/>
        <v>Foto</v>
      </c>
      <c r="AL852" t="str">
        <f t="shared" si="580"/>
        <v xml:space="preserve"> </v>
      </c>
      <c r="AM852" t="str">
        <f t="shared" si="579"/>
        <v xml:space="preserve"> </v>
      </c>
    </row>
    <row r="853" spans="1:39" x14ac:dyDescent="0.25">
      <c r="A853" t="str">
        <f>"BA844 30"</f>
        <v>BA844 30</v>
      </c>
      <c r="B853" t="str">
        <f>"COJINETES BANCADA 0,75 MAXION 2.5 SPRINTER FORD F100 CHEVROLET S10"</f>
        <v>COJINETES BANCADA 0,75 MAXION 2.5 SPRINTER FORD F100 CHEVROLET S10</v>
      </c>
      <c r="C853" t="str">
        <f>"$ 27003,52"</f>
        <v>$ 27003,52</v>
      </c>
      <c r="D853" t="str">
        <f>"$ 27003,52"</f>
        <v>$ 27003,52</v>
      </c>
      <c r="E853" t="str">
        <f>"$ 27003,52"</f>
        <v>$ 27003,52</v>
      </c>
      <c r="F853" t="str">
        <f>"$ 27003,52"</f>
        <v>$ 27003,52</v>
      </c>
      <c r="G853" t="str">
        <f>"$ 27003,52"</f>
        <v>$ 27003,52</v>
      </c>
      <c r="H853" t="str">
        <f t="shared" si="561"/>
        <v>$ 0,00</v>
      </c>
      <c r="I853" t="str">
        <f t="shared" si="551"/>
        <v>JUEGO COJINETES BANCADA</v>
      </c>
      <c r="J853" t="str">
        <f t="shared" si="562"/>
        <v>1</v>
      </c>
      <c r="K853" t="str">
        <f t="shared" si="548"/>
        <v>0</v>
      </c>
      <c r="L853" t="str">
        <f>"6,000"</f>
        <v>6,000</v>
      </c>
      <c r="M853" t="str">
        <f t="shared" si="563"/>
        <v xml:space="preserve"> </v>
      </c>
      <c r="N853" t="str">
        <f t="shared" si="554"/>
        <v>MPSI</v>
      </c>
      <c r="O853" t="str">
        <f t="shared" si="555"/>
        <v>COJINETES</v>
      </c>
      <c r="P853" t="str">
        <f t="shared" si="581"/>
        <v>0</v>
      </c>
      <c r="Q853" t="str">
        <f t="shared" si="581"/>
        <v>0</v>
      </c>
      <c r="R853" t="str">
        <f t="shared" si="582"/>
        <v>0,00</v>
      </c>
      <c r="S853" t="str">
        <f t="shared" si="582"/>
        <v>0,00</v>
      </c>
      <c r="T853" t="str">
        <f t="shared" si="583"/>
        <v xml:space="preserve"> </v>
      </c>
      <c r="U853" t="str">
        <f t="shared" si="560"/>
        <v>-</v>
      </c>
      <c r="V853" t="str">
        <f>"6,000"</f>
        <v>6,000</v>
      </c>
      <c r="W853" t="str">
        <f t="shared" si="564"/>
        <v>Lista 4</v>
      </c>
      <c r="X853" t="str">
        <f t="shared" si="565"/>
        <v>Lista 5</v>
      </c>
      <c r="Y853" t="str">
        <f t="shared" si="566"/>
        <v>Oferta Gral.</v>
      </c>
      <c r="Z853" t="str">
        <f t="shared" si="567"/>
        <v>Rubro</v>
      </c>
      <c r="AA853" t="str">
        <f t="shared" si="568"/>
        <v>Cantidad por Bulto</v>
      </c>
      <c r="AB853" t="str">
        <f t="shared" si="569"/>
        <v>INNER</v>
      </c>
      <c r="AC853" t="str">
        <f t="shared" si="570"/>
        <v>Stock en Bultos</v>
      </c>
      <c r="AD853" t="str">
        <f t="shared" si="571"/>
        <v>SubDepósito</v>
      </c>
      <c r="AE853" t="str">
        <f t="shared" si="572"/>
        <v>Marca</v>
      </c>
      <c r="AF853" t="str">
        <f t="shared" si="573"/>
        <v>Super Rubro</v>
      </c>
      <c r="AG853" t="str">
        <f t="shared" si="574"/>
        <v>ComercioExterior</v>
      </c>
      <c r="AH853" t="str">
        <f t="shared" si="575"/>
        <v>PrecioFOB</v>
      </c>
      <c r="AI853" t="str">
        <f t="shared" si="576"/>
        <v>Monto II</v>
      </c>
      <c r="AJ853" t="str">
        <f t="shared" si="577"/>
        <v>Porcentaje II</v>
      </c>
      <c r="AK853" t="str">
        <f t="shared" si="578"/>
        <v>Foto</v>
      </c>
      <c r="AL853" t="str">
        <f t="shared" si="580"/>
        <v xml:space="preserve"> </v>
      </c>
      <c r="AM853" t="str">
        <f t="shared" si="579"/>
        <v xml:space="preserve"> </v>
      </c>
    </row>
    <row r="854" spans="1:39" x14ac:dyDescent="0.25">
      <c r="A854" t="str">
        <f>"BA556 30"</f>
        <v>BA556 30</v>
      </c>
      <c r="B854" t="str">
        <f>"COJINETES BANCADA 0,75 MERCEDES SPRINTER OM611"</f>
        <v>COJINETES BANCADA 0,75 MERCEDES SPRINTER OM611</v>
      </c>
      <c r="C854" t="str">
        <f>"$ 22679,83"</f>
        <v>$ 22679,83</v>
      </c>
      <c r="D854" t="str">
        <f>"$ 22679,83"</f>
        <v>$ 22679,83</v>
      </c>
      <c r="E854" t="str">
        <f>"$ 22679,83"</f>
        <v>$ 22679,83</v>
      </c>
      <c r="F854" t="str">
        <f>"$ 22679,83"</f>
        <v>$ 22679,83</v>
      </c>
      <c r="G854" t="str">
        <f>"$ 22679,83"</f>
        <v>$ 22679,83</v>
      </c>
      <c r="H854" t="str">
        <f t="shared" si="561"/>
        <v>$ 0,00</v>
      </c>
      <c r="I854" t="str">
        <f t="shared" si="551"/>
        <v>JUEGO COJINETES BANCADA</v>
      </c>
      <c r="J854" t="str">
        <f t="shared" si="562"/>
        <v>1</v>
      </c>
      <c r="K854" t="str">
        <f t="shared" si="548"/>
        <v>0</v>
      </c>
      <c r="L854" t="str">
        <f>"4,000"</f>
        <v>4,000</v>
      </c>
      <c r="M854" t="str">
        <f t="shared" si="563"/>
        <v xml:space="preserve"> </v>
      </c>
      <c r="N854" t="str">
        <f t="shared" si="554"/>
        <v>MPSI</v>
      </c>
      <c r="O854" t="str">
        <f t="shared" si="555"/>
        <v>COJINETES</v>
      </c>
      <c r="P854" t="str">
        <f t="shared" si="581"/>
        <v>0</v>
      </c>
      <c r="Q854" t="str">
        <f t="shared" si="581"/>
        <v>0</v>
      </c>
      <c r="R854" t="str">
        <f t="shared" si="582"/>
        <v>0,00</v>
      </c>
      <c r="S854" t="str">
        <f t="shared" si="582"/>
        <v>0,00</v>
      </c>
      <c r="T854" t="str">
        <f t="shared" si="583"/>
        <v xml:space="preserve"> </v>
      </c>
      <c r="U854" t="str">
        <f t="shared" si="560"/>
        <v>-</v>
      </c>
      <c r="V854" t="str">
        <f>"4,000"</f>
        <v>4,000</v>
      </c>
      <c r="W854" t="str">
        <f t="shared" si="564"/>
        <v>Lista 4</v>
      </c>
      <c r="X854" t="str">
        <f t="shared" si="565"/>
        <v>Lista 5</v>
      </c>
      <c r="Y854" t="str">
        <f t="shared" si="566"/>
        <v>Oferta Gral.</v>
      </c>
      <c r="Z854" t="str">
        <f t="shared" si="567"/>
        <v>Rubro</v>
      </c>
      <c r="AA854" t="str">
        <f t="shared" si="568"/>
        <v>Cantidad por Bulto</v>
      </c>
      <c r="AB854" t="str">
        <f t="shared" si="569"/>
        <v>INNER</v>
      </c>
      <c r="AC854" t="str">
        <f t="shared" si="570"/>
        <v>Stock en Bultos</v>
      </c>
      <c r="AD854" t="str">
        <f t="shared" si="571"/>
        <v>SubDepósito</v>
      </c>
      <c r="AE854" t="str">
        <f t="shared" si="572"/>
        <v>Marca</v>
      </c>
      <c r="AF854" t="str">
        <f t="shared" si="573"/>
        <v>Super Rubro</v>
      </c>
      <c r="AG854" t="str">
        <f t="shared" si="574"/>
        <v>ComercioExterior</v>
      </c>
      <c r="AH854" t="str">
        <f t="shared" si="575"/>
        <v>PrecioFOB</v>
      </c>
      <c r="AI854" t="str">
        <f t="shared" si="576"/>
        <v>Monto II</v>
      </c>
      <c r="AJ854" t="str">
        <f t="shared" si="577"/>
        <v>Porcentaje II</v>
      </c>
      <c r="AK854" t="str">
        <f t="shared" si="578"/>
        <v>Foto</v>
      </c>
      <c r="AL854" t="str">
        <f t="shared" si="580"/>
        <v xml:space="preserve"> </v>
      </c>
      <c r="AM854" t="str">
        <f t="shared" si="579"/>
        <v xml:space="preserve"> </v>
      </c>
    </row>
    <row r="855" spans="1:39" x14ac:dyDescent="0.25">
      <c r="A855" t="str">
        <f>"BA388 30"</f>
        <v>BA388 30</v>
      </c>
      <c r="B855" t="str">
        <f>"COJINETES BANCADA 0,75 PERKINS 6-305"</f>
        <v>COJINETES BANCADA 0,75 PERKINS 6-305</v>
      </c>
      <c r="C855" t="str">
        <f>"$ 42984,19"</f>
        <v>$ 42984,19</v>
      </c>
      <c r="D855" t="str">
        <f>"$ 42984,19"</f>
        <v>$ 42984,19</v>
      </c>
      <c r="E855" t="str">
        <f>"$ 42984,19"</f>
        <v>$ 42984,19</v>
      </c>
      <c r="F855" t="str">
        <f>"$ 42984,19"</f>
        <v>$ 42984,19</v>
      </c>
      <c r="G855" t="str">
        <f>"$ 42984,19"</f>
        <v>$ 42984,19</v>
      </c>
      <c r="H855" t="str">
        <f t="shared" si="561"/>
        <v>$ 0,00</v>
      </c>
      <c r="I855" t="str">
        <f t="shared" si="551"/>
        <v>JUEGO COJINETES BANCADA</v>
      </c>
      <c r="J855" t="str">
        <f t="shared" si="562"/>
        <v>1</v>
      </c>
      <c r="K855" t="str">
        <f t="shared" ref="K855:K918" si="584">"0"</f>
        <v>0</v>
      </c>
      <c r="L855" t="str">
        <f>"4,000"</f>
        <v>4,000</v>
      </c>
      <c r="M855" t="str">
        <f t="shared" si="563"/>
        <v xml:space="preserve"> </v>
      </c>
      <c r="N855" t="str">
        <f t="shared" si="554"/>
        <v>MPSI</v>
      </c>
      <c r="O855" t="str">
        <f t="shared" si="555"/>
        <v>COJINETES</v>
      </c>
      <c r="P855" t="str">
        <f t="shared" si="581"/>
        <v>0</v>
      </c>
      <c r="Q855" t="str">
        <f t="shared" si="581"/>
        <v>0</v>
      </c>
      <c r="R855" t="str">
        <f t="shared" si="582"/>
        <v>0,00</v>
      </c>
      <c r="S855" t="str">
        <f t="shared" si="582"/>
        <v>0,00</v>
      </c>
      <c r="T855" t="str">
        <f t="shared" si="583"/>
        <v xml:space="preserve"> </v>
      </c>
      <c r="U855" t="str">
        <f t="shared" si="560"/>
        <v>-</v>
      </c>
      <c r="V855" t="str">
        <f>"4,000"</f>
        <v>4,000</v>
      </c>
      <c r="W855" t="str">
        <f t="shared" si="564"/>
        <v>Lista 4</v>
      </c>
      <c r="X855" t="str">
        <f t="shared" si="565"/>
        <v>Lista 5</v>
      </c>
      <c r="Y855" t="str">
        <f t="shared" si="566"/>
        <v>Oferta Gral.</v>
      </c>
      <c r="Z855" t="str">
        <f t="shared" si="567"/>
        <v>Rubro</v>
      </c>
      <c r="AA855" t="str">
        <f t="shared" si="568"/>
        <v>Cantidad por Bulto</v>
      </c>
      <c r="AB855" t="str">
        <f t="shared" si="569"/>
        <v>INNER</v>
      </c>
      <c r="AC855" t="str">
        <f t="shared" si="570"/>
        <v>Stock en Bultos</v>
      </c>
      <c r="AD855" t="str">
        <f t="shared" si="571"/>
        <v>SubDepósito</v>
      </c>
      <c r="AE855" t="str">
        <f t="shared" si="572"/>
        <v>Marca</v>
      </c>
      <c r="AF855" t="str">
        <f t="shared" si="573"/>
        <v>Super Rubro</v>
      </c>
      <c r="AG855" t="str">
        <f t="shared" si="574"/>
        <v>ComercioExterior</v>
      </c>
      <c r="AH855" t="str">
        <f t="shared" si="575"/>
        <v>PrecioFOB</v>
      </c>
      <c r="AI855" t="str">
        <f t="shared" si="576"/>
        <v>Monto II</v>
      </c>
      <c r="AJ855" t="str">
        <f t="shared" si="577"/>
        <v>Porcentaje II</v>
      </c>
      <c r="AK855" t="str">
        <f t="shared" si="578"/>
        <v>Foto</v>
      </c>
      <c r="AL855" t="str">
        <f>"{\rtf1\ansi\ansicpg1252\deff0\deflang2058{\fonttbl{\f0\fnil\fcharset0 MS Sans Serif}} \viewkind4\uc1\pard\f0\fs16 COJINETES BANCADA 0,75 PERKINS 6-305\par } "</f>
        <v xml:space="preserve">{\rtf1\ansi\ansicpg1252\deff0\deflang2058{\fonttbl{\f0\fnil\fcharset0 MS Sans Serif}} \viewkind4\uc1\pard\f0\fs16 COJINETES BANCADA 0,75 PERKINS 6-305\par } </v>
      </c>
      <c r="AM855" t="str">
        <f t="shared" si="579"/>
        <v xml:space="preserve"> </v>
      </c>
    </row>
    <row r="856" spans="1:39" x14ac:dyDescent="0.25">
      <c r="A856" t="str">
        <f>"BA392 30"</f>
        <v>BA392 30</v>
      </c>
      <c r="B856" t="str">
        <f>"COJINETES BANCADA 0,75 PERKINS 6-354 FASE 2"</f>
        <v>COJINETES BANCADA 0,75 PERKINS 6-354 FASE 2</v>
      </c>
      <c r="C856" t="str">
        <f>"$ 58122,03"</f>
        <v>$ 58122,03</v>
      </c>
      <c r="D856" t="str">
        <f>"$ 58122,03"</f>
        <v>$ 58122,03</v>
      </c>
      <c r="E856" t="str">
        <f>"$ 58122,03"</f>
        <v>$ 58122,03</v>
      </c>
      <c r="F856" t="str">
        <f>"$ 58122,03"</f>
        <v>$ 58122,03</v>
      </c>
      <c r="G856" t="str">
        <f>"$ 58122,03"</f>
        <v>$ 58122,03</v>
      </c>
      <c r="H856" t="str">
        <f t="shared" si="561"/>
        <v>$ 0,00</v>
      </c>
      <c r="I856" t="str">
        <f t="shared" si="551"/>
        <v>JUEGO COJINETES BANCADA</v>
      </c>
      <c r="J856" t="str">
        <f t="shared" si="562"/>
        <v>1</v>
      </c>
      <c r="K856" t="str">
        <f t="shared" si="584"/>
        <v>0</v>
      </c>
      <c r="L856" t="str">
        <f>"4,000"</f>
        <v>4,000</v>
      </c>
      <c r="M856" t="str">
        <f t="shared" si="563"/>
        <v xml:space="preserve"> </v>
      </c>
      <c r="N856" t="str">
        <f t="shared" si="554"/>
        <v>MPSI</v>
      </c>
      <c r="O856" t="str">
        <f t="shared" si="555"/>
        <v>COJINETES</v>
      </c>
      <c r="P856" t="str">
        <f t="shared" si="581"/>
        <v>0</v>
      </c>
      <c r="Q856" t="str">
        <f t="shared" si="581"/>
        <v>0</v>
      </c>
      <c r="R856" t="str">
        <f t="shared" si="582"/>
        <v>0,00</v>
      </c>
      <c r="S856" t="str">
        <f t="shared" si="582"/>
        <v>0,00</v>
      </c>
      <c r="T856" t="str">
        <f t="shared" si="583"/>
        <v xml:space="preserve"> </v>
      </c>
      <c r="U856" t="str">
        <f t="shared" si="560"/>
        <v>-</v>
      </c>
      <c r="V856" t="str">
        <f>"4,000"</f>
        <v>4,000</v>
      </c>
      <c r="W856" t="str">
        <f t="shared" si="564"/>
        <v>Lista 4</v>
      </c>
      <c r="X856" t="str">
        <f t="shared" si="565"/>
        <v>Lista 5</v>
      </c>
      <c r="Y856" t="str">
        <f t="shared" si="566"/>
        <v>Oferta Gral.</v>
      </c>
      <c r="Z856" t="str">
        <f t="shared" si="567"/>
        <v>Rubro</v>
      </c>
      <c r="AA856" t="str">
        <f t="shared" si="568"/>
        <v>Cantidad por Bulto</v>
      </c>
      <c r="AB856" t="str">
        <f t="shared" si="569"/>
        <v>INNER</v>
      </c>
      <c r="AC856" t="str">
        <f t="shared" si="570"/>
        <v>Stock en Bultos</v>
      </c>
      <c r="AD856" t="str">
        <f t="shared" si="571"/>
        <v>SubDepósito</v>
      </c>
      <c r="AE856" t="str">
        <f t="shared" si="572"/>
        <v>Marca</v>
      </c>
      <c r="AF856" t="str">
        <f t="shared" si="573"/>
        <v>Super Rubro</v>
      </c>
      <c r="AG856" t="str">
        <f t="shared" si="574"/>
        <v>ComercioExterior</v>
      </c>
      <c r="AH856" t="str">
        <f t="shared" si="575"/>
        <v>PrecioFOB</v>
      </c>
      <c r="AI856" t="str">
        <f t="shared" si="576"/>
        <v>Monto II</v>
      </c>
      <c r="AJ856" t="str">
        <f t="shared" si="577"/>
        <v>Porcentaje II</v>
      </c>
      <c r="AK856" t="str">
        <f t="shared" si="578"/>
        <v>Foto</v>
      </c>
      <c r="AL856" t="str">
        <f>" "</f>
        <v xml:space="preserve"> </v>
      </c>
      <c r="AM856" t="str">
        <f t="shared" si="579"/>
        <v xml:space="preserve"> </v>
      </c>
    </row>
    <row r="857" spans="1:39" x14ac:dyDescent="0.25">
      <c r="A857" t="str">
        <f>"BA365035 30"</f>
        <v>BA365035 30</v>
      </c>
      <c r="B857" t="str">
        <f>"COJINETES BANCADA 0,75 PEUGEOT CITROEN 1.6 16V TURBO THP"</f>
        <v>COJINETES BANCADA 0,75 PEUGEOT CITROEN 1.6 16V TURBO THP</v>
      </c>
      <c r="C857" t="str">
        <f>"$ 18006,07"</f>
        <v>$ 18006,07</v>
      </c>
      <c r="D857" t="str">
        <f>"$ 18006,07"</f>
        <v>$ 18006,07</v>
      </c>
      <c r="E857" t="str">
        <f>"$ 18006,07"</f>
        <v>$ 18006,07</v>
      </c>
      <c r="F857" t="str">
        <f>"$ 18006,07"</f>
        <v>$ 18006,07</v>
      </c>
      <c r="G857" t="str">
        <f>"$ 18006,07"</f>
        <v>$ 18006,07</v>
      </c>
      <c r="H857" t="str">
        <f t="shared" si="561"/>
        <v>$ 0,00</v>
      </c>
      <c r="I857" t="str">
        <f t="shared" si="551"/>
        <v>JUEGO COJINETES BANCADA</v>
      </c>
      <c r="J857" t="str">
        <f t="shared" si="562"/>
        <v>1</v>
      </c>
      <c r="K857" t="str">
        <f t="shared" si="584"/>
        <v>0</v>
      </c>
      <c r="L857" t="str">
        <f>"0,000"</f>
        <v>0,000</v>
      </c>
      <c r="M857" t="str">
        <f t="shared" si="563"/>
        <v xml:space="preserve"> </v>
      </c>
      <c r="N857" t="str">
        <f t="shared" si="554"/>
        <v>MPSI</v>
      </c>
      <c r="O857" t="str">
        <f t="shared" si="555"/>
        <v>COJINETES</v>
      </c>
      <c r="P857" t="str">
        <f t="shared" si="581"/>
        <v>0</v>
      </c>
      <c r="Q857" t="str">
        <f t="shared" si="581"/>
        <v>0</v>
      </c>
      <c r="R857" t="str">
        <f t="shared" si="582"/>
        <v>0,00</v>
      </c>
      <c r="S857" t="str">
        <f t="shared" si="582"/>
        <v>0,00</v>
      </c>
      <c r="T857" t="str">
        <f t="shared" si="583"/>
        <v xml:space="preserve"> </v>
      </c>
      <c r="U857" t="str">
        <f t="shared" si="560"/>
        <v>-</v>
      </c>
      <c r="V857" t="str">
        <f>"0,000"</f>
        <v>0,000</v>
      </c>
      <c r="W857" t="str">
        <f t="shared" si="564"/>
        <v>Lista 4</v>
      </c>
      <c r="X857" t="str">
        <f t="shared" si="565"/>
        <v>Lista 5</v>
      </c>
      <c r="Y857" t="str">
        <f t="shared" si="566"/>
        <v>Oferta Gral.</v>
      </c>
      <c r="Z857" t="str">
        <f t="shared" si="567"/>
        <v>Rubro</v>
      </c>
      <c r="AA857" t="str">
        <f t="shared" si="568"/>
        <v>Cantidad por Bulto</v>
      </c>
      <c r="AB857" t="str">
        <f t="shared" si="569"/>
        <v>INNER</v>
      </c>
      <c r="AC857" t="str">
        <f t="shared" si="570"/>
        <v>Stock en Bultos</v>
      </c>
      <c r="AD857" t="str">
        <f t="shared" si="571"/>
        <v>SubDepósito</v>
      </c>
      <c r="AE857" t="str">
        <f t="shared" si="572"/>
        <v>Marca</v>
      </c>
      <c r="AF857" t="str">
        <f t="shared" si="573"/>
        <v>Super Rubro</v>
      </c>
      <c r="AG857" t="str">
        <f t="shared" si="574"/>
        <v>ComercioExterior</v>
      </c>
      <c r="AH857" t="str">
        <f t="shared" si="575"/>
        <v>PrecioFOB</v>
      </c>
      <c r="AI857" t="str">
        <f t="shared" si="576"/>
        <v>Monto II</v>
      </c>
      <c r="AJ857" t="str">
        <f t="shared" si="577"/>
        <v>Porcentaje II</v>
      </c>
      <c r="AK857" t="str">
        <f t="shared" si="578"/>
        <v>Foto</v>
      </c>
      <c r="AL857" t="str">
        <f>" "</f>
        <v xml:space="preserve"> </v>
      </c>
      <c r="AM857" t="str">
        <f t="shared" si="579"/>
        <v xml:space="preserve"> </v>
      </c>
    </row>
    <row r="858" spans="1:39" x14ac:dyDescent="0.25">
      <c r="A858" t="str">
        <f>"BA241 30"</f>
        <v>BA241 30</v>
      </c>
      <c r="B858" t="str">
        <f>"COJINETES BANCADA 0,75 RENAULT 18 FUEGO TRAFIC 2.0"</f>
        <v>COJINETES BANCADA 0,75 RENAULT 18 FUEGO TRAFIC 2.0</v>
      </c>
      <c r="C858" t="str">
        <f>"$ 23764,42"</f>
        <v>$ 23764,42</v>
      </c>
      <c r="D858" t="str">
        <f>"$ 23764,42"</f>
        <v>$ 23764,42</v>
      </c>
      <c r="E858" t="str">
        <f>"$ 23764,42"</f>
        <v>$ 23764,42</v>
      </c>
      <c r="F858" t="str">
        <f>"$ 23764,42"</f>
        <v>$ 23764,42</v>
      </c>
      <c r="G858" t="str">
        <f>"$ 23764,42"</f>
        <v>$ 23764,42</v>
      </c>
      <c r="H858" t="str">
        <f t="shared" si="561"/>
        <v>$ 0,00</v>
      </c>
      <c r="I858" t="str">
        <f t="shared" si="551"/>
        <v>JUEGO COJINETES BANCADA</v>
      </c>
      <c r="J858" t="str">
        <f t="shared" si="562"/>
        <v>1</v>
      </c>
      <c r="K858" t="str">
        <f t="shared" si="584"/>
        <v>0</v>
      </c>
      <c r="L858" t="str">
        <f>"0,000"</f>
        <v>0,000</v>
      </c>
      <c r="M858" t="str">
        <f t="shared" si="563"/>
        <v xml:space="preserve"> </v>
      </c>
      <c r="N858" t="str">
        <f t="shared" si="554"/>
        <v>MPSI</v>
      </c>
      <c r="O858" t="str">
        <f t="shared" si="555"/>
        <v>COJINETES</v>
      </c>
      <c r="P858" t="str">
        <f t="shared" si="581"/>
        <v>0</v>
      </c>
      <c r="Q858" t="str">
        <f t="shared" si="581"/>
        <v>0</v>
      </c>
      <c r="R858" t="str">
        <f t="shared" si="582"/>
        <v>0,00</v>
      </c>
      <c r="S858" t="str">
        <f t="shared" si="582"/>
        <v>0,00</v>
      </c>
      <c r="T858" t="str">
        <f t="shared" si="583"/>
        <v xml:space="preserve"> </v>
      </c>
      <c r="U858" t="str">
        <f t="shared" si="560"/>
        <v>-</v>
      </c>
      <c r="V858" t="str">
        <f>"0,000"</f>
        <v>0,000</v>
      </c>
      <c r="W858" t="str">
        <f t="shared" si="564"/>
        <v>Lista 4</v>
      </c>
      <c r="X858" t="str">
        <f t="shared" si="565"/>
        <v>Lista 5</v>
      </c>
      <c r="Y858" t="str">
        <f t="shared" si="566"/>
        <v>Oferta Gral.</v>
      </c>
      <c r="Z858" t="str">
        <f t="shared" si="567"/>
        <v>Rubro</v>
      </c>
      <c r="AA858" t="str">
        <f t="shared" si="568"/>
        <v>Cantidad por Bulto</v>
      </c>
      <c r="AB858" t="str">
        <f t="shared" si="569"/>
        <v>INNER</v>
      </c>
      <c r="AC858" t="str">
        <f t="shared" si="570"/>
        <v>Stock en Bultos</v>
      </c>
      <c r="AD858" t="str">
        <f t="shared" si="571"/>
        <v>SubDepósito</v>
      </c>
      <c r="AE858" t="str">
        <f t="shared" si="572"/>
        <v>Marca</v>
      </c>
      <c r="AF858" t="str">
        <f t="shared" si="573"/>
        <v>Super Rubro</v>
      </c>
      <c r="AG858" t="str">
        <f t="shared" si="574"/>
        <v>ComercioExterior</v>
      </c>
      <c r="AH858" t="str">
        <f t="shared" si="575"/>
        <v>PrecioFOB</v>
      </c>
      <c r="AI858" t="str">
        <f t="shared" si="576"/>
        <v>Monto II</v>
      </c>
      <c r="AJ858" t="str">
        <f t="shared" si="577"/>
        <v>Porcentaje II</v>
      </c>
      <c r="AK858" t="str">
        <f t="shared" si="578"/>
        <v>Foto</v>
      </c>
      <c r="AL858" t="str">
        <f>" "</f>
        <v xml:space="preserve"> </v>
      </c>
      <c r="AM858" t="str">
        <f t="shared" si="579"/>
        <v xml:space="preserve"> </v>
      </c>
    </row>
    <row r="859" spans="1:39" x14ac:dyDescent="0.25">
      <c r="A859" t="str">
        <f>"BA247 30"</f>
        <v>BA247 30</v>
      </c>
      <c r="B859" t="str">
        <f>"COJINETES BANCADA 0,75 RENAULT 19 CLIO 1.9 DIESEL F8Q  CON TRABA"</f>
        <v>COJINETES BANCADA 0,75 RENAULT 19 CLIO 1.9 DIESEL F8Q  CON TRABA</v>
      </c>
      <c r="C859" t="str">
        <f>"$ 18062,95"</f>
        <v>$ 18062,95</v>
      </c>
      <c r="D859" t="str">
        <f>"$ 18062,95"</f>
        <v>$ 18062,95</v>
      </c>
      <c r="E859" t="str">
        <f>"$ 18062,95"</f>
        <v>$ 18062,95</v>
      </c>
      <c r="F859" t="str">
        <f>"$ 18062,95"</f>
        <v>$ 18062,95</v>
      </c>
      <c r="G859" t="str">
        <f>"$ 18062,95"</f>
        <v>$ 18062,95</v>
      </c>
      <c r="H859" t="str">
        <f t="shared" si="561"/>
        <v>$ 0,00</v>
      </c>
      <c r="I859" t="str">
        <f t="shared" si="551"/>
        <v>JUEGO COJINETES BANCADA</v>
      </c>
      <c r="J859" t="str">
        <f t="shared" si="562"/>
        <v>1</v>
      </c>
      <c r="K859" t="str">
        <f t="shared" si="584"/>
        <v>0</v>
      </c>
      <c r="L859" t="str">
        <f>"3,000"</f>
        <v>3,000</v>
      </c>
      <c r="M859" t="str">
        <f t="shared" si="563"/>
        <v xml:space="preserve"> </v>
      </c>
      <c r="N859" t="str">
        <f t="shared" si="554"/>
        <v>MPSI</v>
      </c>
      <c r="O859" t="str">
        <f t="shared" si="555"/>
        <v>COJINETES</v>
      </c>
      <c r="P859" t="str">
        <f t="shared" si="581"/>
        <v>0</v>
      </c>
      <c r="Q859" t="str">
        <f t="shared" si="581"/>
        <v>0</v>
      </c>
      <c r="R859" t="str">
        <f t="shared" si="582"/>
        <v>0,00</v>
      </c>
      <c r="S859" t="str">
        <f t="shared" si="582"/>
        <v>0,00</v>
      </c>
      <c r="T859" t="str">
        <f t="shared" si="583"/>
        <v xml:space="preserve"> </v>
      </c>
      <c r="U859" t="str">
        <f t="shared" si="560"/>
        <v>-</v>
      </c>
      <c r="V859" t="str">
        <f>"3,000"</f>
        <v>3,000</v>
      </c>
      <c r="W859" t="str">
        <f t="shared" si="564"/>
        <v>Lista 4</v>
      </c>
      <c r="X859" t="str">
        <f t="shared" si="565"/>
        <v>Lista 5</v>
      </c>
      <c r="Y859" t="str">
        <f t="shared" si="566"/>
        <v>Oferta Gral.</v>
      </c>
      <c r="Z859" t="str">
        <f t="shared" si="567"/>
        <v>Rubro</v>
      </c>
      <c r="AA859" t="str">
        <f t="shared" si="568"/>
        <v>Cantidad por Bulto</v>
      </c>
      <c r="AB859" t="str">
        <f t="shared" si="569"/>
        <v>INNER</v>
      </c>
      <c r="AC859" t="str">
        <f t="shared" si="570"/>
        <v>Stock en Bultos</v>
      </c>
      <c r="AD859" t="str">
        <f t="shared" si="571"/>
        <v>SubDepósito</v>
      </c>
      <c r="AE859" t="str">
        <f t="shared" si="572"/>
        <v>Marca</v>
      </c>
      <c r="AF859" t="str">
        <f t="shared" si="573"/>
        <v>Super Rubro</v>
      </c>
      <c r="AG859" t="str">
        <f t="shared" si="574"/>
        <v>ComercioExterior</v>
      </c>
      <c r="AH859" t="str">
        <f t="shared" si="575"/>
        <v>PrecioFOB</v>
      </c>
      <c r="AI859" t="str">
        <f t="shared" si="576"/>
        <v>Monto II</v>
      </c>
      <c r="AJ859" t="str">
        <f t="shared" si="577"/>
        <v>Porcentaje II</v>
      </c>
      <c r="AK859" t="str">
        <f t="shared" si="578"/>
        <v>Foto</v>
      </c>
      <c r="AL859" t="str">
        <f>" "</f>
        <v xml:space="preserve"> </v>
      </c>
      <c r="AM859" t="str">
        <f t="shared" si="579"/>
        <v xml:space="preserve"> </v>
      </c>
    </row>
    <row r="860" spans="1:39" x14ac:dyDescent="0.25">
      <c r="A860" t="str">
        <f>"BA244 30"</f>
        <v>BA244 30</v>
      </c>
      <c r="B860" t="str">
        <f>"COJINETES BANCADA 0,75 RENAULT 19 KANGOO 1.9 DIESEL F8Q  SIN TRABA"</f>
        <v>COJINETES BANCADA 0,75 RENAULT 19 KANGOO 1.9 DIESEL F8Q  SIN TRABA</v>
      </c>
      <c r="C860" t="str">
        <f>"$ 17782,00"</f>
        <v>$ 17782,00</v>
      </c>
      <c r="D860" t="str">
        <f>"$ 17782,00"</f>
        <v>$ 17782,00</v>
      </c>
      <c r="E860" t="str">
        <f>"$ 17782,00"</f>
        <v>$ 17782,00</v>
      </c>
      <c r="F860" t="str">
        <f>"$ 17782,00"</f>
        <v>$ 17782,00</v>
      </c>
      <c r="G860" t="str">
        <f>"$ 17782,00"</f>
        <v>$ 17782,00</v>
      </c>
      <c r="H860" t="str">
        <f t="shared" si="561"/>
        <v>$ 0,00</v>
      </c>
      <c r="I860" t="str">
        <f t="shared" si="551"/>
        <v>JUEGO COJINETES BANCADA</v>
      </c>
      <c r="J860" t="str">
        <f t="shared" si="562"/>
        <v>1</v>
      </c>
      <c r="K860" t="str">
        <f t="shared" si="584"/>
        <v>0</v>
      </c>
      <c r="L860" t="str">
        <f>"3,000"</f>
        <v>3,000</v>
      </c>
      <c r="M860" t="str">
        <f t="shared" si="563"/>
        <v xml:space="preserve"> </v>
      </c>
      <c r="N860" t="str">
        <f t="shared" si="554"/>
        <v>MPSI</v>
      </c>
      <c r="O860" t="str">
        <f t="shared" si="555"/>
        <v>COJINETES</v>
      </c>
      <c r="P860" t="str">
        <f t="shared" si="581"/>
        <v>0</v>
      </c>
      <c r="Q860" t="str">
        <f t="shared" si="581"/>
        <v>0</v>
      </c>
      <c r="R860" t="str">
        <f t="shared" si="582"/>
        <v>0,00</v>
      </c>
      <c r="S860" t="str">
        <f t="shared" si="582"/>
        <v>0,00</v>
      </c>
      <c r="T860" t="str">
        <f t="shared" si="583"/>
        <v xml:space="preserve"> </v>
      </c>
      <c r="U860" t="str">
        <f t="shared" si="560"/>
        <v>-</v>
      </c>
      <c r="V860" t="str">
        <f>"3,000"</f>
        <v>3,000</v>
      </c>
      <c r="W860" t="str">
        <f t="shared" si="564"/>
        <v>Lista 4</v>
      </c>
      <c r="X860" t="str">
        <f t="shared" si="565"/>
        <v>Lista 5</v>
      </c>
      <c r="Y860" t="str">
        <f t="shared" si="566"/>
        <v>Oferta Gral.</v>
      </c>
      <c r="Z860" t="str">
        <f t="shared" si="567"/>
        <v>Rubro</v>
      </c>
      <c r="AA860" t="str">
        <f t="shared" si="568"/>
        <v>Cantidad por Bulto</v>
      </c>
      <c r="AB860" t="str">
        <f t="shared" si="569"/>
        <v>INNER</v>
      </c>
      <c r="AC860" t="str">
        <f t="shared" si="570"/>
        <v>Stock en Bultos</v>
      </c>
      <c r="AD860" t="str">
        <f t="shared" si="571"/>
        <v>SubDepósito</v>
      </c>
      <c r="AE860" t="str">
        <f t="shared" si="572"/>
        <v>Marca</v>
      </c>
      <c r="AF860" t="str">
        <f t="shared" si="573"/>
        <v>Super Rubro</v>
      </c>
      <c r="AG860" t="str">
        <f t="shared" si="574"/>
        <v>ComercioExterior</v>
      </c>
      <c r="AH860" t="str">
        <f t="shared" si="575"/>
        <v>PrecioFOB</v>
      </c>
      <c r="AI860" t="str">
        <f t="shared" si="576"/>
        <v>Monto II</v>
      </c>
      <c r="AJ860" t="str">
        <f t="shared" si="577"/>
        <v>Porcentaje II</v>
      </c>
      <c r="AK860" t="str">
        <f t="shared" si="578"/>
        <v>Foto</v>
      </c>
      <c r="AL860" t="str">
        <f>" "</f>
        <v xml:space="preserve"> </v>
      </c>
      <c r="AM860" t="str">
        <f t="shared" si="579"/>
        <v xml:space="preserve"> </v>
      </c>
    </row>
    <row r="861" spans="1:39" x14ac:dyDescent="0.25">
      <c r="A861" t="str">
        <f>"BA240 30"</f>
        <v>BA240 30</v>
      </c>
      <c r="B861" t="str">
        <f>"COJINETES BANCADA 0,75 RENAULT 9 11 12 18 19 CLIO 1.3 1.4 1.6 8V"</f>
        <v>COJINETES BANCADA 0,75 RENAULT 9 11 12 18 19 CLIO 1.3 1.4 1.6 8V</v>
      </c>
      <c r="C861" t="str">
        <f>"$ 18690,93"</f>
        <v>$ 18690,93</v>
      </c>
      <c r="D861" t="str">
        <f>"$ 18690,93"</f>
        <v>$ 18690,93</v>
      </c>
      <c r="E861" t="str">
        <f>"$ 18690,93"</f>
        <v>$ 18690,93</v>
      </c>
      <c r="F861" t="str">
        <f>"$ 18690,93"</f>
        <v>$ 18690,93</v>
      </c>
      <c r="G861" t="str">
        <f>"$ 18690,93"</f>
        <v>$ 18690,93</v>
      </c>
      <c r="H861" t="str">
        <f t="shared" si="561"/>
        <v>$ 0,00</v>
      </c>
      <c r="I861" t="str">
        <f t="shared" si="551"/>
        <v>JUEGO COJINETES BANCADA</v>
      </c>
      <c r="J861" t="str">
        <f t="shared" si="562"/>
        <v>1</v>
      </c>
      <c r="K861" t="str">
        <f t="shared" si="584"/>
        <v>0</v>
      </c>
      <c r="L861" t="str">
        <f>"10,000"</f>
        <v>10,000</v>
      </c>
      <c r="M861" t="str">
        <f t="shared" si="563"/>
        <v xml:space="preserve"> </v>
      </c>
      <c r="N861" t="str">
        <f t="shared" si="554"/>
        <v>MPSI</v>
      </c>
      <c r="O861" t="str">
        <f t="shared" si="555"/>
        <v>COJINETES</v>
      </c>
      <c r="P861" t="str">
        <f t="shared" si="581"/>
        <v>0</v>
      </c>
      <c r="Q861" t="str">
        <f t="shared" si="581"/>
        <v>0</v>
      </c>
      <c r="R861" t="str">
        <f t="shared" si="582"/>
        <v>0,00</v>
      </c>
      <c r="S861" t="str">
        <f t="shared" si="582"/>
        <v>0,00</v>
      </c>
      <c r="T861" t="str">
        <f t="shared" si="583"/>
        <v xml:space="preserve"> </v>
      </c>
      <c r="U861" t="str">
        <f t="shared" ref="U861:U879" si="585">"-"</f>
        <v>-</v>
      </c>
      <c r="V861" t="str">
        <f>"10,000"</f>
        <v>10,000</v>
      </c>
      <c r="W861" t="str">
        <f t="shared" si="564"/>
        <v>Lista 4</v>
      </c>
      <c r="X861" t="str">
        <f t="shared" si="565"/>
        <v>Lista 5</v>
      </c>
      <c r="Y861" t="str">
        <f t="shared" si="566"/>
        <v>Oferta Gral.</v>
      </c>
      <c r="Z861" t="str">
        <f t="shared" si="567"/>
        <v>Rubro</v>
      </c>
      <c r="AA861" t="str">
        <f t="shared" si="568"/>
        <v>Cantidad por Bulto</v>
      </c>
      <c r="AB861" t="str">
        <f t="shared" si="569"/>
        <v>INNER</v>
      </c>
      <c r="AC861" t="str">
        <f t="shared" si="570"/>
        <v>Stock en Bultos</v>
      </c>
      <c r="AD861" t="str">
        <f t="shared" si="571"/>
        <v>SubDepósito</v>
      </c>
      <c r="AE861" t="str">
        <f t="shared" si="572"/>
        <v>Marca</v>
      </c>
      <c r="AF861" t="str">
        <f t="shared" si="573"/>
        <v>Super Rubro</v>
      </c>
      <c r="AG861" t="str">
        <f t="shared" si="574"/>
        <v>ComercioExterior</v>
      </c>
      <c r="AH861" t="str">
        <f t="shared" si="575"/>
        <v>PrecioFOB</v>
      </c>
      <c r="AI861" t="str">
        <f t="shared" si="576"/>
        <v>Monto II</v>
      </c>
      <c r="AJ861" t="str">
        <f t="shared" si="577"/>
        <v>Porcentaje II</v>
      </c>
      <c r="AK861" t="str">
        <f t="shared" si="578"/>
        <v>Foto</v>
      </c>
      <c r="AL861" t="str">
        <f>"{\rtf1\ansi\ansicpg1252\deff0\deflang2058{\fonttbl{\f0\fnil\fcharset0 MS Sans Serif}} \viewkind4\uc1\pard\f0\fs16 COJINETES BANCADA 0,75 RENAULT 9 11 12 18 19 CLIO 1.3 1.4 1.6 8V\par } "</f>
        <v xml:space="preserve">{\rtf1\ansi\ansicpg1252\deff0\deflang2058{\fonttbl{\f0\fnil\fcharset0 MS Sans Serif}} \viewkind4\uc1\pard\f0\fs16 COJINETES BANCADA 0,75 RENAULT 9 11 12 18 19 CLIO 1.3 1.4 1.6 8V\par } </v>
      </c>
      <c r="AM861" t="str">
        <f t="shared" si="579"/>
        <v xml:space="preserve"> </v>
      </c>
    </row>
    <row r="862" spans="1:39" x14ac:dyDescent="0.25">
      <c r="A862" t="str">
        <f>"BA385101 30"</f>
        <v>BA385101 30</v>
      </c>
      <c r="B862" t="str">
        <f>"COJINETES BANCADA 0,75 RENAULT CAPTUR NISSAN VERSA 1.6 H4M CADENERO"</f>
        <v>COJINETES BANCADA 0,75 RENAULT CAPTUR NISSAN VERSA 1.6 H4M CADENERO</v>
      </c>
      <c r="C862" t="str">
        <f>"$ 15957,81"</f>
        <v>$ 15957,81</v>
      </c>
      <c r="D862" t="str">
        <f>"$ 15957,81"</f>
        <v>$ 15957,81</v>
      </c>
      <c r="E862" t="str">
        <f>"$ 15957,81"</f>
        <v>$ 15957,81</v>
      </c>
      <c r="F862" t="str">
        <f>"$ 15957,81"</f>
        <v>$ 15957,81</v>
      </c>
      <c r="G862" t="str">
        <f>"$ 15957,81"</f>
        <v>$ 15957,81</v>
      </c>
      <c r="H862" t="str">
        <f t="shared" si="561"/>
        <v>$ 0,00</v>
      </c>
      <c r="I862" t="str">
        <f t="shared" si="551"/>
        <v>JUEGO COJINETES BANCADA</v>
      </c>
      <c r="J862" t="str">
        <f t="shared" si="562"/>
        <v>1</v>
      </c>
      <c r="K862" t="str">
        <f t="shared" si="584"/>
        <v>0</v>
      </c>
      <c r="L862" t="str">
        <f>"0,000"</f>
        <v>0,000</v>
      </c>
      <c r="M862" t="str">
        <f t="shared" si="563"/>
        <v xml:space="preserve"> </v>
      </c>
      <c r="N862" t="str">
        <f t="shared" si="554"/>
        <v>MPSI</v>
      </c>
      <c r="O862" t="str">
        <f t="shared" si="555"/>
        <v>COJINETES</v>
      </c>
      <c r="P862" t="str">
        <f t="shared" si="581"/>
        <v>0</v>
      </c>
      <c r="Q862" t="str">
        <f t="shared" si="581"/>
        <v>0</v>
      </c>
      <c r="R862" t="str">
        <f t="shared" si="582"/>
        <v>0,00</v>
      </c>
      <c r="S862" t="str">
        <f t="shared" si="582"/>
        <v>0,00</v>
      </c>
      <c r="T862" t="str">
        <f t="shared" si="583"/>
        <v xml:space="preserve"> </v>
      </c>
      <c r="U862" t="str">
        <f t="shared" si="585"/>
        <v>-</v>
      </c>
      <c r="V862" t="str">
        <f>"0,000"</f>
        <v>0,000</v>
      </c>
      <c r="W862" t="str">
        <f t="shared" si="564"/>
        <v>Lista 4</v>
      </c>
      <c r="X862" t="str">
        <f t="shared" si="565"/>
        <v>Lista 5</v>
      </c>
      <c r="Y862" t="str">
        <f t="shared" si="566"/>
        <v>Oferta Gral.</v>
      </c>
      <c r="Z862" t="str">
        <f t="shared" si="567"/>
        <v>Rubro</v>
      </c>
      <c r="AA862" t="str">
        <f t="shared" si="568"/>
        <v>Cantidad por Bulto</v>
      </c>
      <c r="AB862" t="str">
        <f t="shared" si="569"/>
        <v>INNER</v>
      </c>
      <c r="AC862" t="str">
        <f t="shared" si="570"/>
        <v>Stock en Bultos</v>
      </c>
      <c r="AD862" t="str">
        <f t="shared" si="571"/>
        <v>SubDepósito</v>
      </c>
      <c r="AE862" t="str">
        <f t="shared" si="572"/>
        <v>Marca</v>
      </c>
      <c r="AF862" t="str">
        <f t="shared" si="573"/>
        <v>Super Rubro</v>
      </c>
      <c r="AG862" t="str">
        <f t="shared" si="574"/>
        <v>ComercioExterior</v>
      </c>
      <c r="AH862" t="str">
        <f t="shared" si="575"/>
        <v>PrecioFOB</v>
      </c>
      <c r="AI862" t="str">
        <f t="shared" si="576"/>
        <v>Monto II</v>
      </c>
      <c r="AJ862" t="str">
        <f t="shared" si="577"/>
        <v>Porcentaje II</v>
      </c>
      <c r="AK862" t="str">
        <f t="shared" si="578"/>
        <v>Foto</v>
      </c>
      <c r="AL862" t="str">
        <f>" "</f>
        <v xml:space="preserve"> </v>
      </c>
      <c r="AM862" t="str">
        <f t="shared" si="579"/>
        <v xml:space="preserve"> </v>
      </c>
    </row>
    <row r="863" spans="1:39" x14ac:dyDescent="0.25">
      <c r="A863" t="str">
        <f>"BA872 30"</f>
        <v>BA872 30</v>
      </c>
      <c r="B863" t="str">
        <f>"COJINETES BANCADA 0,75 RENAULT CLIO TWINGO 1.2  D4F D7F SIN TRABA"</f>
        <v>COJINETES BANCADA 0,75 RENAULT CLIO TWINGO 1.2  D4F D7F SIN TRABA</v>
      </c>
      <c r="C863" t="str">
        <f>"$ 22195,70"</f>
        <v>$ 22195,70</v>
      </c>
      <c r="D863" t="str">
        <f>"$ 22195,70"</f>
        <v>$ 22195,70</v>
      </c>
      <c r="E863" t="str">
        <f>"$ 22195,70"</f>
        <v>$ 22195,70</v>
      </c>
      <c r="F863" t="str">
        <f>"$ 22195,70"</f>
        <v>$ 22195,70</v>
      </c>
      <c r="G863" t="str">
        <f>"$ 22195,70"</f>
        <v>$ 22195,70</v>
      </c>
      <c r="H863" t="str">
        <f t="shared" si="561"/>
        <v>$ 0,00</v>
      </c>
      <c r="I863" t="str">
        <f t="shared" ref="I863:I926" si="586">"JUEGO COJINETES BANCADA"</f>
        <v>JUEGO COJINETES BANCADA</v>
      </c>
      <c r="J863" t="str">
        <f t="shared" si="562"/>
        <v>1</v>
      </c>
      <c r="K863" t="str">
        <f t="shared" si="584"/>
        <v>0</v>
      </c>
      <c r="L863" t="str">
        <f>"5,000"</f>
        <v>5,000</v>
      </c>
      <c r="M863" t="str">
        <f t="shared" si="563"/>
        <v xml:space="preserve"> </v>
      </c>
      <c r="N863" t="str">
        <f t="shared" si="554"/>
        <v>MPSI</v>
      </c>
      <c r="O863" t="str">
        <f t="shared" si="555"/>
        <v>COJINETES</v>
      </c>
      <c r="P863" t="str">
        <f t="shared" ref="P863:Q882" si="587">"0"</f>
        <v>0</v>
      </c>
      <c r="Q863" t="str">
        <f t="shared" si="587"/>
        <v>0</v>
      </c>
      <c r="R863" t="str">
        <f t="shared" ref="R863:S882" si="588">"0,00"</f>
        <v>0,00</v>
      </c>
      <c r="S863" t="str">
        <f t="shared" si="588"/>
        <v>0,00</v>
      </c>
      <c r="T863" t="str">
        <f t="shared" si="583"/>
        <v xml:space="preserve"> </v>
      </c>
      <c r="U863" t="str">
        <f t="shared" si="585"/>
        <v>-</v>
      </c>
      <c r="V863" t="str">
        <f>"5,000"</f>
        <v>5,000</v>
      </c>
      <c r="W863" t="str">
        <f t="shared" si="564"/>
        <v>Lista 4</v>
      </c>
      <c r="X863" t="str">
        <f t="shared" si="565"/>
        <v>Lista 5</v>
      </c>
      <c r="Y863" t="str">
        <f t="shared" si="566"/>
        <v>Oferta Gral.</v>
      </c>
      <c r="Z863" t="str">
        <f t="shared" si="567"/>
        <v>Rubro</v>
      </c>
      <c r="AA863" t="str">
        <f t="shared" si="568"/>
        <v>Cantidad por Bulto</v>
      </c>
      <c r="AB863" t="str">
        <f t="shared" si="569"/>
        <v>INNER</v>
      </c>
      <c r="AC863" t="str">
        <f t="shared" si="570"/>
        <v>Stock en Bultos</v>
      </c>
      <c r="AD863" t="str">
        <f t="shared" si="571"/>
        <v>SubDepósito</v>
      </c>
      <c r="AE863" t="str">
        <f t="shared" si="572"/>
        <v>Marca</v>
      </c>
      <c r="AF863" t="str">
        <f t="shared" si="573"/>
        <v>Super Rubro</v>
      </c>
      <c r="AG863" t="str">
        <f t="shared" si="574"/>
        <v>ComercioExterior</v>
      </c>
      <c r="AH863" t="str">
        <f t="shared" si="575"/>
        <v>PrecioFOB</v>
      </c>
      <c r="AI863" t="str">
        <f t="shared" si="576"/>
        <v>Monto II</v>
      </c>
      <c r="AJ863" t="str">
        <f t="shared" si="577"/>
        <v>Porcentaje II</v>
      </c>
      <c r="AK863" t="str">
        <f t="shared" si="578"/>
        <v>Foto</v>
      </c>
      <c r="AL863" t="str">
        <f>" "</f>
        <v xml:space="preserve"> </v>
      </c>
      <c r="AM863" t="str">
        <f t="shared" si="579"/>
        <v xml:space="preserve"> </v>
      </c>
    </row>
    <row r="864" spans="1:39" x14ac:dyDescent="0.25">
      <c r="A864" t="str">
        <f>"BA871 30"</f>
        <v>BA871 30</v>
      </c>
      <c r="B864" t="str">
        <f>"COJINETES BANCADA 0,75 RENAULT CLIO TWINGO 1.2  D7F CON TRABA"</f>
        <v>COJINETES BANCADA 0,75 RENAULT CLIO TWINGO 1.2  D7F CON TRABA</v>
      </c>
      <c r="C864" t="str">
        <f>"$ 24057,75"</f>
        <v>$ 24057,75</v>
      </c>
      <c r="D864" t="str">
        <f>"$ 24057,75"</f>
        <v>$ 24057,75</v>
      </c>
      <c r="E864" t="str">
        <f>"$ 24057,75"</f>
        <v>$ 24057,75</v>
      </c>
      <c r="F864" t="str">
        <f>"$ 24057,75"</f>
        <v>$ 24057,75</v>
      </c>
      <c r="G864" t="str">
        <f>"$ 24057,75"</f>
        <v>$ 24057,75</v>
      </c>
      <c r="H864" t="str">
        <f t="shared" si="561"/>
        <v>$ 0,00</v>
      </c>
      <c r="I864" t="str">
        <f t="shared" si="586"/>
        <v>JUEGO COJINETES BANCADA</v>
      </c>
      <c r="J864" t="str">
        <f t="shared" si="562"/>
        <v>1</v>
      </c>
      <c r="K864" t="str">
        <f t="shared" si="584"/>
        <v>0</v>
      </c>
      <c r="L864" t="str">
        <f>"9,000"</f>
        <v>9,000</v>
      </c>
      <c r="M864" t="str">
        <f t="shared" si="563"/>
        <v xml:space="preserve"> </v>
      </c>
      <c r="N864" t="str">
        <f t="shared" si="554"/>
        <v>MPSI</v>
      </c>
      <c r="O864" t="str">
        <f t="shared" si="555"/>
        <v>COJINETES</v>
      </c>
      <c r="P864" t="str">
        <f t="shared" si="587"/>
        <v>0</v>
      </c>
      <c r="Q864" t="str">
        <f t="shared" si="587"/>
        <v>0</v>
      </c>
      <c r="R864" t="str">
        <f t="shared" si="588"/>
        <v>0,00</v>
      </c>
      <c r="S864" t="str">
        <f t="shared" si="588"/>
        <v>0,00</v>
      </c>
      <c r="T864" t="str">
        <f t="shared" si="583"/>
        <v xml:space="preserve"> </v>
      </c>
      <c r="U864" t="str">
        <f t="shared" si="585"/>
        <v>-</v>
      </c>
      <c r="V864" t="str">
        <f>"9,000"</f>
        <v>9,000</v>
      </c>
      <c r="W864" t="str">
        <f t="shared" si="564"/>
        <v>Lista 4</v>
      </c>
      <c r="X864" t="str">
        <f t="shared" si="565"/>
        <v>Lista 5</v>
      </c>
      <c r="Y864" t="str">
        <f t="shared" si="566"/>
        <v>Oferta Gral.</v>
      </c>
      <c r="Z864" t="str">
        <f t="shared" si="567"/>
        <v>Rubro</v>
      </c>
      <c r="AA864" t="str">
        <f t="shared" si="568"/>
        <v>Cantidad por Bulto</v>
      </c>
      <c r="AB864" t="str">
        <f t="shared" si="569"/>
        <v>INNER</v>
      </c>
      <c r="AC864" t="str">
        <f t="shared" si="570"/>
        <v>Stock en Bultos</v>
      </c>
      <c r="AD864" t="str">
        <f t="shared" si="571"/>
        <v>SubDepósito</v>
      </c>
      <c r="AE864" t="str">
        <f t="shared" si="572"/>
        <v>Marca</v>
      </c>
      <c r="AF864" t="str">
        <f t="shared" si="573"/>
        <v>Super Rubro</v>
      </c>
      <c r="AG864" t="str">
        <f t="shared" si="574"/>
        <v>ComercioExterior</v>
      </c>
      <c r="AH864" t="str">
        <f t="shared" si="575"/>
        <v>PrecioFOB</v>
      </c>
      <c r="AI864" t="str">
        <f t="shared" si="576"/>
        <v>Monto II</v>
      </c>
      <c r="AJ864" t="str">
        <f t="shared" si="577"/>
        <v>Porcentaje II</v>
      </c>
      <c r="AK864" t="str">
        <f t="shared" si="578"/>
        <v>Foto</v>
      </c>
      <c r="AL864" t="str">
        <f>" "</f>
        <v xml:space="preserve"> </v>
      </c>
      <c r="AM864" t="str">
        <f t="shared" si="579"/>
        <v xml:space="preserve"> </v>
      </c>
    </row>
    <row r="865" spans="1:39" x14ac:dyDescent="0.25">
      <c r="A865" t="str">
        <f>"BA873 30"</f>
        <v>BA873 30</v>
      </c>
      <c r="B865" t="str">
        <f>"COJINETES BANCADA 0,75 RENAULT KANGOO LOGAN 1.6 16V K4M 1.5 K9K"</f>
        <v>COJINETES BANCADA 0,75 RENAULT KANGOO LOGAN 1.6 16V K4M 1.5 K9K</v>
      </c>
      <c r="C865" t="str">
        <f>"$ 16674,76"</f>
        <v>$ 16674,76</v>
      </c>
      <c r="D865" t="str">
        <f>"$ 16674,76"</f>
        <v>$ 16674,76</v>
      </c>
      <c r="E865" t="str">
        <f>"$ 16674,76"</f>
        <v>$ 16674,76</v>
      </c>
      <c r="F865" t="str">
        <f>"$ 16674,76"</f>
        <v>$ 16674,76</v>
      </c>
      <c r="G865" t="str">
        <f>"$ 16674,76"</f>
        <v>$ 16674,76</v>
      </c>
      <c r="H865" t="str">
        <f t="shared" si="561"/>
        <v>$ 0,00</v>
      </c>
      <c r="I865" t="str">
        <f t="shared" si="586"/>
        <v>JUEGO COJINETES BANCADA</v>
      </c>
      <c r="J865" t="str">
        <f t="shared" si="562"/>
        <v>1</v>
      </c>
      <c r="K865" t="str">
        <f t="shared" si="584"/>
        <v>0</v>
      </c>
      <c r="L865" t="str">
        <f>"12,000"</f>
        <v>12,000</v>
      </c>
      <c r="M865" t="str">
        <f t="shared" si="563"/>
        <v xml:space="preserve"> </v>
      </c>
      <c r="N865" t="str">
        <f t="shared" si="554"/>
        <v>MPSI</v>
      </c>
      <c r="O865" t="str">
        <f t="shared" si="555"/>
        <v>COJINETES</v>
      </c>
      <c r="P865" t="str">
        <f t="shared" si="587"/>
        <v>0</v>
      </c>
      <c r="Q865" t="str">
        <f t="shared" si="587"/>
        <v>0</v>
      </c>
      <c r="R865" t="str">
        <f t="shared" si="588"/>
        <v>0,00</v>
      </c>
      <c r="S865" t="str">
        <f t="shared" si="588"/>
        <v>0,00</v>
      </c>
      <c r="T865" t="str">
        <f t="shared" si="583"/>
        <v xml:space="preserve"> </v>
      </c>
      <c r="U865" t="str">
        <f t="shared" si="585"/>
        <v>-</v>
      </c>
      <c r="V865" t="str">
        <f>"12,000"</f>
        <v>12,000</v>
      </c>
      <c r="W865" t="str">
        <f t="shared" si="564"/>
        <v>Lista 4</v>
      </c>
      <c r="X865" t="str">
        <f t="shared" si="565"/>
        <v>Lista 5</v>
      </c>
      <c r="Y865" t="str">
        <f t="shared" si="566"/>
        <v>Oferta Gral.</v>
      </c>
      <c r="Z865" t="str">
        <f t="shared" si="567"/>
        <v>Rubro</v>
      </c>
      <c r="AA865" t="str">
        <f t="shared" si="568"/>
        <v>Cantidad por Bulto</v>
      </c>
      <c r="AB865" t="str">
        <f t="shared" si="569"/>
        <v>INNER</v>
      </c>
      <c r="AC865" t="str">
        <f t="shared" si="570"/>
        <v>Stock en Bultos</v>
      </c>
      <c r="AD865" t="str">
        <f t="shared" si="571"/>
        <v>SubDepósito</v>
      </c>
      <c r="AE865" t="str">
        <f t="shared" si="572"/>
        <v>Marca</v>
      </c>
      <c r="AF865" t="str">
        <f t="shared" si="573"/>
        <v>Super Rubro</v>
      </c>
      <c r="AG865" t="str">
        <f t="shared" si="574"/>
        <v>ComercioExterior</v>
      </c>
      <c r="AH865" t="str">
        <f t="shared" si="575"/>
        <v>PrecioFOB</v>
      </c>
      <c r="AI865" t="str">
        <f t="shared" si="576"/>
        <v>Monto II</v>
      </c>
      <c r="AJ865" t="str">
        <f t="shared" si="577"/>
        <v>Porcentaje II</v>
      </c>
      <c r="AK865" t="str">
        <f t="shared" si="578"/>
        <v>Foto</v>
      </c>
      <c r="AL865" t="str">
        <f>"{\rtf1\ansi\ansicpg1252\deff0\deflang2058{\fonttbl{\f0\fnil\fcharset0 MS Sans Serif}} \viewkind4\uc1\pard\f0\fs16 COJINETES BANCADA 0,75 RENAULT KANGOO LOGAN 1.6 16V K4M 1.5 K9K\par } "</f>
        <v xml:space="preserve">{\rtf1\ansi\ansicpg1252\deff0\deflang2058{\fonttbl{\f0\fnil\fcharset0 MS Sans Serif}} \viewkind4\uc1\pard\f0\fs16 COJINETES BANCADA 0,75 RENAULT KANGOO LOGAN 1.6 16V K4M 1.5 K9K\par } </v>
      </c>
      <c r="AM865" t="str">
        <f t="shared" si="579"/>
        <v xml:space="preserve"> </v>
      </c>
    </row>
    <row r="866" spans="1:39" x14ac:dyDescent="0.25">
      <c r="A866" t="str">
        <f>"BA384069 30"</f>
        <v>BA384069 30</v>
      </c>
      <c r="B866" t="str">
        <f>"COJINETES BANCADA 0,75 RENAULT KWID 1.0 3 CILINDROS"</f>
        <v>COJINETES BANCADA 0,75 RENAULT KWID 1.0 3 CILINDROS</v>
      </c>
      <c r="C866" t="str">
        <f>"$ 12010,25"</f>
        <v>$ 12010,25</v>
      </c>
      <c r="D866" t="str">
        <f>"$ 12010,25"</f>
        <v>$ 12010,25</v>
      </c>
      <c r="E866" t="str">
        <f>"$ 12010,25"</f>
        <v>$ 12010,25</v>
      </c>
      <c r="F866" t="str">
        <f>"$ 12010,25"</f>
        <v>$ 12010,25</v>
      </c>
      <c r="G866" t="str">
        <f>"$ 12010,25"</f>
        <v>$ 12010,25</v>
      </c>
      <c r="H866" t="str">
        <f t="shared" si="561"/>
        <v>$ 0,00</v>
      </c>
      <c r="I866" t="str">
        <f t="shared" si="586"/>
        <v>JUEGO COJINETES BANCADA</v>
      </c>
      <c r="J866" t="str">
        <f t="shared" si="562"/>
        <v>1</v>
      </c>
      <c r="K866" t="str">
        <f t="shared" si="584"/>
        <v>0</v>
      </c>
      <c r="L866" t="str">
        <f>"0,000"</f>
        <v>0,000</v>
      </c>
      <c r="M866" t="str">
        <f t="shared" si="563"/>
        <v xml:space="preserve"> </v>
      </c>
      <c r="N866" t="str">
        <f t="shared" si="554"/>
        <v>MPSI</v>
      </c>
      <c r="O866" t="str">
        <f t="shared" si="555"/>
        <v>COJINETES</v>
      </c>
      <c r="P866" t="str">
        <f t="shared" si="587"/>
        <v>0</v>
      </c>
      <c r="Q866" t="str">
        <f t="shared" si="587"/>
        <v>0</v>
      </c>
      <c r="R866" t="str">
        <f t="shared" si="588"/>
        <v>0,00</v>
      </c>
      <c r="S866" t="str">
        <f t="shared" si="588"/>
        <v>0,00</v>
      </c>
      <c r="T866" t="str">
        <f t="shared" si="583"/>
        <v xml:space="preserve"> </v>
      </c>
      <c r="U866" t="str">
        <f t="shared" si="585"/>
        <v>-</v>
      </c>
      <c r="V866" t="str">
        <f>"0,000"</f>
        <v>0,000</v>
      </c>
      <c r="W866" t="str">
        <f t="shared" si="564"/>
        <v>Lista 4</v>
      </c>
      <c r="X866" t="str">
        <f t="shared" si="565"/>
        <v>Lista 5</v>
      </c>
      <c r="Y866" t="str">
        <f t="shared" si="566"/>
        <v>Oferta Gral.</v>
      </c>
      <c r="Z866" t="str">
        <f t="shared" si="567"/>
        <v>Rubro</v>
      </c>
      <c r="AA866" t="str">
        <f t="shared" si="568"/>
        <v>Cantidad por Bulto</v>
      </c>
      <c r="AB866" t="str">
        <f t="shared" si="569"/>
        <v>INNER</v>
      </c>
      <c r="AC866" t="str">
        <f t="shared" si="570"/>
        <v>Stock en Bultos</v>
      </c>
      <c r="AD866" t="str">
        <f t="shared" si="571"/>
        <v>SubDepósito</v>
      </c>
      <c r="AE866" t="str">
        <f t="shared" si="572"/>
        <v>Marca</v>
      </c>
      <c r="AF866" t="str">
        <f t="shared" si="573"/>
        <v>Super Rubro</v>
      </c>
      <c r="AG866" t="str">
        <f t="shared" si="574"/>
        <v>ComercioExterior</v>
      </c>
      <c r="AH866" t="str">
        <f t="shared" si="575"/>
        <v>PrecioFOB</v>
      </c>
      <c r="AI866" t="str">
        <f t="shared" si="576"/>
        <v>Monto II</v>
      </c>
      <c r="AJ866" t="str">
        <f t="shared" si="577"/>
        <v>Porcentaje II</v>
      </c>
      <c r="AK866" t="str">
        <f t="shared" si="578"/>
        <v>Foto</v>
      </c>
      <c r="AL866" t="str">
        <f t="shared" ref="AL866:AL872" si="589">" "</f>
        <v xml:space="preserve"> </v>
      </c>
      <c r="AM866" t="str">
        <f t="shared" si="579"/>
        <v xml:space="preserve"> </v>
      </c>
    </row>
    <row r="867" spans="1:39" x14ac:dyDescent="0.25">
      <c r="A867" t="str">
        <f>"BA874 30"</f>
        <v>BA874 30</v>
      </c>
      <c r="B867" t="str">
        <f>"COJINETES BANCADA 0,75 RENAULT MASTER 2.5 MOTOR G9U"</f>
        <v>COJINETES BANCADA 0,75 RENAULT MASTER 2.5 MOTOR G9U</v>
      </c>
      <c r="C867" t="str">
        <f>"$ 23163,96"</f>
        <v>$ 23163,96</v>
      </c>
      <c r="D867" t="str">
        <f>"$ 23163,96"</f>
        <v>$ 23163,96</v>
      </c>
      <c r="E867" t="str">
        <f>"$ 23163,96"</f>
        <v>$ 23163,96</v>
      </c>
      <c r="F867" t="str">
        <f>"$ 23163,96"</f>
        <v>$ 23163,96</v>
      </c>
      <c r="G867" t="str">
        <f>"$ 23163,96"</f>
        <v>$ 23163,96</v>
      </c>
      <c r="H867" t="str">
        <f t="shared" si="561"/>
        <v>$ 0,00</v>
      </c>
      <c r="I867" t="str">
        <f t="shared" si="586"/>
        <v>JUEGO COJINETES BANCADA</v>
      </c>
      <c r="J867" t="str">
        <f t="shared" si="562"/>
        <v>1</v>
      </c>
      <c r="K867" t="str">
        <f t="shared" si="584"/>
        <v>0</v>
      </c>
      <c r="L867" t="str">
        <f>"4,000"</f>
        <v>4,000</v>
      </c>
      <c r="M867" t="str">
        <f t="shared" si="563"/>
        <v xml:space="preserve"> </v>
      </c>
      <c r="N867" t="str">
        <f t="shared" si="554"/>
        <v>MPSI</v>
      </c>
      <c r="O867" t="str">
        <f t="shared" si="555"/>
        <v>COJINETES</v>
      </c>
      <c r="P867" t="str">
        <f t="shared" si="587"/>
        <v>0</v>
      </c>
      <c r="Q867" t="str">
        <f t="shared" si="587"/>
        <v>0</v>
      </c>
      <c r="R867" t="str">
        <f t="shared" si="588"/>
        <v>0,00</v>
      </c>
      <c r="S867" t="str">
        <f t="shared" si="588"/>
        <v>0,00</v>
      </c>
      <c r="T867" t="str">
        <f t="shared" si="583"/>
        <v xml:space="preserve"> </v>
      </c>
      <c r="U867" t="str">
        <f t="shared" si="585"/>
        <v>-</v>
      </c>
      <c r="V867" t="str">
        <f>"4,000"</f>
        <v>4,000</v>
      </c>
      <c r="W867" t="str">
        <f t="shared" si="564"/>
        <v>Lista 4</v>
      </c>
      <c r="X867" t="str">
        <f t="shared" si="565"/>
        <v>Lista 5</v>
      </c>
      <c r="Y867" t="str">
        <f t="shared" si="566"/>
        <v>Oferta Gral.</v>
      </c>
      <c r="Z867" t="str">
        <f t="shared" si="567"/>
        <v>Rubro</v>
      </c>
      <c r="AA867" t="str">
        <f t="shared" si="568"/>
        <v>Cantidad por Bulto</v>
      </c>
      <c r="AB867" t="str">
        <f t="shared" si="569"/>
        <v>INNER</v>
      </c>
      <c r="AC867" t="str">
        <f t="shared" si="570"/>
        <v>Stock en Bultos</v>
      </c>
      <c r="AD867" t="str">
        <f t="shared" si="571"/>
        <v>SubDepósito</v>
      </c>
      <c r="AE867" t="str">
        <f t="shared" si="572"/>
        <v>Marca</v>
      </c>
      <c r="AF867" t="str">
        <f t="shared" si="573"/>
        <v>Super Rubro</v>
      </c>
      <c r="AG867" t="str">
        <f t="shared" si="574"/>
        <v>ComercioExterior</v>
      </c>
      <c r="AH867" t="str">
        <f t="shared" si="575"/>
        <v>PrecioFOB</v>
      </c>
      <c r="AI867" t="str">
        <f t="shared" si="576"/>
        <v>Monto II</v>
      </c>
      <c r="AJ867" t="str">
        <f t="shared" si="577"/>
        <v>Porcentaje II</v>
      </c>
      <c r="AK867" t="str">
        <f t="shared" si="578"/>
        <v>Foto</v>
      </c>
      <c r="AL867" t="str">
        <f t="shared" si="589"/>
        <v xml:space="preserve"> </v>
      </c>
      <c r="AM867" t="str">
        <f t="shared" si="579"/>
        <v xml:space="preserve"> </v>
      </c>
    </row>
    <row r="868" spans="1:39" x14ac:dyDescent="0.25">
      <c r="A868" t="str">
        <f>"BA445332 30"</f>
        <v>BA445332 30</v>
      </c>
      <c r="B868" t="str">
        <f>"COJINETES BANCADA 0,75 TOYOTA COROLLA YARIS 1.8 16V MOTOR 2ZR-FE"</f>
        <v>COJINETES BANCADA 0,75 TOYOTA COROLLA YARIS 1.8 16V MOTOR 2ZR-FE</v>
      </c>
      <c r="C868" t="str">
        <f>"$ 18359,86"</f>
        <v>$ 18359,86</v>
      </c>
      <c r="D868" t="str">
        <f>"$ 18359,86"</f>
        <v>$ 18359,86</v>
      </c>
      <c r="E868" t="str">
        <f>"$ 18359,86"</f>
        <v>$ 18359,86</v>
      </c>
      <c r="F868" t="str">
        <f>"$ 18359,86"</f>
        <v>$ 18359,86</v>
      </c>
      <c r="G868" t="str">
        <f>"$ 18359,86"</f>
        <v>$ 18359,86</v>
      </c>
      <c r="H868" t="str">
        <f t="shared" si="561"/>
        <v>$ 0,00</v>
      </c>
      <c r="I868" t="str">
        <f t="shared" si="586"/>
        <v>JUEGO COJINETES BANCADA</v>
      </c>
      <c r="J868" t="str">
        <f t="shared" si="562"/>
        <v>1</v>
      </c>
      <c r="K868" t="str">
        <f t="shared" si="584"/>
        <v>0</v>
      </c>
      <c r="L868" t="str">
        <f>"0,000"</f>
        <v>0,000</v>
      </c>
      <c r="M868" t="str">
        <f t="shared" si="563"/>
        <v xml:space="preserve"> </v>
      </c>
      <c r="N868" t="str">
        <f t="shared" si="554"/>
        <v>MPSI</v>
      </c>
      <c r="O868" t="str">
        <f t="shared" si="555"/>
        <v>COJINETES</v>
      </c>
      <c r="P868" t="str">
        <f t="shared" si="587"/>
        <v>0</v>
      </c>
      <c r="Q868" t="str">
        <f t="shared" si="587"/>
        <v>0</v>
      </c>
      <c r="R868" t="str">
        <f t="shared" si="588"/>
        <v>0,00</v>
      </c>
      <c r="S868" t="str">
        <f t="shared" si="588"/>
        <v>0,00</v>
      </c>
      <c r="T868" t="str">
        <f t="shared" si="583"/>
        <v xml:space="preserve"> </v>
      </c>
      <c r="U868" t="str">
        <f t="shared" si="585"/>
        <v>-</v>
      </c>
      <c r="V868" t="str">
        <f>"0,000"</f>
        <v>0,000</v>
      </c>
      <c r="W868" t="str">
        <f t="shared" si="564"/>
        <v>Lista 4</v>
      </c>
      <c r="X868" t="str">
        <f t="shared" si="565"/>
        <v>Lista 5</v>
      </c>
      <c r="Y868" t="str">
        <f t="shared" si="566"/>
        <v>Oferta Gral.</v>
      </c>
      <c r="Z868" t="str">
        <f t="shared" si="567"/>
        <v>Rubro</v>
      </c>
      <c r="AA868" t="str">
        <f t="shared" si="568"/>
        <v>Cantidad por Bulto</v>
      </c>
      <c r="AB868" t="str">
        <f t="shared" si="569"/>
        <v>INNER</v>
      </c>
      <c r="AC868" t="str">
        <f t="shared" si="570"/>
        <v>Stock en Bultos</v>
      </c>
      <c r="AD868" t="str">
        <f t="shared" si="571"/>
        <v>SubDepósito</v>
      </c>
      <c r="AE868" t="str">
        <f t="shared" si="572"/>
        <v>Marca</v>
      </c>
      <c r="AF868" t="str">
        <f t="shared" si="573"/>
        <v>Super Rubro</v>
      </c>
      <c r="AG868" t="str">
        <f t="shared" si="574"/>
        <v>ComercioExterior</v>
      </c>
      <c r="AH868" t="str">
        <f t="shared" si="575"/>
        <v>PrecioFOB</v>
      </c>
      <c r="AI868" t="str">
        <f t="shared" si="576"/>
        <v>Monto II</v>
      </c>
      <c r="AJ868" t="str">
        <f t="shared" si="577"/>
        <v>Porcentaje II</v>
      </c>
      <c r="AK868" t="str">
        <f t="shared" si="578"/>
        <v>Foto</v>
      </c>
      <c r="AL868" t="str">
        <f t="shared" si="589"/>
        <v xml:space="preserve"> </v>
      </c>
      <c r="AM868" t="str">
        <f t="shared" si="579"/>
        <v xml:space="preserve"> </v>
      </c>
    </row>
    <row r="869" spans="1:39" x14ac:dyDescent="0.25">
      <c r="A869" t="str">
        <f>"BA445107 30"</f>
        <v>BA445107 30</v>
      </c>
      <c r="B869" t="str">
        <f>"COJINETES BANCADA 0,75 TOYOTA ETIOS 1.5"</f>
        <v>COJINETES BANCADA 0,75 TOYOTA ETIOS 1.5</v>
      </c>
      <c r="C869" t="str">
        <f>"$ 17168,15"</f>
        <v>$ 17168,15</v>
      </c>
      <c r="D869" t="str">
        <f>"$ 17168,15"</f>
        <v>$ 17168,15</v>
      </c>
      <c r="E869" t="str">
        <f>"$ 17168,15"</f>
        <v>$ 17168,15</v>
      </c>
      <c r="F869" t="str">
        <f>"$ 17168,15"</f>
        <v>$ 17168,15</v>
      </c>
      <c r="G869" t="str">
        <f>"$ 17168,15"</f>
        <v>$ 17168,15</v>
      </c>
      <c r="H869" t="str">
        <f t="shared" si="561"/>
        <v>$ 0,00</v>
      </c>
      <c r="I869" t="str">
        <f t="shared" si="586"/>
        <v>JUEGO COJINETES BANCADA</v>
      </c>
      <c r="J869" t="str">
        <f t="shared" si="562"/>
        <v>1</v>
      </c>
      <c r="K869" t="str">
        <f t="shared" si="584"/>
        <v>0</v>
      </c>
      <c r="L869" t="str">
        <f>"0,000"</f>
        <v>0,000</v>
      </c>
      <c r="M869" t="str">
        <f t="shared" si="563"/>
        <v xml:space="preserve"> </v>
      </c>
      <c r="N869" t="str">
        <f t="shared" ref="N869:N932" si="590">"MPSI"</f>
        <v>MPSI</v>
      </c>
      <c r="O869" t="str">
        <f t="shared" ref="O869:O932" si="591">"COJINETES"</f>
        <v>COJINETES</v>
      </c>
      <c r="P869" t="str">
        <f t="shared" si="587"/>
        <v>0</v>
      </c>
      <c r="Q869" t="str">
        <f t="shared" si="587"/>
        <v>0</v>
      </c>
      <c r="R869" t="str">
        <f t="shared" si="588"/>
        <v>0,00</v>
      </c>
      <c r="S869" t="str">
        <f t="shared" si="588"/>
        <v>0,00</v>
      </c>
      <c r="T869" t="str">
        <f t="shared" si="583"/>
        <v xml:space="preserve"> </v>
      </c>
      <c r="U869" t="str">
        <f t="shared" si="585"/>
        <v>-</v>
      </c>
      <c r="V869" t="str">
        <f>"0,000"</f>
        <v>0,000</v>
      </c>
      <c r="W869" t="str">
        <f t="shared" si="564"/>
        <v>Lista 4</v>
      </c>
      <c r="X869" t="str">
        <f t="shared" si="565"/>
        <v>Lista 5</v>
      </c>
      <c r="Y869" t="str">
        <f t="shared" si="566"/>
        <v>Oferta Gral.</v>
      </c>
      <c r="Z869" t="str">
        <f t="shared" si="567"/>
        <v>Rubro</v>
      </c>
      <c r="AA869" t="str">
        <f t="shared" si="568"/>
        <v>Cantidad por Bulto</v>
      </c>
      <c r="AB869" t="str">
        <f t="shared" si="569"/>
        <v>INNER</v>
      </c>
      <c r="AC869" t="str">
        <f t="shared" si="570"/>
        <v>Stock en Bultos</v>
      </c>
      <c r="AD869" t="str">
        <f t="shared" si="571"/>
        <v>SubDepósito</v>
      </c>
      <c r="AE869" t="str">
        <f t="shared" si="572"/>
        <v>Marca</v>
      </c>
      <c r="AF869" t="str">
        <f t="shared" si="573"/>
        <v>Super Rubro</v>
      </c>
      <c r="AG869" t="str">
        <f t="shared" si="574"/>
        <v>ComercioExterior</v>
      </c>
      <c r="AH869" t="str">
        <f t="shared" si="575"/>
        <v>PrecioFOB</v>
      </c>
      <c r="AI869" t="str">
        <f t="shared" si="576"/>
        <v>Monto II</v>
      </c>
      <c r="AJ869" t="str">
        <f t="shared" si="577"/>
        <v>Porcentaje II</v>
      </c>
      <c r="AK869" t="str">
        <f t="shared" si="578"/>
        <v>Foto</v>
      </c>
      <c r="AL869" t="str">
        <f t="shared" si="589"/>
        <v xml:space="preserve"> </v>
      </c>
      <c r="AM869" t="str">
        <f t="shared" ref="AM869:AM879" si="592">" "</f>
        <v xml:space="preserve"> </v>
      </c>
    </row>
    <row r="870" spans="1:39" x14ac:dyDescent="0.25">
      <c r="A870" t="str">
        <f>"BA749 30"</f>
        <v>BA749 30</v>
      </c>
      <c r="B870" t="str">
        <f>"COJINETES BANCADA 0,75 TOYOTA HILUX 2.8 L DIESEL MOTOR 3L"</f>
        <v>COJINETES BANCADA 0,75 TOYOTA HILUX 2.8 L DIESEL MOTOR 3L</v>
      </c>
      <c r="C870" t="str">
        <f>"$ 28452,20"</f>
        <v>$ 28452,20</v>
      </c>
      <c r="D870" t="str">
        <f>"$ 28452,20"</f>
        <v>$ 28452,20</v>
      </c>
      <c r="E870" t="str">
        <f>"$ 28452,20"</f>
        <v>$ 28452,20</v>
      </c>
      <c r="F870" t="str">
        <f>"$ 28452,20"</f>
        <v>$ 28452,20</v>
      </c>
      <c r="G870" t="str">
        <f>"$ 28452,20"</f>
        <v>$ 28452,20</v>
      </c>
      <c r="H870" t="str">
        <f t="shared" si="561"/>
        <v>$ 0,00</v>
      </c>
      <c r="I870" t="str">
        <f t="shared" si="586"/>
        <v>JUEGO COJINETES BANCADA</v>
      </c>
      <c r="J870" t="str">
        <f t="shared" si="562"/>
        <v>1</v>
      </c>
      <c r="K870" t="str">
        <f t="shared" si="584"/>
        <v>0</v>
      </c>
      <c r="L870" t="str">
        <f>"4,000"</f>
        <v>4,000</v>
      </c>
      <c r="M870" t="str">
        <f t="shared" si="563"/>
        <v xml:space="preserve"> </v>
      </c>
      <c r="N870" t="str">
        <f t="shared" si="590"/>
        <v>MPSI</v>
      </c>
      <c r="O870" t="str">
        <f t="shared" si="591"/>
        <v>COJINETES</v>
      </c>
      <c r="P870" t="str">
        <f t="shared" si="587"/>
        <v>0</v>
      </c>
      <c r="Q870" t="str">
        <f t="shared" si="587"/>
        <v>0</v>
      </c>
      <c r="R870" t="str">
        <f t="shared" si="588"/>
        <v>0,00</v>
      </c>
      <c r="S870" t="str">
        <f t="shared" si="588"/>
        <v>0,00</v>
      </c>
      <c r="T870" t="str">
        <f t="shared" si="583"/>
        <v xml:space="preserve"> </v>
      </c>
      <c r="U870" t="str">
        <f t="shared" si="585"/>
        <v>-</v>
      </c>
      <c r="V870" t="str">
        <f>"4,000"</f>
        <v>4,000</v>
      </c>
      <c r="W870" t="str">
        <f t="shared" si="564"/>
        <v>Lista 4</v>
      </c>
      <c r="X870" t="str">
        <f t="shared" si="565"/>
        <v>Lista 5</v>
      </c>
      <c r="Y870" t="str">
        <f t="shared" si="566"/>
        <v>Oferta Gral.</v>
      </c>
      <c r="Z870" t="str">
        <f t="shared" si="567"/>
        <v>Rubro</v>
      </c>
      <c r="AA870" t="str">
        <f t="shared" si="568"/>
        <v>Cantidad por Bulto</v>
      </c>
      <c r="AB870" t="str">
        <f t="shared" si="569"/>
        <v>INNER</v>
      </c>
      <c r="AC870" t="str">
        <f t="shared" si="570"/>
        <v>Stock en Bultos</v>
      </c>
      <c r="AD870" t="str">
        <f t="shared" si="571"/>
        <v>SubDepósito</v>
      </c>
      <c r="AE870" t="str">
        <f t="shared" si="572"/>
        <v>Marca</v>
      </c>
      <c r="AF870" t="str">
        <f t="shared" si="573"/>
        <v>Super Rubro</v>
      </c>
      <c r="AG870" t="str">
        <f t="shared" si="574"/>
        <v>ComercioExterior</v>
      </c>
      <c r="AH870" t="str">
        <f t="shared" si="575"/>
        <v>PrecioFOB</v>
      </c>
      <c r="AI870" t="str">
        <f t="shared" si="576"/>
        <v>Monto II</v>
      </c>
      <c r="AJ870" t="str">
        <f t="shared" si="577"/>
        <v>Porcentaje II</v>
      </c>
      <c r="AK870" t="str">
        <f t="shared" si="578"/>
        <v>Foto</v>
      </c>
      <c r="AL870" t="str">
        <f t="shared" si="589"/>
        <v xml:space="preserve"> </v>
      </c>
      <c r="AM870" t="str">
        <f t="shared" si="592"/>
        <v xml:space="preserve"> </v>
      </c>
    </row>
    <row r="871" spans="1:39" x14ac:dyDescent="0.25">
      <c r="A871" t="str">
        <f>"BA837 30"</f>
        <v>BA837 30</v>
      </c>
      <c r="B871" t="str">
        <f>"COJINETES BANCADA 0,75 TOYOTA HILUX 3.0 MOTOR D4D 1KD"</f>
        <v>COJINETES BANCADA 0,75 TOYOTA HILUX 3.0 MOTOR D4D 1KD</v>
      </c>
      <c r="C871" t="str">
        <f>"$ 33070,10"</f>
        <v>$ 33070,10</v>
      </c>
      <c r="D871" t="str">
        <f>"$ 33070,10"</f>
        <v>$ 33070,10</v>
      </c>
      <c r="E871" t="str">
        <f>"$ 33070,10"</f>
        <v>$ 33070,10</v>
      </c>
      <c r="F871" t="str">
        <f>"$ 33070,10"</f>
        <v>$ 33070,10</v>
      </c>
      <c r="G871" t="str">
        <f>"$ 33070,10"</f>
        <v>$ 33070,10</v>
      </c>
      <c r="H871" t="str">
        <f t="shared" si="561"/>
        <v>$ 0,00</v>
      </c>
      <c r="I871" t="str">
        <f t="shared" si="586"/>
        <v>JUEGO COJINETES BANCADA</v>
      </c>
      <c r="J871" t="str">
        <f t="shared" si="562"/>
        <v>1</v>
      </c>
      <c r="K871" t="str">
        <f t="shared" si="584"/>
        <v>0</v>
      </c>
      <c r="L871" t="str">
        <f>"0,000"</f>
        <v>0,000</v>
      </c>
      <c r="M871" t="str">
        <f t="shared" si="563"/>
        <v xml:space="preserve"> </v>
      </c>
      <c r="N871" t="str">
        <f t="shared" si="590"/>
        <v>MPSI</v>
      </c>
      <c r="O871" t="str">
        <f t="shared" si="591"/>
        <v>COJINETES</v>
      </c>
      <c r="P871" t="str">
        <f t="shared" si="587"/>
        <v>0</v>
      </c>
      <c r="Q871" t="str">
        <f t="shared" si="587"/>
        <v>0</v>
      </c>
      <c r="R871" t="str">
        <f t="shared" si="588"/>
        <v>0,00</v>
      </c>
      <c r="S871" t="str">
        <f t="shared" si="588"/>
        <v>0,00</v>
      </c>
      <c r="T871" t="str">
        <f t="shared" si="583"/>
        <v xml:space="preserve"> </v>
      </c>
      <c r="U871" t="str">
        <f t="shared" si="585"/>
        <v>-</v>
      </c>
      <c r="V871" t="str">
        <f>"0,000"</f>
        <v>0,000</v>
      </c>
      <c r="W871" t="str">
        <f t="shared" si="564"/>
        <v>Lista 4</v>
      </c>
      <c r="X871" t="str">
        <f t="shared" si="565"/>
        <v>Lista 5</v>
      </c>
      <c r="Y871" t="str">
        <f t="shared" si="566"/>
        <v>Oferta Gral.</v>
      </c>
      <c r="Z871" t="str">
        <f t="shared" si="567"/>
        <v>Rubro</v>
      </c>
      <c r="AA871" t="str">
        <f t="shared" si="568"/>
        <v>Cantidad por Bulto</v>
      </c>
      <c r="AB871" t="str">
        <f t="shared" si="569"/>
        <v>INNER</v>
      </c>
      <c r="AC871" t="str">
        <f t="shared" si="570"/>
        <v>Stock en Bultos</v>
      </c>
      <c r="AD871" t="str">
        <f t="shared" si="571"/>
        <v>SubDepósito</v>
      </c>
      <c r="AE871" t="str">
        <f t="shared" si="572"/>
        <v>Marca</v>
      </c>
      <c r="AF871" t="str">
        <f t="shared" si="573"/>
        <v>Super Rubro</v>
      </c>
      <c r="AG871" t="str">
        <f t="shared" si="574"/>
        <v>ComercioExterior</v>
      </c>
      <c r="AH871" t="str">
        <f t="shared" si="575"/>
        <v>PrecioFOB</v>
      </c>
      <c r="AI871" t="str">
        <f t="shared" si="576"/>
        <v>Monto II</v>
      </c>
      <c r="AJ871" t="str">
        <f t="shared" si="577"/>
        <v>Porcentaje II</v>
      </c>
      <c r="AK871" t="str">
        <f t="shared" si="578"/>
        <v>Foto</v>
      </c>
      <c r="AL871" t="str">
        <f t="shared" si="589"/>
        <v xml:space="preserve"> </v>
      </c>
      <c r="AM871" t="str">
        <f t="shared" si="592"/>
        <v xml:space="preserve"> </v>
      </c>
    </row>
    <row r="872" spans="1:39" x14ac:dyDescent="0.25">
      <c r="A872" t="str">
        <f>"BA628 30"</f>
        <v>BA628 30</v>
      </c>
      <c r="B872" t="str">
        <f>"COJINETES BANCADA 0,75 VW FOX SURAN GOL TREND GOLF IVI 1.6 8V"</f>
        <v>COJINETES BANCADA 0,75 VW FOX SURAN GOL TREND GOLF IVI 1.6 8V</v>
      </c>
      <c r="C872" t="str">
        <f>"$ 23052,24"</f>
        <v>$ 23052,24</v>
      </c>
      <c r="D872" t="str">
        <f>"$ 23052,24"</f>
        <v>$ 23052,24</v>
      </c>
      <c r="E872" t="str">
        <f>"$ 23052,24"</f>
        <v>$ 23052,24</v>
      </c>
      <c r="F872" t="str">
        <f>"$ 23052,24"</f>
        <v>$ 23052,24</v>
      </c>
      <c r="G872" t="str">
        <f>"$ 23052,24"</f>
        <v>$ 23052,24</v>
      </c>
      <c r="H872" t="str">
        <f t="shared" si="561"/>
        <v>$ 0,00</v>
      </c>
      <c r="I872" t="str">
        <f t="shared" si="586"/>
        <v>JUEGO COJINETES BANCADA</v>
      </c>
      <c r="J872" t="str">
        <f t="shared" si="562"/>
        <v>1</v>
      </c>
      <c r="K872" t="str">
        <f t="shared" si="584"/>
        <v>0</v>
      </c>
      <c r="L872" t="str">
        <f>"11,000"</f>
        <v>11,000</v>
      </c>
      <c r="M872" t="str">
        <f t="shared" si="563"/>
        <v xml:space="preserve"> </v>
      </c>
      <c r="N872" t="str">
        <f t="shared" si="590"/>
        <v>MPSI</v>
      </c>
      <c r="O872" t="str">
        <f t="shared" si="591"/>
        <v>COJINETES</v>
      </c>
      <c r="P872" t="str">
        <f t="shared" si="587"/>
        <v>0</v>
      </c>
      <c r="Q872" t="str">
        <f t="shared" si="587"/>
        <v>0</v>
      </c>
      <c r="R872" t="str">
        <f t="shared" si="588"/>
        <v>0,00</v>
      </c>
      <c r="S872" t="str">
        <f t="shared" si="588"/>
        <v>0,00</v>
      </c>
      <c r="T872" t="str">
        <f t="shared" si="583"/>
        <v xml:space="preserve"> </v>
      </c>
      <c r="U872" t="str">
        <f t="shared" si="585"/>
        <v>-</v>
      </c>
      <c r="V872" t="str">
        <f>"11,000"</f>
        <v>11,000</v>
      </c>
      <c r="W872" t="str">
        <f t="shared" si="564"/>
        <v>Lista 4</v>
      </c>
      <c r="X872" t="str">
        <f t="shared" si="565"/>
        <v>Lista 5</v>
      </c>
      <c r="Y872" t="str">
        <f t="shared" si="566"/>
        <v>Oferta Gral.</v>
      </c>
      <c r="Z872" t="str">
        <f t="shared" si="567"/>
        <v>Rubro</v>
      </c>
      <c r="AA872" t="str">
        <f t="shared" si="568"/>
        <v>Cantidad por Bulto</v>
      </c>
      <c r="AB872" t="str">
        <f t="shared" si="569"/>
        <v>INNER</v>
      </c>
      <c r="AC872" t="str">
        <f t="shared" si="570"/>
        <v>Stock en Bultos</v>
      </c>
      <c r="AD872" t="str">
        <f t="shared" si="571"/>
        <v>SubDepósito</v>
      </c>
      <c r="AE872" t="str">
        <f t="shared" si="572"/>
        <v>Marca</v>
      </c>
      <c r="AF872" t="str">
        <f t="shared" si="573"/>
        <v>Super Rubro</v>
      </c>
      <c r="AG872" t="str">
        <f t="shared" si="574"/>
        <v>ComercioExterior</v>
      </c>
      <c r="AH872" t="str">
        <f t="shared" si="575"/>
        <v>PrecioFOB</v>
      </c>
      <c r="AI872" t="str">
        <f t="shared" si="576"/>
        <v>Monto II</v>
      </c>
      <c r="AJ872" t="str">
        <f t="shared" si="577"/>
        <v>Porcentaje II</v>
      </c>
      <c r="AK872" t="str">
        <f t="shared" si="578"/>
        <v>Foto</v>
      </c>
      <c r="AL872" t="str">
        <f t="shared" si="589"/>
        <v xml:space="preserve"> </v>
      </c>
      <c r="AM872" t="str">
        <f t="shared" si="592"/>
        <v xml:space="preserve"> </v>
      </c>
    </row>
    <row r="873" spans="1:39" x14ac:dyDescent="0.25">
      <c r="A873" t="str">
        <f>"BA479 30"</f>
        <v>BA479 30</v>
      </c>
      <c r="B873" t="str">
        <f>"COJINETES BANCADA 0,75 VW GOL POLO SAVEIRO MOTOR AUDI 1.6 8V"</f>
        <v>COJINETES BANCADA 0,75 VW GOL POLO SAVEIRO MOTOR AUDI 1.6 8V</v>
      </c>
      <c r="C873" t="str">
        <f>"$ 20459,22"</f>
        <v>$ 20459,22</v>
      </c>
      <c r="D873" t="str">
        <f>"$ 20459,22"</f>
        <v>$ 20459,22</v>
      </c>
      <c r="E873" t="str">
        <f>"$ 20459,22"</f>
        <v>$ 20459,22</v>
      </c>
      <c r="F873" t="str">
        <f>"$ 20459,22"</f>
        <v>$ 20459,22</v>
      </c>
      <c r="G873" t="str">
        <f>"$ 20459,22"</f>
        <v>$ 20459,22</v>
      </c>
      <c r="H873" t="str">
        <f t="shared" si="561"/>
        <v>$ 0,00</v>
      </c>
      <c r="I873" t="str">
        <f t="shared" si="586"/>
        <v>JUEGO COJINETES BANCADA</v>
      </c>
      <c r="J873" t="str">
        <f t="shared" si="562"/>
        <v>1</v>
      </c>
      <c r="K873" t="str">
        <f t="shared" si="584"/>
        <v>0</v>
      </c>
      <c r="L873" t="str">
        <f>"17,000"</f>
        <v>17,000</v>
      </c>
      <c r="M873" t="str">
        <f t="shared" si="563"/>
        <v xml:space="preserve"> </v>
      </c>
      <c r="N873" t="str">
        <f t="shared" si="590"/>
        <v>MPSI</v>
      </c>
      <c r="O873" t="str">
        <f t="shared" si="591"/>
        <v>COJINETES</v>
      </c>
      <c r="P873" t="str">
        <f t="shared" si="587"/>
        <v>0</v>
      </c>
      <c r="Q873" t="str">
        <f t="shared" si="587"/>
        <v>0</v>
      </c>
      <c r="R873" t="str">
        <f t="shared" si="588"/>
        <v>0,00</v>
      </c>
      <c r="S873" t="str">
        <f t="shared" si="588"/>
        <v>0,00</v>
      </c>
      <c r="T873" t="str">
        <f t="shared" si="583"/>
        <v xml:space="preserve"> </v>
      </c>
      <c r="U873" t="str">
        <f t="shared" si="585"/>
        <v>-</v>
      </c>
      <c r="V873" t="str">
        <f>"17,000"</f>
        <v>17,000</v>
      </c>
      <c r="W873" t="str">
        <f t="shared" si="564"/>
        <v>Lista 4</v>
      </c>
      <c r="X873" t="str">
        <f t="shared" si="565"/>
        <v>Lista 5</v>
      </c>
      <c r="Y873" t="str">
        <f t="shared" si="566"/>
        <v>Oferta Gral.</v>
      </c>
      <c r="Z873" t="str">
        <f t="shared" si="567"/>
        <v>Rubro</v>
      </c>
      <c r="AA873" t="str">
        <f t="shared" si="568"/>
        <v>Cantidad por Bulto</v>
      </c>
      <c r="AB873" t="str">
        <f t="shared" si="569"/>
        <v>INNER</v>
      </c>
      <c r="AC873" t="str">
        <f t="shared" si="570"/>
        <v>Stock en Bultos</v>
      </c>
      <c r="AD873" t="str">
        <f t="shared" si="571"/>
        <v>SubDepósito</v>
      </c>
      <c r="AE873" t="str">
        <f t="shared" si="572"/>
        <v>Marca</v>
      </c>
      <c r="AF873" t="str">
        <f t="shared" si="573"/>
        <v>Super Rubro</v>
      </c>
      <c r="AG873" t="str">
        <f t="shared" si="574"/>
        <v>ComercioExterior</v>
      </c>
      <c r="AH873" t="str">
        <f t="shared" si="575"/>
        <v>PrecioFOB</v>
      </c>
      <c r="AI873" t="str">
        <f t="shared" si="576"/>
        <v>Monto II</v>
      </c>
      <c r="AJ873" t="str">
        <f t="shared" si="577"/>
        <v>Porcentaje II</v>
      </c>
      <c r="AK873" t="str">
        <f t="shared" si="578"/>
        <v>Foto</v>
      </c>
      <c r="AL873" t="str">
        <f>"{\rtf1\ansi\ansicpg1252\deff0\deflang2058{\fonttbl{\f0\fnil\fcharset0 MS Sans Serif}} \viewkind4\uc1\pard\f0\fs16 COJINETES BANCADA 0,75 VW GOL POLO SAVEIRO MOTOR AUDI 1.6 8V\par } "</f>
        <v xml:space="preserve">{\rtf1\ansi\ansicpg1252\deff0\deflang2058{\fonttbl{\f0\fnil\fcharset0 MS Sans Serif}} \viewkind4\uc1\pard\f0\fs16 COJINETES BANCADA 0,75 VW GOL POLO SAVEIRO MOTOR AUDI 1.6 8V\par } </v>
      </c>
      <c r="AM873" t="str">
        <f t="shared" si="592"/>
        <v xml:space="preserve"> </v>
      </c>
    </row>
    <row r="874" spans="1:39" x14ac:dyDescent="0.25">
      <c r="A874" t="str">
        <f>"BA480 30"</f>
        <v>BA480 30</v>
      </c>
      <c r="B874" t="str">
        <f>"COJINETES BANCADA 0,75 VW GOL POLO SAVEIRO MOTOR AUDI 1.6 8V CON AXIAL"</f>
        <v>COJINETES BANCADA 0,75 VW GOL POLO SAVEIRO MOTOR AUDI 1.6 8V CON AXIAL</v>
      </c>
      <c r="C874" t="str">
        <f>"$ 31803,90"</f>
        <v>$ 31803,90</v>
      </c>
      <c r="D874" t="str">
        <f>"$ 31803,90"</f>
        <v>$ 31803,90</v>
      </c>
      <c r="E874" t="str">
        <f>"$ 31803,90"</f>
        <v>$ 31803,90</v>
      </c>
      <c r="F874" t="str">
        <f>"$ 31803,90"</f>
        <v>$ 31803,90</v>
      </c>
      <c r="G874" t="str">
        <f>"$ 31803,90"</f>
        <v>$ 31803,90</v>
      </c>
      <c r="H874" t="str">
        <f t="shared" si="561"/>
        <v>$ 0,00</v>
      </c>
      <c r="I874" t="str">
        <f t="shared" si="586"/>
        <v>JUEGO COJINETES BANCADA</v>
      </c>
      <c r="J874" t="str">
        <f t="shared" si="562"/>
        <v>1</v>
      </c>
      <c r="K874" t="str">
        <f t="shared" si="584"/>
        <v>0</v>
      </c>
      <c r="L874" t="str">
        <f>"6,000"</f>
        <v>6,000</v>
      </c>
      <c r="M874" t="str">
        <f t="shared" si="563"/>
        <v xml:space="preserve"> </v>
      </c>
      <c r="N874" t="str">
        <f t="shared" si="590"/>
        <v>MPSI</v>
      </c>
      <c r="O874" t="str">
        <f t="shared" si="591"/>
        <v>COJINETES</v>
      </c>
      <c r="P874" t="str">
        <f t="shared" si="587"/>
        <v>0</v>
      </c>
      <c r="Q874" t="str">
        <f t="shared" si="587"/>
        <v>0</v>
      </c>
      <c r="R874" t="str">
        <f t="shared" si="588"/>
        <v>0,00</v>
      </c>
      <c r="S874" t="str">
        <f t="shared" si="588"/>
        <v>0,00</v>
      </c>
      <c r="T874" t="str">
        <f t="shared" si="583"/>
        <v xml:space="preserve"> </v>
      </c>
      <c r="U874" t="str">
        <f t="shared" si="585"/>
        <v>-</v>
      </c>
      <c r="V874" t="str">
        <f>"6,000"</f>
        <v>6,000</v>
      </c>
      <c r="W874" t="str">
        <f t="shared" si="564"/>
        <v>Lista 4</v>
      </c>
      <c r="X874" t="str">
        <f t="shared" si="565"/>
        <v>Lista 5</v>
      </c>
      <c r="Y874" t="str">
        <f t="shared" si="566"/>
        <v>Oferta Gral.</v>
      </c>
      <c r="Z874" t="str">
        <f t="shared" si="567"/>
        <v>Rubro</v>
      </c>
      <c r="AA874" t="str">
        <f t="shared" si="568"/>
        <v>Cantidad por Bulto</v>
      </c>
      <c r="AB874" t="str">
        <f t="shared" si="569"/>
        <v>INNER</v>
      </c>
      <c r="AC874" t="str">
        <f t="shared" si="570"/>
        <v>Stock en Bultos</v>
      </c>
      <c r="AD874" t="str">
        <f t="shared" si="571"/>
        <v>SubDepósito</v>
      </c>
      <c r="AE874" t="str">
        <f t="shared" si="572"/>
        <v>Marca</v>
      </c>
      <c r="AF874" t="str">
        <f t="shared" si="573"/>
        <v>Super Rubro</v>
      </c>
      <c r="AG874" t="str">
        <f t="shared" si="574"/>
        <v>ComercioExterior</v>
      </c>
      <c r="AH874" t="str">
        <f t="shared" si="575"/>
        <v>PrecioFOB</v>
      </c>
      <c r="AI874" t="str">
        <f t="shared" si="576"/>
        <v>Monto II</v>
      </c>
      <c r="AJ874" t="str">
        <f t="shared" si="577"/>
        <v>Porcentaje II</v>
      </c>
      <c r="AK874" t="str">
        <f t="shared" si="578"/>
        <v>Foto</v>
      </c>
      <c r="AL874" t="str">
        <f t="shared" ref="AL874:AL879" si="593">" "</f>
        <v xml:space="preserve"> </v>
      </c>
      <c r="AM874" t="str">
        <f t="shared" si="592"/>
        <v xml:space="preserve"> </v>
      </c>
    </row>
    <row r="875" spans="1:39" x14ac:dyDescent="0.25">
      <c r="A875" t="str">
        <f>"BA735 30"</f>
        <v>BA735 30</v>
      </c>
      <c r="B875" t="str">
        <f>"COJINETES BANCADA 0,80 PEUGEOT 205 206 1.4 TU3"</f>
        <v>COJINETES BANCADA 0,80 PEUGEOT 205 206 1.4 TU3</v>
      </c>
      <c r="C875" t="str">
        <f>"$ 16294,66"</f>
        <v>$ 16294,66</v>
      </c>
      <c r="D875" t="str">
        <f>"$ 16294,66"</f>
        <v>$ 16294,66</v>
      </c>
      <c r="E875" t="str">
        <f>"$ 16294,66"</f>
        <v>$ 16294,66</v>
      </c>
      <c r="F875" t="str">
        <f>"$ 16294,66"</f>
        <v>$ 16294,66</v>
      </c>
      <c r="G875" t="str">
        <f>"$ 16294,66"</f>
        <v>$ 16294,66</v>
      </c>
      <c r="H875" t="str">
        <f t="shared" si="561"/>
        <v>$ 0,00</v>
      </c>
      <c r="I875" t="str">
        <f t="shared" si="586"/>
        <v>JUEGO COJINETES BANCADA</v>
      </c>
      <c r="J875" t="str">
        <f t="shared" si="562"/>
        <v>1</v>
      </c>
      <c r="K875" t="str">
        <f t="shared" si="584"/>
        <v>0</v>
      </c>
      <c r="L875" t="str">
        <f>"0,000"</f>
        <v>0,000</v>
      </c>
      <c r="M875" t="str">
        <f t="shared" si="563"/>
        <v xml:space="preserve"> </v>
      </c>
      <c r="N875" t="str">
        <f t="shared" si="590"/>
        <v>MPSI</v>
      </c>
      <c r="O875" t="str">
        <f t="shared" si="591"/>
        <v>COJINETES</v>
      </c>
      <c r="P875" t="str">
        <f t="shared" si="587"/>
        <v>0</v>
      </c>
      <c r="Q875" t="str">
        <f t="shared" si="587"/>
        <v>0</v>
      </c>
      <c r="R875" t="str">
        <f t="shared" si="588"/>
        <v>0,00</v>
      </c>
      <c r="S875" t="str">
        <f t="shared" si="588"/>
        <v>0,00</v>
      </c>
      <c r="T875" t="str">
        <f t="shared" si="583"/>
        <v xml:space="preserve"> </v>
      </c>
      <c r="U875" t="str">
        <f t="shared" si="585"/>
        <v>-</v>
      </c>
      <c r="V875" t="str">
        <f>"0,000"</f>
        <v>0,000</v>
      </c>
      <c r="W875" t="str">
        <f t="shared" si="564"/>
        <v>Lista 4</v>
      </c>
      <c r="X875" t="str">
        <f t="shared" si="565"/>
        <v>Lista 5</v>
      </c>
      <c r="Y875" t="str">
        <f t="shared" si="566"/>
        <v>Oferta Gral.</v>
      </c>
      <c r="Z875" t="str">
        <f t="shared" si="567"/>
        <v>Rubro</v>
      </c>
      <c r="AA875" t="str">
        <f t="shared" si="568"/>
        <v>Cantidad por Bulto</v>
      </c>
      <c r="AB875" t="str">
        <f t="shared" si="569"/>
        <v>INNER</v>
      </c>
      <c r="AC875" t="str">
        <f t="shared" si="570"/>
        <v>Stock en Bultos</v>
      </c>
      <c r="AD875" t="str">
        <f t="shared" si="571"/>
        <v>SubDepósito</v>
      </c>
      <c r="AE875" t="str">
        <f t="shared" si="572"/>
        <v>Marca</v>
      </c>
      <c r="AF875" t="str">
        <f t="shared" si="573"/>
        <v>Super Rubro</v>
      </c>
      <c r="AG875" t="str">
        <f t="shared" si="574"/>
        <v>ComercioExterior</v>
      </c>
      <c r="AH875" t="str">
        <f t="shared" si="575"/>
        <v>PrecioFOB</v>
      </c>
      <c r="AI875" t="str">
        <f t="shared" si="576"/>
        <v>Monto II</v>
      </c>
      <c r="AJ875" t="str">
        <f t="shared" si="577"/>
        <v>Porcentaje II</v>
      </c>
      <c r="AK875" t="str">
        <f t="shared" si="578"/>
        <v>Foto</v>
      </c>
      <c r="AL875" t="str">
        <f t="shared" si="593"/>
        <v xml:space="preserve"> </v>
      </c>
      <c r="AM875" t="str">
        <f t="shared" si="592"/>
        <v xml:space="preserve"> </v>
      </c>
    </row>
    <row r="876" spans="1:39" x14ac:dyDescent="0.25">
      <c r="A876" t="str">
        <f>"BA734 30"</f>
        <v>BA734 30</v>
      </c>
      <c r="B876" t="str">
        <f>"COJINETES BANCADA 0,80 PEUGEOT 306 405 PARTNER 1.9 XUD9 XUDT9"</f>
        <v>COJINETES BANCADA 0,80 PEUGEOT 306 405 PARTNER 1.9 XUD9 XUDT9</v>
      </c>
      <c r="C876" t="str">
        <f>"$ 20029,54"</f>
        <v>$ 20029,54</v>
      </c>
      <c r="D876" t="str">
        <f>"$ 20029,54"</f>
        <v>$ 20029,54</v>
      </c>
      <c r="E876" t="str">
        <f>"$ 20029,54"</f>
        <v>$ 20029,54</v>
      </c>
      <c r="F876" t="str">
        <f>"$ 20029,54"</f>
        <v>$ 20029,54</v>
      </c>
      <c r="G876" t="str">
        <f>"$ 20029,54"</f>
        <v>$ 20029,54</v>
      </c>
      <c r="H876" t="str">
        <f t="shared" si="561"/>
        <v>$ 0,00</v>
      </c>
      <c r="I876" t="str">
        <f t="shared" si="586"/>
        <v>JUEGO COJINETES BANCADA</v>
      </c>
      <c r="J876" t="str">
        <f t="shared" si="562"/>
        <v>1</v>
      </c>
      <c r="K876" t="str">
        <f t="shared" si="584"/>
        <v>0</v>
      </c>
      <c r="L876" t="str">
        <f>"9,000"</f>
        <v>9,000</v>
      </c>
      <c r="M876" t="str">
        <f t="shared" si="563"/>
        <v xml:space="preserve"> </v>
      </c>
      <c r="N876" t="str">
        <f t="shared" si="590"/>
        <v>MPSI</v>
      </c>
      <c r="O876" t="str">
        <f t="shared" si="591"/>
        <v>COJINETES</v>
      </c>
      <c r="P876" t="str">
        <f t="shared" si="587"/>
        <v>0</v>
      </c>
      <c r="Q876" t="str">
        <f t="shared" si="587"/>
        <v>0</v>
      </c>
      <c r="R876" t="str">
        <f t="shared" si="588"/>
        <v>0,00</v>
      </c>
      <c r="S876" t="str">
        <f t="shared" si="588"/>
        <v>0,00</v>
      </c>
      <c r="T876" t="str">
        <f t="shared" si="583"/>
        <v xml:space="preserve"> </v>
      </c>
      <c r="U876" t="str">
        <f t="shared" si="585"/>
        <v>-</v>
      </c>
      <c r="V876" t="str">
        <f>"9,000"</f>
        <v>9,000</v>
      </c>
      <c r="W876" t="str">
        <f t="shared" si="564"/>
        <v>Lista 4</v>
      </c>
      <c r="X876" t="str">
        <f t="shared" si="565"/>
        <v>Lista 5</v>
      </c>
      <c r="Y876" t="str">
        <f t="shared" si="566"/>
        <v>Oferta Gral.</v>
      </c>
      <c r="Z876" t="str">
        <f t="shared" si="567"/>
        <v>Rubro</v>
      </c>
      <c r="AA876" t="str">
        <f t="shared" si="568"/>
        <v>Cantidad por Bulto</v>
      </c>
      <c r="AB876" t="str">
        <f t="shared" si="569"/>
        <v>INNER</v>
      </c>
      <c r="AC876" t="str">
        <f t="shared" si="570"/>
        <v>Stock en Bultos</v>
      </c>
      <c r="AD876" t="str">
        <f t="shared" si="571"/>
        <v>SubDepósito</v>
      </c>
      <c r="AE876" t="str">
        <f t="shared" si="572"/>
        <v>Marca</v>
      </c>
      <c r="AF876" t="str">
        <f t="shared" si="573"/>
        <v>Super Rubro</v>
      </c>
      <c r="AG876" t="str">
        <f t="shared" si="574"/>
        <v>ComercioExterior</v>
      </c>
      <c r="AH876" t="str">
        <f t="shared" si="575"/>
        <v>PrecioFOB</v>
      </c>
      <c r="AI876" t="str">
        <f t="shared" si="576"/>
        <v>Monto II</v>
      </c>
      <c r="AJ876" t="str">
        <f t="shared" si="577"/>
        <v>Porcentaje II</v>
      </c>
      <c r="AK876" t="str">
        <f t="shared" si="578"/>
        <v>Foto</v>
      </c>
      <c r="AL876" t="str">
        <f t="shared" si="593"/>
        <v xml:space="preserve"> </v>
      </c>
      <c r="AM876" t="str">
        <f t="shared" si="592"/>
        <v xml:space="preserve"> </v>
      </c>
    </row>
    <row r="877" spans="1:39" x14ac:dyDescent="0.25">
      <c r="A877" t="str">
        <f>"BA732 30"</f>
        <v>BA732 30</v>
      </c>
      <c r="B877" t="str">
        <f>"COJINETES BANCADA 0,80 PEUGEOT 307 406 2.0 EW10J4 XU7 2 AGUJ"</f>
        <v>COJINETES BANCADA 0,80 PEUGEOT 307 406 2.0 EW10J4 XU7 2 AGUJ</v>
      </c>
      <c r="C877" t="str">
        <f>"$ 22381,90"</f>
        <v>$ 22381,90</v>
      </c>
      <c r="D877" t="str">
        <f>"$ 22381,90"</f>
        <v>$ 22381,90</v>
      </c>
      <c r="E877" t="str">
        <f>"$ 22381,90"</f>
        <v>$ 22381,90</v>
      </c>
      <c r="F877" t="str">
        <f>"$ 22381,90"</f>
        <v>$ 22381,90</v>
      </c>
      <c r="G877" t="str">
        <f>"$ 22381,90"</f>
        <v>$ 22381,90</v>
      </c>
      <c r="H877" t="str">
        <f t="shared" si="561"/>
        <v>$ 0,00</v>
      </c>
      <c r="I877" t="str">
        <f t="shared" si="586"/>
        <v>JUEGO COJINETES BANCADA</v>
      </c>
      <c r="J877" t="str">
        <f t="shared" si="562"/>
        <v>1</v>
      </c>
      <c r="K877" t="str">
        <f t="shared" si="584"/>
        <v>0</v>
      </c>
      <c r="L877" t="str">
        <f>"0,000"</f>
        <v>0,000</v>
      </c>
      <c r="M877" t="str">
        <f t="shared" si="563"/>
        <v xml:space="preserve"> </v>
      </c>
      <c r="N877" t="str">
        <f t="shared" si="590"/>
        <v>MPSI</v>
      </c>
      <c r="O877" t="str">
        <f t="shared" si="591"/>
        <v>COJINETES</v>
      </c>
      <c r="P877" t="str">
        <f t="shared" si="587"/>
        <v>0</v>
      </c>
      <c r="Q877" t="str">
        <f t="shared" si="587"/>
        <v>0</v>
      </c>
      <c r="R877" t="str">
        <f t="shared" si="588"/>
        <v>0,00</v>
      </c>
      <c r="S877" t="str">
        <f t="shared" si="588"/>
        <v>0,00</v>
      </c>
      <c r="T877" t="str">
        <f t="shared" si="583"/>
        <v xml:space="preserve"> </v>
      </c>
      <c r="U877" t="str">
        <f t="shared" si="585"/>
        <v>-</v>
      </c>
      <c r="V877" t="str">
        <f>"0,000"</f>
        <v>0,000</v>
      </c>
      <c r="W877" t="str">
        <f t="shared" si="564"/>
        <v>Lista 4</v>
      </c>
      <c r="X877" t="str">
        <f t="shared" si="565"/>
        <v>Lista 5</v>
      </c>
      <c r="Y877" t="str">
        <f t="shared" si="566"/>
        <v>Oferta Gral.</v>
      </c>
      <c r="Z877" t="str">
        <f t="shared" si="567"/>
        <v>Rubro</v>
      </c>
      <c r="AA877" t="str">
        <f t="shared" si="568"/>
        <v>Cantidad por Bulto</v>
      </c>
      <c r="AB877" t="str">
        <f t="shared" si="569"/>
        <v>INNER</v>
      </c>
      <c r="AC877" t="str">
        <f t="shared" si="570"/>
        <v>Stock en Bultos</v>
      </c>
      <c r="AD877" t="str">
        <f t="shared" si="571"/>
        <v>SubDepósito</v>
      </c>
      <c r="AE877" t="str">
        <f t="shared" si="572"/>
        <v>Marca</v>
      </c>
      <c r="AF877" t="str">
        <f t="shared" si="573"/>
        <v>Super Rubro</v>
      </c>
      <c r="AG877" t="str">
        <f t="shared" si="574"/>
        <v>ComercioExterior</v>
      </c>
      <c r="AH877" t="str">
        <f t="shared" si="575"/>
        <v>PrecioFOB</v>
      </c>
      <c r="AI877" t="str">
        <f t="shared" si="576"/>
        <v>Monto II</v>
      </c>
      <c r="AJ877" t="str">
        <f t="shared" si="577"/>
        <v>Porcentaje II</v>
      </c>
      <c r="AK877" t="str">
        <f t="shared" si="578"/>
        <v>Foto</v>
      </c>
      <c r="AL877" t="str">
        <f t="shared" si="593"/>
        <v xml:space="preserve"> </v>
      </c>
      <c r="AM877" t="str">
        <f t="shared" si="592"/>
        <v xml:space="preserve"> </v>
      </c>
    </row>
    <row r="878" spans="1:39" x14ac:dyDescent="0.25">
      <c r="A878" t="str">
        <f>"BA417 30"</f>
        <v>BA417 30</v>
      </c>
      <c r="B878" t="str">
        <f>"COJINETES BANCADA 0,80 PEUGEOT 307 406 MOTOR 2.0 EW10J4 XU7"</f>
        <v>COJINETES BANCADA 0,80 PEUGEOT 307 406 MOTOR 2.0 EW10J4 XU7</v>
      </c>
      <c r="C878" t="str">
        <f>"$ 22754,31"</f>
        <v>$ 22754,31</v>
      </c>
      <c r="D878" t="str">
        <f>"$ 22754,31"</f>
        <v>$ 22754,31</v>
      </c>
      <c r="E878" t="str">
        <f>"$ 22754,31"</f>
        <v>$ 22754,31</v>
      </c>
      <c r="F878" t="str">
        <f>"$ 22754,31"</f>
        <v>$ 22754,31</v>
      </c>
      <c r="G878" t="str">
        <f>"$ 22754,31"</f>
        <v>$ 22754,31</v>
      </c>
      <c r="H878" t="str">
        <f t="shared" si="561"/>
        <v>$ 0,00</v>
      </c>
      <c r="I878" t="str">
        <f t="shared" si="586"/>
        <v>JUEGO COJINETES BANCADA</v>
      </c>
      <c r="J878" t="str">
        <f t="shared" si="562"/>
        <v>1</v>
      </c>
      <c r="K878" t="str">
        <f t="shared" si="584"/>
        <v>0</v>
      </c>
      <c r="L878" t="str">
        <f>"3,000"</f>
        <v>3,000</v>
      </c>
      <c r="M878" t="str">
        <f t="shared" si="563"/>
        <v xml:space="preserve"> </v>
      </c>
      <c r="N878" t="str">
        <f t="shared" si="590"/>
        <v>MPSI</v>
      </c>
      <c r="O878" t="str">
        <f t="shared" si="591"/>
        <v>COJINETES</v>
      </c>
      <c r="P878" t="str">
        <f t="shared" si="587"/>
        <v>0</v>
      </c>
      <c r="Q878" t="str">
        <f t="shared" si="587"/>
        <v>0</v>
      </c>
      <c r="R878" t="str">
        <f t="shared" si="588"/>
        <v>0,00</v>
      </c>
      <c r="S878" t="str">
        <f t="shared" si="588"/>
        <v>0,00</v>
      </c>
      <c r="T878" t="str">
        <f t="shared" si="583"/>
        <v xml:space="preserve"> </v>
      </c>
      <c r="U878" t="str">
        <f t="shared" si="585"/>
        <v>-</v>
      </c>
      <c r="V878" t="str">
        <f>"3,000"</f>
        <v>3,000</v>
      </c>
      <c r="W878" t="str">
        <f t="shared" si="564"/>
        <v>Lista 4</v>
      </c>
      <c r="X878" t="str">
        <f t="shared" si="565"/>
        <v>Lista 5</v>
      </c>
      <c r="Y878" t="str">
        <f t="shared" si="566"/>
        <v>Oferta Gral.</v>
      </c>
      <c r="Z878" t="str">
        <f t="shared" si="567"/>
        <v>Rubro</v>
      </c>
      <c r="AA878" t="str">
        <f t="shared" si="568"/>
        <v>Cantidad por Bulto</v>
      </c>
      <c r="AB878" t="str">
        <f t="shared" si="569"/>
        <v>INNER</v>
      </c>
      <c r="AC878" t="str">
        <f t="shared" si="570"/>
        <v>Stock en Bultos</v>
      </c>
      <c r="AD878" t="str">
        <f t="shared" si="571"/>
        <v>SubDepósito</v>
      </c>
      <c r="AE878" t="str">
        <f t="shared" si="572"/>
        <v>Marca</v>
      </c>
      <c r="AF878" t="str">
        <f t="shared" si="573"/>
        <v>Super Rubro</v>
      </c>
      <c r="AG878" t="str">
        <f t="shared" si="574"/>
        <v>ComercioExterior</v>
      </c>
      <c r="AH878" t="str">
        <f t="shared" si="575"/>
        <v>PrecioFOB</v>
      </c>
      <c r="AI878" t="str">
        <f t="shared" si="576"/>
        <v>Monto II</v>
      </c>
      <c r="AJ878" t="str">
        <f t="shared" si="577"/>
        <v>Porcentaje II</v>
      </c>
      <c r="AK878" t="str">
        <f t="shared" si="578"/>
        <v>Foto</v>
      </c>
      <c r="AL878" t="str">
        <f t="shared" si="593"/>
        <v xml:space="preserve"> </v>
      </c>
      <c r="AM878" t="str">
        <f t="shared" si="592"/>
        <v xml:space="preserve"> </v>
      </c>
    </row>
    <row r="879" spans="1:39" x14ac:dyDescent="0.25">
      <c r="A879" t="str">
        <f>"BA678 30"</f>
        <v>BA678 30</v>
      </c>
      <c r="B879" t="str">
        <f>"COJINETES BANCADA 0,80 PEUGEOT 307 CITROEN C4 1.6 16V TU5JP4"</f>
        <v>COJINETES BANCADA 0,80 PEUGEOT 307 CITROEN C4 1.6 16V TU5JP4</v>
      </c>
      <c r="C879" t="str">
        <f>"$ 18304,00"</f>
        <v>$ 18304,00</v>
      </c>
      <c r="D879" t="str">
        <f>"$ 18304,00"</f>
        <v>$ 18304,00</v>
      </c>
      <c r="E879" t="str">
        <f>"$ 18304,00"</f>
        <v>$ 18304,00</v>
      </c>
      <c r="F879" t="str">
        <f>"$ 18304,00"</f>
        <v>$ 18304,00</v>
      </c>
      <c r="G879" t="str">
        <f>"$ 18304,00"</f>
        <v>$ 18304,00</v>
      </c>
      <c r="H879" t="str">
        <f t="shared" si="561"/>
        <v>$ 0,00</v>
      </c>
      <c r="I879" t="str">
        <f t="shared" si="586"/>
        <v>JUEGO COJINETES BANCADA</v>
      </c>
      <c r="J879" t="str">
        <f t="shared" si="562"/>
        <v>1</v>
      </c>
      <c r="K879" t="str">
        <f t="shared" si="584"/>
        <v>0</v>
      </c>
      <c r="L879" t="str">
        <f>"6,000"</f>
        <v>6,000</v>
      </c>
      <c r="M879" t="str">
        <f t="shared" si="563"/>
        <v xml:space="preserve"> </v>
      </c>
      <c r="N879" t="str">
        <f t="shared" si="590"/>
        <v>MPSI</v>
      </c>
      <c r="O879" t="str">
        <f t="shared" si="591"/>
        <v>COJINETES</v>
      </c>
      <c r="P879" t="str">
        <f t="shared" si="587"/>
        <v>0</v>
      </c>
      <c r="Q879" t="str">
        <f t="shared" si="587"/>
        <v>0</v>
      </c>
      <c r="R879" t="str">
        <f t="shared" si="588"/>
        <v>0,00</v>
      </c>
      <c r="S879" t="str">
        <f t="shared" si="588"/>
        <v>0,00</v>
      </c>
      <c r="T879" t="str">
        <f t="shared" si="583"/>
        <v xml:space="preserve"> </v>
      </c>
      <c r="U879" t="str">
        <f t="shared" si="585"/>
        <v>-</v>
      </c>
      <c r="V879" t="str">
        <f>"6,000"</f>
        <v>6,000</v>
      </c>
      <c r="W879" t="str">
        <f t="shared" si="564"/>
        <v>Lista 4</v>
      </c>
      <c r="X879" t="str">
        <f t="shared" si="565"/>
        <v>Lista 5</v>
      </c>
      <c r="Y879" t="str">
        <f t="shared" si="566"/>
        <v>Oferta Gral.</v>
      </c>
      <c r="Z879" t="str">
        <f t="shared" si="567"/>
        <v>Rubro</v>
      </c>
      <c r="AA879" t="str">
        <f t="shared" si="568"/>
        <v>Cantidad por Bulto</v>
      </c>
      <c r="AB879" t="str">
        <f t="shared" si="569"/>
        <v>INNER</v>
      </c>
      <c r="AC879" t="str">
        <f t="shared" si="570"/>
        <v>Stock en Bultos</v>
      </c>
      <c r="AD879" t="str">
        <f t="shared" si="571"/>
        <v>SubDepósito</v>
      </c>
      <c r="AE879" t="str">
        <f t="shared" si="572"/>
        <v>Marca</v>
      </c>
      <c r="AF879" t="str">
        <f t="shared" si="573"/>
        <v>Super Rubro</v>
      </c>
      <c r="AG879" t="str">
        <f t="shared" si="574"/>
        <v>ComercioExterior</v>
      </c>
      <c r="AH879" t="str">
        <f t="shared" si="575"/>
        <v>PrecioFOB</v>
      </c>
      <c r="AI879" t="str">
        <f t="shared" si="576"/>
        <v>Monto II</v>
      </c>
      <c r="AJ879" t="str">
        <f t="shared" si="577"/>
        <v>Porcentaje II</v>
      </c>
      <c r="AK879" t="str">
        <f t="shared" si="578"/>
        <v>Foto</v>
      </c>
      <c r="AL879" t="str">
        <f t="shared" si="593"/>
        <v xml:space="preserve"> </v>
      </c>
      <c r="AM879" t="str">
        <f t="shared" si="592"/>
        <v xml:space="preserve"> </v>
      </c>
    </row>
    <row r="880" spans="1:39" x14ac:dyDescent="0.25">
      <c r="A880" t="str">
        <f>"BA411 30"</f>
        <v>BA411 30</v>
      </c>
      <c r="B880" t="str">
        <f>"COJINETES BANCADA 0,80 PEUGEOT 404 1600  FM 4432M"</f>
        <v>COJINETES BANCADA 0,80 PEUGEOT 404 1600  FM 4432M</v>
      </c>
      <c r="C880" t="str">
        <f>"$ 49903,07"</f>
        <v>$ 49903,07</v>
      </c>
      <c r="D880" t="str">
        <f>"$ 49903,07"</f>
        <v>$ 49903,07</v>
      </c>
      <c r="E880" t="str">
        <f>"$ 49903,07"</f>
        <v>$ 49903,07</v>
      </c>
      <c r="F880" t="str">
        <f>"$ 49903,07"</f>
        <v>$ 49903,07</v>
      </c>
      <c r="G880" t="str">
        <f>"$ 49903,07"</f>
        <v>$ 49903,07</v>
      </c>
      <c r="H880" t="str">
        <f t="shared" si="561"/>
        <v>$ 0,00</v>
      </c>
      <c r="I880" t="str">
        <f t="shared" si="586"/>
        <v>JUEGO COJINETES BANCADA</v>
      </c>
      <c r="J880" t="str">
        <f t="shared" si="562"/>
        <v>1</v>
      </c>
      <c r="K880" t="str">
        <f t="shared" si="584"/>
        <v>0</v>
      </c>
      <c r="L880" t="str">
        <f>"0,000"</f>
        <v>0,000</v>
      </c>
      <c r="M880" t="str">
        <f t="shared" si="563"/>
        <v xml:space="preserve"> </v>
      </c>
      <c r="N880" t="str">
        <f t="shared" si="590"/>
        <v>MPSI</v>
      </c>
      <c r="O880" t="str">
        <f t="shared" si="591"/>
        <v>COJINETES</v>
      </c>
      <c r="P880" t="str">
        <f t="shared" si="587"/>
        <v>0</v>
      </c>
      <c r="Q880" t="str">
        <f t="shared" si="587"/>
        <v>0</v>
      </c>
      <c r="R880" t="str">
        <f t="shared" si="588"/>
        <v>0,00</v>
      </c>
      <c r="S880" t="str">
        <f t="shared" si="588"/>
        <v>0,00</v>
      </c>
      <c r="T880" t="str">
        <f t="shared" si="583"/>
        <v xml:space="preserve"> </v>
      </c>
      <c r="U880" t="str">
        <f>" "</f>
        <v xml:space="preserve"> </v>
      </c>
      <c r="V880" t="str">
        <f>"0,000"</f>
        <v>0,000</v>
      </c>
      <c r="W880" t="str">
        <f t="shared" si="564"/>
        <v>Lista 4</v>
      </c>
      <c r="X880" t="str">
        <f t="shared" si="565"/>
        <v>Lista 5</v>
      </c>
      <c r="Y880" t="str">
        <f t="shared" si="566"/>
        <v>Oferta Gral.</v>
      </c>
      <c r="Z880" t="str">
        <f t="shared" si="567"/>
        <v>Rubro</v>
      </c>
      <c r="AA880" t="str">
        <f t="shared" si="568"/>
        <v>Cantidad por Bulto</v>
      </c>
      <c r="AB880" t="str">
        <f t="shared" si="569"/>
        <v>INNER</v>
      </c>
      <c r="AC880" t="str">
        <f t="shared" si="570"/>
        <v>Stock en Bultos</v>
      </c>
      <c r="AD880" t="str">
        <f t="shared" si="571"/>
        <v>SubDepósito</v>
      </c>
      <c r="AE880" t="str">
        <f t="shared" si="572"/>
        <v>Marca</v>
      </c>
      <c r="AF880" t="str">
        <f t="shared" si="573"/>
        <v>Super Rubro</v>
      </c>
      <c r="AG880" t="str">
        <f t="shared" si="574"/>
        <v>ComercioExterior</v>
      </c>
      <c r="AH880" t="str">
        <f t="shared" si="575"/>
        <v>PrecioFOB</v>
      </c>
      <c r="AI880" t="str">
        <f t="shared" si="576"/>
        <v>Monto II</v>
      </c>
      <c r="AJ880" t="str">
        <f t="shared" si="577"/>
        <v>Porcentaje II</v>
      </c>
      <c r="AK880" t="str">
        <f t="shared" si="578"/>
        <v>Foto</v>
      </c>
      <c r="AL880" t="str">
        <f>"{\rtf1\ansi\ansicpg1252\deff0\deflang11274{\fonttbl{\f0\fnil\fcharset0 MS Sans Serif}} \viewkind4\uc1\pard\f0\fs16 COJINETES BANCADA 0,80 PEUGEOT 404 1600  FM 4432M\par } "</f>
        <v xml:space="preserve">{\rtf1\ansi\ansicpg1252\deff0\deflang11274{\fonttbl{\f0\fnil\fcharset0 MS Sans Serif}} \viewkind4\uc1\pard\f0\fs16 COJINETES BANCADA 0,80 PEUGEOT 404 1600  FM 4432M\par } </v>
      </c>
      <c r="AM880" t="str">
        <f>"-"</f>
        <v>-</v>
      </c>
    </row>
    <row r="881" spans="1:39" x14ac:dyDescent="0.25">
      <c r="A881" t="str">
        <f>"BA419 30"</f>
        <v>BA419 30</v>
      </c>
      <c r="B881" t="str">
        <f>"COJINETES BANCADA 0,80 PEUGEOT 404 504 1.6 1.8 2.0"</f>
        <v>COJINETES BANCADA 0,80 PEUGEOT 404 504 1.6 1.8 2.0</v>
      </c>
      <c r="C881" t="str">
        <f>"$ 26292,22"</f>
        <v>$ 26292,22</v>
      </c>
      <c r="D881" t="str">
        <f>"$ 26292,22"</f>
        <v>$ 26292,22</v>
      </c>
      <c r="E881" t="str">
        <f>"$ 26292,22"</f>
        <v>$ 26292,22</v>
      </c>
      <c r="F881" t="str">
        <f>"$ 26292,22"</f>
        <v>$ 26292,22</v>
      </c>
      <c r="G881" t="str">
        <f>"$ 26292,22"</f>
        <v>$ 26292,22</v>
      </c>
      <c r="H881" t="str">
        <f t="shared" si="561"/>
        <v>$ 0,00</v>
      </c>
      <c r="I881" t="str">
        <f t="shared" si="586"/>
        <v>JUEGO COJINETES BANCADA</v>
      </c>
      <c r="J881" t="str">
        <f t="shared" si="562"/>
        <v>1</v>
      </c>
      <c r="K881" t="str">
        <f t="shared" si="584"/>
        <v>0</v>
      </c>
      <c r="L881" t="str">
        <f>"5,000"</f>
        <v>5,000</v>
      </c>
      <c r="M881" t="str">
        <f t="shared" si="563"/>
        <v xml:space="preserve"> </v>
      </c>
      <c r="N881" t="str">
        <f t="shared" si="590"/>
        <v>MPSI</v>
      </c>
      <c r="O881" t="str">
        <f t="shared" si="591"/>
        <v>COJINETES</v>
      </c>
      <c r="P881" t="str">
        <f t="shared" si="587"/>
        <v>0</v>
      </c>
      <c r="Q881" t="str">
        <f t="shared" si="587"/>
        <v>0</v>
      </c>
      <c r="R881" t="str">
        <f t="shared" si="588"/>
        <v>0,00</v>
      </c>
      <c r="S881" t="str">
        <f t="shared" si="588"/>
        <v>0,00</v>
      </c>
      <c r="T881" t="str">
        <f t="shared" si="583"/>
        <v xml:space="preserve"> </v>
      </c>
      <c r="U881" t="str">
        <f t="shared" ref="U881:U912" si="594">"-"</f>
        <v>-</v>
      </c>
      <c r="V881" t="str">
        <f>"5,000"</f>
        <v>5,000</v>
      </c>
      <c r="W881" t="str">
        <f t="shared" si="564"/>
        <v>Lista 4</v>
      </c>
      <c r="X881" t="str">
        <f t="shared" si="565"/>
        <v>Lista 5</v>
      </c>
      <c r="Y881" t="str">
        <f t="shared" si="566"/>
        <v>Oferta Gral.</v>
      </c>
      <c r="Z881" t="str">
        <f t="shared" si="567"/>
        <v>Rubro</v>
      </c>
      <c r="AA881" t="str">
        <f t="shared" si="568"/>
        <v>Cantidad por Bulto</v>
      </c>
      <c r="AB881" t="str">
        <f t="shared" si="569"/>
        <v>INNER</v>
      </c>
      <c r="AC881" t="str">
        <f t="shared" si="570"/>
        <v>Stock en Bultos</v>
      </c>
      <c r="AD881" t="str">
        <f t="shared" si="571"/>
        <v>SubDepósito</v>
      </c>
      <c r="AE881" t="str">
        <f t="shared" si="572"/>
        <v>Marca</v>
      </c>
      <c r="AF881" t="str">
        <f t="shared" si="573"/>
        <v>Super Rubro</v>
      </c>
      <c r="AG881" t="str">
        <f t="shared" si="574"/>
        <v>ComercioExterior</v>
      </c>
      <c r="AH881" t="str">
        <f t="shared" si="575"/>
        <v>PrecioFOB</v>
      </c>
      <c r="AI881" t="str">
        <f t="shared" si="576"/>
        <v>Monto II</v>
      </c>
      <c r="AJ881" t="str">
        <f t="shared" si="577"/>
        <v>Porcentaje II</v>
      </c>
      <c r="AK881" t="str">
        <f t="shared" si="578"/>
        <v>Foto</v>
      </c>
      <c r="AL881" t="str">
        <f t="shared" ref="AL881:AM887" si="595">" "</f>
        <v xml:space="preserve"> </v>
      </c>
      <c r="AM881" t="str">
        <f t="shared" si="595"/>
        <v xml:space="preserve"> </v>
      </c>
    </row>
    <row r="882" spans="1:39" x14ac:dyDescent="0.25">
      <c r="A882" t="str">
        <f>"BA413 30"</f>
        <v>BA413 30</v>
      </c>
      <c r="B882" t="str">
        <f>"COJINETES BANCADA 0,80 PEUGEOT 404 504 DIESEL XD 4.88"</f>
        <v>COJINETES BANCADA 0,80 PEUGEOT 404 504 DIESEL XD 4.88</v>
      </c>
      <c r="C882" t="str">
        <f>"$ 24839,81"</f>
        <v>$ 24839,81</v>
      </c>
      <c r="D882" t="str">
        <f>"$ 24839,81"</f>
        <v>$ 24839,81</v>
      </c>
      <c r="E882" t="str">
        <f>"$ 24839,81"</f>
        <v>$ 24839,81</v>
      </c>
      <c r="F882" t="str">
        <f>"$ 24839,81"</f>
        <v>$ 24839,81</v>
      </c>
      <c r="G882" t="str">
        <f>"$ 24839,81"</f>
        <v>$ 24839,81</v>
      </c>
      <c r="H882" t="str">
        <f t="shared" si="561"/>
        <v>$ 0,00</v>
      </c>
      <c r="I882" t="str">
        <f t="shared" si="586"/>
        <v>JUEGO COJINETES BANCADA</v>
      </c>
      <c r="J882" t="str">
        <f t="shared" si="562"/>
        <v>1</v>
      </c>
      <c r="K882" t="str">
        <f t="shared" si="584"/>
        <v>0</v>
      </c>
      <c r="L882" t="str">
        <f>"0,000"</f>
        <v>0,000</v>
      </c>
      <c r="M882" t="str">
        <f t="shared" si="563"/>
        <v xml:space="preserve"> </v>
      </c>
      <c r="N882" t="str">
        <f t="shared" si="590"/>
        <v>MPSI</v>
      </c>
      <c r="O882" t="str">
        <f t="shared" si="591"/>
        <v>COJINETES</v>
      </c>
      <c r="P882" t="str">
        <f t="shared" si="587"/>
        <v>0</v>
      </c>
      <c r="Q882" t="str">
        <f t="shared" si="587"/>
        <v>0</v>
      </c>
      <c r="R882" t="str">
        <f t="shared" si="588"/>
        <v>0,00</v>
      </c>
      <c r="S882" t="str">
        <f t="shared" si="588"/>
        <v>0,00</v>
      </c>
      <c r="T882" t="str">
        <f t="shared" si="583"/>
        <v xml:space="preserve"> </v>
      </c>
      <c r="U882" t="str">
        <f t="shared" si="594"/>
        <v>-</v>
      </c>
      <c r="V882" t="str">
        <f>"0,000"</f>
        <v>0,000</v>
      </c>
      <c r="W882" t="str">
        <f t="shared" si="564"/>
        <v>Lista 4</v>
      </c>
      <c r="X882" t="str">
        <f t="shared" si="565"/>
        <v>Lista 5</v>
      </c>
      <c r="Y882" t="str">
        <f t="shared" si="566"/>
        <v>Oferta Gral.</v>
      </c>
      <c r="Z882" t="str">
        <f t="shared" si="567"/>
        <v>Rubro</v>
      </c>
      <c r="AA882" t="str">
        <f t="shared" si="568"/>
        <v>Cantidad por Bulto</v>
      </c>
      <c r="AB882" t="str">
        <f t="shared" si="569"/>
        <v>INNER</v>
      </c>
      <c r="AC882" t="str">
        <f t="shared" si="570"/>
        <v>Stock en Bultos</v>
      </c>
      <c r="AD882" t="str">
        <f t="shared" si="571"/>
        <v>SubDepósito</v>
      </c>
      <c r="AE882" t="str">
        <f t="shared" si="572"/>
        <v>Marca</v>
      </c>
      <c r="AF882" t="str">
        <f t="shared" si="573"/>
        <v>Super Rubro</v>
      </c>
      <c r="AG882" t="str">
        <f t="shared" si="574"/>
        <v>ComercioExterior</v>
      </c>
      <c r="AH882" t="str">
        <f t="shared" si="575"/>
        <v>PrecioFOB</v>
      </c>
      <c r="AI882" t="str">
        <f t="shared" si="576"/>
        <v>Monto II</v>
      </c>
      <c r="AJ882" t="str">
        <f t="shared" si="577"/>
        <v>Porcentaje II</v>
      </c>
      <c r="AK882" t="str">
        <f t="shared" si="578"/>
        <v>Foto</v>
      </c>
      <c r="AL882" t="str">
        <f t="shared" si="595"/>
        <v xml:space="preserve"> </v>
      </c>
      <c r="AM882" t="str">
        <f t="shared" si="595"/>
        <v xml:space="preserve"> </v>
      </c>
    </row>
    <row r="883" spans="1:39" x14ac:dyDescent="0.25">
      <c r="A883" t="str">
        <f>"BA415 30"</f>
        <v>BA415 30</v>
      </c>
      <c r="B883" t="str">
        <f>"COJINETES BANCADA 0,80 PEUGEOT 504 505 DIESEL XD2 XD3"</f>
        <v>COJINETES BANCADA 0,80 PEUGEOT 504 505 DIESEL XD2 XD3</v>
      </c>
      <c r="C883" t="str">
        <f>"$ 29048,06"</f>
        <v>$ 29048,06</v>
      </c>
      <c r="D883" t="str">
        <f>"$ 29048,06"</f>
        <v>$ 29048,06</v>
      </c>
      <c r="E883" t="str">
        <f>"$ 29048,06"</f>
        <v>$ 29048,06</v>
      </c>
      <c r="F883" t="str">
        <f>"$ 29048,06"</f>
        <v>$ 29048,06</v>
      </c>
      <c r="G883" t="str">
        <f>"$ 29048,06"</f>
        <v>$ 29048,06</v>
      </c>
      <c r="H883" t="str">
        <f t="shared" si="561"/>
        <v>$ 0,00</v>
      </c>
      <c r="I883" t="str">
        <f t="shared" si="586"/>
        <v>JUEGO COJINETES BANCADA</v>
      </c>
      <c r="J883" t="str">
        <f t="shared" si="562"/>
        <v>1</v>
      </c>
      <c r="K883" t="str">
        <f t="shared" si="584"/>
        <v>0</v>
      </c>
      <c r="L883" t="str">
        <f>"4,000"</f>
        <v>4,000</v>
      </c>
      <c r="M883" t="str">
        <f t="shared" si="563"/>
        <v xml:space="preserve"> </v>
      </c>
      <c r="N883" t="str">
        <f t="shared" si="590"/>
        <v>MPSI</v>
      </c>
      <c r="O883" t="str">
        <f t="shared" si="591"/>
        <v>COJINETES</v>
      </c>
      <c r="P883" t="str">
        <f t="shared" ref="P883:Q902" si="596">"0"</f>
        <v>0</v>
      </c>
      <c r="Q883" t="str">
        <f t="shared" si="596"/>
        <v>0</v>
      </c>
      <c r="R883" t="str">
        <f t="shared" ref="R883:S902" si="597">"0,00"</f>
        <v>0,00</v>
      </c>
      <c r="S883" t="str">
        <f t="shared" si="597"/>
        <v>0,00</v>
      </c>
      <c r="T883" t="str">
        <f t="shared" si="583"/>
        <v xml:space="preserve"> </v>
      </c>
      <c r="U883" t="str">
        <f t="shared" si="594"/>
        <v>-</v>
      </c>
      <c r="V883" t="str">
        <f>"4,000"</f>
        <v>4,000</v>
      </c>
      <c r="W883" t="str">
        <f t="shared" si="564"/>
        <v>Lista 4</v>
      </c>
      <c r="X883" t="str">
        <f t="shared" si="565"/>
        <v>Lista 5</v>
      </c>
      <c r="Y883" t="str">
        <f t="shared" si="566"/>
        <v>Oferta Gral.</v>
      </c>
      <c r="Z883" t="str">
        <f t="shared" si="567"/>
        <v>Rubro</v>
      </c>
      <c r="AA883" t="str">
        <f t="shared" si="568"/>
        <v>Cantidad por Bulto</v>
      </c>
      <c r="AB883" t="str">
        <f t="shared" si="569"/>
        <v>INNER</v>
      </c>
      <c r="AC883" t="str">
        <f t="shared" si="570"/>
        <v>Stock en Bultos</v>
      </c>
      <c r="AD883" t="str">
        <f t="shared" si="571"/>
        <v>SubDepósito</v>
      </c>
      <c r="AE883" t="str">
        <f t="shared" si="572"/>
        <v>Marca</v>
      </c>
      <c r="AF883" t="str">
        <f t="shared" si="573"/>
        <v>Super Rubro</v>
      </c>
      <c r="AG883" t="str">
        <f t="shared" si="574"/>
        <v>ComercioExterior</v>
      </c>
      <c r="AH883" t="str">
        <f t="shared" si="575"/>
        <v>PrecioFOB</v>
      </c>
      <c r="AI883" t="str">
        <f t="shared" si="576"/>
        <v>Monto II</v>
      </c>
      <c r="AJ883" t="str">
        <f t="shared" si="577"/>
        <v>Porcentaje II</v>
      </c>
      <c r="AK883" t="str">
        <f t="shared" si="578"/>
        <v>Foto</v>
      </c>
      <c r="AL883" t="str">
        <f t="shared" si="595"/>
        <v xml:space="preserve"> </v>
      </c>
      <c r="AM883" t="str">
        <f t="shared" si="595"/>
        <v xml:space="preserve"> </v>
      </c>
    </row>
    <row r="884" spans="1:39" x14ac:dyDescent="0.25">
      <c r="A884" t="str">
        <f>"BA733 30"</f>
        <v>BA733 30</v>
      </c>
      <c r="B884" t="str">
        <f>"COJINETES BANCADA 0,80 PEUGEOT BOXER 2,5 DJ5"</f>
        <v>COJINETES BANCADA 0,80 PEUGEOT BOXER 2,5 DJ5</v>
      </c>
      <c r="C884" t="str">
        <f>"$ 40387,97"</f>
        <v>$ 40387,97</v>
      </c>
      <c r="D884" t="str">
        <f>"$ 40387,97"</f>
        <v>$ 40387,97</v>
      </c>
      <c r="E884" t="str">
        <f>"$ 40387,97"</f>
        <v>$ 40387,97</v>
      </c>
      <c r="F884" t="str">
        <f>"$ 40387,97"</f>
        <v>$ 40387,97</v>
      </c>
      <c r="G884" t="str">
        <f>"$ 40387,97"</f>
        <v>$ 40387,97</v>
      </c>
      <c r="H884" t="str">
        <f t="shared" si="561"/>
        <v>$ 0,00</v>
      </c>
      <c r="I884" t="str">
        <f t="shared" si="586"/>
        <v>JUEGO COJINETES BANCADA</v>
      </c>
      <c r="J884" t="str">
        <f t="shared" si="562"/>
        <v>1</v>
      </c>
      <c r="K884" t="str">
        <f t="shared" si="584"/>
        <v>0</v>
      </c>
      <c r="L884" t="str">
        <f>"2,000"</f>
        <v>2,000</v>
      </c>
      <c r="M884" t="str">
        <f t="shared" si="563"/>
        <v xml:space="preserve"> </v>
      </c>
      <c r="N884" t="str">
        <f t="shared" si="590"/>
        <v>MPSI</v>
      </c>
      <c r="O884" t="str">
        <f t="shared" si="591"/>
        <v>COJINETES</v>
      </c>
      <c r="P884" t="str">
        <f t="shared" si="596"/>
        <v>0</v>
      </c>
      <c r="Q884" t="str">
        <f t="shared" si="596"/>
        <v>0</v>
      </c>
      <c r="R884" t="str">
        <f t="shared" si="597"/>
        <v>0,00</v>
      </c>
      <c r="S884" t="str">
        <f t="shared" si="597"/>
        <v>0,00</v>
      </c>
      <c r="T884" t="str">
        <f t="shared" si="583"/>
        <v xml:space="preserve"> </v>
      </c>
      <c r="U884" t="str">
        <f t="shared" si="594"/>
        <v>-</v>
      </c>
      <c r="V884" t="str">
        <f>"2,000"</f>
        <v>2,000</v>
      </c>
      <c r="W884" t="str">
        <f t="shared" si="564"/>
        <v>Lista 4</v>
      </c>
      <c r="X884" t="str">
        <f t="shared" si="565"/>
        <v>Lista 5</v>
      </c>
      <c r="Y884" t="str">
        <f t="shared" si="566"/>
        <v>Oferta Gral.</v>
      </c>
      <c r="Z884" t="str">
        <f t="shared" si="567"/>
        <v>Rubro</v>
      </c>
      <c r="AA884" t="str">
        <f t="shared" si="568"/>
        <v>Cantidad por Bulto</v>
      </c>
      <c r="AB884" t="str">
        <f t="shared" si="569"/>
        <v>INNER</v>
      </c>
      <c r="AC884" t="str">
        <f t="shared" si="570"/>
        <v>Stock en Bultos</v>
      </c>
      <c r="AD884" t="str">
        <f t="shared" si="571"/>
        <v>SubDepósito</v>
      </c>
      <c r="AE884" t="str">
        <f t="shared" si="572"/>
        <v>Marca</v>
      </c>
      <c r="AF884" t="str">
        <f t="shared" si="573"/>
        <v>Super Rubro</v>
      </c>
      <c r="AG884" t="str">
        <f t="shared" si="574"/>
        <v>ComercioExterior</v>
      </c>
      <c r="AH884" t="str">
        <f t="shared" si="575"/>
        <v>PrecioFOB</v>
      </c>
      <c r="AI884" t="str">
        <f t="shared" si="576"/>
        <v>Monto II</v>
      </c>
      <c r="AJ884" t="str">
        <f t="shared" si="577"/>
        <v>Porcentaje II</v>
      </c>
      <c r="AK884" t="str">
        <f t="shared" si="578"/>
        <v>Foto</v>
      </c>
      <c r="AL884" t="str">
        <f t="shared" si="595"/>
        <v xml:space="preserve"> </v>
      </c>
      <c r="AM884" t="str">
        <f t="shared" si="595"/>
        <v xml:space="preserve"> </v>
      </c>
    </row>
    <row r="885" spans="1:39" x14ac:dyDescent="0.25">
      <c r="A885" t="str">
        <f>"BA629 40"</f>
        <v>BA629 40</v>
      </c>
      <c r="B885" t="str">
        <f>"COJINETES BANCADA 1,00 AMAROK 2.0 TDI"</f>
        <v>COJINETES BANCADA 1,00 AMAROK 2.0 TDI</v>
      </c>
      <c r="C885" t="str">
        <f>"$ 31432,50"</f>
        <v>$ 31432,50</v>
      </c>
      <c r="D885" t="str">
        <f>"$ 31432,50"</f>
        <v>$ 31432,50</v>
      </c>
      <c r="E885" t="str">
        <f>"$ 31432,50"</f>
        <v>$ 31432,50</v>
      </c>
      <c r="F885" t="str">
        <f>"$ 31432,50"</f>
        <v>$ 31432,50</v>
      </c>
      <c r="G885" t="str">
        <f>"$ 31432,50"</f>
        <v>$ 31432,50</v>
      </c>
      <c r="H885" t="str">
        <f t="shared" si="561"/>
        <v>$ 0,00</v>
      </c>
      <c r="I885" t="str">
        <f t="shared" si="586"/>
        <v>JUEGO COJINETES BANCADA</v>
      </c>
      <c r="J885" t="str">
        <f t="shared" si="562"/>
        <v>1</v>
      </c>
      <c r="K885" t="str">
        <f t="shared" si="584"/>
        <v>0</v>
      </c>
      <c r="L885" t="str">
        <f>"0,000"</f>
        <v>0,000</v>
      </c>
      <c r="M885" t="str">
        <f t="shared" si="563"/>
        <v xml:space="preserve"> </v>
      </c>
      <c r="N885" t="str">
        <f t="shared" si="590"/>
        <v>MPSI</v>
      </c>
      <c r="O885" t="str">
        <f t="shared" si="591"/>
        <v>COJINETES</v>
      </c>
      <c r="P885" t="str">
        <f t="shared" si="596"/>
        <v>0</v>
      </c>
      <c r="Q885" t="str">
        <f t="shared" si="596"/>
        <v>0</v>
      </c>
      <c r="R885" t="str">
        <f t="shared" si="597"/>
        <v>0,00</v>
      </c>
      <c r="S885" t="str">
        <f t="shared" si="597"/>
        <v>0,00</v>
      </c>
      <c r="T885" t="str">
        <f t="shared" si="583"/>
        <v xml:space="preserve"> </v>
      </c>
      <c r="U885" t="str">
        <f t="shared" si="594"/>
        <v>-</v>
      </c>
      <c r="V885" t="str">
        <f>"0,000"</f>
        <v>0,000</v>
      </c>
      <c r="W885" t="str">
        <f t="shared" si="564"/>
        <v>Lista 4</v>
      </c>
      <c r="X885" t="str">
        <f t="shared" si="565"/>
        <v>Lista 5</v>
      </c>
      <c r="Y885" t="str">
        <f t="shared" si="566"/>
        <v>Oferta Gral.</v>
      </c>
      <c r="Z885" t="str">
        <f t="shared" si="567"/>
        <v>Rubro</v>
      </c>
      <c r="AA885" t="str">
        <f t="shared" si="568"/>
        <v>Cantidad por Bulto</v>
      </c>
      <c r="AB885" t="str">
        <f t="shared" si="569"/>
        <v>INNER</v>
      </c>
      <c r="AC885" t="str">
        <f t="shared" si="570"/>
        <v>Stock en Bultos</v>
      </c>
      <c r="AD885" t="str">
        <f t="shared" si="571"/>
        <v>SubDepósito</v>
      </c>
      <c r="AE885" t="str">
        <f t="shared" si="572"/>
        <v>Marca</v>
      </c>
      <c r="AF885" t="str">
        <f t="shared" si="573"/>
        <v>Super Rubro</v>
      </c>
      <c r="AG885" t="str">
        <f t="shared" si="574"/>
        <v>ComercioExterior</v>
      </c>
      <c r="AH885" t="str">
        <f t="shared" si="575"/>
        <v>PrecioFOB</v>
      </c>
      <c r="AI885" t="str">
        <f t="shared" si="576"/>
        <v>Monto II</v>
      </c>
      <c r="AJ885" t="str">
        <f t="shared" si="577"/>
        <v>Porcentaje II</v>
      </c>
      <c r="AK885" t="str">
        <f t="shared" si="578"/>
        <v>Foto</v>
      </c>
      <c r="AL885" t="str">
        <f t="shared" si="595"/>
        <v xml:space="preserve"> </v>
      </c>
      <c r="AM885" t="str">
        <f t="shared" si="595"/>
        <v xml:space="preserve"> </v>
      </c>
    </row>
    <row r="886" spans="1:39" x14ac:dyDescent="0.25">
      <c r="A886" t="str">
        <f>"BA062 40"</f>
        <v>BA062 40</v>
      </c>
      <c r="B886" t="str">
        <f>"COJINETES BANCADA 1,00 CHEVROLET 400 CHEVY C10"</f>
        <v>COJINETES BANCADA 1,00 CHEVROLET 400 CHEVY C10</v>
      </c>
      <c r="C886" t="str">
        <f>"$ 40323,50"</f>
        <v>$ 40323,50</v>
      </c>
      <c r="D886" t="str">
        <f>"$ 40323,50"</f>
        <v>$ 40323,50</v>
      </c>
      <c r="E886" t="str">
        <f>"$ 40323,50"</f>
        <v>$ 40323,50</v>
      </c>
      <c r="F886" t="str">
        <f>"$ 40323,50"</f>
        <v>$ 40323,50</v>
      </c>
      <c r="G886" t="str">
        <f>"$ 40323,50"</f>
        <v>$ 40323,50</v>
      </c>
      <c r="H886" t="str">
        <f t="shared" si="561"/>
        <v>$ 0,00</v>
      </c>
      <c r="I886" t="str">
        <f t="shared" si="586"/>
        <v>JUEGO COJINETES BANCADA</v>
      </c>
      <c r="J886" t="str">
        <f t="shared" si="562"/>
        <v>1</v>
      </c>
      <c r="K886" t="str">
        <f t="shared" si="584"/>
        <v>0</v>
      </c>
      <c r="L886" t="str">
        <f>"4,000"</f>
        <v>4,000</v>
      </c>
      <c r="M886" t="str">
        <f t="shared" si="563"/>
        <v xml:space="preserve"> </v>
      </c>
      <c r="N886" t="str">
        <f t="shared" si="590"/>
        <v>MPSI</v>
      </c>
      <c r="O886" t="str">
        <f t="shared" si="591"/>
        <v>COJINETES</v>
      </c>
      <c r="P886" t="str">
        <f t="shared" si="596"/>
        <v>0</v>
      </c>
      <c r="Q886" t="str">
        <f t="shared" si="596"/>
        <v>0</v>
      </c>
      <c r="R886" t="str">
        <f t="shared" si="597"/>
        <v>0,00</v>
      </c>
      <c r="S886" t="str">
        <f t="shared" si="597"/>
        <v>0,00</v>
      </c>
      <c r="T886" t="str">
        <f t="shared" si="583"/>
        <v xml:space="preserve"> </v>
      </c>
      <c r="U886" t="str">
        <f t="shared" si="594"/>
        <v>-</v>
      </c>
      <c r="V886" t="str">
        <f>"4,000"</f>
        <v>4,000</v>
      </c>
      <c r="W886" t="str">
        <f t="shared" si="564"/>
        <v>Lista 4</v>
      </c>
      <c r="X886" t="str">
        <f t="shared" si="565"/>
        <v>Lista 5</v>
      </c>
      <c r="Y886" t="str">
        <f t="shared" si="566"/>
        <v>Oferta Gral.</v>
      </c>
      <c r="Z886" t="str">
        <f t="shared" si="567"/>
        <v>Rubro</v>
      </c>
      <c r="AA886" t="str">
        <f t="shared" si="568"/>
        <v>Cantidad por Bulto</v>
      </c>
      <c r="AB886" t="str">
        <f t="shared" si="569"/>
        <v>INNER</v>
      </c>
      <c r="AC886" t="str">
        <f t="shared" si="570"/>
        <v>Stock en Bultos</v>
      </c>
      <c r="AD886" t="str">
        <f t="shared" si="571"/>
        <v>SubDepósito</v>
      </c>
      <c r="AE886" t="str">
        <f t="shared" si="572"/>
        <v>Marca</v>
      </c>
      <c r="AF886" t="str">
        <f t="shared" si="573"/>
        <v>Super Rubro</v>
      </c>
      <c r="AG886" t="str">
        <f t="shared" si="574"/>
        <v>ComercioExterior</v>
      </c>
      <c r="AH886" t="str">
        <f t="shared" si="575"/>
        <v>PrecioFOB</v>
      </c>
      <c r="AI886" t="str">
        <f t="shared" si="576"/>
        <v>Monto II</v>
      </c>
      <c r="AJ886" t="str">
        <f t="shared" si="577"/>
        <v>Porcentaje II</v>
      </c>
      <c r="AK886" t="str">
        <f t="shared" si="578"/>
        <v>Foto</v>
      </c>
      <c r="AL886" t="str">
        <f t="shared" si="595"/>
        <v xml:space="preserve"> </v>
      </c>
      <c r="AM886" t="str">
        <f t="shared" si="595"/>
        <v xml:space="preserve"> </v>
      </c>
    </row>
    <row r="887" spans="1:39" x14ac:dyDescent="0.25">
      <c r="A887" t="str">
        <f>"BA068 40"</f>
        <v>BA068 40</v>
      </c>
      <c r="B887" t="str">
        <f>"COJINETES BANCADA 1,00 CHEVROLET ASTRA MONZA 1.8 2.0 8V"</f>
        <v>COJINETES BANCADA 1,00 CHEVROLET ASTRA MONZA 1.8 2.0 8V</v>
      </c>
      <c r="C887" t="str">
        <f>"$ 31803,90"</f>
        <v>$ 31803,90</v>
      </c>
      <c r="D887" t="str">
        <f>"$ 31803,90"</f>
        <v>$ 31803,90</v>
      </c>
      <c r="E887" t="str">
        <f>"$ 31803,90"</f>
        <v>$ 31803,90</v>
      </c>
      <c r="F887" t="str">
        <f>"$ 31803,90"</f>
        <v>$ 31803,90</v>
      </c>
      <c r="G887" t="str">
        <f>"$ 31803,90"</f>
        <v>$ 31803,90</v>
      </c>
      <c r="H887" t="str">
        <f t="shared" si="561"/>
        <v>$ 0,00</v>
      </c>
      <c r="I887" t="str">
        <f t="shared" si="586"/>
        <v>JUEGO COJINETES BANCADA</v>
      </c>
      <c r="J887" t="str">
        <f t="shared" si="562"/>
        <v>1</v>
      </c>
      <c r="K887" t="str">
        <f t="shared" si="584"/>
        <v>0</v>
      </c>
      <c r="L887" t="str">
        <f>"4,000"</f>
        <v>4,000</v>
      </c>
      <c r="M887" t="str">
        <f t="shared" si="563"/>
        <v xml:space="preserve"> </v>
      </c>
      <c r="N887" t="str">
        <f t="shared" si="590"/>
        <v>MPSI</v>
      </c>
      <c r="O887" t="str">
        <f t="shared" si="591"/>
        <v>COJINETES</v>
      </c>
      <c r="P887" t="str">
        <f t="shared" si="596"/>
        <v>0</v>
      </c>
      <c r="Q887" t="str">
        <f t="shared" si="596"/>
        <v>0</v>
      </c>
      <c r="R887" t="str">
        <f t="shared" si="597"/>
        <v>0,00</v>
      </c>
      <c r="S887" t="str">
        <f t="shared" si="597"/>
        <v>0,00</v>
      </c>
      <c r="T887" t="str">
        <f t="shared" si="583"/>
        <v xml:space="preserve"> </v>
      </c>
      <c r="U887" t="str">
        <f t="shared" si="594"/>
        <v>-</v>
      </c>
      <c r="V887" t="str">
        <f>"4,000"</f>
        <v>4,000</v>
      </c>
      <c r="W887" t="str">
        <f t="shared" si="564"/>
        <v>Lista 4</v>
      </c>
      <c r="X887" t="str">
        <f t="shared" si="565"/>
        <v>Lista 5</v>
      </c>
      <c r="Y887" t="str">
        <f t="shared" si="566"/>
        <v>Oferta Gral.</v>
      </c>
      <c r="Z887" t="str">
        <f t="shared" si="567"/>
        <v>Rubro</v>
      </c>
      <c r="AA887" t="str">
        <f t="shared" si="568"/>
        <v>Cantidad por Bulto</v>
      </c>
      <c r="AB887" t="str">
        <f t="shared" si="569"/>
        <v>INNER</v>
      </c>
      <c r="AC887" t="str">
        <f t="shared" si="570"/>
        <v>Stock en Bultos</v>
      </c>
      <c r="AD887" t="str">
        <f t="shared" si="571"/>
        <v>SubDepósito</v>
      </c>
      <c r="AE887" t="str">
        <f t="shared" si="572"/>
        <v>Marca</v>
      </c>
      <c r="AF887" t="str">
        <f t="shared" si="573"/>
        <v>Super Rubro</v>
      </c>
      <c r="AG887" t="str">
        <f t="shared" si="574"/>
        <v>ComercioExterior</v>
      </c>
      <c r="AH887" t="str">
        <f t="shared" si="575"/>
        <v>PrecioFOB</v>
      </c>
      <c r="AI887" t="str">
        <f t="shared" si="576"/>
        <v>Monto II</v>
      </c>
      <c r="AJ887" t="str">
        <f t="shared" si="577"/>
        <v>Porcentaje II</v>
      </c>
      <c r="AK887" t="str">
        <f t="shared" si="578"/>
        <v>Foto</v>
      </c>
      <c r="AL887" t="str">
        <f t="shared" si="595"/>
        <v xml:space="preserve"> </v>
      </c>
      <c r="AM887" t="str">
        <f t="shared" si="595"/>
        <v xml:space="preserve"> </v>
      </c>
    </row>
    <row r="888" spans="1:39" x14ac:dyDescent="0.25">
      <c r="A888" t="str">
        <f>"BA371 40"</f>
        <v>BA371 40</v>
      </c>
      <c r="B888" t="str">
        <f>"COJINETES BANCADA 1,00 CHEVROLET CORSA 1.4 1.6 FIAT PALIO 1.8"</f>
        <v>COJINETES BANCADA 1,00 CHEVROLET CORSA 1.4 1.6 FIAT PALIO 1.8</v>
      </c>
      <c r="C888" t="str">
        <f>"$ 26359,01"</f>
        <v>$ 26359,01</v>
      </c>
      <c r="D888" t="str">
        <f>"$ 26359,01"</f>
        <v>$ 26359,01</v>
      </c>
      <c r="E888" t="str">
        <f>"$ 26359,01"</f>
        <v>$ 26359,01</v>
      </c>
      <c r="F888" t="str">
        <f>"$ 26359,01"</f>
        <v>$ 26359,01</v>
      </c>
      <c r="G888" t="str">
        <f>"$ 26359,01"</f>
        <v>$ 26359,01</v>
      </c>
      <c r="H888" t="str">
        <f t="shared" si="561"/>
        <v>$ 0,00</v>
      </c>
      <c r="I888" t="str">
        <f t="shared" si="586"/>
        <v>JUEGO COJINETES BANCADA</v>
      </c>
      <c r="J888" t="str">
        <f t="shared" si="562"/>
        <v>1</v>
      </c>
      <c r="K888" t="str">
        <f t="shared" si="584"/>
        <v>0</v>
      </c>
      <c r="L888" t="str">
        <f>"11,000"</f>
        <v>11,000</v>
      </c>
      <c r="M888" t="str">
        <f t="shared" si="563"/>
        <v xml:space="preserve"> </v>
      </c>
      <c r="N888" t="str">
        <f t="shared" si="590"/>
        <v>MPSI</v>
      </c>
      <c r="O888" t="str">
        <f t="shared" si="591"/>
        <v>COJINETES</v>
      </c>
      <c r="P888" t="str">
        <f t="shared" si="596"/>
        <v>0</v>
      </c>
      <c r="Q888" t="str">
        <f t="shared" si="596"/>
        <v>0</v>
      </c>
      <c r="R888" t="str">
        <f t="shared" si="597"/>
        <v>0,00</v>
      </c>
      <c r="S888" t="str">
        <f t="shared" si="597"/>
        <v>0,00</v>
      </c>
      <c r="T888" t="str">
        <f t="shared" si="583"/>
        <v xml:space="preserve"> </v>
      </c>
      <c r="U888" t="str">
        <f t="shared" si="594"/>
        <v>-</v>
      </c>
      <c r="V888" t="str">
        <f>"11,000"</f>
        <v>11,000</v>
      </c>
      <c r="W888" t="str">
        <f t="shared" si="564"/>
        <v>Lista 4</v>
      </c>
      <c r="X888" t="str">
        <f t="shared" si="565"/>
        <v>Lista 5</v>
      </c>
      <c r="Y888" t="str">
        <f t="shared" si="566"/>
        <v>Oferta Gral.</v>
      </c>
      <c r="Z888" t="str">
        <f t="shared" si="567"/>
        <v>Rubro</v>
      </c>
      <c r="AA888" t="str">
        <f t="shared" si="568"/>
        <v>Cantidad por Bulto</v>
      </c>
      <c r="AB888" t="str">
        <f t="shared" si="569"/>
        <v>INNER</v>
      </c>
      <c r="AC888" t="str">
        <f t="shared" si="570"/>
        <v>Stock en Bultos</v>
      </c>
      <c r="AD888" t="str">
        <f t="shared" si="571"/>
        <v>SubDepósito</v>
      </c>
      <c r="AE888" t="str">
        <f t="shared" si="572"/>
        <v>Marca</v>
      </c>
      <c r="AF888" t="str">
        <f t="shared" si="573"/>
        <v>Super Rubro</v>
      </c>
      <c r="AG888" t="str">
        <f t="shared" si="574"/>
        <v>ComercioExterior</v>
      </c>
      <c r="AH888" t="str">
        <f t="shared" si="575"/>
        <v>PrecioFOB</v>
      </c>
      <c r="AI888" t="str">
        <f t="shared" si="576"/>
        <v>Monto II</v>
      </c>
      <c r="AJ888" t="str">
        <f t="shared" si="577"/>
        <v>Porcentaje II</v>
      </c>
      <c r="AK888" t="str">
        <f t="shared" si="578"/>
        <v>Foto</v>
      </c>
      <c r="AL888" t="str">
        <f>"{\rtf1\ansi\ansicpg1252\deff0\deflang2058{\fonttbl{\f0\fnil\fcharset0 MS Sans Serif}} \viewkind4\uc1\pard\f0\fs16 COJINETES BANCADA 1,00 CHEVROLET CORSA 1.4 1.6 FIAT PALIO 1.8\par } "</f>
        <v xml:space="preserve">{\rtf1\ansi\ansicpg1252\deff0\deflang2058{\fonttbl{\f0\fnil\fcharset0 MS Sans Serif}} \viewkind4\uc1\pard\f0\fs16 COJINETES BANCADA 1,00 CHEVROLET CORSA 1.4 1.6 FIAT PALIO 1.8\par } </v>
      </c>
      <c r="AM888" t="str">
        <f t="shared" ref="AM888:AM919" si="598">" "</f>
        <v xml:space="preserve"> </v>
      </c>
    </row>
    <row r="889" spans="1:39" x14ac:dyDescent="0.25">
      <c r="A889" t="str">
        <f>"BA372 40"</f>
        <v>BA372 40</v>
      </c>
      <c r="B889" t="str">
        <f>"COJINETES BANCADA 1,00 CHEVROLET CORSA CON AXIAL +0,40MM"</f>
        <v>COJINETES BANCADA 1,00 CHEVROLET CORSA CON AXIAL +0,40MM</v>
      </c>
      <c r="C889" t="str">
        <f>"$ 31152,18"</f>
        <v>$ 31152,18</v>
      </c>
      <c r="D889" t="str">
        <f>"$ 31152,18"</f>
        <v>$ 31152,18</v>
      </c>
      <c r="E889" t="str">
        <f>"$ 31152,18"</f>
        <v>$ 31152,18</v>
      </c>
      <c r="F889" t="str">
        <f>"$ 31152,18"</f>
        <v>$ 31152,18</v>
      </c>
      <c r="G889" t="str">
        <f>"$ 31152,18"</f>
        <v>$ 31152,18</v>
      </c>
      <c r="H889" t="str">
        <f t="shared" si="561"/>
        <v>$ 0,00</v>
      </c>
      <c r="I889" t="str">
        <f t="shared" si="586"/>
        <v>JUEGO COJINETES BANCADA</v>
      </c>
      <c r="J889" t="str">
        <f t="shared" si="562"/>
        <v>1</v>
      </c>
      <c r="K889" t="str">
        <f t="shared" si="584"/>
        <v>0</v>
      </c>
      <c r="L889" t="str">
        <f>"0,000"</f>
        <v>0,000</v>
      </c>
      <c r="M889" t="str">
        <f t="shared" si="563"/>
        <v xml:space="preserve"> </v>
      </c>
      <c r="N889" t="str">
        <f t="shared" si="590"/>
        <v>MPSI</v>
      </c>
      <c r="O889" t="str">
        <f t="shared" si="591"/>
        <v>COJINETES</v>
      </c>
      <c r="P889" t="str">
        <f t="shared" si="596"/>
        <v>0</v>
      </c>
      <c r="Q889" t="str">
        <f t="shared" si="596"/>
        <v>0</v>
      </c>
      <c r="R889" t="str">
        <f t="shared" si="597"/>
        <v>0,00</v>
      </c>
      <c r="S889" t="str">
        <f t="shared" si="597"/>
        <v>0,00</v>
      </c>
      <c r="T889" t="str">
        <f t="shared" si="583"/>
        <v xml:space="preserve"> </v>
      </c>
      <c r="U889" t="str">
        <f t="shared" si="594"/>
        <v>-</v>
      </c>
      <c r="V889" t="str">
        <f>"0,000"</f>
        <v>0,000</v>
      </c>
      <c r="W889" t="str">
        <f t="shared" si="564"/>
        <v>Lista 4</v>
      </c>
      <c r="X889" t="str">
        <f t="shared" si="565"/>
        <v>Lista 5</v>
      </c>
      <c r="Y889" t="str">
        <f t="shared" si="566"/>
        <v>Oferta Gral.</v>
      </c>
      <c r="Z889" t="str">
        <f t="shared" si="567"/>
        <v>Rubro</v>
      </c>
      <c r="AA889" t="str">
        <f t="shared" si="568"/>
        <v>Cantidad por Bulto</v>
      </c>
      <c r="AB889" t="str">
        <f t="shared" si="569"/>
        <v>INNER</v>
      </c>
      <c r="AC889" t="str">
        <f t="shared" si="570"/>
        <v>Stock en Bultos</v>
      </c>
      <c r="AD889" t="str">
        <f t="shared" si="571"/>
        <v>SubDepósito</v>
      </c>
      <c r="AE889" t="str">
        <f t="shared" si="572"/>
        <v>Marca</v>
      </c>
      <c r="AF889" t="str">
        <f t="shared" si="573"/>
        <v>Super Rubro</v>
      </c>
      <c r="AG889" t="str">
        <f t="shared" si="574"/>
        <v>ComercioExterior</v>
      </c>
      <c r="AH889" t="str">
        <f t="shared" si="575"/>
        <v>PrecioFOB</v>
      </c>
      <c r="AI889" t="str">
        <f t="shared" si="576"/>
        <v>Monto II</v>
      </c>
      <c r="AJ889" t="str">
        <f t="shared" si="577"/>
        <v>Porcentaje II</v>
      </c>
      <c r="AK889" t="str">
        <f t="shared" si="578"/>
        <v>Foto</v>
      </c>
      <c r="AL889" t="str">
        <f>" "</f>
        <v xml:space="preserve"> </v>
      </c>
      <c r="AM889" t="str">
        <f t="shared" si="598"/>
        <v xml:space="preserve"> </v>
      </c>
    </row>
    <row r="890" spans="1:39" x14ac:dyDescent="0.25">
      <c r="A890" t="str">
        <f>"BA810 40"</f>
        <v>BA810 40</v>
      </c>
      <c r="B890" t="str">
        <f>"COJINETES BANCADA 1,00 CHEVROLET CORSA MERIVA 1.7 DIESEL"</f>
        <v>COJINETES BANCADA 1,00 CHEVROLET CORSA MERIVA 1.7 DIESEL</v>
      </c>
      <c r="C890" t="str">
        <f>"$ 18546,07"</f>
        <v>$ 18546,07</v>
      </c>
      <c r="D890" t="str">
        <f>"$ 18546,07"</f>
        <v>$ 18546,07</v>
      </c>
      <c r="E890" t="str">
        <f>"$ 18546,07"</f>
        <v>$ 18546,07</v>
      </c>
      <c r="F890" t="str">
        <f>"$ 18546,07"</f>
        <v>$ 18546,07</v>
      </c>
      <c r="G890" t="str">
        <f>"$ 18546,07"</f>
        <v>$ 18546,07</v>
      </c>
      <c r="H890" t="str">
        <f t="shared" si="561"/>
        <v>$ 0,00</v>
      </c>
      <c r="I890" t="str">
        <f t="shared" si="586"/>
        <v>JUEGO COJINETES BANCADA</v>
      </c>
      <c r="J890" t="str">
        <f t="shared" si="562"/>
        <v>1</v>
      </c>
      <c r="K890" t="str">
        <f t="shared" si="584"/>
        <v>0</v>
      </c>
      <c r="L890" t="str">
        <f>"3,000"</f>
        <v>3,000</v>
      </c>
      <c r="M890" t="str">
        <f t="shared" si="563"/>
        <v xml:space="preserve"> </v>
      </c>
      <c r="N890" t="str">
        <f t="shared" si="590"/>
        <v>MPSI</v>
      </c>
      <c r="O890" t="str">
        <f t="shared" si="591"/>
        <v>COJINETES</v>
      </c>
      <c r="P890" t="str">
        <f t="shared" si="596"/>
        <v>0</v>
      </c>
      <c r="Q890" t="str">
        <f t="shared" si="596"/>
        <v>0</v>
      </c>
      <c r="R890" t="str">
        <f t="shared" si="597"/>
        <v>0,00</v>
      </c>
      <c r="S890" t="str">
        <f t="shared" si="597"/>
        <v>0,00</v>
      </c>
      <c r="T890" t="str">
        <f t="shared" si="583"/>
        <v xml:space="preserve"> </v>
      </c>
      <c r="U890" t="str">
        <f t="shared" si="594"/>
        <v>-</v>
      </c>
      <c r="V890" t="str">
        <f>"3,000"</f>
        <v>3,000</v>
      </c>
      <c r="W890" t="str">
        <f t="shared" si="564"/>
        <v>Lista 4</v>
      </c>
      <c r="X890" t="str">
        <f t="shared" si="565"/>
        <v>Lista 5</v>
      </c>
      <c r="Y890" t="str">
        <f t="shared" si="566"/>
        <v>Oferta Gral.</v>
      </c>
      <c r="Z890" t="str">
        <f t="shared" si="567"/>
        <v>Rubro</v>
      </c>
      <c r="AA890" t="str">
        <f t="shared" si="568"/>
        <v>Cantidad por Bulto</v>
      </c>
      <c r="AB890" t="str">
        <f t="shared" si="569"/>
        <v>INNER</v>
      </c>
      <c r="AC890" t="str">
        <f t="shared" si="570"/>
        <v>Stock en Bultos</v>
      </c>
      <c r="AD890" t="str">
        <f t="shared" si="571"/>
        <v>SubDepósito</v>
      </c>
      <c r="AE890" t="str">
        <f t="shared" si="572"/>
        <v>Marca</v>
      </c>
      <c r="AF890" t="str">
        <f t="shared" si="573"/>
        <v>Super Rubro</v>
      </c>
      <c r="AG890" t="str">
        <f t="shared" si="574"/>
        <v>ComercioExterior</v>
      </c>
      <c r="AH890" t="str">
        <f t="shared" si="575"/>
        <v>PrecioFOB</v>
      </c>
      <c r="AI890" t="str">
        <f t="shared" si="576"/>
        <v>Monto II</v>
      </c>
      <c r="AJ890" t="str">
        <f t="shared" si="577"/>
        <v>Porcentaje II</v>
      </c>
      <c r="AK890" t="str">
        <f t="shared" si="578"/>
        <v>Foto</v>
      </c>
      <c r="AL890" t="str">
        <f>"{\rtf1\ansi\ansicpg1252\deff0\deflang11274{\fonttbl{\f0\fnil\fcharset0 MS Sans Serif}} \viewkind4\uc1\pard\f0\fs16 COJINETES BANCADA 1,00 CHEVROLET CORSA MERIVA 1.7 DIESEL\par } "</f>
        <v xml:space="preserve">{\rtf1\ansi\ansicpg1252\deff0\deflang11274{\fonttbl{\f0\fnil\fcharset0 MS Sans Serif}} \viewkind4\uc1\pard\f0\fs16 COJINETES BANCADA 1,00 CHEVROLET CORSA MERIVA 1.7 DIESEL\par } </v>
      </c>
      <c r="AM890" t="str">
        <f t="shared" si="598"/>
        <v xml:space="preserve"> </v>
      </c>
    </row>
    <row r="891" spans="1:39" x14ac:dyDescent="0.25">
      <c r="A891" t="str">
        <f>"BA082 40"</f>
        <v>BA082 40</v>
      </c>
      <c r="B891" t="str">
        <f>"COJINETES BANCADA 1,00 DODGE 1500"</f>
        <v>COJINETES BANCADA 1,00 DODGE 1500</v>
      </c>
      <c r="C891" t="str">
        <f>"$ 25808,08"</f>
        <v>$ 25808,08</v>
      </c>
      <c r="D891" t="str">
        <f>"$ 25808,08"</f>
        <v>$ 25808,08</v>
      </c>
      <c r="E891" t="str">
        <f>"$ 25808,08"</f>
        <v>$ 25808,08</v>
      </c>
      <c r="F891" t="str">
        <f>"$ 25808,08"</f>
        <v>$ 25808,08</v>
      </c>
      <c r="G891" t="str">
        <f>"$ 25808,08"</f>
        <v>$ 25808,08</v>
      </c>
      <c r="H891" t="str">
        <f t="shared" si="561"/>
        <v>$ 0,00</v>
      </c>
      <c r="I891" t="str">
        <f t="shared" si="586"/>
        <v>JUEGO COJINETES BANCADA</v>
      </c>
      <c r="J891" t="str">
        <f t="shared" si="562"/>
        <v>1</v>
      </c>
      <c r="K891" t="str">
        <f t="shared" si="584"/>
        <v>0</v>
      </c>
      <c r="L891" t="str">
        <f>"3,000"</f>
        <v>3,000</v>
      </c>
      <c r="M891" t="str">
        <f t="shared" si="563"/>
        <v xml:space="preserve"> </v>
      </c>
      <c r="N891" t="str">
        <f t="shared" si="590"/>
        <v>MPSI</v>
      </c>
      <c r="O891" t="str">
        <f t="shared" si="591"/>
        <v>COJINETES</v>
      </c>
      <c r="P891" t="str">
        <f t="shared" si="596"/>
        <v>0</v>
      </c>
      <c r="Q891" t="str">
        <f t="shared" si="596"/>
        <v>0</v>
      </c>
      <c r="R891" t="str">
        <f t="shared" si="597"/>
        <v>0,00</v>
      </c>
      <c r="S891" t="str">
        <f t="shared" si="597"/>
        <v>0,00</v>
      </c>
      <c r="T891" t="str">
        <f t="shared" si="583"/>
        <v xml:space="preserve"> </v>
      </c>
      <c r="U891" t="str">
        <f t="shared" si="594"/>
        <v>-</v>
      </c>
      <c r="V891" t="str">
        <f>"3,000"</f>
        <v>3,000</v>
      </c>
      <c r="W891" t="str">
        <f t="shared" si="564"/>
        <v>Lista 4</v>
      </c>
      <c r="X891" t="str">
        <f t="shared" si="565"/>
        <v>Lista 5</v>
      </c>
      <c r="Y891" t="str">
        <f t="shared" si="566"/>
        <v>Oferta Gral.</v>
      </c>
      <c r="Z891" t="str">
        <f t="shared" si="567"/>
        <v>Rubro</v>
      </c>
      <c r="AA891" t="str">
        <f t="shared" si="568"/>
        <v>Cantidad por Bulto</v>
      </c>
      <c r="AB891" t="str">
        <f t="shared" si="569"/>
        <v>INNER</v>
      </c>
      <c r="AC891" t="str">
        <f t="shared" si="570"/>
        <v>Stock en Bultos</v>
      </c>
      <c r="AD891" t="str">
        <f t="shared" si="571"/>
        <v>SubDepósito</v>
      </c>
      <c r="AE891" t="str">
        <f t="shared" si="572"/>
        <v>Marca</v>
      </c>
      <c r="AF891" t="str">
        <f t="shared" si="573"/>
        <v>Super Rubro</v>
      </c>
      <c r="AG891" t="str">
        <f t="shared" si="574"/>
        <v>ComercioExterior</v>
      </c>
      <c r="AH891" t="str">
        <f t="shared" si="575"/>
        <v>PrecioFOB</v>
      </c>
      <c r="AI891" t="str">
        <f t="shared" si="576"/>
        <v>Monto II</v>
      </c>
      <c r="AJ891" t="str">
        <f t="shared" si="577"/>
        <v>Porcentaje II</v>
      </c>
      <c r="AK891" t="str">
        <f t="shared" si="578"/>
        <v>Foto</v>
      </c>
      <c r="AL891" t="str">
        <f t="shared" ref="AL891:AL898" si="599">" "</f>
        <v xml:space="preserve"> </v>
      </c>
      <c r="AM891" t="str">
        <f t="shared" si="598"/>
        <v xml:space="preserve"> </v>
      </c>
    </row>
    <row r="892" spans="1:39" x14ac:dyDescent="0.25">
      <c r="A892" t="str">
        <f>"BA083 40"</f>
        <v>BA083 40</v>
      </c>
      <c r="B892" t="str">
        <f>"COJINETES BANCADA 1,00 DODGE 1800"</f>
        <v>COJINETES BANCADA 1,00 DODGE 1800</v>
      </c>
      <c r="C892" t="str">
        <f>"$ 25621,88"</f>
        <v>$ 25621,88</v>
      </c>
      <c r="D892" t="str">
        <f>"$ 25621,88"</f>
        <v>$ 25621,88</v>
      </c>
      <c r="E892" t="str">
        <f>"$ 25621,88"</f>
        <v>$ 25621,88</v>
      </c>
      <c r="F892" t="str">
        <f>"$ 25621,88"</f>
        <v>$ 25621,88</v>
      </c>
      <c r="G892" t="str">
        <f>"$ 25621,88"</f>
        <v>$ 25621,88</v>
      </c>
      <c r="H892" t="str">
        <f t="shared" si="561"/>
        <v>$ 0,00</v>
      </c>
      <c r="I892" t="str">
        <f t="shared" si="586"/>
        <v>JUEGO COJINETES BANCADA</v>
      </c>
      <c r="J892" t="str">
        <f t="shared" si="562"/>
        <v>1</v>
      </c>
      <c r="K892" t="str">
        <f t="shared" si="584"/>
        <v>0</v>
      </c>
      <c r="L892" t="str">
        <f>"2,000"</f>
        <v>2,000</v>
      </c>
      <c r="M892" t="str">
        <f t="shared" si="563"/>
        <v xml:space="preserve"> </v>
      </c>
      <c r="N892" t="str">
        <f t="shared" si="590"/>
        <v>MPSI</v>
      </c>
      <c r="O892" t="str">
        <f t="shared" si="591"/>
        <v>COJINETES</v>
      </c>
      <c r="P892" t="str">
        <f t="shared" si="596"/>
        <v>0</v>
      </c>
      <c r="Q892" t="str">
        <f t="shared" si="596"/>
        <v>0</v>
      </c>
      <c r="R892" t="str">
        <f t="shared" si="597"/>
        <v>0,00</v>
      </c>
      <c r="S892" t="str">
        <f t="shared" si="597"/>
        <v>0,00</v>
      </c>
      <c r="T892" t="str">
        <f t="shared" si="583"/>
        <v xml:space="preserve"> </v>
      </c>
      <c r="U892" t="str">
        <f t="shared" si="594"/>
        <v>-</v>
      </c>
      <c r="V892" t="str">
        <f>"2,000"</f>
        <v>2,000</v>
      </c>
      <c r="W892" t="str">
        <f t="shared" si="564"/>
        <v>Lista 4</v>
      </c>
      <c r="X892" t="str">
        <f t="shared" si="565"/>
        <v>Lista 5</v>
      </c>
      <c r="Y892" t="str">
        <f t="shared" si="566"/>
        <v>Oferta Gral.</v>
      </c>
      <c r="Z892" t="str">
        <f t="shared" si="567"/>
        <v>Rubro</v>
      </c>
      <c r="AA892" t="str">
        <f t="shared" si="568"/>
        <v>Cantidad por Bulto</v>
      </c>
      <c r="AB892" t="str">
        <f t="shared" si="569"/>
        <v>INNER</v>
      </c>
      <c r="AC892" t="str">
        <f t="shared" si="570"/>
        <v>Stock en Bultos</v>
      </c>
      <c r="AD892" t="str">
        <f t="shared" si="571"/>
        <v>SubDepósito</v>
      </c>
      <c r="AE892" t="str">
        <f t="shared" si="572"/>
        <v>Marca</v>
      </c>
      <c r="AF892" t="str">
        <f t="shared" si="573"/>
        <v>Super Rubro</v>
      </c>
      <c r="AG892" t="str">
        <f t="shared" si="574"/>
        <v>ComercioExterior</v>
      </c>
      <c r="AH892" t="str">
        <f t="shared" si="575"/>
        <v>PrecioFOB</v>
      </c>
      <c r="AI892" t="str">
        <f t="shared" si="576"/>
        <v>Monto II</v>
      </c>
      <c r="AJ892" t="str">
        <f t="shared" si="577"/>
        <v>Porcentaje II</v>
      </c>
      <c r="AK892" t="str">
        <f t="shared" si="578"/>
        <v>Foto</v>
      </c>
      <c r="AL892" t="str">
        <f t="shared" si="599"/>
        <v xml:space="preserve"> </v>
      </c>
      <c r="AM892" t="str">
        <f t="shared" si="598"/>
        <v xml:space="preserve"> </v>
      </c>
    </row>
    <row r="893" spans="1:39" x14ac:dyDescent="0.25">
      <c r="A893" t="str">
        <f>"BA080 40"</f>
        <v>BA080 40</v>
      </c>
      <c r="B893" t="str">
        <f>"COJINETES BANCADA 1,00 DODGE VALIANT"</f>
        <v>COJINETES BANCADA 1,00 DODGE VALIANT</v>
      </c>
      <c r="C893" t="str">
        <f>"$ 45192,07"</f>
        <v>$ 45192,07</v>
      </c>
      <c r="D893" t="str">
        <f>"$ 45192,07"</f>
        <v>$ 45192,07</v>
      </c>
      <c r="E893" t="str">
        <f>"$ 45192,07"</f>
        <v>$ 45192,07</v>
      </c>
      <c r="F893" t="str">
        <f>"$ 45192,07"</f>
        <v>$ 45192,07</v>
      </c>
      <c r="G893" t="str">
        <f>"$ 45192,07"</f>
        <v>$ 45192,07</v>
      </c>
      <c r="H893" t="str">
        <f t="shared" si="561"/>
        <v>$ 0,00</v>
      </c>
      <c r="I893" t="str">
        <f t="shared" si="586"/>
        <v>JUEGO COJINETES BANCADA</v>
      </c>
      <c r="J893" t="str">
        <f t="shared" si="562"/>
        <v>1</v>
      </c>
      <c r="K893" t="str">
        <f t="shared" si="584"/>
        <v>0</v>
      </c>
      <c r="L893" t="str">
        <f>"1,000"</f>
        <v>1,000</v>
      </c>
      <c r="M893" t="str">
        <f t="shared" si="563"/>
        <v xml:space="preserve"> </v>
      </c>
      <c r="N893" t="str">
        <f t="shared" si="590"/>
        <v>MPSI</v>
      </c>
      <c r="O893" t="str">
        <f t="shared" si="591"/>
        <v>COJINETES</v>
      </c>
      <c r="P893" t="str">
        <f t="shared" si="596"/>
        <v>0</v>
      </c>
      <c r="Q893" t="str">
        <f t="shared" si="596"/>
        <v>0</v>
      </c>
      <c r="R893" t="str">
        <f t="shared" si="597"/>
        <v>0,00</v>
      </c>
      <c r="S893" t="str">
        <f t="shared" si="597"/>
        <v>0,00</v>
      </c>
      <c r="T893" t="str">
        <f t="shared" si="583"/>
        <v xml:space="preserve"> </v>
      </c>
      <c r="U893" t="str">
        <f t="shared" si="594"/>
        <v>-</v>
      </c>
      <c r="V893" t="str">
        <f>"1,000"</f>
        <v>1,000</v>
      </c>
      <c r="W893" t="str">
        <f t="shared" si="564"/>
        <v>Lista 4</v>
      </c>
      <c r="X893" t="str">
        <f t="shared" si="565"/>
        <v>Lista 5</v>
      </c>
      <c r="Y893" t="str">
        <f t="shared" si="566"/>
        <v>Oferta Gral.</v>
      </c>
      <c r="Z893" t="str">
        <f t="shared" si="567"/>
        <v>Rubro</v>
      </c>
      <c r="AA893" t="str">
        <f t="shared" si="568"/>
        <v>Cantidad por Bulto</v>
      </c>
      <c r="AB893" t="str">
        <f t="shared" si="569"/>
        <v>INNER</v>
      </c>
      <c r="AC893" t="str">
        <f t="shared" si="570"/>
        <v>Stock en Bultos</v>
      </c>
      <c r="AD893" t="str">
        <f t="shared" si="571"/>
        <v>SubDepósito</v>
      </c>
      <c r="AE893" t="str">
        <f t="shared" si="572"/>
        <v>Marca</v>
      </c>
      <c r="AF893" t="str">
        <f t="shared" si="573"/>
        <v>Super Rubro</v>
      </c>
      <c r="AG893" t="str">
        <f t="shared" si="574"/>
        <v>ComercioExterior</v>
      </c>
      <c r="AH893" t="str">
        <f t="shared" si="575"/>
        <v>PrecioFOB</v>
      </c>
      <c r="AI893" t="str">
        <f t="shared" si="576"/>
        <v>Monto II</v>
      </c>
      <c r="AJ893" t="str">
        <f t="shared" si="577"/>
        <v>Porcentaje II</v>
      </c>
      <c r="AK893" t="str">
        <f t="shared" si="578"/>
        <v>Foto</v>
      </c>
      <c r="AL893" t="str">
        <f t="shared" si="599"/>
        <v xml:space="preserve"> </v>
      </c>
      <c r="AM893" t="str">
        <f t="shared" si="598"/>
        <v xml:space="preserve"> </v>
      </c>
    </row>
    <row r="894" spans="1:39" x14ac:dyDescent="0.25">
      <c r="A894" t="str">
        <f>"BA136 40"</f>
        <v>BA136 40</v>
      </c>
      <c r="B894" t="str">
        <f>"COJINETES BANCADA 1,00 FIAT 147 DUNA 1300 DIESEL"</f>
        <v>COJINETES BANCADA 1,00 FIAT 147 DUNA 1300 DIESEL</v>
      </c>
      <c r="C894" t="str">
        <f>"$ 17583,69"</f>
        <v>$ 17583,69</v>
      </c>
      <c r="D894" t="str">
        <f>"$ 17583,69"</f>
        <v>$ 17583,69</v>
      </c>
      <c r="E894" t="str">
        <f>"$ 17583,69"</f>
        <v>$ 17583,69</v>
      </c>
      <c r="F894" t="str">
        <f>"$ 17583,69"</f>
        <v>$ 17583,69</v>
      </c>
      <c r="G894" t="str">
        <f>"$ 17583,69"</f>
        <v>$ 17583,69</v>
      </c>
      <c r="H894" t="str">
        <f t="shared" si="561"/>
        <v>$ 0,00</v>
      </c>
      <c r="I894" t="str">
        <f t="shared" si="586"/>
        <v>JUEGO COJINETES BANCADA</v>
      </c>
      <c r="J894" t="str">
        <f t="shared" si="562"/>
        <v>1</v>
      </c>
      <c r="K894" t="str">
        <f t="shared" si="584"/>
        <v>0</v>
      </c>
      <c r="L894" t="str">
        <f>"4,000"</f>
        <v>4,000</v>
      </c>
      <c r="M894" t="str">
        <f t="shared" si="563"/>
        <v xml:space="preserve"> </v>
      </c>
      <c r="N894" t="str">
        <f t="shared" si="590"/>
        <v>MPSI</v>
      </c>
      <c r="O894" t="str">
        <f t="shared" si="591"/>
        <v>COJINETES</v>
      </c>
      <c r="P894" t="str">
        <f t="shared" si="596"/>
        <v>0</v>
      </c>
      <c r="Q894" t="str">
        <f t="shared" si="596"/>
        <v>0</v>
      </c>
      <c r="R894" t="str">
        <f t="shared" si="597"/>
        <v>0,00</v>
      </c>
      <c r="S894" t="str">
        <f t="shared" si="597"/>
        <v>0,00</v>
      </c>
      <c r="T894" t="str">
        <f t="shared" si="583"/>
        <v xml:space="preserve"> </v>
      </c>
      <c r="U894" t="str">
        <f t="shared" si="594"/>
        <v>-</v>
      </c>
      <c r="V894" t="str">
        <f>"4,000"</f>
        <v>4,000</v>
      </c>
      <c r="W894" t="str">
        <f t="shared" si="564"/>
        <v>Lista 4</v>
      </c>
      <c r="X894" t="str">
        <f t="shared" si="565"/>
        <v>Lista 5</v>
      </c>
      <c r="Y894" t="str">
        <f t="shared" si="566"/>
        <v>Oferta Gral.</v>
      </c>
      <c r="Z894" t="str">
        <f t="shared" si="567"/>
        <v>Rubro</v>
      </c>
      <c r="AA894" t="str">
        <f t="shared" si="568"/>
        <v>Cantidad por Bulto</v>
      </c>
      <c r="AB894" t="str">
        <f t="shared" si="569"/>
        <v>INNER</v>
      </c>
      <c r="AC894" t="str">
        <f t="shared" si="570"/>
        <v>Stock en Bultos</v>
      </c>
      <c r="AD894" t="str">
        <f t="shared" si="571"/>
        <v>SubDepósito</v>
      </c>
      <c r="AE894" t="str">
        <f t="shared" si="572"/>
        <v>Marca</v>
      </c>
      <c r="AF894" t="str">
        <f t="shared" si="573"/>
        <v>Super Rubro</v>
      </c>
      <c r="AG894" t="str">
        <f t="shared" si="574"/>
        <v>ComercioExterior</v>
      </c>
      <c r="AH894" t="str">
        <f t="shared" si="575"/>
        <v>PrecioFOB</v>
      </c>
      <c r="AI894" t="str">
        <f t="shared" si="576"/>
        <v>Monto II</v>
      </c>
      <c r="AJ894" t="str">
        <f t="shared" si="577"/>
        <v>Porcentaje II</v>
      </c>
      <c r="AK894" t="str">
        <f t="shared" si="578"/>
        <v>Foto</v>
      </c>
      <c r="AL894" t="str">
        <f t="shared" si="599"/>
        <v xml:space="preserve"> </v>
      </c>
      <c r="AM894" t="str">
        <f t="shared" si="598"/>
        <v xml:space="preserve"> </v>
      </c>
    </row>
    <row r="895" spans="1:39" x14ac:dyDescent="0.25">
      <c r="A895" t="str">
        <f>"BA133 40"</f>
        <v>BA133 40</v>
      </c>
      <c r="B895" t="str">
        <f>"COJINETES BANCADA 1,00 FIAT 600 S 133"</f>
        <v>COJINETES BANCADA 1,00 FIAT 600 S 133</v>
      </c>
      <c r="C895" t="str">
        <f>"$ 13090,25"</f>
        <v>$ 13090,25</v>
      </c>
      <c r="D895" t="str">
        <f>"$ 13090,25"</f>
        <v>$ 13090,25</v>
      </c>
      <c r="E895" t="str">
        <f>"$ 13090,25"</f>
        <v>$ 13090,25</v>
      </c>
      <c r="F895" t="str">
        <f>"$ 13090,25"</f>
        <v>$ 13090,25</v>
      </c>
      <c r="G895" t="str">
        <f>"$ 13090,25"</f>
        <v>$ 13090,25</v>
      </c>
      <c r="H895" t="str">
        <f t="shared" si="561"/>
        <v>$ 0,00</v>
      </c>
      <c r="I895" t="str">
        <f t="shared" si="586"/>
        <v>JUEGO COJINETES BANCADA</v>
      </c>
      <c r="J895" t="str">
        <f t="shared" si="562"/>
        <v>1</v>
      </c>
      <c r="K895" t="str">
        <f t="shared" si="584"/>
        <v>0</v>
      </c>
      <c r="L895" t="str">
        <f>"3,000"</f>
        <v>3,000</v>
      </c>
      <c r="M895" t="str">
        <f t="shared" si="563"/>
        <v xml:space="preserve"> </v>
      </c>
      <c r="N895" t="str">
        <f t="shared" si="590"/>
        <v>MPSI</v>
      </c>
      <c r="O895" t="str">
        <f t="shared" si="591"/>
        <v>COJINETES</v>
      </c>
      <c r="P895" t="str">
        <f t="shared" si="596"/>
        <v>0</v>
      </c>
      <c r="Q895" t="str">
        <f t="shared" si="596"/>
        <v>0</v>
      </c>
      <c r="R895" t="str">
        <f t="shared" si="597"/>
        <v>0,00</v>
      </c>
      <c r="S895" t="str">
        <f t="shared" si="597"/>
        <v>0,00</v>
      </c>
      <c r="T895" t="str">
        <f t="shared" si="583"/>
        <v xml:space="preserve"> </v>
      </c>
      <c r="U895" t="str">
        <f t="shared" si="594"/>
        <v>-</v>
      </c>
      <c r="V895" t="str">
        <f>"3,000"</f>
        <v>3,000</v>
      </c>
      <c r="W895" t="str">
        <f t="shared" si="564"/>
        <v>Lista 4</v>
      </c>
      <c r="X895" t="str">
        <f t="shared" si="565"/>
        <v>Lista 5</v>
      </c>
      <c r="Y895" t="str">
        <f t="shared" si="566"/>
        <v>Oferta Gral.</v>
      </c>
      <c r="Z895" t="str">
        <f t="shared" si="567"/>
        <v>Rubro</v>
      </c>
      <c r="AA895" t="str">
        <f t="shared" si="568"/>
        <v>Cantidad por Bulto</v>
      </c>
      <c r="AB895" t="str">
        <f t="shared" si="569"/>
        <v>INNER</v>
      </c>
      <c r="AC895" t="str">
        <f t="shared" si="570"/>
        <v>Stock en Bultos</v>
      </c>
      <c r="AD895" t="str">
        <f t="shared" si="571"/>
        <v>SubDepósito</v>
      </c>
      <c r="AE895" t="str">
        <f t="shared" si="572"/>
        <v>Marca</v>
      </c>
      <c r="AF895" t="str">
        <f t="shared" si="573"/>
        <v>Super Rubro</v>
      </c>
      <c r="AG895" t="str">
        <f t="shared" si="574"/>
        <v>ComercioExterior</v>
      </c>
      <c r="AH895" t="str">
        <f t="shared" si="575"/>
        <v>PrecioFOB</v>
      </c>
      <c r="AI895" t="str">
        <f t="shared" si="576"/>
        <v>Monto II</v>
      </c>
      <c r="AJ895" t="str">
        <f t="shared" si="577"/>
        <v>Porcentaje II</v>
      </c>
      <c r="AK895" t="str">
        <f t="shared" si="578"/>
        <v>Foto</v>
      </c>
      <c r="AL895" t="str">
        <f t="shared" si="599"/>
        <v xml:space="preserve"> </v>
      </c>
      <c r="AM895" t="str">
        <f t="shared" si="598"/>
        <v xml:space="preserve"> </v>
      </c>
    </row>
    <row r="896" spans="1:39" x14ac:dyDescent="0.25">
      <c r="A896" t="str">
        <f>"BA135 40"</f>
        <v>BA135 40</v>
      </c>
      <c r="B896" t="str">
        <f>"COJINETES BANCADA 1,00 FIAT DUNA DUCATO 1.7 1.9 DIESEL"</f>
        <v>COJINETES BANCADA 1,00 FIAT DUNA DUCATO 1.7 1.9 DIESEL</v>
      </c>
      <c r="C896" t="str">
        <f>"$ 19699,02"</f>
        <v>$ 19699,02</v>
      </c>
      <c r="D896" t="str">
        <f>"$ 19699,02"</f>
        <v>$ 19699,02</v>
      </c>
      <c r="E896" t="str">
        <f>"$ 19699,02"</f>
        <v>$ 19699,02</v>
      </c>
      <c r="F896" t="str">
        <f>"$ 19699,02"</f>
        <v>$ 19699,02</v>
      </c>
      <c r="G896" t="str">
        <f>"$ 19699,02"</f>
        <v>$ 19699,02</v>
      </c>
      <c r="H896" t="str">
        <f t="shared" si="561"/>
        <v>$ 0,00</v>
      </c>
      <c r="I896" t="str">
        <f t="shared" si="586"/>
        <v>JUEGO COJINETES BANCADA</v>
      </c>
      <c r="J896" t="str">
        <f t="shared" si="562"/>
        <v>1</v>
      </c>
      <c r="K896" t="str">
        <f t="shared" si="584"/>
        <v>0</v>
      </c>
      <c r="L896" t="str">
        <f>"5,000"</f>
        <v>5,000</v>
      </c>
      <c r="M896" t="str">
        <f t="shared" si="563"/>
        <v xml:space="preserve"> </v>
      </c>
      <c r="N896" t="str">
        <f t="shared" si="590"/>
        <v>MPSI</v>
      </c>
      <c r="O896" t="str">
        <f t="shared" si="591"/>
        <v>COJINETES</v>
      </c>
      <c r="P896" t="str">
        <f t="shared" si="596"/>
        <v>0</v>
      </c>
      <c r="Q896" t="str">
        <f t="shared" si="596"/>
        <v>0</v>
      </c>
      <c r="R896" t="str">
        <f t="shared" si="597"/>
        <v>0,00</v>
      </c>
      <c r="S896" t="str">
        <f t="shared" si="597"/>
        <v>0,00</v>
      </c>
      <c r="T896" t="str">
        <f t="shared" si="583"/>
        <v xml:space="preserve"> </v>
      </c>
      <c r="U896" t="str">
        <f t="shared" si="594"/>
        <v>-</v>
      </c>
      <c r="V896" t="str">
        <f>"5,000"</f>
        <v>5,000</v>
      </c>
      <c r="W896" t="str">
        <f t="shared" si="564"/>
        <v>Lista 4</v>
      </c>
      <c r="X896" t="str">
        <f t="shared" si="565"/>
        <v>Lista 5</v>
      </c>
      <c r="Y896" t="str">
        <f t="shared" si="566"/>
        <v>Oferta Gral.</v>
      </c>
      <c r="Z896" t="str">
        <f t="shared" si="567"/>
        <v>Rubro</v>
      </c>
      <c r="AA896" t="str">
        <f t="shared" si="568"/>
        <v>Cantidad por Bulto</v>
      </c>
      <c r="AB896" t="str">
        <f t="shared" si="569"/>
        <v>INNER</v>
      </c>
      <c r="AC896" t="str">
        <f t="shared" si="570"/>
        <v>Stock en Bultos</v>
      </c>
      <c r="AD896" t="str">
        <f t="shared" si="571"/>
        <v>SubDepósito</v>
      </c>
      <c r="AE896" t="str">
        <f t="shared" si="572"/>
        <v>Marca</v>
      </c>
      <c r="AF896" t="str">
        <f t="shared" si="573"/>
        <v>Super Rubro</v>
      </c>
      <c r="AG896" t="str">
        <f t="shared" si="574"/>
        <v>ComercioExterior</v>
      </c>
      <c r="AH896" t="str">
        <f t="shared" si="575"/>
        <v>PrecioFOB</v>
      </c>
      <c r="AI896" t="str">
        <f t="shared" si="576"/>
        <v>Monto II</v>
      </c>
      <c r="AJ896" t="str">
        <f t="shared" si="577"/>
        <v>Porcentaje II</v>
      </c>
      <c r="AK896" t="str">
        <f t="shared" si="578"/>
        <v>Foto</v>
      </c>
      <c r="AL896" t="str">
        <f t="shared" si="599"/>
        <v xml:space="preserve"> </v>
      </c>
      <c r="AM896" t="str">
        <f t="shared" si="598"/>
        <v xml:space="preserve"> </v>
      </c>
    </row>
    <row r="897" spans="1:39" x14ac:dyDescent="0.25">
      <c r="A897" t="str">
        <f>"BA139 40"</f>
        <v>BA139 40</v>
      </c>
      <c r="B897" t="str">
        <f>"COJINETES BANCADA 1,00 FIAT DUNA UNO 147 MOTOR TIPO 1.4 1.6"</f>
        <v>COJINETES BANCADA 1,00 FIAT DUNA UNO 147 MOTOR TIPO 1.4 1.6</v>
      </c>
      <c r="C897" t="str">
        <f>"$ 18211,68"</f>
        <v>$ 18211,68</v>
      </c>
      <c r="D897" t="str">
        <f>"$ 18211,68"</f>
        <v>$ 18211,68</v>
      </c>
      <c r="E897" t="str">
        <f>"$ 18211,68"</f>
        <v>$ 18211,68</v>
      </c>
      <c r="F897" t="str">
        <f>"$ 18211,68"</f>
        <v>$ 18211,68</v>
      </c>
      <c r="G897" t="str">
        <f>"$ 18211,68"</f>
        <v>$ 18211,68</v>
      </c>
      <c r="H897" t="str">
        <f t="shared" si="561"/>
        <v>$ 0,00</v>
      </c>
      <c r="I897" t="str">
        <f t="shared" si="586"/>
        <v>JUEGO COJINETES BANCADA</v>
      </c>
      <c r="J897" t="str">
        <f t="shared" si="562"/>
        <v>1</v>
      </c>
      <c r="K897" t="str">
        <f t="shared" si="584"/>
        <v>0</v>
      </c>
      <c r="L897" t="str">
        <f>"3,000"</f>
        <v>3,000</v>
      </c>
      <c r="M897" t="str">
        <f t="shared" si="563"/>
        <v xml:space="preserve"> </v>
      </c>
      <c r="N897" t="str">
        <f t="shared" si="590"/>
        <v>MPSI</v>
      </c>
      <c r="O897" t="str">
        <f t="shared" si="591"/>
        <v>COJINETES</v>
      </c>
      <c r="P897" t="str">
        <f t="shared" si="596"/>
        <v>0</v>
      </c>
      <c r="Q897" t="str">
        <f t="shared" si="596"/>
        <v>0</v>
      </c>
      <c r="R897" t="str">
        <f t="shared" si="597"/>
        <v>0,00</v>
      </c>
      <c r="S897" t="str">
        <f t="shared" si="597"/>
        <v>0,00</v>
      </c>
      <c r="T897" t="str">
        <f t="shared" si="583"/>
        <v xml:space="preserve"> </v>
      </c>
      <c r="U897" t="str">
        <f t="shared" si="594"/>
        <v>-</v>
      </c>
      <c r="V897" t="str">
        <f>"3,000"</f>
        <v>3,000</v>
      </c>
      <c r="W897" t="str">
        <f t="shared" si="564"/>
        <v>Lista 4</v>
      </c>
      <c r="X897" t="str">
        <f t="shared" si="565"/>
        <v>Lista 5</v>
      </c>
      <c r="Y897" t="str">
        <f t="shared" si="566"/>
        <v>Oferta Gral.</v>
      </c>
      <c r="Z897" t="str">
        <f t="shared" si="567"/>
        <v>Rubro</v>
      </c>
      <c r="AA897" t="str">
        <f t="shared" si="568"/>
        <v>Cantidad por Bulto</v>
      </c>
      <c r="AB897" t="str">
        <f t="shared" si="569"/>
        <v>INNER</v>
      </c>
      <c r="AC897" t="str">
        <f t="shared" si="570"/>
        <v>Stock en Bultos</v>
      </c>
      <c r="AD897" t="str">
        <f t="shared" si="571"/>
        <v>SubDepósito</v>
      </c>
      <c r="AE897" t="str">
        <f t="shared" si="572"/>
        <v>Marca</v>
      </c>
      <c r="AF897" t="str">
        <f t="shared" si="573"/>
        <v>Super Rubro</v>
      </c>
      <c r="AG897" t="str">
        <f t="shared" si="574"/>
        <v>ComercioExterior</v>
      </c>
      <c r="AH897" t="str">
        <f t="shared" si="575"/>
        <v>PrecioFOB</v>
      </c>
      <c r="AI897" t="str">
        <f t="shared" si="576"/>
        <v>Monto II</v>
      </c>
      <c r="AJ897" t="str">
        <f t="shared" si="577"/>
        <v>Porcentaje II</v>
      </c>
      <c r="AK897" t="str">
        <f t="shared" si="578"/>
        <v>Foto</v>
      </c>
      <c r="AL897" t="str">
        <f t="shared" si="599"/>
        <v xml:space="preserve"> </v>
      </c>
      <c r="AM897" t="str">
        <f t="shared" si="598"/>
        <v xml:space="preserve"> </v>
      </c>
    </row>
    <row r="898" spans="1:39" x14ac:dyDescent="0.25">
      <c r="A898" t="str">
        <f>"BA172 40"</f>
        <v>BA172 40</v>
      </c>
      <c r="B898" t="str">
        <f>"COJINETES BANCADA 1,00 FIAT PALIO SIENA ETORQ 1.6 16V"</f>
        <v>COJINETES BANCADA 1,00 FIAT PALIO SIENA ETORQ 1.6 16V</v>
      </c>
      <c r="C898" t="str">
        <f>"$ 24672,23"</f>
        <v>$ 24672,23</v>
      </c>
      <c r="D898" t="str">
        <f>"$ 24672,23"</f>
        <v>$ 24672,23</v>
      </c>
      <c r="E898" t="str">
        <f>"$ 24672,23"</f>
        <v>$ 24672,23</v>
      </c>
      <c r="F898" t="str">
        <f>"$ 24672,23"</f>
        <v>$ 24672,23</v>
      </c>
      <c r="G898" t="str">
        <f>"$ 24672,23"</f>
        <v>$ 24672,23</v>
      </c>
      <c r="H898" t="str">
        <f t="shared" si="561"/>
        <v>$ 0,00</v>
      </c>
      <c r="I898" t="str">
        <f t="shared" si="586"/>
        <v>JUEGO COJINETES BANCADA</v>
      </c>
      <c r="J898" t="str">
        <f t="shared" si="562"/>
        <v>1</v>
      </c>
      <c r="K898" t="str">
        <f t="shared" si="584"/>
        <v>0</v>
      </c>
      <c r="L898" t="str">
        <f>"4,000"</f>
        <v>4,000</v>
      </c>
      <c r="M898" t="str">
        <f t="shared" si="563"/>
        <v xml:space="preserve"> </v>
      </c>
      <c r="N898" t="str">
        <f t="shared" si="590"/>
        <v>MPSI</v>
      </c>
      <c r="O898" t="str">
        <f t="shared" si="591"/>
        <v>COJINETES</v>
      </c>
      <c r="P898" t="str">
        <f t="shared" si="596"/>
        <v>0</v>
      </c>
      <c r="Q898" t="str">
        <f t="shared" si="596"/>
        <v>0</v>
      </c>
      <c r="R898" t="str">
        <f t="shared" si="597"/>
        <v>0,00</v>
      </c>
      <c r="S898" t="str">
        <f t="shared" si="597"/>
        <v>0,00</v>
      </c>
      <c r="T898" t="str">
        <f t="shared" si="583"/>
        <v xml:space="preserve"> </v>
      </c>
      <c r="U898" t="str">
        <f t="shared" si="594"/>
        <v>-</v>
      </c>
      <c r="V898" t="str">
        <f>"4,000"</f>
        <v>4,000</v>
      </c>
      <c r="W898" t="str">
        <f t="shared" si="564"/>
        <v>Lista 4</v>
      </c>
      <c r="X898" t="str">
        <f t="shared" si="565"/>
        <v>Lista 5</v>
      </c>
      <c r="Y898" t="str">
        <f t="shared" si="566"/>
        <v>Oferta Gral.</v>
      </c>
      <c r="Z898" t="str">
        <f t="shared" si="567"/>
        <v>Rubro</v>
      </c>
      <c r="AA898" t="str">
        <f t="shared" si="568"/>
        <v>Cantidad por Bulto</v>
      </c>
      <c r="AB898" t="str">
        <f t="shared" si="569"/>
        <v>INNER</v>
      </c>
      <c r="AC898" t="str">
        <f t="shared" si="570"/>
        <v>Stock en Bultos</v>
      </c>
      <c r="AD898" t="str">
        <f t="shared" si="571"/>
        <v>SubDepósito</v>
      </c>
      <c r="AE898" t="str">
        <f t="shared" si="572"/>
        <v>Marca</v>
      </c>
      <c r="AF898" t="str">
        <f t="shared" si="573"/>
        <v>Super Rubro</v>
      </c>
      <c r="AG898" t="str">
        <f t="shared" si="574"/>
        <v>ComercioExterior</v>
      </c>
      <c r="AH898" t="str">
        <f t="shared" si="575"/>
        <v>PrecioFOB</v>
      </c>
      <c r="AI898" t="str">
        <f t="shared" si="576"/>
        <v>Monto II</v>
      </c>
      <c r="AJ898" t="str">
        <f t="shared" si="577"/>
        <v>Porcentaje II</v>
      </c>
      <c r="AK898" t="str">
        <f t="shared" si="578"/>
        <v>Foto</v>
      </c>
      <c r="AL898" t="str">
        <f t="shared" si="599"/>
        <v xml:space="preserve"> </v>
      </c>
      <c r="AM898" t="str">
        <f t="shared" si="598"/>
        <v xml:space="preserve"> </v>
      </c>
    </row>
    <row r="899" spans="1:39" x14ac:dyDescent="0.25">
      <c r="A899" t="str">
        <f>"BA156 40"</f>
        <v>BA156 40</v>
      </c>
      <c r="B899" t="str">
        <f>"COJINETES BANCADA 1,00 FIAT PALIO SIENA FIRE 1.3 1.4 8V Y 16V"</f>
        <v>COJINETES BANCADA 1,00 FIAT PALIO SIENA FIRE 1.3 1.4 8V Y 16V</v>
      </c>
      <c r="C899" t="str">
        <f>"$ 21467,31"</f>
        <v>$ 21467,31</v>
      </c>
      <c r="D899" t="str">
        <f>"$ 21467,31"</f>
        <v>$ 21467,31</v>
      </c>
      <c r="E899" t="str">
        <f>"$ 21467,31"</f>
        <v>$ 21467,31</v>
      </c>
      <c r="F899" t="str">
        <f>"$ 21467,31"</f>
        <v>$ 21467,31</v>
      </c>
      <c r="G899" t="str">
        <f>"$ 21467,31"</f>
        <v>$ 21467,31</v>
      </c>
      <c r="H899" t="str">
        <f t="shared" ref="H899:H962" si="600">"$ 0,00"</f>
        <v>$ 0,00</v>
      </c>
      <c r="I899" t="str">
        <f t="shared" si="586"/>
        <v>JUEGO COJINETES BANCADA</v>
      </c>
      <c r="J899" t="str">
        <f t="shared" ref="J899:J962" si="601">"1"</f>
        <v>1</v>
      </c>
      <c r="K899" t="str">
        <f t="shared" si="584"/>
        <v>0</v>
      </c>
      <c r="L899" t="str">
        <f>"7,000"</f>
        <v>7,000</v>
      </c>
      <c r="M899" t="str">
        <f t="shared" ref="M899:M962" si="602">" "</f>
        <v xml:space="preserve"> </v>
      </c>
      <c r="N899" t="str">
        <f t="shared" si="590"/>
        <v>MPSI</v>
      </c>
      <c r="O899" t="str">
        <f t="shared" si="591"/>
        <v>COJINETES</v>
      </c>
      <c r="P899" t="str">
        <f t="shared" si="596"/>
        <v>0</v>
      </c>
      <c r="Q899" t="str">
        <f t="shared" si="596"/>
        <v>0</v>
      </c>
      <c r="R899" t="str">
        <f t="shared" si="597"/>
        <v>0,00</v>
      </c>
      <c r="S899" t="str">
        <f t="shared" si="597"/>
        <v>0,00</v>
      </c>
      <c r="T899" t="str">
        <f t="shared" si="583"/>
        <v xml:space="preserve"> </v>
      </c>
      <c r="U899" t="str">
        <f t="shared" si="594"/>
        <v>-</v>
      </c>
      <c r="V899" t="str">
        <f>"7,000"</f>
        <v>7,000</v>
      </c>
      <c r="W899" t="str">
        <f t="shared" ref="W899:W962" si="603">"Lista 4"</f>
        <v>Lista 4</v>
      </c>
      <c r="X899" t="str">
        <f t="shared" ref="X899:X962" si="604">"Lista 5"</f>
        <v>Lista 5</v>
      </c>
      <c r="Y899" t="str">
        <f t="shared" ref="Y899:Y962" si="605">"Oferta Gral."</f>
        <v>Oferta Gral.</v>
      </c>
      <c r="Z899" t="str">
        <f t="shared" ref="Z899:Z962" si="606">"Rubro"</f>
        <v>Rubro</v>
      </c>
      <c r="AA899" t="str">
        <f t="shared" ref="AA899:AA962" si="607">"Cantidad por Bulto"</f>
        <v>Cantidad por Bulto</v>
      </c>
      <c r="AB899" t="str">
        <f t="shared" ref="AB899:AB962" si="608">"INNER"</f>
        <v>INNER</v>
      </c>
      <c r="AC899" t="str">
        <f t="shared" ref="AC899:AC962" si="609">"Stock en Bultos"</f>
        <v>Stock en Bultos</v>
      </c>
      <c r="AD899" t="str">
        <f t="shared" ref="AD899:AD962" si="610">"SubDepósito"</f>
        <v>SubDepósito</v>
      </c>
      <c r="AE899" t="str">
        <f t="shared" ref="AE899:AE962" si="611">"Marca"</f>
        <v>Marca</v>
      </c>
      <c r="AF899" t="str">
        <f t="shared" ref="AF899:AF962" si="612">"Super Rubro"</f>
        <v>Super Rubro</v>
      </c>
      <c r="AG899" t="str">
        <f t="shared" ref="AG899:AG962" si="613">"ComercioExterior"</f>
        <v>ComercioExterior</v>
      </c>
      <c r="AH899" t="str">
        <f t="shared" ref="AH899:AH962" si="614">"PrecioFOB"</f>
        <v>PrecioFOB</v>
      </c>
      <c r="AI899" t="str">
        <f t="shared" ref="AI899:AI962" si="615">"Monto II"</f>
        <v>Monto II</v>
      </c>
      <c r="AJ899" t="str">
        <f t="shared" ref="AJ899:AJ962" si="616">"Porcentaje II"</f>
        <v>Porcentaje II</v>
      </c>
      <c r="AK899" t="str">
        <f t="shared" ref="AK899:AK962" si="617">"Foto"</f>
        <v>Foto</v>
      </c>
      <c r="AL899" t="str">
        <f>"{\rtf1\ansi\ansicpg1252\deff0\deflang2058{\fonttbl{\f0\fnil\fcharset0 MS Sans Serif}} \viewkind4\uc1\pard\f0\fs16 COJINETES BANCADA 1,00 FIAT PALIO SIENA FIRE 1.3 1.4 8V Y 16V\par } "</f>
        <v xml:space="preserve">{\rtf1\ansi\ansicpg1252\deff0\deflang2058{\fonttbl{\f0\fnil\fcharset0 MS Sans Serif}} \viewkind4\uc1\pard\f0\fs16 COJINETES BANCADA 1,00 FIAT PALIO SIENA FIRE 1.3 1.4 8V Y 16V\par } </v>
      </c>
      <c r="AM899" t="str">
        <f t="shared" si="598"/>
        <v xml:space="preserve"> </v>
      </c>
    </row>
    <row r="900" spans="1:39" x14ac:dyDescent="0.25">
      <c r="A900" t="str">
        <f>"BA199 40"</f>
        <v>BA199 40</v>
      </c>
      <c r="B900" t="str">
        <f>"COJINETES BANCADA 1,00 FORD FALCON F100 3.0 3.6"</f>
        <v>COJINETES BANCADA 1,00 FORD FALCON F100 3.0 3.6</v>
      </c>
      <c r="C900" t="str">
        <f>"$ 41910,00"</f>
        <v>$ 41910,00</v>
      </c>
      <c r="D900" t="str">
        <f>"$ 41910,00"</f>
        <v>$ 41910,00</v>
      </c>
      <c r="E900" t="str">
        <f>"$ 41910,00"</f>
        <v>$ 41910,00</v>
      </c>
      <c r="F900" t="str">
        <f>"$ 41910,00"</f>
        <v>$ 41910,00</v>
      </c>
      <c r="G900" t="str">
        <f>"$ 41910,00"</f>
        <v>$ 41910,00</v>
      </c>
      <c r="H900" t="str">
        <f t="shared" si="600"/>
        <v>$ 0,00</v>
      </c>
      <c r="I900" t="str">
        <f t="shared" si="586"/>
        <v>JUEGO COJINETES BANCADA</v>
      </c>
      <c r="J900" t="str">
        <f t="shared" si="601"/>
        <v>1</v>
      </c>
      <c r="K900" t="str">
        <f t="shared" si="584"/>
        <v>0</v>
      </c>
      <c r="L900" t="str">
        <f>"10,000"</f>
        <v>10,000</v>
      </c>
      <c r="M900" t="str">
        <f t="shared" si="602"/>
        <v xml:space="preserve"> </v>
      </c>
      <c r="N900" t="str">
        <f t="shared" si="590"/>
        <v>MPSI</v>
      </c>
      <c r="O900" t="str">
        <f t="shared" si="591"/>
        <v>COJINETES</v>
      </c>
      <c r="P900" t="str">
        <f t="shared" si="596"/>
        <v>0</v>
      </c>
      <c r="Q900" t="str">
        <f t="shared" si="596"/>
        <v>0</v>
      </c>
      <c r="R900" t="str">
        <f t="shared" si="597"/>
        <v>0,00</v>
      </c>
      <c r="S900" t="str">
        <f t="shared" si="597"/>
        <v>0,00</v>
      </c>
      <c r="T900" t="str">
        <f t="shared" si="583"/>
        <v xml:space="preserve"> </v>
      </c>
      <c r="U900" t="str">
        <f t="shared" si="594"/>
        <v>-</v>
      </c>
      <c r="V900" t="str">
        <f>"10,000"</f>
        <v>10,000</v>
      </c>
      <c r="W900" t="str">
        <f t="shared" si="603"/>
        <v>Lista 4</v>
      </c>
      <c r="X900" t="str">
        <f t="shared" si="604"/>
        <v>Lista 5</v>
      </c>
      <c r="Y900" t="str">
        <f t="shared" si="605"/>
        <v>Oferta Gral.</v>
      </c>
      <c r="Z900" t="str">
        <f t="shared" si="606"/>
        <v>Rubro</v>
      </c>
      <c r="AA900" t="str">
        <f t="shared" si="607"/>
        <v>Cantidad por Bulto</v>
      </c>
      <c r="AB900" t="str">
        <f t="shared" si="608"/>
        <v>INNER</v>
      </c>
      <c r="AC900" t="str">
        <f t="shared" si="609"/>
        <v>Stock en Bultos</v>
      </c>
      <c r="AD900" t="str">
        <f t="shared" si="610"/>
        <v>SubDepósito</v>
      </c>
      <c r="AE900" t="str">
        <f t="shared" si="611"/>
        <v>Marca</v>
      </c>
      <c r="AF900" t="str">
        <f t="shared" si="612"/>
        <v>Super Rubro</v>
      </c>
      <c r="AG900" t="str">
        <f t="shared" si="613"/>
        <v>ComercioExterior</v>
      </c>
      <c r="AH900" t="str">
        <f t="shared" si="614"/>
        <v>PrecioFOB</v>
      </c>
      <c r="AI900" t="str">
        <f t="shared" si="615"/>
        <v>Monto II</v>
      </c>
      <c r="AJ900" t="str">
        <f t="shared" si="616"/>
        <v>Porcentaje II</v>
      </c>
      <c r="AK900" t="str">
        <f t="shared" si="617"/>
        <v>Foto</v>
      </c>
      <c r="AL900" t="str">
        <f>"{\rtf1\ansi\ansicpg1252\deff0\deflang2058{\fonttbl{\f0\fnil\fcharset0 MS Sans Serif}} \viewkind4\uc1\pard\f0\fs16 COJINETES BANCADA 1,00 FORD FALCON F100 3.0 3.6\par } "</f>
        <v xml:space="preserve">{\rtf1\ansi\ansicpg1252\deff0\deflang2058{\fonttbl{\f0\fnil\fcharset0 MS Sans Serif}} \viewkind4\uc1\pard\f0\fs16 COJINETES BANCADA 1,00 FORD FALCON F100 3.0 3.6\par } </v>
      </c>
      <c r="AM900" t="str">
        <f t="shared" si="598"/>
        <v xml:space="preserve"> </v>
      </c>
    </row>
    <row r="901" spans="1:39" x14ac:dyDescent="0.25">
      <c r="A901" t="str">
        <f>"BA775 40"</f>
        <v>BA775 40</v>
      </c>
      <c r="B901" t="str">
        <f>"COJINETES BANCADA 1,00 FORD FIESTA 1.3 ENDURA VARILLERO"</f>
        <v>COJINETES BANCADA 1,00 FORD FIESTA 1.3 ENDURA VARILLERO</v>
      </c>
      <c r="C901" t="str">
        <f>"$ 18327,36"</f>
        <v>$ 18327,36</v>
      </c>
      <c r="D901" t="str">
        <f>"$ 18327,36"</f>
        <v>$ 18327,36</v>
      </c>
      <c r="E901" t="str">
        <f>"$ 18327,36"</f>
        <v>$ 18327,36</v>
      </c>
      <c r="F901" t="str">
        <f>"$ 18327,36"</f>
        <v>$ 18327,36</v>
      </c>
      <c r="G901" t="str">
        <f>"$ 18327,36"</f>
        <v>$ 18327,36</v>
      </c>
      <c r="H901" t="str">
        <f t="shared" si="600"/>
        <v>$ 0,00</v>
      </c>
      <c r="I901" t="str">
        <f t="shared" si="586"/>
        <v>JUEGO COJINETES BANCADA</v>
      </c>
      <c r="J901" t="str">
        <f t="shared" si="601"/>
        <v>1</v>
      </c>
      <c r="K901" t="str">
        <f t="shared" si="584"/>
        <v>0</v>
      </c>
      <c r="L901" t="str">
        <f>"0,000"</f>
        <v>0,000</v>
      </c>
      <c r="M901" t="str">
        <f t="shared" si="602"/>
        <v xml:space="preserve"> </v>
      </c>
      <c r="N901" t="str">
        <f t="shared" si="590"/>
        <v>MPSI</v>
      </c>
      <c r="O901" t="str">
        <f t="shared" si="591"/>
        <v>COJINETES</v>
      </c>
      <c r="P901" t="str">
        <f t="shared" si="596"/>
        <v>0</v>
      </c>
      <c r="Q901" t="str">
        <f t="shared" si="596"/>
        <v>0</v>
      </c>
      <c r="R901" t="str">
        <f t="shared" si="597"/>
        <v>0,00</v>
      </c>
      <c r="S901" t="str">
        <f t="shared" si="597"/>
        <v>0,00</v>
      </c>
      <c r="T901" t="str">
        <f t="shared" si="583"/>
        <v xml:space="preserve"> </v>
      </c>
      <c r="U901" t="str">
        <f t="shared" si="594"/>
        <v>-</v>
      </c>
      <c r="V901" t="str">
        <f>"0,000"</f>
        <v>0,000</v>
      </c>
      <c r="W901" t="str">
        <f t="shared" si="603"/>
        <v>Lista 4</v>
      </c>
      <c r="X901" t="str">
        <f t="shared" si="604"/>
        <v>Lista 5</v>
      </c>
      <c r="Y901" t="str">
        <f t="shared" si="605"/>
        <v>Oferta Gral.</v>
      </c>
      <c r="Z901" t="str">
        <f t="shared" si="606"/>
        <v>Rubro</v>
      </c>
      <c r="AA901" t="str">
        <f t="shared" si="607"/>
        <v>Cantidad por Bulto</v>
      </c>
      <c r="AB901" t="str">
        <f t="shared" si="608"/>
        <v>INNER</v>
      </c>
      <c r="AC901" t="str">
        <f t="shared" si="609"/>
        <v>Stock en Bultos</v>
      </c>
      <c r="AD901" t="str">
        <f t="shared" si="610"/>
        <v>SubDepósito</v>
      </c>
      <c r="AE901" t="str">
        <f t="shared" si="611"/>
        <v>Marca</v>
      </c>
      <c r="AF901" t="str">
        <f t="shared" si="612"/>
        <v>Super Rubro</v>
      </c>
      <c r="AG901" t="str">
        <f t="shared" si="613"/>
        <v>ComercioExterior</v>
      </c>
      <c r="AH901" t="str">
        <f t="shared" si="614"/>
        <v>PrecioFOB</v>
      </c>
      <c r="AI901" t="str">
        <f t="shared" si="615"/>
        <v>Monto II</v>
      </c>
      <c r="AJ901" t="str">
        <f t="shared" si="616"/>
        <v>Porcentaje II</v>
      </c>
      <c r="AK901" t="str">
        <f t="shared" si="617"/>
        <v>Foto</v>
      </c>
      <c r="AL901" t="str">
        <f>"{\rtf1\ansi\ansicpg1252\deff0\deflang2058{\fonttbl{\f0\fnil\fcharset0 MS Sans Serif}} \viewkind4\uc1\pard\f0\fs16 COJINETES BANCADA 1,00 FORD FIESTA 1.3 ENDURA VARILLERO\par } "</f>
        <v xml:space="preserve">{\rtf1\ansi\ansicpg1252\deff0\deflang2058{\fonttbl{\f0\fnil\fcharset0 MS Sans Serif}} \viewkind4\uc1\pard\f0\fs16 COJINETES BANCADA 1,00 FORD FIESTA 1.3 ENDURA VARILLERO\par } </v>
      </c>
      <c r="AM901" t="str">
        <f t="shared" si="598"/>
        <v xml:space="preserve"> </v>
      </c>
    </row>
    <row r="902" spans="1:39" x14ac:dyDescent="0.25">
      <c r="A902" t="str">
        <f>"BA679 40"</f>
        <v>BA679 40</v>
      </c>
      <c r="B902" t="str">
        <f>"COJINETES BANCADA 1,00 FORD FIESTA 1.4 TDCI PEUGEOT 307 1.6 HDI"</f>
        <v>COJINETES BANCADA 1,00 FORD FIESTA 1.4 TDCI PEUGEOT 307 1.6 HDI</v>
      </c>
      <c r="C902" t="str">
        <f>"$ 19086,06"</f>
        <v>$ 19086,06</v>
      </c>
      <c r="D902" t="str">
        <f>"$ 19086,06"</f>
        <v>$ 19086,06</v>
      </c>
      <c r="E902" t="str">
        <f>"$ 19086,06"</f>
        <v>$ 19086,06</v>
      </c>
      <c r="F902" t="str">
        <f>"$ 19086,06"</f>
        <v>$ 19086,06</v>
      </c>
      <c r="G902" t="str">
        <f>"$ 19086,06"</f>
        <v>$ 19086,06</v>
      </c>
      <c r="H902" t="str">
        <f t="shared" si="600"/>
        <v>$ 0,00</v>
      </c>
      <c r="I902" t="str">
        <f t="shared" si="586"/>
        <v>JUEGO COJINETES BANCADA</v>
      </c>
      <c r="J902" t="str">
        <f t="shared" si="601"/>
        <v>1</v>
      </c>
      <c r="K902" t="str">
        <f t="shared" si="584"/>
        <v>0</v>
      </c>
      <c r="L902" t="str">
        <f>"2,000"</f>
        <v>2,000</v>
      </c>
      <c r="M902" t="str">
        <f t="shared" si="602"/>
        <v xml:space="preserve"> </v>
      </c>
      <c r="N902" t="str">
        <f t="shared" si="590"/>
        <v>MPSI</v>
      </c>
      <c r="O902" t="str">
        <f t="shared" si="591"/>
        <v>COJINETES</v>
      </c>
      <c r="P902" t="str">
        <f t="shared" si="596"/>
        <v>0</v>
      </c>
      <c r="Q902" t="str">
        <f t="shared" si="596"/>
        <v>0</v>
      </c>
      <c r="R902" t="str">
        <f t="shared" si="597"/>
        <v>0,00</v>
      </c>
      <c r="S902" t="str">
        <f t="shared" si="597"/>
        <v>0,00</v>
      </c>
      <c r="T902" t="str">
        <f t="shared" si="583"/>
        <v xml:space="preserve"> </v>
      </c>
      <c r="U902" t="str">
        <f t="shared" si="594"/>
        <v>-</v>
      </c>
      <c r="V902" t="str">
        <f>"2,000"</f>
        <v>2,000</v>
      </c>
      <c r="W902" t="str">
        <f t="shared" si="603"/>
        <v>Lista 4</v>
      </c>
      <c r="X902" t="str">
        <f t="shared" si="604"/>
        <v>Lista 5</v>
      </c>
      <c r="Y902" t="str">
        <f t="shared" si="605"/>
        <v>Oferta Gral.</v>
      </c>
      <c r="Z902" t="str">
        <f t="shared" si="606"/>
        <v>Rubro</v>
      </c>
      <c r="AA902" t="str">
        <f t="shared" si="607"/>
        <v>Cantidad por Bulto</v>
      </c>
      <c r="AB902" t="str">
        <f t="shared" si="608"/>
        <v>INNER</v>
      </c>
      <c r="AC902" t="str">
        <f t="shared" si="609"/>
        <v>Stock en Bultos</v>
      </c>
      <c r="AD902" t="str">
        <f t="shared" si="610"/>
        <v>SubDepósito</v>
      </c>
      <c r="AE902" t="str">
        <f t="shared" si="611"/>
        <v>Marca</v>
      </c>
      <c r="AF902" t="str">
        <f t="shared" si="612"/>
        <v>Super Rubro</v>
      </c>
      <c r="AG902" t="str">
        <f t="shared" si="613"/>
        <v>ComercioExterior</v>
      </c>
      <c r="AH902" t="str">
        <f t="shared" si="614"/>
        <v>PrecioFOB</v>
      </c>
      <c r="AI902" t="str">
        <f t="shared" si="615"/>
        <v>Monto II</v>
      </c>
      <c r="AJ902" t="str">
        <f t="shared" si="616"/>
        <v>Porcentaje II</v>
      </c>
      <c r="AK902" t="str">
        <f t="shared" si="617"/>
        <v>Foto</v>
      </c>
      <c r="AL902" t="str">
        <f t="shared" ref="AL902:AL918" si="618">" "</f>
        <v xml:space="preserve"> </v>
      </c>
      <c r="AM902" t="str">
        <f t="shared" si="598"/>
        <v xml:space="preserve"> </v>
      </c>
    </row>
    <row r="903" spans="1:39" x14ac:dyDescent="0.25">
      <c r="A903" t="str">
        <f>"BA776 40"</f>
        <v>BA776 40</v>
      </c>
      <c r="B903" t="str">
        <f>"COJINETES BANCADA 1,00 FORD FIESTA COURIER FOCUS 1.8 DIESEL"</f>
        <v>COJINETES BANCADA 1,00 FORD FIESTA COURIER FOCUS 1.8 DIESEL</v>
      </c>
      <c r="C903" t="str">
        <f>"$ 20343,54"</f>
        <v>$ 20343,54</v>
      </c>
      <c r="D903" t="str">
        <f>"$ 20343,54"</f>
        <v>$ 20343,54</v>
      </c>
      <c r="E903" t="str">
        <f>"$ 20343,54"</f>
        <v>$ 20343,54</v>
      </c>
      <c r="F903" t="str">
        <f>"$ 20343,54"</f>
        <v>$ 20343,54</v>
      </c>
      <c r="G903" t="str">
        <f>"$ 20343,54"</f>
        <v>$ 20343,54</v>
      </c>
      <c r="H903" t="str">
        <f t="shared" si="600"/>
        <v>$ 0,00</v>
      </c>
      <c r="I903" t="str">
        <f t="shared" si="586"/>
        <v>JUEGO COJINETES BANCADA</v>
      </c>
      <c r="J903" t="str">
        <f t="shared" si="601"/>
        <v>1</v>
      </c>
      <c r="K903" t="str">
        <f t="shared" si="584"/>
        <v>0</v>
      </c>
      <c r="L903" t="str">
        <f>"4,000"</f>
        <v>4,000</v>
      </c>
      <c r="M903" t="str">
        <f t="shared" si="602"/>
        <v xml:space="preserve"> </v>
      </c>
      <c r="N903" t="str">
        <f t="shared" si="590"/>
        <v>MPSI</v>
      </c>
      <c r="O903" t="str">
        <f t="shared" si="591"/>
        <v>COJINETES</v>
      </c>
      <c r="P903" t="str">
        <f t="shared" ref="P903:Q922" si="619">"0"</f>
        <v>0</v>
      </c>
      <c r="Q903" t="str">
        <f t="shared" si="619"/>
        <v>0</v>
      </c>
      <c r="R903" t="str">
        <f t="shared" ref="R903:S922" si="620">"0,00"</f>
        <v>0,00</v>
      </c>
      <c r="S903" t="str">
        <f t="shared" si="620"/>
        <v>0,00</v>
      </c>
      <c r="T903" t="str">
        <f t="shared" si="583"/>
        <v xml:space="preserve"> </v>
      </c>
      <c r="U903" t="str">
        <f t="shared" si="594"/>
        <v>-</v>
      </c>
      <c r="V903" t="str">
        <f>"4,000"</f>
        <v>4,000</v>
      </c>
      <c r="W903" t="str">
        <f t="shared" si="603"/>
        <v>Lista 4</v>
      </c>
      <c r="X903" t="str">
        <f t="shared" si="604"/>
        <v>Lista 5</v>
      </c>
      <c r="Y903" t="str">
        <f t="shared" si="605"/>
        <v>Oferta Gral.</v>
      </c>
      <c r="Z903" t="str">
        <f t="shared" si="606"/>
        <v>Rubro</v>
      </c>
      <c r="AA903" t="str">
        <f t="shared" si="607"/>
        <v>Cantidad por Bulto</v>
      </c>
      <c r="AB903" t="str">
        <f t="shared" si="608"/>
        <v>INNER</v>
      </c>
      <c r="AC903" t="str">
        <f t="shared" si="609"/>
        <v>Stock en Bultos</v>
      </c>
      <c r="AD903" t="str">
        <f t="shared" si="610"/>
        <v>SubDepósito</v>
      </c>
      <c r="AE903" t="str">
        <f t="shared" si="611"/>
        <v>Marca</v>
      </c>
      <c r="AF903" t="str">
        <f t="shared" si="612"/>
        <v>Super Rubro</v>
      </c>
      <c r="AG903" t="str">
        <f t="shared" si="613"/>
        <v>ComercioExterior</v>
      </c>
      <c r="AH903" t="str">
        <f t="shared" si="614"/>
        <v>PrecioFOB</v>
      </c>
      <c r="AI903" t="str">
        <f t="shared" si="615"/>
        <v>Monto II</v>
      </c>
      <c r="AJ903" t="str">
        <f t="shared" si="616"/>
        <v>Porcentaje II</v>
      </c>
      <c r="AK903" t="str">
        <f t="shared" si="617"/>
        <v>Foto</v>
      </c>
      <c r="AL903" t="str">
        <f t="shared" si="618"/>
        <v xml:space="preserve"> </v>
      </c>
      <c r="AM903" t="str">
        <f t="shared" si="598"/>
        <v xml:space="preserve"> </v>
      </c>
    </row>
    <row r="904" spans="1:39" x14ac:dyDescent="0.25">
      <c r="A904" t="str">
        <f>"BA771 40"</f>
        <v>BA771 40</v>
      </c>
      <c r="B904" t="str">
        <f>"COJINETES BANCADA 1,00 FORD FOCUS FIESTA SIGMA 1.6 16V"</f>
        <v>COJINETES BANCADA 1,00 FORD FOCUS FIESTA SIGMA 1.6 16V</v>
      </c>
      <c r="C904" t="str">
        <f>"$ 26646,01"</f>
        <v>$ 26646,01</v>
      </c>
      <c r="D904" t="str">
        <f>"$ 26646,01"</f>
        <v>$ 26646,01</v>
      </c>
      <c r="E904" t="str">
        <f>"$ 26646,01"</f>
        <v>$ 26646,01</v>
      </c>
      <c r="F904" t="str">
        <f>"$ 26646,01"</f>
        <v>$ 26646,01</v>
      </c>
      <c r="G904" t="str">
        <f>"$ 26646,01"</f>
        <v>$ 26646,01</v>
      </c>
      <c r="H904" t="str">
        <f t="shared" si="600"/>
        <v>$ 0,00</v>
      </c>
      <c r="I904" t="str">
        <f t="shared" si="586"/>
        <v>JUEGO COJINETES BANCADA</v>
      </c>
      <c r="J904" t="str">
        <f t="shared" si="601"/>
        <v>1</v>
      </c>
      <c r="K904" t="str">
        <f t="shared" si="584"/>
        <v>0</v>
      </c>
      <c r="L904" t="str">
        <f>"3,000"</f>
        <v>3,000</v>
      </c>
      <c r="M904" t="str">
        <f t="shared" si="602"/>
        <v xml:space="preserve"> </v>
      </c>
      <c r="N904" t="str">
        <f t="shared" si="590"/>
        <v>MPSI</v>
      </c>
      <c r="O904" t="str">
        <f t="shared" si="591"/>
        <v>COJINETES</v>
      </c>
      <c r="P904" t="str">
        <f t="shared" si="619"/>
        <v>0</v>
      </c>
      <c r="Q904" t="str">
        <f t="shared" si="619"/>
        <v>0</v>
      </c>
      <c r="R904" t="str">
        <f t="shared" si="620"/>
        <v>0,00</v>
      </c>
      <c r="S904" t="str">
        <f t="shared" si="620"/>
        <v>0,00</v>
      </c>
      <c r="T904" t="str">
        <f t="shared" si="583"/>
        <v xml:space="preserve"> </v>
      </c>
      <c r="U904" t="str">
        <f t="shared" si="594"/>
        <v>-</v>
      </c>
      <c r="V904" t="str">
        <f>"3,000"</f>
        <v>3,000</v>
      </c>
      <c r="W904" t="str">
        <f t="shared" si="603"/>
        <v>Lista 4</v>
      </c>
      <c r="X904" t="str">
        <f t="shared" si="604"/>
        <v>Lista 5</v>
      </c>
      <c r="Y904" t="str">
        <f t="shared" si="605"/>
        <v>Oferta Gral.</v>
      </c>
      <c r="Z904" t="str">
        <f t="shared" si="606"/>
        <v>Rubro</v>
      </c>
      <c r="AA904" t="str">
        <f t="shared" si="607"/>
        <v>Cantidad por Bulto</v>
      </c>
      <c r="AB904" t="str">
        <f t="shared" si="608"/>
        <v>INNER</v>
      </c>
      <c r="AC904" t="str">
        <f t="shared" si="609"/>
        <v>Stock en Bultos</v>
      </c>
      <c r="AD904" t="str">
        <f t="shared" si="610"/>
        <v>SubDepósito</v>
      </c>
      <c r="AE904" t="str">
        <f t="shared" si="611"/>
        <v>Marca</v>
      </c>
      <c r="AF904" t="str">
        <f t="shared" si="612"/>
        <v>Super Rubro</v>
      </c>
      <c r="AG904" t="str">
        <f t="shared" si="613"/>
        <v>ComercioExterior</v>
      </c>
      <c r="AH904" t="str">
        <f t="shared" si="614"/>
        <v>PrecioFOB</v>
      </c>
      <c r="AI904" t="str">
        <f t="shared" si="615"/>
        <v>Monto II</v>
      </c>
      <c r="AJ904" t="str">
        <f t="shared" si="616"/>
        <v>Porcentaje II</v>
      </c>
      <c r="AK904" t="str">
        <f t="shared" si="617"/>
        <v>Foto</v>
      </c>
      <c r="AL904" t="str">
        <f t="shared" si="618"/>
        <v xml:space="preserve"> </v>
      </c>
      <c r="AM904" t="str">
        <f t="shared" si="598"/>
        <v xml:space="preserve"> </v>
      </c>
    </row>
    <row r="905" spans="1:39" x14ac:dyDescent="0.25">
      <c r="A905" t="str">
        <f>"BA404 40"</f>
        <v>BA404 40</v>
      </c>
      <c r="B905" t="str">
        <f>"COJINETES BANCADA 1,00 FORD RANGER 2.8 3.0 POWER STROKE"</f>
        <v>COJINETES BANCADA 1,00 FORD RANGER 2.8 3.0 POWER STROKE</v>
      </c>
      <c r="C905" t="str">
        <f>"$ 30183,91"</f>
        <v>$ 30183,91</v>
      </c>
      <c r="D905" t="str">
        <f>"$ 30183,91"</f>
        <v>$ 30183,91</v>
      </c>
      <c r="E905" t="str">
        <f>"$ 30183,91"</f>
        <v>$ 30183,91</v>
      </c>
      <c r="F905" t="str">
        <f>"$ 30183,91"</f>
        <v>$ 30183,91</v>
      </c>
      <c r="G905" t="str">
        <f>"$ 30183,91"</f>
        <v>$ 30183,91</v>
      </c>
      <c r="H905" t="str">
        <f t="shared" si="600"/>
        <v>$ 0,00</v>
      </c>
      <c r="I905" t="str">
        <f t="shared" si="586"/>
        <v>JUEGO COJINETES BANCADA</v>
      </c>
      <c r="J905" t="str">
        <f t="shared" si="601"/>
        <v>1</v>
      </c>
      <c r="K905" t="str">
        <f t="shared" si="584"/>
        <v>0</v>
      </c>
      <c r="L905" t="str">
        <f>"0,000"</f>
        <v>0,000</v>
      </c>
      <c r="M905" t="str">
        <f t="shared" si="602"/>
        <v xml:space="preserve"> </v>
      </c>
      <c r="N905" t="str">
        <f t="shared" si="590"/>
        <v>MPSI</v>
      </c>
      <c r="O905" t="str">
        <f t="shared" si="591"/>
        <v>COJINETES</v>
      </c>
      <c r="P905" t="str">
        <f t="shared" si="619"/>
        <v>0</v>
      </c>
      <c r="Q905" t="str">
        <f t="shared" si="619"/>
        <v>0</v>
      </c>
      <c r="R905" t="str">
        <f t="shared" si="620"/>
        <v>0,00</v>
      </c>
      <c r="S905" t="str">
        <f t="shared" si="620"/>
        <v>0,00</v>
      </c>
      <c r="T905" t="str">
        <f t="shared" si="583"/>
        <v xml:space="preserve"> </v>
      </c>
      <c r="U905" t="str">
        <f t="shared" si="594"/>
        <v>-</v>
      </c>
      <c r="V905" t="str">
        <f>"0,000"</f>
        <v>0,000</v>
      </c>
      <c r="W905" t="str">
        <f t="shared" si="603"/>
        <v>Lista 4</v>
      </c>
      <c r="X905" t="str">
        <f t="shared" si="604"/>
        <v>Lista 5</v>
      </c>
      <c r="Y905" t="str">
        <f t="shared" si="605"/>
        <v>Oferta Gral.</v>
      </c>
      <c r="Z905" t="str">
        <f t="shared" si="606"/>
        <v>Rubro</v>
      </c>
      <c r="AA905" t="str">
        <f t="shared" si="607"/>
        <v>Cantidad por Bulto</v>
      </c>
      <c r="AB905" t="str">
        <f t="shared" si="608"/>
        <v>INNER</v>
      </c>
      <c r="AC905" t="str">
        <f t="shared" si="609"/>
        <v>Stock en Bultos</v>
      </c>
      <c r="AD905" t="str">
        <f t="shared" si="610"/>
        <v>SubDepósito</v>
      </c>
      <c r="AE905" t="str">
        <f t="shared" si="611"/>
        <v>Marca</v>
      </c>
      <c r="AF905" t="str">
        <f t="shared" si="612"/>
        <v>Super Rubro</v>
      </c>
      <c r="AG905" t="str">
        <f t="shared" si="613"/>
        <v>ComercioExterior</v>
      </c>
      <c r="AH905" t="str">
        <f t="shared" si="614"/>
        <v>PrecioFOB</v>
      </c>
      <c r="AI905" t="str">
        <f t="shared" si="615"/>
        <v>Monto II</v>
      </c>
      <c r="AJ905" t="str">
        <f t="shared" si="616"/>
        <v>Porcentaje II</v>
      </c>
      <c r="AK905" t="str">
        <f t="shared" si="617"/>
        <v>Foto</v>
      </c>
      <c r="AL905" t="str">
        <f t="shared" si="618"/>
        <v xml:space="preserve"> </v>
      </c>
      <c r="AM905" t="str">
        <f t="shared" si="598"/>
        <v xml:space="preserve"> </v>
      </c>
    </row>
    <row r="906" spans="1:39" x14ac:dyDescent="0.25">
      <c r="A906" t="str">
        <f>"BA203 40"</f>
        <v>BA203 40</v>
      </c>
      <c r="B906" t="str">
        <f>"COJINETES BANCADA 1,00 FORD SIERRA 1600"</f>
        <v>COJINETES BANCADA 1,00 FORD SIERRA 1600</v>
      </c>
      <c r="C906" t="str">
        <f>"$ 24057,75"</f>
        <v>$ 24057,75</v>
      </c>
      <c r="D906" t="str">
        <f>"$ 24057,75"</f>
        <v>$ 24057,75</v>
      </c>
      <c r="E906" t="str">
        <f>"$ 24057,75"</f>
        <v>$ 24057,75</v>
      </c>
      <c r="F906" t="str">
        <f>"$ 24057,75"</f>
        <v>$ 24057,75</v>
      </c>
      <c r="G906" t="str">
        <f>"$ 24057,75"</f>
        <v>$ 24057,75</v>
      </c>
      <c r="H906" t="str">
        <f t="shared" si="600"/>
        <v>$ 0,00</v>
      </c>
      <c r="I906" t="str">
        <f t="shared" si="586"/>
        <v>JUEGO COJINETES BANCADA</v>
      </c>
      <c r="J906" t="str">
        <f t="shared" si="601"/>
        <v>1</v>
      </c>
      <c r="K906" t="str">
        <f t="shared" si="584"/>
        <v>0</v>
      </c>
      <c r="L906" t="str">
        <f>"4,000"</f>
        <v>4,000</v>
      </c>
      <c r="M906" t="str">
        <f t="shared" si="602"/>
        <v xml:space="preserve"> </v>
      </c>
      <c r="N906" t="str">
        <f t="shared" si="590"/>
        <v>MPSI</v>
      </c>
      <c r="O906" t="str">
        <f t="shared" si="591"/>
        <v>COJINETES</v>
      </c>
      <c r="P906" t="str">
        <f t="shared" si="619"/>
        <v>0</v>
      </c>
      <c r="Q906" t="str">
        <f t="shared" si="619"/>
        <v>0</v>
      </c>
      <c r="R906" t="str">
        <f t="shared" si="620"/>
        <v>0,00</v>
      </c>
      <c r="S906" t="str">
        <f t="shared" si="620"/>
        <v>0,00</v>
      </c>
      <c r="T906" t="str">
        <f t="shared" si="583"/>
        <v xml:space="preserve"> </v>
      </c>
      <c r="U906" t="str">
        <f t="shared" si="594"/>
        <v>-</v>
      </c>
      <c r="V906" t="str">
        <f>"4,000"</f>
        <v>4,000</v>
      </c>
      <c r="W906" t="str">
        <f t="shared" si="603"/>
        <v>Lista 4</v>
      </c>
      <c r="X906" t="str">
        <f t="shared" si="604"/>
        <v>Lista 5</v>
      </c>
      <c r="Y906" t="str">
        <f t="shared" si="605"/>
        <v>Oferta Gral.</v>
      </c>
      <c r="Z906" t="str">
        <f t="shared" si="606"/>
        <v>Rubro</v>
      </c>
      <c r="AA906" t="str">
        <f t="shared" si="607"/>
        <v>Cantidad por Bulto</v>
      </c>
      <c r="AB906" t="str">
        <f t="shared" si="608"/>
        <v>INNER</v>
      </c>
      <c r="AC906" t="str">
        <f t="shared" si="609"/>
        <v>Stock en Bultos</v>
      </c>
      <c r="AD906" t="str">
        <f t="shared" si="610"/>
        <v>SubDepósito</v>
      </c>
      <c r="AE906" t="str">
        <f t="shared" si="611"/>
        <v>Marca</v>
      </c>
      <c r="AF906" t="str">
        <f t="shared" si="612"/>
        <v>Super Rubro</v>
      </c>
      <c r="AG906" t="str">
        <f t="shared" si="613"/>
        <v>ComercioExterior</v>
      </c>
      <c r="AH906" t="str">
        <f t="shared" si="614"/>
        <v>PrecioFOB</v>
      </c>
      <c r="AI906" t="str">
        <f t="shared" si="615"/>
        <v>Monto II</v>
      </c>
      <c r="AJ906" t="str">
        <f t="shared" si="616"/>
        <v>Porcentaje II</v>
      </c>
      <c r="AK906" t="str">
        <f t="shared" si="617"/>
        <v>Foto</v>
      </c>
      <c r="AL906" t="str">
        <f t="shared" si="618"/>
        <v xml:space="preserve"> </v>
      </c>
      <c r="AM906" t="str">
        <f t="shared" si="598"/>
        <v xml:space="preserve"> </v>
      </c>
    </row>
    <row r="907" spans="1:39" x14ac:dyDescent="0.25">
      <c r="A907" t="str">
        <f>"BA201 40"</f>
        <v>BA201 40</v>
      </c>
      <c r="B907" t="str">
        <f>"COJINETES BANCADA 1,00 FORD TAUNUS 2.0 2.3"</f>
        <v>COJINETES BANCADA 1,00 FORD TAUNUS 2.0 2.3</v>
      </c>
      <c r="C907" t="str">
        <f>"$ 44894,15"</f>
        <v>$ 44894,15</v>
      </c>
      <c r="D907" t="str">
        <f>"$ 44894,15"</f>
        <v>$ 44894,15</v>
      </c>
      <c r="E907" t="str">
        <f>"$ 44894,15"</f>
        <v>$ 44894,15</v>
      </c>
      <c r="F907" t="str">
        <f>"$ 44894,15"</f>
        <v>$ 44894,15</v>
      </c>
      <c r="G907" t="str">
        <f>"$ 44894,15"</f>
        <v>$ 44894,15</v>
      </c>
      <c r="H907" t="str">
        <f t="shared" si="600"/>
        <v>$ 0,00</v>
      </c>
      <c r="I907" t="str">
        <f t="shared" si="586"/>
        <v>JUEGO COJINETES BANCADA</v>
      </c>
      <c r="J907" t="str">
        <f t="shared" si="601"/>
        <v>1</v>
      </c>
      <c r="K907" t="str">
        <f t="shared" si="584"/>
        <v>0</v>
      </c>
      <c r="L907" t="str">
        <f>"5,000"</f>
        <v>5,000</v>
      </c>
      <c r="M907" t="str">
        <f t="shared" si="602"/>
        <v xml:space="preserve"> </v>
      </c>
      <c r="N907" t="str">
        <f t="shared" si="590"/>
        <v>MPSI</v>
      </c>
      <c r="O907" t="str">
        <f t="shared" si="591"/>
        <v>COJINETES</v>
      </c>
      <c r="P907" t="str">
        <f t="shared" si="619"/>
        <v>0</v>
      </c>
      <c r="Q907" t="str">
        <f t="shared" si="619"/>
        <v>0</v>
      </c>
      <c r="R907" t="str">
        <f t="shared" si="620"/>
        <v>0,00</v>
      </c>
      <c r="S907" t="str">
        <f t="shared" si="620"/>
        <v>0,00</v>
      </c>
      <c r="T907" t="str">
        <f t="shared" si="583"/>
        <v xml:space="preserve"> </v>
      </c>
      <c r="U907" t="str">
        <f t="shared" si="594"/>
        <v>-</v>
      </c>
      <c r="V907" t="str">
        <f>"5,000"</f>
        <v>5,000</v>
      </c>
      <c r="W907" t="str">
        <f t="shared" si="603"/>
        <v>Lista 4</v>
      </c>
      <c r="X907" t="str">
        <f t="shared" si="604"/>
        <v>Lista 5</v>
      </c>
      <c r="Y907" t="str">
        <f t="shared" si="605"/>
        <v>Oferta Gral.</v>
      </c>
      <c r="Z907" t="str">
        <f t="shared" si="606"/>
        <v>Rubro</v>
      </c>
      <c r="AA907" t="str">
        <f t="shared" si="607"/>
        <v>Cantidad por Bulto</v>
      </c>
      <c r="AB907" t="str">
        <f t="shared" si="608"/>
        <v>INNER</v>
      </c>
      <c r="AC907" t="str">
        <f t="shared" si="609"/>
        <v>Stock en Bultos</v>
      </c>
      <c r="AD907" t="str">
        <f t="shared" si="610"/>
        <v>SubDepósito</v>
      </c>
      <c r="AE907" t="str">
        <f t="shared" si="611"/>
        <v>Marca</v>
      </c>
      <c r="AF907" t="str">
        <f t="shared" si="612"/>
        <v>Super Rubro</v>
      </c>
      <c r="AG907" t="str">
        <f t="shared" si="613"/>
        <v>ComercioExterior</v>
      </c>
      <c r="AH907" t="str">
        <f t="shared" si="614"/>
        <v>PrecioFOB</v>
      </c>
      <c r="AI907" t="str">
        <f t="shared" si="615"/>
        <v>Monto II</v>
      </c>
      <c r="AJ907" t="str">
        <f t="shared" si="616"/>
        <v>Porcentaje II</v>
      </c>
      <c r="AK907" t="str">
        <f t="shared" si="617"/>
        <v>Foto</v>
      </c>
      <c r="AL907" t="str">
        <f t="shared" si="618"/>
        <v xml:space="preserve"> </v>
      </c>
      <c r="AM907" t="str">
        <f t="shared" si="598"/>
        <v xml:space="preserve"> </v>
      </c>
    </row>
    <row r="908" spans="1:39" x14ac:dyDescent="0.25">
      <c r="A908" t="str">
        <f>"BA774 40"</f>
        <v>BA774 40</v>
      </c>
      <c r="B908" t="str">
        <f>"COJINETES BANCADA 1,00 FORD TRANSIT 2,5 DIESEL 2401E"</f>
        <v>COJINETES BANCADA 1,00 FORD TRANSIT 2,5 DIESEL 2401E</v>
      </c>
      <c r="C908" t="str">
        <f>"$ 30314,26"</f>
        <v>$ 30314,26</v>
      </c>
      <c r="D908" t="str">
        <f>"$ 30314,26"</f>
        <v>$ 30314,26</v>
      </c>
      <c r="E908" t="str">
        <f>"$ 30314,26"</f>
        <v>$ 30314,26</v>
      </c>
      <c r="F908" t="str">
        <f>"$ 30314,26"</f>
        <v>$ 30314,26</v>
      </c>
      <c r="G908" t="str">
        <f>"$ 30314,26"</f>
        <v>$ 30314,26</v>
      </c>
      <c r="H908" t="str">
        <f t="shared" si="600"/>
        <v>$ 0,00</v>
      </c>
      <c r="I908" t="str">
        <f t="shared" si="586"/>
        <v>JUEGO COJINETES BANCADA</v>
      </c>
      <c r="J908" t="str">
        <f t="shared" si="601"/>
        <v>1</v>
      </c>
      <c r="K908" t="str">
        <f t="shared" si="584"/>
        <v>0</v>
      </c>
      <c r="L908" t="str">
        <f>"0,000"</f>
        <v>0,000</v>
      </c>
      <c r="M908" t="str">
        <f t="shared" si="602"/>
        <v xml:space="preserve"> </v>
      </c>
      <c r="N908" t="str">
        <f t="shared" si="590"/>
        <v>MPSI</v>
      </c>
      <c r="O908" t="str">
        <f t="shared" si="591"/>
        <v>COJINETES</v>
      </c>
      <c r="P908" t="str">
        <f t="shared" si="619"/>
        <v>0</v>
      </c>
      <c r="Q908" t="str">
        <f t="shared" si="619"/>
        <v>0</v>
      </c>
      <c r="R908" t="str">
        <f t="shared" si="620"/>
        <v>0,00</v>
      </c>
      <c r="S908" t="str">
        <f t="shared" si="620"/>
        <v>0,00</v>
      </c>
      <c r="T908" t="str">
        <f t="shared" si="583"/>
        <v xml:space="preserve"> </v>
      </c>
      <c r="U908" t="str">
        <f t="shared" si="594"/>
        <v>-</v>
      </c>
      <c r="V908" t="str">
        <f>"0,000"</f>
        <v>0,000</v>
      </c>
      <c r="W908" t="str">
        <f t="shared" si="603"/>
        <v>Lista 4</v>
      </c>
      <c r="X908" t="str">
        <f t="shared" si="604"/>
        <v>Lista 5</v>
      </c>
      <c r="Y908" t="str">
        <f t="shared" si="605"/>
        <v>Oferta Gral.</v>
      </c>
      <c r="Z908" t="str">
        <f t="shared" si="606"/>
        <v>Rubro</v>
      </c>
      <c r="AA908" t="str">
        <f t="shared" si="607"/>
        <v>Cantidad por Bulto</v>
      </c>
      <c r="AB908" t="str">
        <f t="shared" si="608"/>
        <v>INNER</v>
      </c>
      <c r="AC908" t="str">
        <f t="shared" si="609"/>
        <v>Stock en Bultos</v>
      </c>
      <c r="AD908" t="str">
        <f t="shared" si="610"/>
        <v>SubDepósito</v>
      </c>
      <c r="AE908" t="str">
        <f t="shared" si="611"/>
        <v>Marca</v>
      </c>
      <c r="AF908" t="str">
        <f t="shared" si="612"/>
        <v>Super Rubro</v>
      </c>
      <c r="AG908" t="str">
        <f t="shared" si="613"/>
        <v>ComercioExterior</v>
      </c>
      <c r="AH908" t="str">
        <f t="shared" si="614"/>
        <v>PrecioFOB</v>
      </c>
      <c r="AI908" t="str">
        <f t="shared" si="615"/>
        <v>Monto II</v>
      </c>
      <c r="AJ908" t="str">
        <f t="shared" si="616"/>
        <v>Porcentaje II</v>
      </c>
      <c r="AK908" t="str">
        <f t="shared" si="617"/>
        <v>Foto</v>
      </c>
      <c r="AL908" t="str">
        <f t="shared" si="618"/>
        <v xml:space="preserve"> </v>
      </c>
      <c r="AM908" t="str">
        <f t="shared" si="598"/>
        <v xml:space="preserve"> </v>
      </c>
    </row>
    <row r="909" spans="1:39" x14ac:dyDescent="0.25">
      <c r="A909" t="str">
        <f>"BA235 40"</f>
        <v>BA235 40</v>
      </c>
      <c r="B909" t="str">
        <f>"COJINETES BANCADA 1,00 IKA CONTINENTAL"</f>
        <v>COJINETES BANCADA 1,00 IKA CONTINENTAL</v>
      </c>
      <c r="C909" t="str">
        <f>"$ 47594,13"</f>
        <v>$ 47594,13</v>
      </c>
      <c r="D909" t="str">
        <f>"$ 47594,13"</f>
        <v>$ 47594,13</v>
      </c>
      <c r="E909" t="str">
        <f>"$ 47594,13"</f>
        <v>$ 47594,13</v>
      </c>
      <c r="F909" t="str">
        <f>"$ 47594,13"</f>
        <v>$ 47594,13</v>
      </c>
      <c r="G909" t="str">
        <f>"$ 47594,13"</f>
        <v>$ 47594,13</v>
      </c>
      <c r="H909" t="str">
        <f t="shared" si="600"/>
        <v>$ 0,00</v>
      </c>
      <c r="I909" t="str">
        <f t="shared" si="586"/>
        <v>JUEGO COJINETES BANCADA</v>
      </c>
      <c r="J909" t="str">
        <f t="shared" si="601"/>
        <v>1</v>
      </c>
      <c r="K909" t="str">
        <f t="shared" si="584"/>
        <v>0</v>
      </c>
      <c r="L909" t="str">
        <f>"0,000"</f>
        <v>0,000</v>
      </c>
      <c r="M909" t="str">
        <f t="shared" si="602"/>
        <v xml:space="preserve"> </v>
      </c>
      <c r="N909" t="str">
        <f t="shared" si="590"/>
        <v>MPSI</v>
      </c>
      <c r="O909" t="str">
        <f t="shared" si="591"/>
        <v>COJINETES</v>
      </c>
      <c r="P909" t="str">
        <f t="shared" si="619"/>
        <v>0</v>
      </c>
      <c r="Q909" t="str">
        <f t="shared" si="619"/>
        <v>0</v>
      </c>
      <c r="R909" t="str">
        <f t="shared" si="620"/>
        <v>0,00</v>
      </c>
      <c r="S909" t="str">
        <f t="shared" si="620"/>
        <v>0,00</v>
      </c>
      <c r="T909" t="str">
        <f t="shared" si="583"/>
        <v xml:space="preserve"> </v>
      </c>
      <c r="U909" t="str">
        <f t="shared" si="594"/>
        <v>-</v>
      </c>
      <c r="V909" t="str">
        <f>"0,000"</f>
        <v>0,000</v>
      </c>
      <c r="W909" t="str">
        <f t="shared" si="603"/>
        <v>Lista 4</v>
      </c>
      <c r="X909" t="str">
        <f t="shared" si="604"/>
        <v>Lista 5</v>
      </c>
      <c r="Y909" t="str">
        <f t="shared" si="605"/>
        <v>Oferta Gral.</v>
      </c>
      <c r="Z909" t="str">
        <f t="shared" si="606"/>
        <v>Rubro</v>
      </c>
      <c r="AA909" t="str">
        <f t="shared" si="607"/>
        <v>Cantidad por Bulto</v>
      </c>
      <c r="AB909" t="str">
        <f t="shared" si="608"/>
        <v>INNER</v>
      </c>
      <c r="AC909" t="str">
        <f t="shared" si="609"/>
        <v>Stock en Bultos</v>
      </c>
      <c r="AD909" t="str">
        <f t="shared" si="610"/>
        <v>SubDepósito</v>
      </c>
      <c r="AE909" t="str">
        <f t="shared" si="611"/>
        <v>Marca</v>
      </c>
      <c r="AF909" t="str">
        <f t="shared" si="612"/>
        <v>Super Rubro</v>
      </c>
      <c r="AG909" t="str">
        <f t="shared" si="613"/>
        <v>ComercioExterior</v>
      </c>
      <c r="AH909" t="str">
        <f t="shared" si="614"/>
        <v>PrecioFOB</v>
      </c>
      <c r="AI909" t="str">
        <f t="shared" si="615"/>
        <v>Monto II</v>
      </c>
      <c r="AJ909" t="str">
        <f t="shared" si="616"/>
        <v>Porcentaje II</v>
      </c>
      <c r="AK909" t="str">
        <f t="shared" si="617"/>
        <v>Foto</v>
      </c>
      <c r="AL909" t="str">
        <f t="shared" si="618"/>
        <v xml:space="preserve"> </v>
      </c>
      <c r="AM909" t="str">
        <f t="shared" si="598"/>
        <v xml:space="preserve"> </v>
      </c>
    </row>
    <row r="910" spans="1:39" x14ac:dyDescent="0.25">
      <c r="A910" t="str">
        <f>"BA885 40"</f>
        <v>BA885 40</v>
      </c>
      <c r="B910" t="str">
        <f>"COJINETES BANCADA 1,00 IVECO DAILY 2.5 2.8"</f>
        <v>COJINETES BANCADA 1,00 IVECO DAILY 2.5 2.8</v>
      </c>
      <c r="C910" t="str">
        <f>"$ 78349,88"</f>
        <v>$ 78349,88</v>
      </c>
      <c r="D910" t="str">
        <f>"$ 78349,88"</f>
        <v>$ 78349,88</v>
      </c>
      <c r="E910" t="str">
        <f>"$ 78349,88"</f>
        <v>$ 78349,88</v>
      </c>
      <c r="F910" t="str">
        <f>"$ 78349,88"</f>
        <v>$ 78349,88</v>
      </c>
      <c r="G910" t="str">
        <f>"$ 78349,88"</f>
        <v>$ 78349,88</v>
      </c>
      <c r="H910" t="str">
        <f t="shared" si="600"/>
        <v>$ 0,00</v>
      </c>
      <c r="I910" t="str">
        <f t="shared" si="586"/>
        <v>JUEGO COJINETES BANCADA</v>
      </c>
      <c r="J910" t="str">
        <f t="shared" si="601"/>
        <v>1</v>
      </c>
      <c r="K910" t="str">
        <f t="shared" si="584"/>
        <v>0</v>
      </c>
      <c r="L910" t="str">
        <f>"0,000"</f>
        <v>0,000</v>
      </c>
      <c r="M910" t="str">
        <f t="shared" si="602"/>
        <v xml:space="preserve"> </v>
      </c>
      <c r="N910" t="str">
        <f t="shared" si="590"/>
        <v>MPSI</v>
      </c>
      <c r="O910" t="str">
        <f t="shared" si="591"/>
        <v>COJINETES</v>
      </c>
      <c r="P910" t="str">
        <f t="shared" si="619"/>
        <v>0</v>
      </c>
      <c r="Q910" t="str">
        <f t="shared" si="619"/>
        <v>0</v>
      </c>
      <c r="R910" t="str">
        <f t="shared" si="620"/>
        <v>0,00</v>
      </c>
      <c r="S910" t="str">
        <f t="shared" si="620"/>
        <v>0,00</v>
      </c>
      <c r="T910" t="str">
        <f t="shared" si="583"/>
        <v xml:space="preserve"> </v>
      </c>
      <c r="U910" t="str">
        <f t="shared" si="594"/>
        <v>-</v>
      </c>
      <c r="V910" t="str">
        <f>"0,000"</f>
        <v>0,000</v>
      </c>
      <c r="W910" t="str">
        <f t="shared" si="603"/>
        <v>Lista 4</v>
      </c>
      <c r="X910" t="str">
        <f t="shared" si="604"/>
        <v>Lista 5</v>
      </c>
      <c r="Y910" t="str">
        <f t="shared" si="605"/>
        <v>Oferta Gral.</v>
      </c>
      <c r="Z910" t="str">
        <f t="shared" si="606"/>
        <v>Rubro</v>
      </c>
      <c r="AA910" t="str">
        <f t="shared" si="607"/>
        <v>Cantidad por Bulto</v>
      </c>
      <c r="AB910" t="str">
        <f t="shared" si="608"/>
        <v>INNER</v>
      </c>
      <c r="AC910" t="str">
        <f t="shared" si="609"/>
        <v>Stock en Bultos</v>
      </c>
      <c r="AD910" t="str">
        <f t="shared" si="610"/>
        <v>SubDepósito</v>
      </c>
      <c r="AE910" t="str">
        <f t="shared" si="611"/>
        <v>Marca</v>
      </c>
      <c r="AF910" t="str">
        <f t="shared" si="612"/>
        <v>Super Rubro</v>
      </c>
      <c r="AG910" t="str">
        <f t="shared" si="613"/>
        <v>ComercioExterior</v>
      </c>
      <c r="AH910" t="str">
        <f t="shared" si="614"/>
        <v>PrecioFOB</v>
      </c>
      <c r="AI910" t="str">
        <f t="shared" si="615"/>
        <v>Monto II</v>
      </c>
      <c r="AJ910" t="str">
        <f t="shared" si="616"/>
        <v>Porcentaje II</v>
      </c>
      <c r="AK910" t="str">
        <f t="shared" si="617"/>
        <v>Foto</v>
      </c>
      <c r="AL910" t="str">
        <f t="shared" si="618"/>
        <v xml:space="preserve"> </v>
      </c>
      <c r="AM910" t="str">
        <f t="shared" si="598"/>
        <v xml:space="preserve"> </v>
      </c>
    </row>
    <row r="911" spans="1:39" x14ac:dyDescent="0.25">
      <c r="A911" t="str">
        <f>"BA844 40"</f>
        <v>BA844 40</v>
      </c>
      <c r="B911" t="str">
        <f>"COJINETES BANCADA 1,00 MAXION 2.5 SPRINTER FORD F100 CHEVROLET S10"</f>
        <v>COJINETES BANCADA 1,00 MAXION 2.5 SPRINTER FORD F100 CHEVROLET S10</v>
      </c>
      <c r="C911" t="str">
        <f>"$ 27003,52"</f>
        <v>$ 27003,52</v>
      </c>
      <c r="D911" t="str">
        <f>"$ 27003,52"</f>
        <v>$ 27003,52</v>
      </c>
      <c r="E911" t="str">
        <f>"$ 27003,52"</f>
        <v>$ 27003,52</v>
      </c>
      <c r="F911" t="str">
        <f>"$ 27003,52"</f>
        <v>$ 27003,52</v>
      </c>
      <c r="G911" t="str">
        <f>"$ 27003,52"</f>
        <v>$ 27003,52</v>
      </c>
      <c r="H911" t="str">
        <f t="shared" si="600"/>
        <v>$ 0,00</v>
      </c>
      <c r="I911" t="str">
        <f t="shared" si="586"/>
        <v>JUEGO COJINETES BANCADA</v>
      </c>
      <c r="J911" t="str">
        <f t="shared" si="601"/>
        <v>1</v>
      </c>
      <c r="K911" t="str">
        <f t="shared" si="584"/>
        <v>0</v>
      </c>
      <c r="L911" t="str">
        <f>"6,000"</f>
        <v>6,000</v>
      </c>
      <c r="M911" t="str">
        <f t="shared" si="602"/>
        <v xml:space="preserve"> </v>
      </c>
      <c r="N911" t="str">
        <f t="shared" si="590"/>
        <v>MPSI</v>
      </c>
      <c r="O911" t="str">
        <f t="shared" si="591"/>
        <v>COJINETES</v>
      </c>
      <c r="P911" t="str">
        <f t="shared" si="619"/>
        <v>0</v>
      </c>
      <c r="Q911" t="str">
        <f t="shared" si="619"/>
        <v>0</v>
      </c>
      <c r="R911" t="str">
        <f t="shared" si="620"/>
        <v>0,00</v>
      </c>
      <c r="S911" t="str">
        <f t="shared" si="620"/>
        <v>0,00</v>
      </c>
      <c r="T911" t="str">
        <f t="shared" si="583"/>
        <v xml:space="preserve"> </v>
      </c>
      <c r="U911" t="str">
        <f t="shared" si="594"/>
        <v>-</v>
      </c>
      <c r="V911" t="str">
        <f>"6,000"</f>
        <v>6,000</v>
      </c>
      <c r="W911" t="str">
        <f t="shared" si="603"/>
        <v>Lista 4</v>
      </c>
      <c r="X911" t="str">
        <f t="shared" si="604"/>
        <v>Lista 5</v>
      </c>
      <c r="Y911" t="str">
        <f t="shared" si="605"/>
        <v>Oferta Gral.</v>
      </c>
      <c r="Z911" t="str">
        <f t="shared" si="606"/>
        <v>Rubro</v>
      </c>
      <c r="AA911" t="str">
        <f t="shared" si="607"/>
        <v>Cantidad por Bulto</v>
      </c>
      <c r="AB911" t="str">
        <f t="shared" si="608"/>
        <v>INNER</v>
      </c>
      <c r="AC911" t="str">
        <f t="shared" si="609"/>
        <v>Stock en Bultos</v>
      </c>
      <c r="AD911" t="str">
        <f t="shared" si="610"/>
        <v>SubDepósito</v>
      </c>
      <c r="AE911" t="str">
        <f t="shared" si="611"/>
        <v>Marca</v>
      </c>
      <c r="AF911" t="str">
        <f t="shared" si="612"/>
        <v>Super Rubro</v>
      </c>
      <c r="AG911" t="str">
        <f t="shared" si="613"/>
        <v>ComercioExterior</v>
      </c>
      <c r="AH911" t="str">
        <f t="shared" si="614"/>
        <v>PrecioFOB</v>
      </c>
      <c r="AI911" t="str">
        <f t="shared" si="615"/>
        <v>Monto II</v>
      </c>
      <c r="AJ911" t="str">
        <f t="shared" si="616"/>
        <v>Porcentaje II</v>
      </c>
      <c r="AK911" t="str">
        <f t="shared" si="617"/>
        <v>Foto</v>
      </c>
      <c r="AL911" t="str">
        <f t="shared" si="618"/>
        <v xml:space="preserve"> </v>
      </c>
      <c r="AM911" t="str">
        <f t="shared" si="598"/>
        <v xml:space="preserve"> </v>
      </c>
    </row>
    <row r="912" spans="1:39" x14ac:dyDescent="0.25">
      <c r="A912" t="str">
        <f>"BA392 40"</f>
        <v>BA392 40</v>
      </c>
      <c r="B912" t="str">
        <f>"COJINETES BANCADA 1,00 PERKINS 6-354 FASE 2"</f>
        <v>COJINETES BANCADA 1,00 PERKINS 6-354 FASE 2</v>
      </c>
      <c r="C912" t="str">
        <f>"$ 58122,03"</f>
        <v>$ 58122,03</v>
      </c>
      <c r="D912" t="str">
        <f>"$ 58122,03"</f>
        <v>$ 58122,03</v>
      </c>
      <c r="E912" t="str">
        <f>"$ 58122,03"</f>
        <v>$ 58122,03</v>
      </c>
      <c r="F912" t="str">
        <f>"$ 58122,03"</f>
        <v>$ 58122,03</v>
      </c>
      <c r="G912" t="str">
        <f>"$ 58122,03"</f>
        <v>$ 58122,03</v>
      </c>
      <c r="H912" t="str">
        <f t="shared" si="600"/>
        <v>$ 0,00</v>
      </c>
      <c r="I912" t="str">
        <f t="shared" si="586"/>
        <v>JUEGO COJINETES BANCADA</v>
      </c>
      <c r="J912" t="str">
        <f t="shared" si="601"/>
        <v>1</v>
      </c>
      <c r="K912" t="str">
        <f t="shared" si="584"/>
        <v>0</v>
      </c>
      <c r="L912" t="str">
        <f>"4,000"</f>
        <v>4,000</v>
      </c>
      <c r="M912" t="str">
        <f t="shared" si="602"/>
        <v xml:space="preserve"> </v>
      </c>
      <c r="N912" t="str">
        <f t="shared" si="590"/>
        <v>MPSI</v>
      </c>
      <c r="O912" t="str">
        <f t="shared" si="591"/>
        <v>COJINETES</v>
      </c>
      <c r="P912" t="str">
        <f t="shared" si="619"/>
        <v>0</v>
      </c>
      <c r="Q912" t="str">
        <f t="shared" si="619"/>
        <v>0</v>
      </c>
      <c r="R912" t="str">
        <f t="shared" si="620"/>
        <v>0,00</v>
      </c>
      <c r="S912" t="str">
        <f t="shared" si="620"/>
        <v>0,00</v>
      </c>
      <c r="T912" t="str">
        <f t="shared" si="583"/>
        <v xml:space="preserve"> </v>
      </c>
      <c r="U912" t="str">
        <f t="shared" si="594"/>
        <v>-</v>
      </c>
      <c r="V912" t="str">
        <f>"4,000"</f>
        <v>4,000</v>
      </c>
      <c r="W912" t="str">
        <f t="shared" si="603"/>
        <v>Lista 4</v>
      </c>
      <c r="X912" t="str">
        <f t="shared" si="604"/>
        <v>Lista 5</v>
      </c>
      <c r="Y912" t="str">
        <f t="shared" si="605"/>
        <v>Oferta Gral.</v>
      </c>
      <c r="Z912" t="str">
        <f t="shared" si="606"/>
        <v>Rubro</v>
      </c>
      <c r="AA912" t="str">
        <f t="shared" si="607"/>
        <v>Cantidad por Bulto</v>
      </c>
      <c r="AB912" t="str">
        <f t="shared" si="608"/>
        <v>INNER</v>
      </c>
      <c r="AC912" t="str">
        <f t="shared" si="609"/>
        <v>Stock en Bultos</v>
      </c>
      <c r="AD912" t="str">
        <f t="shared" si="610"/>
        <v>SubDepósito</v>
      </c>
      <c r="AE912" t="str">
        <f t="shared" si="611"/>
        <v>Marca</v>
      </c>
      <c r="AF912" t="str">
        <f t="shared" si="612"/>
        <v>Super Rubro</v>
      </c>
      <c r="AG912" t="str">
        <f t="shared" si="613"/>
        <v>ComercioExterior</v>
      </c>
      <c r="AH912" t="str">
        <f t="shared" si="614"/>
        <v>PrecioFOB</v>
      </c>
      <c r="AI912" t="str">
        <f t="shared" si="615"/>
        <v>Monto II</v>
      </c>
      <c r="AJ912" t="str">
        <f t="shared" si="616"/>
        <v>Porcentaje II</v>
      </c>
      <c r="AK912" t="str">
        <f t="shared" si="617"/>
        <v>Foto</v>
      </c>
      <c r="AL912" t="str">
        <f t="shared" si="618"/>
        <v xml:space="preserve"> </v>
      </c>
      <c r="AM912" t="str">
        <f t="shared" si="598"/>
        <v xml:space="preserve"> </v>
      </c>
    </row>
    <row r="913" spans="1:39" x14ac:dyDescent="0.25">
      <c r="A913" t="str">
        <f>"BA735 40"</f>
        <v>BA735 40</v>
      </c>
      <c r="B913" t="str">
        <f>"COJINETES BANCADA 1,00 PEUGEOT 205 206 1.4 TU3"</f>
        <v>COJINETES BANCADA 1,00 PEUGEOT 205 206 1.4 TU3</v>
      </c>
      <c r="C913" t="str">
        <f>"$ 16294,66"</f>
        <v>$ 16294,66</v>
      </c>
      <c r="D913" t="str">
        <f>"$ 16294,66"</f>
        <v>$ 16294,66</v>
      </c>
      <c r="E913" t="str">
        <f>"$ 16294,66"</f>
        <v>$ 16294,66</v>
      </c>
      <c r="F913" t="str">
        <f>"$ 16294,66"</f>
        <v>$ 16294,66</v>
      </c>
      <c r="G913" t="str">
        <f>"$ 16294,66"</f>
        <v>$ 16294,66</v>
      </c>
      <c r="H913" t="str">
        <f t="shared" si="600"/>
        <v>$ 0,00</v>
      </c>
      <c r="I913" t="str">
        <f t="shared" si="586"/>
        <v>JUEGO COJINETES BANCADA</v>
      </c>
      <c r="J913" t="str">
        <f t="shared" si="601"/>
        <v>1</v>
      </c>
      <c r="K913" t="str">
        <f t="shared" si="584"/>
        <v>0</v>
      </c>
      <c r="L913" t="str">
        <f>"5,000"</f>
        <v>5,000</v>
      </c>
      <c r="M913" t="str">
        <f t="shared" si="602"/>
        <v xml:space="preserve"> </v>
      </c>
      <c r="N913" t="str">
        <f t="shared" si="590"/>
        <v>MPSI</v>
      </c>
      <c r="O913" t="str">
        <f t="shared" si="591"/>
        <v>COJINETES</v>
      </c>
      <c r="P913" t="str">
        <f t="shared" si="619"/>
        <v>0</v>
      </c>
      <c r="Q913" t="str">
        <f t="shared" si="619"/>
        <v>0</v>
      </c>
      <c r="R913" t="str">
        <f t="shared" si="620"/>
        <v>0,00</v>
      </c>
      <c r="S913" t="str">
        <f t="shared" si="620"/>
        <v>0,00</v>
      </c>
      <c r="T913" t="str">
        <f t="shared" ref="T913:T976" si="621">" "</f>
        <v xml:space="preserve"> </v>
      </c>
      <c r="U913" t="str">
        <f t="shared" ref="U913:U935" si="622">"-"</f>
        <v>-</v>
      </c>
      <c r="V913" t="str">
        <f>"5,000"</f>
        <v>5,000</v>
      </c>
      <c r="W913" t="str">
        <f t="shared" si="603"/>
        <v>Lista 4</v>
      </c>
      <c r="X913" t="str">
        <f t="shared" si="604"/>
        <v>Lista 5</v>
      </c>
      <c r="Y913" t="str">
        <f t="shared" si="605"/>
        <v>Oferta Gral.</v>
      </c>
      <c r="Z913" t="str">
        <f t="shared" si="606"/>
        <v>Rubro</v>
      </c>
      <c r="AA913" t="str">
        <f t="shared" si="607"/>
        <v>Cantidad por Bulto</v>
      </c>
      <c r="AB913" t="str">
        <f t="shared" si="608"/>
        <v>INNER</v>
      </c>
      <c r="AC913" t="str">
        <f t="shared" si="609"/>
        <v>Stock en Bultos</v>
      </c>
      <c r="AD913" t="str">
        <f t="shared" si="610"/>
        <v>SubDepósito</v>
      </c>
      <c r="AE913" t="str">
        <f t="shared" si="611"/>
        <v>Marca</v>
      </c>
      <c r="AF913" t="str">
        <f t="shared" si="612"/>
        <v>Super Rubro</v>
      </c>
      <c r="AG913" t="str">
        <f t="shared" si="613"/>
        <v>ComercioExterior</v>
      </c>
      <c r="AH913" t="str">
        <f t="shared" si="614"/>
        <v>PrecioFOB</v>
      </c>
      <c r="AI913" t="str">
        <f t="shared" si="615"/>
        <v>Monto II</v>
      </c>
      <c r="AJ913" t="str">
        <f t="shared" si="616"/>
        <v>Porcentaje II</v>
      </c>
      <c r="AK913" t="str">
        <f t="shared" si="617"/>
        <v>Foto</v>
      </c>
      <c r="AL913" t="str">
        <f t="shared" si="618"/>
        <v xml:space="preserve"> </v>
      </c>
      <c r="AM913" t="str">
        <f t="shared" si="598"/>
        <v xml:space="preserve"> </v>
      </c>
    </row>
    <row r="914" spans="1:39" x14ac:dyDescent="0.25">
      <c r="A914" t="str">
        <f>"BA734 40"</f>
        <v>BA734 40</v>
      </c>
      <c r="B914" t="str">
        <f>"COJINETES BANCADA 1,00 PEUGEOT 306 405 PARTNER 1.9 XUD9 XUDT9"</f>
        <v>COJINETES BANCADA 1,00 PEUGEOT 306 405 PARTNER 1.9 XUD9 XUDT9</v>
      </c>
      <c r="C914" t="str">
        <f>"$ 20029,54"</f>
        <v>$ 20029,54</v>
      </c>
      <c r="D914" t="str">
        <f>"$ 20029,54"</f>
        <v>$ 20029,54</v>
      </c>
      <c r="E914" t="str">
        <f>"$ 20029,54"</f>
        <v>$ 20029,54</v>
      </c>
      <c r="F914" t="str">
        <f>"$ 20029,54"</f>
        <v>$ 20029,54</v>
      </c>
      <c r="G914" t="str">
        <f>"$ 20029,54"</f>
        <v>$ 20029,54</v>
      </c>
      <c r="H914" t="str">
        <f t="shared" si="600"/>
        <v>$ 0,00</v>
      </c>
      <c r="I914" t="str">
        <f t="shared" si="586"/>
        <v>JUEGO COJINETES BANCADA</v>
      </c>
      <c r="J914" t="str">
        <f t="shared" si="601"/>
        <v>1</v>
      </c>
      <c r="K914" t="str">
        <f t="shared" si="584"/>
        <v>0</v>
      </c>
      <c r="L914" t="str">
        <f>"4,000"</f>
        <v>4,000</v>
      </c>
      <c r="M914" t="str">
        <f t="shared" si="602"/>
        <v xml:space="preserve"> </v>
      </c>
      <c r="N914" t="str">
        <f t="shared" si="590"/>
        <v>MPSI</v>
      </c>
      <c r="O914" t="str">
        <f t="shared" si="591"/>
        <v>COJINETES</v>
      </c>
      <c r="P914" t="str">
        <f t="shared" si="619"/>
        <v>0</v>
      </c>
      <c r="Q914" t="str">
        <f t="shared" si="619"/>
        <v>0</v>
      </c>
      <c r="R914" t="str">
        <f t="shared" si="620"/>
        <v>0,00</v>
      </c>
      <c r="S914" t="str">
        <f t="shared" si="620"/>
        <v>0,00</v>
      </c>
      <c r="T914" t="str">
        <f t="shared" si="621"/>
        <v xml:space="preserve"> </v>
      </c>
      <c r="U914" t="str">
        <f t="shared" si="622"/>
        <v>-</v>
      </c>
      <c r="V914" t="str">
        <f>"4,000"</f>
        <v>4,000</v>
      </c>
      <c r="W914" t="str">
        <f t="shared" si="603"/>
        <v>Lista 4</v>
      </c>
      <c r="X914" t="str">
        <f t="shared" si="604"/>
        <v>Lista 5</v>
      </c>
      <c r="Y914" t="str">
        <f t="shared" si="605"/>
        <v>Oferta Gral.</v>
      </c>
      <c r="Z914" t="str">
        <f t="shared" si="606"/>
        <v>Rubro</v>
      </c>
      <c r="AA914" t="str">
        <f t="shared" si="607"/>
        <v>Cantidad por Bulto</v>
      </c>
      <c r="AB914" t="str">
        <f t="shared" si="608"/>
        <v>INNER</v>
      </c>
      <c r="AC914" t="str">
        <f t="shared" si="609"/>
        <v>Stock en Bultos</v>
      </c>
      <c r="AD914" t="str">
        <f t="shared" si="610"/>
        <v>SubDepósito</v>
      </c>
      <c r="AE914" t="str">
        <f t="shared" si="611"/>
        <v>Marca</v>
      </c>
      <c r="AF914" t="str">
        <f t="shared" si="612"/>
        <v>Super Rubro</v>
      </c>
      <c r="AG914" t="str">
        <f t="shared" si="613"/>
        <v>ComercioExterior</v>
      </c>
      <c r="AH914" t="str">
        <f t="shared" si="614"/>
        <v>PrecioFOB</v>
      </c>
      <c r="AI914" t="str">
        <f t="shared" si="615"/>
        <v>Monto II</v>
      </c>
      <c r="AJ914" t="str">
        <f t="shared" si="616"/>
        <v>Porcentaje II</v>
      </c>
      <c r="AK914" t="str">
        <f t="shared" si="617"/>
        <v>Foto</v>
      </c>
      <c r="AL914" t="str">
        <f t="shared" si="618"/>
        <v xml:space="preserve"> </v>
      </c>
      <c r="AM914" t="str">
        <f t="shared" si="598"/>
        <v xml:space="preserve"> </v>
      </c>
    </row>
    <row r="915" spans="1:39" x14ac:dyDescent="0.25">
      <c r="A915" t="str">
        <f>"BA732 40"</f>
        <v>BA732 40</v>
      </c>
      <c r="B915" t="str">
        <f>"COJINETES BANCADA 1,00 PEUGEOT 307 406 2.0 EW10J4 XU7 2 AGUJ"</f>
        <v>COJINETES BANCADA 1,00 PEUGEOT 307 406 2.0 EW10J4 XU7 2 AGUJ</v>
      </c>
      <c r="C915" t="str">
        <f>"$ 22381,90"</f>
        <v>$ 22381,90</v>
      </c>
      <c r="D915" t="str">
        <f>"$ 22381,90"</f>
        <v>$ 22381,90</v>
      </c>
      <c r="E915" t="str">
        <f>"$ 22381,90"</f>
        <v>$ 22381,90</v>
      </c>
      <c r="F915" t="str">
        <f>"$ 22381,90"</f>
        <v>$ 22381,90</v>
      </c>
      <c r="G915" t="str">
        <f>"$ 22381,90"</f>
        <v>$ 22381,90</v>
      </c>
      <c r="H915" t="str">
        <f t="shared" si="600"/>
        <v>$ 0,00</v>
      </c>
      <c r="I915" t="str">
        <f t="shared" si="586"/>
        <v>JUEGO COJINETES BANCADA</v>
      </c>
      <c r="J915" t="str">
        <f t="shared" si="601"/>
        <v>1</v>
      </c>
      <c r="K915" t="str">
        <f t="shared" si="584"/>
        <v>0</v>
      </c>
      <c r="L915" t="str">
        <f>"0,000"</f>
        <v>0,000</v>
      </c>
      <c r="M915" t="str">
        <f t="shared" si="602"/>
        <v xml:space="preserve"> </v>
      </c>
      <c r="N915" t="str">
        <f t="shared" si="590"/>
        <v>MPSI</v>
      </c>
      <c r="O915" t="str">
        <f t="shared" si="591"/>
        <v>COJINETES</v>
      </c>
      <c r="P915" t="str">
        <f t="shared" si="619"/>
        <v>0</v>
      </c>
      <c r="Q915" t="str">
        <f t="shared" si="619"/>
        <v>0</v>
      </c>
      <c r="R915" t="str">
        <f t="shared" si="620"/>
        <v>0,00</v>
      </c>
      <c r="S915" t="str">
        <f t="shared" si="620"/>
        <v>0,00</v>
      </c>
      <c r="T915" t="str">
        <f t="shared" si="621"/>
        <v xml:space="preserve"> </v>
      </c>
      <c r="U915" t="str">
        <f t="shared" si="622"/>
        <v>-</v>
      </c>
      <c r="V915" t="str">
        <f>"0,000"</f>
        <v>0,000</v>
      </c>
      <c r="W915" t="str">
        <f t="shared" si="603"/>
        <v>Lista 4</v>
      </c>
      <c r="X915" t="str">
        <f t="shared" si="604"/>
        <v>Lista 5</v>
      </c>
      <c r="Y915" t="str">
        <f t="shared" si="605"/>
        <v>Oferta Gral.</v>
      </c>
      <c r="Z915" t="str">
        <f t="shared" si="606"/>
        <v>Rubro</v>
      </c>
      <c r="AA915" t="str">
        <f t="shared" si="607"/>
        <v>Cantidad por Bulto</v>
      </c>
      <c r="AB915" t="str">
        <f t="shared" si="608"/>
        <v>INNER</v>
      </c>
      <c r="AC915" t="str">
        <f t="shared" si="609"/>
        <v>Stock en Bultos</v>
      </c>
      <c r="AD915" t="str">
        <f t="shared" si="610"/>
        <v>SubDepósito</v>
      </c>
      <c r="AE915" t="str">
        <f t="shared" si="611"/>
        <v>Marca</v>
      </c>
      <c r="AF915" t="str">
        <f t="shared" si="612"/>
        <v>Super Rubro</v>
      </c>
      <c r="AG915" t="str">
        <f t="shared" si="613"/>
        <v>ComercioExterior</v>
      </c>
      <c r="AH915" t="str">
        <f t="shared" si="614"/>
        <v>PrecioFOB</v>
      </c>
      <c r="AI915" t="str">
        <f t="shared" si="615"/>
        <v>Monto II</v>
      </c>
      <c r="AJ915" t="str">
        <f t="shared" si="616"/>
        <v>Porcentaje II</v>
      </c>
      <c r="AK915" t="str">
        <f t="shared" si="617"/>
        <v>Foto</v>
      </c>
      <c r="AL915" t="str">
        <f t="shared" si="618"/>
        <v xml:space="preserve"> </v>
      </c>
      <c r="AM915" t="str">
        <f t="shared" si="598"/>
        <v xml:space="preserve"> </v>
      </c>
    </row>
    <row r="916" spans="1:39" x14ac:dyDescent="0.25">
      <c r="A916" t="str">
        <f>"BA417 40"</f>
        <v>BA417 40</v>
      </c>
      <c r="B916" t="str">
        <f>"COJINETES BANCADA 1,00 PEUGEOT 307 406 MOTOR 2.0 EW10J4 XU7"</f>
        <v>COJINETES BANCADA 1,00 PEUGEOT 307 406 MOTOR 2.0 EW10J4 XU7</v>
      </c>
      <c r="C916" t="str">
        <f>"$ 22754,31"</f>
        <v>$ 22754,31</v>
      </c>
      <c r="D916" t="str">
        <f>"$ 22754,31"</f>
        <v>$ 22754,31</v>
      </c>
      <c r="E916" t="str">
        <f>"$ 22754,31"</f>
        <v>$ 22754,31</v>
      </c>
      <c r="F916" t="str">
        <f>"$ 22754,31"</f>
        <v>$ 22754,31</v>
      </c>
      <c r="G916" t="str">
        <f>"$ 22754,31"</f>
        <v>$ 22754,31</v>
      </c>
      <c r="H916" t="str">
        <f t="shared" si="600"/>
        <v>$ 0,00</v>
      </c>
      <c r="I916" t="str">
        <f t="shared" si="586"/>
        <v>JUEGO COJINETES BANCADA</v>
      </c>
      <c r="J916" t="str">
        <f t="shared" si="601"/>
        <v>1</v>
      </c>
      <c r="K916" t="str">
        <f t="shared" si="584"/>
        <v>0</v>
      </c>
      <c r="L916" t="str">
        <f>"4,000"</f>
        <v>4,000</v>
      </c>
      <c r="M916" t="str">
        <f t="shared" si="602"/>
        <v xml:space="preserve"> </v>
      </c>
      <c r="N916" t="str">
        <f t="shared" si="590"/>
        <v>MPSI</v>
      </c>
      <c r="O916" t="str">
        <f t="shared" si="591"/>
        <v>COJINETES</v>
      </c>
      <c r="P916" t="str">
        <f t="shared" si="619"/>
        <v>0</v>
      </c>
      <c r="Q916" t="str">
        <f t="shared" si="619"/>
        <v>0</v>
      </c>
      <c r="R916" t="str">
        <f t="shared" si="620"/>
        <v>0,00</v>
      </c>
      <c r="S916" t="str">
        <f t="shared" si="620"/>
        <v>0,00</v>
      </c>
      <c r="T916" t="str">
        <f t="shared" si="621"/>
        <v xml:space="preserve"> </v>
      </c>
      <c r="U916" t="str">
        <f t="shared" si="622"/>
        <v>-</v>
      </c>
      <c r="V916" t="str">
        <f>"4,000"</f>
        <v>4,000</v>
      </c>
      <c r="W916" t="str">
        <f t="shared" si="603"/>
        <v>Lista 4</v>
      </c>
      <c r="X916" t="str">
        <f t="shared" si="604"/>
        <v>Lista 5</v>
      </c>
      <c r="Y916" t="str">
        <f t="shared" si="605"/>
        <v>Oferta Gral.</v>
      </c>
      <c r="Z916" t="str">
        <f t="shared" si="606"/>
        <v>Rubro</v>
      </c>
      <c r="AA916" t="str">
        <f t="shared" si="607"/>
        <v>Cantidad por Bulto</v>
      </c>
      <c r="AB916" t="str">
        <f t="shared" si="608"/>
        <v>INNER</v>
      </c>
      <c r="AC916" t="str">
        <f t="shared" si="609"/>
        <v>Stock en Bultos</v>
      </c>
      <c r="AD916" t="str">
        <f t="shared" si="610"/>
        <v>SubDepósito</v>
      </c>
      <c r="AE916" t="str">
        <f t="shared" si="611"/>
        <v>Marca</v>
      </c>
      <c r="AF916" t="str">
        <f t="shared" si="612"/>
        <v>Super Rubro</v>
      </c>
      <c r="AG916" t="str">
        <f t="shared" si="613"/>
        <v>ComercioExterior</v>
      </c>
      <c r="AH916" t="str">
        <f t="shared" si="614"/>
        <v>PrecioFOB</v>
      </c>
      <c r="AI916" t="str">
        <f t="shared" si="615"/>
        <v>Monto II</v>
      </c>
      <c r="AJ916" t="str">
        <f t="shared" si="616"/>
        <v>Porcentaje II</v>
      </c>
      <c r="AK916" t="str">
        <f t="shared" si="617"/>
        <v>Foto</v>
      </c>
      <c r="AL916" t="str">
        <f t="shared" si="618"/>
        <v xml:space="preserve"> </v>
      </c>
      <c r="AM916" t="str">
        <f t="shared" si="598"/>
        <v xml:space="preserve"> </v>
      </c>
    </row>
    <row r="917" spans="1:39" x14ac:dyDescent="0.25">
      <c r="A917" t="str">
        <f>"BA678 40"</f>
        <v>BA678 40</v>
      </c>
      <c r="B917" t="str">
        <f>"COJINETES BANCADA 1,00 PEUGEOT 307 CITROEN C4 1.6 16V TU5JP4"</f>
        <v>COJINETES BANCADA 1,00 PEUGEOT 307 CITROEN C4 1.6 16V TU5JP4</v>
      </c>
      <c r="C917" t="str">
        <f>"$ 18304,00"</f>
        <v>$ 18304,00</v>
      </c>
      <c r="D917" t="str">
        <f>"$ 18304,00"</f>
        <v>$ 18304,00</v>
      </c>
      <c r="E917" t="str">
        <f>"$ 18304,00"</f>
        <v>$ 18304,00</v>
      </c>
      <c r="F917" t="str">
        <f>"$ 18304,00"</f>
        <v>$ 18304,00</v>
      </c>
      <c r="G917" t="str">
        <f>"$ 18304,00"</f>
        <v>$ 18304,00</v>
      </c>
      <c r="H917" t="str">
        <f t="shared" si="600"/>
        <v>$ 0,00</v>
      </c>
      <c r="I917" t="str">
        <f t="shared" si="586"/>
        <v>JUEGO COJINETES BANCADA</v>
      </c>
      <c r="J917" t="str">
        <f t="shared" si="601"/>
        <v>1</v>
      </c>
      <c r="K917" t="str">
        <f t="shared" si="584"/>
        <v>0</v>
      </c>
      <c r="L917" t="str">
        <f>"3,000"</f>
        <v>3,000</v>
      </c>
      <c r="M917" t="str">
        <f t="shared" si="602"/>
        <v xml:space="preserve"> </v>
      </c>
      <c r="N917" t="str">
        <f t="shared" si="590"/>
        <v>MPSI</v>
      </c>
      <c r="O917" t="str">
        <f t="shared" si="591"/>
        <v>COJINETES</v>
      </c>
      <c r="P917" t="str">
        <f t="shared" si="619"/>
        <v>0</v>
      </c>
      <c r="Q917" t="str">
        <f t="shared" si="619"/>
        <v>0</v>
      </c>
      <c r="R917" t="str">
        <f t="shared" si="620"/>
        <v>0,00</v>
      </c>
      <c r="S917" t="str">
        <f t="shared" si="620"/>
        <v>0,00</v>
      </c>
      <c r="T917" t="str">
        <f t="shared" si="621"/>
        <v xml:space="preserve"> </v>
      </c>
      <c r="U917" t="str">
        <f t="shared" si="622"/>
        <v>-</v>
      </c>
      <c r="V917" t="str">
        <f>"3,000"</f>
        <v>3,000</v>
      </c>
      <c r="W917" t="str">
        <f t="shared" si="603"/>
        <v>Lista 4</v>
      </c>
      <c r="X917" t="str">
        <f t="shared" si="604"/>
        <v>Lista 5</v>
      </c>
      <c r="Y917" t="str">
        <f t="shared" si="605"/>
        <v>Oferta Gral.</v>
      </c>
      <c r="Z917" t="str">
        <f t="shared" si="606"/>
        <v>Rubro</v>
      </c>
      <c r="AA917" t="str">
        <f t="shared" si="607"/>
        <v>Cantidad por Bulto</v>
      </c>
      <c r="AB917" t="str">
        <f t="shared" si="608"/>
        <v>INNER</v>
      </c>
      <c r="AC917" t="str">
        <f t="shared" si="609"/>
        <v>Stock en Bultos</v>
      </c>
      <c r="AD917" t="str">
        <f t="shared" si="610"/>
        <v>SubDepósito</v>
      </c>
      <c r="AE917" t="str">
        <f t="shared" si="611"/>
        <v>Marca</v>
      </c>
      <c r="AF917" t="str">
        <f t="shared" si="612"/>
        <v>Super Rubro</v>
      </c>
      <c r="AG917" t="str">
        <f t="shared" si="613"/>
        <v>ComercioExterior</v>
      </c>
      <c r="AH917" t="str">
        <f t="shared" si="614"/>
        <v>PrecioFOB</v>
      </c>
      <c r="AI917" t="str">
        <f t="shared" si="615"/>
        <v>Monto II</v>
      </c>
      <c r="AJ917" t="str">
        <f t="shared" si="616"/>
        <v>Porcentaje II</v>
      </c>
      <c r="AK917" t="str">
        <f t="shared" si="617"/>
        <v>Foto</v>
      </c>
      <c r="AL917" t="str">
        <f t="shared" si="618"/>
        <v xml:space="preserve"> </v>
      </c>
      <c r="AM917" t="str">
        <f t="shared" si="598"/>
        <v xml:space="preserve"> </v>
      </c>
    </row>
    <row r="918" spans="1:39" x14ac:dyDescent="0.25">
      <c r="A918" t="str">
        <f>"BA419 40"</f>
        <v>BA419 40</v>
      </c>
      <c r="B918" t="str">
        <f>"COJINETES BANCADA 1,00 PEUGEOT 404 504 1.6 1.8 2.0"</f>
        <v>COJINETES BANCADA 1,00 PEUGEOT 404 504 1.6 1.8 2.0</v>
      </c>
      <c r="C918" t="str">
        <f>"$ 26292,22"</f>
        <v>$ 26292,22</v>
      </c>
      <c r="D918" t="str">
        <f>"$ 26292,22"</f>
        <v>$ 26292,22</v>
      </c>
      <c r="E918" t="str">
        <f>"$ 26292,22"</f>
        <v>$ 26292,22</v>
      </c>
      <c r="F918" t="str">
        <f>"$ 26292,22"</f>
        <v>$ 26292,22</v>
      </c>
      <c r="G918" t="str">
        <f>"$ 26292,22"</f>
        <v>$ 26292,22</v>
      </c>
      <c r="H918" t="str">
        <f t="shared" si="600"/>
        <v>$ 0,00</v>
      </c>
      <c r="I918" t="str">
        <f t="shared" si="586"/>
        <v>JUEGO COJINETES BANCADA</v>
      </c>
      <c r="J918" t="str">
        <f t="shared" si="601"/>
        <v>1</v>
      </c>
      <c r="K918" t="str">
        <f t="shared" si="584"/>
        <v>0</v>
      </c>
      <c r="L918" t="str">
        <f>"9,000"</f>
        <v>9,000</v>
      </c>
      <c r="M918" t="str">
        <f t="shared" si="602"/>
        <v xml:space="preserve"> </v>
      </c>
      <c r="N918" t="str">
        <f t="shared" si="590"/>
        <v>MPSI</v>
      </c>
      <c r="O918" t="str">
        <f t="shared" si="591"/>
        <v>COJINETES</v>
      </c>
      <c r="P918" t="str">
        <f t="shared" si="619"/>
        <v>0</v>
      </c>
      <c r="Q918" t="str">
        <f t="shared" si="619"/>
        <v>0</v>
      </c>
      <c r="R918" t="str">
        <f t="shared" si="620"/>
        <v>0,00</v>
      </c>
      <c r="S918" t="str">
        <f t="shared" si="620"/>
        <v>0,00</v>
      </c>
      <c r="T918" t="str">
        <f t="shared" si="621"/>
        <v xml:space="preserve"> </v>
      </c>
      <c r="U918" t="str">
        <f t="shared" si="622"/>
        <v>-</v>
      </c>
      <c r="V918" t="str">
        <f>"9,000"</f>
        <v>9,000</v>
      </c>
      <c r="W918" t="str">
        <f t="shared" si="603"/>
        <v>Lista 4</v>
      </c>
      <c r="X918" t="str">
        <f t="shared" si="604"/>
        <v>Lista 5</v>
      </c>
      <c r="Y918" t="str">
        <f t="shared" si="605"/>
        <v>Oferta Gral.</v>
      </c>
      <c r="Z918" t="str">
        <f t="shared" si="606"/>
        <v>Rubro</v>
      </c>
      <c r="AA918" t="str">
        <f t="shared" si="607"/>
        <v>Cantidad por Bulto</v>
      </c>
      <c r="AB918" t="str">
        <f t="shared" si="608"/>
        <v>INNER</v>
      </c>
      <c r="AC918" t="str">
        <f t="shared" si="609"/>
        <v>Stock en Bultos</v>
      </c>
      <c r="AD918" t="str">
        <f t="shared" si="610"/>
        <v>SubDepósito</v>
      </c>
      <c r="AE918" t="str">
        <f t="shared" si="611"/>
        <v>Marca</v>
      </c>
      <c r="AF918" t="str">
        <f t="shared" si="612"/>
        <v>Super Rubro</v>
      </c>
      <c r="AG918" t="str">
        <f t="shared" si="613"/>
        <v>ComercioExterior</v>
      </c>
      <c r="AH918" t="str">
        <f t="shared" si="614"/>
        <v>PrecioFOB</v>
      </c>
      <c r="AI918" t="str">
        <f t="shared" si="615"/>
        <v>Monto II</v>
      </c>
      <c r="AJ918" t="str">
        <f t="shared" si="616"/>
        <v>Porcentaje II</v>
      </c>
      <c r="AK918" t="str">
        <f t="shared" si="617"/>
        <v>Foto</v>
      </c>
      <c r="AL918" t="str">
        <f t="shared" si="618"/>
        <v xml:space="preserve"> </v>
      </c>
      <c r="AM918" t="str">
        <f t="shared" si="598"/>
        <v xml:space="preserve"> </v>
      </c>
    </row>
    <row r="919" spans="1:39" x14ac:dyDescent="0.25">
      <c r="A919" t="str">
        <f>"BA413 40"</f>
        <v>BA413 40</v>
      </c>
      <c r="B919" t="str">
        <f>"COJINETES BANCADA 1,00 PEUGEOT 404 504 DIESEL XD 4.88"</f>
        <v>COJINETES BANCADA 1,00 PEUGEOT 404 504 DIESEL XD 4.88</v>
      </c>
      <c r="C919" t="str">
        <f>"$ 24839,81"</f>
        <v>$ 24839,81</v>
      </c>
      <c r="D919" t="str">
        <f>"$ 24839,81"</f>
        <v>$ 24839,81</v>
      </c>
      <c r="E919" t="str">
        <f>"$ 24839,81"</f>
        <v>$ 24839,81</v>
      </c>
      <c r="F919" t="str">
        <f>"$ 24839,81"</f>
        <v>$ 24839,81</v>
      </c>
      <c r="G919" t="str">
        <f>"$ 24839,81"</f>
        <v>$ 24839,81</v>
      </c>
      <c r="H919" t="str">
        <f t="shared" si="600"/>
        <v>$ 0,00</v>
      </c>
      <c r="I919" t="str">
        <f t="shared" si="586"/>
        <v>JUEGO COJINETES BANCADA</v>
      </c>
      <c r="J919" t="str">
        <f t="shared" si="601"/>
        <v>1</v>
      </c>
      <c r="K919" t="str">
        <f t="shared" ref="K919:K982" si="623">"0"</f>
        <v>0</v>
      </c>
      <c r="L919" t="str">
        <f>"0,000"</f>
        <v>0,000</v>
      </c>
      <c r="M919" t="str">
        <f t="shared" si="602"/>
        <v xml:space="preserve"> </v>
      </c>
      <c r="N919" t="str">
        <f t="shared" si="590"/>
        <v>MPSI</v>
      </c>
      <c r="O919" t="str">
        <f t="shared" si="591"/>
        <v>COJINETES</v>
      </c>
      <c r="P919" t="str">
        <f t="shared" si="619"/>
        <v>0</v>
      </c>
      <c r="Q919" t="str">
        <f t="shared" si="619"/>
        <v>0</v>
      </c>
      <c r="R919" t="str">
        <f t="shared" si="620"/>
        <v>0,00</v>
      </c>
      <c r="S919" t="str">
        <f t="shared" si="620"/>
        <v>0,00</v>
      </c>
      <c r="T919" t="str">
        <f t="shared" si="621"/>
        <v xml:space="preserve"> </v>
      </c>
      <c r="U919" t="str">
        <f t="shared" si="622"/>
        <v>-</v>
      </c>
      <c r="V919" t="str">
        <f>"0,000"</f>
        <v>0,000</v>
      </c>
      <c r="W919" t="str">
        <f t="shared" si="603"/>
        <v>Lista 4</v>
      </c>
      <c r="X919" t="str">
        <f t="shared" si="604"/>
        <v>Lista 5</v>
      </c>
      <c r="Y919" t="str">
        <f t="shared" si="605"/>
        <v>Oferta Gral.</v>
      </c>
      <c r="Z919" t="str">
        <f t="shared" si="606"/>
        <v>Rubro</v>
      </c>
      <c r="AA919" t="str">
        <f t="shared" si="607"/>
        <v>Cantidad por Bulto</v>
      </c>
      <c r="AB919" t="str">
        <f t="shared" si="608"/>
        <v>INNER</v>
      </c>
      <c r="AC919" t="str">
        <f t="shared" si="609"/>
        <v>Stock en Bultos</v>
      </c>
      <c r="AD919" t="str">
        <f t="shared" si="610"/>
        <v>SubDepósito</v>
      </c>
      <c r="AE919" t="str">
        <f t="shared" si="611"/>
        <v>Marca</v>
      </c>
      <c r="AF919" t="str">
        <f t="shared" si="612"/>
        <v>Super Rubro</v>
      </c>
      <c r="AG919" t="str">
        <f t="shared" si="613"/>
        <v>ComercioExterior</v>
      </c>
      <c r="AH919" t="str">
        <f t="shared" si="614"/>
        <v>PrecioFOB</v>
      </c>
      <c r="AI919" t="str">
        <f t="shared" si="615"/>
        <v>Monto II</v>
      </c>
      <c r="AJ919" t="str">
        <f t="shared" si="616"/>
        <v>Porcentaje II</v>
      </c>
      <c r="AK919" t="str">
        <f t="shared" si="617"/>
        <v>Foto</v>
      </c>
      <c r="AL919" t="str">
        <f>"{\rtf1\ansi\ansicpg1252\deff0\deflang11274{\fonttbl{\f0\fnil\fcharset0 MS Sans Serif}} \viewkind4\uc1\pard\f0\fs16 COJINETES BANCADA 1,00 PEUGEOT 404 504 DIESEL XD 4.88\par } "</f>
        <v xml:space="preserve">{\rtf1\ansi\ansicpg1252\deff0\deflang11274{\fonttbl{\f0\fnil\fcharset0 MS Sans Serif}} \viewkind4\uc1\pard\f0\fs16 COJINETES BANCADA 1,00 PEUGEOT 404 504 DIESEL XD 4.88\par } </v>
      </c>
      <c r="AM919" t="str">
        <f t="shared" si="598"/>
        <v xml:space="preserve"> </v>
      </c>
    </row>
    <row r="920" spans="1:39" x14ac:dyDescent="0.25">
      <c r="A920" t="str">
        <f>"BA415 40"</f>
        <v>BA415 40</v>
      </c>
      <c r="B920" t="str">
        <f>"COJINETES BANCADA 1,00 PEUGEOT 504 505 DIESEL XD2 XD3"</f>
        <v>COJINETES BANCADA 1,00 PEUGEOT 504 505 DIESEL XD2 XD3</v>
      </c>
      <c r="C920" t="str">
        <f>"$ 29048,06"</f>
        <v>$ 29048,06</v>
      </c>
      <c r="D920" t="str">
        <f>"$ 29048,06"</f>
        <v>$ 29048,06</v>
      </c>
      <c r="E920" t="str">
        <f>"$ 29048,06"</f>
        <v>$ 29048,06</v>
      </c>
      <c r="F920" t="str">
        <f>"$ 29048,06"</f>
        <v>$ 29048,06</v>
      </c>
      <c r="G920" t="str">
        <f>"$ 29048,06"</f>
        <v>$ 29048,06</v>
      </c>
      <c r="H920" t="str">
        <f t="shared" si="600"/>
        <v>$ 0,00</v>
      </c>
      <c r="I920" t="str">
        <f t="shared" si="586"/>
        <v>JUEGO COJINETES BANCADA</v>
      </c>
      <c r="J920" t="str">
        <f t="shared" si="601"/>
        <v>1</v>
      </c>
      <c r="K920" t="str">
        <f t="shared" si="623"/>
        <v>0</v>
      </c>
      <c r="L920" t="str">
        <f>"7,000"</f>
        <v>7,000</v>
      </c>
      <c r="M920" t="str">
        <f t="shared" si="602"/>
        <v xml:space="preserve"> </v>
      </c>
      <c r="N920" t="str">
        <f t="shared" si="590"/>
        <v>MPSI</v>
      </c>
      <c r="O920" t="str">
        <f t="shared" si="591"/>
        <v>COJINETES</v>
      </c>
      <c r="P920" t="str">
        <f t="shared" si="619"/>
        <v>0</v>
      </c>
      <c r="Q920" t="str">
        <f t="shared" si="619"/>
        <v>0</v>
      </c>
      <c r="R920" t="str">
        <f t="shared" si="620"/>
        <v>0,00</v>
      </c>
      <c r="S920" t="str">
        <f t="shared" si="620"/>
        <v>0,00</v>
      </c>
      <c r="T920" t="str">
        <f t="shared" si="621"/>
        <v xml:space="preserve"> </v>
      </c>
      <c r="U920" t="str">
        <f t="shared" si="622"/>
        <v>-</v>
      </c>
      <c r="V920" t="str">
        <f>"7,000"</f>
        <v>7,000</v>
      </c>
      <c r="W920" t="str">
        <f t="shared" si="603"/>
        <v>Lista 4</v>
      </c>
      <c r="X920" t="str">
        <f t="shared" si="604"/>
        <v>Lista 5</v>
      </c>
      <c r="Y920" t="str">
        <f t="shared" si="605"/>
        <v>Oferta Gral.</v>
      </c>
      <c r="Z920" t="str">
        <f t="shared" si="606"/>
        <v>Rubro</v>
      </c>
      <c r="AA920" t="str">
        <f t="shared" si="607"/>
        <v>Cantidad por Bulto</v>
      </c>
      <c r="AB920" t="str">
        <f t="shared" si="608"/>
        <v>INNER</v>
      </c>
      <c r="AC920" t="str">
        <f t="shared" si="609"/>
        <v>Stock en Bultos</v>
      </c>
      <c r="AD920" t="str">
        <f t="shared" si="610"/>
        <v>SubDepósito</v>
      </c>
      <c r="AE920" t="str">
        <f t="shared" si="611"/>
        <v>Marca</v>
      </c>
      <c r="AF920" t="str">
        <f t="shared" si="612"/>
        <v>Super Rubro</v>
      </c>
      <c r="AG920" t="str">
        <f t="shared" si="613"/>
        <v>ComercioExterior</v>
      </c>
      <c r="AH920" t="str">
        <f t="shared" si="614"/>
        <v>PrecioFOB</v>
      </c>
      <c r="AI920" t="str">
        <f t="shared" si="615"/>
        <v>Monto II</v>
      </c>
      <c r="AJ920" t="str">
        <f t="shared" si="616"/>
        <v>Porcentaje II</v>
      </c>
      <c r="AK920" t="str">
        <f t="shared" si="617"/>
        <v>Foto</v>
      </c>
      <c r="AL920" t="str">
        <f>" "</f>
        <v xml:space="preserve"> </v>
      </c>
      <c r="AM920" t="str">
        <f t="shared" ref="AM920:AM951" si="624">" "</f>
        <v xml:space="preserve"> </v>
      </c>
    </row>
    <row r="921" spans="1:39" x14ac:dyDescent="0.25">
      <c r="A921" t="str">
        <f>"BA733 40"</f>
        <v>BA733 40</v>
      </c>
      <c r="B921" t="str">
        <f>"COJINETES BANCADA 1,00 PEUGEOT BOXER 2,5 DJ5"</f>
        <v>COJINETES BANCADA 1,00 PEUGEOT BOXER 2,5 DJ5</v>
      </c>
      <c r="C921" t="str">
        <f>"$ 40387,97"</f>
        <v>$ 40387,97</v>
      </c>
      <c r="D921" t="str">
        <f>"$ 40387,97"</f>
        <v>$ 40387,97</v>
      </c>
      <c r="E921" t="str">
        <f>"$ 40387,97"</f>
        <v>$ 40387,97</v>
      </c>
      <c r="F921" t="str">
        <f>"$ 40387,97"</f>
        <v>$ 40387,97</v>
      </c>
      <c r="G921" t="str">
        <f>"$ 40387,97"</f>
        <v>$ 40387,97</v>
      </c>
      <c r="H921" t="str">
        <f t="shared" si="600"/>
        <v>$ 0,00</v>
      </c>
      <c r="I921" t="str">
        <f t="shared" si="586"/>
        <v>JUEGO COJINETES BANCADA</v>
      </c>
      <c r="J921" t="str">
        <f t="shared" si="601"/>
        <v>1</v>
      </c>
      <c r="K921" t="str">
        <f t="shared" si="623"/>
        <v>0</v>
      </c>
      <c r="L921" t="str">
        <f>"2,000"</f>
        <v>2,000</v>
      </c>
      <c r="M921" t="str">
        <f t="shared" si="602"/>
        <v xml:space="preserve"> </v>
      </c>
      <c r="N921" t="str">
        <f t="shared" si="590"/>
        <v>MPSI</v>
      </c>
      <c r="O921" t="str">
        <f t="shared" si="591"/>
        <v>COJINETES</v>
      </c>
      <c r="P921" t="str">
        <f t="shared" si="619"/>
        <v>0</v>
      </c>
      <c r="Q921" t="str">
        <f t="shared" si="619"/>
        <v>0</v>
      </c>
      <c r="R921" t="str">
        <f t="shared" si="620"/>
        <v>0,00</v>
      </c>
      <c r="S921" t="str">
        <f t="shared" si="620"/>
        <v>0,00</v>
      </c>
      <c r="T921" t="str">
        <f t="shared" si="621"/>
        <v xml:space="preserve"> </v>
      </c>
      <c r="U921" t="str">
        <f t="shared" si="622"/>
        <v>-</v>
      </c>
      <c r="V921" t="str">
        <f>"2,000"</f>
        <v>2,000</v>
      </c>
      <c r="W921" t="str">
        <f t="shared" si="603"/>
        <v>Lista 4</v>
      </c>
      <c r="X921" t="str">
        <f t="shared" si="604"/>
        <v>Lista 5</v>
      </c>
      <c r="Y921" t="str">
        <f t="shared" si="605"/>
        <v>Oferta Gral.</v>
      </c>
      <c r="Z921" t="str">
        <f t="shared" si="606"/>
        <v>Rubro</v>
      </c>
      <c r="AA921" t="str">
        <f t="shared" si="607"/>
        <v>Cantidad por Bulto</v>
      </c>
      <c r="AB921" t="str">
        <f t="shared" si="608"/>
        <v>INNER</v>
      </c>
      <c r="AC921" t="str">
        <f t="shared" si="609"/>
        <v>Stock en Bultos</v>
      </c>
      <c r="AD921" t="str">
        <f t="shared" si="610"/>
        <v>SubDepósito</v>
      </c>
      <c r="AE921" t="str">
        <f t="shared" si="611"/>
        <v>Marca</v>
      </c>
      <c r="AF921" t="str">
        <f t="shared" si="612"/>
        <v>Super Rubro</v>
      </c>
      <c r="AG921" t="str">
        <f t="shared" si="613"/>
        <v>ComercioExterior</v>
      </c>
      <c r="AH921" t="str">
        <f t="shared" si="614"/>
        <v>PrecioFOB</v>
      </c>
      <c r="AI921" t="str">
        <f t="shared" si="615"/>
        <v>Monto II</v>
      </c>
      <c r="AJ921" t="str">
        <f t="shared" si="616"/>
        <v>Porcentaje II</v>
      </c>
      <c r="AK921" t="str">
        <f t="shared" si="617"/>
        <v>Foto</v>
      </c>
      <c r="AL921" t="str">
        <f>" "</f>
        <v xml:space="preserve"> </v>
      </c>
      <c r="AM921" t="str">
        <f t="shared" si="624"/>
        <v xml:space="preserve"> </v>
      </c>
    </row>
    <row r="922" spans="1:39" x14ac:dyDescent="0.25">
      <c r="A922" t="str">
        <f>"BA241 40"</f>
        <v>BA241 40</v>
      </c>
      <c r="B922" t="str">
        <f>"COJINETES BANCADA 1,00 RENAULT 18 FUEGO TRAFIC 2.0"</f>
        <v>COJINETES BANCADA 1,00 RENAULT 18 FUEGO TRAFIC 2.0</v>
      </c>
      <c r="C922" t="str">
        <f>"$ 23764,42"</f>
        <v>$ 23764,42</v>
      </c>
      <c r="D922" t="str">
        <f>"$ 23764,42"</f>
        <v>$ 23764,42</v>
      </c>
      <c r="E922" t="str">
        <f>"$ 23764,42"</f>
        <v>$ 23764,42</v>
      </c>
      <c r="F922" t="str">
        <f>"$ 23764,42"</f>
        <v>$ 23764,42</v>
      </c>
      <c r="G922" t="str">
        <f>"$ 23764,42"</f>
        <v>$ 23764,42</v>
      </c>
      <c r="H922" t="str">
        <f t="shared" si="600"/>
        <v>$ 0,00</v>
      </c>
      <c r="I922" t="str">
        <f t="shared" si="586"/>
        <v>JUEGO COJINETES BANCADA</v>
      </c>
      <c r="J922" t="str">
        <f t="shared" si="601"/>
        <v>1</v>
      </c>
      <c r="K922" t="str">
        <f t="shared" si="623"/>
        <v>0</v>
      </c>
      <c r="L922" t="str">
        <f>"5,000"</f>
        <v>5,000</v>
      </c>
      <c r="M922" t="str">
        <f t="shared" si="602"/>
        <v xml:space="preserve"> </v>
      </c>
      <c r="N922" t="str">
        <f t="shared" si="590"/>
        <v>MPSI</v>
      </c>
      <c r="O922" t="str">
        <f t="shared" si="591"/>
        <v>COJINETES</v>
      </c>
      <c r="P922" t="str">
        <f t="shared" si="619"/>
        <v>0</v>
      </c>
      <c r="Q922" t="str">
        <f t="shared" si="619"/>
        <v>0</v>
      </c>
      <c r="R922" t="str">
        <f t="shared" si="620"/>
        <v>0,00</v>
      </c>
      <c r="S922" t="str">
        <f t="shared" si="620"/>
        <v>0,00</v>
      </c>
      <c r="T922" t="str">
        <f t="shared" si="621"/>
        <v xml:space="preserve"> </v>
      </c>
      <c r="U922" t="str">
        <f t="shared" si="622"/>
        <v>-</v>
      </c>
      <c r="V922" t="str">
        <f>"5,000"</f>
        <v>5,000</v>
      </c>
      <c r="W922" t="str">
        <f t="shared" si="603"/>
        <v>Lista 4</v>
      </c>
      <c r="X922" t="str">
        <f t="shared" si="604"/>
        <v>Lista 5</v>
      </c>
      <c r="Y922" t="str">
        <f t="shared" si="605"/>
        <v>Oferta Gral.</v>
      </c>
      <c r="Z922" t="str">
        <f t="shared" si="606"/>
        <v>Rubro</v>
      </c>
      <c r="AA922" t="str">
        <f t="shared" si="607"/>
        <v>Cantidad por Bulto</v>
      </c>
      <c r="AB922" t="str">
        <f t="shared" si="608"/>
        <v>INNER</v>
      </c>
      <c r="AC922" t="str">
        <f t="shared" si="609"/>
        <v>Stock en Bultos</v>
      </c>
      <c r="AD922" t="str">
        <f t="shared" si="610"/>
        <v>SubDepósito</v>
      </c>
      <c r="AE922" t="str">
        <f t="shared" si="611"/>
        <v>Marca</v>
      </c>
      <c r="AF922" t="str">
        <f t="shared" si="612"/>
        <v>Super Rubro</v>
      </c>
      <c r="AG922" t="str">
        <f t="shared" si="613"/>
        <v>ComercioExterior</v>
      </c>
      <c r="AH922" t="str">
        <f t="shared" si="614"/>
        <v>PrecioFOB</v>
      </c>
      <c r="AI922" t="str">
        <f t="shared" si="615"/>
        <v>Monto II</v>
      </c>
      <c r="AJ922" t="str">
        <f t="shared" si="616"/>
        <v>Porcentaje II</v>
      </c>
      <c r="AK922" t="str">
        <f t="shared" si="617"/>
        <v>Foto</v>
      </c>
      <c r="AL922" t="str">
        <f>" "</f>
        <v xml:space="preserve"> </v>
      </c>
      <c r="AM922" t="str">
        <f t="shared" si="624"/>
        <v xml:space="preserve"> </v>
      </c>
    </row>
    <row r="923" spans="1:39" x14ac:dyDescent="0.25">
      <c r="A923" t="str">
        <f>"BA247 40"</f>
        <v>BA247 40</v>
      </c>
      <c r="B923" t="str">
        <f>"COJINETES BANCADA 1,00 RENAULT 19 CLIO 1.9 DIESEL F8Q  CON TRABA"</f>
        <v>COJINETES BANCADA 1,00 RENAULT 19 CLIO 1.9 DIESEL F8Q  CON TRABA</v>
      </c>
      <c r="C923" t="str">
        <f>"$ 18062,95"</f>
        <v>$ 18062,95</v>
      </c>
      <c r="D923" t="str">
        <f>"$ 18062,95"</f>
        <v>$ 18062,95</v>
      </c>
      <c r="E923" t="str">
        <f>"$ 18062,95"</f>
        <v>$ 18062,95</v>
      </c>
      <c r="F923" t="str">
        <f>"$ 18062,95"</f>
        <v>$ 18062,95</v>
      </c>
      <c r="G923" t="str">
        <f>"$ 18062,95"</f>
        <v>$ 18062,95</v>
      </c>
      <c r="H923" t="str">
        <f t="shared" si="600"/>
        <v>$ 0,00</v>
      </c>
      <c r="I923" t="str">
        <f t="shared" si="586"/>
        <v>JUEGO COJINETES BANCADA</v>
      </c>
      <c r="J923" t="str">
        <f t="shared" si="601"/>
        <v>1</v>
      </c>
      <c r="K923" t="str">
        <f t="shared" si="623"/>
        <v>0</v>
      </c>
      <c r="L923" t="str">
        <f>"3,000"</f>
        <v>3,000</v>
      </c>
      <c r="M923" t="str">
        <f t="shared" si="602"/>
        <v xml:space="preserve"> </v>
      </c>
      <c r="N923" t="str">
        <f t="shared" si="590"/>
        <v>MPSI</v>
      </c>
      <c r="O923" t="str">
        <f t="shared" si="591"/>
        <v>COJINETES</v>
      </c>
      <c r="P923" t="str">
        <f t="shared" ref="P923:Q942" si="625">"0"</f>
        <v>0</v>
      </c>
      <c r="Q923" t="str">
        <f t="shared" si="625"/>
        <v>0</v>
      </c>
      <c r="R923" t="str">
        <f t="shared" ref="R923:S942" si="626">"0,00"</f>
        <v>0,00</v>
      </c>
      <c r="S923" t="str">
        <f t="shared" si="626"/>
        <v>0,00</v>
      </c>
      <c r="T923" t="str">
        <f t="shared" si="621"/>
        <v xml:space="preserve"> </v>
      </c>
      <c r="U923" t="str">
        <f t="shared" si="622"/>
        <v>-</v>
      </c>
      <c r="V923" t="str">
        <f>"3,000"</f>
        <v>3,000</v>
      </c>
      <c r="W923" t="str">
        <f t="shared" si="603"/>
        <v>Lista 4</v>
      </c>
      <c r="X923" t="str">
        <f t="shared" si="604"/>
        <v>Lista 5</v>
      </c>
      <c r="Y923" t="str">
        <f t="shared" si="605"/>
        <v>Oferta Gral.</v>
      </c>
      <c r="Z923" t="str">
        <f t="shared" si="606"/>
        <v>Rubro</v>
      </c>
      <c r="AA923" t="str">
        <f t="shared" si="607"/>
        <v>Cantidad por Bulto</v>
      </c>
      <c r="AB923" t="str">
        <f t="shared" si="608"/>
        <v>INNER</v>
      </c>
      <c r="AC923" t="str">
        <f t="shared" si="609"/>
        <v>Stock en Bultos</v>
      </c>
      <c r="AD923" t="str">
        <f t="shared" si="610"/>
        <v>SubDepósito</v>
      </c>
      <c r="AE923" t="str">
        <f t="shared" si="611"/>
        <v>Marca</v>
      </c>
      <c r="AF923" t="str">
        <f t="shared" si="612"/>
        <v>Super Rubro</v>
      </c>
      <c r="AG923" t="str">
        <f t="shared" si="613"/>
        <v>ComercioExterior</v>
      </c>
      <c r="AH923" t="str">
        <f t="shared" si="614"/>
        <v>PrecioFOB</v>
      </c>
      <c r="AI923" t="str">
        <f t="shared" si="615"/>
        <v>Monto II</v>
      </c>
      <c r="AJ923" t="str">
        <f t="shared" si="616"/>
        <v>Porcentaje II</v>
      </c>
      <c r="AK923" t="str">
        <f t="shared" si="617"/>
        <v>Foto</v>
      </c>
      <c r="AL923" t="str">
        <f>" "</f>
        <v xml:space="preserve"> </v>
      </c>
      <c r="AM923" t="str">
        <f t="shared" si="624"/>
        <v xml:space="preserve"> </v>
      </c>
    </row>
    <row r="924" spans="1:39" x14ac:dyDescent="0.25">
      <c r="A924" t="str">
        <f>"BA244 40"</f>
        <v>BA244 40</v>
      </c>
      <c r="B924" t="str">
        <f>"COJINETES BANCADA 1,00 RENAULT 19 KANGOO 1.9 DIESEL F8Q  SIN TRABA"</f>
        <v>COJINETES BANCADA 1,00 RENAULT 19 KANGOO 1.9 DIESEL F8Q  SIN TRABA</v>
      </c>
      <c r="C924" t="str">
        <f>"$ 17782,00"</f>
        <v>$ 17782,00</v>
      </c>
      <c r="D924" t="str">
        <f>"$ 17782,00"</f>
        <v>$ 17782,00</v>
      </c>
      <c r="E924" t="str">
        <f>"$ 17782,00"</f>
        <v>$ 17782,00</v>
      </c>
      <c r="F924" t="str">
        <f>"$ 17782,00"</f>
        <v>$ 17782,00</v>
      </c>
      <c r="G924" t="str">
        <f>"$ 17782,00"</f>
        <v>$ 17782,00</v>
      </c>
      <c r="H924" t="str">
        <f t="shared" si="600"/>
        <v>$ 0,00</v>
      </c>
      <c r="I924" t="str">
        <f t="shared" si="586"/>
        <v>JUEGO COJINETES BANCADA</v>
      </c>
      <c r="J924" t="str">
        <f t="shared" si="601"/>
        <v>1</v>
      </c>
      <c r="K924" t="str">
        <f t="shared" si="623"/>
        <v>0</v>
      </c>
      <c r="L924" t="str">
        <f>"4,000"</f>
        <v>4,000</v>
      </c>
      <c r="M924" t="str">
        <f t="shared" si="602"/>
        <v xml:space="preserve"> </v>
      </c>
      <c r="N924" t="str">
        <f t="shared" si="590"/>
        <v>MPSI</v>
      </c>
      <c r="O924" t="str">
        <f t="shared" si="591"/>
        <v>COJINETES</v>
      </c>
      <c r="P924" t="str">
        <f t="shared" si="625"/>
        <v>0</v>
      </c>
      <c r="Q924" t="str">
        <f t="shared" si="625"/>
        <v>0</v>
      </c>
      <c r="R924" t="str">
        <f t="shared" si="626"/>
        <v>0,00</v>
      </c>
      <c r="S924" t="str">
        <f t="shared" si="626"/>
        <v>0,00</v>
      </c>
      <c r="T924" t="str">
        <f t="shared" si="621"/>
        <v xml:space="preserve"> </v>
      </c>
      <c r="U924" t="str">
        <f t="shared" si="622"/>
        <v>-</v>
      </c>
      <c r="V924" t="str">
        <f>"4,000"</f>
        <v>4,000</v>
      </c>
      <c r="W924" t="str">
        <f t="shared" si="603"/>
        <v>Lista 4</v>
      </c>
      <c r="X924" t="str">
        <f t="shared" si="604"/>
        <v>Lista 5</v>
      </c>
      <c r="Y924" t="str">
        <f t="shared" si="605"/>
        <v>Oferta Gral.</v>
      </c>
      <c r="Z924" t="str">
        <f t="shared" si="606"/>
        <v>Rubro</v>
      </c>
      <c r="AA924" t="str">
        <f t="shared" si="607"/>
        <v>Cantidad por Bulto</v>
      </c>
      <c r="AB924" t="str">
        <f t="shared" si="608"/>
        <v>INNER</v>
      </c>
      <c r="AC924" t="str">
        <f t="shared" si="609"/>
        <v>Stock en Bultos</v>
      </c>
      <c r="AD924" t="str">
        <f t="shared" si="610"/>
        <v>SubDepósito</v>
      </c>
      <c r="AE924" t="str">
        <f t="shared" si="611"/>
        <v>Marca</v>
      </c>
      <c r="AF924" t="str">
        <f t="shared" si="612"/>
        <v>Super Rubro</v>
      </c>
      <c r="AG924" t="str">
        <f t="shared" si="613"/>
        <v>ComercioExterior</v>
      </c>
      <c r="AH924" t="str">
        <f t="shared" si="614"/>
        <v>PrecioFOB</v>
      </c>
      <c r="AI924" t="str">
        <f t="shared" si="615"/>
        <v>Monto II</v>
      </c>
      <c r="AJ924" t="str">
        <f t="shared" si="616"/>
        <v>Porcentaje II</v>
      </c>
      <c r="AK924" t="str">
        <f t="shared" si="617"/>
        <v>Foto</v>
      </c>
      <c r="AL924" t="str">
        <f>" "</f>
        <v xml:space="preserve"> </v>
      </c>
      <c r="AM924" t="str">
        <f t="shared" si="624"/>
        <v xml:space="preserve"> </v>
      </c>
    </row>
    <row r="925" spans="1:39" x14ac:dyDescent="0.25">
      <c r="A925" t="str">
        <f>"BA240 40"</f>
        <v>BA240 40</v>
      </c>
      <c r="B925" t="str">
        <f>"COJINETES BANCADA 1,00 RENAULT 9 11 12 18 19 CLIO 1.3 1.4 1.6 8V"</f>
        <v>COJINETES BANCADA 1,00 RENAULT 9 11 12 18 19 CLIO 1.3 1.4 1.6 8V</v>
      </c>
      <c r="C925" t="str">
        <f>"$ 18690,93"</f>
        <v>$ 18690,93</v>
      </c>
      <c r="D925" t="str">
        <f>"$ 18690,93"</f>
        <v>$ 18690,93</v>
      </c>
      <c r="E925" t="str">
        <f>"$ 18690,93"</f>
        <v>$ 18690,93</v>
      </c>
      <c r="F925" t="str">
        <f>"$ 18690,93"</f>
        <v>$ 18690,93</v>
      </c>
      <c r="G925" t="str">
        <f>"$ 18690,93"</f>
        <v>$ 18690,93</v>
      </c>
      <c r="H925" t="str">
        <f t="shared" si="600"/>
        <v>$ 0,00</v>
      </c>
      <c r="I925" t="str">
        <f t="shared" si="586"/>
        <v>JUEGO COJINETES BANCADA</v>
      </c>
      <c r="J925" t="str">
        <f t="shared" si="601"/>
        <v>1</v>
      </c>
      <c r="K925" t="str">
        <f t="shared" si="623"/>
        <v>0</v>
      </c>
      <c r="L925" t="str">
        <f>"11,000"</f>
        <v>11,000</v>
      </c>
      <c r="M925" t="str">
        <f t="shared" si="602"/>
        <v xml:space="preserve"> </v>
      </c>
      <c r="N925" t="str">
        <f t="shared" si="590"/>
        <v>MPSI</v>
      </c>
      <c r="O925" t="str">
        <f t="shared" si="591"/>
        <v>COJINETES</v>
      </c>
      <c r="P925" t="str">
        <f t="shared" si="625"/>
        <v>0</v>
      </c>
      <c r="Q925" t="str">
        <f t="shared" si="625"/>
        <v>0</v>
      </c>
      <c r="R925" t="str">
        <f t="shared" si="626"/>
        <v>0,00</v>
      </c>
      <c r="S925" t="str">
        <f t="shared" si="626"/>
        <v>0,00</v>
      </c>
      <c r="T925" t="str">
        <f t="shared" si="621"/>
        <v xml:space="preserve"> </v>
      </c>
      <c r="U925" t="str">
        <f t="shared" si="622"/>
        <v>-</v>
      </c>
      <c r="V925" t="str">
        <f>"11,000"</f>
        <v>11,000</v>
      </c>
      <c r="W925" t="str">
        <f t="shared" si="603"/>
        <v>Lista 4</v>
      </c>
      <c r="X925" t="str">
        <f t="shared" si="604"/>
        <v>Lista 5</v>
      </c>
      <c r="Y925" t="str">
        <f t="shared" si="605"/>
        <v>Oferta Gral.</v>
      </c>
      <c r="Z925" t="str">
        <f t="shared" si="606"/>
        <v>Rubro</v>
      </c>
      <c r="AA925" t="str">
        <f t="shared" si="607"/>
        <v>Cantidad por Bulto</v>
      </c>
      <c r="AB925" t="str">
        <f t="shared" si="608"/>
        <v>INNER</v>
      </c>
      <c r="AC925" t="str">
        <f t="shared" si="609"/>
        <v>Stock en Bultos</v>
      </c>
      <c r="AD925" t="str">
        <f t="shared" si="610"/>
        <v>SubDepósito</v>
      </c>
      <c r="AE925" t="str">
        <f t="shared" si="611"/>
        <v>Marca</v>
      </c>
      <c r="AF925" t="str">
        <f t="shared" si="612"/>
        <v>Super Rubro</v>
      </c>
      <c r="AG925" t="str">
        <f t="shared" si="613"/>
        <v>ComercioExterior</v>
      </c>
      <c r="AH925" t="str">
        <f t="shared" si="614"/>
        <v>PrecioFOB</v>
      </c>
      <c r="AI925" t="str">
        <f t="shared" si="615"/>
        <v>Monto II</v>
      </c>
      <c r="AJ925" t="str">
        <f t="shared" si="616"/>
        <v>Porcentaje II</v>
      </c>
      <c r="AK925" t="str">
        <f t="shared" si="617"/>
        <v>Foto</v>
      </c>
      <c r="AL925" t="str">
        <f>"{\rtf1\ansi\ansicpg1252\deff0\deflang2058{\fonttbl{\f0\fnil\fcharset0 MS Sans Serif}} \viewkind4\uc1\pard\f0\fs16 COJINETES BANCADA 1,00 RENAULT 9 11 12 18 19 CLIO 1.3 1.4 1.6 8V\par } "</f>
        <v xml:space="preserve">{\rtf1\ansi\ansicpg1252\deff0\deflang2058{\fonttbl{\f0\fnil\fcharset0 MS Sans Serif}} \viewkind4\uc1\pard\f0\fs16 COJINETES BANCADA 1,00 RENAULT 9 11 12 18 19 CLIO 1.3 1.4 1.6 8V\par } </v>
      </c>
      <c r="AM925" t="str">
        <f t="shared" si="624"/>
        <v xml:space="preserve"> </v>
      </c>
    </row>
    <row r="926" spans="1:39" x14ac:dyDescent="0.25">
      <c r="A926" t="str">
        <f>"BA872 40"</f>
        <v>BA872 40</v>
      </c>
      <c r="B926" t="str">
        <f>"COJINETES BANCADA 1,00 RENAULT CLIO TWINGO 1.2  D4F D7F SIN TRABA"</f>
        <v>COJINETES BANCADA 1,00 RENAULT CLIO TWINGO 1.2  D4F D7F SIN TRABA</v>
      </c>
      <c r="C926" t="str">
        <f>"$ 22195,70"</f>
        <v>$ 22195,70</v>
      </c>
      <c r="D926" t="str">
        <f>"$ 22195,70"</f>
        <v>$ 22195,70</v>
      </c>
      <c r="E926" t="str">
        <f>"$ 22195,70"</f>
        <v>$ 22195,70</v>
      </c>
      <c r="F926" t="str">
        <f>"$ 22195,70"</f>
        <v>$ 22195,70</v>
      </c>
      <c r="G926" t="str">
        <f>"$ 22195,70"</f>
        <v>$ 22195,70</v>
      </c>
      <c r="H926" t="str">
        <f t="shared" si="600"/>
        <v>$ 0,00</v>
      </c>
      <c r="I926" t="str">
        <f t="shared" si="586"/>
        <v>JUEGO COJINETES BANCADA</v>
      </c>
      <c r="J926" t="str">
        <f t="shared" si="601"/>
        <v>1</v>
      </c>
      <c r="K926" t="str">
        <f t="shared" si="623"/>
        <v>0</v>
      </c>
      <c r="L926" t="str">
        <f>"4,000"</f>
        <v>4,000</v>
      </c>
      <c r="M926" t="str">
        <f t="shared" si="602"/>
        <v xml:space="preserve"> </v>
      </c>
      <c r="N926" t="str">
        <f t="shared" si="590"/>
        <v>MPSI</v>
      </c>
      <c r="O926" t="str">
        <f t="shared" si="591"/>
        <v>COJINETES</v>
      </c>
      <c r="P926" t="str">
        <f t="shared" si="625"/>
        <v>0</v>
      </c>
      <c r="Q926" t="str">
        <f t="shared" si="625"/>
        <v>0</v>
      </c>
      <c r="R926" t="str">
        <f t="shared" si="626"/>
        <v>0,00</v>
      </c>
      <c r="S926" t="str">
        <f t="shared" si="626"/>
        <v>0,00</v>
      </c>
      <c r="T926" t="str">
        <f t="shared" si="621"/>
        <v xml:space="preserve"> </v>
      </c>
      <c r="U926" t="str">
        <f t="shared" si="622"/>
        <v>-</v>
      </c>
      <c r="V926" t="str">
        <f>"4,000"</f>
        <v>4,000</v>
      </c>
      <c r="W926" t="str">
        <f t="shared" si="603"/>
        <v>Lista 4</v>
      </c>
      <c r="X926" t="str">
        <f t="shared" si="604"/>
        <v>Lista 5</v>
      </c>
      <c r="Y926" t="str">
        <f t="shared" si="605"/>
        <v>Oferta Gral.</v>
      </c>
      <c r="Z926" t="str">
        <f t="shared" si="606"/>
        <v>Rubro</v>
      </c>
      <c r="AA926" t="str">
        <f t="shared" si="607"/>
        <v>Cantidad por Bulto</v>
      </c>
      <c r="AB926" t="str">
        <f t="shared" si="608"/>
        <v>INNER</v>
      </c>
      <c r="AC926" t="str">
        <f t="shared" si="609"/>
        <v>Stock en Bultos</v>
      </c>
      <c r="AD926" t="str">
        <f t="shared" si="610"/>
        <v>SubDepósito</v>
      </c>
      <c r="AE926" t="str">
        <f t="shared" si="611"/>
        <v>Marca</v>
      </c>
      <c r="AF926" t="str">
        <f t="shared" si="612"/>
        <v>Super Rubro</v>
      </c>
      <c r="AG926" t="str">
        <f t="shared" si="613"/>
        <v>ComercioExterior</v>
      </c>
      <c r="AH926" t="str">
        <f t="shared" si="614"/>
        <v>PrecioFOB</v>
      </c>
      <c r="AI926" t="str">
        <f t="shared" si="615"/>
        <v>Monto II</v>
      </c>
      <c r="AJ926" t="str">
        <f t="shared" si="616"/>
        <v>Porcentaje II</v>
      </c>
      <c r="AK926" t="str">
        <f t="shared" si="617"/>
        <v>Foto</v>
      </c>
      <c r="AL926" t="str">
        <f>" "</f>
        <v xml:space="preserve"> </v>
      </c>
      <c r="AM926" t="str">
        <f t="shared" si="624"/>
        <v xml:space="preserve"> </v>
      </c>
    </row>
    <row r="927" spans="1:39" x14ac:dyDescent="0.25">
      <c r="A927" t="str">
        <f>"BA871 40"</f>
        <v>BA871 40</v>
      </c>
      <c r="B927" t="str">
        <f>"COJINETES BANCADA 1,00 RENAULT CLIO TWINGO 1.2  D7F CON TRABA"</f>
        <v>COJINETES BANCADA 1,00 RENAULT CLIO TWINGO 1.2  D7F CON TRABA</v>
      </c>
      <c r="C927" t="str">
        <f>"$ 24057,75"</f>
        <v>$ 24057,75</v>
      </c>
      <c r="D927" t="str">
        <f>"$ 24057,75"</f>
        <v>$ 24057,75</v>
      </c>
      <c r="E927" t="str">
        <f>"$ 24057,75"</f>
        <v>$ 24057,75</v>
      </c>
      <c r="F927" t="str">
        <f>"$ 24057,75"</f>
        <v>$ 24057,75</v>
      </c>
      <c r="G927" t="str">
        <f>"$ 24057,75"</f>
        <v>$ 24057,75</v>
      </c>
      <c r="H927" t="str">
        <f t="shared" si="600"/>
        <v>$ 0,00</v>
      </c>
      <c r="I927" t="str">
        <f t="shared" ref="I927:I990" si="627">"JUEGO COJINETES BANCADA"</f>
        <v>JUEGO COJINETES BANCADA</v>
      </c>
      <c r="J927" t="str">
        <f t="shared" si="601"/>
        <v>1</v>
      </c>
      <c r="K927" t="str">
        <f t="shared" si="623"/>
        <v>0</v>
      </c>
      <c r="L927" t="str">
        <f>"6,000"</f>
        <v>6,000</v>
      </c>
      <c r="M927" t="str">
        <f t="shared" si="602"/>
        <v xml:space="preserve"> </v>
      </c>
      <c r="N927" t="str">
        <f t="shared" si="590"/>
        <v>MPSI</v>
      </c>
      <c r="O927" t="str">
        <f t="shared" si="591"/>
        <v>COJINETES</v>
      </c>
      <c r="P927" t="str">
        <f t="shared" si="625"/>
        <v>0</v>
      </c>
      <c r="Q927" t="str">
        <f t="shared" si="625"/>
        <v>0</v>
      </c>
      <c r="R927" t="str">
        <f t="shared" si="626"/>
        <v>0,00</v>
      </c>
      <c r="S927" t="str">
        <f t="shared" si="626"/>
        <v>0,00</v>
      </c>
      <c r="T927" t="str">
        <f t="shared" si="621"/>
        <v xml:space="preserve"> </v>
      </c>
      <c r="U927" t="str">
        <f t="shared" si="622"/>
        <v>-</v>
      </c>
      <c r="V927" t="str">
        <f>"6,000"</f>
        <v>6,000</v>
      </c>
      <c r="W927" t="str">
        <f t="shared" si="603"/>
        <v>Lista 4</v>
      </c>
      <c r="X927" t="str">
        <f t="shared" si="604"/>
        <v>Lista 5</v>
      </c>
      <c r="Y927" t="str">
        <f t="shared" si="605"/>
        <v>Oferta Gral.</v>
      </c>
      <c r="Z927" t="str">
        <f t="shared" si="606"/>
        <v>Rubro</v>
      </c>
      <c r="AA927" t="str">
        <f t="shared" si="607"/>
        <v>Cantidad por Bulto</v>
      </c>
      <c r="AB927" t="str">
        <f t="shared" si="608"/>
        <v>INNER</v>
      </c>
      <c r="AC927" t="str">
        <f t="shared" si="609"/>
        <v>Stock en Bultos</v>
      </c>
      <c r="AD927" t="str">
        <f t="shared" si="610"/>
        <v>SubDepósito</v>
      </c>
      <c r="AE927" t="str">
        <f t="shared" si="611"/>
        <v>Marca</v>
      </c>
      <c r="AF927" t="str">
        <f t="shared" si="612"/>
        <v>Super Rubro</v>
      </c>
      <c r="AG927" t="str">
        <f t="shared" si="613"/>
        <v>ComercioExterior</v>
      </c>
      <c r="AH927" t="str">
        <f t="shared" si="614"/>
        <v>PrecioFOB</v>
      </c>
      <c r="AI927" t="str">
        <f t="shared" si="615"/>
        <v>Monto II</v>
      </c>
      <c r="AJ927" t="str">
        <f t="shared" si="616"/>
        <v>Porcentaje II</v>
      </c>
      <c r="AK927" t="str">
        <f t="shared" si="617"/>
        <v>Foto</v>
      </c>
      <c r="AL927" t="str">
        <f>" "</f>
        <v xml:space="preserve"> </v>
      </c>
      <c r="AM927" t="str">
        <f t="shared" si="624"/>
        <v xml:space="preserve"> </v>
      </c>
    </row>
    <row r="928" spans="1:39" x14ac:dyDescent="0.25">
      <c r="A928" t="str">
        <f>"BA873 40"</f>
        <v>BA873 40</v>
      </c>
      <c r="B928" t="str">
        <f>"COJINETES BANCADA 1,00 RENAULT KANGOO LOGAN 1.6 16V K4M 1.5 K9K"</f>
        <v>COJINETES BANCADA 1,00 RENAULT KANGOO LOGAN 1.6 16V K4M 1.5 K9K</v>
      </c>
      <c r="C928" t="str">
        <f>"$ 16674,76"</f>
        <v>$ 16674,76</v>
      </c>
      <c r="D928" t="str">
        <f>"$ 16674,76"</f>
        <v>$ 16674,76</v>
      </c>
      <c r="E928" t="str">
        <f>"$ 16674,76"</f>
        <v>$ 16674,76</v>
      </c>
      <c r="F928" t="str">
        <f>"$ 16674,76"</f>
        <v>$ 16674,76</v>
      </c>
      <c r="G928" t="str">
        <f>"$ 16674,76"</f>
        <v>$ 16674,76</v>
      </c>
      <c r="H928" t="str">
        <f t="shared" si="600"/>
        <v>$ 0,00</v>
      </c>
      <c r="I928" t="str">
        <f t="shared" si="627"/>
        <v>JUEGO COJINETES BANCADA</v>
      </c>
      <c r="J928" t="str">
        <f t="shared" si="601"/>
        <v>1</v>
      </c>
      <c r="K928" t="str">
        <f t="shared" si="623"/>
        <v>0</v>
      </c>
      <c r="L928" t="str">
        <f>"6,000"</f>
        <v>6,000</v>
      </c>
      <c r="M928" t="str">
        <f t="shared" si="602"/>
        <v xml:space="preserve"> </v>
      </c>
      <c r="N928" t="str">
        <f t="shared" si="590"/>
        <v>MPSI</v>
      </c>
      <c r="O928" t="str">
        <f t="shared" si="591"/>
        <v>COJINETES</v>
      </c>
      <c r="P928" t="str">
        <f t="shared" si="625"/>
        <v>0</v>
      </c>
      <c r="Q928" t="str">
        <f t="shared" si="625"/>
        <v>0</v>
      </c>
      <c r="R928" t="str">
        <f t="shared" si="626"/>
        <v>0,00</v>
      </c>
      <c r="S928" t="str">
        <f t="shared" si="626"/>
        <v>0,00</v>
      </c>
      <c r="T928" t="str">
        <f t="shared" si="621"/>
        <v xml:space="preserve"> </v>
      </c>
      <c r="U928" t="str">
        <f t="shared" si="622"/>
        <v>-</v>
      </c>
      <c r="V928" t="str">
        <f>"6,000"</f>
        <v>6,000</v>
      </c>
      <c r="W928" t="str">
        <f t="shared" si="603"/>
        <v>Lista 4</v>
      </c>
      <c r="X928" t="str">
        <f t="shared" si="604"/>
        <v>Lista 5</v>
      </c>
      <c r="Y928" t="str">
        <f t="shared" si="605"/>
        <v>Oferta Gral.</v>
      </c>
      <c r="Z928" t="str">
        <f t="shared" si="606"/>
        <v>Rubro</v>
      </c>
      <c r="AA928" t="str">
        <f t="shared" si="607"/>
        <v>Cantidad por Bulto</v>
      </c>
      <c r="AB928" t="str">
        <f t="shared" si="608"/>
        <v>INNER</v>
      </c>
      <c r="AC928" t="str">
        <f t="shared" si="609"/>
        <v>Stock en Bultos</v>
      </c>
      <c r="AD928" t="str">
        <f t="shared" si="610"/>
        <v>SubDepósito</v>
      </c>
      <c r="AE928" t="str">
        <f t="shared" si="611"/>
        <v>Marca</v>
      </c>
      <c r="AF928" t="str">
        <f t="shared" si="612"/>
        <v>Super Rubro</v>
      </c>
      <c r="AG928" t="str">
        <f t="shared" si="613"/>
        <v>ComercioExterior</v>
      </c>
      <c r="AH928" t="str">
        <f t="shared" si="614"/>
        <v>PrecioFOB</v>
      </c>
      <c r="AI928" t="str">
        <f t="shared" si="615"/>
        <v>Monto II</v>
      </c>
      <c r="AJ928" t="str">
        <f t="shared" si="616"/>
        <v>Porcentaje II</v>
      </c>
      <c r="AK928" t="str">
        <f t="shared" si="617"/>
        <v>Foto</v>
      </c>
      <c r="AL928" t="str">
        <f>"{\rtf1\ansi\ansicpg1252\deff0\deflang2058{\fonttbl{\f0\fnil\fcharset0 MS Sans Serif}} \viewkind4\uc1\pard\f0\fs16 COJINETES BANCADA 1,00 RENAULT KANGOO LOGAN 1.6 16V K4M 1.5 K9K\par } "</f>
        <v xml:space="preserve">{\rtf1\ansi\ansicpg1252\deff0\deflang2058{\fonttbl{\f0\fnil\fcharset0 MS Sans Serif}} \viewkind4\uc1\pard\f0\fs16 COJINETES BANCADA 1,00 RENAULT KANGOO LOGAN 1.6 16V K4M 1.5 K9K\par } </v>
      </c>
      <c r="AM928" t="str">
        <f t="shared" si="624"/>
        <v xml:space="preserve"> </v>
      </c>
    </row>
    <row r="929" spans="1:39" x14ac:dyDescent="0.25">
      <c r="A929" t="str">
        <f>"BA874 40"</f>
        <v>BA874 40</v>
      </c>
      <c r="B929" t="str">
        <f>"COJINETES BANCADA 1,00 RENAULT MASTER 2.5 MOTOR G9U"</f>
        <v>COJINETES BANCADA 1,00 RENAULT MASTER 2.5 MOTOR G9U</v>
      </c>
      <c r="C929" t="str">
        <f>"$ 23163,96"</f>
        <v>$ 23163,96</v>
      </c>
      <c r="D929" t="str">
        <f>"$ 23163,96"</f>
        <v>$ 23163,96</v>
      </c>
      <c r="E929" t="str">
        <f>"$ 23163,96"</f>
        <v>$ 23163,96</v>
      </c>
      <c r="F929" t="str">
        <f>"$ 23163,96"</f>
        <v>$ 23163,96</v>
      </c>
      <c r="G929" t="str">
        <f>"$ 23163,96"</f>
        <v>$ 23163,96</v>
      </c>
      <c r="H929" t="str">
        <f t="shared" si="600"/>
        <v>$ 0,00</v>
      </c>
      <c r="I929" t="str">
        <f t="shared" si="627"/>
        <v>JUEGO COJINETES BANCADA</v>
      </c>
      <c r="J929" t="str">
        <f t="shared" si="601"/>
        <v>1</v>
      </c>
      <c r="K929" t="str">
        <f t="shared" si="623"/>
        <v>0</v>
      </c>
      <c r="L929" t="str">
        <f>"0,000"</f>
        <v>0,000</v>
      </c>
      <c r="M929" t="str">
        <f t="shared" si="602"/>
        <v xml:space="preserve"> </v>
      </c>
      <c r="N929" t="str">
        <f t="shared" si="590"/>
        <v>MPSI</v>
      </c>
      <c r="O929" t="str">
        <f t="shared" si="591"/>
        <v>COJINETES</v>
      </c>
      <c r="P929" t="str">
        <f t="shared" si="625"/>
        <v>0</v>
      </c>
      <c r="Q929" t="str">
        <f t="shared" si="625"/>
        <v>0</v>
      </c>
      <c r="R929" t="str">
        <f t="shared" si="626"/>
        <v>0,00</v>
      </c>
      <c r="S929" t="str">
        <f t="shared" si="626"/>
        <v>0,00</v>
      </c>
      <c r="T929" t="str">
        <f t="shared" si="621"/>
        <v xml:space="preserve"> </v>
      </c>
      <c r="U929" t="str">
        <f t="shared" si="622"/>
        <v>-</v>
      </c>
      <c r="V929" t="str">
        <f>"0,000"</f>
        <v>0,000</v>
      </c>
      <c r="W929" t="str">
        <f t="shared" si="603"/>
        <v>Lista 4</v>
      </c>
      <c r="X929" t="str">
        <f t="shared" si="604"/>
        <v>Lista 5</v>
      </c>
      <c r="Y929" t="str">
        <f t="shared" si="605"/>
        <v>Oferta Gral.</v>
      </c>
      <c r="Z929" t="str">
        <f t="shared" si="606"/>
        <v>Rubro</v>
      </c>
      <c r="AA929" t="str">
        <f t="shared" si="607"/>
        <v>Cantidad por Bulto</v>
      </c>
      <c r="AB929" t="str">
        <f t="shared" si="608"/>
        <v>INNER</v>
      </c>
      <c r="AC929" t="str">
        <f t="shared" si="609"/>
        <v>Stock en Bultos</v>
      </c>
      <c r="AD929" t="str">
        <f t="shared" si="610"/>
        <v>SubDepósito</v>
      </c>
      <c r="AE929" t="str">
        <f t="shared" si="611"/>
        <v>Marca</v>
      </c>
      <c r="AF929" t="str">
        <f t="shared" si="612"/>
        <v>Super Rubro</v>
      </c>
      <c r="AG929" t="str">
        <f t="shared" si="613"/>
        <v>ComercioExterior</v>
      </c>
      <c r="AH929" t="str">
        <f t="shared" si="614"/>
        <v>PrecioFOB</v>
      </c>
      <c r="AI929" t="str">
        <f t="shared" si="615"/>
        <v>Monto II</v>
      </c>
      <c r="AJ929" t="str">
        <f t="shared" si="616"/>
        <v>Porcentaje II</v>
      </c>
      <c r="AK929" t="str">
        <f t="shared" si="617"/>
        <v>Foto</v>
      </c>
      <c r="AL929" t="str">
        <f>" "</f>
        <v xml:space="preserve"> </v>
      </c>
      <c r="AM929" t="str">
        <f t="shared" si="624"/>
        <v xml:space="preserve"> </v>
      </c>
    </row>
    <row r="930" spans="1:39" x14ac:dyDescent="0.25">
      <c r="A930" t="str">
        <f>"BA628 40"</f>
        <v>BA628 40</v>
      </c>
      <c r="B930" t="str">
        <f>"COJINETES BANCADA 1,00 VW FOX SURAN GOL TREND GOLF IVI 1.6 8V"</f>
        <v>COJINETES BANCADA 1,00 VW FOX SURAN GOL TREND GOLF IVI 1.6 8V</v>
      </c>
      <c r="C930" t="str">
        <f>"$ 23052,24"</f>
        <v>$ 23052,24</v>
      </c>
      <c r="D930" t="str">
        <f>"$ 23052,24"</f>
        <v>$ 23052,24</v>
      </c>
      <c r="E930" t="str">
        <f>"$ 23052,24"</f>
        <v>$ 23052,24</v>
      </c>
      <c r="F930" t="str">
        <f>"$ 23052,24"</f>
        <v>$ 23052,24</v>
      </c>
      <c r="G930" t="str">
        <f>"$ 23052,24"</f>
        <v>$ 23052,24</v>
      </c>
      <c r="H930" t="str">
        <f t="shared" si="600"/>
        <v>$ 0,00</v>
      </c>
      <c r="I930" t="str">
        <f t="shared" si="627"/>
        <v>JUEGO COJINETES BANCADA</v>
      </c>
      <c r="J930" t="str">
        <f t="shared" si="601"/>
        <v>1</v>
      </c>
      <c r="K930" t="str">
        <f t="shared" si="623"/>
        <v>0</v>
      </c>
      <c r="L930" t="str">
        <f>"11,000"</f>
        <v>11,000</v>
      </c>
      <c r="M930" t="str">
        <f t="shared" si="602"/>
        <v xml:space="preserve"> </v>
      </c>
      <c r="N930" t="str">
        <f t="shared" si="590"/>
        <v>MPSI</v>
      </c>
      <c r="O930" t="str">
        <f t="shared" si="591"/>
        <v>COJINETES</v>
      </c>
      <c r="P930" t="str">
        <f t="shared" si="625"/>
        <v>0</v>
      </c>
      <c r="Q930" t="str">
        <f t="shared" si="625"/>
        <v>0</v>
      </c>
      <c r="R930" t="str">
        <f t="shared" si="626"/>
        <v>0,00</v>
      </c>
      <c r="S930" t="str">
        <f t="shared" si="626"/>
        <v>0,00</v>
      </c>
      <c r="T930" t="str">
        <f t="shared" si="621"/>
        <v xml:space="preserve"> </v>
      </c>
      <c r="U930" t="str">
        <f t="shared" si="622"/>
        <v>-</v>
      </c>
      <c r="V930" t="str">
        <f>"11,000"</f>
        <v>11,000</v>
      </c>
      <c r="W930" t="str">
        <f t="shared" si="603"/>
        <v>Lista 4</v>
      </c>
      <c r="X930" t="str">
        <f t="shared" si="604"/>
        <v>Lista 5</v>
      </c>
      <c r="Y930" t="str">
        <f t="shared" si="605"/>
        <v>Oferta Gral.</v>
      </c>
      <c r="Z930" t="str">
        <f t="shared" si="606"/>
        <v>Rubro</v>
      </c>
      <c r="AA930" t="str">
        <f t="shared" si="607"/>
        <v>Cantidad por Bulto</v>
      </c>
      <c r="AB930" t="str">
        <f t="shared" si="608"/>
        <v>INNER</v>
      </c>
      <c r="AC930" t="str">
        <f t="shared" si="609"/>
        <v>Stock en Bultos</v>
      </c>
      <c r="AD930" t="str">
        <f t="shared" si="610"/>
        <v>SubDepósito</v>
      </c>
      <c r="AE930" t="str">
        <f t="shared" si="611"/>
        <v>Marca</v>
      </c>
      <c r="AF930" t="str">
        <f t="shared" si="612"/>
        <v>Super Rubro</v>
      </c>
      <c r="AG930" t="str">
        <f t="shared" si="613"/>
        <v>ComercioExterior</v>
      </c>
      <c r="AH930" t="str">
        <f t="shared" si="614"/>
        <v>PrecioFOB</v>
      </c>
      <c r="AI930" t="str">
        <f t="shared" si="615"/>
        <v>Monto II</v>
      </c>
      <c r="AJ930" t="str">
        <f t="shared" si="616"/>
        <v>Porcentaje II</v>
      </c>
      <c r="AK930" t="str">
        <f t="shared" si="617"/>
        <v>Foto</v>
      </c>
      <c r="AL930" t="str">
        <f>" "</f>
        <v xml:space="preserve"> </v>
      </c>
      <c r="AM930" t="str">
        <f t="shared" si="624"/>
        <v xml:space="preserve"> </v>
      </c>
    </row>
    <row r="931" spans="1:39" x14ac:dyDescent="0.25">
      <c r="A931" t="str">
        <f>"BA479 40"</f>
        <v>BA479 40</v>
      </c>
      <c r="B931" t="str">
        <f>"COJINETES BANCADA 1,00 VW GOL POLO SAVEIRO MOTOR AUDI 1.6 8V"</f>
        <v>COJINETES BANCADA 1,00 VW GOL POLO SAVEIRO MOTOR AUDI 1.6 8V</v>
      </c>
      <c r="C931" t="str">
        <f>"$ 20459,22"</f>
        <v>$ 20459,22</v>
      </c>
      <c r="D931" t="str">
        <f>"$ 20459,22"</f>
        <v>$ 20459,22</v>
      </c>
      <c r="E931" t="str">
        <f>"$ 20459,22"</f>
        <v>$ 20459,22</v>
      </c>
      <c r="F931" t="str">
        <f>"$ 20459,22"</f>
        <v>$ 20459,22</v>
      </c>
      <c r="G931" t="str">
        <f>"$ 20459,22"</f>
        <v>$ 20459,22</v>
      </c>
      <c r="H931" t="str">
        <f t="shared" si="600"/>
        <v>$ 0,00</v>
      </c>
      <c r="I931" t="str">
        <f t="shared" si="627"/>
        <v>JUEGO COJINETES BANCADA</v>
      </c>
      <c r="J931" t="str">
        <f t="shared" si="601"/>
        <v>1</v>
      </c>
      <c r="K931" t="str">
        <f t="shared" si="623"/>
        <v>0</v>
      </c>
      <c r="L931" t="str">
        <f>"5,000"</f>
        <v>5,000</v>
      </c>
      <c r="M931" t="str">
        <f t="shared" si="602"/>
        <v xml:space="preserve"> </v>
      </c>
      <c r="N931" t="str">
        <f t="shared" si="590"/>
        <v>MPSI</v>
      </c>
      <c r="O931" t="str">
        <f t="shared" si="591"/>
        <v>COJINETES</v>
      </c>
      <c r="P931" t="str">
        <f t="shared" si="625"/>
        <v>0</v>
      </c>
      <c r="Q931" t="str">
        <f t="shared" si="625"/>
        <v>0</v>
      </c>
      <c r="R931" t="str">
        <f t="shared" si="626"/>
        <v>0,00</v>
      </c>
      <c r="S931" t="str">
        <f t="shared" si="626"/>
        <v>0,00</v>
      </c>
      <c r="T931" t="str">
        <f t="shared" si="621"/>
        <v xml:space="preserve"> </v>
      </c>
      <c r="U931" t="str">
        <f t="shared" si="622"/>
        <v>-</v>
      </c>
      <c r="V931" t="str">
        <f>"5,000"</f>
        <v>5,000</v>
      </c>
      <c r="W931" t="str">
        <f t="shared" si="603"/>
        <v>Lista 4</v>
      </c>
      <c r="X931" t="str">
        <f t="shared" si="604"/>
        <v>Lista 5</v>
      </c>
      <c r="Y931" t="str">
        <f t="shared" si="605"/>
        <v>Oferta Gral.</v>
      </c>
      <c r="Z931" t="str">
        <f t="shared" si="606"/>
        <v>Rubro</v>
      </c>
      <c r="AA931" t="str">
        <f t="shared" si="607"/>
        <v>Cantidad por Bulto</v>
      </c>
      <c r="AB931" t="str">
        <f t="shared" si="608"/>
        <v>INNER</v>
      </c>
      <c r="AC931" t="str">
        <f t="shared" si="609"/>
        <v>Stock en Bultos</v>
      </c>
      <c r="AD931" t="str">
        <f t="shared" si="610"/>
        <v>SubDepósito</v>
      </c>
      <c r="AE931" t="str">
        <f t="shared" si="611"/>
        <v>Marca</v>
      </c>
      <c r="AF931" t="str">
        <f t="shared" si="612"/>
        <v>Super Rubro</v>
      </c>
      <c r="AG931" t="str">
        <f t="shared" si="613"/>
        <v>ComercioExterior</v>
      </c>
      <c r="AH931" t="str">
        <f t="shared" si="614"/>
        <v>PrecioFOB</v>
      </c>
      <c r="AI931" t="str">
        <f t="shared" si="615"/>
        <v>Monto II</v>
      </c>
      <c r="AJ931" t="str">
        <f t="shared" si="616"/>
        <v>Porcentaje II</v>
      </c>
      <c r="AK931" t="str">
        <f t="shared" si="617"/>
        <v>Foto</v>
      </c>
      <c r="AL931" t="str">
        <f>"{\rtf1\ansi\ansicpg1252\deff0\deflang2058{\fonttbl{\f0\fnil\fcharset0 MS Sans Serif}} \viewkind4\uc1\pard\f0\fs16 COJINETES BANCADA 1,00 VW GOL POLO SAVEIRO MOTOR AUDI 1.6 8V\par } "</f>
        <v xml:space="preserve">{\rtf1\ansi\ansicpg1252\deff0\deflang2058{\fonttbl{\f0\fnil\fcharset0 MS Sans Serif}} \viewkind4\uc1\pard\f0\fs16 COJINETES BANCADA 1,00 VW GOL POLO SAVEIRO MOTOR AUDI 1.6 8V\par } </v>
      </c>
      <c r="AM931" t="str">
        <f t="shared" si="624"/>
        <v xml:space="preserve"> </v>
      </c>
    </row>
    <row r="932" spans="1:39" x14ac:dyDescent="0.25">
      <c r="A932" t="str">
        <f>"BA480 40"</f>
        <v>BA480 40</v>
      </c>
      <c r="B932" t="str">
        <f>"COJINETES BANCADA 1,00 VW GOL POLO SAVEIRO MOTOR AUDI 1.6 8V CON AXIAL"</f>
        <v>COJINETES BANCADA 1,00 VW GOL POLO SAVEIRO MOTOR AUDI 1.6 8V CON AXIAL</v>
      </c>
      <c r="C932" t="str">
        <f>"$ 31803,90"</f>
        <v>$ 31803,90</v>
      </c>
      <c r="D932" t="str">
        <f>"$ 31803,90"</f>
        <v>$ 31803,90</v>
      </c>
      <c r="E932" t="str">
        <f>"$ 31803,90"</f>
        <v>$ 31803,90</v>
      </c>
      <c r="F932" t="str">
        <f>"$ 31803,90"</f>
        <v>$ 31803,90</v>
      </c>
      <c r="G932" t="str">
        <f>"$ 31803,90"</f>
        <v>$ 31803,90</v>
      </c>
      <c r="H932" t="str">
        <f t="shared" si="600"/>
        <v>$ 0,00</v>
      </c>
      <c r="I932" t="str">
        <f t="shared" si="627"/>
        <v>JUEGO COJINETES BANCADA</v>
      </c>
      <c r="J932" t="str">
        <f t="shared" si="601"/>
        <v>1</v>
      </c>
      <c r="K932" t="str">
        <f t="shared" si="623"/>
        <v>0</v>
      </c>
      <c r="L932" t="str">
        <f>"0,000"</f>
        <v>0,000</v>
      </c>
      <c r="M932" t="str">
        <f t="shared" si="602"/>
        <v xml:space="preserve"> </v>
      </c>
      <c r="N932" t="str">
        <f t="shared" si="590"/>
        <v>MPSI</v>
      </c>
      <c r="O932" t="str">
        <f t="shared" si="591"/>
        <v>COJINETES</v>
      </c>
      <c r="P932" t="str">
        <f t="shared" si="625"/>
        <v>0</v>
      </c>
      <c r="Q932" t="str">
        <f t="shared" si="625"/>
        <v>0</v>
      </c>
      <c r="R932" t="str">
        <f t="shared" si="626"/>
        <v>0,00</v>
      </c>
      <c r="S932" t="str">
        <f t="shared" si="626"/>
        <v>0,00</v>
      </c>
      <c r="T932" t="str">
        <f t="shared" si="621"/>
        <v xml:space="preserve"> </v>
      </c>
      <c r="U932" t="str">
        <f t="shared" si="622"/>
        <v>-</v>
      </c>
      <c r="V932" t="str">
        <f>"0,000"</f>
        <v>0,000</v>
      </c>
      <c r="W932" t="str">
        <f t="shared" si="603"/>
        <v>Lista 4</v>
      </c>
      <c r="X932" t="str">
        <f t="shared" si="604"/>
        <v>Lista 5</v>
      </c>
      <c r="Y932" t="str">
        <f t="shared" si="605"/>
        <v>Oferta Gral.</v>
      </c>
      <c r="Z932" t="str">
        <f t="shared" si="606"/>
        <v>Rubro</v>
      </c>
      <c r="AA932" t="str">
        <f t="shared" si="607"/>
        <v>Cantidad por Bulto</v>
      </c>
      <c r="AB932" t="str">
        <f t="shared" si="608"/>
        <v>INNER</v>
      </c>
      <c r="AC932" t="str">
        <f t="shared" si="609"/>
        <v>Stock en Bultos</v>
      </c>
      <c r="AD932" t="str">
        <f t="shared" si="610"/>
        <v>SubDepósito</v>
      </c>
      <c r="AE932" t="str">
        <f t="shared" si="611"/>
        <v>Marca</v>
      </c>
      <c r="AF932" t="str">
        <f t="shared" si="612"/>
        <v>Super Rubro</v>
      </c>
      <c r="AG932" t="str">
        <f t="shared" si="613"/>
        <v>ComercioExterior</v>
      </c>
      <c r="AH932" t="str">
        <f t="shared" si="614"/>
        <v>PrecioFOB</v>
      </c>
      <c r="AI932" t="str">
        <f t="shared" si="615"/>
        <v>Monto II</v>
      </c>
      <c r="AJ932" t="str">
        <f t="shared" si="616"/>
        <v>Porcentaje II</v>
      </c>
      <c r="AK932" t="str">
        <f t="shared" si="617"/>
        <v>Foto</v>
      </c>
      <c r="AL932" t="str">
        <f>" "</f>
        <v xml:space="preserve"> </v>
      </c>
      <c r="AM932" t="str">
        <f t="shared" si="624"/>
        <v xml:space="preserve"> </v>
      </c>
    </row>
    <row r="933" spans="1:39" x14ac:dyDescent="0.25">
      <c r="A933" t="str">
        <f>"BA062 50"</f>
        <v>BA062 50</v>
      </c>
      <c r="B933" t="str">
        <f>"COJINETES BANCADA 1,25 CHEVROLET 400 CHEVY C10"</f>
        <v>COJINETES BANCADA 1,25 CHEVROLET 400 CHEVY C10</v>
      </c>
      <c r="C933" t="str">
        <f>"$ 40323,50"</f>
        <v>$ 40323,50</v>
      </c>
      <c r="D933" t="str">
        <f>"$ 40323,50"</f>
        <v>$ 40323,50</v>
      </c>
      <c r="E933" t="str">
        <f>"$ 40323,50"</f>
        <v>$ 40323,50</v>
      </c>
      <c r="F933" t="str">
        <f>"$ 40323,50"</f>
        <v>$ 40323,50</v>
      </c>
      <c r="G933" t="str">
        <f>"$ 40323,50"</f>
        <v>$ 40323,50</v>
      </c>
      <c r="H933" t="str">
        <f t="shared" si="600"/>
        <v>$ 0,00</v>
      </c>
      <c r="I933" t="str">
        <f t="shared" si="627"/>
        <v>JUEGO COJINETES BANCADA</v>
      </c>
      <c r="J933" t="str">
        <f t="shared" si="601"/>
        <v>1</v>
      </c>
      <c r="K933" t="str">
        <f t="shared" si="623"/>
        <v>0</v>
      </c>
      <c r="L933" t="str">
        <f>"3,000"</f>
        <v>3,000</v>
      </c>
      <c r="M933" t="str">
        <f t="shared" si="602"/>
        <v xml:space="preserve"> </v>
      </c>
      <c r="N933" t="str">
        <f t="shared" ref="N933:N996" si="628">"MPSI"</f>
        <v>MPSI</v>
      </c>
      <c r="O933" t="str">
        <f t="shared" ref="O933:O996" si="629">"COJINETES"</f>
        <v>COJINETES</v>
      </c>
      <c r="P933" t="str">
        <f t="shared" si="625"/>
        <v>0</v>
      </c>
      <c r="Q933" t="str">
        <f t="shared" si="625"/>
        <v>0</v>
      </c>
      <c r="R933" t="str">
        <f t="shared" si="626"/>
        <v>0,00</v>
      </c>
      <c r="S933" t="str">
        <f t="shared" si="626"/>
        <v>0,00</v>
      </c>
      <c r="T933" t="str">
        <f t="shared" si="621"/>
        <v xml:space="preserve"> </v>
      </c>
      <c r="U933" t="str">
        <f t="shared" si="622"/>
        <v>-</v>
      </c>
      <c r="V933" t="str">
        <f>"3,000"</f>
        <v>3,000</v>
      </c>
      <c r="W933" t="str">
        <f t="shared" si="603"/>
        <v>Lista 4</v>
      </c>
      <c r="X933" t="str">
        <f t="shared" si="604"/>
        <v>Lista 5</v>
      </c>
      <c r="Y933" t="str">
        <f t="shared" si="605"/>
        <v>Oferta Gral.</v>
      </c>
      <c r="Z933" t="str">
        <f t="shared" si="606"/>
        <v>Rubro</v>
      </c>
      <c r="AA933" t="str">
        <f t="shared" si="607"/>
        <v>Cantidad por Bulto</v>
      </c>
      <c r="AB933" t="str">
        <f t="shared" si="608"/>
        <v>INNER</v>
      </c>
      <c r="AC933" t="str">
        <f t="shared" si="609"/>
        <v>Stock en Bultos</v>
      </c>
      <c r="AD933" t="str">
        <f t="shared" si="610"/>
        <v>SubDepósito</v>
      </c>
      <c r="AE933" t="str">
        <f t="shared" si="611"/>
        <v>Marca</v>
      </c>
      <c r="AF933" t="str">
        <f t="shared" si="612"/>
        <v>Super Rubro</v>
      </c>
      <c r="AG933" t="str">
        <f t="shared" si="613"/>
        <v>ComercioExterior</v>
      </c>
      <c r="AH933" t="str">
        <f t="shared" si="614"/>
        <v>PrecioFOB</v>
      </c>
      <c r="AI933" t="str">
        <f t="shared" si="615"/>
        <v>Monto II</v>
      </c>
      <c r="AJ933" t="str">
        <f t="shared" si="616"/>
        <v>Porcentaje II</v>
      </c>
      <c r="AK933" t="str">
        <f t="shared" si="617"/>
        <v>Foto</v>
      </c>
      <c r="AL933" t="str">
        <f>" "</f>
        <v xml:space="preserve"> </v>
      </c>
      <c r="AM933" t="str">
        <f t="shared" si="624"/>
        <v xml:space="preserve"> </v>
      </c>
    </row>
    <row r="934" spans="1:39" x14ac:dyDescent="0.25">
      <c r="A934" t="str">
        <f>"BA199 50"</f>
        <v>BA199 50</v>
      </c>
      <c r="B934" t="str">
        <f>"COJINETES BANCADA 1,25 FORD FALCON F100 3.0 3.6"</f>
        <v>COJINETES BANCADA 1,25 FORD FALCON F100 3.0 3.6</v>
      </c>
      <c r="C934" t="str">
        <f>"$ 41910,00"</f>
        <v>$ 41910,00</v>
      </c>
      <c r="D934" t="str">
        <f>"$ 41910,00"</f>
        <v>$ 41910,00</v>
      </c>
      <c r="E934" t="str">
        <f>"$ 41910,00"</f>
        <v>$ 41910,00</v>
      </c>
      <c r="F934" t="str">
        <f>"$ 41910,00"</f>
        <v>$ 41910,00</v>
      </c>
      <c r="G934" t="str">
        <f>"$ 41910,00"</f>
        <v>$ 41910,00</v>
      </c>
      <c r="H934" t="str">
        <f t="shared" si="600"/>
        <v>$ 0,00</v>
      </c>
      <c r="I934" t="str">
        <f t="shared" si="627"/>
        <v>JUEGO COJINETES BANCADA</v>
      </c>
      <c r="J934" t="str">
        <f t="shared" si="601"/>
        <v>1</v>
      </c>
      <c r="K934" t="str">
        <f t="shared" si="623"/>
        <v>0</v>
      </c>
      <c r="L934" t="str">
        <f>"2,000"</f>
        <v>2,000</v>
      </c>
      <c r="M934" t="str">
        <f t="shared" si="602"/>
        <v xml:space="preserve"> </v>
      </c>
      <c r="N934" t="str">
        <f t="shared" si="628"/>
        <v>MPSI</v>
      </c>
      <c r="O934" t="str">
        <f t="shared" si="629"/>
        <v>COJINETES</v>
      </c>
      <c r="P934" t="str">
        <f t="shared" si="625"/>
        <v>0</v>
      </c>
      <c r="Q934" t="str">
        <f t="shared" si="625"/>
        <v>0</v>
      </c>
      <c r="R934" t="str">
        <f t="shared" si="626"/>
        <v>0,00</v>
      </c>
      <c r="S934" t="str">
        <f t="shared" si="626"/>
        <v>0,00</v>
      </c>
      <c r="T934" t="str">
        <f t="shared" si="621"/>
        <v xml:space="preserve"> </v>
      </c>
      <c r="U934" t="str">
        <f t="shared" si="622"/>
        <v>-</v>
      </c>
      <c r="V934" t="str">
        <f>"2,000"</f>
        <v>2,000</v>
      </c>
      <c r="W934" t="str">
        <f t="shared" si="603"/>
        <v>Lista 4</v>
      </c>
      <c r="X934" t="str">
        <f t="shared" si="604"/>
        <v>Lista 5</v>
      </c>
      <c r="Y934" t="str">
        <f t="shared" si="605"/>
        <v>Oferta Gral.</v>
      </c>
      <c r="Z934" t="str">
        <f t="shared" si="606"/>
        <v>Rubro</v>
      </c>
      <c r="AA934" t="str">
        <f t="shared" si="607"/>
        <v>Cantidad por Bulto</v>
      </c>
      <c r="AB934" t="str">
        <f t="shared" si="608"/>
        <v>INNER</v>
      </c>
      <c r="AC934" t="str">
        <f t="shared" si="609"/>
        <v>Stock en Bultos</v>
      </c>
      <c r="AD934" t="str">
        <f t="shared" si="610"/>
        <v>SubDepósito</v>
      </c>
      <c r="AE934" t="str">
        <f t="shared" si="611"/>
        <v>Marca</v>
      </c>
      <c r="AF934" t="str">
        <f t="shared" si="612"/>
        <v>Super Rubro</v>
      </c>
      <c r="AG934" t="str">
        <f t="shared" si="613"/>
        <v>ComercioExterior</v>
      </c>
      <c r="AH934" t="str">
        <f t="shared" si="614"/>
        <v>PrecioFOB</v>
      </c>
      <c r="AI934" t="str">
        <f t="shared" si="615"/>
        <v>Monto II</v>
      </c>
      <c r="AJ934" t="str">
        <f t="shared" si="616"/>
        <v>Porcentaje II</v>
      </c>
      <c r="AK934" t="str">
        <f t="shared" si="617"/>
        <v>Foto</v>
      </c>
      <c r="AL934" t="str">
        <f>"{\rtf1\ansi\ansicpg1252\deff0\deflang2058{\fonttbl{\f0\fnil\fcharset0 MS Sans Serif}} \viewkind4\uc1\pard\f0\fs16 COJINETES BANCADA 1,25 FORD FALCON F100 3.0 3.6\par } "</f>
        <v xml:space="preserve">{\rtf1\ansi\ansicpg1252\deff0\deflang2058{\fonttbl{\f0\fnil\fcharset0 MS Sans Serif}} \viewkind4\uc1\pard\f0\fs16 COJINETES BANCADA 1,25 FORD FALCON F100 3.0 3.6\par } </v>
      </c>
      <c r="AM934" t="str">
        <f t="shared" si="624"/>
        <v xml:space="preserve"> </v>
      </c>
    </row>
    <row r="935" spans="1:39" x14ac:dyDescent="0.25">
      <c r="A935" t="str">
        <f>"BA240 50"</f>
        <v>BA240 50</v>
      </c>
      <c r="B935" t="str">
        <f>"COJINETES BANCADA 1,25 RENAULT 9 11 12 18 19 CLIO 1.3 1.4 1.6 8V"</f>
        <v>COJINETES BANCADA 1,25 RENAULT 9 11 12 18 19 CLIO 1.3 1.4 1.6 8V</v>
      </c>
      <c r="C935" t="str">
        <f>"$ 18690,93"</f>
        <v>$ 18690,93</v>
      </c>
      <c r="D935" t="str">
        <f>"$ 18690,93"</f>
        <v>$ 18690,93</v>
      </c>
      <c r="E935" t="str">
        <f>"$ 18690,93"</f>
        <v>$ 18690,93</v>
      </c>
      <c r="F935" t="str">
        <f>"$ 18690,93"</f>
        <v>$ 18690,93</v>
      </c>
      <c r="G935" t="str">
        <f>"$ 18690,93"</f>
        <v>$ 18690,93</v>
      </c>
      <c r="H935" t="str">
        <f t="shared" si="600"/>
        <v>$ 0,00</v>
      </c>
      <c r="I935" t="str">
        <f t="shared" si="627"/>
        <v>JUEGO COJINETES BANCADA</v>
      </c>
      <c r="J935" t="str">
        <f t="shared" si="601"/>
        <v>1</v>
      </c>
      <c r="K935" t="str">
        <f t="shared" si="623"/>
        <v>0</v>
      </c>
      <c r="L935" t="str">
        <f>"6,000"</f>
        <v>6,000</v>
      </c>
      <c r="M935" t="str">
        <f t="shared" si="602"/>
        <v xml:space="preserve"> </v>
      </c>
      <c r="N935" t="str">
        <f t="shared" si="628"/>
        <v>MPSI</v>
      </c>
      <c r="O935" t="str">
        <f t="shared" si="629"/>
        <v>COJINETES</v>
      </c>
      <c r="P935" t="str">
        <f t="shared" si="625"/>
        <v>0</v>
      </c>
      <c r="Q935" t="str">
        <f t="shared" si="625"/>
        <v>0</v>
      </c>
      <c r="R935" t="str">
        <f t="shared" si="626"/>
        <v>0,00</v>
      </c>
      <c r="S935" t="str">
        <f t="shared" si="626"/>
        <v>0,00</v>
      </c>
      <c r="T935" t="str">
        <f t="shared" si="621"/>
        <v xml:space="preserve"> </v>
      </c>
      <c r="U935" t="str">
        <f t="shared" si="622"/>
        <v>-</v>
      </c>
      <c r="V935" t="str">
        <f>"6,000"</f>
        <v>6,000</v>
      </c>
      <c r="W935" t="str">
        <f t="shared" si="603"/>
        <v>Lista 4</v>
      </c>
      <c r="X935" t="str">
        <f t="shared" si="604"/>
        <v>Lista 5</v>
      </c>
      <c r="Y935" t="str">
        <f t="shared" si="605"/>
        <v>Oferta Gral.</v>
      </c>
      <c r="Z935" t="str">
        <f t="shared" si="606"/>
        <v>Rubro</v>
      </c>
      <c r="AA935" t="str">
        <f t="shared" si="607"/>
        <v>Cantidad por Bulto</v>
      </c>
      <c r="AB935" t="str">
        <f t="shared" si="608"/>
        <v>INNER</v>
      </c>
      <c r="AC935" t="str">
        <f t="shared" si="609"/>
        <v>Stock en Bultos</v>
      </c>
      <c r="AD935" t="str">
        <f t="shared" si="610"/>
        <v>SubDepósito</v>
      </c>
      <c r="AE935" t="str">
        <f t="shared" si="611"/>
        <v>Marca</v>
      </c>
      <c r="AF935" t="str">
        <f t="shared" si="612"/>
        <v>Super Rubro</v>
      </c>
      <c r="AG935" t="str">
        <f t="shared" si="613"/>
        <v>ComercioExterior</v>
      </c>
      <c r="AH935" t="str">
        <f t="shared" si="614"/>
        <v>PrecioFOB</v>
      </c>
      <c r="AI935" t="str">
        <f t="shared" si="615"/>
        <v>Monto II</v>
      </c>
      <c r="AJ935" t="str">
        <f t="shared" si="616"/>
        <v>Porcentaje II</v>
      </c>
      <c r="AK935" t="str">
        <f t="shared" si="617"/>
        <v>Foto</v>
      </c>
      <c r="AL935" t="str">
        <f>"{\rtf1\ansi\ansicpg1252\deff0\deflang2058{\fonttbl{\f0\fnil\fcharset0 MS Sans Serif}} \viewkind4\uc1\pard\f0\fs16 COJINETES BANCADA 1,25 RENAULT 9 11 12 18 19 CLIO 1.3 1.4 1.6 8V\par } "</f>
        <v xml:space="preserve">{\rtf1\ansi\ansicpg1252\deff0\deflang2058{\fonttbl{\f0\fnil\fcharset0 MS Sans Serif}} \viewkind4\uc1\pard\f0\fs16 COJINETES BANCADA 1,25 RENAULT 9 11 12 18 19 CLIO 1.3 1.4 1.6 8V\par } </v>
      </c>
      <c r="AM935" t="str">
        <f t="shared" si="624"/>
        <v xml:space="preserve"> </v>
      </c>
    </row>
    <row r="936" spans="1:39" x14ac:dyDescent="0.25">
      <c r="A936" t="str">
        <f>"BA062 60"</f>
        <v>BA062 60</v>
      </c>
      <c r="B936" t="str">
        <f>"COJINETES BANCADA 1,50 CHEVROLET 400 CHEVY C10"</f>
        <v>COJINETES BANCADA 1,50 CHEVROLET 400 CHEVY C10</v>
      </c>
      <c r="C936" t="str">
        <f>"$ 40323,50"</f>
        <v>$ 40323,50</v>
      </c>
      <c r="D936" t="str">
        <f>"$ 40323,50"</f>
        <v>$ 40323,50</v>
      </c>
      <c r="E936" t="str">
        <f>"$ 40323,50"</f>
        <v>$ 40323,50</v>
      </c>
      <c r="F936" t="str">
        <f>"$ 40323,50"</f>
        <v>$ 40323,50</v>
      </c>
      <c r="G936" t="str">
        <f>"$ 40323,50"</f>
        <v>$ 40323,50</v>
      </c>
      <c r="H936" t="str">
        <f t="shared" si="600"/>
        <v>$ 0,00</v>
      </c>
      <c r="I936" t="str">
        <f t="shared" si="627"/>
        <v>JUEGO COJINETES BANCADA</v>
      </c>
      <c r="J936" t="str">
        <f t="shared" si="601"/>
        <v>1</v>
      </c>
      <c r="K936" t="str">
        <f t="shared" si="623"/>
        <v>0</v>
      </c>
      <c r="L936" t="str">
        <f>"2,000"</f>
        <v>2,000</v>
      </c>
      <c r="M936" t="str">
        <f t="shared" si="602"/>
        <v xml:space="preserve"> </v>
      </c>
      <c r="N936" t="str">
        <f t="shared" si="628"/>
        <v>MPSI</v>
      </c>
      <c r="O936" t="str">
        <f t="shared" si="629"/>
        <v>COJINETES</v>
      </c>
      <c r="P936" t="str">
        <f t="shared" si="625"/>
        <v>0</v>
      </c>
      <c r="Q936" t="str">
        <f t="shared" si="625"/>
        <v>0</v>
      </c>
      <c r="R936" t="str">
        <f t="shared" si="626"/>
        <v>0,00</v>
      </c>
      <c r="S936" t="str">
        <f t="shared" si="626"/>
        <v>0,00</v>
      </c>
      <c r="T936" t="str">
        <f t="shared" si="621"/>
        <v xml:space="preserve"> </v>
      </c>
      <c r="U936" t="str">
        <f>" "</f>
        <v xml:space="preserve"> </v>
      </c>
      <c r="V936" t="str">
        <f>"2,000"</f>
        <v>2,000</v>
      </c>
      <c r="W936" t="str">
        <f t="shared" si="603"/>
        <v>Lista 4</v>
      </c>
      <c r="X936" t="str">
        <f t="shared" si="604"/>
        <v>Lista 5</v>
      </c>
      <c r="Y936" t="str">
        <f t="shared" si="605"/>
        <v>Oferta Gral.</v>
      </c>
      <c r="Z936" t="str">
        <f t="shared" si="606"/>
        <v>Rubro</v>
      </c>
      <c r="AA936" t="str">
        <f t="shared" si="607"/>
        <v>Cantidad por Bulto</v>
      </c>
      <c r="AB936" t="str">
        <f t="shared" si="608"/>
        <v>INNER</v>
      </c>
      <c r="AC936" t="str">
        <f t="shared" si="609"/>
        <v>Stock en Bultos</v>
      </c>
      <c r="AD936" t="str">
        <f t="shared" si="610"/>
        <v>SubDepósito</v>
      </c>
      <c r="AE936" t="str">
        <f t="shared" si="611"/>
        <v>Marca</v>
      </c>
      <c r="AF936" t="str">
        <f t="shared" si="612"/>
        <v>Super Rubro</v>
      </c>
      <c r="AG936" t="str">
        <f t="shared" si="613"/>
        <v>ComercioExterior</v>
      </c>
      <c r="AH936" t="str">
        <f t="shared" si="614"/>
        <v>PrecioFOB</v>
      </c>
      <c r="AI936" t="str">
        <f t="shared" si="615"/>
        <v>Monto II</v>
      </c>
      <c r="AJ936" t="str">
        <f t="shared" si="616"/>
        <v>Porcentaje II</v>
      </c>
      <c r="AK936" t="str">
        <f t="shared" si="617"/>
        <v>Foto</v>
      </c>
      <c r="AL93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936" t="str">
        <f t="shared" si="624"/>
        <v xml:space="preserve"> </v>
      </c>
    </row>
    <row r="937" spans="1:39" x14ac:dyDescent="0.25">
      <c r="A937" t="str">
        <f>"BA199 60"</f>
        <v>BA199 60</v>
      </c>
      <c r="B937" t="str">
        <f>"COJINETES BANCADA 1,50 FORD FALCON F100 3.0 3.6"</f>
        <v>COJINETES BANCADA 1,50 FORD FALCON F100 3.0 3.6</v>
      </c>
      <c r="C937" t="str">
        <f>"$ 41910,00"</f>
        <v>$ 41910,00</v>
      </c>
      <c r="D937" t="str">
        <f>"$ 41910,00"</f>
        <v>$ 41910,00</v>
      </c>
      <c r="E937" t="str">
        <f>"$ 41910,00"</f>
        <v>$ 41910,00</v>
      </c>
      <c r="F937" t="str">
        <f>"$ 41910,00"</f>
        <v>$ 41910,00</v>
      </c>
      <c r="G937" t="str">
        <f>"$ 41910,00"</f>
        <v>$ 41910,00</v>
      </c>
      <c r="H937" t="str">
        <f t="shared" si="600"/>
        <v>$ 0,00</v>
      </c>
      <c r="I937" t="str">
        <f t="shared" si="627"/>
        <v>JUEGO COJINETES BANCADA</v>
      </c>
      <c r="J937" t="str">
        <f t="shared" si="601"/>
        <v>1</v>
      </c>
      <c r="K937" t="str">
        <f t="shared" si="623"/>
        <v>0</v>
      </c>
      <c r="L937" t="str">
        <f>"4,000"</f>
        <v>4,000</v>
      </c>
      <c r="M937" t="str">
        <f t="shared" si="602"/>
        <v xml:space="preserve"> </v>
      </c>
      <c r="N937" t="str">
        <f t="shared" si="628"/>
        <v>MPSI</v>
      </c>
      <c r="O937" t="str">
        <f t="shared" si="629"/>
        <v>COJINETES</v>
      </c>
      <c r="P937" t="str">
        <f t="shared" si="625"/>
        <v>0</v>
      </c>
      <c r="Q937" t="str">
        <f t="shared" si="625"/>
        <v>0</v>
      </c>
      <c r="R937" t="str">
        <f t="shared" si="626"/>
        <v>0,00</v>
      </c>
      <c r="S937" t="str">
        <f t="shared" si="626"/>
        <v>0,00</v>
      </c>
      <c r="T937" t="str">
        <f t="shared" si="621"/>
        <v xml:space="preserve"> </v>
      </c>
      <c r="U937" t="str">
        <f t="shared" ref="U937:U981" si="630">"-"</f>
        <v>-</v>
      </c>
      <c r="V937" t="str">
        <f>"4,000"</f>
        <v>4,000</v>
      </c>
      <c r="W937" t="str">
        <f t="shared" si="603"/>
        <v>Lista 4</v>
      </c>
      <c r="X937" t="str">
        <f t="shared" si="604"/>
        <v>Lista 5</v>
      </c>
      <c r="Y937" t="str">
        <f t="shared" si="605"/>
        <v>Oferta Gral.</v>
      </c>
      <c r="Z937" t="str">
        <f t="shared" si="606"/>
        <v>Rubro</v>
      </c>
      <c r="AA937" t="str">
        <f t="shared" si="607"/>
        <v>Cantidad por Bulto</v>
      </c>
      <c r="AB937" t="str">
        <f t="shared" si="608"/>
        <v>INNER</v>
      </c>
      <c r="AC937" t="str">
        <f t="shared" si="609"/>
        <v>Stock en Bultos</v>
      </c>
      <c r="AD937" t="str">
        <f t="shared" si="610"/>
        <v>SubDepósito</v>
      </c>
      <c r="AE937" t="str">
        <f t="shared" si="611"/>
        <v>Marca</v>
      </c>
      <c r="AF937" t="str">
        <f t="shared" si="612"/>
        <v>Super Rubro</v>
      </c>
      <c r="AG937" t="str">
        <f t="shared" si="613"/>
        <v>ComercioExterior</v>
      </c>
      <c r="AH937" t="str">
        <f t="shared" si="614"/>
        <v>PrecioFOB</v>
      </c>
      <c r="AI937" t="str">
        <f t="shared" si="615"/>
        <v>Monto II</v>
      </c>
      <c r="AJ937" t="str">
        <f t="shared" si="616"/>
        <v>Porcentaje II</v>
      </c>
      <c r="AK937" t="str">
        <f t="shared" si="617"/>
        <v>Foto</v>
      </c>
      <c r="AL937" t="str">
        <f>"{\rtf1\ansi\ansicpg1252\deff0\deflang2058{\fonttbl{\f0\fnil\fcharset0 MS Sans Serif}} \viewkind4\uc1\pard\f0\fs16 COJINETES BANCADA 1,50 FORD FALCON F100 3.0 3.6\par } "</f>
        <v xml:space="preserve">{\rtf1\ansi\ansicpg1252\deff0\deflang2058{\fonttbl{\f0\fnil\fcharset0 MS Sans Serif}} \viewkind4\uc1\pard\f0\fs16 COJINETES BANCADA 1,50 FORD FALCON F100 3.0 3.6\par } </v>
      </c>
      <c r="AM937" t="str">
        <f t="shared" si="624"/>
        <v xml:space="preserve"> </v>
      </c>
    </row>
    <row r="938" spans="1:39" x14ac:dyDescent="0.25">
      <c r="A938" t="str">
        <f>"BA240 60"</f>
        <v>BA240 60</v>
      </c>
      <c r="B938" t="str">
        <f>"COJINETES BANCADA 1,50 RENAULT 9 11 12 18 19 CLIO 1.3 1.4 1.6 8V"</f>
        <v>COJINETES BANCADA 1,50 RENAULT 9 11 12 18 19 CLIO 1.3 1.4 1.6 8V</v>
      </c>
      <c r="C938" t="str">
        <f>"$ 18690,93"</f>
        <v>$ 18690,93</v>
      </c>
      <c r="D938" t="str">
        <f>"$ 18690,93"</f>
        <v>$ 18690,93</v>
      </c>
      <c r="E938" t="str">
        <f>"$ 18690,93"</f>
        <v>$ 18690,93</v>
      </c>
      <c r="F938" t="str">
        <f>"$ 18690,93"</f>
        <v>$ 18690,93</v>
      </c>
      <c r="G938" t="str">
        <f>"$ 18690,93"</f>
        <v>$ 18690,93</v>
      </c>
      <c r="H938" t="str">
        <f t="shared" si="600"/>
        <v>$ 0,00</v>
      </c>
      <c r="I938" t="str">
        <f t="shared" si="627"/>
        <v>JUEGO COJINETES BANCADA</v>
      </c>
      <c r="J938" t="str">
        <f t="shared" si="601"/>
        <v>1</v>
      </c>
      <c r="K938" t="str">
        <f t="shared" si="623"/>
        <v>0</v>
      </c>
      <c r="L938" t="str">
        <f>"6,000"</f>
        <v>6,000</v>
      </c>
      <c r="M938" t="str">
        <f t="shared" si="602"/>
        <v xml:space="preserve"> </v>
      </c>
      <c r="N938" t="str">
        <f t="shared" si="628"/>
        <v>MPSI</v>
      </c>
      <c r="O938" t="str">
        <f t="shared" si="629"/>
        <v>COJINETES</v>
      </c>
      <c r="P938" t="str">
        <f t="shared" si="625"/>
        <v>0</v>
      </c>
      <c r="Q938" t="str">
        <f t="shared" si="625"/>
        <v>0</v>
      </c>
      <c r="R938" t="str">
        <f t="shared" si="626"/>
        <v>0,00</v>
      </c>
      <c r="S938" t="str">
        <f t="shared" si="626"/>
        <v>0,00</v>
      </c>
      <c r="T938" t="str">
        <f t="shared" si="621"/>
        <v xml:space="preserve"> </v>
      </c>
      <c r="U938" t="str">
        <f t="shared" si="630"/>
        <v>-</v>
      </c>
      <c r="V938" t="str">
        <f>"6,000"</f>
        <v>6,000</v>
      </c>
      <c r="W938" t="str">
        <f t="shared" si="603"/>
        <v>Lista 4</v>
      </c>
      <c r="X938" t="str">
        <f t="shared" si="604"/>
        <v>Lista 5</v>
      </c>
      <c r="Y938" t="str">
        <f t="shared" si="605"/>
        <v>Oferta Gral.</v>
      </c>
      <c r="Z938" t="str">
        <f t="shared" si="606"/>
        <v>Rubro</v>
      </c>
      <c r="AA938" t="str">
        <f t="shared" si="607"/>
        <v>Cantidad por Bulto</v>
      </c>
      <c r="AB938" t="str">
        <f t="shared" si="608"/>
        <v>INNER</v>
      </c>
      <c r="AC938" t="str">
        <f t="shared" si="609"/>
        <v>Stock en Bultos</v>
      </c>
      <c r="AD938" t="str">
        <f t="shared" si="610"/>
        <v>SubDepósito</v>
      </c>
      <c r="AE938" t="str">
        <f t="shared" si="611"/>
        <v>Marca</v>
      </c>
      <c r="AF938" t="str">
        <f t="shared" si="612"/>
        <v>Super Rubro</v>
      </c>
      <c r="AG938" t="str">
        <f t="shared" si="613"/>
        <v>ComercioExterior</v>
      </c>
      <c r="AH938" t="str">
        <f t="shared" si="614"/>
        <v>PrecioFOB</v>
      </c>
      <c r="AI938" t="str">
        <f t="shared" si="615"/>
        <v>Monto II</v>
      </c>
      <c r="AJ938" t="str">
        <f t="shared" si="616"/>
        <v>Porcentaje II</v>
      </c>
      <c r="AK938" t="str">
        <f t="shared" si="617"/>
        <v>Foto</v>
      </c>
      <c r="AL938" t="str">
        <f>"{\rtf1\ansi\ansicpg1252\deff0\deflang2058{\fonttbl{\f0\fnil\fcharset0 MS Sans Serif}} \viewkind4\uc1\pard\f0\fs16 COJINETES BANCADA 1,50 RENAULT 9 11 12 18 19 CLIO 1.3 1.4 1.6 8V\par } "</f>
        <v xml:space="preserve">{\rtf1\ansi\ansicpg1252\deff0\deflang2058{\fonttbl{\f0\fnil\fcharset0 MS Sans Serif}} \viewkind4\uc1\pard\f0\fs16 COJINETES BANCADA 1,50 RENAULT 9 11 12 18 19 CLIO 1.3 1.4 1.6 8V\par } </v>
      </c>
      <c r="AM938" t="str">
        <f t="shared" si="624"/>
        <v xml:space="preserve"> </v>
      </c>
    </row>
    <row r="939" spans="1:39" x14ac:dyDescent="0.25">
      <c r="A939" t="str">
        <f>"BA388 40"</f>
        <v>BA388 40</v>
      </c>
      <c r="B939" t="str">
        <f>"COJINETES BANCADA S1,00 PERKINS 6-305"</f>
        <v>COJINETES BANCADA S1,00 PERKINS 6-305</v>
      </c>
      <c r="C939" t="str">
        <f>"$ 42984,19"</f>
        <v>$ 42984,19</v>
      </c>
      <c r="D939" t="str">
        <f>"$ 42984,19"</f>
        <v>$ 42984,19</v>
      </c>
      <c r="E939" t="str">
        <f>"$ 42984,19"</f>
        <v>$ 42984,19</v>
      </c>
      <c r="F939" t="str">
        <f>"$ 42984,19"</f>
        <v>$ 42984,19</v>
      </c>
      <c r="G939" t="str">
        <f>"$ 42984,19"</f>
        <v>$ 42984,19</v>
      </c>
      <c r="H939" t="str">
        <f t="shared" si="600"/>
        <v>$ 0,00</v>
      </c>
      <c r="I939" t="str">
        <f t="shared" si="627"/>
        <v>JUEGO COJINETES BANCADA</v>
      </c>
      <c r="J939" t="str">
        <f t="shared" si="601"/>
        <v>1</v>
      </c>
      <c r="K939" t="str">
        <f t="shared" si="623"/>
        <v>0</v>
      </c>
      <c r="L939" t="str">
        <f>"4,000"</f>
        <v>4,000</v>
      </c>
      <c r="M939" t="str">
        <f t="shared" si="602"/>
        <v xml:space="preserve"> </v>
      </c>
      <c r="N939" t="str">
        <f t="shared" si="628"/>
        <v>MPSI</v>
      </c>
      <c r="O939" t="str">
        <f t="shared" si="629"/>
        <v>COJINETES</v>
      </c>
      <c r="P939" t="str">
        <f t="shared" si="625"/>
        <v>0</v>
      </c>
      <c r="Q939" t="str">
        <f t="shared" si="625"/>
        <v>0</v>
      </c>
      <c r="R939" t="str">
        <f t="shared" si="626"/>
        <v>0,00</v>
      </c>
      <c r="S939" t="str">
        <f t="shared" si="626"/>
        <v>0,00</v>
      </c>
      <c r="T939" t="str">
        <f t="shared" si="621"/>
        <v xml:space="preserve"> </v>
      </c>
      <c r="U939" t="str">
        <f t="shared" si="630"/>
        <v>-</v>
      </c>
      <c r="V939" t="str">
        <f>"4,000"</f>
        <v>4,000</v>
      </c>
      <c r="W939" t="str">
        <f t="shared" si="603"/>
        <v>Lista 4</v>
      </c>
      <c r="X939" t="str">
        <f t="shared" si="604"/>
        <v>Lista 5</v>
      </c>
      <c r="Y939" t="str">
        <f t="shared" si="605"/>
        <v>Oferta Gral.</v>
      </c>
      <c r="Z939" t="str">
        <f t="shared" si="606"/>
        <v>Rubro</v>
      </c>
      <c r="AA939" t="str">
        <f t="shared" si="607"/>
        <v>Cantidad por Bulto</v>
      </c>
      <c r="AB939" t="str">
        <f t="shared" si="608"/>
        <v>INNER</v>
      </c>
      <c r="AC939" t="str">
        <f t="shared" si="609"/>
        <v>Stock en Bultos</v>
      </c>
      <c r="AD939" t="str">
        <f t="shared" si="610"/>
        <v>SubDepósito</v>
      </c>
      <c r="AE939" t="str">
        <f t="shared" si="611"/>
        <v>Marca</v>
      </c>
      <c r="AF939" t="str">
        <f t="shared" si="612"/>
        <v>Super Rubro</v>
      </c>
      <c r="AG939" t="str">
        <f t="shared" si="613"/>
        <v>ComercioExterior</v>
      </c>
      <c r="AH939" t="str">
        <f t="shared" si="614"/>
        <v>PrecioFOB</v>
      </c>
      <c r="AI939" t="str">
        <f t="shared" si="615"/>
        <v>Monto II</v>
      </c>
      <c r="AJ939" t="str">
        <f t="shared" si="616"/>
        <v>Porcentaje II</v>
      </c>
      <c r="AK939" t="str">
        <f t="shared" si="617"/>
        <v>Foto</v>
      </c>
      <c r="AL939" t="str">
        <f>"{\rtf1\ansi\ansicpg1252\deff0\deflang2058{\fonttbl{\f0\fnil\fcharset0 MS Sans Serif}} \viewkind4\uc1\pard\f0\fs16 COJINETES BANCADA S1,00 PERKINS 6-305\par } "</f>
        <v xml:space="preserve">{\rtf1\ansi\ansicpg1252\deff0\deflang2058{\fonttbl{\f0\fnil\fcharset0 MS Sans Serif}} \viewkind4\uc1\pard\f0\fs16 COJINETES BANCADA S1,00 PERKINS 6-305\par } </v>
      </c>
      <c r="AM939" t="str">
        <f t="shared" si="624"/>
        <v xml:space="preserve"> </v>
      </c>
    </row>
    <row r="940" spans="1:39" x14ac:dyDescent="0.25">
      <c r="A940" t="str">
        <f>"BA629"</f>
        <v>BA629</v>
      </c>
      <c r="B940" t="str">
        <f>"COJINETES BANCADA STD AMAROK 2.0 TDI"</f>
        <v>COJINETES BANCADA STD AMAROK 2.0 TDI</v>
      </c>
      <c r="C940" t="str">
        <f>"$ 31432,50"</f>
        <v>$ 31432,50</v>
      </c>
      <c r="D940" t="str">
        <f>"$ 31432,50"</f>
        <v>$ 31432,50</v>
      </c>
      <c r="E940" t="str">
        <f>"$ 31432,50"</f>
        <v>$ 31432,50</v>
      </c>
      <c r="F940" t="str">
        <f>"$ 31432,50"</f>
        <v>$ 31432,50</v>
      </c>
      <c r="G940" t="str">
        <f>"$ 31432,50"</f>
        <v>$ 31432,50</v>
      </c>
      <c r="H940" t="str">
        <f t="shared" si="600"/>
        <v>$ 0,00</v>
      </c>
      <c r="I940" t="str">
        <f t="shared" si="627"/>
        <v>JUEGO COJINETES BANCADA</v>
      </c>
      <c r="J940" t="str">
        <f t="shared" si="601"/>
        <v>1</v>
      </c>
      <c r="K940" t="str">
        <f t="shared" si="623"/>
        <v>0</v>
      </c>
      <c r="L940" t="str">
        <f>"7,000"</f>
        <v>7,000</v>
      </c>
      <c r="M940" t="str">
        <f t="shared" si="602"/>
        <v xml:space="preserve"> </v>
      </c>
      <c r="N940" t="str">
        <f t="shared" si="628"/>
        <v>MPSI</v>
      </c>
      <c r="O940" t="str">
        <f t="shared" si="629"/>
        <v>COJINETES</v>
      </c>
      <c r="P940" t="str">
        <f t="shared" si="625"/>
        <v>0</v>
      </c>
      <c r="Q940" t="str">
        <f t="shared" si="625"/>
        <v>0</v>
      </c>
      <c r="R940" t="str">
        <f t="shared" si="626"/>
        <v>0,00</v>
      </c>
      <c r="S940" t="str">
        <f t="shared" si="626"/>
        <v>0,00</v>
      </c>
      <c r="T940" t="str">
        <f t="shared" si="621"/>
        <v xml:space="preserve"> </v>
      </c>
      <c r="U940" t="str">
        <f t="shared" si="630"/>
        <v>-</v>
      </c>
      <c r="V940" t="str">
        <f>"7,000"</f>
        <v>7,000</v>
      </c>
      <c r="W940" t="str">
        <f t="shared" si="603"/>
        <v>Lista 4</v>
      </c>
      <c r="X940" t="str">
        <f t="shared" si="604"/>
        <v>Lista 5</v>
      </c>
      <c r="Y940" t="str">
        <f t="shared" si="605"/>
        <v>Oferta Gral.</v>
      </c>
      <c r="Z940" t="str">
        <f t="shared" si="606"/>
        <v>Rubro</v>
      </c>
      <c r="AA940" t="str">
        <f t="shared" si="607"/>
        <v>Cantidad por Bulto</v>
      </c>
      <c r="AB940" t="str">
        <f t="shared" si="608"/>
        <v>INNER</v>
      </c>
      <c r="AC940" t="str">
        <f t="shared" si="609"/>
        <v>Stock en Bultos</v>
      </c>
      <c r="AD940" t="str">
        <f t="shared" si="610"/>
        <v>SubDepósito</v>
      </c>
      <c r="AE940" t="str">
        <f t="shared" si="611"/>
        <v>Marca</v>
      </c>
      <c r="AF940" t="str">
        <f t="shared" si="612"/>
        <v>Super Rubro</v>
      </c>
      <c r="AG940" t="str">
        <f t="shared" si="613"/>
        <v>ComercioExterior</v>
      </c>
      <c r="AH940" t="str">
        <f t="shared" si="614"/>
        <v>PrecioFOB</v>
      </c>
      <c r="AI940" t="str">
        <f t="shared" si="615"/>
        <v>Monto II</v>
      </c>
      <c r="AJ940" t="str">
        <f t="shared" si="616"/>
        <v>Porcentaje II</v>
      </c>
      <c r="AK940" t="str">
        <f t="shared" si="617"/>
        <v>Foto</v>
      </c>
      <c r="AL940" t="str">
        <f>" "</f>
        <v xml:space="preserve"> </v>
      </c>
      <c r="AM940" t="str">
        <f t="shared" si="624"/>
        <v xml:space="preserve"> </v>
      </c>
    </row>
    <row r="941" spans="1:39" x14ac:dyDescent="0.25">
      <c r="A941" t="str">
        <f>"BA045481"</f>
        <v>BA045481</v>
      </c>
      <c r="B941" t="str">
        <f>"COJINETES BANCADA STD CHERY SQR484F/SQR481FC"</f>
        <v>COJINETES BANCADA STD CHERY SQR484F/SQR481FC</v>
      </c>
      <c r="C941" t="str">
        <f>"$ 28675,65"</f>
        <v>$ 28675,65</v>
      </c>
      <c r="D941" t="str">
        <f>"$ 28675,65"</f>
        <v>$ 28675,65</v>
      </c>
      <c r="E941" t="str">
        <f>"$ 28675,65"</f>
        <v>$ 28675,65</v>
      </c>
      <c r="F941" t="str">
        <f>"$ 28675,65"</f>
        <v>$ 28675,65</v>
      </c>
      <c r="G941" t="str">
        <f>"$ 28675,65"</f>
        <v>$ 28675,65</v>
      </c>
      <c r="H941" t="str">
        <f t="shared" si="600"/>
        <v>$ 0,00</v>
      </c>
      <c r="I941" t="str">
        <f t="shared" si="627"/>
        <v>JUEGO COJINETES BANCADA</v>
      </c>
      <c r="J941" t="str">
        <f t="shared" si="601"/>
        <v>1</v>
      </c>
      <c r="K941" t="str">
        <f t="shared" si="623"/>
        <v>0</v>
      </c>
      <c r="L941" t="str">
        <f>"3,000"</f>
        <v>3,000</v>
      </c>
      <c r="M941" t="str">
        <f t="shared" si="602"/>
        <v xml:space="preserve"> </v>
      </c>
      <c r="N941" t="str">
        <f t="shared" si="628"/>
        <v>MPSI</v>
      </c>
      <c r="O941" t="str">
        <f t="shared" si="629"/>
        <v>COJINETES</v>
      </c>
      <c r="P941" t="str">
        <f t="shared" si="625"/>
        <v>0</v>
      </c>
      <c r="Q941" t="str">
        <f t="shared" si="625"/>
        <v>0</v>
      </c>
      <c r="R941" t="str">
        <f t="shared" si="626"/>
        <v>0,00</v>
      </c>
      <c r="S941" t="str">
        <f t="shared" si="626"/>
        <v>0,00</v>
      </c>
      <c r="T941" t="str">
        <f t="shared" si="621"/>
        <v xml:space="preserve"> </v>
      </c>
      <c r="U941" t="str">
        <f t="shared" si="630"/>
        <v>-</v>
      </c>
      <c r="V941" t="str">
        <f>"3,000"</f>
        <v>3,000</v>
      </c>
      <c r="W941" t="str">
        <f t="shared" si="603"/>
        <v>Lista 4</v>
      </c>
      <c r="X941" t="str">
        <f t="shared" si="604"/>
        <v>Lista 5</v>
      </c>
      <c r="Y941" t="str">
        <f t="shared" si="605"/>
        <v>Oferta Gral.</v>
      </c>
      <c r="Z941" t="str">
        <f t="shared" si="606"/>
        <v>Rubro</v>
      </c>
      <c r="AA941" t="str">
        <f t="shared" si="607"/>
        <v>Cantidad por Bulto</v>
      </c>
      <c r="AB941" t="str">
        <f t="shared" si="608"/>
        <v>INNER</v>
      </c>
      <c r="AC941" t="str">
        <f t="shared" si="609"/>
        <v>Stock en Bultos</v>
      </c>
      <c r="AD941" t="str">
        <f t="shared" si="610"/>
        <v>SubDepósito</v>
      </c>
      <c r="AE941" t="str">
        <f t="shared" si="611"/>
        <v>Marca</v>
      </c>
      <c r="AF941" t="str">
        <f t="shared" si="612"/>
        <v>Super Rubro</v>
      </c>
      <c r="AG941" t="str">
        <f t="shared" si="613"/>
        <v>ComercioExterior</v>
      </c>
      <c r="AH941" t="str">
        <f t="shared" si="614"/>
        <v>PrecioFOB</v>
      </c>
      <c r="AI941" t="str">
        <f t="shared" si="615"/>
        <v>Monto II</v>
      </c>
      <c r="AJ941" t="str">
        <f t="shared" si="616"/>
        <v>Porcentaje II</v>
      </c>
      <c r="AK941" t="str">
        <f t="shared" si="617"/>
        <v>Foto</v>
      </c>
      <c r="AL941" t="str">
        <f>" "</f>
        <v xml:space="preserve"> </v>
      </c>
      <c r="AM941" t="str">
        <f t="shared" si="624"/>
        <v xml:space="preserve"> </v>
      </c>
    </row>
    <row r="942" spans="1:39" x14ac:dyDescent="0.25">
      <c r="A942" t="str">
        <f>"BA062"</f>
        <v>BA062</v>
      </c>
      <c r="B942" t="str">
        <f>"COJINETES BANCADA STD CHEVROLET 400 CHEVY C10"</f>
        <v>COJINETES BANCADA STD CHEVROLET 400 CHEVY C10</v>
      </c>
      <c r="C942" t="str">
        <f>"$ 40323,50"</f>
        <v>$ 40323,50</v>
      </c>
      <c r="D942" t="str">
        <f>"$ 40323,50"</f>
        <v>$ 40323,50</v>
      </c>
      <c r="E942" t="str">
        <f>"$ 40323,50"</f>
        <v>$ 40323,50</v>
      </c>
      <c r="F942" t="str">
        <f>"$ 40323,50"</f>
        <v>$ 40323,50</v>
      </c>
      <c r="G942" t="str">
        <f>"$ 40323,50"</f>
        <v>$ 40323,50</v>
      </c>
      <c r="H942" t="str">
        <f t="shared" si="600"/>
        <v>$ 0,00</v>
      </c>
      <c r="I942" t="str">
        <f t="shared" si="627"/>
        <v>JUEGO COJINETES BANCADA</v>
      </c>
      <c r="J942" t="str">
        <f t="shared" si="601"/>
        <v>1</v>
      </c>
      <c r="K942" t="str">
        <f t="shared" si="623"/>
        <v>0</v>
      </c>
      <c r="L942" t="str">
        <f>"6,000"</f>
        <v>6,000</v>
      </c>
      <c r="M942" t="str">
        <f t="shared" si="602"/>
        <v xml:space="preserve"> </v>
      </c>
      <c r="N942" t="str">
        <f t="shared" si="628"/>
        <v>MPSI</v>
      </c>
      <c r="O942" t="str">
        <f t="shared" si="629"/>
        <v>COJINETES</v>
      </c>
      <c r="P942" t="str">
        <f t="shared" si="625"/>
        <v>0</v>
      </c>
      <c r="Q942" t="str">
        <f t="shared" si="625"/>
        <v>0</v>
      </c>
      <c r="R942" t="str">
        <f t="shared" si="626"/>
        <v>0,00</v>
      </c>
      <c r="S942" t="str">
        <f t="shared" si="626"/>
        <v>0,00</v>
      </c>
      <c r="T942" t="str">
        <f t="shared" si="621"/>
        <v xml:space="preserve"> </v>
      </c>
      <c r="U942" t="str">
        <f t="shared" si="630"/>
        <v>-</v>
      </c>
      <c r="V942" t="str">
        <f>"6,000"</f>
        <v>6,000</v>
      </c>
      <c r="W942" t="str">
        <f t="shared" si="603"/>
        <v>Lista 4</v>
      </c>
      <c r="X942" t="str">
        <f t="shared" si="604"/>
        <v>Lista 5</v>
      </c>
      <c r="Y942" t="str">
        <f t="shared" si="605"/>
        <v>Oferta Gral.</v>
      </c>
      <c r="Z942" t="str">
        <f t="shared" si="606"/>
        <v>Rubro</v>
      </c>
      <c r="AA942" t="str">
        <f t="shared" si="607"/>
        <v>Cantidad por Bulto</v>
      </c>
      <c r="AB942" t="str">
        <f t="shared" si="608"/>
        <v>INNER</v>
      </c>
      <c r="AC942" t="str">
        <f t="shared" si="609"/>
        <v>Stock en Bultos</v>
      </c>
      <c r="AD942" t="str">
        <f t="shared" si="610"/>
        <v>SubDepósito</v>
      </c>
      <c r="AE942" t="str">
        <f t="shared" si="611"/>
        <v>Marca</v>
      </c>
      <c r="AF942" t="str">
        <f t="shared" si="612"/>
        <v>Super Rubro</v>
      </c>
      <c r="AG942" t="str">
        <f t="shared" si="613"/>
        <v>ComercioExterior</v>
      </c>
      <c r="AH942" t="str">
        <f t="shared" si="614"/>
        <v>PrecioFOB</v>
      </c>
      <c r="AI942" t="str">
        <f t="shared" si="615"/>
        <v>Monto II</v>
      </c>
      <c r="AJ942" t="str">
        <f t="shared" si="616"/>
        <v>Porcentaje II</v>
      </c>
      <c r="AK942" t="str">
        <f t="shared" si="617"/>
        <v>Foto</v>
      </c>
      <c r="AL942" t="str">
        <f>" "</f>
        <v xml:space="preserve"> </v>
      </c>
      <c r="AM942" t="str">
        <f t="shared" si="624"/>
        <v xml:space="preserve"> </v>
      </c>
    </row>
    <row r="943" spans="1:39" x14ac:dyDescent="0.25">
      <c r="A943" t="str">
        <f>"BA068"</f>
        <v>BA068</v>
      </c>
      <c r="B943" t="str">
        <f>"COJINETES BANCADA STD CHEVROLET ASTRA MONZA 1.8 2.0 8V"</f>
        <v>COJINETES BANCADA STD CHEVROLET ASTRA MONZA 1.8 2.0 8V</v>
      </c>
      <c r="C943" t="str">
        <f>"$ 31803,90"</f>
        <v>$ 31803,90</v>
      </c>
      <c r="D943" t="str">
        <f>"$ 31803,90"</f>
        <v>$ 31803,90</v>
      </c>
      <c r="E943" t="str">
        <f>"$ 31803,90"</f>
        <v>$ 31803,90</v>
      </c>
      <c r="F943" t="str">
        <f>"$ 31803,90"</f>
        <v>$ 31803,90</v>
      </c>
      <c r="G943" t="str">
        <f>"$ 31803,90"</f>
        <v>$ 31803,90</v>
      </c>
      <c r="H943" t="str">
        <f t="shared" si="600"/>
        <v>$ 0,00</v>
      </c>
      <c r="I943" t="str">
        <f t="shared" si="627"/>
        <v>JUEGO COJINETES BANCADA</v>
      </c>
      <c r="J943" t="str">
        <f t="shared" si="601"/>
        <v>1</v>
      </c>
      <c r="K943" t="str">
        <f t="shared" si="623"/>
        <v>0</v>
      </c>
      <c r="L943" t="str">
        <f>"2,000"</f>
        <v>2,000</v>
      </c>
      <c r="M943" t="str">
        <f t="shared" si="602"/>
        <v xml:space="preserve"> </v>
      </c>
      <c r="N943" t="str">
        <f t="shared" si="628"/>
        <v>MPSI</v>
      </c>
      <c r="O943" t="str">
        <f t="shared" si="629"/>
        <v>COJINETES</v>
      </c>
      <c r="P943" t="str">
        <f t="shared" ref="P943:Q962" si="631">"0"</f>
        <v>0</v>
      </c>
      <c r="Q943" t="str">
        <f t="shared" si="631"/>
        <v>0</v>
      </c>
      <c r="R943" t="str">
        <f t="shared" ref="R943:S962" si="632">"0,00"</f>
        <v>0,00</v>
      </c>
      <c r="S943" t="str">
        <f t="shared" si="632"/>
        <v>0,00</v>
      </c>
      <c r="T943" t="str">
        <f t="shared" si="621"/>
        <v xml:space="preserve"> </v>
      </c>
      <c r="U943" t="str">
        <f t="shared" si="630"/>
        <v>-</v>
      </c>
      <c r="V943" t="str">
        <f>"2,000"</f>
        <v>2,000</v>
      </c>
      <c r="W943" t="str">
        <f t="shared" si="603"/>
        <v>Lista 4</v>
      </c>
      <c r="X943" t="str">
        <f t="shared" si="604"/>
        <v>Lista 5</v>
      </c>
      <c r="Y943" t="str">
        <f t="shared" si="605"/>
        <v>Oferta Gral.</v>
      </c>
      <c r="Z943" t="str">
        <f t="shared" si="606"/>
        <v>Rubro</v>
      </c>
      <c r="AA943" t="str">
        <f t="shared" si="607"/>
        <v>Cantidad por Bulto</v>
      </c>
      <c r="AB943" t="str">
        <f t="shared" si="608"/>
        <v>INNER</v>
      </c>
      <c r="AC943" t="str">
        <f t="shared" si="609"/>
        <v>Stock en Bultos</v>
      </c>
      <c r="AD943" t="str">
        <f t="shared" si="610"/>
        <v>SubDepósito</v>
      </c>
      <c r="AE943" t="str">
        <f t="shared" si="611"/>
        <v>Marca</v>
      </c>
      <c r="AF943" t="str">
        <f t="shared" si="612"/>
        <v>Super Rubro</v>
      </c>
      <c r="AG943" t="str">
        <f t="shared" si="613"/>
        <v>ComercioExterior</v>
      </c>
      <c r="AH943" t="str">
        <f t="shared" si="614"/>
        <v>PrecioFOB</v>
      </c>
      <c r="AI943" t="str">
        <f t="shared" si="615"/>
        <v>Monto II</v>
      </c>
      <c r="AJ943" t="str">
        <f t="shared" si="616"/>
        <v>Porcentaje II</v>
      </c>
      <c r="AK943" t="str">
        <f t="shared" si="617"/>
        <v>Foto</v>
      </c>
      <c r="AL943" t="str">
        <f>" "</f>
        <v xml:space="preserve"> </v>
      </c>
      <c r="AM943" t="str">
        <f t="shared" si="624"/>
        <v xml:space="preserve"> </v>
      </c>
    </row>
    <row r="944" spans="1:39" x14ac:dyDescent="0.25">
      <c r="A944" t="str">
        <f>"BA371"</f>
        <v>BA371</v>
      </c>
      <c r="B944" t="str">
        <f>"COJINETES BANCADA STD CHEVROLET CORSA 1.4 1.6 FIAT PALIO 1.8"</f>
        <v>COJINETES BANCADA STD CHEVROLET CORSA 1.4 1.6 FIAT PALIO 1.8</v>
      </c>
      <c r="C944" t="str">
        <f>"$ 26359,01"</f>
        <v>$ 26359,01</v>
      </c>
      <c r="D944" t="str">
        <f>"$ 26359,01"</f>
        <v>$ 26359,01</v>
      </c>
      <c r="E944" t="str">
        <f>"$ 26359,01"</f>
        <v>$ 26359,01</v>
      </c>
      <c r="F944" t="str">
        <f>"$ 26359,01"</f>
        <v>$ 26359,01</v>
      </c>
      <c r="G944" t="str">
        <f>"$ 26359,01"</f>
        <v>$ 26359,01</v>
      </c>
      <c r="H944" t="str">
        <f t="shared" si="600"/>
        <v>$ 0,00</v>
      </c>
      <c r="I944" t="str">
        <f t="shared" si="627"/>
        <v>JUEGO COJINETES BANCADA</v>
      </c>
      <c r="J944" t="str">
        <f t="shared" si="601"/>
        <v>1</v>
      </c>
      <c r="K944" t="str">
        <f t="shared" si="623"/>
        <v>0</v>
      </c>
      <c r="L944" t="str">
        <f>"25,000"</f>
        <v>25,000</v>
      </c>
      <c r="M944" t="str">
        <f t="shared" si="602"/>
        <v xml:space="preserve"> </v>
      </c>
      <c r="N944" t="str">
        <f t="shared" si="628"/>
        <v>MPSI</v>
      </c>
      <c r="O944" t="str">
        <f t="shared" si="629"/>
        <v>COJINETES</v>
      </c>
      <c r="P944" t="str">
        <f t="shared" si="631"/>
        <v>0</v>
      </c>
      <c r="Q944" t="str">
        <f t="shared" si="631"/>
        <v>0</v>
      </c>
      <c r="R944" t="str">
        <f t="shared" si="632"/>
        <v>0,00</v>
      </c>
      <c r="S944" t="str">
        <f t="shared" si="632"/>
        <v>0,00</v>
      </c>
      <c r="T944" t="str">
        <f t="shared" si="621"/>
        <v xml:space="preserve"> </v>
      </c>
      <c r="U944" t="str">
        <f t="shared" si="630"/>
        <v>-</v>
      </c>
      <c r="V944" t="str">
        <f>"25,000"</f>
        <v>25,000</v>
      </c>
      <c r="W944" t="str">
        <f t="shared" si="603"/>
        <v>Lista 4</v>
      </c>
      <c r="X944" t="str">
        <f t="shared" si="604"/>
        <v>Lista 5</v>
      </c>
      <c r="Y944" t="str">
        <f t="shared" si="605"/>
        <v>Oferta Gral.</v>
      </c>
      <c r="Z944" t="str">
        <f t="shared" si="606"/>
        <v>Rubro</v>
      </c>
      <c r="AA944" t="str">
        <f t="shared" si="607"/>
        <v>Cantidad por Bulto</v>
      </c>
      <c r="AB944" t="str">
        <f t="shared" si="608"/>
        <v>INNER</v>
      </c>
      <c r="AC944" t="str">
        <f t="shared" si="609"/>
        <v>Stock en Bultos</v>
      </c>
      <c r="AD944" t="str">
        <f t="shared" si="610"/>
        <v>SubDepósito</v>
      </c>
      <c r="AE944" t="str">
        <f t="shared" si="611"/>
        <v>Marca</v>
      </c>
      <c r="AF944" t="str">
        <f t="shared" si="612"/>
        <v>Super Rubro</v>
      </c>
      <c r="AG944" t="str">
        <f t="shared" si="613"/>
        <v>ComercioExterior</v>
      </c>
      <c r="AH944" t="str">
        <f t="shared" si="614"/>
        <v>PrecioFOB</v>
      </c>
      <c r="AI944" t="str">
        <f t="shared" si="615"/>
        <v>Monto II</v>
      </c>
      <c r="AJ944" t="str">
        <f t="shared" si="616"/>
        <v>Porcentaje II</v>
      </c>
      <c r="AK944" t="str">
        <f t="shared" si="617"/>
        <v>Foto</v>
      </c>
      <c r="AL944" t="str">
        <f>"{\rtf1\ansi\ansicpg1252\deff0\deflang2058{\fonttbl{\f0\fnil\fcharset0 MS Sans Serif}} \viewkind4\uc1\pard\f0\fs16 COJINETES BANCADA STD CHEVROLET CORSA 1.4 1.6 FIAT PALIO 1.8\par } "</f>
        <v xml:space="preserve">{\rtf1\ansi\ansicpg1252\deff0\deflang2058{\fonttbl{\f0\fnil\fcharset0 MS Sans Serif}} \viewkind4\uc1\pard\f0\fs16 COJINETES BANCADA STD CHEVROLET CORSA 1.4 1.6 FIAT PALIO 1.8\par } </v>
      </c>
      <c r="AM944" t="str">
        <f t="shared" si="624"/>
        <v xml:space="preserve"> </v>
      </c>
    </row>
    <row r="945" spans="1:39" x14ac:dyDescent="0.25">
      <c r="A945" t="str">
        <f>"BA372"</f>
        <v>BA372</v>
      </c>
      <c r="B945" t="str">
        <f>"COJINETES BANCADA STD CHEVROLET CORSA CON AXIAL +0,40MM"</f>
        <v>COJINETES BANCADA STD CHEVROLET CORSA CON AXIAL +0,40MM</v>
      </c>
      <c r="C945" t="str">
        <f>"$ 31152,18"</f>
        <v>$ 31152,18</v>
      </c>
      <c r="D945" t="str">
        <f>"$ 31152,18"</f>
        <v>$ 31152,18</v>
      </c>
      <c r="E945" t="str">
        <f>"$ 31152,18"</f>
        <v>$ 31152,18</v>
      </c>
      <c r="F945" t="str">
        <f>"$ 31152,18"</f>
        <v>$ 31152,18</v>
      </c>
      <c r="G945" t="str">
        <f>"$ 31152,18"</f>
        <v>$ 31152,18</v>
      </c>
      <c r="H945" t="str">
        <f t="shared" si="600"/>
        <v>$ 0,00</v>
      </c>
      <c r="I945" t="str">
        <f t="shared" si="627"/>
        <v>JUEGO COJINETES BANCADA</v>
      </c>
      <c r="J945" t="str">
        <f t="shared" si="601"/>
        <v>1</v>
      </c>
      <c r="K945" t="str">
        <f t="shared" si="623"/>
        <v>0</v>
      </c>
      <c r="L945" t="str">
        <f>"-1,000"</f>
        <v>-1,000</v>
      </c>
      <c r="M945" t="str">
        <f t="shared" si="602"/>
        <v xml:space="preserve"> </v>
      </c>
      <c r="N945" t="str">
        <f t="shared" si="628"/>
        <v>MPSI</v>
      </c>
      <c r="O945" t="str">
        <f t="shared" si="629"/>
        <v>COJINETES</v>
      </c>
      <c r="P945" t="str">
        <f t="shared" si="631"/>
        <v>0</v>
      </c>
      <c r="Q945" t="str">
        <f t="shared" si="631"/>
        <v>0</v>
      </c>
      <c r="R945" t="str">
        <f t="shared" si="632"/>
        <v>0,00</v>
      </c>
      <c r="S945" t="str">
        <f t="shared" si="632"/>
        <v>0,00</v>
      </c>
      <c r="T945" t="str">
        <f t="shared" si="621"/>
        <v xml:space="preserve"> </v>
      </c>
      <c r="U945" t="str">
        <f t="shared" si="630"/>
        <v>-</v>
      </c>
      <c r="V945" t="str">
        <f>"-1,000"</f>
        <v>-1,000</v>
      </c>
      <c r="W945" t="str">
        <f t="shared" si="603"/>
        <v>Lista 4</v>
      </c>
      <c r="X945" t="str">
        <f t="shared" si="604"/>
        <v>Lista 5</v>
      </c>
      <c r="Y945" t="str">
        <f t="shared" si="605"/>
        <v>Oferta Gral.</v>
      </c>
      <c r="Z945" t="str">
        <f t="shared" si="606"/>
        <v>Rubro</v>
      </c>
      <c r="AA945" t="str">
        <f t="shared" si="607"/>
        <v>Cantidad por Bulto</v>
      </c>
      <c r="AB945" t="str">
        <f t="shared" si="608"/>
        <v>INNER</v>
      </c>
      <c r="AC945" t="str">
        <f t="shared" si="609"/>
        <v>Stock en Bultos</v>
      </c>
      <c r="AD945" t="str">
        <f t="shared" si="610"/>
        <v>SubDepósito</v>
      </c>
      <c r="AE945" t="str">
        <f t="shared" si="611"/>
        <v>Marca</v>
      </c>
      <c r="AF945" t="str">
        <f t="shared" si="612"/>
        <v>Super Rubro</v>
      </c>
      <c r="AG945" t="str">
        <f t="shared" si="613"/>
        <v>ComercioExterior</v>
      </c>
      <c r="AH945" t="str">
        <f t="shared" si="614"/>
        <v>PrecioFOB</v>
      </c>
      <c r="AI945" t="str">
        <f t="shared" si="615"/>
        <v>Monto II</v>
      </c>
      <c r="AJ945" t="str">
        <f t="shared" si="616"/>
        <v>Porcentaje II</v>
      </c>
      <c r="AK945" t="str">
        <f t="shared" si="617"/>
        <v>Foto</v>
      </c>
      <c r="AL945" t="str">
        <f>" "</f>
        <v xml:space="preserve"> </v>
      </c>
      <c r="AM945" t="str">
        <f t="shared" si="624"/>
        <v xml:space="preserve"> </v>
      </c>
    </row>
    <row r="946" spans="1:39" x14ac:dyDescent="0.25">
      <c r="A946" t="str">
        <f>"BA810"</f>
        <v>BA810</v>
      </c>
      <c r="B946" t="str">
        <f>"COJINETES BANCADA STD CHEVROLET CORSA MERIVA 1.7 DIESEL"</f>
        <v>COJINETES BANCADA STD CHEVROLET CORSA MERIVA 1.7 DIESEL</v>
      </c>
      <c r="C946" t="str">
        <f>"$ 18546,07"</f>
        <v>$ 18546,07</v>
      </c>
      <c r="D946" t="str">
        <f>"$ 18546,07"</f>
        <v>$ 18546,07</v>
      </c>
      <c r="E946" t="str">
        <f>"$ 18546,07"</f>
        <v>$ 18546,07</v>
      </c>
      <c r="F946" t="str">
        <f>"$ 18546,07"</f>
        <v>$ 18546,07</v>
      </c>
      <c r="G946" t="str">
        <f>"$ 18546,07"</f>
        <v>$ 18546,07</v>
      </c>
      <c r="H946" t="str">
        <f t="shared" si="600"/>
        <v>$ 0,00</v>
      </c>
      <c r="I946" t="str">
        <f t="shared" si="627"/>
        <v>JUEGO COJINETES BANCADA</v>
      </c>
      <c r="J946" t="str">
        <f t="shared" si="601"/>
        <v>1</v>
      </c>
      <c r="K946" t="str">
        <f t="shared" si="623"/>
        <v>0</v>
      </c>
      <c r="L946" t="str">
        <f>"8,000"</f>
        <v>8,000</v>
      </c>
      <c r="M946" t="str">
        <f t="shared" si="602"/>
        <v xml:space="preserve"> </v>
      </c>
      <c r="N946" t="str">
        <f t="shared" si="628"/>
        <v>MPSI</v>
      </c>
      <c r="O946" t="str">
        <f t="shared" si="629"/>
        <v>COJINETES</v>
      </c>
      <c r="P946" t="str">
        <f t="shared" si="631"/>
        <v>0</v>
      </c>
      <c r="Q946" t="str">
        <f t="shared" si="631"/>
        <v>0</v>
      </c>
      <c r="R946" t="str">
        <f t="shared" si="632"/>
        <v>0,00</v>
      </c>
      <c r="S946" t="str">
        <f t="shared" si="632"/>
        <v>0,00</v>
      </c>
      <c r="T946" t="str">
        <f t="shared" si="621"/>
        <v xml:space="preserve"> </v>
      </c>
      <c r="U946" t="str">
        <f t="shared" si="630"/>
        <v>-</v>
      </c>
      <c r="V946" t="str">
        <f>"8,000"</f>
        <v>8,000</v>
      </c>
      <c r="W946" t="str">
        <f t="shared" si="603"/>
        <v>Lista 4</v>
      </c>
      <c r="X946" t="str">
        <f t="shared" si="604"/>
        <v>Lista 5</v>
      </c>
      <c r="Y946" t="str">
        <f t="shared" si="605"/>
        <v>Oferta Gral.</v>
      </c>
      <c r="Z946" t="str">
        <f t="shared" si="606"/>
        <v>Rubro</v>
      </c>
      <c r="AA946" t="str">
        <f t="shared" si="607"/>
        <v>Cantidad por Bulto</v>
      </c>
      <c r="AB946" t="str">
        <f t="shared" si="608"/>
        <v>INNER</v>
      </c>
      <c r="AC946" t="str">
        <f t="shared" si="609"/>
        <v>Stock en Bultos</v>
      </c>
      <c r="AD946" t="str">
        <f t="shared" si="610"/>
        <v>SubDepósito</v>
      </c>
      <c r="AE946" t="str">
        <f t="shared" si="611"/>
        <v>Marca</v>
      </c>
      <c r="AF946" t="str">
        <f t="shared" si="612"/>
        <v>Super Rubro</v>
      </c>
      <c r="AG946" t="str">
        <f t="shared" si="613"/>
        <v>ComercioExterior</v>
      </c>
      <c r="AH946" t="str">
        <f t="shared" si="614"/>
        <v>PrecioFOB</v>
      </c>
      <c r="AI946" t="str">
        <f t="shared" si="615"/>
        <v>Monto II</v>
      </c>
      <c r="AJ946" t="str">
        <f t="shared" si="616"/>
        <v>Porcentaje II</v>
      </c>
      <c r="AK946" t="str">
        <f t="shared" si="617"/>
        <v>Foto</v>
      </c>
      <c r="AL946" t="str">
        <f>"{\rtf1\ansi\ansicpg1252\deff0\deflang11274{\fonttbl{\f0\fnil\fcharset0 MS Sans Serif}} \viewkind4\uc1\pard\f0\fs16 COJINETES BANCADA STD CHEVROLET CORSA MERIVA 1.7 DIESEL\par } "</f>
        <v xml:space="preserve">{\rtf1\ansi\ansicpg1252\deff0\deflang11274{\fonttbl{\f0\fnil\fcharset0 MS Sans Serif}} \viewkind4\uc1\pard\f0\fs16 COJINETES BANCADA STD CHEVROLET CORSA MERIVA 1.7 DIESEL\par } </v>
      </c>
      <c r="AM946" t="str">
        <f t="shared" si="624"/>
        <v xml:space="preserve"> </v>
      </c>
    </row>
    <row r="947" spans="1:39" x14ac:dyDescent="0.25">
      <c r="A947" t="str">
        <f>"BA055915"</f>
        <v>BA055915</v>
      </c>
      <c r="B947" t="str">
        <f>"COJINETES BANCADA STD CHEVROLET CRUZE TRACKER 1.8 16V Z18XE 6 N18XFF"</f>
        <v>COJINETES BANCADA STD CHEVROLET CRUZE TRACKER 1.8 16V Z18XE 6 N18XFF</v>
      </c>
      <c r="C947" t="str">
        <f>"$ 28638,41"</f>
        <v>$ 28638,41</v>
      </c>
      <c r="D947" t="str">
        <f>"$ 28638,41"</f>
        <v>$ 28638,41</v>
      </c>
      <c r="E947" t="str">
        <f>"$ 28638,41"</f>
        <v>$ 28638,41</v>
      </c>
      <c r="F947" t="str">
        <f>"$ 28638,41"</f>
        <v>$ 28638,41</v>
      </c>
      <c r="G947" t="str">
        <f>"$ 28638,41"</f>
        <v>$ 28638,41</v>
      </c>
      <c r="H947" t="str">
        <f t="shared" si="600"/>
        <v>$ 0,00</v>
      </c>
      <c r="I947" t="str">
        <f t="shared" si="627"/>
        <v>JUEGO COJINETES BANCADA</v>
      </c>
      <c r="J947" t="str">
        <f t="shared" si="601"/>
        <v>1</v>
      </c>
      <c r="K947" t="str">
        <f t="shared" si="623"/>
        <v>0</v>
      </c>
      <c r="L947" t="str">
        <f>"8,000"</f>
        <v>8,000</v>
      </c>
      <c r="M947" t="str">
        <f t="shared" si="602"/>
        <v xml:space="preserve"> </v>
      </c>
      <c r="N947" t="str">
        <f t="shared" si="628"/>
        <v>MPSI</v>
      </c>
      <c r="O947" t="str">
        <f t="shared" si="629"/>
        <v>COJINETES</v>
      </c>
      <c r="P947" t="str">
        <f t="shared" si="631"/>
        <v>0</v>
      </c>
      <c r="Q947" t="str">
        <f t="shared" si="631"/>
        <v>0</v>
      </c>
      <c r="R947" t="str">
        <f t="shared" si="632"/>
        <v>0,00</v>
      </c>
      <c r="S947" t="str">
        <f t="shared" si="632"/>
        <v>0,00</v>
      </c>
      <c r="T947" t="str">
        <f t="shared" si="621"/>
        <v xml:space="preserve"> </v>
      </c>
      <c r="U947" t="str">
        <f t="shared" si="630"/>
        <v>-</v>
      </c>
      <c r="V947" t="str">
        <f>"8,000"</f>
        <v>8,000</v>
      </c>
      <c r="W947" t="str">
        <f t="shared" si="603"/>
        <v>Lista 4</v>
      </c>
      <c r="X947" t="str">
        <f t="shared" si="604"/>
        <v>Lista 5</v>
      </c>
      <c r="Y947" t="str">
        <f t="shared" si="605"/>
        <v>Oferta Gral.</v>
      </c>
      <c r="Z947" t="str">
        <f t="shared" si="606"/>
        <v>Rubro</v>
      </c>
      <c r="AA947" t="str">
        <f t="shared" si="607"/>
        <v>Cantidad por Bulto</v>
      </c>
      <c r="AB947" t="str">
        <f t="shared" si="608"/>
        <v>INNER</v>
      </c>
      <c r="AC947" t="str">
        <f t="shared" si="609"/>
        <v>Stock en Bultos</v>
      </c>
      <c r="AD947" t="str">
        <f t="shared" si="610"/>
        <v>SubDepósito</v>
      </c>
      <c r="AE947" t="str">
        <f t="shared" si="611"/>
        <v>Marca</v>
      </c>
      <c r="AF947" t="str">
        <f t="shared" si="612"/>
        <v>Super Rubro</v>
      </c>
      <c r="AG947" t="str">
        <f t="shared" si="613"/>
        <v>ComercioExterior</v>
      </c>
      <c r="AH947" t="str">
        <f t="shared" si="614"/>
        <v>PrecioFOB</v>
      </c>
      <c r="AI947" t="str">
        <f t="shared" si="615"/>
        <v>Monto II</v>
      </c>
      <c r="AJ947" t="str">
        <f t="shared" si="616"/>
        <v>Porcentaje II</v>
      </c>
      <c r="AK947" t="str">
        <f t="shared" si="617"/>
        <v>Foto</v>
      </c>
      <c r="AL947" t="str">
        <f t="shared" ref="AL947:AL954" si="633">" "</f>
        <v xml:space="preserve"> </v>
      </c>
      <c r="AM947" t="str">
        <f t="shared" si="624"/>
        <v xml:space="preserve"> </v>
      </c>
    </row>
    <row r="948" spans="1:39" x14ac:dyDescent="0.25">
      <c r="A948" t="str">
        <f>"BA055928"</f>
        <v>BA055928</v>
      </c>
      <c r="B948" t="str">
        <f>"COJINETES BANCADA STD CHEVROLET CRUZE X12XE 1.4 TURBO"</f>
        <v>COJINETES BANCADA STD CHEVROLET CRUZE X12XE 1.4 TURBO</v>
      </c>
      <c r="C948" t="str">
        <f>"$ 31096,32"</f>
        <v>$ 31096,32</v>
      </c>
      <c r="D948" t="str">
        <f>"$ 31096,32"</f>
        <v>$ 31096,32</v>
      </c>
      <c r="E948" t="str">
        <f>"$ 31096,32"</f>
        <v>$ 31096,32</v>
      </c>
      <c r="F948" t="str">
        <f>"$ 31096,32"</f>
        <v>$ 31096,32</v>
      </c>
      <c r="G948" t="str">
        <f>"$ 31096,32"</f>
        <v>$ 31096,32</v>
      </c>
      <c r="H948" t="str">
        <f t="shared" si="600"/>
        <v>$ 0,00</v>
      </c>
      <c r="I948" t="str">
        <f t="shared" si="627"/>
        <v>JUEGO COJINETES BANCADA</v>
      </c>
      <c r="J948" t="str">
        <f t="shared" si="601"/>
        <v>1</v>
      </c>
      <c r="K948" t="str">
        <f t="shared" si="623"/>
        <v>0</v>
      </c>
      <c r="L948" t="str">
        <f>"3,000"</f>
        <v>3,000</v>
      </c>
      <c r="M948" t="str">
        <f t="shared" si="602"/>
        <v xml:space="preserve"> </v>
      </c>
      <c r="N948" t="str">
        <f t="shared" si="628"/>
        <v>MPSI</v>
      </c>
      <c r="O948" t="str">
        <f t="shared" si="629"/>
        <v>COJINETES</v>
      </c>
      <c r="P948" t="str">
        <f t="shared" si="631"/>
        <v>0</v>
      </c>
      <c r="Q948" t="str">
        <f t="shared" si="631"/>
        <v>0</v>
      </c>
      <c r="R948" t="str">
        <f t="shared" si="632"/>
        <v>0,00</v>
      </c>
      <c r="S948" t="str">
        <f t="shared" si="632"/>
        <v>0,00</v>
      </c>
      <c r="T948" t="str">
        <f t="shared" si="621"/>
        <v xml:space="preserve"> </v>
      </c>
      <c r="U948" t="str">
        <f t="shared" si="630"/>
        <v>-</v>
      </c>
      <c r="V948" t="str">
        <f>"3,000"</f>
        <v>3,000</v>
      </c>
      <c r="W948" t="str">
        <f t="shared" si="603"/>
        <v>Lista 4</v>
      </c>
      <c r="X948" t="str">
        <f t="shared" si="604"/>
        <v>Lista 5</v>
      </c>
      <c r="Y948" t="str">
        <f t="shared" si="605"/>
        <v>Oferta Gral.</v>
      </c>
      <c r="Z948" t="str">
        <f t="shared" si="606"/>
        <v>Rubro</v>
      </c>
      <c r="AA948" t="str">
        <f t="shared" si="607"/>
        <v>Cantidad por Bulto</v>
      </c>
      <c r="AB948" t="str">
        <f t="shared" si="608"/>
        <v>INNER</v>
      </c>
      <c r="AC948" t="str">
        <f t="shared" si="609"/>
        <v>Stock en Bultos</v>
      </c>
      <c r="AD948" t="str">
        <f t="shared" si="610"/>
        <v>SubDepósito</v>
      </c>
      <c r="AE948" t="str">
        <f t="shared" si="611"/>
        <v>Marca</v>
      </c>
      <c r="AF948" t="str">
        <f t="shared" si="612"/>
        <v>Super Rubro</v>
      </c>
      <c r="AG948" t="str">
        <f t="shared" si="613"/>
        <v>ComercioExterior</v>
      </c>
      <c r="AH948" t="str">
        <f t="shared" si="614"/>
        <v>PrecioFOB</v>
      </c>
      <c r="AI948" t="str">
        <f t="shared" si="615"/>
        <v>Monto II</v>
      </c>
      <c r="AJ948" t="str">
        <f t="shared" si="616"/>
        <v>Porcentaje II</v>
      </c>
      <c r="AK948" t="str">
        <f t="shared" si="617"/>
        <v>Foto</v>
      </c>
      <c r="AL948" t="str">
        <f t="shared" si="633"/>
        <v xml:space="preserve"> </v>
      </c>
      <c r="AM948" t="str">
        <f t="shared" si="624"/>
        <v xml:space="preserve"> </v>
      </c>
    </row>
    <row r="949" spans="1:39" x14ac:dyDescent="0.25">
      <c r="A949" t="str">
        <f>"BA055420"</f>
        <v>BA055420</v>
      </c>
      <c r="B949" t="str">
        <f>"COJINETES BANCADA STD CHEVROLET S10 DURAMAX 2,8 16V"</f>
        <v>COJINETES BANCADA STD CHEVROLET S10 DURAMAX 2,8 16V</v>
      </c>
      <c r="C949" t="str">
        <f>"$ 44465,87"</f>
        <v>$ 44465,87</v>
      </c>
      <c r="D949" t="str">
        <f>"$ 44465,87"</f>
        <v>$ 44465,87</v>
      </c>
      <c r="E949" t="str">
        <f>"$ 44465,87"</f>
        <v>$ 44465,87</v>
      </c>
      <c r="F949" t="str">
        <f>"$ 44465,87"</f>
        <v>$ 44465,87</v>
      </c>
      <c r="G949" t="str">
        <f>"$ 44465,87"</f>
        <v>$ 44465,87</v>
      </c>
      <c r="H949" t="str">
        <f t="shared" si="600"/>
        <v>$ 0,00</v>
      </c>
      <c r="I949" t="str">
        <f t="shared" si="627"/>
        <v>JUEGO COJINETES BANCADA</v>
      </c>
      <c r="J949" t="str">
        <f t="shared" si="601"/>
        <v>1</v>
      </c>
      <c r="K949" t="str">
        <f t="shared" si="623"/>
        <v>0</v>
      </c>
      <c r="L949" t="str">
        <f>"0,000"</f>
        <v>0,000</v>
      </c>
      <c r="M949" t="str">
        <f t="shared" si="602"/>
        <v xml:space="preserve"> </v>
      </c>
      <c r="N949" t="str">
        <f t="shared" si="628"/>
        <v>MPSI</v>
      </c>
      <c r="O949" t="str">
        <f t="shared" si="629"/>
        <v>COJINETES</v>
      </c>
      <c r="P949" t="str">
        <f t="shared" si="631"/>
        <v>0</v>
      </c>
      <c r="Q949" t="str">
        <f t="shared" si="631"/>
        <v>0</v>
      </c>
      <c r="R949" t="str">
        <f t="shared" si="632"/>
        <v>0,00</v>
      </c>
      <c r="S949" t="str">
        <f t="shared" si="632"/>
        <v>0,00</v>
      </c>
      <c r="T949" t="str">
        <f t="shared" si="621"/>
        <v xml:space="preserve"> </v>
      </c>
      <c r="U949" t="str">
        <f t="shared" si="630"/>
        <v>-</v>
      </c>
      <c r="V949" t="str">
        <f>"0,000"</f>
        <v>0,000</v>
      </c>
      <c r="W949" t="str">
        <f t="shared" si="603"/>
        <v>Lista 4</v>
      </c>
      <c r="X949" t="str">
        <f t="shared" si="604"/>
        <v>Lista 5</v>
      </c>
      <c r="Y949" t="str">
        <f t="shared" si="605"/>
        <v>Oferta Gral.</v>
      </c>
      <c r="Z949" t="str">
        <f t="shared" si="606"/>
        <v>Rubro</v>
      </c>
      <c r="AA949" t="str">
        <f t="shared" si="607"/>
        <v>Cantidad por Bulto</v>
      </c>
      <c r="AB949" t="str">
        <f t="shared" si="608"/>
        <v>INNER</v>
      </c>
      <c r="AC949" t="str">
        <f t="shared" si="609"/>
        <v>Stock en Bultos</v>
      </c>
      <c r="AD949" t="str">
        <f t="shared" si="610"/>
        <v>SubDepósito</v>
      </c>
      <c r="AE949" t="str">
        <f t="shared" si="611"/>
        <v>Marca</v>
      </c>
      <c r="AF949" t="str">
        <f t="shared" si="612"/>
        <v>Super Rubro</v>
      </c>
      <c r="AG949" t="str">
        <f t="shared" si="613"/>
        <v>ComercioExterior</v>
      </c>
      <c r="AH949" t="str">
        <f t="shared" si="614"/>
        <v>PrecioFOB</v>
      </c>
      <c r="AI949" t="str">
        <f t="shared" si="615"/>
        <v>Monto II</v>
      </c>
      <c r="AJ949" t="str">
        <f t="shared" si="616"/>
        <v>Porcentaje II</v>
      </c>
      <c r="AK949" t="str">
        <f t="shared" si="617"/>
        <v>Foto</v>
      </c>
      <c r="AL949" t="str">
        <f t="shared" si="633"/>
        <v xml:space="preserve"> </v>
      </c>
      <c r="AM949" t="str">
        <f t="shared" si="624"/>
        <v xml:space="preserve"> </v>
      </c>
    </row>
    <row r="950" spans="1:39" x14ac:dyDescent="0.25">
      <c r="A950" t="str">
        <f>"BA055919"</f>
        <v>BA055919</v>
      </c>
      <c r="B950" t="str">
        <f>"COJINETES BANCADA STD CHEVROLET SONIC SPIN TRACKER N18X 1.8/2.2 CC."</f>
        <v>COJINETES BANCADA STD CHEVROLET SONIC SPIN TRACKER N18X 1.8/2.2 CC.</v>
      </c>
      <c r="C950" t="str">
        <f>"$ 31077,70"</f>
        <v>$ 31077,70</v>
      </c>
      <c r="D950" t="str">
        <f>"$ 31077,70"</f>
        <v>$ 31077,70</v>
      </c>
      <c r="E950" t="str">
        <f>"$ 31077,70"</f>
        <v>$ 31077,70</v>
      </c>
      <c r="F950" t="str">
        <f>"$ 31077,70"</f>
        <v>$ 31077,70</v>
      </c>
      <c r="G950" t="str">
        <f>"$ 31077,70"</f>
        <v>$ 31077,70</v>
      </c>
      <c r="H950" t="str">
        <f t="shared" si="600"/>
        <v>$ 0,00</v>
      </c>
      <c r="I950" t="str">
        <f t="shared" si="627"/>
        <v>JUEGO COJINETES BANCADA</v>
      </c>
      <c r="J950" t="str">
        <f t="shared" si="601"/>
        <v>1</v>
      </c>
      <c r="K950" t="str">
        <f t="shared" si="623"/>
        <v>0</v>
      </c>
      <c r="L950" t="str">
        <f>"6,000"</f>
        <v>6,000</v>
      </c>
      <c r="M950" t="str">
        <f t="shared" si="602"/>
        <v xml:space="preserve"> </v>
      </c>
      <c r="N950" t="str">
        <f t="shared" si="628"/>
        <v>MPSI</v>
      </c>
      <c r="O950" t="str">
        <f t="shared" si="629"/>
        <v>COJINETES</v>
      </c>
      <c r="P950" t="str">
        <f t="shared" si="631"/>
        <v>0</v>
      </c>
      <c r="Q950" t="str">
        <f t="shared" si="631"/>
        <v>0</v>
      </c>
      <c r="R950" t="str">
        <f t="shared" si="632"/>
        <v>0,00</v>
      </c>
      <c r="S950" t="str">
        <f t="shared" si="632"/>
        <v>0,00</v>
      </c>
      <c r="T950" t="str">
        <f t="shared" si="621"/>
        <v xml:space="preserve"> </v>
      </c>
      <c r="U950" t="str">
        <f t="shared" si="630"/>
        <v>-</v>
      </c>
      <c r="V950" t="str">
        <f>"6,000"</f>
        <v>6,000</v>
      </c>
      <c r="W950" t="str">
        <f t="shared" si="603"/>
        <v>Lista 4</v>
      </c>
      <c r="X950" t="str">
        <f t="shared" si="604"/>
        <v>Lista 5</v>
      </c>
      <c r="Y950" t="str">
        <f t="shared" si="605"/>
        <v>Oferta Gral.</v>
      </c>
      <c r="Z950" t="str">
        <f t="shared" si="606"/>
        <v>Rubro</v>
      </c>
      <c r="AA950" t="str">
        <f t="shared" si="607"/>
        <v>Cantidad por Bulto</v>
      </c>
      <c r="AB950" t="str">
        <f t="shared" si="608"/>
        <v>INNER</v>
      </c>
      <c r="AC950" t="str">
        <f t="shared" si="609"/>
        <v>Stock en Bultos</v>
      </c>
      <c r="AD950" t="str">
        <f t="shared" si="610"/>
        <v>SubDepósito</v>
      </c>
      <c r="AE950" t="str">
        <f t="shared" si="611"/>
        <v>Marca</v>
      </c>
      <c r="AF950" t="str">
        <f t="shared" si="612"/>
        <v>Super Rubro</v>
      </c>
      <c r="AG950" t="str">
        <f t="shared" si="613"/>
        <v>ComercioExterior</v>
      </c>
      <c r="AH950" t="str">
        <f t="shared" si="614"/>
        <v>PrecioFOB</v>
      </c>
      <c r="AI950" t="str">
        <f t="shared" si="615"/>
        <v>Monto II</v>
      </c>
      <c r="AJ950" t="str">
        <f t="shared" si="616"/>
        <v>Porcentaje II</v>
      </c>
      <c r="AK950" t="str">
        <f t="shared" si="617"/>
        <v>Foto</v>
      </c>
      <c r="AL950" t="str">
        <f t="shared" si="633"/>
        <v xml:space="preserve"> </v>
      </c>
      <c r="AM950" t="str">
        <f t="shared" si="624"/>
        <v xml:space="preserve"> </v>
      </c>
    </row>
    <row r="951" spans="1:39" x14ac:dyDescent="0.25">
      <c r="A951" t="str">
        <f>"BA583"</f>
        <v>BA583</v>
      </c>
      <c r="B951" t="str">
        <f>"COJINETES BANCADA STD DAEWOO TICO MATIZ MOTOR 3 CILINDROS F8CB F8CV"</f>
        <v>COJINETES BANCADA STD DAEWOO TICO MATIZ MOTOR 3 CILINDROS F8CB F8CV</v>
      </c>
      <c r="C951" t="str">
        <f>"$ 14654,37"</f>
        <v>$ 14654,37</v>
      </c>
      <c r="D951" t="str">
        <f>"$ 14654,37"</f>
        <v>$ 14654,37</v>
      </c>
      <c r="E951" t="str">
        <f>"$ 14654,37"</f>
        <v>$ 14654,37</v>
      </c>
      <c r="F951" t="str">
        <f>"$ 14654,37"</f>
        <v>$ 14654,37</v>
      </c>
      <c r="G951" t="str">
        <f>"$ 14654,37"</f>
        <v>$ 14654,37</v>
      </c>
      <c r="H951" t="str">
        <f t="shared" si="600"/>
        <v>$ 0,00</v>
      </c>
      <c r="I951" t="str">
        <f t="shared" si="627"/>
        <v>JUEGO COJINETES BANCADA</v>
      </c>
      <c r="J951" t="str">
        <f t="shared" si="601"/>
        <v>1</v>
      </c>
      <c r="K951" t="str">
        <f t="shared" si="623"/>
        <v>0</v>
      </c>
      <c r="L951" t="str">
        <f>"3,000"</f>
        <v>3,000</v>
      </c>
      <c r="M951" t="str">
        <f t="shared" si="602"/>
        <v xml:space="preserve"> </v>
      </c>
      <c r="N951" t="str">
        <f t="shared" si="628"/>
        <v>MPSI</v>
      </c>
      <c r="O951" t="str">
        <f t="shared" si="629"/>
        <v>COJINETES</v>
      </c>
      <c r="P951" t="str">
        <f t="shared" si="631"/>
        <v>0</v>
      </c>
      <c r="Q951" t="str">
        <f t="shared" si="631"/>
        <v>0</v>
      </c>
      <c r="R951" t="str">
        <f t="shared" si="632"/>
        <v>0,00</v>
      </c>
      <c r="S951" t="str">
        <f t="shared" si="632"/>
        <v>0,00</v>
      </c>
      <c r="T951" t="str">
        <f t="shared" si="621"/>
        <v xml:space="preserve"> </v>
      </c>
      <c r="U951" t="str">
        <f t="shared" si="630"/>
        <v>-</v>
      </c>
      <c r="V951" t="str">
        <f>"3,000"</f>
        <v>3,000</v>
      </c>
      <c r="W951" t="str">
        <f t="shared" si="603"/>
        <v>Lista 4</v>
      </c>
      <c r="X951" t="str">
        <f t="shared" si="604"/>
        <v>Lista 5</v>
      </c>
      <c r="Y951" t="str">
        <f t="shared" si="605"/>
        <v>Oferta Gral.</v>
      </c>
      <c r="Z951" t="str">
        <f t="shared" si="606"/>
        <v>Rubro</v>
      </c>
      <c r="AA951" t="str">
        <f t="shared" si="607"/>
        <v>Cantidad por Bulto</v>
      </c>
      <c r="AB951" t="str">
        <f t="shared" si="608"/>
        <v>INNER</v>
      </c>
      <c r="AC951" t="str">
        <f t="shared" si="609"/>
        <v>Stock en Bultos</v>
      </c>
      <c r="AD951" t="str">
        <f t="shared" si="610"/>
        <v>SubDepósito</v>
      </c>
      <c r="AE951" t="str">
        <f t="shared" si="611"/>
        <v>Marca</v>
      </c>
      <c r="AF951" t="str">
        <f t="shared" si="612"/>
        <v>Super Rubro</v>
      </c>
      <c r="AG951" t="str">
        <f t="shared" si="613"/>
        <v>ComercioExterior</v>
      </c>
      <c r="AH951" t="str">
        <f t="shared" si="614"/>
        <v>PrecioFOB</v>
      </c>
      <c r="AI951" t="str">
        <f t="shared" si="615"/>
        <v>Monto II</v>
      </c>
      <c r="AJ951" t="str">
        <f t="shared" si="616"/>
        <v>Porcentaje II</v>
      </c>
      <c r="AK951" t="str">
        <f t="shared" si="617"/>
        <v>Foto</v>
      </c>
      <c r="AL951" t="str">
        <f t="shared" si="633"/>
        <v xml:space="preserve"> </v>
      </c>
      <c r="AM951" t="str">
        <f t="shared" si="624"/>
        <v xml:space="preserve"> </v>
      </c>
    </row>
    <row r="952" spans="1:39" x14ac:dyDescent="0.25">
      <c r="A952" t="str">
        <f>"BA082"</f>
        <v>BA082</v>
      </c>
      <c r="B952" t="str">
        <f>"COJINETES BANCADA STD DODGE 1500"</f>
        <v>COJINETES BANCADA STD DODGE 1500</v>
      </c>
      <c r="C952" t="str">
        <f>"$ 25808,08"</f>
        <v>$ 25808,08</v>
      </c>
      <c r="D952" t="str">
        <f>"$ 25808,08"</f>
        <v>$ 25808,08</v>
      </c>
      <c r="E952" t="str">
        <f>"$ 25808,08"</f>
        <v>$ 25808,08</v>
      </c>
      <c r="F952" t="str">
        <f>"$ 25808,08"</f>
        <v>$ 25808,08</v>
      </c>
      <c r="G952" t="str">
        <f>"$ 25808,08"</f>
        <v>$ 25808,08</v>
      </c>
      <c r="H952" t="str">
        <f t="shared" si="600"/>
        <v>$ 0,00</v>
      </c>
      <c r="I952" t="str">
        <f t="shared" si="627"/>
        <v>JUEGO COJINETES BANCADA</v>
      </c>
      <c r="J952" t="str">
        <f t="shared" si="601"/>
        <v>1</v>
      </c>
      <c r="K952" t="str">
        <f t="shared" si="623"/>
        <v>0</v>
      </c>
      <c r="L952" t="str">
        <f>"2,000"</f>
        <v>2,000</v>
      </c>
      <c r="M952" t="str">
        <f t="shared" si="602"/>
        <v xml:space="preserve"> </v>
      </c>
      <c r="N952" t="str">
        <f t="shared" si="628"/>
        <v>MPSI</v>
      </c>
      <c r="O952" t="str">
        <f t="shared" si="629"/>
        <v>COJINETES</v>
      </c>
      <c r="P952" t="str">
        <f t="shared" si="631"/>
        <v>0</v>
      </c>
      <c r="Q952" t="str">
        <f t="shared" si="631"/>
        <v>0</v>
      </c>
      <c r="R952" t="str">
        <f t="shared" si="632"/>
        <v>0,00</v>
      </c>
      <c r="S952" t="str">
        <f t="shared" si="632"/>
        <v>0,00</v>
      </c>
      <c r="T952" t="str">
        <f t="shared" si="621"/>
        <v xml:space="preserve"> </v>
      </c>
      <c r="U952" t="str">
        <f t="shared" si="630"/>
        <v>-</v>
      </c>
      <c r="V952" t="str">
        <f>"2,000"</f>
        <v>2,000</v>
      </c>
      <c r="W952" t="str">
        <f t="shared" si="603"/>
        <v>Lista 4</v>
      </c>
      <c r="X952" t="str">
        <f t="shared" si="604"/>
        <v>Lista 5</v>
      </c>
      <c r="Y952" t="str">
        <f t="shared" si="605"/>
        <v>Oferta Gral.</v>
      </c>
      <c r="Z952" t="str">
        <f t="shared" si="606"/>
        <v>Rubro</v>
      </c>
      <c r="AA952" t="str">
        <f t="shared" si="607"/>
        <v>Cantidad por Bulto</v>
      </c>
      <c r="AB952" t="str">
        <f t="shared" si="608"/>
        <v>INNER</v>
      </c>
      <c r="AC952" t="str">
        <f t="shared" si="609"/>
        <v>Stock en Bultos</v>
      </c>
      <c r="AD952" t="str">
        <f t="shared" si="610"/>
        <v>SubDepósito</v>
      </c>
      <c r="AE952" t="str">
        <f t="shared" si="611"/>
        <v>Marca</v>
      </c>
      <c r="AF952" t="str">
        <f t="shared" si="612"/>
        <v>Super Rubro</v>
      </c>
      <c r="AG952" t="str">
        <f t="shared" si="613"/>
        <v>ComercioExterior</v>
      </c>
      <c r="AH952" t="str">
        <f t="shared" si="614"/>
        <v>PrecioFOB</v>
      </c>
      <c r="AI952" t="str">
        <f t="shared" si="615"/>
        <v>Monto II</v>
      </c>
      <c r="AJ952" t="str">
        <f t="shared" si="616"/>
        <v>Porcentaje II</v>
      </c>
      <c r="AK952" t="str">
        <f t="shared" si="617"/>
        <v>Foto</v>
      </c>
      <c r="AL952" t="str">
        <f t="shared" si="633"/>
        <v xml:space="preserve"> </v>
      </c>
      <c r="AM952" t="str">
        <f t="shared" ref="AM952:AM981" si="634">" "</f>
        <v xml:space="preserve"> </v>
      </c>
    </row>
    <row r="953" spans="1:39" x14ac:dyDescent="0.25">
      <c r="A953" t="str">
        <f>"BA083"</f>
        <v>BA083</v>
      </c>
      <c r="B953" t="str">
        <f>"COJINETES BANCADA STD DODGE 1800"</f>
        <v>COJINETES BANCADA STD DODGE 1800</v>
      </c>
      <c r="C953" t="str">
        <f>"$ 25621,88"</f>
        <v>$ 25621,88</v>
      </c>
      <c r="D953" t="str">
        <f>"$ 25621,88"</f>
        <v>$ 25621,88</v>
      </c>
      <c r="E953" t="str">
        <f>"$ 25621,88"</f>
        <v>$ 25621,88</v>
      </c>
      <c r="F953" t="str">
        <f>"$ 25621,88"</f>
        <v>$ 25621,88</v>
      </c>
      <c r="G953" t="str">
        <f>"$ 25621,88"</f>
        <v>$ 25621,88</v>
      </c>
      <c r="H953" t="str">
        <f t="shared" si="600"/>
        <v>$ 0,00</v>
      </c>
      <c r="I953" t="str">
        <f t="shared" si="627"/>
        <v>JUEGO COJINETES BANCADA</v>
      </c>
      <c r="J953" t="str">
        <f t="shared" si="601"/>
        <v>1</v>
      </c>
      <c r="K953" t="str">
        <f t="shared" si="623"/>
        <v>0</v>
      </c>
      <c r="L953" t="str">
        <f>"0,000"</f>
        <v>0,000</v>
      </c>
      <c r="M953" t="str">
        <f t="shared" si="602"/>
        <v xml:space="preserve"> </v>
      </c>
      <c r="N953" t="str">
        <f t="shared" si="628"/>
        <v>MPSI</v>
      </c>
      <c r="O953" t="str">
        <f t="shared" si="629"/>
        <v>COJINETES</v>
      </c>
      <c r="P953" t="str">
        <f t="shared" si="631"/>
        <v>0</v>
      </c>
      <c r="Q953" t="str">
        <f t="shared" si="631"/>
        <v>0</v>
      </c>
      <c r="R953" t="str">
        <f t="shared" si="632"/>
        <v>0,00</v>
      </c>
      <c r="S953" t="str">
        <f t="shared" si="632"/>
        <v>0,00</v>
      </c>
      <c r="T953" t="str">
        <f t="shared" si="621"/>
        <v xml:space="preserve"> </v>
      </c>
      <c r="U953" t="str">
        <f t="shared" si="630"/>
        <v>-</v>
      </c>
      <c r="V953" t="str">
        <f>"0,000"</f>
        <v>0,000</v>
      </c>
      <c r="W953" t="str">
        <f t="shared" si="603"/>
        <v>Lista 4</v>
      </c>
      <c r="X953" t="str">
        <f t="shared" si="604"/>
        <v>Lista 5</v>
      </c>
      <c r="Y953" t="str">
        <f t="shared" si="605"/>
        <v>Oferta Gral.</v>
      </c>
      <c r="Z953" t="str">
        <f t="shared" si="606"/>
        <v>Rubro</v>
      </c>
      <c r="AA953" t="str">
        <f t="shared" si="607"/>
        <v>Cantidad por Bulto</v>
      </c>
      <c r="AB953" t="str">
        <f t="shared" si="608"/>
        <v>INNER</v>
      </c>
      <c r="AC953" t="str">
        <f t="shared" si="609"/>
        <v>Stock en Bultos</v>
      </c>
      <c r="AD953" t="str">
        <f t="shared" si="610"/>
        <v>SubDepósito</v>
      </c>
      <c r="AE953" t="str">
        <f t="shared" si="611"/>
        <v>Marca</v>
      </c>
      <c r="AF953" t="str">
        <f t="shared" si="612"/>
        <v>Super Rubro</v>
      </c>
      <c r="AG953" t="str">
        <f t="shared" si="613"/>
        <v>ComercioExterior</v>
      </c>
      <c r="AH953" t="str">
        <f t="shared" si="614"/>
        <v>PrecioFOB</v>
      </c>
      <c r="AI953" t="str">
        <f t="shared" si="615"/>
        <v>Monto II</v>
      </c>
      <c r="AJ953" t="str">
        <f t="shared" si="616"/>
        <v>Porcentaje II</v>
      </c>
      <c r="AK953" t="str">
        <f t="shared" si="617"/>
        <v>Foto</v>
      </c>
      <c r="AL953" t="str">
        <f t="shared" si="633"/>
        <v xml:space="preserve"> </v>
      </c>
      <c r="AM953" t="str">
        <f t="shared" si="634"/>
        <v xml:space="preserve"> </v>
      </c>
    </row>
    <row r="954" spans="1:39" x14ac:dyDescent="0.25">
      <c r="A954" t="str">
        <f>"BA080"</f>
        <v>BA080</v>
      </c>
      <c r="B954" t="str">
        <f>"COJINETES BANCADA STD DODGE VALIANT"</f>
        <v>COJINETES BANCADA STD DODGE VALIANT</v>
      </c>
      <c r="C954" t="str">
        <f>"$ 45192,07"</f>
        <v>$ 45192,07</v>
      </c>
      <c r="D954" t="str">
        <f>"$ 45192,07"</f>
        <v>$ 45192,07</v>
      </c>
      <c r="E954" t="str">
        <f>"$ 45192,07"</f>
        <v>$ 45192,07</v>
      </c>
      <c r="F954" t="str">
        <f>"$ 45192,07"</f>
        <v>$ 45192,07</v>
      </c>
      <c r="G954" t="str">
        <f>"$ 45192,07"</f>
        <v>$ 45192,07</v>
      </c>
      <c r="H954" t="str">
        <f t="shared" si="600"/>
        <v>$ 0,00</v>
      </c>
      <c r="I954" t="str">
        <f t="shared" si="627"/>
        <v>JUEGO COJINETES BANCADA</v>
      </c>
      <c r="J954" t="str">
        <f t="shared" si="601"/>
        <v>1</v>
      </c>
      <c r="K954" t="str">
        <f t="shared" si="623"/>
        <v>0</v>
      </c>
      <c r="L954" t="str">
        <f>"1,000"</f>
        <v>1,000</v>
      </c>
      <c r="M954" t="str">
        <f t="shared" si="602"/>
        <v xml:space="preserve"> </v>
      </c>
      <c r="N954" t="str">
        <f t="shared" si="628"/>
        <v>MPSI</v>
      </c>
      <c r="O954" t="str">
        <f t="shared" si="629"/>
        <v>COJINETES</v>
      </c>
      <c r="P954" t="str">
        <f t="shared" si="631"/>
        <v>0</v>
      </c>
      <c r="Q954" t="str">
        <f t="shared" si="631"/>
        <v>0</v>
      </c>
      <c r="R954" t="str">
        <f t="shared" si="632"/>
        <v>0,00</v>
      </c>
      <c r="S954" t="str">
        <f t="shared" si="632"/>
        <v>0,00</v>
      </c>
      <c r="T954" t="str">
        <f t="shared" si="621"/>
        <v xml:space="preserve"> </v>
      </c>
      <c r="U954" t="str">
        <f t="shared" si="630"/>
        <v>-</v>
      </c>
      <c r="V954" t="str">
        <f>"1,000"</f>
        <v>1,000</v>
      </c>
      <c r="W954" t="str">
        <f t="shared" si="603"/>
        <v>Lista 4</v>
      </c>
      <c r="X954" t="str">
        <f t="shared" si="604"/>
        <v>Lista 5</v>
      </c>
      <c r="Y954" t="str">
        <f t="shared" si="605"/>
        <v>Oferta Gral.</v>
      </c>
      <c r="Z954" t="str">
        <f t="shared" si="606"/>
        <v>Rubro</v>
      </c>
      <c r="AA954" t="str">
        <f t="shared" si="607"/>
        <v>Cantidad por Bulto</v>
      </c>
      <c r="AB954" t="str">
        <f t="shared" si="608"/>
        <v>INNER</v>
      </c>
      <c r="AC954" t="str">
        <f t="shared" si="609"/>
        <v>Stock en Bultos</v>
      </c>
      <c r="AD954" t="str">
        <f t="shared" si="610"/>
        <v>SubDepósito</v>
      </c>
      <c r="AE954" t="str">
        <f t="shared" si="611"/>
        <v>Marca</v>
      </c>
      <c r="AF954" t="str">
        <f t="shared" si="612"/>
        <v>Super Rubro</v>
      </c>
      <c r="AG954" t="str">
        <f t="shared" si="613"/>
        <v>ComercioExterior</v>
      </c>
      <c r="AH954" t="str">
        <f t="shared" si="614"/>
        <v>PrecioFOB</v>
      </c>
      <c r="AI954" t="str">
        <f t="shared" si="615"/>
        <v>Monto II</v>
      </c>
      <c r="AJ954" t="str">
        <f t="shared" si="616"/>
        <v>Porcentaje II</v>
      </c>
      <c r="AK954" t="str">
        <f t="shared" si="617"/>
        <v>Foto</v>
      </c>
      <c r="AL954" t="str">
        <f t="shared" si="633"/>
        <v xml:space="preserve"> </v>
      </c>
      <c r="AM954" t="str">
        <f t="shared" si="634"/>
        <v xml:space="preserve"> </v>
      </c>
    </row>
    <row r="955" spans="1:39" x14ac:dyDescent="0.25">
      <c r="A955" t="str">
        <f>"BA145405"</f>
        <v>BA145405</v>
      </c>
      <c r="B955" t="str">
        <f>"COJINETES BANCADA STD DUCATO DAILY BOXER JUMPER 2.3 MULTIJET"</f>
        <v>COJINETES BANCADA STD DUCATO DAILY BOXER JUMPER 2.3 MULTIJET</v>
      </c>
      <c r="C955" t="str">
        <f>"$ 39065,91"</f>
        <v>$ 39065,91</v>
      </c>
      <c r="D955" t="str">
        <f>"$ 39065,91"</f>
        <v>$ 39065,91</v>
      </c>
      <c r="E955" t="str">
        <f>"$ 39065,91"</f>
        <v>$ 39065,91</v>
      </c>
      <c r="F955" t="str">
        <f>"$ 39065,91"</f>
        <v>$ 39065,91</v>
      </c>
      <c r="G955" t="str">
        <f>"$ 39065,91"</f>
        <v>$ 39065,91</v>
      </c>
      <c r="H955" t="str">
        <f t="shared" si="600"/>
        <v>$ 0,00</v>
      </c>
      <c r="I955" t="str">
        <f t="shared" si="627"/>
        <v>JUEGO COJINETES BANCADA</v>
      </c>
      <c r="J955" t="str">
        <f t="shared" si="601"/>
        <v>1</v>
      </c>
      <c r="K955" t="str">
        <f t="shared" si="623"/>
        <v>0</v>
      </c>
      <c r="L955" t="str">
        <f>"2,000"</f>
        <v>2,000</v>
      </c>
      <c r="M955" t="str">
        <f t="shared" si="602"/>
        <v xml:space="preserve"> </v>
      </c>
      <c r="N955" t="str">
        <f t="shared" si="628"/>
        <v>MPSI</v>
      </c>
      <c r="O955" t="str">
        <f t="shared" si="629"/>
        <v>COJINETES</v>
      </c>
      <c r="P955" t="str">
        <f t="shared" si="631"/>
        <v>0</v>
      </c>
      <c r="Q955" t="str">
        <f t="shared" si="631"/>
        <v>0</v>
      </c>
      <c r="R955" t="str">
        <f t="shared" si="632"/>
        <v>0,00</v>
      </c>
      <c r="S955" t="str">
        <f t="shared" si="632"/>
        <v>0,00</v>
      </c>
      <c r="T955" t="str">
        <f t="shared" si="621"/>
        <v xml:space="preserve"> </v>
      </c>
      <c r="U955" t="str">
        <f t="shared" si="630"/>
        <v>-</v>
      </c>
      <c r="V955" t="str">
        <f>"2,000"</f>
        <v>2,000</v>
      </c>
      <c r="W955" t="str">
        <f t="shared" si="603"/>
        <v>Lista 4</v>
      </c>
      <c r="X955" t="str">
        <f t="shared" si="604"/>
        <v>Lista 5</v>
      </c>
      <c r="Y955" t="str">
        <f t="shared" si="605"/>
        <v>Oferta Gral.</v>
      </c>
      <c r="Z955" t="str">
        <f t="shared" si="606"/>
        <v>Rubro</v>
      </c>
      <c r="AA955" t="str">
        <f t="shared" si="607"/>
        <v>Cantidad por Bulto</v>
      </c>
      <c r="AB955" t="str">
        <f t="shared" si="608"/>
        <v>INNER</v>
      </c>
      <c r="AC955" t="str">
        <f t="shared" si="609"/>
        <v>Stock en Bultos</v>
      </c>
      <c r="AD955" t="str">
        <f t="shared" si="610"/>
        <v>SubDepósito</v>
      </c>
      <c r="AE955" t="str">
        <f t="shared" si="611"/>
        <v>Marca</v>
      </c>
      <c r="AF955" t="str">
        <f t="shared" si="612"/>
        <v>Super Rubro</v>
      </c>
      <c r="AG955" t="str">
        <f t="shared" si="613"/>
        <v>ComercioExterior</v>
      </c>
      <c r="AH955" t="str">
        <f t="shared" si="614"/>
        <v>PrecioFOB</v>
      </c>
      <c r="AI955" t="str">
        <f t="shared" si="615"/>
        <v>Monto II</v>
      </c>
      <c r="AJ955" t="str">
        <f t="shared" si="616"/>
        <v>Porcentaje II</v>
      </c>
      <c r="AK955" t="str">
        <f t="shared" si="617"/>
        <v>Foto</v>
      </c>
      <c r="AL955" t="str">
        <f>"{\rtf1\ansi\ansicpg1252\deff0\deflang11274{\fonttbl{\f0\fnil\fcharset0 MS Sans Serif}} \viewkind4\uc1\pard\f0\fs16 COJINETES BANCADA STD DUCATO DAILY BOXER JUMPER 2.3 MULTIJET\par } "</f>
        <v xml:space="preserve">{\rtf1\ansi\ansicpg1252\deff0\deflang11274{\fonttbl{\f0\fnil\fcharset0 MS Sans Serif}} \viewkind4\uc1\pard\f0\fs16 COJINETES BANCADA STD DUCATO DAILY BOXER JUMPER 2.3 MULTIJET\par } </v>
      </c>
      <c r="AM955" t="str">
        <f t="shared" si="634"/>
        <v xml:space="preserve"> </v>
      </c>
    </row>
    <row r="956" spans="1:39" x14ac:dyDescent="0.25">
      <c r="A956" t="str">
        <f>"BA136"</f>
        <v>BA136</v>
      </c>
      <c r="B956" t="str">
        <f>"COJINETES BANCADA STD FIAT 147 DUNA 1300 DIESEL"</f>
        <v>COJINETES BANCADA STD FIAT 147 DUNA 1300 DIESEL</v>
      </c>
      <c r="C956" t="str">
        <f>"$ 17583,69"</f>
        <v>$ 17583,69</v>
      </c>
      <c r="D956" t="str">
        <f>"$ 17583,69"</f>
        <v>$ 17583,69</v>
      </c>
      <c r="E956" t="str">
        <f>"$ 17583,69"</f>
        <v>$ 17583,69</v>
      </c>
      <c r="F956" t="str">
        <f>"$ 17583,69"</f>
        <v>$ 17583,69</v>
      </c>
      <c r="G956" t="str">
        <f>"$ 17583,69"</f>
        <v>$ 17583,69</v>
      </c>
      <c r="H956" t="str">
        <f t="shared" si="600"/>
        <v>$ 0,00</v>
      </c>
      <c r="I956" t="str">
        <f t="shared" si="627"/>
        <v>JUEGO COJINETES BANCADA</v>
      </c>
      <c r="J956" t="str">
        <f t="shared" si="601"/>
        <v>1</v>
      </c>
      <c r="K956" t="str">
        <f t="shared" si="623"/>
        <v>0</v>
      </c>
      <c r="L956" t="str">
        <f>"4,000"</f>
        <v>4,000</v>
      </c>
      <c r="M956" t="str">
        <f t="shared" si="602"/>
        <v xml:space="preserve"> </v>
      </c>
      <c r="N956" t="str">
        <f t="shared" si="628"/>
        <v>MPSI</v>
      </c>
      <c r="O956" t="str">
        <f t="shared" si="629"/>
        <v>COJINETES</v>
      </c>
      <c r="P956" t="str">
        <f t="shared" si="631"/>
        <v>0</v>
      </c>
      <c r="Q956" t="str">
        <f t="shared" si="631"/>
        <v>0</v>
      </c>
      <c r="R956" t="str">
        <f t="shared" si="632"/>
        <v>0,00</v>
      </c>
      <c r="S956" t="str">
        <f t="shared" si="632"/>
        <v>0,00</v>
      </c>
      <c r="T956" t="str">
        <f t="shared" si="621"/>
        <v xml:space="preserve"> </v>
      </c>
      <c r="U956" t="str">
        <f t="shared" si="630"/>
        <v>-</v>
      </c>
      <c r="V956" t="str">
        <f>"4,000"</f>
        <v>4,000</v>
      </c>
      <c r="W956" t="str">
        <f t="shared" si="603"/>
        <v>Lista 4</v>
      </c>
      <c r="X956" t="str">
        <f t="shared" si="604"/>
        <v>Lista 5</v>
      </c>
      <c r="Y956" t="str">
        <f t="shared" si="605"/>
        <v>Oferta Gral.</v>
      </c>
      <c r="Z956" t="str">
        <f t="shared" si="606"/>
        <v>Rubro</v>
      </c>
      <c r="AA956" t="str">
        <f t="shared" si="607"/>
        <v>Cantidad por Bulto</v>
      </c>
      <c r="AB956" t="str">
        <f t="shared" si="608"/>
        <v>INNER</v>
      </c>
      <c r="AC956" t="str">
        <f t="shared" si="609"/>
        <v>Stock en Bultos</v>
      </c>
      <c r="AD956" t="str">
        <f t="shared" si="610"/>
        <v>SubDepósito</v>
      </c>
      <c r="AE956" t="str">
        <f t="shared" si="611"/>
        <v>Marca</v>
      </c>
      <c r="AF956" t="str">
        <f t="shared" si="612"/>
        <v>Super Rubro</v>
      </c>
      <c r="AG956" t="str">
        <f t="shared" si="613"/>
        <v>ComercioExterior</v>
      </c>
      <c r="AH956" t="str">
        <f t="shared" si="614"/>
        <v>PrecioFOB</v>
      </c>
      <c r="AI956" t="str">
        <f t="shared" si="615"/>
        <v>Monto II</v>
      </c>
      <c r="AJ956" t="str">
        <f t="shared" si="616"/>
        <v>Porcentaje II</v>
      </c>
      <c r="AK956" t="str">
        <f t="shared" si="617"/>
        <v>Foto</v>
      </c>
      <c r="AL956" t="str">
        <f t="shared" ref="AL956:AL961" si="635">" "</f>
        <v xml:space="preserve"> </v>
      </c>
      <c r="AM956" t="str">
        <f t="shared" si="634"/>
        <v xml:space="preserve"> </v>
      </c>
    </row>
    <row r="957" spans="1:39" x14ac:dyDescent="0.25">
      <c r="A957" t="str">
        <f>"BA133"</f>
        <v>BA133</v>
      </c>
      <c r="B957" t="str">
        <f>"COJINETES BANCADA STD FIAT 600 S 133"</f>
        <v>COJINETES BANCADA STD FIAT 600 S 133</v>
      </c>
      <c r="C957" t="str">
        <f>"$ 13090,25"</f>
        <v>$ 13090,25</v>
      </c>
      <c r="D957" t="str">
        <f>"$ 13090,25"</f>
        <v>$ 13090,25</v>
      </c>
      <c r="E957" t="str">
        <f>"$ 13090,25"</f>
        <v>$ 13090,25</v>
      </c>
      <c r="F957" t="str">
        <f>"$ 13090,25"</f>
        <v>$ 13090,25</v>
      </c>
      <c r="G957" t="str">
        <f>"$ 13090,25"</f>
        <v>$ 13090,25</v>
      </c>
      <c r="H957" t="str">
        <f t="shared" si="600"/>
        <v>$ 0,00</v>
      </c>
      <c r="I957" t="str">
        <f t="shared" si="627"/>
        <v>JUEGO COJINETES BANCADA</v>
      </c>
      <c r="J957" t="str">
        <f t="shared" si="601"/>
        <v>1</v>
      </c>
      <c r="K957" t="str">
        <f t="shared" si="623"/>
        <v>0</v>
      </c>
      <c r="L957" t="str">
        <f>"0,000"</f>
        <v>0,000</v>
      </c>
      <c r="M957" t="str">
        <f t="shared" si="602"/>
        <v xml:space="preserve"> </v>
      </c>
      <c r="N957" t="str">
        <f t="shared" si="628"/>
        <v>MPSI</v>
      </c>
      <c r="O957" t="str">
        <f t="shared" si="629"/>
        <v>COJINETES</v>
      </c>
      <c r="P957" t="str">
        <f t="shared" si="631"/>
        <v>0</v>
      </c>
      <c r="Q957" t="str">
        <f t="shared" si="631"/>
        <v>0</v>
      </c>
      <c r="R957" t="str">
        <f t="shared" si="632"/>
        <v>0,00</v>
      </c>
      <c r="S957" t="str">
        <f t="shared" si="632"/>
        <v>0,00</v>
      </c>
      <c r="T957" t="str">
        <f t="shared" si="621"/>
        <v xml:space="preserve"> </v>
      </c>
      <c r="U957" t="str">
        <f t="shared" si="630"/>
        <v>-</v>
      </c>
      <c r="V957" t="str">
        <f>"0,000"</f>
        <v>0,000</v>
      </c>
      <c r="W957" t="str">
        <f t="shared" si="603"/>
        <v>Lista 4</v>
      </c>
      <c r="X957" t="str">
        <f t="shared" si="604"/>
        <v>Lista 5</v>
      </c>
      <c r="Y957" t="str">
        <f t="shared" si="605"/>
        <v>Oferta Gral.</v>
      </c>
      <c r="Z957" t="str">
        <f t="shared" si="606"/>
        <v>Rubro</v>
      </c>
      <c r="AA957" t="str">
        <f t="shared" si="607"/>
        <v>Cantidad por Bulto</v>
      </c>
      <c r="AB957" t="str">
        <f t="shared" si="608"/>
        <v>INNER</v>
      </c>
      <c r="AC957" t="str">
        <f t="shared" si="609"/>
        <v>Stock en Bultos</v>
      </c>
      <c r="AD957" t="str">
        <f t="shared" si="610"/>
        <v>SubDepósito</v>
      </c>
      <c r="AE957" t="str">
        <f t="shared" si="611"/>
        <v>Marca</v>
      </c>
      <c r="AF957" t="str">
        <f t="shared" si="612"/>
        <v>Super Rubro</v>
      </c>
      <c r="AG957" t="str">
        <f t="shared" si="613"/>
        <v>ComercioExterior</v>
      </c>
      <c r="AH957" t="str">
        <f t="shared" si="614"/>
        <v>PrecioFOB</v>
      </c>
      <c r="AI957" t="str">
        <f t="shared" si="615"/>
        <v>Monto II</v>
      </c>
      <c r="AJ957" t="str">
        <f t="shared" si="616"/>
        <v>Porcentaje II</v>
      </c>
      <c r="AK957" t="str">
        <f t="shared" si="617"/>
        <v>Foto</v>
      </c>
      <c r="AL957" t="str">
        <f t="shared" si="635"/>
        <v xml:space="preserve"> </v>
      </c>
      <c r="AM957" t="str">
        <f t="shared" si="634"/>
        <v xml:space="preserve"> </v>
      </c>
    </row>
    <row r="958" spans="1:39" x14ac:dyDescent="0.25">
      <c r="A958" t="str">
        <f>"BA135358"</f>
        <v>BA135358</v>
      </c>
      <c r="B958" t="str">
        <f>"COJINETES BANCADA STD FIAT ARGO CRONOS 1.3 FIREFLY 8V"</f>
        <v>COJINETES BANCADA STD FIAT ARGO CRONOS 1.3 FIREFLY 8V</v>
      </c>
      <c r="C958" t="str">
        <f>"$ 20277,78"</f>
        <v>$ 20277,78</v>
      </c>
      <c r="D958" t="str">
        <f>"$ 20277,78"</f>
        <v>$ 20277,78</v>
      </c>
      <c r="E958" t="str">
        <f>"$ 20277,78"</f>
        <v>$ 20277,78</v>
      </c>
      <c r="F958" t="str">
        <f>"$ 20277,78"</f>
        <v>$ 20277,78</v>
      </c>
      <c r="G958" t="str">
        <f>"$ 20277,78"</f>
        <v>$ 20277,78</v>
      </c>
      <c r="H958" t="str">
        <f t="shared" si="600"/>
        <v>$ 0,00</v>
      </c>
      <c r="I958" t="str">
        <f t="shared" si="627"/>
        <v>JUEGO COJINETES BANCADA</v>
      </c>
      <c r="J958" t="str">
        <f t="shared" si="601"/>
        <v>1</v>
      </c>
      <c r="K958" t="str">
        <f t="shared" si="623"/>
        <v>0</v>
      </c>
      <c r="L958" t="str">
        <f>"5,000"</f>
        <v>5,000</v>
      </c>
      <c r="M958" t="str">
        <f t="shared" si="602"/>
        <v xml:space="preserve"> </v>
      </c>
      <c r="N958" t="str">
        <f t="shared" si="628"/>
        <v>MPSI</v>
      </c>
      <c r="O958" t="str">
        <f t="shared" si="629"/>
        <v>COJINETES</v>
      </c>
      <c r="P958" t="str">
        <f t="shared" si="631"/>
        <v>0</v>
      </c>
      <c r="Q958" t="str">
        <f t="shared" si="631"/>
        <v>0</v>
      </c>
      <c r="R958" t="str">
        <f t="shared" si="632"/>
        <v>0,00</v>
      </c>
      <c r="S958" t="str">
        <f t="shared" si="632"/>
        <v>0,00</v>
      </c>
      <c r="T958" t="str">
        <f t="shared" si="621"/>
        <v xml:space="preserve"> </v>
      </c>
      <c r="U958" t="str">
        <f t="shared" si="630"/>
        <v>-</v>
      </c>
      <c r="V958" t="str">
        <f>"5,000"</f>
        <v>5,000</v>
      </c>
      <c r="W958" t="str">
        <f t="shared" si="603"/>
        <v>Lista 4</v>
      </c>
      <c r="X958" t="str">
        <f t="shared" si="604"/>
        <v>Lista 5</v>
      </c>
      <c r="Y958" t="str">
        <f t="shared" si="605"/>
        <v>Oferta Gral.</v>
      </c>
      <c r="Z958" t="str">
        <f t="shared" si="606"/>
        <v>Rubro</v>
      </c>
      <c r="AA958" t="str">
        <f t="shared" si="607"/>
        <v>Cantidad por Bulto</v>
      </c>
      <c r="AB958" t="str">
        <f t="shared" si="608"/>
        <v>INNER</v>
      </c>
      <c r="AC958" t="str">
        <f t="shared" si="609"/>
        <v>Stock en Bultos</v>
      </c>
      <c r="AD958" t="str">
        <f t="shared" si="610"/>
        <v>SubDepósito</v>
      </c>
      <c r="AE958" t="str">
        <f t="shared" si="611"/>
        <v>Marca</v>
      </c>
      <c r="AF958" t="str">
        <f t="shared" si="612"/>
        <v>Super Rubro</v>
      </c>
      <c r="AG958" t="str">
        <f t="shared" si="613"/>
        <v>ComercioExterior</v>
      </c>
      <c r="AH958" t="str">
        <f t="shared" si="614"/>
        <v>PrecioFOB</v>
      </c>
      <c r="AI958" t="str">
        <f t="shared" si="615"/>
        <v>Monto II</v>
      </c>
      <c r="AJ958" t="str">
        <f t="shared" si="616"/>
        <v>Porcentaje II</v>
      </c>
      <c r="AK958" t="str">
        <f t="shared" si="617"/>
        <v>Foto</v>
      </c>
      <c r="AL958" t="str">
        <f t="shared" si="635"/>
        <v xml:space="preserve"> </v>
      </c>
      <c r="AM958" t="str">
        <f t="shared" si="634"/>
        <v xml:space="preserve"> </v>
      </c>
    </row>
    <row r="959" spans="1:39" x14ac:dyDescent="0.25">
      <c r="A959" t="str">
        <f>"BA135"</f>
        <v>BA135</v>
      </c>
      <c r="B959" t="str">
        <f>"COJINETES BANCADA STD FIAT DUNA DUCATO 1.7 1.9 DIESEL"</f>
        <v>COJINETES BANCADA STD FIAT DUNA DUCATO 1.7 1.9 DIESEL</v>
      </c>
      <c r="C959" t="str">
        <f>"$ 19699,02"</f>
        <v>$ 19699,02</v>
      </c>
      <c r="D959" t="str">
        <f>"$ 19699,02"</f>
        <v>$ 19699,02</v>
      </c>
      <c r="E959" t="str">
        <f>"$ 19699,02"</f>
        <v>$ 19699,02</v>
      </c>
      <c r="F959" t="str">
        <f>"$ 19699,02"</f>
        <v>$ 19699,02</v>
      </c>
      <c r="G959" t="str">
        <f>"$ 19699,02"</f>
        <v>$ 19699,02</v>
      </c>
      <c r="H959" t="str">
        <f t="shared" si="600"/>
        <v>$ 0,00</v>
      </c>
      <c r="I959" t="str">
        <f t="shared" si="627"/>
        <v>JUEGO COJINETES BANCADA</v>
      </c>
      <c r="J959" t="str">
        <f t="shared" si="601"/>
        <v>1</v>
      </c>
      <c r="K959" t="str">
        <f t="shared" si="623"/>
        <v>0</v>
      </c>
      <c r="L959" t="str">
        <f>"8,000"</f>
        <v>8,000</v>
      </c>
      <c r="M959" t="str">
        <f t="shared" si="602"/>
        <v xml:space="preserve"> </v>
      </c>
      <c r="N959" t="str">
        <f t="shared" si="628"/>
        <v>MPSI</v>
      </c>
      <c r="O959" t="str">
        <f t="shared" si="629"/>
        <v>COJINETES</v>
      </c>
      <c r="P959" t="str">
        <f t="shared" si="631"/>
        <v>0</v>
      </c>
      <c r="Q959" t="str">
        <f t="shared" si="631"/>
        <v>0</v>
      </c>
      <c r="R959" t="str">
        <f t="shared" si="632"/>
        <v>0,00</v>
      </c>
      <c r="S959" t="str">
        <f t="shared" si="632"/>
        <v>0,00</v>
      </c>
      <c r="T959" t="str">
        <f t="shared" si="621"/>
        <v xml:space="preserve"> </v>
      </c>
      <c r="U959" t="str">
        <f t="shared" si="630"/>
        <v>-</v>
      </c>
      <c r="V959" t="str">
        <f>"8,000"</f>
        <v>8,000</v>
      </c>
      <c r="W959" t="str">
        <f t="shared" si="603"/>
        <v>Lista 4</v>
      </c>
      <c r="X959" t="str">
        <f t="shared" si="604"/>
        <v>Lista 5</v>
      </c>
      <c r="Y959" t="str">
        <f t="shared" si="605"/>
        <v>Oferta Gral.</v>
      </c>
      <c r="Z959" t="str">
        <f t="shared" si="606"/>
        <v>Rubro</v>
      </c>
      <c r="AA959" t="str">
        <f t="shared" si="607"/>
        <v>Cantidad por Bulto</v>
      </c>
      <c r="AB959" t="str">
        <f t="shared" si="608"/>
        <v>INNER</v>
      </c>
      <c r="AC959" t="str">
        <f t="shared" si="609"/>
        <v>Stock en Bultos</v>
      </c>
      <c r="AD959" t="str">
        <f t="shared" si="610"/>
        <v>SubDepósito</v>
      </c>
      <c r="AE959" t="str">
        <f t="shared" si="611"/>
        <v>Marca</v>
      </c>
      <c r="AF959" t="str">
        <f t="shared" si="612"/>
        <v>Super Rubro</v>
      </c>
      <c r="AG959" t="str">
        <f t="shared" si="613"/>
        <v>ComercioExterior</v>
      </c>
      <c r="AH959" t="str">
        <f t="shared" si="614"/>
        <v>PrecioFOB</v>
      </c>
      <c r="AI959" t="str">
        <f t="shared" si="615"/>
        <v>Monto II</v>
      </c>
      <c r="AJ959" t="str">
        <f t="shared" si="616"/>
        <v>Porcentaje II</v>
      </c>
      <c r="AK959" t="str">
        <f t="shared" si="617"/>
        <v>Foto</v>
      </c>
      <c r="AL959" t="str">
        <f t="shared" si="635"/>
        <v xml:space="preserve"> </v>
      </c>
      <c r="AM959" t="str">
        <f t="shared" si="634"/>
        <v xml:space="preserve"> </v>
      </c>
    </row>
    <row r="960" spans="1:39" x14ac:dyDescent="0.25">
      <c r="A960" t="str">
        <f>"BA139"</f>
        <v>BA139</v>
      </c>
      <c r="B960" t="str">
        <f>"COJINETES BANCADA STD FIAT DUNA UNO 147 MOTOR TIPO 1.4 1.6"</f>
        <v>COJINETES BANCADA STD FIAT DUNA UNO 147 MOTOR TIPO 1.4 1.6</v>
      </c>
      <c r="C960" t="str">
        <f>"$ 18211,68"</f>
        <v>$ 18211,68</v>
      </c>
      <c r="D960" t="str">
        <f>"$ 18211,68"</f>
        <v>$ 18211,68</v>
      </c>
      <c r="E960" t="str">
        <f>"$ 18211,68"</f>
        <v>$ 18211,68</v>
      </c>
      <c r="F960" t="str">
        <f>"$ 18211,68"</f>
        <v>$ 18211,68</v>
      </c>
      <c r="G960" t="str">
        <f>"$ 18211,68"</f>
        <v>$ 18211,68</v>
      </c>
      <c r="H960" t="str">
        <f t="shared" si="600"/>
        <v>$ 0,00</v>
      </c>
      <c r="I960" t="str">
        <f t="shared" si="627"/>
        <v>JUEGO COJINETES BANCADA</v>
      </c>
      <c r="J960" t="str">
        <f t="shared" si="601"/>
        <v>1</v>
      </c>
      <c r="K960" t="str">
        <f t="shared" si="623"/>
        <v>0</v>
      </c>
      <c r="L960" t="str">
        <f>"25,000"</f>
        <v>25,000</v>
      </c>
      <c r="M960" t="str">
        <f t="shared" si="602"/>
        <v xml:space="preserve"> </v>
      </c>
      <c r="N960" t="str">
        <f t="shared" si="628"/>
        <v>MPSI</v>
      </c>
      <c r="O960" t="str">
        <f t="shared" si="629"/>
        <v>COJINETES</v>
      </c>
      <c r="P960" t="str">
        <f t="shared" si="631"/>
        <v>0</v>
      </c>
      <c r="Q960" t="str">
        <f t="shared" si="631"/>
        <v>0</v>
      </c>
      <c r="R960" t="str">
        <f t="shared" si="632"/>
        <v>0,00</v>
      </c>
      <c r="S960" t="str">
        <f t="shared" si="632"/>
        <v>0,00</v>
      </c>
      <c r="T960" t="str">
        <f t="shared" si="621"/>
        <v xml:space="preserve"> </v>
      </c>
      <c r="U960" t="str">
        <f t="shared" si="630"/>
        <v>-</v>
      </c>
      <c r="V960" t="str">
        <f>"25,000"</f>
        <v>25,000</v>
      </c>
      <c r="W960" t="str">
        <f t="shared" si="603"/>
        <v>Lista 4</v>
      </c>
      <c r="X960" t="str">
        <f t="shared" si="604"/>
        <v>Lista 5</v>
      </c>
      <c r="Y960" t="str">
        <f t="shared" si="605"/>
        <v>Oferta Gral.</v>
      </c>
      <c r="Z960" t="str">
        <f t="shared" si="606"/>
        <v>Rubro</v>
      </c>
      <c r="AA960" t="str">
        <f t="shared" si="607"/>
        <v>Cantidad por Bulto</v>
      </c>
      <c r="AB960" t="str">
        <f t="shared" si="608"/>
        <v>INNER</v>
      </c>
      <c r="AC960" t="str">
        <f t="shared" si="609"/>
        <v>Stock en Bultos</v>
      </c>
      <c r="AD960" t="str">
        <f t="shared" si="610"/>
        <v>SubDepósito</v>
      </c>
      <c r="AE960" t="str">
        <f t="shared" si="611"/>
        <v>Marca</v>
      </c>
      <c r="AF960" t="str">
        <f t="shared" si="612"/>
        <v>Super Rubro</v>
      </c>
      <c r="AG960" t="str">
        <f t="shared" si="613"/>
        <v>ComercioExterior</v>
      </c>
      <c r="AH960" t="str">
        <f t="shared" si="614"/>
        <v>PrecioFOB</v>
      </c>
      <c r="AI960" t="str">
        <f t="shared" si="615"/>
        <v>Monto II</v>
      </c>
      <c r="AJ960" t="str">
        <f t="shared" si="616"/>
        <v>Porcentaje II</v>
      </c>
      <c r="AK960" t="str">
        <f t="shared" si="617"/>
        <v>Foto</v>
      </c>
      <c r="AL960" t="str">
        <f t="shared" si="635"/>
        <v xml:space="preserve"> </v>
      </c>
      <c r="AM960" t="str">
        <f t="shared" si="634"/>
        <v xml:space="preserve"> </v>
      </c>
    </row>
    <row r="961" spans="1:39" x14ac:dyDescent="0.25">
      <c r="A961" t="str">
        <f>"BA172"</f>
        <v>BA172</v>
      </c>
      <c r="B961" t="str">
        <f>"COJINETES BANCADA STD FIAT PALIO SIENA ETORQ 1.6 16V"</f>
        <v>COJINETES BANCADA STD FIAT PALIO SIENA ETORQ 1.6 16V</v>
      </c>
      <c r="C961" t="str">
        <f>"$ 24672,23"</f>
        <v>$ 24672,23</v>
      </c>
      <c r="D961" t="str">
        <f>"$ 24672,23"</f>
        <v>$ 24672,23</v>
      </c>
      <c r="E961" t="str">
        <f>"$ 24672,23"</f>
        <v>$ 24672,23</v>
      </c>
      <c r="F961" t="str">
        <f>"$ 24672,23"</f>
        <v>$ 24672,23</v>
      </c>
      <c r="G961" t="str">
        <f>"$ 24672,23"</f>
        <v>$ 24672,23</v>
      </c>
      <c r="H961" t="str">
        <f t="shared" si="600"/>
        <v>$ 0,00</v>
      </c>
      <c r="I961" t="str">
        <f t="shared" si="627"/>
        <v>JUEGO COJINETES BANCADA</v>
      </c>
      <c r="J961" t="str">
        <f t="shared" si="601"/>
        <v>1</v>
      </c>
      <c r="K961" t="str">
        <f t="shared" si="623"/>
        <v>0</v>
      </c>
      <c r="L961" t="str">
        <f>"0,000"</f>
        <v>0,000</v>
      </c>
      <c r="M961" t="str">
        <f t="shared" si="602"/>
        <v xml:space="preserve"> </v>
      </c>
      <c r="N961" t="str">
        <f t="shared" si="628"/>
        <v>MPSI</v>
      </c>
      <c r="O961" t="str">
        <f t="shared" si="629"/>
        <v>COJINETES</v>
      </c>
      <c r="P961" t="str">
        <f t="shared" si="631"/>
        <v>0</v>
      </c>
      <c r="Q961" t="str">
        <f t="shared" si="631"/>
        <v>0</v>
      </c>
      <c r="R961" t="str">
        <f t="shared" si="632"/>
        <v>0,00</v>
      </c>
      <c r="S961" t="str">
        <f t="shared" si="632"/>
        <v>0,00</v>
      </c>
      <c r="T961" t="str">
        <f t="shared" si="621"/>
        <v xml:space="preserve"> </v>
      </c>
      <c r="U961" t="str">
        <f t="shared" si="630"/>
        <v>-</v>
      </c>
      <c r="V961" t="str">
        <f>"0,000"</f>
        <v>0,000</v>
      </c>
      <c r="W961" t="str">
        <f t="shared" si="603"/>
        <v>Lista 4</v>
      </c>
      <c r="X961" t="str">
        <f t="shared" si="604"/>
        <v>Lista 5</v>
      </c>
      <c r="Y961" t="str">
        <f t="shared" si="605"/>
        <v>Oferta Gral.</v>
      </c>
      <c r="Z961" t="str">
        <f t="shared" si="606"/>
        <v>Rubro</v>
      </c>
      <c r="AA961" t="str">
        <f t="shared" si="607"/>
        <v>Cantidad por Bulto</v>
      </c>
      <c r="AB961" t="str">
        <f t="shared" si="608"/>
        <v>INNER</v>
      </c>
      <c r="AC961" t="str">
        <f t="shared" si="609"/>
        <v>Stock en Bultos</v>
      </c>
      <c r="AD961" t="str">
        <f t="shared" si="610"/>
        <v>SubDepósito</v>
      </c>
      <c r="AE961" t="str">
        <f t="shared" si="611"/>
        <v>Marca</v>
      </c>
      <c r="AF961" t="str">
        <f t="shared" si="612"/>
        <v>Super Rubro</v>
      </c>
      <c r="AG961" t="str">
        <f t="shared" si="613"/>
        <v>ComercioExterior</v>
      </c>
      <c r="AH961" t="str">
        <f t="shared" si="614"/>
        <v>PrecioFOB</v>
      </c>
      <c r="AI961" t="str">
        <f t="shared" si="615"/>
        <v>Monto II</v>
      </c>
      <c r="AJ961" t="str">
        <f t="shared" si="616"/>
        <v>Porcentaje II</v>
      </c>
      <c r="AK961" t="str">
        <f t="shared" si="617"/>
        <v>Foto</v>
      </c>
      <c r="AL961" t="str">
        <f t="shared" si="635"/>
        <v xml:space="preserve"> </v>
      </c>
      <c r="AM961" t="str">
        <f t="shared" si="634"/>
        <v xml:space="preserve"> </v>
      </c>
    </row>
    <row r="962" spans="1:39" x14ac:dyDescent="0.25">
      <c r="A962" t="str">
        <f>"BA156"</f>
        <v>BA156</v>
      </c>
      <c r="B962" t="str">
        <f>"COJINETES BANCADA STD FIAT PALIO SIENA FIRE 1.3 1.4 8V Y 16V"</f>
        <v>COJINETES BANCADA STD FIAT PALIO SIENA FIRE 1.3 1.4 8V Y 16V</v>
      </c>
      <c r="C962" t="str">
        <f>"$ 21467,31"</f>
        <v>$ 21467,31</v>
      </c>
      <c r="D962" t="str">
        <f>"$ 21467,31"</f>
        <v>$ 21467,31</v>
      </c>
      <c r="E962" t="str">
        <f>"$ 21467,31"</f>
        <v>$ 21467,31</v>
      </c>
      <c r="F962" t="str">
        <f>"$ 21467,31"</f>
        <v>$ 21467,31</v>
      </c>
      <c r="G962" t="str">
        <f>"$ 21467,31"</f>
        <v>$ 21467,31</v>
      </c>
      <c r="H962" t="str">
        <f t="shared" si="600"/>
        <v>$ 0,00</v>
      </c>
      <c r="I962" t="str">
        <f t="shared" si="627"/>
        <v>JUEGO COJINETES BANCADA</v>
      </c>
      <c r="J962" t="str">
        <f t="shared" si="601"/>
        <v>1</v>
      </c>
      <c r="K962" t="str">
        <f t="shared" si="623"/>
        <v>0</v>
      </c>
      <c r="L962" t="str">
        <f>"24,000"</f>
        <v>24,000</v>
      </c>
      <c r="M962" t="str">
        <f t="shared" si="602"/>
        <v xml:space="preserve"> </v>
      </c>
      <c r="N962" t="str">
        <f t="shared" si="628"/>
        <v>MPSI</v>
      </c>
      <c r="O962" t="str">
        <f t="shared" si="629"/>
        <v>COJINETES</v>
      </c>
      <c r="P962" t="str">
        <f t="shared" si="631"/>
        <v>0</v>
      </c>
      <c r="Q962" t="str">
        <f t="shared" si="631"/>
        <v>0</v>
      </c>
      <c r="R962" t="str">
        <f t="shared" si="632"/>
        <v>0,00</v>
      </c>
      <c r="S962" t="str">
        <f t="shared" si="632"/>
        <v>0,00</v>
      </c>
      <c r="T962" t="str">
        <f t="shared" si="621"/>
        <v xml:space="preserve"> </v>
      </c>
      <c r="U962" t="str">
        <f t="shared" si="630"/>
        <v>-</v>
      </c>
      <c r="V962" t="str">
        <f>"24,000"</f>
        <v>24,000</v>
      </c>
      <c r="W962" t="str">
        <f t="shared" si="603"/>
        <v>Lista 4</v>
      </c>
      <c r="X962" t="str">
        <f t="shared" si="604"/>
        <v>Lista 5</v>
      </c>
      <c r="Y962" t="str">
        <f t="shared" si="605"/>
        <v>Oferta Gral.</v>
      </c>
      <c r="Z962" t="str">
        <f t="shared" si="606"/>
        <v>Rubro</v>
      </c>
      <c r="AA962" t="str">
        <f t="shared" si="607"/>
        <v>Cantidad por Bulto</v>
      </c>
      <c r="AB962" t="str">
        <f t="shared" si="608"/>
        <v>INNER</v>
      </c>
      <c r="AC962" t="str">
        <f t="shared" si="609"/>
        <v>Stock en Bultos</v>
      </c>
      <c r="AD962" t="str">
        <f t="shared" si="610"/>
        <v>SubDepósito</v>
      </c>
      <c r="AE962" t="str">
        <f t="shared" si="611"/>
        <v>Marca</v>
      </c>
      <c r="AF962" t="str">
        <f t="shared" si="612"/>
        <v>Super Rubro</v>
      </c>
      <c r="AG962" t="str">
        <f t="shared" si="613"/>
        <v>ComercioExterior</v>
      </c>
      <c r="AH962" t="str">
        <f t="shared" si="614"/>
        <v>PrecioFOB</v>
      </c>
      <c r="AI962" t="str">
        <f t="shared" si="615"/>
        <v>Monto II</v>
      </c>
      <c r="AJ962" t="str">
        <f t="shared" si="616"/>
        <v>Porcentaje II</v>
      </c>
      <c r="AK962" t="str">
        <f t="shared" si="617"/>
        <v>Foto</v>
      </c>
      <c r="AL962" t="str">
        <f>"{\rtf1\ansi\ansicpg1252\deff0\deflang2058{\fonttbl{\f0\fnil\fcharset0 MS Sans Serif}} \viewkind4\uc1\pard\f0\fs16 COJINETES BANCADA STD FIAT PALIO SIENA FIRE 1.3 1.4 8V Y 16V\par } "</f>
        <v xml:space="preserve">{\rtf1\ansi\ansicpg1252\deff0\deflang2058{\fonttbl{\f0\fnil\fcharset0 MS Sans Serif}} \viewkind4\uc1\pard\f0\fs16 COJINETES BANCADA STD FIAT PALIO SIENA FIRE 1.3 1.4 8V Y 16V\par } </v>
      </c>
      <c r="AM962" t="str">
        <f t="shared" si="634"/>
        <v xml:space="preserve"> </v>
      </c>
    </row>
    <row r="963" spans="1:39" x14ac:dyDescent="0.25">
      <c r="A963" t="str">
        <f>"BA135378"</f>
        <v>BA135378</v>
      </c>
      <c r="B963" t="str">
        <f>"COJINETES BANCADA STD FIAT TORO MULTIJET 2.0 16 V 170 CV DIESEL"</f>
        <v>COJINETES BANCADA STD FIAT TORO MULTIJET 2.0 16 V 170 CV DIESEL</v>
      </c>
      <c r="C963" t="str">
        <f>"$ 7820,63"</f>
        <v>$ 7820,63</v>
      </c>
      <c r="D963" t="str">
        <f>"$ 7820,63"</f>
        <v>$ 7820,63</v>
      </c>
      <c r="E963" t="str">
        <f>"$ 7820,63"</f>
        <v>$ 7820,63</v>
      </c>
      <c r="F963" t="str">
        <f>"$ 7820,63"</f>
        <v>$ 7820,63</v>
      </c>
      <c r="G963" t="str">
        <f>"$ 7820,63"</f>
        <v>$ 7820,63</v>
      </c>
      <c r="H963" t="str">
        <f t="shared" ref="H963:H1026" si="636">"$ 0,00"</f>
        <v>$ 0,00</v>
      </c>
      <c r="I963" t="str">
        <f t="shared" si="627"/>
        <v>JUEGO COJINETES BANCADA</v>
      </c>
      <c r="J963" t="str">
        <f t="shared" ref="J963:J1026" si="637">"1"</f>
        <v>1</v>
      </c>
      <c r="K963" t="str">
        <f t="shared" si="623"/>
        <v>0</v>
      </c>
      <c r="L963" t="str">
        <f>"0,000"</f>
        <v>0,000</v>
      </c>
      <c r="M963" t="str">
        <f t="shared" ref="M963:M1026" si="638">" "</f>
        <v xml:space="preserve"> </v>
      </c>
      <c r="N963" t="str">
        <f t="shared" si="628"/>
        <v>MPSI</v>
      </c>
      <c r="O963" t="str">
        <f t="shared" si="629"/>
        <v>COJINETES</v>
      </c>
      <c r="P963" t="str">
        <f t="shared" ref="P963:Q982" si="639">"0"</f>
        <v>0</v>
      </c>
      <c r="Q963" t="str">
        <f t="shared" si="639"/>
        <v>0</v>
      </c>
      <c r="R963" t="str">
        <f t="shared" ref="R963:S982" si="640">"0,00"</f>
        <v>0,00</v>
      </c>
      <c r="S963" t="str">
        <f t="shared" si="640"/>
        <v>0,00</v>
      </c>
      <c r="T963" t="str">
        <f t="shared" si="621"/>
        <v xml:space="preserve"> </v>
      </c>
      <c r="U963" t="str">
        <f t="shared" si="630"/>
        <v>-</v>
      </c>
      <c r="V963" t="str">
        <f>"0,000"</f>
        <v>0,000</v>
      </c>
      <c r="W963" t="str">
        <f t="shared" ref="W963:W1026" si="641">"Lista 4"</f>
        <v>Lista 4</v>
      </c>
      <c r="X963" t="str">
        <f t="shared" ref="X963:X1026" si="642">"Lista 5"</f>
        <v>Lista 5</v>
      </c>
      <c r="Y963" t="str">
        <f t="shared" ref="Y963:Y1026" si="643">"Oferta Gral."</f>
        <v>Oferta Gral.</v>
      </c>
      <c r="Z963" t="str">
        <f t="shared" ref="Z963:Z1026" si="644">"Rubro"</f>
        <v>Rubro</v>
      </c>
      <c r="AA963" t="str">
        <f t="shared" ref="AA963:AA1026" si="645">"Cantidad por Bulto"</f>
        <v>Cantidad por Bulto</v>
      </c>
      <c r="AB963" t="str">
        <f t="shared" ref="AB963:AB1026" si="646">"INNER"</f>
        <v>INNER</v>
      </c>
      <c r="AC963" t="str">
        <f t="shared" ref="AC963:AC1026" si="647">"Stock en Bultos"</f>
        <v>Stock en Bultos</v>
      </c>
      <c r="AD963" t="str">
        <f t="shared" ref="AD963:AD1026" si="648">"SubDepósito"</f>
        <v>SubDepósito</v>
      </c>
      <c r="AE963" t="str">
        <f t="shared" ref="AE963:AE1026" si="649">"Marca"</f>
        <v>Marca</v>
      </c>
      <c r="AF963" t="str">
        <f t="shared" ref="AF963:AF1026" si="650">"Super Rubro"</f>
        <v>Super Rubro</v>
      </c>
      <c r="AG963" t="str">
        <f t="shared" ref="AG963:AG1026" si="651">"ComercioExterior"</f>
        <v>ComercioExterior</v>
      </c>
      <c r="AH963" t="str">
        <f t="shared" ref="AH963:AH1026" si="652">"PrecioFOB"</f>
        <v>PrecioFOB</v>
      </c>
      <c r="AI963" t="str">
        <f t="shared" ref="AI963:AI1026" si="653">"Monto II"</f>
        <v>Monto II</v>
      </c>
      <c r="AJ963" t="str">
        <f t="shared" ref="AJ963:AJ1026" si="654">"Porcentaje II"</f>
        <v>Porcentaje II</v>
      </c>
      <c r="AK963" t="str">
        <f t="shared" ref="AK963:AK1026" si="655">"Foto"</f>
        <v>Foto</v>
      </c>
      <c r="AL963" t="str">
        <f>"{\rtf1\ansi\ansicpg1252\deff0\deflang11274{\fonttbl{\f0\fnil\fcharset0 MS Sans Serif}} \viewkind4\uc1\pard\f0\fs16 COJINETES BANCADA STD FIAT TORO MULTIJET 2.0 16 V 170 CV DIESEL\par } "</f>
        <v xml:space="preserve">{\rtf1\ansi\ansicpg1252\deff0\deflang11274{\fonttbl{\f0\fnil\fcharset0 MS Sans Serif}} \viewkind4\uc1\pard\f0\fs16 COJINETES BANCADA STD FIAT TORO MULTIJET 2.0 16 V 170 CV DIESEL\par } </v>
      </c>
      <c r="AM963" t="str">
        <f t="shared" si="634"/>
        <v xml:space="preserve"> </v>
      </c>
    </row>
    <row r="964" spans="1:39" x14ac:dyDescent="0.25">
      <c r="A964" t="str">
        <f>"BA199"</f>
        <v>BA199</v>
      </c>
      <c r="B964" t="str">
        <f>"COJINETES BANCADA STD FORD FALCON F100 3.0 3.6"</f>
        <v>COJINETES BANCADA STD FORD FALCON F100 3.0 3.6</v>
      </c>
      <c r="C964" t="str">
        <f>"$ 41910,00"</f>
        <v>$ 41910,00</v>
      </c>
      <c r="D964" t="str">
        <f>"$ 41910,00"</f>
        <v>$ 41910,00</v>
      </c>
      <c r="E964" t="str">
        <f>"$ 41910,00"</f>
        <v>$ 41910,00</v>
      </c>
      <c r="F964" t="str">
        <f>"$ 41910,00"</f>
        <v>$ 41910,00</v>
      </c>
      <c r="G964" t="str">
        <f>"$ 41910,00"</f>
        <v>$ 41910,00</v>
      </c>
      <c r="H964" t="str">
        <f t="shared" si="636"/>
        <v>$ 0,00</v>
      </c>
      <c r="I964" t="str">
        <f t="shared" si="627"/>
        <v>JUEGO COJINETES BANCADA</v>
      </c>
      <c r="J964" t="str">
        <f t="shared" si="637"/>
        <v>1</v>
      </c>
      <c r="K964" t="str">
        <f t="shared" si="623"/>
        <v>0</v>
      </c>
      <c r="L964" t="str">
        <f>"10,000"</f>
        <v>10,000</v>
      </c>
      <c r="M964" t="str">
        <f t="shared" si="638"/>
        <v xml:space="preserve"> </v>
      </c>
      <c r="N964" t="str">
        <f t="shared" si="628"/>
        <v>MPSI</v>
      </c>
      <c r="O964" t="str">
        <f t="shared" si="629"/>
        <v>COJINETES</v>
      </c>
      <c r="P964" t="str">
        <f t="shared" si="639"/>
        <v>0</v>
      </c>
      <c r="Q964" t="str">
        <f t="shared" si="639"/>
        <v>0</v>
      </c>
      <c r="R964" t="str">
        <f t="shared" si="640"/>
        <v>0,00</v>
      </c>
      <c r="S964" t="str">
        <f t="shared" si="640"/>
        <v>0,00</v>
      </c>
      <c r="T964" t="str">
        <f t="shared" si="621"/>
        <v xml:space="preserve"> </v>
      </c>
      <c r="U964" t="str">
        <f t="shared" si="630"/>
        <v>-</v>
      </c>
      <c r="V964" t="str">
        <f>"10,000"</f>
        <v>10,000</v>
      </c>
      <c r="W964" t="str">
        <f t="shared" si="641"/>
        <v>Lista 4</v>
      </c>
      <c r="X964" t="str">
        <f t="shared" si="642"/>
        <v>Lista 5</v>
      </c>
      <c r="Y964" t="str">
        <f t="shared" si="643"/>
        <v>Oferta Gral.</v>
      </c>
      <c r="Z964" t="str">
        <f t="shared" si="644"/>
        <v>Rubro</v>
      </c>
      <c r="AA964" t="str">
        <f t="shared" si="645"/>
        <v>Cantidad por Bulto</v>
      </c>
      <c r="AB964" t="str">
        <f t="shared" si="646"/>
        <v>INNER</v>
      </c>
      <c r="AC964" t="str">
        <f t="shared" si="647"/>
        <v>Stock en Bultos</v>
      </c>
      <c r="AD964" t="str">
        <f t="shared" si="648"/>
        <v>SubDepósito</v>
      </c>
      <c r="AE964" t="str">
        <f t="shared" si="649"/>
        <v>Marca</v>
      </c>
      <c r="AF964" t="str">
        <f t="shared" si="650"/>
        <v>Super Rubro</v>
      </c>
      <c r="AG964" t="str">
        <f t="shared" si="651"/>
        <v>ComercioExterior</v>
      </c>
      <c r="AH964" t="str">
        <f t="shared" si="652"/>
        <v>PrecioFOB</v>
      </c>
      <c r="AI964" t="str">
        <f t="shared" si="653"/>
        <v>Monto II</v>
      </c>
      <c r="AJ964" t="str">
        <f t="shared" si="654"/>
        <v>Porcentaje II</v>
      </c>
      <c r="AK964" t="str">
        <f t="shared" si="655"/>
        <v>Foto</v>
      </c>
      <c r="AL964" t="str">
        <f>"{\rtf1\ansi\ansicpg1252\deff0\deflang2058{\fonttbl{\f0\fnil\fcharset0 MS Sans Serif}} \viewkind4\uc1\pard\f0\fs16 COJINETES BANCADA STD FORD FALCON F100 3.0 3.6\par } "</f>
        <v xml:space="preserve">{\rtf1\ansi\ansicpg1252\deff0\deflang2058{\fonttbl{\f0\fnil\fcharset0 MS Sans Serif}} \viewkind4\uc1\pard\f0\fs16 COJINETES BANCADA STD FORD FALCON F100 3.0 3.6\par } </v>
      </c>
      <c r="AM964" t="str">
        <f t="shared" si="634"/>
        <v xml:space="preserve"> </v>
      </c>
    </row>
    <row r="965" spans="1:39" x14ac:dyDescent="0.25">
      <c r="A965" t="str">
        <f>"BA775"</f>
        <v>BA775</v>
      </c>
      <c r="B965" t="str">
        <f>"COJINETES BANCADA STD FORD FIESTA 1.3 ENDURA VARILLERO"</f>
        <v>COJINETES BANCADA STD FORD FIESTA 1.3 ENDURA VARILLERO</v>
      </c>
      <c r="C965" t="str">
        <f>"$ 18327,36"</f>
        <v>$ 18327,36</v>
      </c>
      <c r="D965" t="str">
        <f>"$ 18327,36"</f>
        <v>$ 18327,36</v>
      </c>
      <c r="E965" t="str">
        <f>"$ 18327,36"</f>
        <v>$ 18327,36</v>
      </c>
      <c r="F965" t="str">
        <f>"$ 18327,36"</f>
        <v>$ 18327,36</v>
      </c>
      <c r="G965" t="str">
        <f>"$ 18327,36"</f>
        <v>$ 18327,36</v>
      </c>
      <c r="H965" t="str">
        <f t="shared" si="636"/>
        <v>$ 0,00</v>
      </c>
      <c r="I965" t="str">
        <f t="shared" si="627"/>
        <v>JUEGO COJINETES BANCADA</v>
      </c>
      <c r="J965" t="str">
        <f t="shared" si="637"/>
        <v>1</v>
      </c>
      <c r="K965" t="str">
        <f t="shared" si="623"/>
        <v>0</v>
      </c>
      <c r="L965" t="str">
        <f>"1,000"</f>
        <v>1,000</v>
      </c>
      <c r="M965" t="str">
        <f t="shared" si="638"/>
        <v xml:space="preserve"> </v>
      </c>
      <c r="N965" t="str">
        <f t="shared" si="628"/>
        <v>MPSI</v>
      </c>
      <c r="O965" t="str">
        <f t="shared" si="629"/>
        <v>COJINETES</v>
      </c>
      <c r="P965" t="str">
        <f t="shared" si="639"/>
        <v>0</v>
      </c>
      <c r="Q965" t="str">
        <f t="shared" si="639"/>
        <v>0</v>
      </c>
      <c r="R965" t="str">
        <f t="shared" si="640"/>
        <v>0,00</v>
      </c>
      <c r="S965" t="str">
        <f t="shared" si="640"/>
        <v>0,00</v>
      </c>
      <c r="T965" t="str">
        <f t="shared" si="621"/>
        <v xml:space="preserve"> </v>
      </c>
      <c r="U965" t="str">
        <f t="shared" si="630"/>
        <v>-</v>
      </c>
      <c r="V965" t="str">
        <f>"1,000"</f>
        <v>1,000</v>
      </c>
      <c r="W965" t="str">
        <f t="shared" si="641"/>
        <v>Lista 4</v>
      </c>
      <c r="X965" t="str">
        <f t="shared" si="642"/>
        <v>Lista 5</v>
      </c>
      <c r="Y965" t="str">
        <f t="shared" si="643"/>
        <v>Oferta Gral.</v>
      </c>
      <c r="Z965" t="str">
        <f t="shared" si="644"/>
        <v>Rubro</v>
      </c>
      <c r="AA965" t="str">
        <f t="shared" si="645"/>
        <v>Cantidad por Bulto</v>
      </c>
      <c r="AB965" t="str">
        <f t="shared" si="646"/>
        <v>INNER</v>
      </c>
      <c r="AC965" t="str">
        <f t="shared" si="647"/>
        <v>Stock en Bultos</v>
      </c>
      <c r="AD965" t="str">
        <f t="shared" si="648"/>
        <v>SubDepósito</v>
      </c>
      <c r="AE965" t="str">
        <f t="shared" si="649"/>
        <v>Marca</v>
      </c>
      <c r="AF965" t="str">
        <f t="shared" si="650"/>
        <v>Super Rubro</v>
      </c>
      <c r="AG965" t="str">
        <f t="shared" si="651"/>
        <v>ComercioExterior</v>
      </c>
      <c r="AH965" t="str">
        <f t="shared" si="652"/>
        <v>PrecioFOB</v>
      </c>
      <c r="AI965" t="str">
        <f t="shared" si="653"/>
        <v>Monto II</v>
      </c>
      <c r="AJ965" t="str">
        <f t="shared" si="654"/>
        <v>Porcentaje II</v>
      </c>
      <c r="AK965" t="str">
        <f t="shared" si="655"/>
        <v>Foto</v>
      </c>
      <c r="AL965" t="str">
        <f>"{\rtf1\ansi\ansicpg1252\deff0\deflang2058{\fonttbl{\f0\fnil\fcharset0 MS Sans Serif}} \viewkind4\uc1\pard\f0\fs16 COJINETES BANCADA STD FORD FIESTA 1.3 ENDURA VARILLERO\par } "</f>
        <v xml:space="preserve">{\rtf1\ansi\ansicpg1252\deff0\deflang2058{\fonttbl{\f0\fnil\fcharset0 MS Sans Serif}} \viewkind4\uc1\pard\f0\fs16 COJINETES BANCADA STD FORD FIESTA 1.3 ENDURA VARILLERO\par } </v>
      </c>
      <c r="AM965" t="str">
        <f t="shared" si="634"/>
        <v xml:space="preserve"> </v>
      </c>
    </row>
    <row r="966" spans="1:39" x14ac:dyDescent="0.25">
      <c r="A966" t="str">
        <f>"BA679"</f>
        <v>BA679</v>
      </c>
      <c r="B966" t="str">
        <f>"COJINETES BANCADA STD FORD FIESTA 1.4 TDCI PEUGEOT 307 1.6 HDI"</f>
        <v>COJINETES BANCADA STD FORD FIESTA 1.4 TDCI PEUGEOT 307 1.6 HDI</v>
      </c>
      <c r="C966" t="str">
        <f>"$ 19086,06"</f>
        <v>$ 19086,06</v>
      </c>
      <c r="D966" t="str">
        <f>"$ 19086,06"</f>
        <v>$ 19086,06</v>
      </c>
      <c r="E966" t="str">
        <f>"$ 19086,06"</f>
        <v>$ 19086,06</v>
      </c>
      <c r="F966" t="str">
        <f>"$ 19086,06"</f>
        <v>$ 19086,06</v>
      </c>
      <c r="G966" t="str">
        <f>"$ 19086,06"</f>
        <v>$ 19086,06</v>
      </c>
      <c r="H966" t="str">
        <f t="shared" si="636"/>
        <v>$ 0,00</v>
      </c>
      <c r="I966" t="str">
        <f t="shared" si="627"/>
        <v>JUEGO COJINETES BANCADA</v>
      </c>
      <c r="J966" t="str">
        <f t="shared" si="637"/>
        <v>1</v>
      </c>
      <c r="K966" t="str">
        <f t="shared" si="623"/>
        <v>0</v>
      </c>
      <c r="L966" t="str">
        <f>"14,000"</f>
        <v>14,000</v>
      </c>
      <c r="M966" t="str">
        <f t="shared" si="638"/>
        <v xml:space="preserve"> </v>
      </c>
      <c r="N966" t="str">
        <f t="shared" si="628"/>
        <v>MPSI</v>
      </c>
      <c r="O966" t="str">
        <f t="shared" si="629"/>
        <v>COJINETES</v>
      </c>
      <c r="P966" t="str">
        <f t="shared" si="639"/>
        <v>0</v>
      </c>
      <c r="Q966" t="str">
        <f t="shared" si="639"/>
        <v>0</v>
      </c>
      <c r="R966" t="str">
        <f t="shared" si="640"/>
        <v>0,00</v>
      </c>
      <c r="S966" t="str">
        <f t="shared" si="640"/>
        <v>0,00</v>
      </c>
      <c r="T966" t="str">
        <f t="shared" si="621"/>
        <v xml:space="preserve"> </v>
      </c>
      <c r="U966" t="str">
        <f t="shared" si="630"/>
        <v>-</v>
      </c>
      <c r="V966" t="str">
        <f>"14,000"</f>
        <v>14,000</v>
      </c>
      <c r="W966" t="str">
        <f t="shared" si="641"/>
        <v>Lista 4</v>
      </c>
      <c r="X966" t="str">
        <f t="shared" si="642"/>
        <v>Lista 5</v>
      </c>
      <c r="Y966" t="str">
        <f t="shared" si="643"/>
        <v>Oferta Gral.</v>
      </c>
      <c r="Z966" t="str">
        <f t="shared" si="644"/>
        <v>Rubro</v>
      </c>
      <c r="AA966" t="str">
        <f t="shared" si="645"/>
        <v>Cantidad por Bulto</v>
      </c>
      <c r="AB966" t="str">
        <f t="shared" si="646"/>
        <v>INNER</v>
      </c>
      <c r="AC966" t="str">
        <f t="shared" si="647"/>
        <v>Stock en Bultos</v>
      </c>
      <c r="AD966" t="str">
        <f t="shared" si="648"/>
        <v>SubDepósito</v>
      </c>
      <c r="AE966" t="str">
        <f t="shared" si="649"/>
        <v>Marca</v>
      </c>
      <c r="AF966" t="str">
        <f t="shared" si="650"/>
        <v>Super Rubro</v>
      </c>
      <c r="AG966" t="str">
        <f t="shared" si="651"/>
        <v>ComercioExterior</v>
      </c>
      <c r="AH966" t="str">
        <f t="shared" si="652"/>
        <v>PrecioFOB</v>
      </c>
      <c r="AI966" t="str">
        <f t="shared" si="653"/>
        <v>Monto II</v>
      </c>
      <c r="AJ966" t="str">
        <f t="shared" si="654"/>
        <v>Porcentaje II</v>
      </c>
      <c r="AK966" t="str">
        <f t="shared" si="655"/>
        <v>Foto</v>
      </c>
      <c r="AL966" t="str">
        <f t="shared" ref="AL966:AL981" si="656">" "</f>
        <v xml:space="preserve"> </v>
      </c>
      <c r="AM966" t="str">
        <f t="shared" si="634"/>
        <v xml:space="preserve"> </v>
      </c>
    </row>
    <row r="967" spans="1:39" x14ac:dyDescent="0.25">
      <c r="A967" t="str">
        <f>"BA776"</f>
        <v>BA776</v>
      </c>
      <c r="B967" t="str">
        <f>"COJINETES BANCADA STD FORD FIESTA COURIER FOCUS 1.8 DIESEL"</f>
        <v>COJINETES BANCADA STD FORD FIESTA COURIER FOCUS 1.8 DIESEL</v>
      </c>
      <c r="C967" t="str">
        <f>"$ 20343,54"</f>
        <v>$ 20343,54</v>
      </c>
      <c r="D967" t="str">
        <f>"$ 20343,54"</f>
        <v>$ 20343,54</v>
      </c>
      <c r="E967" t="str">
        <f>"$ 20343,54"</f>
        <v>$ 20343,54</v>
      </c>
      <c r="F967" t="str">
        <f>"$ 20343,54"</f>
        <v>$ 20343,54</v>
      </c>
      <c r="G967" t="str">
        <f>"$ 20343,54"</f>
        <v>$ 20343,54</v>
      </c>
      <c r="H967" t="str">
        <f t="shared" si="636"/>
        <v>$ 0,00</v>
      </c>
      <c r="I967" t="str">
        <f t="shared" si="627"/>
        <v>JUEGO COJINETES BANCADA</v>
      </c>
      <c r="J967" t="str">
        <f t="shared" si="637"/>
        <v>1</v>
      </c>
      <c r="K967" t="str">
        <f t="shared" si="623"/>
        <v>0</v>
      </c>
      <c r="L967" t="str">
        <f>"7,000"</f>
        <v>7,000</v>
      </c>
      <c r="M967" t="str">
        <f t="shared" si="638"/>
        <v xml:space="preserve"> </v>
      </c>
      <c r="N967" t="str">
        <f t="shared" si="628"/>
        <v>MPSI</v>
      </c>
      <c r="O967" t="str">
        <f t="shared" si="629"/>
        <v>COJINETES</v>
      </c>
      <c r="P967" t="str">
        <f t="shared" si="639"/>
        <v>0</v>
      </c>
      <c r="Q967" t="str">
        <f t="shared" si="639"/>
        <v>0</v>
      </c>
      <c r="R967" t="str">
        <f t="shared" si="640"/>
        <v>0,00</v>
      </c>
      <c r="S967" t="str">
        <f t="shared" si="640"/>
        <v>0,00</v>
      </c>
      <c r="T967" t="str">
        <f t="shared" si="621"/>
        <v xml:space="preserve"> </v>
      </c>
      <c r="U967" t="str">
        <f t="shared" si="630"/>
        <v>-</v>
      </c>
      <c r="V967" t="str">
        <f>"7,000"</f>
        <v>7,000</v>
      </c>
      <c r="W967" t="str">
        <f t="shared" si="641"/>
        <v>Lista 4</v>
      </c>
      <c r="X967" t="str">
        <f t="shared" si="642"/>
        <v>Lista 5</v>
      </c>
      <c r="Y967" t="str">
        <f t="shared" si="643"/>
        <v>Oferta Gral.</v>
      </c>
      <c r="Z967" t="str">
        <f t="shared" si="644"/>
        <v>Rubro</v>
      </c>
      <c r="AA967" t="str">
        <f t="shared" si="645"/>
        <v>Cantidad por Bulto</v>
      </c>
      <c r="AB967" t="str">
        <f t="shared" si="646"/>
        <v>INNER</v>
      </c>
      <c r="AC967" t="str">
        <f t="shared" si="647"/>
        <v>Stock en Bultos</v>
      </c>
      <c r="AD967" t="str">
        <f t="shared" si="648"/>
        <v>SubDepósito</v>
      </c>
      <c r="AE967" t="str">
        <f t="shared" si="649"/>
        <v>Marca</v>
      </c>
      <c r="AF967" t="str">
        <f t="shared" si="650"/>
        <v>Super Rubro</v>
      </c>
      <c r="AG967" t="str">
        <f t="shared" si="651"/>
        <v>ComercioExterior</v>
      </c>
      <c r="AH967" t="str">
        <f t="shared" si="652"/>
        <v>PrecioFOB</v>
      </c>
      <c r="AI967" t="str">
        <f t="shared" si="653"/>
        <v>Monto II</v>
      </c>
      <c r="AJ967" t="str">
        <f t="shared" si="654"/>
        <v>Porcentaje II</v>
      </c>
      <c r="AK967" t="str">
        <f t="shared" si="655"/>
        <v>Foto</v>
      </c>
      <c r="AL967" t="str">
        <f t="shared" si="656"/>
        <v xml:space="preserve"> </v>
      </c>
      <c r="AM967" t="str">
        <f t="shared" si="634"/>
        <v xml:space="preserve"> </v>
      </c>
    </row>
    <row r="968" spans="1:39" x14ac:dyDescent="0.25">
      <c r="A968" t="str">
        <f>"BA771"</f>
        <v>BA771</v>
      </c>
      <c r="B968" t="str">
        <f>"COJINETES BANCADA STD FORD FOCUS FIESTA SIGMA 1.6 16V"</f>
        <v>COJINETES BANCADA STD FORD FOCUS FIESTA SIGMA 1.6 16V</v>
      </c>
      <c r="C968" t="str">
        <f>"$ 26646,01"</f>
        <v>$ 26646,01</v>
      </c>
      <c r="D968" t="str">
        <f>"$ 26646,01"</f>
        <v>$ 26646,01</v>
      </c>
      <c r="E968" t="str">
        <f>"$ 26646,01"</f>
        <v>$ 26646,01</v>
      </c>
      <c r="F968" t="str">
        <f>"$ 26646,01"</f>
        <v>$ 26646,01</v>
      </c>
      <c r="G968" t="str">
        <f>"$ 26646,01"</f>
        <v>$ 26646,01</v>
      </c>
      <c r="H968" t="str">
        <f t="shared" si="636"/>
        <v>$ 0,00</v>
      </c>
      <c r="I968" t="str">
        <f t="shared" si="627"/>
        <v>JUEGO COJINETES BANCADA</v>
      </c>
      <c r="J968" t="str">
        <f t="shared" si="637"/>
        <v>1</v>
      </c>
      <c r="K968" t="str">
        <f t="shared" si="623"/>
        <v>0</v>
      </c>
      <c r="L968" t="str">
        <f>"7,000"</f>
        <v>7,000</v>
      </c>
      <c r="M968" t="str">
        <f t="shared" si="638"/>
        <v xml:space="preserve"> </v>
      </c>
      <c r="N968" t="str">
        <f t="shared" si="628"/>
        <v>MPSI</v>
      </c>
      <c r="O968" t="str">
        <f t="shared" si="629"/>
        <v>COJINETES</v>
      </c>
      <c r="P968" t="str">
        <f t="shared" si="639"/>
        <v>0</v>
      </c>
      <c r="Q968" t="str">
        <f t="shared" si="639"/>
        <v>0</v>
      </c>
      <c r="R968" t="str">
        <f t="shared" si="640"/>
        <v>0,00</v>
      </c>
      <c r="S968" t="str">
        <f t="shared" si="640"/>
        <v>0,00</v>
      </c>
      <c r="T968" t="str">
        <f t="shared" si="621"/>
        <v xml:space="preserve"> </v>
      </c>
      <c r="U968" t="str">
        <f t="shared" si="630"/>
        <v>-</v>
      </c>
      <c r="V968" t="str">
        <f>"7,000"</f>
        <v>7,000</v>
      </c>
      <c r="W968" t="str">
        <f t="shared" si="641"/>
        <v>Lista 4</v>
      </c>
      <c r="X968" t="str">
        <f t="shared" si="642"/>
        <v>Lista 5</v>
      </c>
      <c r="Y968" t="str">
        <f t="shared" si="643"/>
        <v>Oferta Gral.</v>
      </c>
      <c r="Z968" t="str">
        <f t="shared" si="644"/>
        <v>Rubro</v>
      </c>
      <c r="AA968" t="str">
        <f t="shared" si="645"/>
        <v>Cantidad por Bulto</v>
      </c>
      <c r="AB968" t="str">
        <f t="shared" si="646"/>
        <v>INNER</v>
      </c>
      <c r="AC968" t="str">
        <f t="shared" si="647"/>
        <v>Stock en Bultos</v>
      </c>
      <c r="AD968" t="str">
        <f t="shared" si="648"/>
        <v>SubDepósito</v>
      </c>
      <c r="AE968" t="str">
        <f t="shared" si="649"/>
        <v>Marca</v>
      </c>
      <c r="AF968" t="str">
        <f t="shared" si="650"/>
        <v>Super Rubro</v>
      </c>
      <c r="AG968" t="str">
        <f t="shared" si="651"/>
        <v>ComercioExterior</v>
      </c>
      <c r="AH968" t="str">
        <f t="shared" si="652"/>
        <v>PrecioFOB</v>
      </c>
      <c r="AI968" t="str">
        <f t="shared" si="653"/>
        <v>Monto II</v>
      </c>
      <c r="AJ968" t="str">
        <f t="shared" si="654"/>
        <v>Porcentaje II</v>
      </c>
      <c r="AK968" t="str">
        <f t="shared" si="655"/>
        <v>Foto</v>
      </c>
      <c r="AL968" t="str">
        <f t="shared" si="656"/>
        <v xml:space="preserve"> </v>
      </c>
      <c r="AM968" t="str">
        <f t="shared" si="634"/>
        <v xml:space="preserve"> </v>
      </c>
    </row>
    <row r="969" spans="1:39" x14ac:dyDescent="0.25">
      <c r="A969" t="str">
        <f>"BA165647"</f>
        <v>BA165647</v>
      </c>
      <c r="B969" t="str">
        <f>"COJINETES BANCADA STD FORD FOCUS MONDEO DURATEC 2.0 16V"</f>
        <v>COJINETES BANCADA STD FORD FOCUS MONDEO DURATEC 2.0 16V</v>
      </c>
      <c r="C969" t="str">
        <f>"$ 42455,36"</f>
        <v>$ 42455,36</v>
      </c>
      <c r="D969" t="str">
        <f>"$ 42455,36"</f>
        <v>$ 42455,36</v>
      </c>
      <c r="E969" t="str">
        <f>"$ 42455,36"</f>
        <v>$ 42455,36</v>
      </c>
      <c r="F969" t="str">
        <f>"$ 42455,36"</f>
        <v>$ 42455,36</v>
      </c>
      <c r="G969" t="str">
        <f>"$ 42455,36"</f>
        <v>$ 42455,36</v>
      </c>
      <c r="H969" t="str">
        <f t="shared" si="636"/>
        <v>$ 0,00</v>
      </c>
      <c r="I969" t="str">
        <f t="shared" si="627"/>
        <v>JUEGO COJINETES BANCADA</v>
      </c>
      <c r="J969" t="str">
        <f t="shared" si="637"/>
        <v>1</v>
      </c>
      <c r="K969" t="str">
        <f t="shared" si="623"/>
        <v>0</v>
      </c>
      <c r="L969" t="str">
        <f>"4,000"</f>
        <v>4,000</v>
      </c>
      <c r="M969" t="str">
        <f t="shared" si="638"/>
        <v xml:space="preserve"> </v>
      </c>
      <c r="N969" t="str">
        <f t="shared" si="628"/>
        <v>MPSI</v>
      </c>
      <c r="O969" t="str">
        <f t="shared" si="629"/>
        <v>COJINETES</v>
      </c>
      <c r="P969" t="str">
        <f t="shared" si="639"/>
        <v>0</v>
      </c>
      <c r="Q969" t="str">
        <f t="shared" si="639"/>
        <v>0</v>
      </c>
      <c r="R969" t="str">
        <f t="shared" si="640"/>
        <v>0,00</v>
      </c>
      <c r="S969" t="str">
        <f t="shared" si="640"/>
        <v>0,00</v>
      </c>
      <c r="T969" t="str">
        <f t="shared" si="621"/>
        <v xml:space="preserve"> </v>
      </c>
      <c r="U969" t="str">
        <f t="shared" si="630"/>
        <v>-</v>
      </c>
      <c r="V969" t="str">
        <f>"4,000"</f>
        <v>4,000</v>
      </c>
      <c r="W969" t="str">
        <f t="shared" si="641"/>
        <v>Lista 4</v>
      </c>
      <c r="X969" t="str">
        <f t="shared" si="642"/>
        <v>Lista 5</v>
      </c>
      <c r="Y969" t="str">
        <f t="shared" si="643"/>
        <v>Oferta Gral.</v>
      </c>
      <c r="Z969" t="str">
        <f t="shared" si="644"/>
        <v>Rubro</v>
      </c>
      <c r="AA969" t="str">
        <f t="shared" si="645"/>
        <v>Cantidad por Bulto</v>
      </c>
      <c r="AB969" t="str">
        <f t="shared" si="646"/>
        <v>INNER</v>
      </c>
      <c r="AC969" t="str">
        <f t="shared" si="647"/>
        <v>Stock en Bultos</v>
      </c>
      <c r="AD969" t="str">
        <f t="shared" si="648"/>
        <v>SubDepósito</v>
      </c>
      <c r="AE969" t="str">
        <f t="shared" si="649"/>
        <v>Marca</v>
      </c>
      <c r="AF969" t="str">
        <f t="shared" si="650"/>
        <v>Super Rubro</v>
      </c>
      <c r="AG969" t="str">
        <f t="shared" si="651"/>
        <v>ComercioExterior</v>
      </c>
      <c r="AH969" t="str">
        <f t="shared" si="652"/>
        <v>PrecioFOB</v>
      </c>
      <c r="AI969" t="str">
        <f t="shared" si="653"/>
        <v>Monto II</v>
      </c>
      <c r="AJ969" t="str">
        <f t="shared" si="654"/>
        <v>Porcentaje II</v>
      </c>
      <c r="AK969" t="str">
        <f t="shared" si="655"/>
        <v>Foto</v>
      </c>
      <c r="AL969" t="str">
        <f t="shared" si="656"/>
        <v xml:space="preserve"> </v>
      </c>
      <c r="AM969" t="str">
        <f t="shared" si="634"/>
        <v xml:space="preserve"> </v>
      </c>
    </row>
    <row r="970" spans="1:39" x14ac:dyDescent="0.25">
      <c r="A970" t="str">
        <f>"BA165198"</f>
        <v>BA165198</v>
      </c>
      <c r="B970" t="str">
        <f>"COJINETES BANCADA STD FORD RANGER 2.2 PUMA TDCI 125HP"</f>
        <v>COJINETES BANCADA STD FORD RANGER 2.2 PUMA TDCI 125HP</v>
      </c>
      <c r="C970" t="str">
        <f>"$ 35881,80"</f>
        <v>$ 35881,80</v>
      </c>
      <c r="D970" t="str">
        <f>"$ 35881,80"</f>
        <v>$ 35881,80</v>
      </c>
      <c r="E970" t="str">
        <f>"$ 35881,80"</f>
        <v>$ 35881,80</v>
      </c>
      <c r="F970" t="str">
        <f>"$ 35881,80"</f>
        <v>$ 35881,80</v>
      </c>
      <c r="G970" t="str">
        <f>"$ 35881,80"</f>
        <v>$ 35881,80</v>
      </c>
      <c r="H970" t="str">
        <f t="shared" si="636"/>
        <v>$ 0,00</v>
      </c>
      <c r="I970" t="str">
        <f t="shared" si="627"/>
        <v>JUEGO COJINETES BANCADA</v>
      </c>
      <c r="J970" t="str">
        <f t="shared" si="637"/>
        <v>1</v>
      </c>
      <c r="K970" t="str">
        <f t="shared" si="623"/>
        <v>0</v>
      </c>
      <c r="L970" t="str">
        <f>"2,000"</f>
        <v>2,000</v>
      </c>
      <c r="M970" t="str">
        <f t="shared" si="638"/>
        <v xml:space="preserve"> </v>
      </c>
      <c r="N970" t="str">
        <f t="shared" si="628"/>
        <v>MPSI</v>
      </c>
      <c r="O970" t="str">
        <f t="shared" si="629"/>
        <v>COJINETES</v>
      </c>
      <c r="P970" t="str">
        <f t="shared" si="639"/>
        <v>0</v>
      </c>
      <c r="Q970" t="str">
        <f t="shared" si="639"/>
        <v>0</v>
      </c>
      <c r="R970" t="str">
        <f t="shared" si="640"/>
        <v>0,00</v>
      </c>
      <c r="S970" t="str">
        <f t="shared" si="640"/>
        <v>0,00</v>
      </c>
      <c r="T970" t="str">
        <f t="shared" si="621"/>
        <v xml:space="preserve"> </v>
      </c>
      <c r="U970" t="str">
        <f t="shared" si="630"/>
        <v>-</v>
      </c>
      <c r="V970" t="str">
        <f>"2,000"</f>
        <v>2,000</v>
      </c>
      <c r="W970" t="str">
        <f t="shared" si="641"/>
        <v>Lista 4</v>
      </c>
      <c r="X970" t="str">
        <f t="shared" si="642"/>
        <v>Lista 5</v>
      </c>
      <c r="Y970" t="str">
        <f t="shared" si="643"/>
        <v>Oferta Gral.</v>
      </c>
      <c r="Z970" t="str">
        <f t="shared" si="644"/>
        <v>Rubro</v>
      </c>
      <c r="AA970" t="str">
        <f t="shared" si="645"/>
        <v>Cantidad por Bulto</v>
      </c>
      <c r="AB970" t="str">
        <f t="shared" si="646"/>
        <v>INNER</v>
      </c>
      <c r="AC970" t="str">
        <f t="shared" si="647"/>
        <v>Stock en Bultos</v>
      </c>
      <c r="AD970" t="str">
        <f t="shared" si="648"/>
        <v>SubDepósito</v>
      </c>
      <c r="AE970" t="str">
        <f t="shared" si="649"/>
        <v>Marca</v>
      </c>
      <c r="AF970" t="str">
        <f t="shared" si="650"/>
        <v>Super Rubro</v>
      </c>
      <c r="AG970" t="str">
        <f t="shared" si="651"/>
        <v>ComercioExterior</v>
      </c>
      <c r="AH970" t="str">
        <f t="shared" si="652"/>
        <v>PrecioFOB</v>
      </c>
      <c r="AI970" t="str">
        <f t="shared" si="653"/>
        <v>Monto II</v>
      </c>
      <c r="AJ970" t="str">
        <f t="shared" si="654"/>
        <v>Porcentaje II</v>
      </c>
      <c r="AK970" t="str">
        <f t="shared" si="655"/>
        <v>Foto</v>
      </c>
      <c r="AL970" t="str">
        <f t="shared" si="656"/>
        <v xml:space="preserve"> </v>
      </c>
      <c r="AM970" t="str">
        <f t="shared" si="634"/>
        <v xml:space="preserve"> </v>
      </c>
    </row>
    <row r="971" spans="1:39" x14ac:dyDescent="0.25">
      <c r="A971" t="str">
        <f>"BA404"</f>
        <v>BA404</v>
      </c>
      <c r="B971" t="str">
        <f>"COJINETES BANCADA STD FORD RANGER 2.8 3.0 POWER STROKE"</f>
        <v>COJINETES BANCADA STD FORD RANGER 2.8 3.0 POWER STROKE</v>
      </c>
      <c r="C971" t="str">
        <f>"$ 30183,91"</f>
        <v>$ 30183,91</v>
      </c>
      <c r="D971" t="str">
        <f>"$ 30183,91"</f>
        <v>$ 30183,91</v>
      </c>
      <c r="E971" t="str">
        <f>"$ 30183,91"</f>
        <v>$ 30183,91</v>
      </c>
      <c r="F971" t="str">
        <f>"$ 30183,91"</f>
        <v>$ 30183,91</v>
      </c>
      <c r="G971" t="str">
        <f>"$ 30183,91"</f>
        <v>$ 30183,91</v>
      </c>
      <c r="H971" t="str">
        <f t="shared" si="636"/>
        <v>$ 0,00</v>
      </c>
      <c r="I971" t="str">
        <f t="shared" si="627"/>
        <v>JUEGO COJINETES BANCADA</v>
      </c>
      <c r="J971" t="str">
        <f t="shared" si="637"/>
        <v>1</v>
      </c>
      <c r="K971" t="str">
        <f t="shared" si="623"/>
        <v>0</v>
      </c>
      <c r="L971" t="str">
        <f>"7,000"</f>
        <v>7,000</v>
      </c>
      <c r="M971" t="str">
        <f t="shared" si="638"/>
        <v xml:space="preserve"> </v>
      </c>
      <c r="N971" t="str">
        <f t="shared" si="628"/>
        <v>MPSI</v>
      </c>
      <c r="O971" t="str">
        <f t="shared" si="629"/>
        <v>COJINETES</v>
      </c>
      <c r="P971" t="str">
        <f t="shared" si="639"/>
        <v>0</v>
      </c>
      <c r="Q971" t="str">
        <f t="shared" si="639"/>
        <v>0</v>
      </c>
      <c r="R971" t="str">
        <f t="shared" si="640"/>
        <v>0,00</v>
      </c>
      <c r="S971" t="str">
        <f t="shared" si="640"/>
        <v>0,00</v>
      </c>
      <c r="T971" t="str">
        <f t="shared" si="621"/>
        <v xml:space="preserve"> </v>
      </c>
      <c r="U971" t="str">
        <f t="shared" si="630"/>
        <v>-</v>
      </c>
      <c r="V971" t="str">
        <f>"7,000"</f>
        <v>7,000</v>
      </c>
      <c r="W971" t="str">
        <f t="shared" si="641"/>
        <v>Lista 4</v>
      </c>
      <c r="X971" t="str">
        <f t="shared" si="642"/>
        <v>Lista 5</v>
      </c>
      <c r="Y971" t="str">
        <f t="shared" si="643"/>
        <v>Oferta Gral.</v>
      </c>
      <c r="Z971" t="str">
        <f t="shared" si="644"/>
        <v>Rubro</v>
      </c>
      <c r="AA971" t="str">
        <f t="shared" si="645"/>
        <v>Cantidad por Bulto</v>
      </c>
      <c r="AB971" t="str">
        <f t="shared" si="646"/>
        <v>INNER</v>
      </c>
      <c r="AC971" t="str">
        <f t="shared" si="647"/>
        <v>Stock en Bultos</v>
      </c>
      <c r="AD971" t="str">
        <f t="shared" si="648"/>
        <v>SubDepósito</v>
      </c>
      <c r="AE971" t="str">
        <f t="shared" si="649"/>
        <v>Marca</v>
      </c>
      <c r="AF971" t="str">
        <f t="shared" si="650"/>
        <v>Super Rubro</v>
      </c>
      <c r="AG971" t="str">
        <f t="shared" si="651"/>
        <v>ComercioExterior</v>
      </c>
      <c r="AH971" t="str">
        <f t="shared" si="652"/>
        <v>PrecioFOB</v>
      </c>
      <c r="AI971" t="str">
        <f t="shared" si="653"/>
        <v>Monto II</v>
      </c>
      <c r="AJ971" t="str">
        <f t="shared" si="654"/>
        <v>Porcentaje II</v>
      </c>
      <c r="AK971" t="str">
        <f t="shared" si="655"/>
        <v>Foto</v>
      </c>
      <c r="AL971" t="str">
        <f t="shared" si="656"/>
        <v xml:space="preserve"> </v>
      </c>
      <c r="AM971" t="str">
        <f t="shared" si="634"/>
        <v xml:space="preserve"> </v>
      </c>
    </row>
    <row r="972" spans="1:39" x14ac:dyDescent="0.25">
      <c r="A972" t="str">
        <f>"BA166200"</f>
        <v>BA166200</v>
      </c>
      <c r="B972" t="str">
        <f>"COJINETES BANCADA STD FORD RANGER 3.2 PUMA TDCI 200HP 5 CIL"</f>
        <v>COJINETES BANCADA STD FORD RANGER 3.2 PUMA TDCI 200HP 5 CIL</v>
      </c>
      <c r="C972" t="str">
        <f>"$ 38954,19"</f>
        <v>$ 38954,19</v>
      </c>
      <c r="D972" t="str">
        <f>"$ 38954,19"</f>
        <v>$ 38954,19</v>
      </c>
      <c r="E972" t="str">
        <f>"$ 38954,19"</f>
        <v>$ 38954,19</v>
      </c>
      <c r="F972" t="str">
        <f>"$ 38954,19"</f>
        <v>$ 38954,19</v>
      </c>
      <c r="G972" t="str">
        <f>"$ 38954,19"</f>
        <v>$ 38954,19</v>
      </c>
      <c r="H972" t="str">
        <f t="shared" si="636"/>
        <v>$ 0,00</v>
      </c>
      <c r="I972" t="str">
        <f t="shared" si="627"/>
        <v>JUEGO COJINETES BANCADA</v>
      </c>
      <c r="J972" t="str">
        <f t="shared" si="637"/>
        <v>1</v>
      </c>
      <c r="K972" t="str">
        <f t="shared" si="623"/>
        <v>0</v>
      </c>
      <c r="L972" t="str">
        <f>"9,000"</f>
        <v>9,000</v>
      </c>
      <c r="M972" t="str">
        <f t="shared" si="638"/>
        <v xml:space="preserve"> </v>
      </c>
      <c r="N972" t="str">
        <f t="shared" si="628"/>
        <v>MPSI</v>
      </c>
      <c r="O972" t="str">
        <f t="shared" si="629"/>
        <v>COJINETES</v>
      </c>
      <c r="P972" t="str">
        <f t="shared" si="639"/>
        <v>0</v>
      </c>
      <c r="Q972" t="str">
        <f t="shared" si="639"/>
        <v>0</v>
      </c>
      <c r="R972" t="str">
        <f t="shared" si="640"/>
        <v>0,00</v>
      </c>
      <c r="S972" t="str">
        <f t="shared" si="640"/>
        <v>0,00</v>
      </c>
      <c r="T972" t="str">
        <f t="shared" si="621"/>
        <v xml:space="preserve"> </v>
      </c>
      <c r="U972" t="str">
        <f t="shared" si="630"/>
        <v>-</v>
      </c>
      <c r="V972" t="str">
        <f>"9,000"</f>
        <v>9,000</v>
      </c>
      <c r="W972" t="str">
        <f t="shared" si="641"/>
        <v>Lista 4</v>
      </c>
      <c r="X972" t="str">
        <f t="shared" si="642"/>
        <v>Lista 5</v>
      </c>
      <c r="Y972" t="str">
        <f t="shared" si="643"/>
        <v>Oferta Gral.</v>
      </c>
      <c r="Z972" t="str">
        <f t="shared" si="644"/>
        <v>Rubro</v>
      </c>
      <c r="AA972" t="str">
        <f t="shared" si="645"/>
        <v>Cantidad por Bulto</v>
      </c>
      <c r="AB972" t="str">
        <f t="shared" si="646"/>
        <v>INNER</v>
      </c>
      <c r="AC972" t="str">
        <f t="shared" si="647"/>
        <v>Stock en Bultos</v>
      </c>
      <c r="AD972" t="str">
        <f t="shared" si="648"/>
        <v>SubDepósito</v>
      </c>
      <c r="AE972" t="str">
        <f t="shared" si="649"/>
        <v>Marca</v>
      </c>
      <c r="AF972" t="str">
        <f t="shared" si="650"/>
        <v>Super Rubro</v>
      </c>
      <c r="AG972" t="str">
        <f t="shared" si="651"/>
        <v>ComercioExterior</v>
      </c>
      <c r="AH972" t="str">
        <f t="shared" si="652"/>
        <v>PrecioFOB</v>
      </c>
      <c r="AI972" t="str">
        <f t="shared" si="653"/>
        <v>Monto II</v>
      </c>
      <c r="AJ972" t="str">
        <f t="shared" si="654"/>
        <v>Porcentaje II</v>
      </c>
      <c r="AK972" t="str">
        <f t="shared" si="655"/>
        <v>Foto</v>
      </c>
      <c r="AL972" t="str">
        <f t="shared" si="656"/>
        <v xml:space="preserve"> </v>
      </c>
      <c r="AM972" t="str">
        <f t="shared" si="634"/>
        <v xml:space="preserve"> </v>
      </c>
    </row>
    <row r="973" spans="1:39" x14ac:dyDescent="0.25">
      <c r="A973" t="str">
        <f>"BA203"</f>
        <v>BA203</v>
      </c>
      <c r="B973" t="str">
        <f>"COJINETES BANCADA STD FORD SIERRA 1600"</f>
        <v>COJINETES BANCADA STD FORD SIERRA 1600</v>
      </c>
      <c r="C973" t="str">
        <f>"$ 24057,75"</f>
        <v>$ 24057,75</v>
      </c>
      <c r="D973" t="str">
        <f>"$ 24057,75"</f>
        <v>$ 24057,75</v>
      </c>
      <c r="E973" t="str">
        <f>"$ 24057,75"</f>
        <v>$ 24057,75</v>
      </c>
      <c r="F973" t="str">
        <f>"$ 24057,75"</f>
        <v>$ 24057,75</v>
      </c>
      <c r="G973" t="str">
        <f>"$ 24057,75"</f>
        <v>$ 24057,75</v>
      </c>
      <c r="H973" t="str">
        <f t="shared" si="636"/>
        <v>$ 0,00</v>
      </c>
      <c r="I973" t="str">
        <f t="shared" si="627"/>
        <v>JUEGO COJINETES BANCADA</v>
      </c>
      <c r="J973" t="str">
        <f t="shared" si="637"/>
        <v>1</v>
      </c>
      <c r="K973" t="str">
        <f t="shared" si="623"/>
        <v>0</v>
      </c>
      <c r="L973" t="str">
        <f>"4,000"</f>
        <v>4,000</v>
      </c>
      <c r="M973" t="str">
        <f t="shared" si="638"/>
        <v xml:space="preserve"> </v>
      </c>
      <c r="N973" t="str">
        <f t="shared" si="628"/>
        <v>MPSI</v>
      </c>
      <c r="O973" t="str">
        <f t="shared" si="629"/>
        <v>COJINETES</v>
      </c>
      <c r="P973" t="str">
        <f t="shared" si="639"/>
        <v>0</v>
      </c>
      <c r="Q973" t="str">
        <f t="shared" si="639"/>
        <v>0</v>
      </c>
      <c r="R973" t="str">
        <f t="shared" si="640"/>
        <v>0,00</v>
      </c>
      <c r="S973" t="str">
        <f t="shared" si="640"/>
        <v>0,00</v>
      </c>
      <c r="T973" t="str">
        <f t="shared" si="621"/>
        <v xml:space="preserve"> </v>
      </c>
      <c r="U973" t="str">
        <f t="shared" si="630"/>
        <v>-</v>
      </c>
      <c r="V973" t="str">
        <f>"4,000"</f>
        <v>4,000</v>
      </c>
      <c r="W973" t="str">
        <f t="shared" si="641"/>
        <v>Lista 4</v>
      </c>
      <c r="X973" t="str">
        <f t="shared" si="642"/>
        <v>Lista 5</v>
      </c>
      <c r="Y973" t="str">
        <f t="shared" si="643"/>
        <v>Oferta Gral.</v>
      </c>
      <c r="Z973" t="str">
        <f t="shared" si="644"/>
        <v>Rubro</v>
      </c>
      <c r="AA973" t="str">
        <f t="shared" si="645"/>
        <v>Cantidad por Bulto</v>
      </c>
      <c r="AB973" t="str">
        <f t="shared" si="646"/>
        <v>INNER</v>
      </c>
      <c r="AC973" t="str">
        <f t="shared" si="647"/>
        <v>Stock en Bultos</v>
      </c>
      <c r="AD973" t="str">
        <f t="shared" si="648"/>
        <v>SubDepósito</v>
      </c>
      <c r="AE973" t="str">
        <f t="shared" si="649"/>
        <v>Marca</v>
      </c>
      <c r="AF973" t="str">
        <f t="shared" si="650"/>
        <v>Super Rubro</v>
      </c>
      <c r="AG973" t="str">
        <f t="shared" si="651"/>
        <v>ComercioExterior</v>
      </c>
      <c r="AH973" t="str">
        <f t="shared" si="652"/>
        <v>PrecioFOB</v>
      </c>
      <c r="AI973" t="str">
        <f t="shared" si="653"/>
        <v>Monto II</v>
      </c>
      <c r="AJ973" t="str">
        <f t="shared" si="654"/>
        <v>Porcentaje II</v>
      </c>
      <c r="AK973" t="str">
        <f t="shared" si="655"/>
        <v>Foto</v>
      </c>
      <c r="AL973" t="str">
        <f t="shared" si="656"/>
        <v xml:space="preserve"> </v>
      </c>
      <c r="AM973" t="str">
        <f t="shared" si="634"/>
        <v xml:space="preserve"> </v>
      </c>
    </row>
    <row r="974" spans="1:39" x14ac:dyDescent="0.25">
      <c r="A974" t="str">
        <f>"BA201"</f>
        <v>BA201</v>
      </c>
      <c r="B974" t="str">
        <f>"COJINETES BANCADA STD FORD TAUNUS 2.0 2.3"</f>
        <v>COJINETES BANCADA STD FORD TAUNUS 2.0 2.3</v>
      </c>
      <c r="C974" t="str">
        <f>"$ 44894,15"</f>
        <v>$ 44894,15</v>
      </c>
      <c r="D974" t="str">
        <f>"$ 44894,15"</f>
        <v>$ 44894,15</v>
      </c>
      <c r="E974" t="str">
        <f>"$ 44894,15"</f>
        <v>$ 44894,15</v>
      </c>
      <c r="F974" t="str">
        <f>"$ 44894,15"</f>
        <v>$ 44894,15</v>
      </c>
      <c r="G974" t="str">
        <f>"$ 44894,15"</f>
        <v>$ 44894,15</v>
      </c>
      <c r="H974" t="str">
        <f t="shared" si="636"/>
        <v>$ 0,00</v>
      </c>
      <c r="I974" t="str">
        <f t="shared" si="627"/>
        <v>JUEGO COJINETES BANCADA</v>
      </c>
      <c r="J974" t="str">
        <f t="shared" si="637"/>
        <v>1</v>
      </c>
      <c r="K974" t="str">
        <f t="shared" si="623"/>
        <v>0</v>
      </c>
      <c r="L974" t="str">
        <f>"4,000"</f>
        <v>4,000</v>
      </c>
      <c r="M974" t="str">
        <f t="shared" si="638"/>
        <v xml:space="preserve"> </v>
      </c>
      <c r="N974" t="str">
        <f t="shared" si="628"/>
        <v>MPSI</v>
      </c>
      <c r="O974" t="str">
        <f t="shared" si="629"/>
        <v>COJINETES</v>
      </c>
      <c r="P974" t="str">
        <f t="shared" si="639"/>
        <v>0</v>
      </c>
      <c r="Q974" t="str">
        <f t="shared" si="639"/>
        <v>0</v>
      </c>
      <c r="R974" t="str">
        <f t="shared" si="640"/>
        <v>0,00</v>
      </c>
      <c r="S974" t="str">
        <f t="shared" si="640"/>
        <v>0,00</v>
      </c>
      <c r="T974" t="str">
        <f t="shared" si="621"/>
        <v xml:space="preserve"> </v>
      </c>
      <c r="U974" t="str">
        <f t="shared" si="630"/>
        <v>-</v>
      </c>
      <c r="V974" t="str">
        <f>"4,000"</f>
        <v>4,000</v>
      </c>
      <c r="W974" t="str">
        <f t="shared" si="641"/>
        <v>Lista 4</v>
      </c>
      <c r="X974" t="str">
        <f t="shared" si="642"/>
        <v>Lista 5</v>
      </c>
      <c r="Y974" t="str">
        <f t="shared" si="643"/>
        <v>Oferta Gral.</v>
      </c>
      <c r="Z974" t="str">
        <f t="shared" si="644"/>
        <v>Rubro</v>
      </c>
      <c r="AA974" t="str">
        <f t="shared" si="645"/>
        <v>Cantidad por Bulto</v>
      </c>
      <c r="AB974" t="str">
        <f t="shared" si="646"/>
        <v>INNER</v>
      </c>
      <c r="AC974" t="str">
        <f t="shared" si="647"/>
        <v>Stock en Bultos</v>
      </c>
      <c r="AD974" t="str">
        <f t="shared" si="648"/>
        <v>SubDepósito</v>
      </c>
      <c r="AE974" t="str">
        <f t="shared" si="649"/>
        <v>Marca</v>
      </c>
      <c r="AF974" t="str">
        <f t="shared" si="650"/>
        <v>Super Rubro</v>
      </c>
      <c r="AG974" t="str">
        <f t="shared" si="651"/>
        <v>ComercioExterior</v>
      </c>
      <c r="AH974" t="str">
        <f t="shared" si="652"/>
        <v>PrecioFOB</v>
      </c>
      <c r="AI974" t="str">
        <f t="shared" si="653"/>
        <v>Monto II</v>
      </c>
      <c r="AJ974" t="str">
        <f t="shared" si="654"/>
        <v>Porcentaje II</v>
      </c>
      <c r="AK974" t="str">
        <f t="shared" si="655"/>
        <v>Foto</v>
      </c>
      <c r="AL974" t="str">
        <f t="shared" si="656"/>
        <v xml:space="preserve"> </v>
      </c>
      <c r="AM974" t="str">
        <f t="shared" si="634"/>
        <v xml:space="preserve"> </v>
      </c>
    </row>
    <row r="975" spans="1:39" x14ac:dyDescent="0.25">
      <c r="A975" t="str">
        <f>"BA774"</f>
        <v>BA774</v>
      </c>
      <c r="B975" t="str">
        <f>"COJINETES BANCADA STD FORD TRANSIT 2,5 DIESEL 2401E"</f>
        <v>COJINETES BANCADA STD FORD TRANSIT 2,5 DIESEL 2401E</v>
      </c>
      <c r="C975" t="str">
        <f>"$ 30314,26"</f>
        <v>$ 30314,26</v>
      </c>
      <c r="D975" t="str">
        <f>"$ 30314,26"</f>
        <v>$ 30314,26</v>
      </c>
      <c r="E975" t="str">
        <f>"$ 30314,26"</f>
        <v>$ 30314,26</v>
      </c>
      <c r="F975" t="str">
        <f>"$ 30314,26"</f>
        <v>$ 30314,26</v>
      </c>
      <c r="G975" t="str">
        <f>"$ 30314,26"</f>
        <v>$ 30314,26</v>
      </c>
      <c r="H975" t="str">
        <f t="shared" si="636"/>
        <v>$ 0,00</v>
      </c>
      <c r="I975" t="str">
        <f t="shared" si="627"/>
        <v>JUEGO COJINETES BANCADA</v>
      </c>
      <c r="J975" t="str">
        <f t="shared" si="637"/>
        <v>1</v>
      </c>
      <c r="K975" t="str">
        <f t="shared" si="623"/>
        <v>0</v>
      </c>
      <c r="L975" t="str">
        <f>"0,000"</f>
        <v>0,000</v>
      </c>
      <c r="M975" t="str">
        <f t="shared" si="638"/>
        <v xml:space="preserve"> </v>
      </c>
      <c r="N975" t="str">
        <f t="shared" si="628"/>
        <v>MPSI</v>
      </c>
      <c r="O975" t="str">
        <f t="shared" si="629"/>
        <v>COJINETES</v>
      </c>
      <c r="P975" t="str">
        <f t="shared" si="639"/>
        <v>0</v>
      </c>
      <c r="Q975" t="str">
        <f t="shared" si="639"/>
        <v>0</v>
      </c>
      <c r="R975" t="str">
        <f t="shared" si="640"/>
        <v>0,00</v>
      </c>
      <c r="S975" t="str">
        <f t="shared" si="640"/>
        <v>0,00</v>
      </c>
      <c r="T975" t="str">
        <f t="shared" si="621"/>
        <v xml:space="preserve"> </v>
      </c>
      <c r="U975" t="str">
        <f t="shared" si="630"/>
        <v>-</v>
      </c>
      <c r="V975" t="str">
        <f>"0,000"</f>
        <v>0,000</v>
      </c>
      <c r="W975" t="str">
        <f t="shared" si="641"/>
        <v>Lista 4</v>
      </c>
      <c r="X975" t="str">
        <f t="shared" si="642"/>
        <v>Lista 5</v>
      </c>
      <c r="Y975" t="str">
        <f t="shared" si="643"/>
        <v>Oferta Gral.</v>
      </c>
      <c r="Z975" t="str">
        <f t="shared" si="644"/>
        <v>Rubro</v>
      </c>
      <c r="AA975" t="str">
        <f t="shared" si="645"/>
        <v>Cantidad por Bulto</v>
      </c>
      <c r="AB975" t="str">
        <f t="shared" si="646"/>
        <v>INNER</v>
      </c>
      <c r="AC975" t="str">
        <f t="shared" si="647"/>
        <v>Stock en Bultos</v>
      </c>
      <c r="AD975" t="str">
        <f t="shared" si="648"/>
        <v>SubDepósito</v>
      </c>
      <c r="AE975" t="str">
        <f t="shared" si="649"/>
        <v>Marca</v>
      </c>
      <c r="AF975" t="str">
        <f t="shared" si="650"/>
        <v>Super Rubro</v>
      </c>
      <c r="AG975" t="str">
        <f t="shared" si="651"/>
        <v>ComercioExterior</v>
      </c>
      <c r="AH975" t="str">
        <f t="shared" si="652"/>
        <v>PrecioFOB</v>
      </c>
      <c r="AI975" t="str">
        <f t="shared" si="653"/>
        <v>Monto II</v>
      </c>
      <c r="AJ975" t="str">
        <f t="shared" si="654"/>
        <v>Porcentaje II</v>
      </c>
      <c r="AK975" t="str">
        <f t="shared" si="655"/>
        <v>Foto</v>
      </c>
      <c r="AL975" t="str">
        <f t="shared" si="656"/>
        <v xml:space="preserve"> </v>
      </c>
      <c r="AM975" t="str">
        <f t="shared" si="634"/>
        <v xml:space="preserve"> </v>
      </c>
    </row>
    <row r="976" spans="1:39" x14ac:dyDescent="0.25">
      <c r="A976" t="str">
        <f>"BA165211"</f>
        <v>BA165211</v>
      </c>
      <c r="B976" t="str">
        <f>"COJINETES BANCADA STD FORD TRANSIT 2.4 MONDEO 2.2 TDCI"</f>
        <v>COJINETES BANCADA STD FORD TRANSIT 2.4 MONDEO 2.2 TDCI</v>
      </c>
      <c r="C976" t="str">
        <f>"$ 33125,96"</f>
        <v>$ 33125,96</v>
      </c>
      <c r="D976" t="str">
        <f>"$ 33125,96"</f>
        <v>$ 33125,96</v>
      </c>
      <c r="E976" t="str">
        <f>"$ 33125,96"</f>
        <v>$ 33125,96</v>
      </c>
      <c r="F976" t="str">
        <f>"$ 33125,96"</f>
        <v>$ 33125,96</v>
      </c>
      <c r="G976" t="str">
        <f>"$ 33125,96"</f>
        <v>$ 33125,96</v>
      </c>
      <c r="H976" t="str">
        <f t="shared" si="636"/>
        <v>$ 0,00</v>
      </c>
      <c r="I976" t="str">
        <f t="shared" si="627"/>
        <v>JUEGO COJINETES BANCADA</v>
      </c>
      <c r="J976" t="str">
        <f t="shared" si="637"/>
        <v>1</v>
      </c>
      <c r="K976" t="str">
        <f t="shared" si="623"/>
        <v>0</v>
      </c>
      <c r="L976" t="str">
        <f>"4,000"</f>
        <v>4,000</v>
      </c>
      <c r="M976" t="str">
        <f t="shared" si="638"/>
        <v xml:space="preserve"> </v>
      </c>
      <c r="N976" t="str">
        <f t="shared" si="628"/>
        <v>MPSI</v>
      </c>
      <c r="O976" t="str">
        <f t="shared" si="629"/>
        <v>COJINETES</v>
      </c>
      <c r="P976" t="str">
        <f t="shared" si="639"/>
        <v>0</v>
      </c>
      <c r="Q976" t="str">
        <f t="shared" si="639"/>
        <v>0</v>
      </c>
      <c r="R976" t="str">
        <f t="shared" si="640"/>
        <v>0,00</v>
      </c>
      <c r="S976" t="str">
        <f t="shared" si="640"/>
        <v>0,00</v>
      </c>
      <c r="T976" t="str">
        <f t="shared" si="621"/>
        <v xml:space="preserve"> </v>
      </c>
      <c r="U976" t="str">
        <f t="shared" si="630"/>
        <v>-</v>
      </c>
      <c r="V976" t="str">
        <f>"4,000"</f>
        <v>4,000</v>
      </c>
      <c r="W976" t="str">
        <f t="shared" si="641"/>
        <v>Lista 4</v>
      </c>
      <c r="X976" t="str">
        <f t="shared" si="642"/>
        <v>Lista 5</v>
      </c>
      <c r="Y976" t="str">
        <f t="shared" si="643"/>
        <v>Oferta Gral.</v>
      </c>
      <c r="Z976" t="str">
        <f t="shared" si="644"/>
        <v>Rubro</v>
      </c>
      <c r="AA976" t="str">
        <f t="shared" si="645"/>
        <v>Cantidad por Bulto</v>
      </c>
      <c r="AB976" t="str">
        <f t="shared" si="646"/>
        <v>INNER</v>
      </c>
      <c r="AC976" t="str">
        <f t="shared" si="647"/>
        <v>Stock en Bultos</v>
      </c>
      <c r="AD976" t="str">
        <f t="shared" si="648"/>
        <v>SubDepósito</v>
      </c>
      <c r="AE976" t="str">
        <f t="shared" si="649"/>
        <v>Marca</v>
      </c>
      <c r="AF976" t="str">
        <f t="shared" si="650"/>
        <v>Super Rubro</v>
      </c>
      <c r="AG976" t="str">
        <f t="shared" si="651"/>
        <v>ComercioExterior</v>
      </c>
      <c r="AH976" t="str">
        <f t="shared" si="652"/>
        <v>PrecioFOB</v>
      </c>
      <c r="AI976" t="str">
        <f t="shared" si="653"/>
        <v>Monto II</v>
      </c>
      <c r="AJ976" t="str">
        <f t="shared" si="654"/>
        <v>Porcentaje II</v>
      </c>
      <c r="AK976" t="str">
        <f t="shared" si="655"/>
        <v>Foto</v>
      </c>
      <c r="AL976" t="str">
        <f t="shared" si="656"/>
        <v xml:space="preserve"> </v>
      </c>
      <c r="AM976" t="str">
        <f t="shared" si="634"/>
        <v xml:space="preserve"> </v>
      </c>
    </row>
    <row r="977" spans="1:39" x14ac:dyDescent="0.25">
      <c r="A977" t="str">
        <f>"BA538"</f>
        <v>BA538</v>
      </c>
      <c r="B977" t="str">
        <f>"COJINETES BANCADA STD HONDA 1600 MOTOR D16A1 D16A6 D16Y7 D16Y8"</f>
        <v>COJINETES BANCADA STD HONDA 1600 MOTOR D16A1 D16A6 D16Y7 D16Y8</v>
      </c>
      <c r="C977" t="str">
        <f>"$ 22195,70"</f>
        <v>$ 22195,70</v>
      </c>
      <c r="D977" t="str">
        <f>"$ 22195,70"</f>
        <v>$ 22195,70</v>
      </c>
      <c r="E977" t="str">
        <f>"$ 22195,70"</f>
        <v>$ 22195,70</v>
      </c>
      <c r="F977" t="str">
        <f>"$ 22195,70"</f>
        <v>$ 22195,70</v>
      </c>
      <c r="G977" t="str">
        <f>"$ 22195,70"</f>
        <v>$ 22195,70</v>
      </c>
      <c r="H977" t="str">
        <f t="shared" si="636"/>
        <v>$ 0,00</v>
      </c>
      <c r="I977" t="str">
        <f t="shared" si="627"/>
        <v>JUEGO COJINETES BANCADA</v>
      </c>
      <c r="J977" t="str">
        <f t="shared" si="637"/>
        <v>1</v>
      </c>
      <c r="K977" t="str">
        <f t="shared" si="623"/>
        <v>0</v>
      </c>
      <c r="L977" t="str">
        <f>"2,000"</f>
        <v>2,000</v>
      </c>
      <c r="M977" t="str">
        <f t="shared" si="638"/>
        <v xml:space="preserve"> </v>
      </c>
      <c r="N977" t="str">
        <f t="shared" si="628"/>
        <v>MPSI</v>
      </c>
      <c r="O977" t="str">
        <f t="shared" si="629"/>
        <v>COJINETES</v>
      </c>
      <c r="P977" t="str">
        <f t="shared" si="639"/>
        <v>0</v>
      </c>
      <c r="Q977" t="str">
        <f t="shared" si="639"/>
        <v>0</v>
      </c>
      <c r="R977" t="str">
        <f t="shared" si="640"/>
        <v>0,00</v>
      </c>
      <c r="S977" t="str">
        <f t="shared" si="640"/>
        <v>0,00</v>
      </c>
      <c r="T977" t="str">
        <f t="shared" ref="T977:T1040" si="657">" "</f>
        <v xml:space="preserve"> </v>
      </c>
      <c r="U977" t="str">
        <f t="shared" si="630"/>
        <v>-</v>
      </c>
      <c r="V977" t="str">
        <f>"2,000"</f>
        <v>2,000</v>
      </c>
      <c r="W977" t="str">
        <f t="shared" si="641"/>
        <v>Lista 4</v>
      </c>
      <c r="X977" t="str">
        <f t="shared" si="642"/>
        <v>Lista 5</v>
      </c>
      <c r="Y977" t="str">
        <f t="shared" si="643"/>
        <v>Oferta Gral.</v>
      </c>
      <c r="Z977" t="str">
        <f t="shared" si="644"/>
        <v>Rubro</v>
      </c>
      <c r="AA977" t="str">
        <f t="shared" si="645"/>
        <v>Cantidad por Bulto</v>
      </c>
      <c r="AB977" t="str">
        <f t="shared" si="646"/>
        <v>INNER</v>
      </c>
      <c r="AC977" t="str">
        <f t="shared" si="647"/>
        <v>Stock en Bultos</v>
      </c>
      <c r="AD977" t="str">
        <f t="shared" si="648"/>
        <v>SubDepósito</v>
      </c>
      <c r="AE977" t="str">
        <f t="shared" si="649"/>
        <v>Marca</v>
      </c>
      <c r="AF977" t="str">
        <f t="shared" si="650"/>
        <v>Super Rubro</v>
      </c>
      <c r="AG977" t="str">
        <f t="shared" si="651"/>
        <v>ComercioExterior</v>
      </c>
      <c r="AH977" t="str">
        <f t="shared" si="652"/>
        <v>PrecioFOB</v>
      </c>
      <c r="AI977" t="str">
        <f t="shared" si="653"/>
        <v>Monto II</v>
      </c>
      <c r="AJ977" t="str">
        <f t="shared" si="654"/>
        <v>Porcentaje II</v>
      </c>
      <c r="AK977" t="str">
        <f t="shared" si="655"/>
        <v>Foto</v>
      </c>
      <c r="AL977" t="str">
        <f t="shared" si="656"/>
        <v xml:space="preserve"> </v>
      </c>
      <c r="AM977" t="str">
        <f t="shared" si="634"/>
        <v xml:space="preserve"> </v>
      </c>
    </row>
    <row r="978" spans="1:39" x14ac:dyDescent="0.25">
      <c r="A978" t="str">
        <f>"BA235"</f>
        <v>BA235</v>
      </c>
      <c r="B978" t="str">
        <f>"COJINETES BANCADA STD IKA CONTINENTAL"</f>
        <v>COJINETES BANCADA STD IKA CONTINENTAL</v>
      </c>
      <c r="C978" t="str">
        <f>"$ 47594,13"</f>
        <v>$ 47594,13</v>
      </c>
      <c r="D978" t="str">
        <f>"$ 47594,13"</f>
        <v>$ 47594,13</v>
      </c>
      <c r="E978" t="str">
        <f>"$ 47594,13"</f>
        <v>$ 47594,13</v>
      </c>
      <c r="F978" t="str">
        <f>"$ 47594,13"</f>
        <v>$ 47594,13</v>
      </c>
      <c r="G978" t="str">
        <f>"$ 47594,13"</f>
        <v>$ 47594,13</v>
      </c>
      <c r="H978" t="str">
        <f t="shared" si="636"/>
        <v>$ 0,00</v>
      </c>
      <c r="I978" t="str">
        <f t="shared" si="627"/>
        <v>JUEGO COJINETES BANCADA</v>
      </c>
      <c r="J978" t="str">
        <f t="shared" si="637"/>
        <v>1</v>
      </c>
      <c r="K978" t="str">
        <f t="shared" si="623"/>
        <v>0</v>
      </c>
      <c r="L978" t="str">
        <f>"0,000"</f>
        <v>0,000</v>
      </c>
      <c r="M978" t="str">
        <f t="shared" si="638"/>
        <v xml:space="preserve"> </v>
      </c>
      <c r="N978" t="str">
        <f t="shared" si="628"/>
        <v>MPSI</v>
      </c>
      <c r="O978" t="str">
        <f t="shared" si="629"/>
        <v>COJINETES</v>
      </c>
      <c r="P978" t="str">
        <f t="shared" si="639"/>
        <v>0</v>
      </c>
      <c r="Q978" t="str">
        <f t="shared" si="639"/>
        <v>0</v>
      </c>
      <c r="R978" t="str">
        <f t="shared" si="640"/>
        <v>0,00</v>
      </c>
      <c r="S978" t="str">
        <f t="shared" si="640"/>
        <v>0,00</v>
      </c>
      <c r="T978" t="str">
        <f t="shared" si="657"/>
        <v xml:space="preserve"> </v>
      </c>
      <c r="U978" t="str">
        <f t="shared" si="630"/>
        <v>-</v>
      </c>
      <c r="V978" t="str">
        <f>"0,000"</f>
        <v>0,000</v>
      </c>
      <c r="W978" t="str">
        <f t="shared" si="641"/>
        <v>Lista 4</v>
      </c>
      <c r="X978" t="str">
        <f t="shared" si="642"/>
        <v>Lista 5</v>
      </c>
      <c r="Y978" t="str">
        <f t="shared" si="643"/>
        <v>Oferta Gral.</v>
      </c>
      <c r="Z978" t="str">
        <f t="shared" si="644"/>
        <v>Rubro</v>
      </c>
      <c r="AA978" t="str">
        <f t="shared" si="645"/>
        <v>Cantidad por Bulto</v>
      </c>
      <c r="AB978" t="str">
        <f t="shared" si="646"/>
        <v>INNER</v>
      </c>
      <c r="AC978" t="str">
        <f t="shared" si="647"/>
        <v>Stock en Bultos</v>
      </c>
      <c r="AD978" t="str">
        <f t="shared" si="648"/>
        <v>SubDepósito</v>
      </c>
      <c r="AE978" t="str">
        <f t="shared" si="649"/>
        <v>Marca</v>
      </c>
      <c r="AF978" t="str">
        <f t="shared" si="650"/>
        <v>Super Rubro</v>
      </c>
      <c r="AG978" t="str">
        <f t="shared" si="651"/>
        <v>ComercioExterior</v>
      </c>
      <c r="AH978" t="str">
        <f t="shared" si="652"/>
        <v>PrecioFOB</v>
      </c>
      <c r="AI978" t="str">
        <f t="shared" si="653"/>
        <v>Monto II</v>
      </c>
      <c r="AJ978" t="str">
        <f t="shared" si="654"/>
        <v>Porcentaje II</v>
      </c>
      <c r="AK978" t="str">
        <f t="shared" si="655"/>
        <v>Foto</v>
      </c>
      <c r="AL978" t="str">
        <f t="shared" si="656"/>
        <v xml:space="preserve"> </v>
      </c>
      <c r="AM978" t="str">
        <f t="shared" si="634"/>
        <v xml:space="preserve"> </v>
      </c>
    </row>
    <row r="979" spans="1:39" x14ac:dyDescent="0.25">
      <c r="A979" t="str">
        <f>"BA885"</f>
        <v>BA885</v>
      </c>
      <c r="B979" t="str">
        <f>"COJINETES BANCADA STD IVECO DAILY 2.5 2.8"</f>
        <v>COJINETES BANCADA STD IVECO DAILY 2.5 2.8</v>
      </c>
      <c r="C979" t="str">
        <f>"$ 78349,88"</f>
        <v>$ 78349,88</v>
      </c>
      <c r="D979" t="str">
        <f>"$ 78349,88"</f>
        <v>$ 78349,88</v>
      </c>
      <c r="E979" t="str">
        <f>"$ 78349,88"</f>
        <v>$ 78349,88</v>
      </c>
      <c r="F979" t="str">
        <f>"$ 78349,88"</f>
        <v>$ 78349,88</v>
      </c>
      <c r="G979" t="str">
        <f>"$ 78349,88"</f>
        <v>$ 78349,88</v>
      </c>
      <c r="H979" t="str">
        <f t="shared" si="636"/>
        <v>$ 0,00</v>
      </c>
      <c r="I979" t="str">
        <f t="shared" si="627"/>
        <v>JUEGO COJINETES BANCADA</v>
      </c>
      <c r="J979" t="str">
        <f t="shared" si="637"/>
        <v>1</v>
      </c>
      <c r="K979" t="str">
        <f t="shared" si="623"/>
        <v>0</v>
      </c>
      <c r="L979" t="str">
        <f>"7,000"</f>
        <v>7,000</v>
      </c>
      <c r="M979" t="str">
        <f t="shared" si="638"/>
        <v xml:space="preserve"> </v>
      </c>
      <c r="N979" t="str">
        <f t="shared" si="628"/>
        <v>MPSI</v>
      </c>
      <c r="O979" t="str">
        <f t="shared" si="629"/>
        <v>COJINETES</v>
      </c>
      <c r="P979" t="str">
        <f t="shared" si="639"/>
        <v>0</v>
      </c>
      <c r="Q979" t="str">
        <f t="shared" si="639"/>
        <v>0</v>
      </c>
      <c r="R979" t="str">
        <f t="shared" si="640"/>
        <v>0,00</v>
      </c>
      <c r="S979" t="str">
        <f t="shared" si="640"/>
        <v>0,00</v>
      </c>
      <c r="T979" t="str">
        <f t="shared" si="657"/>
        <v xml:space="preserve"> </v>
      </c>
      <c r="U979" t="str">
        <f t="shared" si="630"/>
        <v>-</v>
      </c>
      <c r="V979" t="str">
        <f>"7,000"</f>
        <v>7,000</v>
      </c>
      <c r="W979" t="str">
        <f t="shared" si="641"/>
        <v>Lista 4</v>
      </c>
      <c r="X979" t="str">
        <f t="shared" si="642"/>
        <v>Lista 5</v>
      </c>
      <c r="Y979" t="str">
        <f t="shared" si="643"/>
        <v>Oferta Gral.</v>
      </c>
      <c r="Z979" t="str">
        <f t="shared" si="644"/>
        <v>Rubro</v>
      </c>
      <c r="AA979" t="str">
        <f t="shared" si="645"/>
        <v>Cantidad por Bulto</v>
      </c>
      <c r="AB979" t="str">
        <f t="shared" si="646"/>
        <v>INNER</v>
      </c>
      <c r="AC979" t="str">
        <f t="shared" si="647"/>
        <v>Stock en Bultos</v>
      </c>
      <c r="AD979" t="str">
        <f t="shared" si="648"/>
        <v>SubDepósito</v>
      </c>
      <c r="AE979" t="str">
        <f t="shared" si="649"/>
        <v>Marca</v>
      </c>
      <c r="AF979" t="str">
        <f t="shared" si="650"/>
        <v>Super Rubro</v>
      </c>
      <c r="AG979" t="str">
        <f t="shared" si="651"/>
        <v>ComercioExterior</v>
      </c>
      <c r="AH979" t="str">
        <f t="shared" si="652"/>
        <v>PrecioFOB</v>
      </c>
      <c r="AI979" t="str">
        <f t="shared" si="653"/>
        <v>Monto II</v>
      </c>
      <c r="AJ979" t="str">
        <f t="shared" si="654"/>
        <v>Porcentaje II</v>
      </c>
      <c r="AK979" t="str">
        <f t="shared" si="655"/>
        <v>Foto</v>
      </c>
      <c r="AL979" t="str">
        <f t="shared" si="656"/>
        <v xml:space="preserve"> </v>
      </c>
      <c r="AM979" t="str">
        <f t="shared" si="634"/>
        <v xml:space="preserve"> </v>
      </c>
    </row>
    <row r="980" spans="1:39" x14ac:dyDescent="0.25">
      <c r="A980" t="str">
        <f>"BA844"</f>
        <v>BA844</v>
      </c>
      <c r="B980" t="str">
        <f>"COJINETES BANCADA STD MAXION 2.5 SPRINTER FORD F100 CHEVROLET S10"</f>
        <v>COJINETES BANCADA STD MAXION 2.5 SPRINTER FORD F100 CHEVROLET S10</v>
      </c>
      <c r="C980" t="str">
        <f>"$ 27003,52"</f>
        <v>$ 27003,52</v>
      </c>
      <c r="D980" t="str">
        <f>"$ 27003,52"</f>
        <v>$ 27003,52</v>
      </c>
      <c r="E980" t="str">
        <f>"$ 27003,52"</f>
        <v>$ 27003,52</v>
      </c>
      <c r="F980" t="str">
        <f>"$ 27003,52"</f>
        <v>$ 27003,52</v>
      </c>
      <c r="G980" t="str">
        <f>"$ 27003,52"</f>
        <v>$ 27003,52</v>
      </c>
      <c r="H980" t="str">
        <f t="shared" si="636"/>
        <v>$ 0,00</v>
      </c>
      <c r="I980" t="str">
        <f t="shared" si="627"/>
        <v>JUEGO COJINETES BANCADA</v>
      </c>
      <c r="J980" t="str">
        <f t="shared" si="637"/>
        <v>1</v>
      </c>
      <c r="K980" t="str">
        <f t="shared" si="623"/>
        <v>0</v>
      </c>
      <c r="L980" t="str">
        <f>"9,000"</f>
        <v>9,000</v>
      </c>
      <c r="M980" t="str">
        <f t="shared" si="638"/>
        <v xml:space="preserve"> </v>
      </c>
      <c r="N980" t="str">
        <f t="shared" si="628"/>
        <v>MPSI</v>
      </c>
      <c r="O980" t="str">
        <f t="shared" si="629"/>
        <v>COJINETES</v>
      </c>
      <c r="P980" t="str">
        <f t="shared" si="639"/>
        <v>0</v>
      </c>
      <c r="Q980" t="str">
        <f t="shared" si="639"/>
        <v>0</v>
      </c>
      <c r="R980" t="str">
        <f t="shared" si="640"/>
        <v>0,00</v>
      </c>
      <c r="S980" t="str">
        <f t="shared" si="640"/>
        <v>0,00</v>
      </c>
      <c r="T980" t="str">
        <f t="shared" si="657"/>
        <v xml:space="preserve"> </v>
      </c>
      <c r="U980" t="str">
        <f t="shared" si="630"/>
        <v>-</v>
      </c>
      <c r="V980" t="str">
        <f>"9,000"</f>
        <v>9,000</v>
      </c>
      <c r="W980" t="str">
        <f t="shared" si="641"/>
        <v>Lista 4</v>
      </c>
      <c r="X980" t="str">
        <f t="shared" si="642"/>
        <v>Lista 5</v>
      </c>
      <c r="Y980" t="str">
        <f t="shared" si="643"/>
        <v>Oferta Gral.</v>
      </c>
      <c r="Z980" t="str">
        <f t="shared" si="644"/>
        <v>Rubro</v>
      </c>
      <c r="AA980" t="str">
        <f t="shared" si="645"/>
        <v>Cantidad por Bulto</v>
      </c>
      <c r="AB980" t="str">
        <f t="shared" si="646"/>
        <v>INNER</v>
      </c>
      <c r="AC980" t="str">
        <f t="shared" si="647"/>
        <v>Stock en Bultos</v>
      </c>
      <c r="AD980" t="str">
        <f t="shared" si="648"/>
        <v>SubDepósito</v>
      </c>
      <c r="AE980" t="str">
        <f t="shared" si="649"/>
        <v>Marca</v>
      </c>
      <c r="AF980" t="str">
        <f t="shared" si="650"/>
        <v>Super Rubro</v>
      </c>
      <c r="AG980" t="str">
        <f t="shared" si="651"/>
        <v>ComercioExterior</v>
      </c>
      <c r="AH980" t="str">
        <f t="shared" si="652"/>
        <v>PrecioFOB</v>
      </c>
      <c r="AI980" t="str">
        <f t="shared" si="653"/>
        <v>Monto II</v>
      </c>
      <c r="AJ980" t="str">
        <f t="shared" si="654"/>
        <v>Porcentaje II</v>
      </c>
      <c r="AK980" t="str">
        <f t="shared" si="655"/>
        <v>Foto</v>
      </c>
      <c r="AL980" t="str">
        <f t="shared" si="656"/>
        <v xml:space="preserve"> </v>
      </c>
      <c r="AM980" t="str">
        <f t="shared" si="634"/>
        <v xml:space="preserve"> </v>
      </c>
    </row>
    <row r="981" spans="1:39" x14ac:dyDescent="0.25">
      <c r="A981" t="str">
        <f>"BA556"</f>
        <v>BA556</v>
      </c>
      <c r="B981" t="str">
        <f>"COJINETES BANCADA STD MERCEDES SPRINTER OM611"</f>
        <v>COJINETES BANCADA STD MERCEDES SPRINTER OM611</v>
      </c>
      <c r="C981" t="str">
        <f>"$ 22679,83"</f>
        <v>$ 22679,83</v>
      </c>
      <c r="D981" t="str">
        <f>"$ 22679,83"</f>
        <v>$ 22679,83</v>
      </c>
      <c r="E981" t="str">
        <f>"$ 22679,83"</f>
        <v>$ 22679,83</v>
      </c>
      <c r="F981" t="str">
        <f>"$ 22679,83"</f>
        <v>$ 22679,83</v>
      </c>
      <c r="G981" t="str">
        <f>"$ 22679,83"</f>
        <v>$ 22679,83</v>
      </c>
      <c r="H981" t="str">
        <f t="shared" si="636"/>
        <v>$ 0,00</v>
      </c>
      <c r="I981" t="str">
        <f t="shared" si="627"/>
        <v>JUEGO COJINETES BANCADA</v>
      </c>
      <c r="J981" t="str">
        <f t="shared" si="637"/>
        <v>1</v>
      </c>
      <c r="K981" t="str">
        <f t="shared" si="623"/>
        <v>0</v>
      </c>
      <c r="L981" t="str">
        <f>"7,000"</f>
        <v>7,000</v>
      </c>
      <c r="M981" t="str">
        <f t="shared" si="638"/>
        <v xml:space="preserve"> </v>
      </c>
      <c r="N981" t="str">
        <f t="shared" si="628"/>
        <v>MPSI</v>
      </c>
      <c r="O981" t="str">
        <f t="shared" si="629"/>
        <v>COJINETES</v>
      </c>
      <c r="P981" t="str">
        <f t="shared" si="639"/>
        <v>0</v>
      </c>
      <c r="Q981" t="str">
        <f t="shared" si="639"/>
        <v>0</v>
      </c>
      <c r="R981" t="str">
        <f t="shared" si="640"/>
        <v>0,00</v>
      </c>
      <c r="S981" t="str">
        <f t="shared" si="640"/>
        <v>0,00</v>
      </c>
      <c r="T981" t="str">
        <f t="shared" si="657"/>
        <v xml:space="preserve"> </v>
      </c>
      <c r="U981" t="str">
        <f t="shared" si="630"/>
        <v>-</v>
      </c>
      <c r="V981" t="str">
        <f>"7,000"</f>
        <v>7,000</v>
      </c>
      <c r="W981" t="str">
        <f t="shared" si="641"/>
        <v>Lista 4</v>
      </c>
      <c r="X981" t="str">
        <f t="shared" si="642"/>
        <v>Lista 5</v>
      </c>
      <c r="Y981" t="str">
        <f t="shared" si="643"/>
        <v>Oferta Gral.</v>
      </c>
      <c r="Z981" t="str">
        <f t="shared" si="644"/>
        <v>Rubro</v>
      </c>
      <c r="AA981" t="str">
        <f t="shared" si="645"/>
        <v>Cantidad por Bulto</v>
      </c>
      <c r="AB981" t="str">
        <f t="shared" si="646"/>
        <v>INNER</v>
      </c>
      <c r="AC981" t="str">
        <f t="shared" si="647"/>
        <v>Stock en Bultos</v>
      </c>
      <c r="AD981" t="str">
        <f t="shared" si="648"/>
        <v>SubDepósito</v>
      </c>
      <c r="AE981" t="str">
        <f t="shared" si="649"/>
        <v>Marca</v>
      </c>
      <c r="AF981" t="str">
        <f t="shared" si="650"/>
        <v>Super Rubro</v>
      </c>
      <c r="AG981" t="str">
        <f t="shared" si="651"/>
        <v>ComercioExterior</v>
      </c>
      <c r="AH981" t="str">
        <f t="shared" si="652"/>
        <v>PrecioFOB</v>
      </c>
      <c r="AI981" t="str">
        <f t="shared" si="653"/>
        <v>Monto II</v>
      </c>
      <c r="AJ981" t="str">
        <f t="shared" si="654"/>
        <v>Porcentaje II</v>
      </c>
      <c r="AK981" t="str">
        <f t="shared" si="655"/>
        <v>Foto</v>
      </c>
      <c r="AL981" t="str">
        <f t="shared" si="656"/>
        <v xml:space="preserve"> </v>
      </c>
      <c r="AM981" t="str">
        <f t="shared" si="634"/>
        <v xml:space="preserve"> </v>
      </c>
    </row>
    <row r="982" spans="1:39" x14ac:dyDescent="0.25">
      <c r="A982" t="str">
        <f>"BA411"</f>
        <v>BA411</v>
      </c>
      <c r="B982" t="str">
        <f>"COJINETES BANCADA STD P404 1600  FM 4432M"</f>
        <v>COJINETES BANCADA STD P404 1600  FM 4432M</v>
      </c>
      <c r="C982" t="str">
        <f>"$ 49903,07"</f>
        <v>$ 49903,07</v>
      </c>
      <c r="D982" t="str">
        <f>"$ 49903,07"</f>
        <v>$ 49903,07</v>
      </c>
      <c r="E982" t="str">
        <f>"$ 49903,07"</f>
        <v>$ 49903,07</v>
      </c>
      <c r="F982" t="str">
        <f>"$ 49903,07"</f>
        <v>$ 49903,07</v>
      </c>
      <c r="G982" t="str">
        <f>"$ 49903,07"</f>
        <v>$ 49903,07</v>
      </c>
      <c r="H982" t="str">
        <f t="shared" si="636"/>
        <v>$ 0,00</v>
      </c>
      <c r="I982" t="str">
        <f t="shared" si="627"/>
        <v>JUEGO COJINETES BANCADA</v>
      </c>
      <c r="J982" t="str">
        <f t="shared" si="637"/>
        <v>1</v>
      </c>
      <c r="K982" t="str">
        <f t="shared" si="623"/>
        <v>0</v>
      </c>
      <c r="L982" t="str">
        <f>"4,000"</f>
        <v>4,000</v>
      </c>
      <c r="M982" t="str">
        <f t="shared" si="638"/>
        <v xml:space="preserve"> </v>
      </c>
      <c r="N982" t="str">
        <f t="shared" si="628"/>
        <v>MPSI</v>
      </c>
      <c r="O982" t="str">
        <f t="shared" si="629"/>
        <v>COJINETES</v>
      </c>
      <c r="P982" t="str">
        <f t="shared" si="639"/>
        <v>0</v>
      </c>
      <c r="Q982" t="str">
        <f t="shared" si="639"/>
        <v>0</v>
      </c>
      <c r="R982" t="str">
        <f t="shared" si="640"/>
        <v>0,00</v>
      </c>
      <c r="S982" t="str">
        <f t="shared" si="640"/>
        <v>0,00</v>
      </c>
      <c r="T982" t="str">
        <f t="shared" si="657"/>
        <v xml:space="preserve"> </v>
      </c>
      <c r="U982" t="str">
        <f>" "</f>
        <v xml:space="preserve"> </v>
      </c>
      <c r="V982" t="str">
        <f>"4,000"</f>
        <v>4,000</v>
      </c>
      <c r="W982" t="str">
        <f t="shared" si="641"/>
        <v>Lista 4</v>
      </c>
      <c r="X982" t="str">
        <f t="shared" si="642"/>
        <v>Lista 5</v>
      </c>
      <c r="Y982" t="str">
        <f t="shared" si="643"/>
        <v>Oferta Gral.</v>
      </c>
      <c r="Z982" t="str">
        <f t="shared" si="644"/>
        <v>Rubro</v>
      </c>
      <c r="AA982" t="str">
        <f t="shared" si="645"/>
        <v>Cantidad por Bulto</v>
      </c>
      <c r="AB982" t="str">
        <f t="shared" si="646"/>
        <v>INNER</v>
      </c>
      <c r="AC982" t="str">
        <f t="shared" si="647"/>
        <v>Stock en Bultos</v>
      </c>
      <c r="AD982" t="str">
        <f t="shared" si="648"/>
        <v>SubDepósito</v>
      </c>
      <c r="AE982" t="str">
        <f t="shared" si="649"/>
        <v>Marca</v>
      </c>
      <c r="AF982" t="str">
        <f t="shared" si="650"/>
        <v>Super Rubro</v>
      </c>
      <c r="AG982" t="str">
        <f t="shared" si="651"/>
        <v>ComercioExterior</v>
      </c>
      <c r="AH982" t="str">
        <f t="shared" si="652"/>
        <v>PrecioFOB</v>
      </c>
      <c r="AI982" t="str">
        <f t="shared" si="653"/>
        <v>Monto II</v>
      </c>
      <c r="AJ982" t="str">
        <f t="shared" si="654"/>
        <v>Porcentaje II</v>
      </c>
      <c r="AK982" t="str">
        <f t="shared" si="655"/>
        <v>Foto</v>
      </c>
      <c r="AL982" t="str">
        <f>"{\rtf1\ansi\ansicpg1252\deff0\deflang11274{\fonttbl{\f0\fnil\fcharset0 MS Sans Serif}} \viewkind4\uc1\pard\f0\fs16 COJINETES BANCADA STD P404 1600  FM 4432M\par } "</f>
        <v xml:space="preserve">{\rtf1\ansi\ansicpg1252\deff0\deflang11274{\fonttbl{\f0\fnil\fcharset0 MS Sans Serif}} \viewkind4\uc1\pard\f0\fs16 COJINETES BANCADA STD P404 1600  FM 4432M\par } </v>
      </c>
      <c r="AM982" t="str">
        <f>"-"</f>
        <v>-</v>
      </c>
    </row>
    <row r="983" spans="1:39" x14ac:dyDescent="0.25">
      <c r="A983" t="str">
        <f>"BA388"</f>
        <v>BA388</v>
      </c>
      <c r="B983" t="str">
        <f>"COJINETES BANCADA STD PERKINS 6-305"</f>
        <v>COJINETES BANCADA STD PERKINS 6-305</v>
      </c>
      <c r="C983" t="str">
        <f>"$ 42984,19"</f>
        <v>$ 42984,19</v>
      </c>
      <c r="D983" t="str">
        <f>"$ 42984,19"</f>
        <v>$ 42984,19</v>
      </c>
      <c r="E983" t="str">
        <f>"$ 42984,19"</f>
        <v>$ 42984,19</v>
      </c>
      <c r="F983" t="str">
        <f>"$ 42984,19"</f>
        <v>$ 42984,19</v>
      </c>
      <c r="G983" t="str">
        <f>"$ 42984,19"</f>
        <v>$ 42984,19</v>
      </c>
      <c r="H983" t="str">
        <f t="shared" si="636"/>
        <v>$ 0,00</v>
      </c>
      <c r="I983" t="str">
        <f t="shared" si="627"/>
        <v>JUEGO COJINETES BANCADA</v>
      </c>
      <c r="J983" t="str">
        <f t="shared" si="637"/>
        <v>1</v>
      </c>
      <c r="K983" t="str">
        <f t="shared" ref="K983:K1046" si="658">"0"</f>
        <v>0</v>
      </c>
      <c r="L983" t="str">
        <f>"7,000"</f>
        <v>7,000</v>
      </c>
      <c r="M983" t="str">
        <f t="shared" si="638"/>
        <v xml:space="preserve"> </v>
      </c>
      <c r="N983" t="str">
        <f t="shared" si="628"/>
        <v>MPSI</v>
      </c>
      <c r="O983" t="str">
        <f t="shared" si="629"/>
        <v>COJINETES</v>
      </c>
      <c r="P983" t="str">
        <f t="shared" ref="P983:Q1002" si="659">"0"</f>
        <v>0</v>
      </c>
      <c r="Q983" t="str">
        <f t="shared" si="659"/>
        <v>0</v>
      </c>
      <c r="R983" t="str">
        <f t="shared" ref="R983:S1002" si="660">"0,00"</f>
        <v>0,00</v>
      </c>
      <c r="S983" t="str">
        <f t="shared" si="660"/>
        <v>0,00</v>
      </c>
      <c r="T983" t="str">
        <f t="shared" si="657"/>
        <v xml:space="preserve"> </v>
      </c>
      <c r="U983" t="str">
        <f t="shared" ref="U983:U1002" si="661">"-"</f>
        <v>-</v>
      </c>
      <c r="V983" t="str">
        <f>"7,000"</f>
        <v>7,000</v>
      </c>
      <c r="W983" t="str">
        <f t="shared" si="641"/>
        <v>Lista 4</v>
      </c>
      <c r="X983" t="str">
        <f t="shared" si="642"/>
        <v>Lista 5</v>
      </c>
      <c r="Y983" t="str">
        <f t="shared" si="643"/>
        <v>Oferta Gral.</v>
      </c>
      <c r="Z983" t="str">
        <f t="shared" si="644"/>
        <v>Rubro</v>
      </c>
      <c r="AA983" t="str">
        <f t="shared" si="645"/>
        <v>Cantidad por Bulto</v>
      </c>
      <c r="AB983" t="str">
        <f t="shared" si="646"/>
        <v>INNER</v>
      </c>
      <c r="AC983" t="str">
        <f t="shared" si="647"/>
        <v>Stock en Bultos</v>
      </c>
      <c r="AD983" t="str">
        <f t="shared" si="648"/>
        <v>SubDepósito</v>
      </c>
      <c r="AE983" t="str">
        <f t="shared" si="649"/>
        <v>Marca</v>
      </c>
      <c r="AF983" t="str">
        <f t="shared" si="650"/>
        <v>Super Rubro</v>
      </c>
      <c r="AG983" t="str">
        <f t="shared" si="651"/>
        <v>ComercioExterior</v>
      </c>
      <c r="AH983" t="str">
        <f t="shared" si="652"/>
        <v>PrecioFOB</v>
      </c>
      <c r="AI983" t="str">
        <f t="shared" si="653"/>
        <v>Monto II</v>
      </c>
      <c r="AJ983" t="str">
        <f t="shared" si="654"/>
        <v>Porcentaje II</v>
      </c>
      <c r="AK983" t="str">
        <f t="shared" si="655"/>
        <v>Foto</v>
      </c>
      <c r="AL983" t="str">
        <f>"{\rtf1\ansi\ansicpg1252\deff0\deflang2058{\fonttbl{\f0\fnil\fcharset0 MS Sans Serif}} \viewkind4\uc1\pard\f0\fs16 COJINETES BANCADA STD PERKINS 6-305\par } "</f>
        <v xml:space="preserve">{\rtf1\ansi\ansicpg1252\deff0\deflang2058{\fonttbl{\f0\fnil\fcharset0 MS Sans Serif}} \viewkind4\uc1\pard\f0\fs16 COJINETES BANCADA STD PERKINS 6-305\par } </v>
      </c>
      <c r="AM983" t="str">
        <f t="shared" ref="AM983:AM1002" si="662">" "</f>
        <v xml:space="preserve"> </v>
      </c>
    </row>
    <row r="984" spans="1:39" x14ac:dyDescent="0.25">
      <c r="A984" t="str">
        <f>"BA392"</f>
        <v>BA392</v>
      </c>
      <c r="B984" t="str">
        <f>"COJINETES BANCADA STD PERKINS 6-354 FASE 2"</f>
        <v>COJINETES BANCADA STD PERKINS 6-354 FASE 2</v>
      </c>
      <c r="C984" t="str">
        <f>"$ 58122,03"</f>
        <v>$ 58122,03</v>
      </c>
      <c r="D984" t="str">
        <f>"$ 58122,03"</f>
        <v>$ 58122,03</v>
      </c>
      <c r="E984" t="str">
        <f>"$ 58122,03"</f>
        <v>$ 58122,03</v>
      </c>
      <c r="F984" t="str">
        <f>"$ 58122,03"</f>
        <v>$ 58122,03</v>
      </c>
      <c r="G984" t="str">
        <f>"$ 58122,03"</f>
        <v>$ 58122,03</v>
      </c>
      <c r="H984" t="str">
        <f t="shared" si="636"/>
        <v>$ 0,00</v>
      </c>
      <c r="I984" t="str">
        <f t="shared" si="627"/>
        <v>JUEGO COJINETES BANCADA</v>
      </c>
      <c r="J984" t="str">
        <f t="shared" si="637"/>
        <v>1</v>
      </c>
      <c r="K984" t="str">
        <f t="shared" si="658"/>
        <v>0</v>
      </c>
      <c r="L984" t="str">
        <f>"3,000"</f>
        <v>3,000</v>
      </c>
      <c r="M984" t="str">
        <f t="shared" si="638"/>
        <v xml:space="preserve"> </v>
      </c>
      <c r="N984" t="str">
        <f t="shared" si="628"/>
        <v>MPSI</v>
      </c>
      <c r="O984" t="str">
        <f t="shared" si="629"/>
        <v>COJINETES</v>
      </c>
      <c r="P984" t="str">
        <f t="shared" si="659"/>
        <v>0</v>
      </c>
      <c r="Q984" t="str">
        <f t="shared" si="659"/>
        <v>0</v>
      </c>
      <c r="R984" t="str">
        <f t="shared" si="660"/>
        <v>0,00</v>
      </c>
      <c r="S984" t="str">
        <f t="shared" si="660"/>
        <v>0,00</v>
      </c>
      <c r="T984" t="str">
        <f t="shared" si="657"/>
        <v xml:space="preserve"> </v>
      </c>
      <c r="U984" t="str">
        <f t="shared" si="661"/>
        <v>-</v>
      </c>
      <c r="V984" t="str">
        <f>"3,000"</f>
        <v>3,000</v>
      </c>
      <c r="W984" t="str">
        <f t="shared" si="641"/>
        <v>Lista 4</v>
      </c>
      <c r="X984" t="str">
        <f t="shared" si="642"/>
        <v>Lista 5</v>
      </c>
      <c r="Y984" t="str">
        <f t="shared" si="643"/>
        <v>Oferta Gral.</v>
      </c>
      <c r="Z984" t="str">
        <f t="shared" si="644"/>
        <v>Rubro</v>
      </c>
      <c r="AA984" t="str">
        <f t="shared" si="645"/>
        <v>Cantidad por Bulto</v>
      </c>
      <c r="AB984" t="str">
        <f t="shared" si="646"/>
        <v>INNER</v>
      </c>
      <c r="AC984" t="str">
        <f t="shared" si="647"/>
        <v>Stock en Bultos</v>
      </c>
      <c r="AD984" t="str">
        <f t="shared" si="648"/>
        <v>SubDepósito</v>
      </c>
      <c r="AE984" t="str">
        <f t="shared" si="649"/>
        <v>Marca</v>
      </c>
      <c r="AF984" t="str">
        <f t="shared" si="650"/>
        <v>Super Rubro</v>
      </c>
      <c r="AG984" t="str">
        <f t="shared" si="651"/>
        <v>ComercioExterior</v>
      </c>
      <c r="AH984" t="str">
        <f t="shared" si="652"/>
        <v>PrecioFOB</v>
      </c>
      <c r="AI984" t="str">
        <f t="shared" si="653"/>
        <v>Monto II</v>
      </c>
      <c r="AJ984" t="str">
        <f t="shared" si="654"/>
        <v>Porcentaje II</v>
      </c>
      <c r="AK984" t="str">
        <f t="shared" si="655"/>
        <v>Foto</v>
      </c>
      <c r="AL984" t="str">
        <f t="shared" ref="AL984:AL997" si="663">" "</f>
        <v xml:space="preserve"> </v>
      </c>
      <c r="AM984" t="str">
        <f t="shared" si="662"/>
        <v xml:space="preserve"> </v>
      </c>
    </row>
    <row r="985" spans="1:39" x14ac:dyDescent="0.25">
      <c r="A985" t="str">
        <f>"BA735"</f>
        <v>BA735</v>
      </c>
      <c r="B985" t="str">
        <f>"COJINETES BANCADA STD PEUGEOT 205 206 1.4 TU3"</f>
        <v>COJINETES BANCADA STD PEUGEOT 205 206 1.4 TU3</v>
      </c>
      <c r="C985" t="str">
        <f>"$ 16294,66"</f>
        <v>$ 16294,66</v>
      </c>
      <c r="D985" t="str">
        <f>"$ 16294,66"</f>
        <v>$ 16294,66</v>
      </c>
      <c r="E985" t="str">
        <f>"$ 16294,66"</f>
        <v>$ 16294,66</v>
      </c>
      <c r="F985" t="str">
        <f>"$ 16294,66"</f>
        <v>$ 16294,66</v>
      </c>
      <c r="G985" t="str">
        <f>"$ 16294,66"</f>
        <v>$ 16294,66</v>
      </c>
      <c r="H985" t="str">
        <f t="shared" si="636"/>
        <v>$ 0,00</v>
      </c>
      <c r="I985" t="str">
        <f t="shared" si="627"/>
        <v>JUEGO COJINETES BANCADA</v>
      </c>
      <c r="J985" t="str">
        <f t="shared" si="637"/>
        <v>1</v>
      </c>
      <c r="K985" t="str">
        <f t="shared" si="658"/>
        <v>0</v>
      </c>
      <c r="L985" t="str">
        <f>"7,000"</f>
        <v>7,000</v>
      </c>
      <c r="M985" t="str">
        <f t="shared" si="638"/>
        <v xml:space="preserve"> </v>
      </c>
      <c r="N985" t="str">
        <f t="shared" si="628"/>
        <v>MPSI</v>
      </c>
      <c r="O985" t="str">
        <f t="shared" si="629"/>
        <v>COJINETES</v>
      </c>
      <c r="P985" t="str">
        <f t="shared" si="659"/>
        <v>0</v>
      </c>
      <c r="Q985" t="str">
        <f t="shared" si="659"/>
        <v>0</v>
      </c>
      <c r="R985" t="str">
        <f t="shared" si="660"/>
        <v>0,00</v>
      </c>
      <c r="S985" t="str">
        <f t="shared" si="660"/>
        <v>0,00</v>
      </c>
      <c r="T985" t="str">
        <f t="shared" si="657"/>
        <v xml:space="preserve"> </v>
      </c>
      <c r="U985" t="str">
        <f t="shared" si="661"/>
        <v>-</v>
      </c>
      <c r="V985" t="str">
        <f>"7,000"</f>
        <v>7,000</v>
      </c>
      <c r="W985" t="str">
        <f t="shared" si="641"/>
        <v>Lista 4</v>
      </c>
      <c r="X985" t="str">
        <f t="shared" si="642"/>
        <v>Lista 5</v>
      </c>
      <c r="Y985" t="str">
        <f t="shared" si="643"/>
        <v>Oferta Gral.</v>
      </c>
      <c r="Z985" t="str">
        <f t="shared" si="644"/>
        <v>Rubro</v>
      </c>
      <c r="AA985" t="str">
        <f t="shared" si="645"/>
        <v>Cantidad por Bulto</v>
      </c>
      <c r="AB985" t="str">
        <f t="shared" si="646"/>
        <v>INNER</v>
      </c>
      <c r="AC985" t="str">
        <f t="shared" si="647"/>
        <v>Stock en Bultos</v>
      </c>
      <c r="AD985" t="str">
        <f t="shared" si="648"/>
        <v>SubDepósito</v>
      </c>
      <c r="AE985" t="str">
        <f t="shared" si="649"/>
        <v>Marca</v>
      </c>
      <c r="AF985" t="str">
        <f t="shared" si="650"/>
        <v>Super Rubro</v>
      </c>
      <c r="AG985" t="str">
        <f t="shared" si="651"/>
        <v>ComercioExterior</v>
      </c>
      <c r="AH985" t="str">
        <f t="shared" si="652"/>
        <v>PrecioFOB</v>
      </c>
      <c r="AI985" t="str">
        <f t="shared" si="653"/>
        <v>Monto II</v>
      </c>
      <c r="AJ985" t="str">
        <f t="shared" si="654"/>
        <v>Porcentaje II</v>
      </c>
      <c r="AK985" t="str">
        <f t="shared" si="655"/>
        <v>Foto</v>
      </c>
      <c r="AL985" t="str">
        <f t="shared" si="663"/>
        <v xml:space="preserve"> </v>
      </c>
      <c r="AM985" t="str">
        <f t="shared" si="662"/>
        <v xml:space="preserve"> </v>
      </c>
    </row>
    <row r="986" spans="1:39" x14ac:dyDescent="0.25">
      <c r="A986" t="str">
        <f>"BA734"</f>
        <v>BA734</v>
      </c>
      <c r="B986" t="str">
        <f>"COJINETES BANCADA STD PEUGEOT 306 405 PARTNER 1.9 XUD9 XUDT9"</f>
        <v>COJINETES BANCADA STD PEUGEOT 306 405 PARTNER 1.9 XUD9 XUDT9</v>
      </c>
      <c r="C986" t="str">
        <f>"$ 20029,54"</f>
        <v>$ 20029,54</v>
      </c>
      <c r="D986" t="str">
        <f>"$ 20029,54"</f>
        <v>$ 20029,54</v>
      </c>
      <c r="E986" t="str">
        <f>"$ 20029,54"</f>
        <v>$ 20029,54</v>
      </c>
      <c r="F986" t="str">
        <f>"$ 20029,54"</f>
        <v>$ 20029,54</v>
      </c>
      <c r="G986" t="str">
        <f>"$ 20029,54"</f>
        <v>$ 20029,54</v>
      </c>
      <c r="H986" t="str">
        <f t="shared" si="636"/>
        <v>$ 0,00</v>
      </c>
      <c r="I986" t="str">
        <f t="shared" si="627"/>
        <v>JUEGO COJINETES BANCADA</v>
      </c>
      <c r="J986" t="str">
        <f t="shared" si="637"/>
        <v>1</v>
      </c>
      <c r="K986" t="str">
        <f t="shared" si="658"/>
        <v>0</v>
      </c>
      <c r="L986" t="str">
        <f>"5,000"</f>
        <v>5,000</v>
      </c>
      <c r="M986" t="str">
        <f t="shared" si="638"/>
        <v xml:space="preserve"> </v>
      </c>
      <c r="N986" t="str">
        <f t="shared" si="628"/>
        <v>MPSI</v>
      </c>
      <c r="O986" t="str">
        <f t="shared" si="629"/>
        <v>COJINETES</v>
      </c>
      <c r="P986" t="str">
        <f t="shared" si="659"/>
        <v>0</v>
      </c>
      <c r="Q986" t="str">
        <f t="shared" si="659"/>
        <v>0</v>
      </c>
      <c r="R986" t="str">
        <f t="shared" si="660"/>
        <v>0,00</v>
      </c>
      <c r="S986" t="str">
        <f t="shared" si="660"/>
        <v>0,00</v>
      </c>
      <c r="T986" t="str">
        <f t="shared" si="657"/>
        <v xml:space="preserve"> </v>
      </c>
      <c r="U986" t="str">
        <f t="shared" si="661"/>
        <v>-</v>
      </c>
      <c r="V986" t="str">
        <f>"5,000"</f>
        <v>5,000</v>
      </c>
      <c r="W986" t="str">
        <f t="shared" si="641"/>
        <v>Lista 4</v>
      </c>
      <c r="X986" t="str">
        <f t="shared" si="642"/>
        <v>Lista 5</v>
      </c>
      <c r="Y986" t="str">
        <f t="shared" si="643"/>
        <v>Oferta Gral.</v>
      </c>
      <c r="Z986" t="str">
        <f t="shared" si="644"/>
        <v>Rubro</v>
      </c>
      <c r="AA986" t="str">
        <f t="shared" si="645"/>
        <v>Cantidad por Bulto</v>
      </c>
      <c r="AB986" t="str">
        <f t="shared" si="646"/>
        <v>INNER</v>
      </c>
      <c r="AC986" t="str">
        <f t="shared" si="647"/>
        <v>Stock en Bultos</v>
      </c>
      <c r="AD986" t="str">
        <f t="shared" si="648"/>
        <v>SubDepósito</v>
      </c>
      <c r="AE986" t="str">
        <f t="shared" si="649"/>
        <v>Marca</v>
      </c>
      <c r="AF986" t="str">
        <f t="shared" si="650"/>
        <v>Super Rubro</v>
      </c>
      <c r="AG986" t="str">
        <f t="shared" si="651"/>
        <v>ComercioExterior</v>
      </c>
      <c r="AH986" t="str">
        <f t="shared" si="652"/>
        <v>PrecioFOB</v>
      </c>
      <c r="AI986" t="str">
        <f t="shared" si="653"/>
        <v>Monto II</v>
      </c>
      <c r="AJ986" t="str">
        <f t="shared" si="654"/>
        <v>Porcentaje II</v>
      </c>
      <c r="AK986" t="str">
        <f t="shared" si="655"/>
        <v>Foto</v>
      </c>
      <c r="AL986" t="str">
        <f t="shared" si="663"/>
        <v xml:space="preserve"> </v>
      </c>
      <c r="AM986" t="str">
        <f t="shared" si="662"/>
        <v xml:space="preserve"> </v>
      </c>
    </row>
    <row r="987" spans="1:39" x14ac:dyDescent="0.25">
      <c r="A987" t="str">
        <f>"BA732"</f>
        <v>BA732</v>
      </c>
      <c r="B987" t="str">
        <f>"COJINETES BANCADA STD PEUGEOT 307 406 2.0 EW10J4 XU7 2 AGUJ"</f>
        <v>COJINETES BANCADA STD PEUGEOT 307 406 2.0 EW10J4 XU7 2 AGUJ</v>
      </c>
      <c r="C987" t="str">
        <f>"$ 22381,90"</f>
        <v>$ 22381,90</v>
      </c>
      <c r="D987" t="str">
        <f>"$ 22381,90"</f>
        <v>$ 22381,90</v>
      </c>
      <c r="E987" t="str">
        <f>"$ 22381,90"</f>
        <v>$ 22381,90</v>
      </c>
      <c r="F987" t="str">
        <f>"$ 22381,90"</f>
        <v>$ 22381,90</v>
      </c>
      <c r="G987" t="str">
        <f>"$ 22381,90"</f>
        <v>$ 22381,90</v>
      </c>
      <c r="H987" t="str">
        <f t="shared" si="636"/>
        <v>$ 0,00</v>
      </c>
      <c r="I987" t="str">
        <f t="shared" si="627"/>
        <v>JUEGO COJINETES BANCADA</v>
      </c>
      <c r="J987" t="str">
        <f t="shared" si="637"/>
        <v>1</v>
      </c>
      <c r="K987" t="str">
        <f t="shared" si="658"/>
        <v>0</v>
      </c>
      <c r="L987" t="str">
        <f>"13,000"</f>
        <v>13,000</v>
      </c>
      <c r="M987" t="str">
        <f t="shared" si="638"/>
        <v xml:space="preserve"> </v>
      </c>
      <c r="N987" t="str">
        <f t="shared" si="628"/>
        <v>MPSI</v>
      </c>
      <c r="O987" t="str">
        <f t="shared" si="629"/>
        <v>COJINETES</v>
      </c>
      <c r="P987" t="str">
        <f t="shared" si="659"/>
        <v>0</v>
      </c>
      <c r="Q987" t="str">
        <f t="shared" si="659"/>
        <v>0</v>
      </c>
      <c r="R987" t="str">
        <f t="shared" si="660"/>
        <v>0,00</v>
      </c>
      <c r="S987" t="str">
        <f t="shared" si="660"/>
        <v>0,00</v>
      </c>
      <c r="T987" t="str">
        <f t="shared" si="657"/>
        <v xml:space="preserve"> </v>
      </c>
      <c r="U987" t="str">
        <f t="shared" si="661"/>
        <v>-</v>
      </c>
      <c r="V987" t="str">
        <f>"13,000"</f>
        <v>13,000</v>
      </c>
      <c r="W987" t="str">
        <f t="shared" si="641"/>
        <v>Lista 4</v>
      </c>
      <c r="X987" t="str">
        <f t="shared" si="642"/>
        <v>Lista 5</v>
      </c>
      <c r="Y987" t="str">
        <f t="shared" si="643"/>
        <v>Oferta Gral.</v>
      </c>
      <c r="Z987" t="str">
        <f t="shared" si="644"/>
        <v>Rubro</v>
      </c>
      <c r="AA987" t="str">
        <f t="shared" si="645"/>
        <v>Cantidad por Bulto</v>
      </c>
      <c r="AB987" t="str">
        <f t="shared" si="646"/>
        <v>INNER</v>
      </c>
      <c r="AC987" t="str">
        <f t="shared" si="647"/>
        <v>Stock en Bultos</v>
      </c>
      <c r="AD987" t="str">
        <f t="shared" si="648"/>
        <v>SubDepósito</v>
      </c>
      <c r="AE987" t="str">
        <f t="shared" si="649"/>
        <v>Marca</v>
      </c>
      <c r="AF987" t="str">
        <f t="shared" si="650"/>
        <v>Super Rubro</v>
      </c>
      <c r="AG987" t="str">
        <f t="shared" si="651"/>
        <v>ComercioExterior</v>
      </c>
      <c r="AH987" t="str">
        <f t="shared" si="652"/>
        <v>PrecioFOB</v>
      </c>
      <c r="AI987" t="str">
        <f t="shared" si="653"/>
        <v>Monto II</v>
      </c>
      <c r="AJ987" t="str">
        <f t="shared" si="654"/>
        <v>Porcentaje II</v>
      </c>
      <c r="AK987" t="str">
        <f t="shared" si="655"/>
        <v>Foto</v>
      </c>
      <c r="AL987" t="str">
        <f t="shared" si="663"/>
        <v xml:space="preserve"> </v>
      </c>
      <c r="AM987" t="str">
        <f t="shared" si="662"/>
        <v xml:space="preserve"> </v>
      </c>
    </row>
    <row r="988" spans="1:39" x14ac:dyDescent="0.25">
      <c r="A988" t="str">
        <f>"BA417"</f>
        <v>BA417</v>
      </c>
      <c r="B988" t="str">
        <f>"COJINETES BANCADA STD PEUGEOT 307 406 MOTOR 2.0 EW10J4 XU7"</f>
        <v>COJINETES BANCADA STD PEUGEOT 307 406 MOTOR 2.0 EW10J4 XU7</v>
      </c>
      <c r="C988" t="str">
        <f>"$ 22754,31"</f>
        <v>$ 22754,31</v>
      </c>
      <c r="D988" t="str">
        <f>"$ 22754,31"</f>
        <v>$ 22754,31</v>
      </c>
      <c r="E988" t="str">
        <f>"$ 22754,31"</f>
        <v>$ 22754,31</v>
      </c>
      <c r="F988" t="str">
        <f>"$ 22754,31"</f>
        <v>$ 22754,31</v>
      </c>
      <c r="G988" t="str">
        <f>"$ 22754,31"</f>
        <v>$ 22754,31</v>
      </c>
      <c r="H988" t="str">
        <f t="shared" si="636"/>
        <v>$ 0,00</v>
      </c>
      <c r="I988" t="str">
        <f t="shared" si="627"/>
        <v>JUEGO COJINETES BANCADA</v>
      </c>
      <c r="J988" t="str">
        <f t="shared" si="637"/>
        <v>1</v>
      </c>
      <c r="K988" t="str">
        <f t="shared" si="658"/>
        <v>0</v>
      </c>
      <c r="L988" t="str">
        <f>"6,000"</f>
        <v>6,000</v>
      </c>
      <c r="M988" t="str">
        <f t="shared" si="638"/>
        <v xml:space="preserve"> </v>
      </c>
      <c r="N988" t="str">
        <f t="shared" si="628"/>
        <v>MPSI</v>
      </c>
      <c r="O988" t="str">
        <f t="shared" si="629"/>
        <v>COJINETES</v>
      </c>
      <c r="P988" t="str">
        <f t="shared" si="659"/>
        <v>0</v>
      </c>
      <c r="Q988" t="str">
        <f t="shared" si="659"/>
        <v>0</v>
      </c>
      <c r="R988" t="str">
        <f t="shared" si="660"/>
        <v>0,00</v>
      </c>
      <c r="S988" t="str">
        <f t="shared" si="660"/>
        <v>0,00</v>
      </c>
      <c r="T988" t="str">
        <f t="shared" si="657"/>
        <v xml:space="preserve"> </v>
      </c>
      <c r="U988" t="str">
        <f t="shared" si="661"/>
        <v>-</v>
      </c>
      <c r="V988" t="str">
        <f>"6,000"</f>
        <v>6,000</v>
      </c>
      <c r="W988" t="str">
        <f t="shared" si="641"/>
        <v>Lista 4</v>
      </c>
      <c r="X988" t="str">
        <f t="shared" si="642"/>
        <v>Lista 5</v>
      </c>
      <c r="Y988" t="str">
        <f t="shared" si="643"/>
        <v>Oferta Gral.</v>
      </c>
      <c r="Z988" t="str">
        <f t="shared" si="644"/>
        <v>Rubro</v>
      </c>
      <c r="AA988" t="str">
        <f t="shared" si="645"/>
        <v>Cantidad por Bulto</v>
      </c>
      <c r="AB988" t="str">
        <f t="shared" si="646"/>
        <v>INNER</v>
      </c>
      <c r="AC988" t="str">
        <f t="shared" si="647"/>
        <v>Stock en Bultos</v>
      </c>
      <c r="AD988" t="str">
        <f t="shared" si="648"/>
        <v>SubDepósito</v>
      </c>
      <c r="AE988" t="str">
        <f t="shared" si="649"/>
        <v>Marca</v>
      </c>
      <c r="AF988" t="str">
        <f t="shared" si="650"/>
        <v>Super Rubro</v>
      </c>
      <c r="AG988" t="str">
        <f t="shared" si="651"/>
        <v>ComercioExterior</v>
      </c>
      <c r="AH988" t="str">
        <f t="shared" si="652"/>
        <v>PrecioFOB</v>
      </c>
      <c r="AI988" t="str">
        <f t="shared" si="653"/>
        <v>Monto II</v>
      </c>
      <c r="AJ988" t="str">
        <f t="shared" si="654"/>
        <v>Porcentaje II</v>
      </c>
      <c r="AK988" t="str">
        <f t="shared" si="655"/>
        <v>Foto</v>
      </c>
      <c r="AL988" t="str">
        <f t="shared" si="663"/>
        <v xml:space="preserve"> </v>
      </c>
      <c r="AM988" t="str">
        <f t="shared" si="662"/>
        <v xml:space="preserve"> </v>
      </c>
    </row>
    <row r="989" spans="1:39" x14ac:dyDescent="0.25">
      <c r="A989" t="str">
        <f>"BA678"</f>
        <v>BA678</v>
      </c>
      <c r="B989" t="str">
        <f>"COJINETES BANCADA STD PEUGEOT 307 CITROEN C4 1.6 16V TU5JP4"</f>
        <v>COJINETES BANCADA STD PEUGEOT 307 CITROEN C4 1.6 16V TU5JP4</v>
      </c>
      <c r="C989" t="str">
        <f>"$ 18304,00"</f>
        <v>$ 18304,00</v>
      </c>
      <c r="D989" t="str">
        <f>"$ 18304,00"</f>
        <v>$ 18304,00</v>
      </c>
      <c r="E989" t="str">
        <f>"$ 18304,00"</f>
        <v>$ 18304,00</v>
      </c>
      <c r="F989" t="str">
        <f>"$ 18304,00"</f>
        <v>$ 18304,00</v>
      </c>
      <c r="G989" t="str">
        <f>"$ 18304,00"</f>
        <v>$ 18304,00</v>
      </c>
      <c r="H989" t="str">
        <f t="shared" si="636"/>
        <v>$ 0,00</v>
      </c>
      <c r="I989" t="str">
        <f t="shared" si="627"/>
        <v>JUEGO COJINETES BANCADA</v>
      </c>
      <c r="J989" t="str">
        <f t="shared" si="637"/>
        <v>1</v>
      </c>
      <c r="K989" t="str">
        <f t="shared" si="658"/>
        <v>0</v>
      </c>
      <c r="L989" t="str">
        <f>"9,000"</f>
        <v>9,000</v>
      </c>
      <c r="M989" t="str">
        <f t="shared" si="638"/>
        <v xml:space="preserve"> </v>
      </c>
      <c r="N989" t="str">
        <f t="shared" si="628"/>
        <v>MPSI</v>
      </c>
      <c r="O989" t="str">
        <f t="shared" si="629"/>
        <v>COJINETES</v>
      </c>
      <c r="P989" t="str">
        <f t="shared" si="659"/>
        <v>0</v>
      </c>
      <c r="Q989" t="str">
        <f t="shared" si="659"/>
        <v>0</v>
      </c>
      <c r="R989" t="str">
        <f t="shared" si="660"/>
        <v>0,00</v>
      </c>
      <c r="S989" t="str">
        <f t="shared" si="660"/>
        <v>0,00</v>
      </c>
      <c r="T989" t="str">
        <f t="shared" si="657"/>
        <v xml:space="preserve"> </v>
      </c>
      <c r="U989" t="str">
        <f t="shared" si="661"/>
        <v>-</v>
      </c>
      <c r="V989" t="str">
        <f>"9,000"</f>
        <v>9,000</v>
      </c>
      <c r="W989" t="str">
        <f t="shared" si="641"/>
        <v>Lista 4</v>
      </c>
      <c r="X989" t="str">
        <f t="shared" si="642"/>
        <v>Lista 5</v>
      </c>
      <c r="Y989" t="str">
        <f t="shared" si="643"/>
        <v>Oferta Gral.</v>
      </c>
      <c r="Z989" t="str">
        <f t="shared" si="644"/>
        <v>Rubro</v>
      </c>
      <c r="AA989" t="str">
        <f t="shared" si="645"/>
        <v>Cantidad por Bulto</v>
      </c>
      <c r="AB989" t="str">
        <f t="shared" si="646"/>
        <v>INNER</v>
      </c>
      <c r="AC989" t="str">
        <f t="shared" si="647"/>
        <v>Stock en Bultos</v>
      </c>
      <c r="AD989" t="str">
        <f t="shared" si="648"/>
        <v>SubDepósito</v>
      </c>
      <c r="AE989" t="str">
        <f t="shared" si="649"/>
        <v>Marca</v>
      </c>
      <c r="AF989" t="str">
        <f t="shared" si="650"/>
        <v>Super Rubro</v>
      </c>
      <c r="AG989" t="str">
        <f t="shared" si="651"/>
        <v>ComercioExterior</v>
      </c>
      <c r="AH989" t="str">
        <f t="shared" si="652"/>
        <v>PrecioFOB</v>
      </c>
      <c r="AI989" t="str">
        <f t="shared" si="653"/>
        <v>Monto II</v>
      </c>
      <c r="AJ989" t="str">
        <f t="shared" si="654"/>
        <v>Porcentaje II</v>
      </c>
      <c r="AK989" t="str">
        <f t="shared" si="655"/>
        <v>Foto</v>
      </c>
      <c r="AL989" t="str">
        <f t="shared" si="663"/>
        <v xml:space="preserve"> </v>
      </c>
      <c r="AM989" t="str">
        <f t="shared" si="662"/>
        <v xml:space="preserve"> </v>
      </c>
    </row>
    <row r="990" spans="1:39" x14ac:dyDescent="0.25">
      <c r="A990" t="str">
        <f>"BA419"</f>
        <v>BA419</v>
      </c>
      <c r="B990" t="str">
        <f>"COJINETES BANCADA STD PEUGEOT 404 504 1.6 1.8 2.0"</f>
        <v>COJINETES BANCADA STD PEUGEOT 404 504 1.6 1.8 2.0</v>
      </c>
      <c r="C990" t="str">
        <f>"$ 26292,22"</f>
        <v>$ 26292,22</v>
      </c>
      <c r="D990" t="str">
        <f>"$ 26292,22"</f>
        <v>$ 26292,22</v>
      </c>
      <c r="E990" t="str">
        <f>"$ 26292,22"</f>
        <v>$ 26292,22</v>
      </c>
      <c r="F990" t="str">
        <f>"$ 26292,22"</f>
        <v>$ 26292,22</v>
      </c>
      <c r="G990" t="str">
        <f>"$ 26292,22"</f>
        <v>$ 26292,22</v>
      </c>
      <c r="H990" t="str">
        <f t="shared" si="636"/>
        <v>$ 0,00</v>
      </c>
      <c r="I990" t="str">
        <f t="shared" si="627"/>
        <v>JUEGO COJINETES BANCADA</v>
      </c>
      <c r="J990" t="str">
        <f t="shared" si="637"/>
        <v>1</v>
      </c>
      <c r="K990" t="str">
        <f t="shared" si="658"/>
        <v>0</v>
      </c>
      <c r="L990" t="str">
        <f>"7,000"</f>
        <v>7,000</v>
      </c>
      <c r="M990" t="str">
        <f t="shared" si="638"/>
        <v xml:space="preserve"> </v>
      </c>
      <c r="N990" t="str">
        <f t="shared" si="628"/>
        <v>MPSI</v>
      </c>
      <c r="O990" t="str">
        <f t="shared" si="629"/>
        <v>COJINETES</v>
      </c>
      <c r="P990" t="str">
        <f t="shared" si="659"/>
        <v>0</v>
      </c>
      <c r="Q990" t="str">
        <f t="shared" si="659"/>
        <v>0</v>
      </c>
      <c r="R990" t="str">
        <f t="shared" si="660"/>
        <v>0,00</v>
      </c>
      <c r="S990" t="str">
        <f t="shared" si="660"/>
        <v>0,00</v>
      </c>
      <c r="T990" t="str">
        <f t="shared" si="657"/>
        <v xml:space="preserve"> </v>
      </c>
      <c r="U990" t="str">
        <f t="shared" si="661"/>
        <v>-</v>
      </c>
      <c r="V990" t="str">
        <f>"7,000"</f>
        <v>7,000</v>
      </c>
      <c r="W990" t="str">
        <f t="shared" si="641"/>
        <v>Lista 4</v>
      </c>
      <c r="X990" t="str">
        <f t="shared" si="642"/>
        <v>Lista 5</v>
      </c>
      <c r="Y990" t="str">
        <f t="shared" si="643"/>
        <v>Oferta Gral.</v>
      </c>
      <c r="Z990" t="str">
        <f t="shared" si="644"/>
        <v>Rubro</v>
      </c>
      <c r="AA990" t="str">
        <f t="shared" si="645"/>
        <v>Cantidad por Bulto</v>
      </c>
      <c r="AB990" t="str">
        <f t="shared" si="646"/>
        <v>INNER</v>
      </c>
      <c r="AC990" t="str">
        <f t="shared" si="647"/>
        <v>Stock en Bultos</v>
      </c>
      <c r="AD990" t="str">
        <f t="shared" si="648"/>
        <v>SubDepósito</v>
      </c>
      <c r="AE990" t="str">
        <f t="shared" si="649"/>
        <v>Marca</v>
      </c>
      <c r="AF990" t="str">
        <f t="shared" si="650"/>
        <v>Super Rubro</v>
      </c>
      <c r="AG990" t="str">
        <f t="shared" si="651"/>
        <v>ComercioExterior</v>
      </c>
      <c r="AH990" t="str">
        <f t="shared" si="652"/>
        <v>PrecioFOB</v>
      </c>
      <c r="AI990" t="str">
        <f t="shared" si="653"/>
        <v>Monto II</v>
      </c>
      <c r="AJ990" t="str">
        <f t="shared" si="654"/>
        <v>Porcentaje II</v>
      </c>
      <c r="AK990" t="str">
        <f t="shared" si="655"/>
        <v>Foto</v>
      </c>
      <c r="AL990" t="str">
        <f t="shared" si="663"/>
        <v xml:space="preserve"> </v>
      </c>
      <c r="AM990" t="str">
        <f t="shared" si="662"/>
        <v xml:space="preserve"> </v>
      </c>
    </row>
    <row r="991" spans="1:39" x14ac:dyDescent="0.25">
      <c r="A991" t="str">
        <f>"BA413"</f>
        <v>BA413</v>
      </c>
      <c r="B991" t="str">
        <f>"COJINETES BANCADA STD PEUGEOT 404 504 DIESEL XD 4.88"</f>
        <v>COJINETES BANCADA STD PEUGEOT 404 504 DIESEL XD 4.88</v>
      </c>
      <c r="C991" t="str">
        <f>"$ 24839,81"</f>
        <v>$ 24839,81</v>
      </c>
      <c r="D991" t="str">
        <f>"$ 24839,81"</f>
        <v>$ 24839,81</v>
      </c>
      <c r="E991" t="str">
        <f>"$ 24839,81"</f>
        <v>$ 24839,81</v>
      </c>
      <c r="F991" t="str">
        <f>"$ 24839,81"</f>
        <v>$ 24839,81</v>
      </c>
      <c r="G991" t="str">
        <f>"$ 24839,81"</f>
        <v>$ 24839,81</v>
      </c>
      <c r="H991" t="str">
        <f t="shared" si="636"/>
        <v>$ 0,00</v>
      </c>
      <c r="I991" t="str">
        <f t="shared" ref="I991:I1015" si="664">"JUEGO COJINETES BANCADA"</f>
        <v>JUEGO COJINETES BANCADA</v>
      </c>
      <c r="J991" t="str">
        <f t="shared" si="637"/>
        <v>1</v>
      </c>
      <c r="K991" t="str">
        <f t="shared" si="658"/>
        <v>0</v>
      </c>
      <c r="L991" t="str">
        <f>"3,000"</f>
        <v>3,000</v>
      </c>
      <c r="M991" t="str">
        <f t="shared" si="638"/>
        <v xml:space="preserve"> </v>
      </c>
      <c r="N991" t="str">
        <f t="shared" si="628"/>
        <v>MPSI</v>
      </c>
      <c r="O991" t="str">
        <f t="shared" si="629"/>
        <v>COJINETES</v>
      </c>
      <c r="P991" t="str">
        <f t="shared" si="659"/>
        <v>0</v>
      </c>
      <c r="Q991" t="str">
        <f t="shared" si="659"/>
        <v>0</v>
      </c>
      <c r="R991" t="str">
        <f t="shared" si="660"/>
        <v>0,00</v>
      </c>
      <c r="S991" t="str">
        <f t="shared" si="660"/>
        <v>0,00</v>
      </c>
      <c r="T991" t="str">
        <f t="shared" si="657"/>
        <v xml:space="preserve"> </v>
      </c>
      <c r="U991" t="str">
        <f t="shared" si="661"/>
        <v>-</v>
      </c>
      <c r="V991" t="str">
        <f>"3,000"</f>
        <v>3,000</v>
      </c>
      <c r="W991" t="str">
        <f t="shared" si="641"/>
        <v>Lista 4</v>
      </c>
      <c r="X991" t="str">
        <f t="shared" si="642"/>
        <v>Lista 5</v>
      </c>
      <c r="Y991" t="str">
        <f t="shared" si="643"/>
        <v>Oferta Gral.</v>
      </c>
      <c r="Z991" t="str">
        <f t="shared" si="644"/>
        <v>Rubro</v>
      </c>
      <c r="AA991" t="str">
        <f t="shared" si="645"/>
        <v>Cantidad por Bulto</v>
      </c>
      <c r="AB991" t="str">
        <f t="shared" si="646"/>
        <v>INNER</v>
      </c>
      <c r="AC991" t="str">
        <f t="shared" si="647"/>
        <v>Stock en Bultos</v>
      </c>
      <c r="AD991" t="str">
        <f t="shared" si="648"/>
        <v>SubDepósito</v>
      </c>
      <c r="AE991" t="str">
        <f t="shared" si="649"/>
        <v>Marca</v>
      </c>
      <c r="AF991" t="str">
        <f t="shared" si="650"/>
        <v>Super Rubro</v>
      </c>
      <c r="AG991" t="str">
        <f t="shared" si="651"/>
        <v>ComercioExterior</v>
      </c>
      <c r="AH991" t="str">
        <f t="shared" si="652"/>
        <v>PrecioFOB</v>
      </c>
      <c r="AI991" t="str">
        <f t="shared" si="653"/>
        <v>Monto II</v>
      </c>
      <c r="AJ991" t="str">
        <f t="shared" si="654"/>
        <v>Porcentaje II</v>
      </c>
      <c r="AK991" t="str">
        <f t="shared" si="655"/>
        <v>Foto</v>
      </c>
      <c r="AL991" t="str">
        <f t="shared" si="663"/>
        <v xml:space="preserve"> </v>
      </c>
      <c r="AM991" t="str">
        <f t="shared" si="662"/>
        <v xml:space="preserve"> </v>
      </c>
    </row>
    <row r="992" spans="1:39" x14ac:dyDescent="0.25">
      <c r="A992" t="str">
        <f>"BA415"</f>
        <v>BA415</v>
      </c>
      <c r="B992" t="str">
        <f>"COJINETES BANCADA STD PEUGEOT 504 505 DIESEL XD2 XD3"</f>
        <v>COJINETES BANCADA STD PEUGEOT 504 505 DIESEL XD2 XD3</v>
      </c>
      <c r="C992" t="str">
        <f>"$ 29048,06"</f>
        <v>$ 29048,06</v>
      </c>
      <c r="D992" t="str">
        <f>"$ 29048,06"</f>
        <v>$ 29048,06</v>
      </c>
      <c r="E992" t="str">
        <f>"$ 29048,06"</f>
        <v>$ 29048,06</v>
      </c>
      <c r="F992" t="str">
        <f>"$ 29048,06"</f>
        <v>$ 29048,06</v>
      </c>
      <c r="G992" t="str">
        <f>"$ 29048,06"</f>
        <v>$ 29048,06</v>
      </c>
      <c r="H992" t="str">
        <f t="shared" si="636"/>
        <v>$ 0,00</v>
      </c>
      <c r="I992" t="str">
        <f t="shared" si="664"/>
        <v>JUEGO COJINETES BANCADA</v>
      </c>
      <c r="J992" t="str">
        <f t="shared" si="637"/>
        <v>1</v>
      </c>
      <c r="K992" t="str">
        <f t="shared" si="658"/>
        <v>0</v>
      </c>
      <c r="L992" t="str">
        <f>"7,000"</f>
        <v>7,000</v>
      </c>
      <c r="M992" t="str">
        <f t="shared" si="638"/>
        <v xml:space="preserve"> </v>
      </c>
      <c r="N992" t="str">
        <f t="shared" si="628"/>
        <v>MPSI</v>
      </c>
      <c r="O992" t="str">
        <f t="shared" si="629"/>
        <v>COJINETES</v>
      </c>
      <c r="P992" t="str">
        <f t="shared" si="659"/>
        <v>0</v>
      </c>
      <c r="Q992" t="str">
        <f t="shared" si="659"/>
        <v>0</v>
      </c>
      <c r="R992" t="str">
        <f t="shared" si="660"/>
        <v>0,00</v>
      </c>
      <c r="S992" t="str">
        <f t="shared" si="660"/>
        <v>0,00</v>
      </c>
      <c r="T992" t="str">
        <f t="shared" si="657"/>
        <v xml:space="preserve"> </v>
      </c>
      <c r="U992" t="str">
        <f t="shared" si="661"/>
        <v>-</v>
      </c>
      <c r="V992" t="str">
        <f>"7,000"</f>
        <v>7,000</v>
      </c>
      <c r="W992" t="str">
        <f t="shared" si="641"/>
        <v>Lista 4</v>
      </c>
      <c r="X992" t="str">
        <f t="shared" si="642"/>
        <v>Lista 5</v>
      </c>
      <c r="Y992" t="str">
        <f t="shared" si="643"/>
        <v>Oferta Gral.</v>
      </c>
      <c r="Z992" t="str">
        <f t="shared" si="644"/>
        <v>Rubro</v>
      </c>
      <c r="AA992" t="str">
        <f t="shared" si="645"/>
        <v>Cantidad por Bulto</v>
      </c>
      <c r="AB992" t="str">
        <f t="shared" si="646"/>
        <v>INNER</v>
      </c>
      <c r="AC992" t="str">
        <f t="shared" si="647"/>
        <v>Stock en Bultos</v>
      </c>
      <c r="AD992" t="str">
        <f t="shared" si="648"/>
        <v>SubDepósito</v>
      </c>
      <c r="AE992" t="str">
        <f t="shared" si="649"/>
        <v>Marca</v>
      </c>
      <c r="AF992" t="str">
        <f t="shared" si="650"/>
        <v>Super Rubro</v>
      </c>
      <c r="AG992" t="str">
        <f t="shared" si="651"/>
        <v>ComercioExterior</v>
      </c>
      <c r="AH992" t="str">
        <f t="shared" si="652"/>
        <v>PrecioFOB</v>
      </c>
      <c r="AI992" t="str">
        <f t="shared" si="653"/>
        <v>Monto II</v>
      </c>
      <c r="AJ992" t="str">
        <f t="shared" si="654"/>
        <v>Porcentaje II</v>
      </c>
      <c r="AK992" t="str">
        <f t="shared" si="655"/>
        <v>Foto</v>
      </c>
      <c r="AL992" t="str">
        <f t="shared" si="663"/>
        <v xml:space="preserve"> </v>
      </c>
      <c r="AM992" t="str">
        <f t="shared" si="662"/>
        <v xml:space="preserve"> </v>
      </c>
    </row>
    <row r="993" spans="1:39" x14ac:dyDescent="0.25">
      <c r="A993" t="str">
        <f>"BA733"</f>
        <v>BA733</v>
      </c>
      <c r="B993" t="str">
        <f>"COJINETES BANCADA STD PEUGEOT BOXER 2,5 DJ5"</f>
        <v>COJINETES BANCADA STD PEUGEOT BOXER 2,5 DJ5</v>
      </c>
      <c r="C993" t="str">
        <f>"$ 40387,97"</f>
        <v>$ 40387,97</v>
      </c>
      <c r="D993" t="str">
        <f>"$ 40387,97"</f>
        <v>$ 40387,97</v>
      </c>
      <c r="E993" t="str">
        <f>"$ 40387,97"</f>
        <v>$ 40387,97</v>
      </c>
      <c r="F993" t="str">
        <f>"$ 40387,97"</f>
        <v>$ 40387,97</v>
      </c>
      <c r="G993" t="str">
        <f>"$ 40387,97"</f>
        <v>$ 40387,97</v>
      </c>
      <c r="H993" t="str">
        <f t="shared" si="636"/>
        <v>$ 0,00</v>
      </c>
      <c r="I993" t="str">
        <f t="shared" si="664"/>
        <v>JUEGO COJINETES BANCADA</v>
      </c>
      <c r="J993" t="str">
        <f t="shared" si="637"/>
        <v>1</v>
      </c>
      <c r="K993" t="str">
        <f t="shared" si="658"/>
        <v>0</v>
      </c>
      <c r="L993" t="str">
        <f>"3,000"</f>
        <v>3,000</v>
      </c>
      <c r="M993" t="str">
        <f t="shared" si="638"/>
        <v xml:space="preserve"> </v>
      </c>
      <c r="N993" t="str">
        <f t="shared" si="628"/>
        <v>MPSI</v>
      </c>
      <c r="O993" t="str">
        <f t="shared" si="629"/>
        <v>COJINETES</v>
      </c>
      <c r="P993" t="str">
        <f t="shared" si="659"/>
        <v>0</v>
      </c>
      <c r="Q993" t="str">
        <f t="shared" si="659"/>
        <v>0</v>
      </c>
      <c r="R993" t="str">
        <f t="shared" si="660"/>
        <v>0,00</v>
      </c>
      <c r="S993" t="str">
        <f t="shared" si="660"/>
        <v>0,00</v>
      </c>
      <c r="T993" t="str">
        <f t="shared" si="657"/>
        <v xml:space="preserve"> </v>
      </c>
      <c r="U993" t="str">
        <f t="shared" si="661"/>
        <v>-</v>
      </c>
      <c r="V993" t="str">
        <f>"3,000"</f>
        <v>3,000</v>
      </c>
      <c r="W993" t="str">
        <f t="shared" si="641"/>
        <v>Lista 4</v>
      </c>
      <c r="X993" t="str">
        <f t="shared" si="642"/>
        <v>Lista 5</v>
      </c>
      <c r="Y993" t="str">
        <f t="shared" si="643"/>
        <v>Oferta Gral.</v>
      </c>
      <c r="Z993" t="str">
        <f t="shared" si="644"/>
        <v>Rubro</v>
      </c>
      <c r="AA993" t="str">
        <f t="shared" si="645"/>
        <v>Cantidad por Bulto</v>
      </c>
      <c r="AB993" t="str">
        <f t="shared" si="646"/>
        <v>INNER</v>
      </c>
      <c r="AC993" t="str">
        <f t="shared" si="647"/>
        <v>Stock en Bultos</v>
      </c>
      <c r="AD993" t="str">
        <f t="shared" si="648"/>
        <v>SubDepósito</v>
      </c>
      <c r="AE993" t="str">
        <f t="shared" si="649"/>
        <v>Marca</v>
      </c>
      <c r="AF993" t="str">
        <f t="shared" si="650"/>
        <v>Super Rubro</v>
      </c>
      <c r="AG993" t="str">
        <f t="shared" si="651"/>
        <v>ComercioExterior</v>
      </c>
      <c r="AH993" t="str">
        <f t="shared" si="652"/>
        <v>PrecioFOB</v>
      </c>
      <c r="AI993" t="str">
        <f t="shared" si="653"/>
        <v>Monto II</v>
      </c>
      <c r="AJ993" t="str">
        <f t="shared" si="654"/>
        <v>Porcentaje II</v>
      </c>
      <c r="AK993" t="str">
        <f t="shared" si="655"/>
        <v>Foto</v>
      </c>
      <c r="AL993" t="str">
        <f t="shared" si="663"/>
        <v xml:space="preserve"> </v>
      </c>
      <c r="AM993" t="str">
        <f t="shared" si="662"/>
        <v xml:space="preserve"> </v>
      </c>
    </row>
    <row r="994" spans="1:39" x14ac:dyDescent="0.25">
      <c r="A994" t="str">
        <f>"BA365035"</f>
        <v>BA365035</v>
      </c>
      <c r="B994" t="str">
        <f>"COJINETES BANCADA STD PEUGEOT CITROEN 1.6 16V TURBO THP"</f>
        <v>COJINETES BANCADA STD PEUGEOT CITROEN 1.6 16V TURBO THP</v>
      </c>
      <c r="C994" t="str">
        <f>"$ 18006,07"</f>
        <v>$ 18006,07</v>
      </c>
      <c r="D994" t="str">
        <f>"$ 18006,07"</f>
        <v>$ 18006,07</v>
      </c>
      <c r="E994" t="str">
        <f>"$ 18006,07"</f>
        <v>$ 18006,07</v>
      </c>
      <c r="F994" t="str">
        <f>"$ 18006,07"</f>
        <v>$ 18006,07</v>
      </c>
      <c r="G994" t="str">
        <f>"$ 18006,07"</f>
        <v>$ 18006,07</v>
      </c>
      <c r="H994" t="str">
        <f t="shared" si="636"/>
        <v>$ 0,00</v>
      </c>
      <c r="I994" t="str">
        <f t="shared" si="664"/>
        <v>JUEGO COJINETES BANCADA</v>
      </c>
      <c r="J994" t="str">
        <f t="shared" si="637"/>
        <v>1</v>
      </c>
      <c r="K994" t="str">
        <f t="shared" si="658"/>
        <v>0</v>
      </c>
      <c r="L994" t="str">
        <f>"6,000"</f>
        <v>6,000</v>
      </c>
      <c r="M994" t="str">
        <f t="shared" si="638"/>
        <v xml:space="preserve"> </v>
      </c>
      <c r="N994" t="str">
        <f t="shared" si="628"/>
        <v>MPSI</v>
      </c>
      <c r="O994" t="str">
        <f t="shared" si="629"/>
        <v>COJINETES</v>
      </c>
      <c r="P994" t="str">
        <f t="shared" si="659"/>
        <v>0</v>
      </c>
      <c r="Q994" t="str">
        <f t="shared" si="659"/>
        <v>0</v>
      </c>
      <c r="R994" t="str">
        <f t="shared" si="660"/>
        <v>0,00</v>
      </c>
      <c r="S994" t="str">
        <f t="shared" si="660"/>
        <v>0,00</v>
      </c>
      <c r="T994" t="str">
        <f t="shared" si="657"/>
        <v xml:space="preserve"> </v>
      </c>
      <c r="U994" t="str">
        <f t="shared" si="661"/>
        <v>-</v>
      </c>
      <c r="V994" t="str">
        <f>"6,000"</f>
        <v>6,000</v>
      </c>
      <c r="W994" t="str">
        <f t="shared" si="641"/>
        <v>Lista 4</v>
      </c>
      <c r="X994" t="str">
        <f t="shared" si="642"/>
        <v>Lista 5</v>
      </c>
      <c r="Y994" t="str">
        <f t="shared" si="643"/>
        <v>Oferta Gral.</v>
      </c>
      <c r="Z994" t="str">
        <f t="shared" si="644"/>
        <v>Rubro</v>
      </c>
      <c r="AA994" t="str">
        <f t="shared" si="645"/>
        <v>Cantidad por Bulto</v>
      </c>
      <c r="AB994" t="str">
        <f t="shared" si="646"/>
        <v>INNER</v>
      </c>
      <c r="AC994" t="str">
        <f t="shared" si="647"/>
        <v>Stock en Bultos</v>
      </c>
      <c r="AD994" t="str">
        <f t="shared" si="648"/>
        <v>SubDepósito</v>
      </c>
      <c r="AE994" t="str">
        <f t="shared" si="649"/>
        <v>Marca</v>
      </c>
      <c r="AF994" t="str">
        <f t="shared" si="650"/>
        <v>Super Rubro</v>
      </c>
      <c r="AG994" t="str">
        <f t="shared" si="651"/>
        <v>ComercioExterior</v>
      </c>
      <c r="AH994" t="str">
        <f t="shared" si="652"/>
        <v>PrecioFOB</v>
      </c>
      <c r="AI994" t="str">
        <f t="shared" si="653"/>
        <v>Monto II</v>
      </c>
      <c r="AJ994" t="str">
        <f t="shared" si="654"/>
        <v>Porcentaje II</v>
      </c>
      <c r="AK994" t="str">
        <f t="shared" si="655"/>
        <v>Foto</v>
      </c>
      <c r="AL994" t="str">
        <f t="shared" si="663"/>
        <v xml:space="preserve"> </v>
      </c>
      <c r="AM994" t="str">
        <f t="shared" si="662"/>
        <v xml:space="preserve"> </v>
      </c>
    </row>
    <row r="995" spans="1:39" x14ac:dyDescent="0.25">
      <c r="A995" t="str">
        <f>"BA241"</f>
        <v>BA241</v>
      </c>
      <c r="B995" t="str">
        <f>"COJINETES BANCADA STD RENAULT 18 FUEGO TRAFIC 2.0"</f>
        <v>COJINETES BANCADA STD RENAULT 18 FUEGO TRAFIC 2.0</v>
      </c>
      <c r="C995" t="str">
        <f>"$ 23764,42"</f>
        <v>$ 23764,42</v>
      </c>
      <c r="D995" t="str">
        <f>"$ 23764,42"</f>
        <v>$ 23764,42</v>
      </c>
      <c r="E995" t="str">
        <f>"$ 23764,42"</f>
        <v>$ 23764,42</v>
      </c>
      <c r="F995" t="str">
        <f>"$ 23764,42"</f>
        <v>$ 23764,42</v>
      </c>
      <c r="G995" t="str">
        <f>"$ 23764,42"</f>
        <v>$ 23764,42</v>
      </c>
      <c r="H995" t="str">
        <f t="shared" si="636"/>
        <v>$ 0,00</v>
      </c>
      <c r="I995" t="str">
        <f t="shared" si="664"/>
        <v>JUEGO COJINETES BANCADA</v>
      </c>
      <c r="J995" t="str">
        <f t="shared" si="637"/>
        <v>1</v>
      </c>
      <c r="K995" t="str">
        <f t="shared" si="658"/>
        <v>0</v>
      </c>
      <c r="L995" t="str">
        <f>"12,000"</f>
        <v>12,000</v>
      </c>
      <c r="M995" t="str">
        <f t="shared" si="638"/>
        <v xml:space="preserve"> </v>
      </c>
      <c r="N995" t="str">
        <f t="shared" si="628"/>
        <v>MPSI</v>
      </c>
      <c r="O995" t="str">
        <f t="shared" si="629"/>
        <v>COJINETES</v>
      </c>
      <c r="P995" t="str">
        <f t="shared" si="659"/>
        <v>0</v>
      </c>
      <c r="Q995" t="str">
        <f t="shared" si="659"/>
        <v>0</v>
      </c>
      <c r="R995" t="str">
        <f t="shared" si="660"/>
        <v>0,00</v>
      </c>
      <c r="S995" t="str">
        <f t="shared" si="660"/>
        <v>0,00</v>
      </c>
      <c r="T995" t="str">
        <f t="shared" si="657"/>
        <v xml:space="preserve"> </v>
      </c>
      <c r="U995" t="str">
        <f t="shared" si="661"/>
        <v>-</v>
      </c>
      <c r="V995" t="str">
        <f>"12,000"</f>
        <v>12,000</v>
      </c>
      <c r="W995" t="str">
        <f t="shared" si="641"/>
        <v>Lista 4</v>
      </c>
      <c r="X995" t="str">
        <f t="shared" si="642"/>
        <v>Lista 5</v>
      </c>
      <c r="Y995" t="str">
        <f t="shared" si="643"/>
        <v>Oferta Gral.</v>
      </c>
      <c r="Z995" t="str">
        <f t="shared" si="644"/>
        <v>Rubro</v>
      </c>
      <c r="AA995" t="str">
        <f t="shared" si="645"/>
        <v>Cantidad por Bulto</v>
      </c>
      <c r="AB995" t="str">
        <f t="shared" si="646"/>
        <v>INNER</v>
      </c>
      <c r="AC995" t="str">
        <f t="shared" si="647"/>
        <v>Stock en Bultos</v>
      </c>
      <c r="AD995" t="str">
        <f t="shared" si="648"/>
        <v>SubDepósito</v>
      </c>
      <c r="AE995" t="str">
        <f t="shared" si="649"/>
        <v>Marca</v>
      </c>
      <c r="AF995" t="str">
        <f t="shared" si="650"/>
        <v>Super Rubro</v>
      </c>
      <c r="AG995" t="str">
        <f t="shared" si="651"/>
        <v>ComercioExterior</v>
      </c>
      <c r="AH995" t="str">
        <f t="shared" si="652"/>
        <v>PrecioFOB</v>
      </c>
      <c r="AI995" t="str">
        <f t="shared" si="653"/>
        <v>Monto II</v>
      </c>
      <c r="AJ995" t="str">
        <f t="shared" si="654"/>
        <v>Porcentaje II</v>
      </c>
      <c r="AK995" t="str">
        <f t="shared" si="655"/>
        <v>Foto</v>
      </c>
      <c r="AL995" t="str">
        <f t="shared" si="663"/>
        <v xml:space="preserve"> </v>
      </c>
      <c r="AM995" t="str">
        <f t="shared" si="662"/>
        <v xml:space="preserve"> </v>
      </c>
    </row>
    <row r="996" spans="1:39" x14ac:dyDescent="0.25">
      <c r="A996" t="str">
        <f>"BA247"</f>
        <v>BA247</v>
      </c>
      <c r="B996" t="str">
        <f>"COJINETES BANCADA STD RENAULT 19 CLIO 1.9 DIESEL F8Q  CON TRABA"</f>
        <v>COJINETES BANCADA STD RENAULT 19 CLIO 1.9 DIESEL F8Q  CON TRABA</v>
      </c>
      <c r="C996" t="str">
        <f>"$ 18062,95"</f>
        <v>$ 18062,95</v>
      </c>
      <c r="D996" t="str">
        <f>"$ 18062,95"</f>
        <v>$ 18062,95</v>
      </c>
      <c r="E996" t="str">
        <f>"$ 18062,95"</f>
        <v>$ 18062,95</v>
      </c>
      <c r="F996" t="str">
        <f>"$ 18062,95"</f>
        <v>$ 18062,95</v>
      </c>
      <c r="G996" t="str">
        <f>"$ 18062,95"</f>
        <v>$ 18062,95</v>
      </c>
      <c r="H996" t="str">
        <f t="shared" si="636"/>
        <v>$ 0,00</v>
      </c>
      <c r="I996" t="str">
        <f t="shared" si="664"/>
        <v>JUEGO COJINETES BANCADA</v>
      </c>
      <c r="J996" t="str">
        <f t="shared" si="637"/>
        <v>1</v>
      </c>
      <c r="K996" t="str">
        <f t="shared" si="658"/>
        <v>0</v>
      </c>
      <c r="L996" t="str">
        <f>"8,000"</f>
        <v>8,000</v>
      </c>
      <c r="M996" t="str">
        <f t="shared" si="638"/>
        <v xml:space="preserve"> </v>
      </c>
      <c r="N996" t="str">
        <f t="shared" si="628"/>
        <v>MPSI</v>
      </c>
      <c r="O996" t="str">
        <f t="shared" si="629"/>
        <v>COJINETES</v>
      </c>
      <c r="P996" t="str">
        <f t="shared" si="659"/>
        <v>0</v>
      </c>
      <c r="Q996" t="str">
        <f t="shared" si="659"/>
        <v>0</v>
      </c>
      <c r="R996" t="str">
        <f t="shared" si="660"/>
        <v>0,00</v>
      </c>
      <c r="S996" t="str">
        <f t="shared" si="660"/>
        <v>0,00</v>
      </c>
      <c r="T996" t="str">
        <f t="shared" si="657"/>
        <v xml:space="preserve"> </v>
      </c>
      <c r="U996" t="str">
        <f t="shared" si="661"/>
        <v>-</v>
      </c>
      <c r="V996" t="str">
        <f>"8,000"</f>
        <v>8,000</v>
      </c>
      <c r="W996" t="str">
        <f t="shared" si="641"/>
        <v>Lista 4</v>
      </c>
      <c r="X996" t="str">
        <f t="shared" si="642"/>
        <v>Lista 5</v>
      </c>
      <c r="Y996" t="str">
        <f t="shared" si="643"/>
        <v>Oferta Gral.</v>
      </c>
      <c r="Z996" t="str">
        <f t="shared" si="644"/>
        <v>Rubro</v>
      </c>
      <c r="AA996" t="str">
        <f t="shared" si="645"/>
        <v>Cantidad por Bulto</v>
      </c>
      <c r="AB996" t="str">
        <f t="shared" si="646"/>
        <v>INNER</v>
      </c>
      <c r="AC996" t="str">
        <f t="shared" si="647"/>
        <v>Stock en Bultos</v>
      </c>
      <c r="AD996" t="str">
        <f t="shared" si="648"/>
        <v>SubDepósito</v>
      </c>
      <c r="AE996" t="str">
        <f t="shared" si="649"/>
        <v>Marca</v>
      </c>
      <c r="AF996" t="str">
        <f t="shared" si="650"/>
        <v>Super Rubro</v>
      </c>
      <c r="AG996" t="str">
        <f t="shared" si="651"/>
        <v>ComercioExterior</v>
      </c>
      <c r="AH996" t="str">
        <f t="shared" si="652"/>
        <v>PrecioFOB</v>
      </c>
      <c r="AI996" t="str">
        <f t="shared" si="653"/>
        <v>Monto II</v>
      </c>
      <c r="AJ996" t="str">
        <f t="shared" si="654"/>
        <v>Porcentaje II</v>
      </c>
      <c r="AK996" t="str">
        <f t="shared" si="655"/>
        <v>Foto</v>
      </c>
      <c r="AL996" t="str">
        <f t="shared" si="663"/>
        <v xml:space="preserve"> </v>
      </c>
      <c r="AM996" t="str">
        <f t="shared" si="662"/>
        <v xml:space="preserve"> </v>
      </c>
    </row>
    <row r="997" spans="1:39" x14ac:dyDescent="0.25">
      <c r="A997" t="str">
        <f>"BA244"</f>
        <v>BA244</v>
      </c>
      <c r="B997" t="str">
        <f>"COJINETES BANCADA STD RENAULT 19 KANGOO 1.9 DIESEL F8Q  SIN TRABA"</f>
        <v>COJINETES BANCADA STD RENAULT 19 KANGOO 1.9 DIESEL F8Q  SIN TRABA</v>
      </c>
      <c r="C997" t="str">
        <f>"$ 17782,00"</f>
        <v>$ 17782,00</v>
      </c>
      <c r="D997" t="str">
        <f>"$ 17782,00"</f>
        <v>$ 17782,00</v>
      </c>
      <c r="E997" t="str">
        <f>"$ 17782,00"</f>
        <v>$ 17782,00</v>
      </c>
      <c r="F997" t="str">
        <f>"$ 17782,00"</f>
        <v>$ 17782,00</v>
      </c>
      <c r="G997" t="str">
        <f>"$ 17782,00"</f>
        <v>$ 17782,00</v>
      </c>
      <c r="H997" t="str">
        <f t="shared" si="636"/>
        <v>$ 0,00</v>
      </c>
      <c r="I997" t="str">
        <f t="shared" si="664"/>
        <v>JUEGO COJINETES BANCADA</v>
      </c>
      <c r="J997" t="str">
        <f t="shared" si="637"/>
        <v>1</v>
      </c>
      <c r="K997" t="str">
        <f t="shared" si="658"/>
        <v>0</v>
      </c>
      <c r="L997" t="str">
        <f>"10,000"</f>
        <v>10,000</v>
      </c>
      <c r="M997" t="str">
        <f t="shared" si="638"/>
        <v xml:space="preserve"> </v>
      </c>
      <c r="N997" t="str">
        <f t="shared" ref="N997:N1060" si="665">"MPSI"</f>
        <v>MPSI</v>
      </c>
      <c r="O997" t="str">
        <f t="shared" ref="O997:O1060" si="666">"COJINETES"</f>
        <v>COJINETES</v>
      </c>
      <c r="P997" t="str">
        <f t="shared" si="659"/>
        <v>0</v>
      </c>
      <c r="Q997" t="str">
        <f t="shared" si="659"/>
        <v>0</v>
      </c>
      <c r="R997" t="str">
        <f t="shared" si="660"/>
        <v>0,00</v>
      </c>
      <c r="S997" t="str">
        <f t="shared" si="660"/>
        <v>0,00</v>
      </c>
      <c r="T997" t="str">
        <f t="shared" si="657"/>
        <v xml:space="preserve"> </v>
      </c>
      <c r="U997" t="str">
        <f t="shared" si="661"/>
        <v>-</v>
      </c>
      <c r="V997" t="str">
        <f>"10,000"</f>
        <v>10,000</v>
      </c>
      <c r="W997" t="str">
        <f t="shared" si="641"/>
        <v>Lista 4</v>
      </c>
      <c r="X997" t="str">
        <f t="shared" si="642"/>
        <v>Lista 5</v>
      </c>
      <c r="Y997" t="str">
        <f t="shared" si="643"/>
        <v>Oferta Gral.</v>
      </c>
      <c r="Z997" t="str">
        <f t="shared" si="644"/>
        <v>Rubro</v>
      </c>
      <c r="AA997" t="str">
        <f t="shared" si="645"/>
        <v>Cantidad por Bulto</v>
      </c>
      <c r="AB997" t="str">
        <f t="shared" si="646"/>
        <v>INNER</v>
      </c>
      <c r="AC997" t="str">
        <f t="shared" si="647"/>
        <v>Stock en Bultos</v>
      </c>
      <c r="AD997" t="str">
        <f t="shared" si="648"/>
        <v>SubDepósito</v>
      </c>
      <c r="AE997" t="str">
        <f t="shared" si="649"/>
        <v>Marca</v>
      </c>
      <c r="AF997" t="str">
        <f t="shared" si="650"/>
        <v>Super Rubro</v>
      </c>
      <c r="AG997" t="str">
        <f t="shared" si="651"/>
        <v>ComercioExterior</v>
      </c>
      <c r="AH997" t="str">
        <f t="shared" si="652"/>
        <v>PrecioFOB</v>
      </c>
      <c r="AI997" t="str">
        <f t="shared" si="653"/>
        <v>Monto II</v>
      </c>
      <c r="AJ997" t="str">
        <f t="shared" si="654"/>
        <v>Porcentaje II</v>
      </c>
      <c r="AK997" t="str">
        <f t="shared" si="655"/>
        <v>Foto</v>
      </c>
      <c r="AL997" t="str">
        <f t="shared" si="663"/>
        <v xml:space="preserve"> </v>
      </c>
      <c r="AM997" t="str">
        <f t="shared" si="662"/>
        <v xml:space="preserve"> </v>
      </c>
    </row>
    <row r="998" spans="1:39" x14ac:dyDescent="0.25">
      <c r="A998" t="str">
        <f>"BA240"</f>
        <v>BA240</v>
      </c>
      <c r="B998" t="str">
        <f>"COJINETES BANCADA STD RENAULT 9 11 12 18 19 CLIO 1.3 1.4 1.6 8V"</f>
        <v>COJINETES BANCADA STD RENAULT 9 11 12 18 19 CLIO 1.3 1.4 1.6 8V</v>
      </c>
      <c r="C998" t="str">
        <f>"$ 18690,93"</f>
        <v>$ 18690,93</v>
      </c>
      <c r="D998" t="str">
        <f>"$ 18690,93"</f>
        <v>$ 18690,93</v>
      </c>
      <c r="E998" t="str">
        <f>"$ 18690,93"</f>
        <v>$ 18690,93</v>
      </c>
      <c r="F998" t="str">
        <f>"$ 18690,93"</f>
        <v>$ 18690,93</v>
      </c>
      <c r="G998" t="str">
        <f>"$ 18690,93"</f>
        <v>$ 18690,93</v>
      </c>
      <c r="H998" t="str">
        <f t="shared" si="636"/>
        <v>$ 0,00</v>
      </c>
      <c r="I998" t="str">
        <f t="shared" si="664"/>
        <v>JUEGO COJINETES BANCADA</v>
      </c>
      <c r="J998" t="str">
        <f t="shared" si="637"/>
        <v>1</v>
      </c>
      <c r="K998" t="str">
        <f t="shared" si="658"/>
        <v>0</v>
      </c>
      <c r="L998" t="str">
        <f>"27,000"</f>
        <v>27,000</v>
      </c>
      <c r="M998" t="str">
        <f t="shared" si="638"/>
        <v xml:space="preserve"> </v>
      </c>
      <c r="N998" t="str">
        <f t="shared" si="665"/>
        <v>MPSI</v>
      </c>
      <c r="O998" t="str">
        <f t="shared" si="666"/>
        <v>COJINETES</v>
      </c>
      <c r="P998" t="str">
        <f t="shared" si="659"/>
        <v>0</v>
      </c>
      <c r="Q998" t="str">
        <f t="shared" si="659"/>
        <v>0</v>
      </c>
      <c r="R998" t="str">
        <f t="shared" si="660"/>
        <v>0,00</v>
      </c>
      <c r="S998" t="str">
        <f t="shared" si="660"/>
        <v>0,00</v>
      </c>
      <c r="T998" t="str">
        <f t="shared" si="657"/>
        <v xml:space="preserve"> </v>
      </c>
      <c r="U998" t="str">
        <f t="shared" si="661"/>
        <v>-</v>
      </c>
      <c r="V998" t="str">
        <f>"27,000"</f>
        <v>27,000</v>
      </c>
      <c r="W998" t="str">
        <f t="shared" si="641"/>
        <v>Lista 4</v>
      </c>
      <c r="X998" t="str">
        <f t="shared" si="642"/>
        <v>Lista 5</v>
      </c>
      <c r="Y998" t="str">
        <f t="shared" si="643"/>
        <v>Oferta Gral.</v>
      </c>
      <c r="Z998" t="str">
        <f t="shared" si="644"/>
        <v>Rubro</v>
      </c>
      <c r="AA998" t="str">
        <f t="shared" si="645"/>
        <v>Cantidad por Bulto</v>
      </c>
      <c r="AB998" t="str">
        <f t="shared" si="646"/>
        <v>INNER</v>
      </c>
      <c r="AC998" t="str">
        <f t="shared" si="647"/>
        <v>Stock en Bultos</v>
      </c>
      <c r="AD998" t="str">
        <f t="shared" si="648"/>
        <v>SubDepósito</v>
      </c>
      <c r="AE998" t="str">
        <f t="shared" si="649"/>
        <v>Marca</v>
      </c>
      <c r="AF998" t="str">
        <f t="shared" si="650"/>
        <v>Super Rubro</v>
      </c>
      <c r="AG998" t="str">
        <f t="shared" si="651"/>
        <v>ComercioExterior</v>
      </c>
      <c r="AH998" t="str">
        <f t="shared" si="652"/>
        <v>PrecioFOB</v>
      </c>
      <c r="AI998" t="str">
        <f t="shared" si="653"/>
        <v>Monto II</v>
      </c>
      <c r="AJ998" t="str">
        <f t="shared" si="654"/>
        <v>Porcentaje II</v>
      </c>
      <c r="AK998" t="str">
        <f t="shared" si="655"/>
        <v>Foto</v>
      </c>
      <c r="AL998" t="str">
        <f>"{\rtf1\ansi\ansicpg1252\deff0\deflang2058{\fonttbl{\f0\fnil\fcharset0 MS Sans Serif}} \viewkind4\uc1\pard\f0\fs16 COJINETES BANCADA STD RENAULT 9 11 12 18 19 CLIO 1.3 1.4 1.6 8V\par } "</f>
        <v xml:space="preserve">{\rtf1\ansi\ansicpg1252\deff0\deflang2058{\fonttbl{\f0\fnil\fcharset0 MS Sans Serif}} \viewkind4\uc1\pard\f0\fs16 COJINETES BANCADA STD RENAULT 9 11 12 18 19 CLIO 1.3 1.4 1.6 8V\par } </v>
      </c>
      <c r="AM998" t="str">
        <f t="shared" si="662"/>
        <v xml:space="preserve"> </v>
      </c>
    </row>
    <row r="999" spans="1:39" x14ac:dyDescent="0.25">
      <c r="A999" t="str">
        <f>"BA385101"</f>
        <v>BA385101</v>
      </c>
      <c r="B999" t="str">
        <f>"COJINETES BANCADA STD RENAULT CAPTUR NISSAN VERSA 1.6 H4M CADENERO"</f>
        <v>COJINETES BANCADA STD RENAULT CAPTUR NISSAN VERSA 1.6 H4M CADENERO</v>
      </c>
      <c r="C999" t="str">
        <f>"$ 15957,81"</f>
        <v>$ 15957,81</v>
      </c>
      <c r="D999" t="str">
        <f>"$ 15957,81"</f>
        <v>$ 15957,81</v>
      </c>
      <c r="E999" t="str">
        <f>"$ 15957,81"</f>
        <v>$ 15957,81</v>
      </c>
      <c r="F999" t="str">
        <f>"$ 15957,81"</f>
        <v>$ 15957,81</v>
      </c>
      <c r="G999" t="str">
        <f>"$ 15957,81"</f>
        <v>$ 15957,81</v>
      </c>
      <c r="H999" t="str">
        <f t="shared" si="636"/>
        <v>$ 0,00</v>
      </c>
      <c r="I999" t="str">
        <f t="shared" si="664"/>
        <v>JUEGO COJINETES BANCADA</v>
      </c>
      <c r="J999" t="str">
        <f t="shared" si="637"/>
        <v>1</v>
      </c>
      <c r="K999" t="str">
        <f t="shared" si="658"/>
        <v>0</v>
      </c>
      <c r="L999" t="str">
        <f>"7,000"</f>
        <v>7,000</v>
      </c>
      <c r="M999" t="str">
        <f t="shared" si="638"/>
        <v xml:space="preserve"> </v>
      </c>
      <c r="N999" t="str">
        <f t="shared" si="665"/>
        <v>MPSI</v>
      </c>
      <c r="O999" t="str">
        <f t="shared" si="666"/>
        <v>COJINETES</v>
      </c>
      <c r="P999" t="str">
        <f t="shared" si="659"/>
        <v>0</v>
      </c>
      <c r="Q999" t="str">
        <f t="shared" si="659"/>
        <v>0</v>
      </c>
      <c r="R999" t="str">
        <f t="shared" si="660"/>
        <v>0,00</v>
      </c>
      <c r="S999" t="str">
        <f t="shared" si="660"/>
        <v>0,00</v>
      </c>
      <c r="T999" t="str">
        <f t="shared" si="657"/>
        <v xml:space="preserve"> </v>
      </c>
      <c r="U999" t="str">
        <f t="shared" si="661"/>
        <v>-</v>
      </c>
      <c r="V999" t="str">
        <f>"7,000"</f>
        <v>7,000</v>
      </c>
      <c r="W999" t="str">
        <f t="shared" si="641"/>
        <v>Lista 4</v>
      </c>
      <c r="X999" t="str">
        <f t="shared" si="642"/>
        <v>Lista 5</v>
      </c>
      <c r="Y999" t="str">
        <f t="shared" si="643"/>
        <v>Oferta Gral.</v>
      </c>
      <c r="Z999" t="str">
        <f t="shared" si="644"/>
        <v>Rubro</v>
      </c>
      <c r="AA999" t="str">
        <f t="shared" si="645"/>
        <v>Cantidad por Bulto</v>
      </c>
      <c r="AB999" t="str">
        <f t="shared" si="646"/>
        <v>INNER</v>
      </c>
      <c r="AC999" t="str">
        <f t="shared" si="647"/>
        <v>Stock en Bultos</v>
      </c>
      <c r="AD999" t="str">
        <f t="shared" si="648"/>
        <v>SubDepósito</v>
      </c>
      <c r="AE999" t="str">
        <f t="shared" si="649"/>
        <v>Marca</v>
      </c>
      <c r="AF999" t="str">
        <f t="shared" si="650"/>
        <v>Super Rubro</v>
      </c>
      <c r="AG999" t="str">
        <f t="shared" si="651"/>
        <v>ComercioExterior</v>
      </c>
      <c r="AH999" t="str">
        <f t="shared" si="652"/>
        <v>PrecioFOB</v>
      </c>
      <c r="AI999" t="str">
        <f t="shared" si="653"/>
        <v>Monto II</v>
      </c>
      <c r="AJ999" t="str">
        <f t="shared" si="654"/>
        <v>Porcentaje II</v>
      </c>
      <c r="AK999" t="str">
        <f t="shared" si="655"/>
        <v>Foto</v>
      </c>
      <c r="AL999" t="str">
        <f>" "</f>
        <v xml:space="preserve"> </v>
      </c>
      <c r="AM999" t="str">
        <f t="shared" si="662"/>
        <v xml:space="preserve"> </v>
      </c>
    </row>
    <row r="1000" spans="1:39" x14ac:dyDescent="0.25">
      <c r="A1000" t="str">
        <f>"BA872"</f>
        <v>BA872</v>
      </c>
      <c r="B1000" t="str">
        <f>"COJINETES BANCADA STD RENAULT CLIO TWINGO 1.2  D4F D7F SIN TRABA"</f>
        <v>COJINETES BANCADA STD RENAULT CLIO TWINGO 1.2  D4F D7F SIN TRABA</v>
      </c>
      <c r="C1000" t="str">
        <f>"$ 22195,70"</f>
        <v>$ 22195,70</v>
      </c>
      <c r="D1000" t="str">
        <f>"$ 22195,70"</f>
        <v>$ 22195,70</v>
      </c>
      <c r="E1000" t="str">
        <f>"$ 22195,70"</f>
        <v>$ 22195,70</v>
      </c>
      <c r="F1000" t="str">
        <f>"$ 22195,70"</f>
        <v>$ 22195,70</v>
      </c>
      <c r="G1000" t="str">
        <f>"$ 22195,70"</f>
        <v>$ 22195,70</v>
      </c>
      <c r="H1000" t="str">
        <f t="shared" si="636"/>
        <v>$ 0,00</v>
      </c>
      <c r="I1000" t="str">
        <f t="shared" si="664"/>
        <v>JUEGO COJINETES BANCADA</v>
      </c>
      <c r="J1000" t="str">
        <f t="shared" si="637"/>
        <v>1</v>
      </c>
      <c r="K1000" t="str">
        <f t="shared" si="658"/>
        <v>0</v>
      </c>
      <c r="L1000" t="str">
        <f>"8,000"</f>
        <v>8,000</v>
      </c>
      <c r="M1000" t="str">
        <f t="shared" si="638"/>
        <v xml:space="preserve"> </v>
      </c>
      <c r="N1000" t="str">
        <f t="shared" si="665"/>
        <v>MPSI</v>
      </c>
      <c r="O1000" t="str">
        <f t="shared" si="666"/>
        <v>COJINETES</v>
      </c>
      <c r="P1000" t="str">
        <f t="shared" si="659"/>
        <v>0</v>
      </c>
      <c r="Q1000" t="str">
        <f t="shared" si="659"/>
        <v>0</v>
      </c>
      <c r="R1000" t="str">
        <f t="shared" si="660"/>
        <v>0,00</v>
      </c>
      <c r="S1000" t="str">
        <f t="shared" si="660"/>
        <v>0,00</v>
      </c>
      <c r="T1000" t="str">
        <f t="shared" si="657"/>
        <v xml:space="preserve"> </v>
      </c>
      <c r="U1000" t="str">
        <f t="shared" si="661"/>
        <v>-</v>
      </c>
      <c r="V1000" t="str">
        <f>"8,000"</f>
        <v>8,000</v>
      </c>
      <c r="W1000" t="str">
        <f t="shared" si="641"/>
        <v>Lista 4</v>
      </c>
      <c r="X1000" t="str">
        <f t="shared" si="642"/>
        <v>Lista 5</v>
      </c>
      <c r="Y1000" t="str">
        <f t="shared" si="643"/>
        <v>Oferta Gral.</v>
      </c>
      <c r="Z1000" t="str">
        <f t="shared" si="644"/>
        <v>Rubro</v>
      </c>
      <c r="AA1000" t="str">
        <f t="shared" si="645"/>
        <v>Cantidad por Bulto</v>
      </c>
      <c r="AB1000" t="str">
        <f t="shared" si="646"/>
        <v>INNER</v>
      </c>
      <c r="AC1000" t="str">
        <f t="shared" si="647"/>
        <v>Stock en Bultos</v>
      </c>
      <c r="AD1000" t="str">
        <f t="shared" si="648"/>
        <v>SubDepósito</v>
      </c>
      <c r="AE1000" t="str">
        <f t="shared" si="649"/>
        <v>Marca</v>
      </c>
      <c r="AF1000" t="str">
        <f t="shared" si="650"/>
        <v>Super Rubro</v>
      </c>
      <c r="AG1000" t="str">
        <f t="shared" si="651"/>
        <v>ComercioExterior</v>
      </c>
      <c r="AH1000" t="str">
        <f t="shared" si="652"/>
        <v>PrecioFOB</v>
      </c>
      <c r="AI1000" t="str">
        <f t="shared" si="653"/>
        <v>Monto II</v>
      </c>
      <c r="AJ1000" t="str">
        <f t="shared" si="654"/>
        <v>Porcentaje II</v>
      </c>
      <c r="AK1000" t="str">
        <f t="shared" si="655"/>
        <v>Foto</v>
      </c>
      <c r="AL1000" t="str">
        <f>" "</f>
        <v xml:space="preserve"> </v>
      </c>
      <c r="AM1000" t="str">
        <f t="shared" si="662"/>
        <v xml:space="preserve"> </v>
      </c>
    </row>
    <row r="1001" spans="1:39" x14ac:dyDescent="0.25">
      <c r="A1001" t="str">
        <f>"BA871"</f>
        <v>BA871</v>
      </c>
      <c r="B1001" t="str">
        <f>"COJINETES BANCADA STD RENAULT CLIO TWINGO 1.2  D7F CON TRABA"</f>
        <v>COJINETES BANCADA STD RENAULT CLIO TWINGO 1.2  D7F CON TRABA</v>
      </c>
      <c r="C1001" t="str">
        <f>"$ 24057,75"</f>
        <v>$ 24057,75</v>
      </c>
      <c r="D1001" t="str">
        <f>"$ 24057,75"</f>
        <v>$ 24057,75</v>
      </c>
      <c r="E1001" t="str">
        <f>"$ 24057,75"</f>
        <v>$ 24057,75</v>
      </c>
      <c r="F1001" t="str">
        <f>"$ 24057,75"</f>
        <v>$ 24057,75</v>
      </c>
      <c r="G1001" t="str">
        <f>"$ 24057,75"</f>
        <v>$ 24057,75</v>
      </c>
      <c r="H1001" t="str">
        <f t="shared" si="636"/>
        <v>$ 0,00</v>
      </c>
      <c r="I1001" t="str">
        <f t="shared" si="664"/>
        <v>JUEGO COJINETES BANCADA</v>
      </c>
      <c r="J1001" t="str">
        <f t="shared" si="637"/>
        <v>1</v>
      </c>
      <c r="K1001" t="str">
        <f t="shared" si="658"/>
        <v>0</v>
      </c>
      <c r="L1001" t="str">
        <f>"10,000"</f>
        <v>10,000</v>
      </c>
      <c r="M1001" t="str">
        <f t="shared" si="638"/>
        <v xml:space="preserve"> </v>
      </c>
      <c r="N1001" t="str">
        <f t="shared" si="665"/>
        <v>MPSI</v>
      </c>
      <c r="O1001" t="str">
        <f t="shared" si="666"/>
        <v>COJINETES</v>
      </c>
      <c r="P1001" t="str">
        <f t="shared" si="659"/>
        <v>0</v>
      </c>
      <c r="Q1001" t="str">
        <f t="shared" si="659"/>
        <v>0</v>
      </c>
      <c r="R1001" t="str">
        <f t="shared" si="660"/>
        <v>0,00</v>
      </c>
      <c r="S1001" t="str">
        <f t="shared" si="660"/>
        <v>0,00</v>
      </c>
      <c r="T1001" t="str">
        <f t="shared" si="657"/>
        <v xml:space="preserve"> </v>
      </c>
      <c r="U1001" t="str">
        <f t="shared" si="661"/>
        <v>-</v>
      </c>
      <c r="V1001" t="str">
        <f>"10,000"</f>
        <v>10,000</v>
      </c>
      <c r="W1001" t="str">
        <f t="shared" si="641"/>
        <v>Lista 4</v>
      </c>
      <c r="X1001" t="str">
        <f t="shared" si="642"/>
        <v>Lista 5</v>
      </c>
      <c r="Y1001" t="str">
        <f t="shared" si="643"/>
        <v>Oferta Gral.</v>
      </c>
      <c r="Z1001" t="str">
        <f t="shared" si="644"/>
        <v>Rubro</v>
      </c>
      <c r="AA1001" t="str">
        <f t="shared" si="645"/>
        <v>Cantidad por Bulto</v>
      </c>
      <c r="AB1001" t="str">
        <f t="shared" si="646"/>
        <v>INNER</v>
      </c>
      <c r="AC1001" t="str">
        <f t="shared" si="647"/>
        <v>Stock en Bultos</v>
      </c>
      <c r="AD1001" t="str">
        <f t="shared" si="648"/>
        <v>SubDepósito</v>
      </c>
      <c r="AE1001" t="str">
        <f t="shared" si="649"/>
        <v>Marca</v>
      </c>
      <c r="AF1001" t="str">
        <f t="shared" si="650"/>
        <v>Super Rubro</v>
      </c>
      <c r="AG1001" t="str">
        <f t="shared" si="651"/>
        <v>ComercioExterior</v>
      </c>
      <c r="AH1001" t="str">
        <f t="shared" si="652"/>
        <v>PrecioFOB</v>
      </c>
      <c r="AI1001" t="str">
        <f t="shared" si="653"/>
        <v>Monto II</v>
      </c>
      <c r="AJ1001" t="str">
        <f t="shared" si="654"/>
        <v>Porcentaje II</v>
      </c>
      <c r="AK1001" t="str">
        <f t="shared" si="655"/>
        <v>Foto</v>
      </c>
      <c r="AL1001" t="str">
        <f>" "</f>
        <v xml:space="preserve"> </v>
      </c>
      <c r="AM1001" t="str">
        <f t="shared" si="662"/>
        <v xml:space="preserve"> </v>
      </c>
    </row>
    <row r="1002" spans="1:39" x14ac:dyDescent="0.25">
      <c r="A1002" t="str">
        <f>"BA384069"</f>
        <v>BA384069</v>
      </c>
      <c r="B1002" t="str">
        <f>"COJINETES BANCADA STD RENAULT KWID 1.0 3 CILINDROS"</f>
        <v>COJINETES BANCADA STD RENAULT KWID 1.0 3 CILINDROS</v>
      </c>
      <c r="C1002" t="str">
        <f>"$ 12010,25"</f>
        <v>$ 12010,25</v>
      </c>
      <c r="D1002" t="str">
        <f>"$ 12010,25"</f>
        <v>$ 12010,25</v>
      </c>
      <c r="E1002" t="str">
        <f>"$ 12010,25"</f>
        <v>$ 12010,25</v>
      </c>
      <c r="F1002" t="str">
        <f>"$ 12010,25"</f>
        <v>$ 12010,25</v>
      </c>
      <c r="G1002" t="str">
        <f>"$ 12010,25"</f>
        <v>$ 12010,25</v>
      </c>
      <c r="H1002" t="str">
        <f t="shared" si="636"/>
        <v>$ 0,00</v>
      </c>
      <c r="I1002" t="str">
        <f t="shared" si="664"/>
        <v>JUEGO COJINETES BANCADA</v>
      </c>
      <c r="J1002" t="str">
        <f t="shared" si="637"/>
        <v>1</v>
      </c>
      <c r="K1002" t="str">
        <f t="shared" si="658"/>
        <v>0</v>
      </c>
      <c r="L1002" t="str">
        <f>"9,000"</f>
        <v>9,000</v>
      </c>
      <c r="M1002" t="str">
        <f t="shared" si="638"/>
        <v xml:space="preserve"> </v>
      </c>
      <c r="N1002" t="str">
        <f t="shared" si="665"/>
        <v>MPSI</v>
      </c>
      <c r="O1002" t="str">
        <f t="shared" si="666"/>
        <v>COJINETES</v>
      </c>
      <c r="P1002" t="str">
        <f t="shared" si="659"/>
        <v>0</v>
      </c>
      <c r="Q1002" t="str">
        <f t="shared" si="659"/>
        <v>0</v>
      </c>
      <c r="R1002" t="str">
        <f t="shared" si="660"/>
        <v>0,00</v>
      </c>
      <c r="S1002" t="str">
        <f t="shared" si="660"/>
        <v>0,00</v>
      </c>
      <c r="T1002" t="str">
        <f t="shared" si="657"/>
        <v xml:space="preserve"> </v>
      </c>
      <c r="U1002" t="str">
        <f t="shared" si="661"/>
        <v>-</v>
      </c>
      <c r="V1002" t="str">
        <f>"9,000"</f>
        <v>9,000</v>
      </c>
      <c r="W1002" t="str">
        <f t="shared" si="641"/>
        <v>Lista 4</v>
      </c>
      <c r="X1002" t="str">
        <f t="shared" si="642"/>
        <v>Lista 5</v>
      </c>
      <c r="Y1002" t="str">
        <f t="shared" si="643"/>
        <v>Oferta Gral.</v>
      </c>
      <c r="Z1002" t="str">
        <f t="shared" si="644"/>
        <v>Rubro</v>
      </c>
      <c r="AA1002" t="str">
        <f t="shared" si="645"/>
        <v>Cantidad por Bulto</v>
      </c>
      <c r="AB1002" t="str">
        <f t="shared" si="646"/>
        <v>INNER</v>
      </c>
      <c r="AC1002" t="str">
        <f t="shared" si="647"/>
        <v>Stock en Bultos</v>
      </c>
      <c r="AD1002" t="str">
        <f t="shared" si="648"/>
        <v>SubDepósito</v>
      </c>
      <c r="AE1002" t="str">
        <f t="shared" si="649"/>
        <v>Marca</v>
      </c>
      <c r="AF1002" t="str">
        <f t="shared" si="650"/>
        <v>Super Rubro</v>
      </c>
      <c r="AG1002" t="str">
        <f t="shared" si="651"/>
        <v>ComercioExterior</v>
      </c>
      <c r="AH1002" t="str">
        <f t="shared" si="652"/>
        <v>PrecioFOB</v>
      </c>
      <c r="AI1002" t="str">
        <f t="shared" si="653"/>
        <v>Monto II</v>
      </c>
      <c r="AJ1002" t="str">
        <f t="shared" si="654"/>
        <v>Porcentaje II</v>
      </c>
      <c r="AK1002" t="str">
        <f t="shared" si="655"/>
        <v>Foto</v>
      </c>
      <c r="AL1002" t="str">
        <f>"{\rtf1\ansi\ansicpg1252\deff0\deflang11274{\fonttbl{\f0\fnil\fcharset0 MS Sans Serif}} \viewkind4\uc1\pard\f0\fs16 COJINETES BANCADA STD RENAULT KWID 1.0 3 CILINDROS\par } "</f>
        <v xml:space="preserve">{\rtf1\ansi\ansicpg1252\deff0\deflang11274{\fonttbl{\f0\fnil\fcharset0 MS Sans Serif}} \viewkind4\uc1\pard\f0\fs16 COJINETES BANCADA STD RENAULT KWID 1.0 3 CILINDROS\par } </v>
      </c>
      <c r="AM1002" t="str">
        <f t="shared" si="662"/>
        <v xml:space="preserve"> </v>
      </c>
    </row>
    <row r="1003" spans="1:39" x14ac:dyDescent="0.25">
      <c r="A1003" t="str">
        <f>"BA0465"</f>
        <v>BA0465</v>
      </c>
      <c r="B1003" t="str">
        <f>"COJINETES BANCADA STD RENAULT LAGUNA 2.0 16V MOTOR N7Q"</f>
        <v>COJINETES BANCADA STD RENAULT LAGUNA 2.0 16V MOTOR N7Q</v>
      </c>
      <c r="C1003" t="str">
        <f>"$ 90278,72"</f>
        <v>$ 90278,72</v>
      </c>
      <c r="D1003" t="str">
        <f>"$ 90278,72"</f>
        <v>$ 90278,72</v>
      </c>
      <c r="E1003" t="str">
        <f>"$ 90278,72"</f>
        <v>$ 90278,72</v>
      </c>
      <c r="F1003" t="str">
        <f>"$ 90278,72"</f>
        <v>$ 90278,72</v>
      </c>
      <c r="G1003" t="str">
        <f>"$ 90278,72"</f>
        <v>$ 90278,72</v>
      </c>
      <c r="H1003" t="str">
        <f t="shared" si="636"/>
        <v>$ 0,00</v>
      </c>
      <c r="I1003" t="str">
        <f t="shared" si="664"/>
        <v>JUEGO COJINETES BANCADA</v>
      </c>
      <c r="J1003" t="str">
        <f t="shared" si="637"/>
        <v>1</v>
      </c>
      <c r="K1003" t="str">
        <f t="shared" si="658"/>
        <v>0</v>
      </c>
      <c r="L1003" t="str">
        <f>"1,000"</f>
        <v>1,000</v>
      </c>
      <c r="M1003" t="str">
        <f t="shared" si="638"/>
        <v xml:space="preserve"> </v>
      </c>
      <c r="N1003" t="str">
        <f t="shared" si="665"/>
        <v>MPSI</v>
      </c>
      <c r="O1003" t="str">
        <f t="shared" si="666"/>
        <v>COJINETES</v>
      </c>
      <c r="P1003" t="str">
        <f t="shared" ref="P1003:Q1022" si="667">"0"</f>
        <v>0</v>
      </c>
      <c r="Q1003" t="str">
        <f t="shared" si="667"/>
        <v>0</v>
      </c>
      <c r="R1003" t="str">
        <f t="shared" ref="R1003:S1022" si="668">"0,00"</f>
        <v>0,00</v>
      </c>
      <c r="S1003" t="str">
        <f t="shared" si="668"/>
        <v>0,00</v>
      </c>
      <c r="T1003" t="str">
        <f t="shared" si="657"/>
        <v xml:space="preserve"> </v>
      </c>
      <c r="U1003" t="str">
        <f>" "</f>
        <v xml:space="preserve"> </v>
      </c>
      <c r="V1003" t="str">
        <f>"1,000"</f>
        <v>1,000</v>
      </c>
      <c r="W1003" t="str">
        <f t="shared" si="641"/>
        <v>Lista 4</v>
      </c>
      <c r="X1003" t="str">
        <f t="shared" si="642"/>
        <v>Lista 5</v>
      </c>
      <c r="Y1003" t="str">
        <f t="shared" si="643"/>
        <v>Oferta Gral.</v>
      </c>
      <c r="Z1003" t="str">
        <f t="shared" si="644"/>
        <v>Rubro</v>
      </c>
      <c r="AA1003" t="str">
        <f t="shared" si="645"/>
        <v>Cantidad por Bulto</v>
      </c>
      <c r="AB1003" t="str">
        <f t="shared" si="646"/>
        <v>INNER</v>
      </c>
      <c r="AC1003" t="str">
        <f t="shared" si="647"/>
        <v>Stock en Bultos</v>
      </c>
      <c r="AD1003" t="str">
        <f t="shared" si="648"/>
        <v>SubDepósito</v>
      </c>
      <c r="AE1003" t="str">
        <f t="shared" si="649"/>
        <v>Marca</v>
      </c>
      <c r="AF1003" t="str">
        <f t="shared" si="650"/>
        <v>Super Rubro</v>
      </c>
      <c r="AG1003" t="str">
        <f t="shared" si="651"/>
        <v>ComercioExterior</v>
      </c>
      <c r="AH1003" t="str">
        <f t="shared" si="652"/>
        <v>PrecioFOB</v>
      </c>
      <c r="AI1003" t="str">
        <f t="shared" si="653"/>
        <v>Monto II</v>
      </c>
      <c r="AJ1003" t="str">
        <f t="shared" si="654"/>
        <v>Porcentaje II</v>
      </c>
      <c r="AK1003" t="str">
        <f t="shared" si="655"/>
        <v>Foto</v>
      </c>
      <c r="AL1003" t="str">
        <f>"{\rtf1\ansi\ansicpg1252\deff0\deflang11274{\fonttbl{\f0\fnil\fcharset0 MS Sans Serif}} \viewkind4\uc1\pard\f0\fs16 COJINETES BANCADA STD RENAULT LAGUNA 2.0 16V MOTOR N7Q\par } "</f>
        <v xml:space="preserve">{\rtf1\ansi\ansicpg1252\deff0\deflang11274{\fonttbl{\f0\fnil\fcharset0 MS Sans Serif}} \viewkind4\uc1\pard\f0\fs16 COJINETES BANCADA STD RENAULT LAGUNA 2.0 16V MOTOR N7Q\par } </v>
      </c>
      <c r="AM1003" t="str">
        <f>"-"</f>
        <v>-</v>
      </c>
    </row>
    <row r="1004" spans="1:39" x14ac:dyDescent="0.25">
      <c r="A1004" t="str">
        <f>"BA874"</f>
        <v>BA874</v>
      </c>
      <c r="B1004" t="str">
        <f>"COJINETES BANCADA STD RENAULT MASTER 2.5 MOTOR G9U"</f>
        <v>COJINETES BANCADA STD RENAULT MASTER 2.5 MOTOR G9U</v>
      </c>
      <c r="C1004" t="str">
        <f>"$ 23163,96"</f>
        <v>$ 23163,96</v>
      </c>
      <c r="D1004" t="str">
        <f>"$ 23163,96"</f>
        <v>$ 23163,96</v>
      </c>
      <c r="E1004" t="str">
        <f>"$ 23163,96"</f>
        <v>$ 23163,96</v>
      </c>
      <c r="F1004" t="str">
        <f>"$ 23163,96"</f>
        <v>$ 23163,96</v>
      </c>
      <c r="G1004" t="str">
        <f>"$ 23163,96"</f>
        <v>$ 23163,96</v>
      </c>
      <c r="H1004" t="str">
        <f t="shared" si="636"/>
        <v>$ 0,00</v>
      </c>
      <c r="I1004" t="str">
        <f t="shared" si="664"/>
        <v>JUEGO COJINETES BANCADA</v>
      </c>
      <c r="J1004" t="str">
        <f t="shared" si="637"/>
        <v>1</v>
      </c>
      <c r="K1004" t="str">
        <f t="shared" si="658"/>
        <v>0</v>
      </c>
      <c r="L1004" t="str">
        <f>"8,000"</f>
        <v>8,000</v>
      </c>
      <c r="M1004" t="str">
        <f t="shared" si="638"/>
        <v xml:space="preserve"> </v>
      </c>
      <c r="N1004" t="str">
        <f t="shared" si="665"/>
        <v>MPSI</v>
      </c>
      <c r="O1004" t="str">
        <f t="shared" si="666"/>
        <v>COJINETES</v>
      </c>
      <c r="P1004" t="str">
        <f t="shared" si="667"/>
        <v>0</v>
      </c>
      <c r="Q1004" t="str">
        <f t="shared" si="667"/>
        <v>0</v>
      </c>
      <c r="R1004" t="str">
        <f t="shared" si="668"/>
        <v>0,00</v>
      </c>
      <c r="S1004" t="str">
        <f t="shared" si="668"/>
        <v>0,00</v>
      </c>
      <c r="T1004" t="str">
        <f t="shared" si="657"/>
        <v xml:space="preserve"> </v>
      </c>
      <c r="U1004" t="str">
        <f t="shared" ref="U1004:U1015" si="669">"-"</f>
        <v>-</v>
      </c>
      <c r="V1004" t="str">
        <f>"8,000"</f>
        <v>8,000</v>
      </c>
      <c r="W1004" t="str">
        <f t="shared" si="641"/>
        <v>Lista 4</v>
      </c>
      <c r="X1004" t="str">
        <f t="shared" si="642"/>
        <v>Lista 5</v>
      </c>
      <c r="Y1004" t="str">
        <f t="shared" si="643"/>
        <v>Oferta Gral.</v>
      </c>
      <c r="Z1004" t="str">
        <f t="shared" si="644"/>
        <v>Rubro</v>
      </c>
      <c r="AA1004" t="str">
        <f t="shared" si="645"/>
        <v>Cantidad por Bulto</v>
      </c>
      <c r="AB1004" t="str">
        <f t="shared" si="646"/>
        <v>INNER</v>
      </c>
      <c r="AC1004" t="str">
        <f t="shared" si="647"/>
        <v>Stock en Bultos</v>
      </c>
      <c r="AD1004" t="str">
        <f t="shared" si="648"/>
        <v>SubDepósito</v>
      </c>
      <c r="AE1004" t="str">
        <f t="shared" si="649"/>
        <v>Marca</v>
      </c>
      <c r="AF1004" t="str">
        <f t="shared" si="650"/>
        <v>Super Rubro</v>
      </c>
      <c r="AG1004" t="str">
        <f t="shared" si="651"/>
        <v>ComercioExterior</v>
      </c>
      <c r="AH1004" t="str">
        <f t="shared" si="652"/>
        <v>PrecioFOB</v>
      </c>
      <c r="AI1004" t="str">
        <f t="shared" si="653"/>
        <v>Monto II</v>
      </c>
      <c r="AJ1004" t="str">
        <f t="shared" si="654"/>
        <v>Porcentaje II</v>
      </c>
      <c r="AK1004" t="str">
        <f t="shared" si="655"/>
        <v>Foto</v>
      </c>
      <c r="AL1004" t="str">
        <f>" "</f>
        <v xml:space="preserve"> </v>
      </c>
      <c r="AM1004" t="str">
        <f>" "</f>
        <v xml:space="preserve"> </v>
      </c>
    </row>
    <row r="1005" spans="1:39" x14ac:dyDescent="0.25">
      <c r="A1005" t="str">
        <f>"BA873"</f>
        <v>BA873</v>
      </c>
      <c r="B1005" t="str">
        <f>"COJINETES BANCADA STD RENAULT MEGANE KANGOO LOGAN 1.6 16V K4M"</f>
        <v>COJINETES BANCADA STD RENAULT MEGANE KANGOO LOGAN 1.6 16V K4M</v>
      </c>
      <c r="C1005" t="str">
        <f>"$ 16674,76"</f>
        <v>$ 16674,76</v>
      </c>
      <c r="D1005" t="str">
        <f>"$ 16674,76"</f>
        <v>$ 16674,76</v>
      </c>
      <c r="E1005" t="str">
        <f>"$ 16674,76"</f>
        <v>$ 16674,76</v>
      </c>
      <c r="F1005" t="str">
        <f>"$ 16674,76"</f>
        <v>$ 16674,76</v>
      </c>
      <c r="G1005" t="str">
        <f>"$ 16674,76"</f>
        <v>$ 16674,76</v>
      </c>
      <c r="H1005" t="str">
        <f t="shared" si="636"/>
        <v>$ 0,00</v>
      </c>
      <c r="I1005" t="str">
        <f t="shared" si="664"/>
        <v>JUEGO COJINETES BANCADA</v>
      </c>
      <c r="J1005" t="str">
        <f t="shared" si="637"/>
        <v>1</v>
      </c>
      <c r="K1005" t="str">
        <f t="shared" si="658"/>
        <v>0</v>
      </c>
      <c r="L1005" t="str">
        <f>"22,000"</f>
        <v>22,000</v>
      </c>
      <c r="M1005" t="str">
        <f t="shared" si="638"/>
        <v xml:space="preserve"> </v>
      </c>
      <c r="N1005" t="str">
        <f t="shared" si="665"/>
        <v>MPSI</v>
      </c>
      <c r="O1005" t="str">
        <f t="shared" si="666"/>
        <v>COJINETES</v>
      </c>
      <c r="P1005" t="str">
        <f t="shared" si="667"/>
        <v>0</v>
      </c>
      <c r="Q1005" t="str">
        <f t="shared" si="667"/>
        <v>0</v>
      </c>
      <c r="R1005" t="str">
        <f t="shared" si="668"/>
        <v>0,00</v>
      </c>
      <c r="S1005" t="str">
        <f t="shared" si="668"/>
        <v>0,00</v>
      </c>
      <c r="T1005" t="str">
        <f t="shared" si="657"/>
        <v xml:space="preserve"> </v>
      </c>
      <c r="U1005" t="str">
        <f t="shared" si="669"/>
        <v>-</v>
      </c>
      <c r="V1005" t="str">
        <f>"22,000"</f>
        <v>22,000</v>
      </c>
      <c r="W1005" t="str">
        <f t="shared" si="641"/>
        <v>Lista 4</v>
      </c>
      <c r="X1005" t="str">
        <f t="shared" si="642"/>
        <v>Lista 5</v>
      </c>
      <c r="Y1005" t="str">
        <f t="shared" si="643"/>
        <v>Oferta Gral.</v>
      </c>
      <c r="Z1005" t="str">
        <f t="shared" si="644"/>
        <v>Rubro</v>
      </c>
      <c r="AA1005" t="str">
        <f t="shared" si="645"/>
        <v>Cantidad por Bulto</v>
      </c>
      <c r="AB1005" t="str">
        <f t="shared" si="646"/>
        <v>INNER</v>
      </c>
      <c r="AC1005" t="str">
        <f t="shared" si="647"/>
        <v>Stock en Bultos</v>
      </c>
      <c r="AD1005" t="str">
        <f t="shared" si="648"/>
        <v>SubDepósito</v>
      </c>
      <c r="AE1005" t="str">
        <f t="shared" si="649"/>
        <v>Marca</v>
      </c>
      <c r="AF1005" t="str">
        <f t="shared" si="650"/>
        <v>Super Rubro</v>
      </c>
      <c r="AG1005" t="str">
        <f t="shared" si="651"/>
        <v>ComercioExterior</v>
      </c>
      <c r="AH1005" t="str">
        <f t="shared" si="652"/>
        <v>PrecioFOB</v>
      </c>
      <c r="AI1005" t="str">
        <f t="shared" si="653"/>
        <v>Monto II</v>
      </c>
      <c r="AJ1005" t="str">
        <f t="shared" si="654"/>
        <v>Porcentaje II</v>
      </c>
      <c r="AK1005" t="str">
        <f t="shared" si="655"/>
        <v>Foto</v>
      </c>
      <c r="AL1005" t="str">
        <f>"{\rtf1\ansi\ansicpg1252\deff0\deflang2058{\fonttbl{\f0\fnil\fcharset0 MS Sans Serif}} \viewkind4\uc1\pard\f0\fs16 COJINETES BANCADA STD RENAULT MEGANE KANGOO LOGAN 1.6 16V K4M\par } "</f>
        <v xml:space="preserve">{\rtf1\ansi\ansicpg1252\deff0\deflang2058{\fonttbl{\f0\fnil\fcharset0 MS Sans Serif}} \viewkind4\uc1\pard\f0\fs16 COJINETES BANCADA STD RENAULT MEGANE KANGOO LOGAN 1.6 16V K4M\par } </v>
      </c>
      <c r="AM1005" t="str">
        <f t="shared" ref="AM1005:AM1015" si="670">" "</f>
        <v xml:space="preserve"> </v>
      </c>
    </row>
    <row r="1006" spans="1:39" x14ac:dyDescent="0.25">
      <c r="A1006" t="str">
        <f>"BA445332"</f>
        <v>BA445332</v>
      </c>
      <c r="B1006" t="str">
        <f>"COJINETES BANCADA STD TOYOTA COROLLA YARIS 1.8 16V MOTOR 2ZR-FE"</f>
        <v>COJINETES BANCADA STD TOYOTA COROLLA YARIS 1.8 16V MOTOR 2ZR-FE</v>
      </c>
      <c r="C1006" t="str">
        <f>"$ 18359,86"</f>
        <v>$ 18359,86</v>
      </c>
      <c r="D1006" t="str">
        <f>"$ 18359,86"</f>
        <v>$ 18359,86</v>
      </c>
      <c r="E1006" t="str">
        <f>"$ 18359,86"</f>
        <v>$ 18359,86</v>
      </c>
      <c r="F1006" t="str">
        <f>"$ 18359,86"</f>
        <v>$ 18359,86</v>
      </c>
      <c r="G1006" t="str">
        <f>"$ 18359,86"</f>
        <v>$ 18359,86</v>
      </c>
      <c r="H1006" t="str">
        <f t="shared" si="636"/>
        <v>$ 0,00</v>
      </c>
      <c r="I1006" t="str">
        <f t="shared" si="664"/>
        <v>JUEGO COJINETES BANCADA</v>
      </c>
      <c r="J1006" t="str">
        <f t="shared" si="637"/>
        <v>1</v>
      </c>
      <c r="K1006" t="str">
        <f t="shared" si="658"/>
        <v>0</v>
      </c>
      <c r="L1006" t="str">
        <f>"4,000"</f>
        <v>4,000</v>
      </c>
      <c r="M1006" t="str">
        <f t="shared" si="638"/>
        <v xml:space="preserve"> </v>
      </c>
      <c r="N1006" t="str">
        <f t="shared" si="665"/>
        <v>MPSI</v>
      </c>
      <c r="O1006" t="str">
        <f t="shared" si="666"/>
        <v>COJINETES</v>
      </c>
      <c r="P1006" t="str">
        <f t="shared" si="667"/>
        <v>0</v>
      </c>
      <c r="Q1006" t="str">
        <f t="shared" si="667"/>
        <v>0</v>
      </c>
      <c r="R1006" t="str">
        <f t="shared" si="668"/>
        <v>0,00</v>
      </c>
      <c r="S1006" t="str">
        <f t="shared" si="668"/>
        <v>0,00</v>
      </c>
      <c r="T1006" t="str">
        <f t="shared" si="657"/>
        <v xml:space="preserve"> </v>
      </c>
      <c r="U1006" t="str">
        <f t="shared" si="669"/>
        <v>-</v>
      </c>
      <c r="V1006" t="str">
        <f>"4,000"</f>
        <v>4,000</v>
      </c>
      <c r="W1006" t="str">
        <f t="shared" si="641"/>
        <v>Lista 4</v>
      </c>
      <c r="X1006" t="str">
        <f t="shared" si="642"/>
        <v>Lista 5</v>
      </c>
      <c r="Y1006" t="str">
        <f t="shared" si="643"/>
        <v>Oferta Gral.</v>
      </c>
      <c r="Z1006" t="str">
        <f t="shared" si="644"/>
        <v>Rubro</v>
      </c>
      <c r="AA1006" t="str">
        <f t="shared" si="645"/>
        <v>Cantidad por Bulto</v>
      </c>
      <c r="AB1006" t="str">
        <f t="shared" si="646"/>
        <v>INNER</v>
      </c>
      <c r="AC1006" t="str">
        <f t="shared" si="647"/>
        <v>Stock en Bultos</v>
      </c>
      <c r="AD1006" t="str">
        <f t="shared" si="648"/>
        <v>SubDepósito</v>
      </c>
      <c r="AE1006" t="str">
        <f t="shared" si="649"/>
        <v>Marca</v>
      </c>
      <c r="AF1006" t="str">
        <f t="shared" si="650"/>
        <v>Super Rubro</v>
      </c>
      <c r="AG1006" t="str">
        <f t="shared" si="651"/>
        <v>ComercioExterior</v>
      </c>
      <c r="AH1006" t="str">
        <f t="shared" si="652"/>
        <v>PrecioFOB</v>
      </c>
      <c r="AI1006" t="str">
        <f t="shared" si="653"/>
        <v>Monto II</v>
      </c>
      <c r="AJ1006" t="str">
        <f t="shared" si="654"/>
        <v>Porcentaje II</v>
      </c>
      <c r="AK1006" t="str">
        <f t="shared" si="655"/>
        <v>Foto</v>
      </c>
      <c r="AL1006" t="str">
        <f>" "</f>
        <v xml:space="preserve"> </v>
      </c>
      <c r="AM1006" t="str">
        <f t="shared" si="670"/>
        <v xml:space="preserve"> </v>
      </c>
    </row>
    <row r="1007" spans="1:39" x14ac:dyDescent="0.25">
      <c r="A1007" t="str">
        <f>"BA445107"</f>
        <v>BA445107</v>
      </c>
      <c r="B1007" t="str">
        <f>"COJINETES BANCADA STD TOYOTA ETIOS 1.5"</f>
        <v>COJINETES BANCADA STD TOYOTA ETIOS 1.5</v>
      </c>
      <c r="C1007" t="str">
        <f>"$ 17168,15"</f>
        <v>$ 17168,15</v>
      </c>
      <c r="D1007" t="str">
        <f>"$ 17168,15"</f>
        <v>$ 17168,15</v>
      </c>
      <c r="E1007" t="str">
        <f>"$ 17168,15"</f>
        <v>$ 17168,15</v>
      </c>
      <c r="F1007" t="str">
        <f>"$ 17168,15"</f>
        <v>$ 17168,15</v>
      </c>
      <c r="G1007" t="str">
        <f>"$ 17168,15"</f>
        <v>$ 17168,15</v>
      </c>
      <c r="H1007" t="str">
        <f t="shared" si="636"/>
        <v>$ 0,00</v>
      </c>
      <c r="I1007" t="str">
        <f t="shared" si="664"/>
        <v>JUEGO COJINETES BANCADA</v>
      </c>
      <c r="J1007" t="str">
        <f t="shared" si="637"/>
        <v>1</v>
      </c>
      <c r="K1007" t="str">
        <f t="shared" si="658"/>
        <v>0</v>
      </c>
      <c r="L1007" t="str">
        <f>"4,000"</f>
        <v>4,000</v>
      </c>
      <c r="M1007" t="str">
        <f t="shared" si="638"/>
        <v xml:space="preserve"> </v>
      </c>
      <c r="N1007" t="str">
        <f t="shared" si="665"/>
        <v>MPSI</v>
      </c>
      <c r="O1007" t="str">
        <f t="shared" si="666"/>
        <v>COJINETES</v>
      </c>
      <c r="P1007" t="str">
        <f t="shared" si="667"/>
        <v>0</v>
      </c>
      <c r="Q1007" t="str">
        <f t="shared" si="667"/>
        <v>0</v>
      </c>
      <c r="R1007" t="str">
        <f t="shared" si="668"/>
        <v>0,00</v>
      </c>
      <c r="S1007" t="str">
        <f t="shared" si="668"/>
        <v>0,00</v>
      </c>
      <c r="T1007" t="str">
        <f t="shared" si="657"/>
        <v xml:space="preserve"> </v>
      </c>
      <c r="U1007" t="str">
        <f t="shared" si="669"/>
        <v>-</v>
      </c>
      <c r="V1007" t="str">
        <f>"4,000"</f>
        <v>4,000</v>
      </c>
      <c r="W1007" t="str">
        <f t="shared" si="641"/>
        <v>Lista 4</v>
      </c>
      <c r="X1007" t="str">
        <f t="shared" si="642"/>
        <v>Lista 5</v>
      </c>
      <c r="Y1007" t="str">
        <f t="shared" si="643"/>
        <v>Oferta Gral.</v>
      </c>
      <c r="Z1007" t="str">
        <f t="shared" si="644"/>
        <v>Rubro</v>
      </c>
      <c r="AA1007" t="str">
        <f t="shared" si="645"/>
        <v>Cantidad por Bulto</v>
      </c>
      <c r="AB1007" t="str">
        <f t="shared" si="646"/>
        <v>INNER</v>
      </c>
      <c r="AC1007" t="str">
        <f t="shared" si="647"/>
        <v>Stock en Bultos</v>
      </c>
      <c r="AD1007" t="str">
        <f t="shared" si="648"/>
        <v>SubDepósito</v>
      </c>
      <c r="AE1007" t="str">
        <f t="shared" si="649"/>
        <v>Marca</v>
      </c>
      <c r="AF1007" t="str">
        <f t="shared" si="650"/>
        <v>Super Rubro</v>
      </c>
      <c r="AG1007" t="str">
        <f t="shared" si="651"/>
        <v>ComercioExterior</v>
      </c>
      <c r="AH1007" t="str">
        <f t="shared" si="652"/>
        <v>PrecioFOB</v>
      </c>
      <c r="AI1007" t="str">
        <f t="shared" si="653"/>
        <v>Monto II</v>
      </c>
      <c r="AJ1007" t="str">
        <f t="shared" si="654"/>
        <v>Porcentaje II</v>
      </c>
      <c r="AK1007" t="str">
        <f t="shared" si="655"/>
        <v>Foto</v>
      </c>
      <c r="AL1007" t="str">
        <f>" "</f>
        <v xml:space="preserve"> </v>
      </c>
      <c r="AM1007" t="str">
        <f t="shared" si="670"/>
        <v xml:space="preserve"> </v>
      </c>
    </row>
    <row r="1008" spans="1:39" x14ac:dyDescent="0.25">
      <c r="A1008" t="str">
        <f>"BA749"</f>
        <v>BA749</v>
      </c>
      <c r="B1008" t="str">
        <f>"COJINETES BANCADA STD TOYOTA HILUX 2.8 L DIESEL MOTOR 3L"</f>
        <v>COJINETES BANCADA STD TOYOTA HILUX 2.8 L DIESEL MOTOR 3L</v>
      </c>
      <c r="C1008" t="str">
        <f>"$ 28452,20"</f>
        <v>$ 28452,20</v>
      </c>
      <c r="D1008" t="str">
        <f>"$ 28452,20"</f>
        <v>$ 28452,20</v>
      </c>
      <c r="E1008" t="str">
        <f>"$ 28452,20"</f>
        <v>$ 28452,20</v>
      </c>
      <c r="F1008" t="str">
        <f>"$ 28452,20"</f>
        <v>$ 28452,20</v>
      </c>
      <c r="G1008" t="str">
        <f>"$ 28452,20"</f>
        <v>$ 28452,20</v>
      </c>
      <c r="H1008" t="str">
        <f t="shared" si="636"/>
        <v>$ 0,00</v>
      </c>
      <c r="I1008" t="str">
        <f t="shared" si="664"/>
        <v>JUEGO COJINETES BANCADA</v>
      </c>
      <c r="J1008" t="str">
        <f t="shared" si="637"/>
        <v>1</v>
      </c>
      <c r="K1008" t="str">
        <f t="shared" si="658"/>
        <v>0</v>
      </c>
      <c r="L1008" t="str">
        <f>"0,000"</f>
        <v>0,000</v>
      </c>
      <c r="M1008" t="str">
        <f t="shared" si="638"/>
        <v xml:space="preserve"> </v>
      </c>
      <c r="N1008" t="str">
        <f t="shared" si="665"/>
        <v>MPSI</v>
      </c>
      <c r="O1008" t="str">
        <f t="shared" si="666"/>
        <v>COJINETES</v>
      </c>
      <c r="P1008" t="str">
        <f t="shared" si="667"/>
        <v>0</v>
      </c>
      <c r="Q1008" t="str">
        <f t="shared" si="667"/>
        <v>0</v>
      </c>
      <c r="R1008" t="str">
        <f t="shared" si="668"/>
        <v>0,00</v>
      </c>
      <c r="S1008" t="str">
        <f t="shared" si="668"/>
        <v>0,00</v>
      </c>
      <c r="T1008" t="str">
        <f t="shared" si="657"/>
        <v xml:space="preserve"> </v>
      </c>
      <c r="U1008" t="str">
        <f t="shared" si="669"/>
        <v>-</v>
      </c>
      <c r="V1008" t="str">
        <f>"0,000"</f>
        <v>0,000</v>
      </c>
      <c r="W1008" t="str">
        <f t="shared" si="641"/>
        <v>Lista 4</v>
      </c>
      <c r="X1008" t="str">
        <f t="shared" si="642"/>
        <v>Lista 5</v>
      </c>
      <c r="Y1008" t="str">
        <f t="shared" si="643"/>
        <v>Oferta Gral.</v>
      </c>
      <c r="Z1008" t="str">
        <f t="shared" si="644"/>
        <v>Rubro</v>
      </c>
      <c r="AA1008" t="str">
        <f t="shared" si="645"/>
        <v>Cantidad por Bulto</v>
      </c>
      <c r="AB1008" t="str">
        <f t="shared" si="646"/>
        <v>INNER</v>
      </c>
      <c r="AC1008" t="str">
        <f t="shared" si="647"/>
        <v>Stock en Bultos</v>
      </c>
      <c r="AD1008" t="str">
        <f t="shared" si="648"/>
        <v>SubDepósito</v>
      </c>
      <c r="AE1008" t="str">
        <f t="shared" si="649"/>
        <v>Marca</v>
      </c>
      <c r="AF1008" t="str">
        <f t="shared" si="650"/>
        <v>Super Rubro</v>
      </c>
      <c r="AG1008" t="str">
        <f t="shared" si="651"/>
        <v>ComercioExterior</v>
      </c>
      <c r="AH1008" t="str">
        <f t="shared" si="652"/>
        <v>PrecioFOB</v>
      </c>
      <c r="AI1008" t="str">
        <f t="shared" si="653"/>
        <v>Monto II</v>
      </c>
      <c r="AJ1008" t="str">
        <f t="shared" si="654"/>
        <v>Porcentaje II</v>
      </c>
      <c r="AK1008" t="str">
        <f t="shared" si="655"/>
        <v>Foto</v>
      </c>
      <c r="AL1008" t="str">
        <f>" "</f>
        <v xml:space="preserve"> </v>
      </c>
      <c r="AM1008" t="str">
        <f t="shared" si="670"/>
        <v xml:space="preserve"> </v>
      </c>
    </row>
    <row r="1009" spans="1:39" x14ac:dyDescent="0.25">
      <c r="A1009" t="str">
        <f>"BA837"</f>
        <v>BA837</v>
      </c>
      <c r="B1009" t="str">
        <f>"COJINETES BANCADA STD TOYOTA HILUX 3.0 MOTOR D4D 1KD"</f>
        <v>COJINETES BANCADA STD TOYOTA HILUX 3.0 MOTOR D4D 1KD</v>
      </c>
      <c r="C1009" t="str">
        <f>"$ 33070,10"</f>
        <v>$ 33070,10</v>
      </c>
      <c r="D1009" t="str">
        <f>"$ 33070,10"</f>
        <v>$ 33070,10</v>
      </c>
      <c r="E1009" t="str">
        <f>"$ 33070,10"</f>
        <v>$ 33070,10</v>
      </c>
      <c r="F1009" t="str">
        <f>"$ 33070,10"</f>
        <v>$ 33070,10</v>
      </c>
      <c r="G1009" t="str">
        <f>"$ 33070,10"</f>
        <v>$ 33070,10</v>
      </c>
      <c r="H1009" t="str">
        <f t="shared" si="636"/>
        <v>$ 0,00</v>
      </c>
      <c r="I1009" t="str">
        <f t="shared" si="664"/>
        <v>JUEGO COJINETES BANCADA</v>
      </c>
      <c r="J1009" t="str">
        <f t="shared" si="637"/>
        <v>1</v>
      </c>
      <c r="K1009" t="str">
        <f t="shared" si="658"/>
        <v>0</v>
      </c>
      <c r="L1009" t="str">
        <f>"6,000"</f>
        <v>6,000</v>
      </c>
      <c r="M1009" t="str">
        <f t="shared" si="638"/>
        <v xml:space="preserve"> </v>
      </c>
      <c r="N1009" t="str">
        <f t="shared" si="665"/>
        <v>MPSI</v>
      </c>
      <c r="O1009" t="str">
        <f t="shared" si="666"/>
        <v>COJINETES</v>
      </c>
      <c r="P1009" t="str">
        <f t="shared" si="667"/>
        <v>0</v>
      </c>
      <c r="Q1009" t="str">
        <f t="shared" si="667"/>
        <v>0</v>
      </c>
      <c r="R1009" t="str">
        <f t="shared" si="668"/>
        <v>0,00</v>
      </c>
      <c r="S1009" t="str">
        <f t="shared" si="668"/>
        <v>0,00</v>
      </c>
      <c r="T1009" t="str">
        <f t="shared" si="657"/>
        <v xml:space="preserve"> </v>
      </c>
      <c r="U1009" t="str">
        <f t="shared" si="669"/>
        <v>-</v>
      </c>
      <c r="V1009" t="str">
        <f>"6,000"</f>
        <v>6,000</v>
      </c>
      <c r="W1009" t="str">
        <f t="shared" si="641"/>
        <v>Lista 4</v>
      </c>
      <c r="X1009" t="str">
        <f t="shared" si="642"/>
        <v>Lista 5</v>
      </c>
      <c r="Y1009" t="str">
        <f t="shared" si="643"/>
        <v>Oferta Gral.</v>
      </c>
      <c r="Z1009" t="str">
        <f t="shared" si="644"/>
        <v>Rubro</v>
      </c>
      <c r="AA1009" t="str">
        <f t="shared" si="645"/>
        <v>Cantidad por Bulto</v>
      </c>
      <c r="AB1009" t="str">
        <f t="shared" si="646"/>
        <v>INNER</v>
      </c>
      <c r="AC1009" t="str">
        <f t="shared" si="647"/>
        <v>Stock en Bultos</v>
      </c>
      <c r="AD1009" t="str">
        <f t="shared" si="648"/>
        <v>SubDepósito</v>
      </c>
      <c r="AE1009" t="str">
        <f t="shared" si="649"/>
        <v>Marca</v>
      </c>
      <c r="AF1009" t="str">
        <f t="shared" si="650"/>
        <v>Super Rubro</v>
      </c>
      <c r="AG1009" t="str">
        <f t="shared" si="651"/>
        <v>ComercioExterior</v>
      </c>
      <c r="AH1009" t="str">
        <f t="shared" si="652"/>
        <v>PrecioFOB</v>
      </c>
      <c r="AI1009" t="str">
        <f t="shared" si="653"/>
        <v>Monto II</v>
      </c>
      <c r="AJ1009" t="str">
        <f t="shared" si="654"/>
        <v>Porcentaje II</v>
      </c>
      <c r="AK1009" t="str">
        <f t="shared" si="655"/>
        <v>Foto</v>
      </c>
      <c r="AL1009" t="str">
        <f>" "</f>
        <v xml:space="preserve"> </v>
      </c>
      <c r="AM1009" t="str">
        <f t="shared" si="670"/>
        <v xml:space="preserve"> </v>
      </c>
    </row>
    <row r="1010" spans="1:39" x14ac:dyDescent="0.25">
      <c r="A1010" t="str">
        <f>"BA628"</f>
        <v>BA628</v>
      </c>
      <c r="B1010" t="str">
        <f>"COJINETES BANCADA STD VW FOX SURAN GOL TREND GOLF IVI 1.6 8V"</f>
        <v>COJINETES BANCADA STD VW FOX SURAN GOL TREND GOLF IVI 1.6 8V</v>
      </c>
      <c r="C1010" t="str">
        <f>"$ 23052,24"</f>
        <v>$ 23052,24</v>
      </c>
      <c r="D1010" t="str">
        <f>"$ 23052,24"</f>
        <v>$ 23052,24</v>
      </c>
      <c r="E1010" t="str">
        <f>"$ 23052,24"</f>
        <v>$ 23052,24</v>
      </c>
      <c r="F1010" t="str">
        <f>"$ 23052,24"</f>
        <v>$ 23052,24</v>
      </c>
      <c r="G1010" t="str">
        <f>"$ 23052,24"</f>
        <v>$ 23052,24</v>
      </c>
      <c r="H1010" t="str">
        <f t="shared" si="636"/>
        <v>$ 0,00</v>
      </c>
      <c r="I1010" t="str">
        <f t="shared" si="664"/>
        <v>JUEGO COJINETES BANCADA</v>
      </c>
      <c r="J1010" t="str">
        <f t="shared" si="637"/>
        <v>1</v>
      </c>
      <c r="K1010" t="str">
        <f t="shared" si="658"/>
        <v>0</v>
      </c>
      <c r="L1010" t="str">
        <f>"20,000"</f>
        <v>20,000</v>
      </c>
      <c r="M1010" t="str">
        <f t="shared" si="638"/>
        <v xml:space="preserve"> </v>
      </c>
      <c r="N1010" t="str">
        <f t="shared" si="665"/>
        <v>MPSI</v>
      </c>
      <c r="O1010" t="str">
        <f t="shared" si="666"/>
        <v>COJINETES</v>
      </c>
      <c r="P1010" t="str">
        <f t="shared" si="667"/>
        <v>0</v>
      </c>
      <c r="Q1010" t="str">
        <f t="shared" si="667"/>
        <v>0</v>
      </c>
      <c r="R1010" t="str">
        <f t="shared" si="668"/>
        <v>0,00</v>
      </c>
      <c r="S1010" t="str">
        <f t="shared" si="668"/>
        <v>0,00</v>
      </c>
      <c r="T1010" t="str">
        <f t="shared" si="657"/>
        <v xml:space="preserve"> </v>
      </c>
      <c r="U1010" t="str">
        <f t="shared" si="669"/>
        <v>-</v>
      </c>
      <c r="V1010" t="str">
        <f>"20,000"</f>
        <v>20,000</v>
      </c>
      <c r="W1010" t="str">
        <f t="shared" si="641"/>
        <v>Lista 4</v>
      </c>
      <c r="X1010" t="str">
        <f t="shared" si="642"/>
        <v>Lista 5</v>
      </c>
      <c r="Y1010" t="str">
        <f t="shared" si="643"/>
        <v>Oferta Gral.</v>
      </c>
      <c r="Z1010" t="str">
        <f t="shared" si="644"/>
        <v>Rubro</v>
      </c>
      <c r="AA1010" t="str">
        <f t="shared" si="645"/>
        <v>Cantidad por Bulto</v>
      </c>
      <c r="AB1010" t="str">
        <f t="shared" si="646"/>
        <v>INNER</v>
      </c>
      <c r="AC1010" t="str">
        <f t="shared" si="647"/>
        <v>Stock en Bultos</v>
      </c>
      <c r="AD1010" t="str">
        <f t="shared" si="648"/>
        <v>SubDepósito</v>
      </c>
      <c r="AE1010" t="str">
        <f t="shared" si="649"/>
        <v>Marca</v>
      </c>
      <c r="AF1010" t="str">
        <f t="shared" si="650"/>
        <v>Super Rubro</v>
      </c>
      <c r="AG1010" t="str">
        <f t="shared" si="651"/>
        <v>ComercioExterior</v>
      </c>
      <c r="AH1010" t="str">
        <f t="shared" si="652"/>
        <v>PrecioFOB</v>
      </c>
      <c r="AI1010" t="str">
        <f t="shared" si="653"/>
        <v>Monto II</v>
      </c>
      <c r="AJ1010" t="str">
        <f t="shared" si="654"/>
        <v>Porcentaje II</v>
      </c>
      <c r="AK1010" t="str">
        <f t="shared" si="655"/>
        <v>Foto</v>
      </c>
      <c r="AL1010" t="str">
        <f>" "</f>
        <v xml:space="preserve"> </v>
      </c>
      <c r="AM1010" t="str">
        <f t="shared" si="670"/>
        <v xml:space="preserve"> </v>
      </c>
    </row>
    <row r="1011" spans="1:39" x14ac:dyDescent="0.25">
      <c r="A1011" t="str">
        <f>"BA479"</f>
        <v>BA479</v>
      </c>
      <c r="B1011" t="str">
        <f>"COJINETES BANCADA STD VW GOL POLO SAVEIRO MOTOR AUDI 1.6 8V"</f>
        <v>COJINETES BANCADA STD VW GOL POLO SAVEIRO MOTOR AUDI 1.6 8V</v>
      </c>
      <c r="C1011" t="str">
        <f>"$ 20459,22"</f>
        <v>$ 20459,22</v>
      </c>
      <c r="D1011" t="str">
        <f>"$ 20459,22"</f>
        <v>$ 20459,22</v>
      </c>
      <c r="E1011" t="str">
        <f>"$ 20459,22"</f>
        <v>$ 20459,22</v>
      </c>
      <c r="F1011" t="str">
        <f>"$ 20459,22"</f>
        <v>$ 20459,22</v>
      </c>
      <c r="G1011" t="str">
        <f>"$ 20459,22"</f>
        <v>$ 20459,22</v>
      </c>
      <c r="H1011" t="str">
        <f t="shared" si="636"/>
        <v>$ 0,00</v>
      </c>
      <c r="I1011" t="str">
        <f t="shared" si="664"/>
        <v>JUEGO COJINETES BANCADA</v>
      </c>
      <c r="J1011" t="str">
        <f t="shared" si="637"/>
        <v>1</v>
      </c>
      <c r="K1011" t="str">
        <f t="shared" si="658"/>
        <v>0</v>
      </c>
      <c r="L1011" t="str">
        <f>"33,000"</f>
        <v>33,000</v>
      </c>
      <c r="M1011" t="str">
        <f t="shared" si="638"/>
        <v xml:space="preserve"> </v>
      </c>
      <c r="N1011" t="str">
        <f t="shared" si="665"/>
        <v>MPSI</v>
      </c>
      <c r="O1011" t="str">
        <f t="shared" si="666"/>
        <v>COJINETES</v>
      </c>
      <c r="P1011" t="str">
        <f t="shared" si="667"/>
        <v>0</v>
      </c>
      <c r="Q1011" t="str">
        <f t="shared" si="667"/>
        <v>0</v>
      </c>
      <c r="R1011" t="str">
        <f t="shared" si="668"/>
        <v>0,00</v>
      </c>
      <c r="S1011" t="str">
        <f t="shared" si="668"/>
        <v>0,00</v>
      </c>
      <c r="T1011" t="str">
        <f t="shared" si="657"/>
        <v xml:space="preserve"> </v>
      </c>
      <c r="U1011" t="str">
        <f t="shared" si="669"/>
        <v>-</v>
      </c>
      <c r="V1011" t="str">
        <f>"33,000"</f>
        <v>33,000</v>
      </c>
      <c r="W1011" t="str">
        <f t="shared" si="641"/>
        <v>Lista 4</v>
      </c>
      <c r="X1011" t="str">
        <f t="shared" si="642"/>
        <v>Lista 5</v>
      </c>
      <c r="Y1011" t="str">
        <f t="shared" si="643"/>
        <v>Oferta Gral.</v>
      </c>
      <c r="Z1011" t="str">
        <f t="shared" si="644"/>
        <v>Rubro</v>
      </c>
      <c r="AA1011" t="str">
        <f t="shared" si="645"/>
        <v>Cantidad por Bulto</v>
      </c>
      <c r="AB1011" t="str">
        <f t="shared" si="646"/>
        <v>INNER</v>
      </c>
      <c r="AC1011" t="str">
        <f t="shared" si="647"/>
        <v>Stock en Bultos</v>
      </c>
      <c r="AD1011" t="str">
        <f t="shared" si="648"/>
        <v>SubDepósito</v>
      </c>
      <c r="AE1011" t="str">
        <f t="shared" si="649"/>
        <v>Marca</v>
      </c>
      <c r="AF1011" t="str">
        <f t="shared" si="650"/>
        <v>Super Rubro</v>
      </c>
      <c r="AG1011" t="str">
        <f t="shared" si="651"/>
        <v>ComercioExterior</v>
      </c>
      <c r="AH1011" t="str">
        <f t="shared" si="652"/>
        <v>PrecioFOB</v>
      </c>
      <c r="AI1011" t="str">
        <f t="shared" si="653"/>
        <v>Monto II</v>
      </c>
      <c r="AJ1011" t="str">
        <f t="shared" si="654"/>
        <v>Porcentaje II</v>
      </c>
      <c r="AK1011" t="str">
        <f t="shared" si="655"/>
        <v>Foto</v>
      </c>
      <c r="AL1011" t="str">
        <f>"{\rtf1\ansi\ansicpg1252\deff0\deflang2058{\fonttbl{\f0\fnil\fcharset0 MS Sans Serif}} \viewkind4\uc1\pard\f0\fs16 COJINETES BANCADA STD VW GOL POLO SAVEIRO MOTOR AUDI 1.6 8V\par } "</f>
        <v xml:space="preserve">{\rtf1\ansi\ansicpg1252\deff0\deflang2058{\fonttbl{\f0\fnil\fcharset0 MS Sans Serif}} \viewkind4\uc1\pard\f0\fs16 COJINETES BANCADA STD VW GOL POLO SAVEIRO MOTOR AUDI 1.6 8V\par } </v>
      </c>
      <c r="AM1011" t="str">
        <f t="shared" si="670"/>
        <v xml:space="preserve"> </v>
      </c>
    </row>
    <row r="1012" spans="1:39" x14ac:dyDescent="0.25">
      <c r="A1012" t="str">
        <f>"BA480"</f>
        <v>BA480</v>
      </c>
      <c r="B1012" t="str">
        <f>"COJINETES BANCADA STD VW GOL POLO SAVEIRO MOTOR AUDI 1.6 8V CON AXIAL"</f>
        <v>COJINETES BANCADA STD VW GOL POLO SAVEIRO MOTOR AUDI 1.6 8V CON AXIAL</v>
      </c>
      <c r="C1012" t="str">
        <f>"$ 31803,90"</f>
        <v>$ 31803,90</v>
      </c>
      <c r="D1012" t="str">
        <f>"$ 31803,90"</f>
        <v>$ 31803,90</v>
      </c>
      <c r="E1012" t="str">
        <f>"$ 31803,90"</f>
        <v>$ 31803,90</v>
      </c>
      <c r="F1012" t="str">
        <f>"$ 31803,90"</f>
        <v>$ 31803,90</v>
      </c>
      <c r="G1012" t="str">
        <f>"$ 31803,90"</f>
        <v>$ 31803,90</v>
      </c>
      <c r="H1012" t="str">
        <f t="shared" si="636"/>
        <v>$ 0,00</v>
      </c>
      <c r="I1012" t="str">
        <f t="shared" si="664"/>
        <v>JUEGO COJINETES BANCADA</v>
      </c>
      <c r="J1012" t="str">
        <f t="shared" si="637"/>
        <v>1</v>
      </c>
      <c r="K1012" t="str">
        <f t="shared" si="658"/>
        <v>0</v>
      </c>
      <c r="L1012" t="str">
        <f>"12,000"</f>
        <v>12,000</v>
      </c>
      <c r="M1012" t="str">
        <f t="shared" si="638"/>
        <v xml:space="preserve"> </v>
      </c>
      <c r="N1012" t="str">
        <f t="shared" si="665"/>
        <v>MPSI</v>
      </c>
      <c r="O1012" t="str">
        <f t="shared" si="666"/>
        <v>COJINETES</v>
      </c>
      <c r="P1012" t="str">
        <f t="shared" si="667"/>
        <v>0</v>
      </c>
      <c r="Q1012" t="str">
        <f t="shared" si="667"/>
        <v>0</v>
      </c>
      <c r="R1012" t="str">
        <f t="shared" si="668"/>
        <v>0,00</v>
      </c>
      <c r="S1012" t="str">
        <f t="shared" si="668"/>
        <v>0,00</v>
      </c>
      <c r="T1012" t="str">
        <f t="shared" si="657"/>
        <v xml:space="preserve"> </v>
      </c>
      <c r="U1012" t="str">
        <f t="shared" si="669"/>
        <v>-</v>
      </c>
      <c r="V1012" t="str">
        <f>"12,000"</f>
        <v>12,000</v>
      </c>
      <c r="W1012" t="str">
        <f t="shared" si="641"/>
        <v>Lista 4</v>
      </c>
      <c r="X1012" t="str">
        <f t="shared" si="642"/>
        <v>Lista 5</v>
      </c>
      <c r="Y1012" t="str">
        <f t="shared" si="643"/>
        <v>Oferta Gral.</v>
      </c>
      <c r="Z1012" t="str">
        <f t="shared" si="644"/>
        <v>Rubro</v>
      </c>
      <c r="AA1012" t="str">
        <f t="shared" si="645"/>
        <v>Cantidad por Bulto</v>
      </c>
      <c r="AB1012" t="str">
        <f t="shared" si="646"/>
        <v>INNER</v>
      </c>
      <c r="AC1012" t="str">
        <f t="shared" si="647"/>
        <v>Stock en Bultos</v>
      </c>
      <c r="AD1012" t="str">
        <f t="shared" si="648"/>
        <v>SubDepósito</v>
      </c>
      <c r="AE1012" t="str">
        <f t="shared" si="649"/>
        <v>Marca</v>
      </c>
      <c r="AF1012" t="str">
        <f t="shared" si="650"/>
        <v>Super Rubro</v>
      </c>
      <c r="AG1012" t="str">
        <f t="shared" si="651"/>
        <v>ComercioExterior</v>
      </c>
      <c r="AH1012" t="str">
        <f t="shared" si="652"/>
        <v>PrecioFOB</v>
      </c>
      <c r="AI1012" t="str">
        <f t="shared" si="653"/>
        <v>Monto II</v>
      </c>
      <c r="AJ1012" t="str">
        <f t="shared" si="654"/>
        <v>Porcentaje II</v>
      </c>
      <c r="AK1012" t="str">
        <f t="shared" si="655"/>
        <v>Foto</v>
      </c>
      <c r="AL1012" t="str">
        <f>" "</f>
        <v xml:space="preserve"> </v>
      </c>
      <c r="AM1012" t="str">
        <f t="shared" si="670"/>
        <v xml:space="preserve"> </v>
      </c>
    </row>
    <row r="1013" spans="1:39" x14ac:dyDescent="0.25">
      <c r="A1013" t="str">
        <f>"BA464108"</f>
        <v>BA464108</v>
      </c>
      <c r="B1013" t="str">
        <f>"COJINETES BANCADA STD VW UP 1.0 3 CILINDROS"</f>
        <v>COJINETES BANCADA STD VW UP 1.0 3 CILINDROS</v>
      </c>
      <c r="C1013" t="str">
        <f>"$ 16628,15"</f>
        <v>$ 16628,15</v>
      </c>
      <c r="D1013" t="str">
        <f>"$ 16628,15"</f>
        <v>$ 16628,15</v>
      </c>
      <c r="E1013" t="str">
        <f>"$ 16628,15"</f>
        <v>$ 16628,15</v>
      </c>
      <c r="F1013" t="str">
        <f>"$ 16628,15"</f>
        <v>$ 16628,15</v>
      </c>
      <c r="G1013" t="str">
        <f>"$ 16628,15"</f>
        <v>$ 16628,15</v>
      </c>
      <c r="H1013" t="str">
        <f t="shared" si="636"/>
        <v>$ 0,00</v>
      </c>
      <c r="I1013" t="str">
        <f t="shared" si="664"/>
        <v>JUEGO COJINETES BANCADA</v>
      </c>
      <c r="J1013" t="str">
        <f t="shared" si="637"/>
        <v>1</v>
      </c>
      <c r="K1013" t="str">
        <f t="shared" si="658"/>
        <v>0</v>
      </c>
      <c r="L1013" t="str">
        <f>"6,000"</f>
        <v>6,000</v>
      </c>
      <c r="M1013" t="str">
        <f t="shared" si="638"/>
        <v xml:space="preserve"> </v>
      </c>
      <c r="N1013" t="str">
        <f t="shared" si="665"/>
        <v>MPSI</v>
      </c>
      <c r="O1013" t="str">
        <f t="shared" si="666"/>
        <v>COJINETES</v>
      </c>
      <c r="P1013" t="str">
        <f t="shared" si="667"/>
        <v>0</v>
      </c>
      <c r="Q1013" t="str">
        <f t="shared" si="667"/>
        <v>0</v>
      </c>
      <c r="R1013" t="str">
        <f t="shared" si="668"/>
        <v>0,00</v>
      </c>
      <c r="S1013" t="str">
        <f t="shared" si="668"/>
        <v>0,00</v>
      </c>
      <c r="T1013" t="str">
        <f t="shared" si="657"/>
        <v xml:space="preserve"> </v>
      </c>
      <c r="U1013" t="str">
        <f t="shared" si="669"/>
        <v>-</v>
      </c>
      <c r="V1013" t="str">
        <f>"6,000"</f>
        <v>6,000</v>
      </c>
      <c r="W1013" t="str">
        <f t="shared" si="641"/>
        <v>Lista 4</v>
      </c>
      <c r="X1013" t="str">
        <f t="shared" si="642"/>
        <v>Lista 5</v>
      </c>
      <c r="Y1013" t="str">
        <f t="shared" si="643"/>
        <v>Oferta Gral.</v>
      </c>
      <c r="Z1013" t="str">
        <f t="shared" si="644"/>
        <v>Rubro</v>
      </c>
      <c r="AA1013" t="str">
        <f t="shared" si="645"/>
        <v>Cantidad por Bulto</v>
      </c>
      <c r="AB1013" t="str">
        <f t="shared" si="646"/>
        <v>INNER</v>
      </c>
      <c r="AC1013" t="str">
        <f t="shared" si="647"/>
        <v>Stock en Bultos</v>
      </c>
      <c r="AD1013" t="str">
        <f t="shared" si="648"/>
        <v>SubDepósito</v>
      </c>
      <c r="AE1013" t="str">
        <f t="shared" si="649"/>
        <v>Marca</v>
      </c>
      <c r="AF1013" t="str">
        <f t="shared" si="650"/>
        <v>Super Rubro</v>
      </c>
      <c r="AG1013" t="str">
        <f t="shared" si="651"/>
        <v>ComercioExterior</v>
      </c>
      <c r="AH1013" t="str">
        <f t="shared" si="652"/>
        <v>PrecioFOB</v>
      </c>
      <c r="AI1013" t="str">
        <f t="shared" si="653"/>
        <v>Monto II</v>
      </c>
      <c r="AJ1013" t="str">
        <f t="shared" si="654"/>
        <v>Porcentaje II</v>
      </c>
      <c r="AK1013" t="str">
        <f t="shared" si="655"/>
        <v>Foto</v>
      </c>
      <c r="AL1013" t="str">
        <f>" "</f>
        <v xml:space="preserve"> </v>
      </c>
      <c r="AM1013" t="str">
        <f t="shared" si="670"/>
        <v xml:space="preserve"> </v>
      </c>
    </row>
    <row r="1014" spans="1:39" x14ac:dyDescent="0.25">
      <c r="A1014" t="str">
        <f>"BA777 40"</f>
        <v>BA777 40</v>
      </c>
      <c r="B1014" t="str">
        <f>"COJINETES BANCDA 1,00 FORD FOCUS FIESTA ZETEC 1.6 1.8 2.0 16V"</f>
        <v>COJINETES BANCDA 1,00 FORD FOCUS FIESTA ZETEC 1.6 1.8 2.0 16V</v>
      </c>
      <c r="C1014" t="str">
        <f t="shared" ref="C1014:G1015" si="671">"$ 29103,92"</f>
        <v>$ 29103,92</v>
      </c>
      <c r="D1014" t="str">
        <f t="shared" si="671"/>
        <v>$ 29103,92</v>
      </c>
      <c r="E1014" t="str">
        <f t="shared" si="671"/>
        <v>$ 29103,92</v>
      </c>
      <c r="F1014" t="str">
        <f t="shared" si="671"/>
        <v>$ 29103,92</v>
      </c>
      <c r="G1014" t="str">
        <f t="shared" si="671"/>
        <v>$ 29103,92</v>
      </c>
      <c r="H1014" t="str">
        <f t="shared" si="636"/>
        <v>$ 0,00</v>
      </c>
      <c r="I1014" t="str">
        <f t="shared" si="664"/>
        <v>JUEGO COJINETES BANCADA</v>
      </c>
      <c r="J1014" t="str">
        <f t="shared" si="637"/>
        <v>1</v>
      </c>
      <c r="K1014" t="str">
        <f t="shared" si="658"/>
        <v>0</v>
      </c>
      <c r="L1014" t="str">
        <f>"3,000"</f>
        <v>3,000</v>
      </c>
      <c r="M1014" t="str">
        <f t="shared" si="638"/>
        <v xml:space="preserve"> </v>
      </c>
      <c r="N1014" t="str">
        <f t="shared" si="665"/>
        <v>MPSI</v>
      </c>
      <c r="O1014" t="str">
        <f t="shared" si="666"/>
        <v>COJINETES</v>
      </c>
      <c r="P1014" t="str">
        <f t="shared" si="667"/>
        <v>0</v>
      </c>
      <c r="Q1014" t="str">
        <f t="shared" si="667"/>
        <v>0</v>
      </c>
      <c r="R1014" t="str">
        <f t="shared" si="668"/>
        <v>0,00</v>
      </c>
      <c r="S1014" t="str">
        <f t="shared" si="668"/>
        <v>0,00</v>
      </c>
      <c r="T1014" t="str">
        <f t="shared" si="657"/>
        <v xml:space="preserve"> </v>
      </c>
      <c r="U1014" t="str">
        <f t="shared" si="669"/>
        <v>-</v>
      </c>
      <c r="V1014" t="str">
        <f>"3,000"</f>
        <v>3,000</v>
      </c>
      <c r="W1014" t="str">
        <f t="shared" si="641"/>
        <v>Lista 4</v>
      </c>
      <c r="X1014" t="str">
        <f t="shared" si="642"/>
        <v>Lista 5</v>
      </c>
      <c r="Y1014" t="str">
        <f t="shared" si="643"/>
        <v>Oferta Gral.</v>
      </c>
      <c r="Z1014" t="str">
        <f t="shared" si="644"/>
        <v>Rubro</v>
      </c>
      <c r="AA1014" t="str">
        <f t="shared" si="645"/>
        <v>Cantidad por Bulto</v>
      </c>
      <c r="AB1014" t="str">
        <f t="shared" si="646"/>
        <v>INNER</v>
      </c>
      <c r="AC1014" t="str">
        <f t="shared" si="647"/>
        <v>Stock en Bultos</v>
      </c>
      <c r="AD1014" t="str">
        <f t="shared" si="648"/>
        <v>SubDepósito</v>
      </c>
      <c r="AE1014" t="str">
        <f t="shared" si="649"/>
        <v>Marca</v>
      </c>
      <c r="AF1014" t="str">
        <f t="shared" si="650"/>
        <v>Super Rubro</v>
      </c>
      <c r="AG1014" t="str">
        <f t="shared" si="651"/>
        <v>ComercioExterior</v>
      </c>
      <c r="AH1014" t="str">
        <f t="shared" si="652"/>
        <v>PrecioFOB</v>
      </c>
      <c r="AI1014" t="str">
        <f t="shared" si="653"/>
        <v>Monto II</v>
      </c>
      <c r="AJ1014" t="str">
        <f t="shared" si="654"/>
        <v>Porcentaje II</v>
      </c>
      <c r="AK1014" t="str">
        <f t="shared" si="655"/>
        <v>Foto</v>
      </c>
      <c r="AL1014" t="str">
        <f>" "</f>
        <v xml:space="preserve"> </v>
      </c>
      <c r="AM1014" t="str">
        <f t="shared" si="670"/>
        <v xml:space="preserve"> </v>
      </c>
    </row>
    <row r="1015" spans="1:39" x14ac:dyDescent="0.25">
      <c r="A1015" t="str">
        <f>"BA777"</f>
        <v>BA777</v>
      </c>
      <c r="B1015" t="str">
        <f>"COJINETES BANCDA STD FORD FOCUS FIESTA ZETEC 1.6 1.8 2.0 16V"</f>
        <v>COJINETES BANCDA STD FORD FOCUS FIESTA ZETEC 1.6 1.8 2.0 16V</v>
      </c>
      <c r="C1015" t="str">
        <f t="shared" si="671"/>
        <v>$ 29103,92</v>
      </c>
      <c r="D1015" t="str">
        <f t="shared" si="671"/>
        <v>$ 29103,92</v>
      </c>
      <c r="E1015" t="str">
        <f t="shared" si="671"/>
        <v>$ 29103,92</v>
      </c>
      <c r="F1015" t="str">
        <f t="shared" si="671"/>
        <v>$ 29103,92</v>
      </c>
      <c r="G1015" t="str">
        <f t="shared" si="671"/>
        <v>$ 29103,92</v>
      </c>
      <c r="H1015" t="str">
        <f t="shared" si="636"/>
        <v>$ 0,00</v>
      </c>
      <c r="I1015" t="str">
        <f t="shared" si="664"/>
        <v>JUEGO COJINETES BANCADA</v>
      </c>
      <c r="J1015" t="str">
        <f t="shared" si="637"/>
        <v>1</v>
      </c>
      <c r="K1015" t="str">
        <f t="shared" si="658"/>
        <v>0</v>
      </c>
      <c r="L1015" t="str">
        <f>"8,000"</f>
        <v>8,000</v>
      </c>
      <c r="M1015" t="str">
        <f t="shared" si="638"/>
        <v xml:space="preserve"> </v>
      </c>
      <c r="N1015" t="str">
        <f t="shared" si="665"/>
        <v>MPSI</v>
      </c>
      <c r="O1015" t="str">
        <f t="shared" si="666"/>
        <v>COJINETES</v>
      </c>
      <c r="P1015" t="str">
        <f t="shared" si="667"/>
        <v>0</v>
      </c>
      <c r="Q1015" t="str">
        <f t="shared" si="667"/>
        <v>0</v>
      </c>
      <c r="R1015" t="str">
        <f t="shared" si="668"/>
        <v>0,00</v>
      </c>
      <c r="S1015" t="str">
        <f t="shared" si="668"/>
        <v>0,00</v>
      </c>
      <c r="T1015" t="str">
        <f t="shared" si="657"/>
        <v xml:space="preserve"> </v>
      </c>
      <c r="U1015" t="str">
        <f t="shared" si="669"/>
        <v>-</v>
      </c>
      <c r="V1015" t="str">
        <f>"8,000"</f>
        <v>8,000</v>
      </c>
      <c r="W1015" t="str">
        <f t="shared" si="641"/>
        <v>Lista 4</v>
      </c>
      <c r="X1015" t="str">
        <f t="shared" si="642"/>
        <v>Lista 5</v>
      </c>
      <c r="Y1015" t="str">
        <f t="shared" si="643"/>
        <v>Oferta Gral.</v>
      </c>
      <c r="Z1015" t="str">
        <f t="shared" si="644"/>
        <v>Rubro</v>
      </c>
      <c r="AA1015" t="str">
        <f t="shared" si="645"/>
        <v>Cantidad por Bulto</v>
      </c>
      <c r="AB1015" t="str">
        <f t="shared" si="646"/>
        <v>INNER</v>
      </c>
      <c r="AC1015" t="str">
        <f t="shared" si="647"/>
        <v>Stock en Bultos</v>
      </c>
      <c r="AD1015" t="str">
        <f t="shared" si="648"/>
        <v>SubDepósito</v>
      </c>
      <c r="AE1015" t="str">
        <f t="shared" si="649"/>
        <v>Marca</v>
      </c>
      <c r="AF1015" t="str">
        <f t="shared" si="650"/>
        <v>Super Rubro</v>
      </c>
      <c r="AG1015" t="str">
        <f t="shared" si="651"/>
        <v>ComercioExterior</v>
      </c>
      <c r="AH1015" t="str">
        <f t="shared" si="652"/>
        <v>PrecioFOB</v>
      </c>
      <c r="AI1015" t="str">
        <f t="shared" si="653"/>
        <v>Monto II</v>
      </c>
      <c r="AJ1015" t="str">
        <f t="shared" si="654"/>
        <v>Porcentaje II</v>
      </c>
      <c r="AK1015" t="str">
        <f t="shared" si="655"/>
        <v>Foto</v>
      </c>
      <c r="AL1015" t="str">
        <f>" "</f>
        <v xml:space="preserve"> </v>
      </c>
      <c r="AM1015" t="str">
        <f t="shared" si="670"/>
        <v xml:space="preserve"> </v>
      </c>
    </row>
    <row r="1016" spans="1:39" x14ac:dyDescent="0.25">
      <c r="A1016" t="str">
        <f>"BI165 10"</f>
        <v>BI165 10</v>
      </c>
      <c r="B1016" t="str">
        <f>"COJINETES BIELA 0,25  PUNTO STRADA DOBLO 1.3 JTD 16V "</f>
        <v xml:space="preserve">COJINETES BIELA 0,25  PUNTO STRADA DOBLO 1.3 JTD 16V </v>
      </c>
      <c r="C1016" t="str">
        <f>"$ 41359,34"</f>
        <v>$ 41359,34</v>
      </c>
      <c r="D1016" t="str">
        <f>"$ 41359,34"</f>
        <v>$ 41359,34</v>
      </c>
      <c r="E1016" t="str">
        <f>"$ 41359,34"</f>
        <v>$ 41359,34</v>
      </c>
      <c r="F1016" t="str">
        <f>"$ 41359,34"</f>
        <v>$ 41359,34</v>
      </c>
      <c r="G1016" t="str">
        <f>"$ 41359,34"</f>
        <v>$ 41359,34</v>
      </c>
      <c r="H1016" t="str">
        <f t="shared" si="636"/>
        <v>$ 0,00</v>
      </c>
      <c r="I1016" t="str">
        <f t="shared" ref="I1016:I1079" si="672">"JUEGO COJINETES BIELA"</f>
        <v>JUEGO COJINETES BIELA</v>
      </c>
      <c r="J1016" t="str">
        <f t="shared" si="637"/>
        <v>1</v>
      </c>
      <c r="K1016" t="str">
        <f t="shared" si="658"/>
        <v>0</v>
      </c>
      <c r="L1016" t="str">
        <f>"4,000"</f>
        <v>4,000</v>
      </c>
      <c r="M1016" t="str">
        <f t="shared" si="638"/>
        <v xml:space="preserve"> </v>
      </c>
      <c r="N1016" t="str">
        <f t="shared" si="665"/>
        <v>MPSI</v>
      </c>
      <c r="O1016" t="str">
        <f t="shared" si="666"/>
        <v>COJINETES</v>
      </c>
      <c r="P1016" t="str">
        <f t="shared" si="667"/>
        <v>0</v>
      </c>
      <c r="Q1016" t="str">
        <f t="shared" si="667"/>
        <v>0</v>
      </c>
      <c r="R1016" t="str">
        <f t="shared" si="668"/>
        <v>0,00</v>
      </c>
      <c r="S1016" t="str">
        <f t="shared" si="668"/>
        <v>0,00</v>
      </c>
      <c r="T1016" t="str">
        <f t="shared" si="657"/>
        <v xml:space="preserve"> </v>
      </c>
      <c r="U1016" t="str">
        <f>" "</f>
        <v xml:space="preserve"> </v>
      </c>
      <c r="V1016" t="str">
        <f>"4,000"</f>
        <v>4,000</v>
      </c>
      <c r="W1016" t="str">
        <f t="shared" si="641"/>
        <v>Lista 4</v>
      </c>
      <c r="X1016" t="str">
        <f t="shared" si="642"/>
        <v>Lista 5</v>
      </c>
      <c r="Y1016" t="str">
        <f t="shared" si="643"/>
        <v>Oferta Gral.</v>
      </c>
      <c r="Z1016" t="str">
        <f t="shared" si="644"/>
        <v>Rubro</v>
      </c>
      <c r="AA1016" t="str">
        <f t="shared" si="645"/>
        <v>Cantidad por Bulto</v>
      </c>
      <c r="AB1016" t="str">
        <f t="shared" si="646"/>
        <v>INNER</v>
      </c>
      <c r="AC1016" t="str">
        <f t="shared" si="647"/>
        <v>Stock en Bultos</v>
      </c>
      <c r="AD1016" t="str">
        <f t="shared" si="648"/>
        <v>SubDepósito</v>
      </c>
      <c r="AE1016" t="str">
        <f t="shared" si="649"/>
        <v>Marca</v>
      </c>
      <c r="AF1016" t="str">
        <f t="shared" si="650"/>
        <v>Super Rubro</v>
      </c>
      <c r="AG1016" t="str">
        <f t="shared" si="651"/>
        <v>ComercioExterior</v>
      </c>
      <c r="AH1016" t="str">
        <f t="shared" si="652"/>
        <v>PrecioFOB</v>
      </c>
      <c r="AI1016" t="str">
        <f t="shared" si="653"/>
        <v>Monto II</v>
      </c>
      <c r="AJ1016" t="str">
        <f t="shared" si="654"/>
        <v>Porcentaje II</v>
      </c>
      <c r="AK1016" t="str">
        <f t="shared" si="655"/>
        <v>Foto</v>
      </c>
      <c r="AL1016" t="str">
        <f>"{\rtf1\ansi\ansicpg1252\deff0\deflang11274{\fonttbl{\f0\fnil\fcharset0 MS Sans Serif}} \viewkind4\uc1\pard\f0\fs16 COJINETES BIELA 0,25  PUNTO STRADA DOBLO 1.3 JTD 16V \par } "</f>
        <v xml:space="preserve">{\rtf1\ansi\ansicpg1252\deff0\deflang11274{\fonttbl{\f0\fnil\fcharset0 MS Sans Serif}} \viewkind4\uc1\pard\f0\fs16 COJINETES BIELA 0,25  PUNTO STRADA DOBLO 1.3 JTD 16V \par } </v>
      </c>
      <c r="AM1016" t="str">
        <f>"-"</f>
        <v>-</v>
      </c>
    </row>
    <row r="1017" spans="1:39" x14ac:dyDescent="0.25">
      <c r="A1017" t="str">
        <f>"BI948 10"</f>
        <v>BI948 10</v>
      </c>
      <c r="B1017" t="str">
        <f>"COJINETES BIELA 0,25 AMAROK 2.0 TDI"</f>
        <v>COJINETES BIELA 0,25 AMAROK 2.0 TDI</v>
      </c>
      <c r="C1017" t="str">
        <f>"$ 20888,90"</f>
        <v>$ 20888,90</v>
      </c>
      <c r="D1017" t="str">
        <f>"$ 20888,90"</f>
        <v>$ 20888,90</v>
      </c>
      <c r="E1017" t="str">
        <f>"$ 20888,90"</f>
        <v>$ 20888,90</v>
      </c>
      <c r="F1017" t="str">
        <f>"$ 20888,90"</f>
        <v>$ 20888,90</v>
      </c>
      <c r="G1017" t="str">
        <f>"$ 20888,90"</f>
        <v>$ 20888,90</v>
      </c>
      <c r="H1017" t="str">
        <f t="shared" si="636"/>
        <v>$ 0,00</v>
      </c>
      <c r="I1017" t="str">
        <f t="shared" si="672"/>
        <v>JUEGO COJINETES BIELA</v>
      </c>
      <c r="J1017" t="str">
        <f t="shared" si="637"/>
        <v>1</v>
      </c>
      <c r="K1017" t="str">
        <f t="shared" si="658"/>
        <v>0</v>
      </c>
      <c r="L1017" t="str">
        <f>"10,000"</f>
        <v>10,000</v>
      </c>
      <c r="M1017" t="str">
        <f t="shared" si="638"/>
        <v xml:space="preserve"> </v>
      </c>
      <c r="N1017" t="str">
        <f t="shared" si="665"/>
        <v>MPSI</v>
      </c>
      <c r="O1017" t="str">
        <f t="shared" si="666"/>
        <v>COJINETES</v>
      </c>
      <c r="P1017" t="str">
        <f t="shared" si="667"/>
        <v>0</v>
      </c>
      <c r="Q1017" t="str">
        <f t="shared" si="667"/>
        <v>0</v>
      </c>
      <c r="R1017" t="str">
        <f t="shared" si="668"/>
        <v>0,00</v>
      </c>
      <c r="S1017" t="str">
        <f t="shared" si="668"/>
        <v>0,00</v>
      </c>
      <c r="T1017" t="str">
        <f t="shared" si="657"/>
        <v xml:space="preserve"> </v>
      </c>
      <c r="U1017" t="str">
        <f t="shared" ref="U1017:U1045" si="673">"-"</f>
        <v>-</v>
      </c>
      <c r="V1017" t="str">
        <f>"10,000"</f>
        <v>10,000</v>
      </c>
      <c r="W1017" t="str">
        <f t="shared" si="641"/>
        <v>Lista 4</v>
      </c>
      <c r="X1017" t="str">
        <f t="shared" si="642"/>
        <v>Lista 5</v>
      </c>
      <c r="Y1017" t="str">
        <f t="shared" si="643"/>
        <v>Oferta Gral.</v>
      </c>
      <c r="Z1017" t="str">
        <f t="shared" si="644"/>
        <v>Rubro</v>
      </c>
      <c r="AA1017" t="str">
        <f t="shared" si="645"/>
        <v>Cantidad por Bulto</v>
      </c>
      <c r="AB1017" t="str">
        <f t="shared" si="646"/>
        <v>INNER</v>
      </c>
      <c r="AC1017" t="str">
        <f t="shared" si="647"/>
        <v>Stock en Bultos</v>
      </c>
      <c r="AD1017" t="str">
        <f t="shared" si="648"/>
        <v>SubDepósito</v>
      </c>
      <c r="AE1017" t="str">
        <f t="shared" si="649"/>
        <v>Marca</v>
      </c>
      <c r="AF1017" t="str">
        <f t="shared" si="650"/>
        <v>Super Rubro</v>
      </c>
      <c r="AG1017" t="str">
        <f t="shared" si="651"/>
        <v>ComercioExterior</v>
      </c>
      <c r="AH1017" t="str">
        <f t="shared" si="652"/>
        <v>PrecioFOB</v>
      </c>
      <c r="AI1017" t="str">
        <f t="shared" si="653"/>
        <v>Monto II</v>
      </c>
      <c r="AJ1017" t="str">
        <f t="shared" si="654"/>
        <v>Porcentaje II</v>
      </c>
      <c r="AK1017" t="str">
        <f t="shared" si="655"/>
        <v>Foto</v>
      </c>
      <c r="AL1017" t="str">
        <f t="shared" ref="AL1017:AM1019" si="674">" "</f>
        <v xml:space="preserve"> </v>
      </c>
      <c r="AM1017" t="str">
        <f t="shared" si="674"/>
        <v xml:space="preserve"> </v>
      </c>
    </row>
    <row r="1018" spans="1:39" x14ac:dyDescent="0.25">
      <c r="A1018" t="str">
        <f>"BI044481 10"</f>
        <v>BI044481 10</v>
      </c>
      <c r="B1018" t="str">
        <f>"COJINETES BIELA 0,25 CHERY SQR484F/SQR481FC"</f>
        <v>COJINETES BIELA 0,25 CHERY SQR484F/SQR481FC</v>
      </c>
      <c r="C1018" t="str">
        <f>"$ 14818,40"</f>
        <v>$ 14818,40</v>
      </c>
      <c r="D1018" t="str">
        <f>"$ 14818,40"</f>
        <v>$ 14818,40</v>
      </c>
      <c r="E1018" t="str">
        <f>"$ 14818,40"</f>
        <v>$ 14818,40</v>
      </c>
      <c r="F1018" t="str">
        <f>"$ 14818,40"</f>
        <v>$ 14818,40</v>
      </c>
      <c r="G1018" t="str">
        <f>"$ 14818,40"</f>
        <v>$ 14818,40</v>
      </c>
      <c r="H1018" t="str">
        <f t="shared" si="636"/>
        <v>$ 0,00</v>
      </c>
      <c r="I1018" t="str">
        <f t="shared" si="672"/>
        <v>JUEGO COJINETES BIELA</v>
      </c>
      <c r="J1018" t="str">
        <f t="shared" si="637"/>
        <v>1</v>
      </c>
      <c r="K1018" t="str">
        <f t="shared" si="658"/>
        <v>0</v>
      </c>
      <c r="L1018" t="str">
        <f>"4,000"</f>
        <v>4,000</v>
      </c>
      <c r="M1018" t="str">
        <f t="shared" si="638"/>
        <v xml:space="preserve"> </v>
      </c>
      <c r="N1018" t="str">
        <f t="shared" si="665"/>
        <v>MPSI</v>
      </c>
      <c r="O1018" t="str">
        <f t="shared" si="666"/>
        <v>COJINETES</v>
      </c>
      <c r="P1018" t="str">
        <f t="shared" si="667"/>
        <v>0</v>
      </c>
      <c r="Q1018" t="str">
        <f t="shared" si="667"/>
        <v>0</v>
      </c>
      <c r="R1018" t="str">
        <f t="shared" si="668"/>
        <v>0,00</v>
      </c>
      <c r="S1018" t="str">
        <f t="shared" si="668"/>
        <v>0,00</v>
      </c>
      <c r="T1018" t="str">
        <f t="shared" si="657"/>
        <v xml:space="preserve"> </v>
      </c>
      <c r="U1018" t="str">
        <f t="shared" si="673"/>
        <v>-</v>
      </c>
      <c r="V1018" t="str">
        <f>"4,000"</f>
        <v>4,000</v>
      </c>
      <c r="W1018" t="str">
        <f t="shared" si="641"/>
        <v>Lista 4</v>
      </c>
      <c r="X1018" t="str">
        <f t="shared" si="642"/>
        <v>Lista 5</v>
      </c>
      <c r="Y1018" t="str">
        <f t="shared" si="643"/>
        <v>Oferta Gral.</v>
      </c>
      <c r="Z1018" t="str">
        <f t="shared" si="644"/>
        <v>Rubro</v>
      </c>
      <c r="AA1018" t="str">
        <f t="shared" si="645"/>
        <v>Cantidad por Bulto</v>
      </c>
      <c r="AB1018" t="str">
        <f t="shared" si="646"/>
        <v>INNER</v>
      </c>
      <c r="AC1018" t="str">
        <f t="shared" si="647"/>
        <v>Stock en Bultos</v>
      </c>
      <c r="AD1018" t="str">
        <f t="shared" si="648"/>
        <v>SubDepósito</v>
      </c>
      <c r="AE1018" t="str">
        <f t="shared" si="649"/>
        <v>Marca</v>
      </c>
      <c r="AF1018" t="str">
        <f t="shared" si="650"/>
        <v>Super Rubro</v>
      </c>
      <c r="AG1018" t="str">
        <f t="shared" si="651"/>
        <v>ComercioExterior</v>
      </c>
      <c r="AH1018" t="str">
        <f t="shared" si="652"/>
        <v>PrecioFOB</v>
      </c>
      <c r="AI1018" t="str">
        <f t="shared" si="653"/>
        <v>Monto II</v>
      </c>
      <c r="AJ1018" t="str">
        <f t="shared" si="654"/>
        <v>Porcentaje II</v>
      </c>
      <c r="AK1018" t="str">
        <f t="shared" si="655"/>
        <v>Foto</v>
      </c>
      <c r="AL1018" t="str">
        <f t="shared" si="674"/>
        <v xml:space="preserve"> </v>
      </c>
      <c r="AM1018" t="str">
        <f t="shared" si="674"/>
        <v xml:space="preserve"> </v>
      </c>
    </row>
    <row r="1019" spans="1:39" x14ac:dyDescent="0.25">
      <c r="A1019" t="str">
        <f>"BI062 10"</f>
        <v>BI062 10</v>
      </c>
      <c r="B1019" t="str">
        <f>"COJINETES BIELA 0,25 CHEVROLET 400 CHEVY C10"</f>
        <v>COJINETES BIELA 0,25 CHEVROLET 400 CHEVY C10</v>
      </c>
      <c r="C1019" t="str">
        <f>"$ 22210,98"</f>
        <v>$ 22210,98</v>
      </c>
      <c r="D1019" t="str">
        <f>"$ 22210,98"</f>
        <v>$ 22210,98</v>
      </c>
      <c r="E1019" t="str">
        <f>"$ 22210,98"</f>
        <v>$ 22210,98</v>
      </c>
      <c r="F1019" t="str">
        <f>"$ 22210,98"</f>
        <v>$ 22210,98</v>
      </c>
      <c r="G1019" t="str">
        <f>"$ 22210,98"</f>
        <v>$ 22210,98</v>
      </c>
      <c r="H1019" t="str">
        <f t="shared" si="636"/>
        <v>$ 0,00</v>
      </c>
      <c r="I1019" t="str">
        <f t="shared" si="672"/>
        <v>JUEGO COJINETES BIELA</v>
      </c>
      <c r="J1019" t="str">
        <f t="shared" si="637"/>
        <v>1</v>
      </c>
      <c r="K1019" t="str">
        <f t="shared" si="658"/>
        <v>0</v>
      </c>
      <c r="L1019" t="str">
        <f>"5,000"</f>
        <v>5,000</v>
      </c>
      <c r="M1019" t="str">
        <f t="shared" si="638"/>
        <v xml:space="preserve"> </v>
      </c>
      <c r="N1019" t="str">
        <f t="shared" si="665"/>
        <v>MPSI</v>
      </c>
      <c r="O1019" t="str">
        <f t="shared" si="666"/>
        <v>COJINETES</v>
      </c>
      <c r="P1019" t="str">
        <f t="shared" si="667"/>
        <v>0</v>
      </c>
      <c r="Q1019" t="str">
        <f t="shared" si="667"/>
        <v>0</v>
      </c>
      <c r="R1019" t="str">
        <f t="shared" si="668"/>
        <v>0,00</v>
      </c>
      <c r="S1019" t="str">
        <f t="shared" si="668"/>
        <v>0,00</v>
      </c>
      <c r="T1019" t="str">
        <f t="shared" si="657"/>
        <v xml:space="preserve"> </v>
      </c>
      <c r="U1019" t="str">
        <f t="shared" si="673"/>
        <v>-</v>
      </c>
      <c r="V1019" t="str">
        <f>"5,000"</f>
        <v>5,000</v>
      </c>
      <c r="W1019" t="str">
        <f t="shared" si="641"/>
        <v>Lista 4</v>
      </c>
      <c r="X1019" t="str">
        <f t="shared" si="642"/>
        <v>Lista 5</v>
      </c>
      <c r="Y1019" t="str">
        <f t="shared" si="643"/>
        <v>Oferta Gral.</v>
      </c>
      <c r="Z1019" t="str">
        <f t="shared" si="644"/>
        <v>Rubro</v>
      </c>
      <c r="AA1019" t="str">
        <f t="shared" si="645"/>
        <v>Cantidad por Bulto</v>
      </c>
      <c r="AB1019" t="str">
        <f t="shared" si="646"/>
        <v>INNER</v>
      </c>
      <c r="AC1019" t="str">
        <f t="shared" si="647"/>
        <v>Stock en Bultos</v>
      </c>
      <c r="AD1019" t="str">
        <f t="shared" si="648"/>
        <v>SubDepósito</v>
      </c>
      <c r="AE1019" t="str">
        <f t="shared" si="649"/>
        <v>Marca</v>
      </c>
      <c r="AF1019" t="str">
        <f t="shared" si="650"/>
        <v>Super Rubro</v>
      </c>
      <c r="AG1019" t="str">
        <f t="shared" si="651"/>
        <v>ComercioExterior</v>
      </c>
      <c r="AH1019" t="str">
        <f t="shared" si="652"/>
        <v>PrecioFOB</v>
      </c>
      <c r="AI1019" t="str">
        <f t="shared" si="653"/>
        <v>Monto II</v>
      </c>
      <c r="AJ1019" t="str">
        <f t="shared" si="654"/>
        <v>Porcentaje II</v>
      </c>
      <c r="AK1019" t="str">
        <f t="shared" si="655"/>
        <v>Foto</v>
      </c>
      <c r="AL1019" t="str">
        <f t="shared" si="674"/>
        <v xml:space="preserve"> </v>
      </c>
      <c r="AM1019" t="str">
        <f t="shared" si="674"/>
        <v xml:space="preserve"> </v>
      </c>
    </row>
    <row r="1020" spans="1:39" x14ac:dyDescent="0.25">
      <c r="A1020" t="str">
        <f>"BI372 10"</f>
        <v>BI372 10</v>
      </c>
      <c r="B1020" t="str">
        <f>"COJINETES BIELA 0,25 CHEVROLET CORSA 1.4 1.6 1.8 FIAT PALIO 1.8 8V"</f>
        <v>COJINETES BIELA 0,25 CHEVROLET CORSA 1.4 1.6 1.8 FIAT PALIO 1.8 8V</v>
      </c>
      <c r="C1020" t="str">
        <f>"$ 10874,12"</f>
        <v>$ 10874,12</v>
      </c>
      <c r="D1020" t="str">
        <f>"$ 10874,12"</f>
        <v>$ 10874,12</v>
      </c>
      <c r="E1020" t="str">
        <f>"$ 10874,12"</f>
        <v>$ 10874,12</v>
      </c>
      <c r="F1020" t="str">
        <f>"$ 10874,12"</f>
        <v>$ 10874,12</v>
      </c>
      <c r="G1020" t="str">
        <f>"$ 10874,12"</f>
        <v>$ 10874,12</v>
      </c>
      <c r="H1020" t="str">
        <f t="shared" si="636"/>
        <v>$ 0,00</v>
      </c>
      <c r="I1020" t="str">
        <f t="shared" si="672"/>
        <v>JUEGO COJINETES BIELA</v>
      </c>
      <c r="J1020" t="str">
        <f t="shared" si="637"/>
        <v>1</v>
      </c>
      <c r="K1020" t="str">
        <f t="shared" si="658"/>
        <v>0</v>
      </c>
      <c r="L1020" t="str">
        <f>"54,000"</f>
        <v>54,000</v>
      </c>
      <c r="M1020" t="str">
        <f t="shared" si="638"/>
        <v xml:space="preserve"> </v>
      </c>
      <c r="N1020" t="str">
        <f t="shared" si="665"/>
        <v>MPSI</v>
      </c>
      <c r="O1020" t="str">
        <f t="shared" si="666"/>
        <v>COJINETES</v>
      </c>
      <c r="P1020" t="str">
        <f t="shared" si="667"/>
        <v>0</v>
      </c>
      <c r="Q1020" t="str">
        <f t="shared" si="667"/>
        <v>0</v>
      </c>
      <c r="R1020" t="str">
        <f t="shared" si="668"/>
        <v>0,00</v>
      </c>
      <c r="S1020" t="str">
        <f t="shared" si="668"/>
        <v>0,00</v>
      </c>
      <c r="T1020" t="str">
        <f t="shared" si="657"/>
        <v xml:space="preserve"> </v>
      </c>
      <c r="U1020" t="str">
        <f t="shared" si="673"/>
        <v>-</v>
      </c>
      <c r="V1020" t="str">
        <f>"54,000"</f>
        <v>54,000</v>
      </c>
      <c r="W1020" t="str">
        <f t="shared" si="641"/>
        <v>Lista 4</v>
      </c>
      <c r="X1020" t="str">
        <f t="shared" si="642"/>
        <v>Lista 5</v>
      </c>
      <c r="Y1020" t="str">
        <f t="shared" si="643"/>
        <v>Oferta Gral.</v>
      </c>
      <c r="Z1020" t="str">
        <f t="shared" si="644"/>
        <v>Rubro</v>
      </c>
      <c r="AA1020" t="str">
        <f t="shared" si="645"/>
        <v>Cantidad por Bulto</v>
      </c>
      <c r="AB1020" t="str">
        <f t="shared" si="646"/>
        <v>INNER</v>
      </c>
      <c r="AC1020" t="str">
        <f t="shared" si="647"/>
        <v>Stock en Bultos</v>
      </c>
      <c r="AD1020" t="str">
        <f t="shared" si="648"/>
        <v>SubDepósito</v>
      </c>
      <c r="AE1020" t="str">
        <f t="shared" si="649"/>
        <v>Marca</v>
      </c>
      <c r="AF1020" t="str">
        <f t="shared" si="650"/>
        <v>Super Rubro</v>
      </c>
      <c r="AG1020" t="str">
        <f t="shared" si="651"/>
        <v>ComercioExterior</v>
      </c>
      <c r="AH1020" t="str">
        <f t="shared" si="652"/>
        <v>PrecioFOB</v>
      </c>
      <c r="AI1020" t="str">
        <f t="shared" si="653"/>
        <v>Monto II</v>
      </c>
      <c r="AJ1020" t="str">
        <f t="shared" si="654"/>
        <v>Porcentaje II</v>
      </c>
      <c r="AK1020" t="str">
        <f t="shared" si="655"/>
        <v>Foto</v>
      </c>
      <c r="AL1020" t="str">
        <f>"{\rtf1\ansi\ansicpg1252\deff0\deflang2058{\fonttbl{\f0\fnil\fcharset0 MS Sans Serif}} \viewkind4\uc1\pard\f0\fs16 COJINETES BIELA 0,25 CHEVROLET CORSA 1.4 1.6 1.8 FIAT PALIO 1.8 8V\par } "</f>
        <v xml:space="preserve">{\rtf1\ansi\ansicpg1252\deff0\deflang2058{\fonttbl{\f0\fnil\fcharset0 MS Sans Serif}} \viewkind4\uc1\pard\f0\fs16 COJINETES BIELA 0,25 CHEVROLET CORSA 1.4 1.6 1.8 FIAT PALIO 1.8 8V\par } </v>
      </c>
      <c r="AM1020" t="str">
        <f t="shared" ref="AM1020:AM1058" si="675">" "</f>
        <v xml:space="preserve"> </v>
      </c>
    </row>
    <row r="1021" spans="1:39" x14ac:dyDescent="0.25">
      <c r="A1021" t="str">
        <f>"BI810 10"</f>
        <v>BI810 10</v>
      </c>
      <c r="B1021" t="str">
        <f>"COJINETES BIELA 0,25 CHEVROLET CORSA 1.7 ISUZU 1,7 DIESEL"</f>
        <v>COJINETES BIELA 0,25 CHEVROLET CORSA 1.7 ISUZU 1,7 DIESEL</v>
      </c>
      <c r="C1021" t="str">
        <f>"$ 17897,69"</f>
        <v>$ 17897,69</v>
      </c>
      <c r="D1021" t="str">
        <f>"$ 17897,69"</f>
        <v>$ 17897,69</v>
      </c>
      <c r="E1021" t="str">
        <f>"$ 17897,69"</f>
        <v>$ 17897,69</v>
      </c>
      <c r="F1021" t="str">
        <f>"$ 17897,69"</f>
        <v>$ 17897,69</v>
      </c>
      <c r="G1021" t="str">
        <f>"$ 17897,69"</f>
        <v>$ 17897,69</v>
      </c>
      <c r="H1021" t="str">
        <f t="shared" si="636"/>
        <v>$ 0,00</v>
      </c>
      <c r="I1021" t="str">
        <f t="shared" si="672"/>
        <v>JUEGO COJINETES BIELA</v>
      </c>
      <c r="J1021" t="str">
        <f t="shared" si="637"/>
        <v>1</v>
      </c>
      <c r="K1021" t="str">
        <f t="shared" si="658"/>
        <v>0</v>
      </c>
      <c r="L1021" t="str">
        <f>"13,000"</f>
        <v>13,000</v>
      </c>
      <c r="M1021" t="str">
        <f t="shared" si="638"/>
        <v xml:space="preserve"> </v>
      </c>
      <c r="N1021" t="str">
        <f t="shared" si="665"/>
        <v>MPSI</v>
      </c>
      <c r="O1021" t="str">
        <f t="shared" si="666"/>
        <v>COJINETES</v>
      </c>
      <c r="P1021" t="str">
        <f t="shared" si="667"/>
        <v>0</v>
      </c>
      <c r="Q1021" t="str">
        <f t="shared" si="667"/>
        <v>0</v>
      </c>
      <c r="R1021" t="str">
        <f t="shared" si="668"/>
        <v>0,00</v>
      </c>
      <c r="S1021" t="str">
        <f t="shared" si="668"/>
        <v>0,00</v>
      </c>
      <c r="T1021" t="str">
        <f t="shared" si="657"/>
        <v xml:space="preserve"> </v>
      </c>
      <c r="U1021" t="str">
        <f t="shared" si="673"/>
        <v>-</v>
      </c>
      <c r="V1021" t="str">
        <f>"13,000"</f>
        <v>13,000</v>
      </c>
      <c r="W1021" t="str">
        <f t="shared" si="641"/>
        <v>Lista 4</v>
      </c>
      <c r="X1021" t="str">
        <f t="shared" si="642"/>
        <v>Lista 5</v>
      </c>
      <c r="Y1021" t="str">
        <f t="shared" si="643"/>
        <v>Oferta Gral.</v>
      </c>
      <c r="Z1021" t="str">
        <f t="shared" si="644"/>
        <v>Rubro</v>
      </c>
      <c r="AA1021" t="str">
        <f t="shared" si="645"/>
        <v>Cantidad por Bulto</v>
      </c>
      <c r="AB1021" t="str">
        <f t="shared" si="646"/>
        <v>INNER</v>
      </c>
      <c r="AC1021" t="str">
        <f t="shared" si="647"/>
        <v>Stock en Bultos</v>
      </c>
      <c r="AD1021" t="str">
        <f t="shared" si="648"/>
        <v>SubDepósito</v>
      </c>
      <c r="AE1021" t="str">
        <f t="shared" si="649"/>
        <v>Marca</v>
      </c>
      <c r="AF1021" t="str">
        <f t="shared" si="650"/>
        <v>Super Rubro</v>
      </c>
      <c r="AG1021" t="str">
        <f t="shared" si="651"/>
        <v>ComercioExterior</v>
      </c>
      <c r="AH1021" t="str">
        <f t="shared" si="652"/>
        <v>PrecioFOB</v>
      </c>
      <c r="AI1021" t="str">
        <f t="shared" si="653"/>
        <v>Monto II</v>
      </c>
      <c r="AJ1021" t="str">
        <f t="shared" si="654"/>
        <v>Porcentaje II</v>
      </c>
      <c r="AK1021" t="str">
        <f t="shared" si="655"/>
        <v>Foto</v>
      </c>
      <c r="AL1021" t="str">
        <f t="shared" ref="AL1021:AL1028" si="676">" "</f>
        <v xml:space="preserve"> </v>
      </c>
      <c r="AM1021" t="str">
        <f t="shared" si="675"/>
        <v xml:space="preserve"> </v>
      </c>
    </row>
    <row r="1022" spans="1:39" x14ac:dyDescent="0.25">
      <c r="A1022" t="str">
        <f>"BI054915 10"</f>
        <v>BI054915 10</v>
      </c>
      <c r="B1022" t="str">
        <f>"COJINETES BIELA 0,25 CHEVROLET CRUZE TRACKER 1.8 16V Z18XE 6 N18XFF"</f>
        <v>COJINETES BIELA 0,25 CHEVROLET CRUZE TRACKER 1.8 16V Z18XE 6 N18XFF</v>
      </c>
      <c r="C1022" t="str">
        <f>"$ 12622,35"</f>
        <v>$ 12622,35</v>
      </c>
      <c r="D1022" t="str">
        <f>"$ 12622,35"</f>
        <v>$ 12622,35</v>
      </c>
      <c r="E1022" t="str">
        <f>"$ 12622,35"</f>
        <v>$ 12622,35</v>
      </c>
      <c r="F1022" t="str">
        <f>"$ 12622,35"</f>
        <v>$ 12622,35</v>
      </c>
      <c r="G1022" t="str">
        <f>"$ 12622,35"</f>
        <v>$ 12622,35</v>
      </c>
      <c r="H1022" t="str">
        <f t="shared" si="636"/>
        <v>$ 0,00</v>
      </c>
      <c r="I1022" t="str">
        <f t="shared" si="672"/>
        <v>JUEGO COJINETES BIELA</v>
      </c>
      <c r="J1022" t="str">
        <f t="shared" si="637"/>
        <v>1</v>
      </c>
      <c r="K1022" t="str">
        <f t="shared" si="658"/>
        <v>0</v>
      </c>
      <c r="L1022" t="str">
        <f>"9,000"</f>
        <v>9,000</v>
      </c>
      <c r="M1022" t="str">
        <f t="shared" si="638"/>
        <v xml:space="preserve"> </v>
      </c>
      <c r="N1022" t="str">
        <f t="shared" si="665"/>
        <v>MPSI</v>
      </c>
      <c r="O1022" t="str">
        <f t="shared" si="666"/>
        <v>COJINETES</v>
      </c>
      <c r="P1022" t="str">
        <f t="shared" si="667"/>
        <v>0</v>
      </c>
      <c r="Q1022" t="str">
        <f t="shared" si="667"/>
        <v>0</v>
      </c>
      <c r="R1022" t="str">
        <f t="shared" si="668"/>
        <v>0,00</v>
      </c>
      <c r="S1022" t="str">
        <f t="shared" si="668"/>
        <v>0,00</v>
      </c>
      <c r="T1022" t="str">
        <f t="shared" si="657"/>
        <v xml:space="preserve"> </v>
      </c>
      <c r="U1022" t="str">
        <f t="shared" si="673"/>
        <v>-</v>
      </c>
      <c r="V1022" t="str">
        <f>"9,000"</f>
        <v>9,000</v>
      </c>
      <c r="W1022" t="str">
        <f t="shared" si="641"/>
        <v>Lista 4</v>
      </c>
      <c r="X1022" t="str">
        <f t="shared" si="642"/>
        <v>Lista 5</v>
      </c>
      <c r="Y1022" t="str">
        <f t="shared" si="643"/>
        <v>Oferta Gral.</v>
      </c>
      <c r="Z1022" t="str">
        <f t="shared" si="644"/>
        <v>Rubro</v>
      </c>
      <c r="AA1022" t="str">
        <f t="shared" si="645"/>
        <v>Cantidad por Bulto</v>
      </c>
      <c r="AB1022" t="str">
        <f t="shared" si="646"/>
        <v>INNER</v>
      </c>
      <c r="AC1022" t="str">
        <f t="shared" si="647"/>
        <v>Stock en Bultos</v>
      </c>
      <c r="AD1022" t="str">
        <f t="shared" si="648"/>
        <v>SubDepósito</v>
      </c>
      <c r="AE1022" t="str">
        <f t="shared" si="649"/>
        <v>Marca</v>
      </c>
      <c r="AF1022" t="str">
        <f t="shared" si="650"/>
        <v>Super Rubro</v>
      </c>
      <c r="AG1022" t="str">
        <f t="shared" si="651"/>
        <v>ComercioExterior</v>
      </c>
      <c r="AH1022" t="str">
        <f t="shared" si="652"/>
        <v>PrecioFOB</v>
      </c>
      <c r="AI1022" t="str">
        <f t="shared" si="653"/>
        <v>Monto II</v>
      </c>
      <c r="AJ1022" t="str">
        <f t="shared" si="654"/>
        <v>Porcentaje II</v>
      </c>
      <c r="AK1022" t="str">
        <f t="shared" si="655"/>
        <v>Foto</v>
      </c>
      <c r="AL1022" t="str">
        <f t="shared" si="676"/>
        <v xml:space="preserve"> </v>
      </c>
      <c r="AM1022" t="str">
        <f t="shared" si="675"/>
        <v xml:space="preserve"> </v>
      </c>
    </row>
    <row r="1023" spans="1:39" x14ac:dyDescent="0.25">
      <c r="A1023" t="str">
        <f>"BI054928 10"</f>
        <v>BI054928 10</v>
      </c>
      <c r="B1023" t="str">
        <f>"COJINETES BIELA 0,25 CHEVROLET CRUZE X12XE 1.4 TURBO"</f>
        <v>COJINETES BIELA 0,25 CHEVROLET CRUZE X12XE 1.4 TURBO</v>
      </c>
      <c r="C1023" t="str">
        <f>"$ 11593,57"</f>
        <v>$ 11593,57</v>
      </c>
      <c r="D1023" t="str">
        <f>"$ 11593,57"</f>
        <v>$ 11593,57</v>
      </c>
      <c r="E1023" t="str">
        <f>"$ 11593,57"</f>
        <v>$ 11593,57</v>
      </c>
      <c r="F1023" t="str">
        <f>"$ 11593,57"</f>
        <v>$ 11593,57</v>
      </c>
      <c r="G1023" t="str">
        <f>"$ 11593,57"</f>
        <v>$ 11593,57</v>
      </c>
      <c r="H1023" t="str">
        <f t="shared" si="636"/>
        <v>$ 0,00</v>
      </c>
      <c r="I1023" t="str">
        <f t="shared" si="672"/>
        <v>JUEGO COJINETES BIELA</v>
      </c>
      <c r="J1023" t="str">
        <f t="shared" si="637"/>
        <v>1</v>
      </c>
      <c r="K1023" t="str">
        <f t="shared" si="658"/>
        <v>0</v>
      </c>
      <c r="L1023" t="str">
        <f>"5,000"</f>
        <v>5,000</v>
      </c>
      <c r="M1023" t="str">
        <f t="shared" si="638"/>
        <v xml:space="preserve"> </v>
      </c>
      <c r="N1023" t="str">
        <f t="shared" si="665"/>
        <v>MPSI</v>
      </c>
      <c r="O1023" t="str">
        <f t="shared" si="666"/>
        <v>COJINETES</v>
      </c>
      <c r="P1023" t="str">
        <f t="shared" ref="P1023:Q1042" si="677">"0"</f>
        <v>0</v>
      </c>
      <c r="Q1023" t="str">
        <f t="shared" si="677"/>
        <v>0</v>
      </c>
      <c r="R1023" t="str">
        <f t="shared" ref="R1023:S1042" si="678">"0,00"</f>
        <v>0,00</v>
      </c>
      <c r="S1023" t="str">
        <f t="shared" si="678"/>
        <v>0,00</v>
      </c>
      <c r="T1023" t="str">
        <f t="shared" si="657"/>
        <v xml:space="preserve"> </v>
      </c>
      <c r="U1023" t="str">
        <f t="shared" si="673"/>
        <v>-</v>
      </c>
      <c r="V1023" t="str">
        <f>"5,000"</f>
        <v>5,000</v>
      </c>
      <c r="W1023" t="str">
        <f t="shared" si="641"/>
        <v>Lista 4</v>
      </c>
      <c r="X1023" t="str">
        <f t="shared" si="642"/>
        <v>Lista 5</v>
      </c>
      <c r="Y1023" t="str">
        <f t="shared" si="643"/>
        <v>Oferta Gral.</v>
      </c>
      <c r="Z1023" t="str">
        <f t="shared" si="644"/>
        <v>Rubro</v>
      </c>
      <c r="AA1023" t="str">
        <f t="shared" si="645"/>
        <v>Cantidad por Bulto</v>
      </c>
      <c r="AB1023" t="str">
        <f t="shared" si="646"/>
        <v>INNER</v>
      </c>
      <c r="AC1023" t="str">
        <f t="shared" si="647"/>
        <v>Stock en Bultos</v>
      </c>
      <c r="AD1023" t="str">
        <f t="shared" si="648"/>
        <v>SubDepósito</v>
      </c>
      <c r="AE1023" t="str">
        <f t="shared" si="649"/>
        <v>Marca</v>
      </c>
      <c r="AF1023" t="str">
        <f t="shared" si="650"/>
        <v>Super Rubro</v>
      </c>
      <c r="AG1023" t="str">
        <f t="shared" si="651"/>
        <v>ComercioExterior</v>
      </c>
      <c r="AH1023" t="str">
        <f t="shared" si="652"/>
        <v>PrecioFOB</v>
      </c>
      <c r="AI1023" t="str">
        <f t="shared" si="653"/>
        <v>Monto II</v>
      </c>
      <c r="AJ1023" t="str">
        <f t="shared" si="654"/>
        <v>Porcentaje II</v>
      </c>
      <c r="AK1023" t="str">
        <f t="shared" si="655"/>
        <v>Foto</v>
      </c>
      <c r="AL1023" t="str">
        <f t="shared" si="676"/>
        <v xml:space="preserve"> </v>
      </c>
      <c r="AM1023" t="str">
        <f t="shared" si="675"/>
        <v xml:space="preserve"> </v>
      </c>
    </row>
    <row r="1024" spans="1:39" x14ac:dyDescent="0.25">
      <c r="A1024" t="str">
        <f>"BI070 10"</f>
        <v>BI070 10</v>
      </c>
      <c r="B1024" t="str">
        <f>"COJINETES BIELA 0,25 CHEVROLET MONZA ASTRA 1.8 2.0 8V"</f>
        <v>COJINETES BIELA 0,25 CHEVROLET MONZA ASTRA 1.8 2.0 8V</v>
      </c>
      <c r="C1024" t="str">
        <f>"$ 15174,52"</f>
        <v>$ 15174,52</v>
      </c>
      <c r="D1024" t="str">
        <f>"$ 15174,52"</f>
        <v>$ 15174,52</v>
      </c>
      <c r="E1024" t="str">
        <f>"$ 15174,52"</f>
        <v>$ 15174,52</v>
      </c>
      <c r="F1024" t="str">
        <f>"$ 15174,52"</f>
        <v>$ 15174,52</v>
      </c>
      <c r="G1024" t="str">
        <f>"$ 15174,52"</f>
        <v>$ 15174,52</v>
      </c>
      <c r="H1024" t="str">
        <f t="shared" si="636"/>
        <v>$ 0,00</v>
      </c>
      <c r="I1024" t="str">
        <f t="shared" si="672"/>
        <v>JUEGO COJINETES BIELA</v>
      </c>
      <c r="J1024" t="str">
        <f t="shared" si="637"/>
        <v>1</v>
      </c>
      <c r="K1024" t="str">
        <f t="shared" si="658"/>
        <v>0</v>
      </c>
      <c r="L1024" t="str">
        <f>"9,000"</f>
        <v>9,000</v>
      </c>
      <c r="M1024" t="str">
        <f t="shared" si="638"/>
        <v xml:space="preserve"> </v>
      </c>
      <c r="N1024" t="str">
        <f t="shared" si="665"/>
        <v>MPSI</v>
      </c>
      <c r="O1024" t="str">
        <f t="shared" si="666"/>
        <v>COJINETES</v>
      </c>
      <c r="P1024" t="str">
        <f t="shared" si="677"/>
        <v>0</v>
      </c>
      <c r="Q1024" t="str">
        <f t="shared" si="677"/>
        <v>0</v>
      </c>
      <c r="R1024" t="str">
        <f t="shared" si="678"/>
        <v>0,00</v>
      </c>
      <c r="S1024" t="str">
        <f t="shared" si="678"/>
        <v>0,00</v>
      </c>
      <c r="T1024" t="str">
        <f t="shared" si="657"/>
        <v xml:space="preserve"> </v>
      </c>
      <c r="U1024" t="str">
        <f t="shared" si="673"/>
        <v>-</v>
      </c>
      <c r="V1024" t="str">
        <f>"9,000"</f>
        <v>9,000</v>
      </c>
      <c r="W1024" t="str">
        <f t="shared" si="641"/>
        <v>Lista 4</v>
      </c>
      <c r="X1024" t="str">
        <f t="shared" si="642"/>
        <v>Lista 5</v>
      </c>
      <c r="Y1024" t="str">
        <f t="shared" si="643"/>
        <v>Oferta Gral.</v>
      </c>
      <c r="Z1024" t="str">
        <f t="shared" si="644"/>
        <v>Rubro</v>
      </c>
      <c r="AA1024" t="str">
        <f t="shared" si="645"/>
        <v>Cantidad por Bulto</v>
      </c>
      <c r="AB1024" t="str">
        <f t="shared" si="646"/>
        <v>INNER</v>
      </c>
      <c r="AC1024" t="str">
        <f t="shared" si="647"/>
        <v>Stock en Bultos</v>
      </c>
      <c r="AD1024" t="str">
        <f t="shared" si="648"/>
        <v>SubDepósito</v>
      </c>
      <c r="AE1024" t="str">
        <f t="shared" si="649"/>
        <v>Marca</v>
      </c>
      <c r="AF1024" t="str">
        <f t="shared" si="650"/>
        <v>Super Rubro</v>
      </c>
      <c r="AG1024" t="str">
        <f t="shared" si="651"/>
        <v>ComercioExterior</v>
      </c>
      <c r="AH1024" t="str">
        <f t="shared" si="652"/>
        <v>PrecioFOB</v>
      </c>
      <c r="AI1024" t="str">
        <f t="shared" si="653"/>
        <v>Monto II</v>
      </c>
      <c r="AJ1024" t="str">
        <f t="shared" si="654"/>
        <v>Porcentaje II</v>
      </c>
      <c r="AK1024" t="str">
        <f t="shared" si="655"/>
        <v>Foto</v>
      </c>
      <c r="AL1024" t="str">
        <f t="shared" si="676"/>
        <v xml:space="preserve"> </v>
      </c>
      <c r="AM1024" t="str">
        <f t="shared" si="675"/>
        <v xml:space="preserve"> </v>
      </c>
    </row>
    <row r="1025" spans="1:39" x14ac:dyDescent="0.25">
      <c r="A1025" t="str">
        <f>"BI054420 10"</f>
        <v>BI054420 10</v>
      </c>
      <c r="B1025" t="str">
        <f>"COJINETES BIELA 0,25 CHEVROLET S10 DURAMAX 2,8 16V"</f>
        <v>COJINETES BIELA 0,25 CHEVROLET S10 DURAMAX 2,8 16V</v>
      </c>
      <c r="C1025" t="str">
        <f>"$ 28627,81"</f>
        <v>$ 28627,81</v>
      </c>
      <c r="D1025" t="str">
        <f>"$ 28627,81"</f>
        <v>$ 28627,81</v>
      </c>
      <c r="E1025" t="str">
        <f>"$ 28627,81"</f>
        <v>$ 28627,81</v>
      </c>
      <c r="F1025" t="str">
        <f>"$ 28627,81"</f>
        <v>$ 28627,81</v>
      </c>
      <c r="G1025" t="str">
        <f>"$ 28627,81"</f>
        <v>$ 28627,81</v>
      </c>
      <c r="H1025" t="str">
        <f t="shared" si="636"/>
        <v>$ 0,00</v>
      </c>
      <c r="I1025" t="str">
        <f t="shared" si="672"/>
        <v>JUEGO COJINETES BIELA</v>
      </c>
      <c r="J1025" t="str">
        <f t="shared" si="637"/>
        <v>1</v>
      </c>
      <c r="K1025" t="str">
        <f t="shared" si="658"/>
        <v>0</v>
      </c>
      <c r="L1025" t="str">
        <f>"4,000"</f>
        <v>4,000</v>
      </c>
      <c r="M1025" t="str">
        <f t="shared" si="638"/>
        <v xml:space="preserve"> </v>
      </c>
      <c r="N1025" t="str">
        <f t="shared" si="665"/>
        <v>MPSI</v>
      </c>
      <c r="O1025" t="str">
        <f t="shared" si="666"/>
        <v>COJINETES</v>
      </c>
      <c r="P1025" t="str">
        <f t="shared" si="677"/>
        <v>0</v>
      </c>
      <c r="Q1025" t="str">
        <f t="shared" si="677"/>
        <v>0</v>
      </c>
      <c r="R1025" t="str">
        <f t="shared" si="678"/>
        <v>0,00</v>
      </c>
      <c r="S1025" t="str">
        <f t="shared" si="678"/>
        <v>0,00</v>
      </c>
      <c r="T1025" t="str">
        <f t="shared" si="657"/>
        <v xml:space="preserve"> </v>
      </c>
      <c r="U1025" t="str">
        <f t="shared" si="673"/>
        <v>-</v>
      </c>
      <c r="V1025" t="str">
        <f>"4,000"</f>
        <v>4,000</v>
      </c>
      <c r="W1025" t="str">
        <f t="shared" si="641"/>
        <v>Lista 4</v>
      </c>
      <c r="X1025" t="str">
        <f t="shared" si="642"/>
        <v>Lista 5</v>
      </c>
      <c r="Y1025" t="str">
        <f t="shared" si="643"/>
        <v>Oferta Gral.</v>
      </c>
      <c r="Z1025" t="str">
        <f t="shared" si="644"/>
        <v>Rubro</v>
      </c>
      <c r="AA1025" t="str">
        <f t="shared" si="645"/>
        <v>Cantidad por Bulto</v>
      </c>
      <c r="AB1025" t="str">
        <f t="shared" si="646"/>
        <v>INNER</v>
      </c>
      <c r="AC1025" t="str">
        <f t="shared" si="647"/>
        <v>Stock en Bultos</v>
      </c>
      <c r="AD1025" t="str">
        <f t="shared" si="648"/>
        <v>SubDepósito</v>
      </c>
      <c r="AE1025" t="str">
        <f t="shared" si="649"/>
        <v>Marca</v>
      </c>
      <c r="AF1025" t="str">
        <f t="shared" si="650"/>
        <v>Super Rubro</v>
      </c>
      <c r="AG1025" t="str">
        <f t="shared" si="651"/>
        <v>ComercioExterior</v>
      </c>
      <c r="AH1025" t="str">
        <f t="shared" si="652"/>
        <v>PrecioFOB</v>
      </c>
      <c r="AI1025" t="str">
        <f t="shared" si="653"/>
        <v>Monto II</v>
      </c>
      <c r="AJ1025" t="str">
        <f t="shared" si="654"/>
        <v>Porcentaje II</v>
      </c>
      <c r="AK1025" t="str">
        <f t="shared" si="655"/>
        <v>Foto</v>
      </c>
      <c r="AL1025" t="str">
        <f t="shared" si="676"/>
        <v xml:space="preserve"> </v>
      </c>
      <c r="AM1025" t="str">
        <f t="shared" si="675"/>
        <v xml:space="preserve"> </v>
      </c>
    </row>
    <row r="1026" spans="1:39" x14ac:dyDescent="0.25">
      <c r="A1026" t="str">
        <f>"BI580 10"</f>
        <v>BI580 10</v>
      </c>
      <c r="B1026" t="str">
        <f>"COJINETES BIELA 0,25 DAEWOO TICO MATIZ MOTOR 3 CILINDROS F8CB F8CV"</f>
        <v>COJINETES BIELA 0,25 DAEWOO TICO MATIZ MOTOR 3 CILINDROS F8CB F8CV</v>
      </c>
      <c r="C1026" t="str">
        <f>"$ 10010,83"</f>
        <v>$ 10010,83</v>
      </c>
      <c r="D1026" t="str">
        <f>"$ 10010,83"</f>
        <v>$ 10010,83</v>
      </c>
      <c r="E1026" t="str">
        <f>"$ 10010,83"</f>
        <v>$ 10010,83</v>
      </c>
      <c r="F1026" t="str">
        <f>"$ 10010,83"</f>
        <v>$ 10010,83</v>
      </c>
      <c r="G1026" t="str">
        <f>"$ 10010,83"</f>
        <v>$ 10010,83</v>
      </c>
      <c r="H1026" t="str">
        <f t="shared" si="636"/>
        <v>$ 0,00</v>
      </c>
      <c r="I1026" t="str">
        <f t="shared" si="672"/>
        <v>JUEGO COJINETES BIELA</v>
      </c>
      <c r="J1026" t="str">
        <f t="shared" si="637"/>
        <v>1</v>
      </c>
      <c r="K1026" t="str">
        <f t="shared" si="658"/>
        <v>0</v>
      </c>
      <c r="L1026" t="str">
        <f>"3,000"</f>
        <v>3,000</v>
      </c>
      <c r="M1026" t="str">
        <f t="shared" si="638"/>
        <v xml:space="preserve"> </v>
      </c>
      <c r="N1026" t="str">
        <f t="shared" si="665"/>
        <v>MPSI</v>
      </c>
      <c r="O1026" t="str">
        <f t="shared" si="666"/>
        <v>COJINETES</v>
      </c>
      <c r="P1026" t="str">
        <f t="shared" si="677"/>
        <v>0</v>
      </c>
      <c r="Q1026" t="str">
        <f t="shared" si="677"/>
        <v>0</v>
      </c>
      <c r="R1026" t="str">
        <f t="shared" si="678"/>
        <v>0,00</v>
      </c>
      <c r="S1026" t="str">
        <f t="shared" si="678"/>
        <v>0,00</v>
      </c>
      <c r="T1026" t="str">
        <f t="shared" si="657"/>
        <v xml:space="preserve"> </v>
      </c>
      <c r="U1026" t="str">
        <f t="shared" si="673"/>
        <v>-</v>
      </c>
      <c r="V1026" t="str">
        <f>"3,000"</f>
        <v>3,000</v>
      </c>
      <c r="W1026" t="str">
        <f t="shared" si="641"/>
        <v>Lista 4</v>
      </c>
      <c r="X1026" t="str">
        <f t="shared" si="642"/>
        <v>Lista 5</v>
      </c>
      <c r="Y1026" t="str">
        <f t="shared" si="643"/>
        <v>Oferta Gral.</v>
      </c>
      <c r="Z1026" t="str">
        <f t="shared" si="644"/>
        <v>Rubro</v>
      </c>
      <c r="AA1026" t="str">
        <f t="shared" si="645"/>
        <v>Cantidad por Bulto</v>
      </c>
      <c r="AB1026" t="str">
        <f t="shared" si="646"/>
        <v>INNER</v>
      </c>
      <c r="AC1026" t="str">
        <f t="shared" si="647"/>
        <v>Stock en Bultos</v>
      </c>
      <c r="AD1026" t="str">
        <f t="shared" si="648"/>
        <v>SubDepósito</v>
      </c>
      <c r="AE1026" t="str">
        <f t="shared" si="649"/>
        <v>Marca</v>
      </c>
      <c r="AF1026" t="str">
        <f t="shared" si="650"/>
        <v>Super Rubro</v>
      </c>
      <c r="AG1026" t="str">
        <f t="shared" si="651"/>
        <v>ComercioExterior</v>
      </c>
      <c r="AH1026" t="str">
        <f t="shared" si="652"/>
        <v>PrecioFOB</v>
      </c>
      <c r="AI1026" t="str">
        <f t="shared" si="653"/>
        <v>Monto II</v>
      </c>
      <c r="AJ1026" t="str">
        <f t="shared" si="654"/>
        <v>Porcentaje II</v>
      </c>
      <c r="AK1026" t="str">
        <f t="shared" si="655"/>
        <v>Foto</v>
      </c>
      <c r="AL1026" t="str">
        <f t="shared" si="676"/>
        <v xml:space="preserve"> </v>
      </c>
      <c r="AM1026" t="str">
        <f t="shared" si="675"/>
        <v xml:space="preserve"> </v>
      </c>
    </row>
    <row r="1027" spans="1:39" x14ac:dyDescent="0.25">
      <c r="A1027" t="str">
        <f>"BI082 10"</f>
        <v>BI082 10</v>
      </c>
      <c r="B1027" t="str">
        <f>"COJINETES BIELA 0,25 DODGE 1500"</f>
        <v>COJINETES BIELA 0,25 DODGE 1500</v>
      </c>
      <c r="C1027" t="str">
        <f>"$ 17350,79"</f>
        <v>$ 17350,79</v>
      </c>
      <c r="D1027" t="str">
        <f>"$ 17350,79"</f>
        <v>$ 17350,79</v>
      </c>
      <c r="E1027" t="str">
        <f>"$ 17350,79"</f>
        <v>$ 17350,79</v>
      </c>
      <c r="F1027" t="str">
        <f>"$ 17350,79"</f>
        <v>$ 17350,79</v>
      </c>
      <c r="G1027" t="str">
        <f>"$ 17350,79"</f>
        <v>$ 17350,79</v>
      </c>
      <c r="H1027" t="str">
        <f t="shared" ref="H1027:H1090" si="679">"$ 0,00"</f>
        <v>$ 0,00</v>
      </c>
      <c r="I1027" t="str">
        <f t="shared" si="672"/>
        <v>JUEGO COJINETES BIELA</v>
      </c>
      <c r="J1027" t="str">
        <f t="shared" ref="J1027:J1090" si="680">"1"</f>
        <v>1</v>
      </c>
      <c r="K1027" t="str">
        <f t="shared" si="658"/>
        <v>0</v>
      </c>
      <c r="L1027" t="str">
        <f>"3,000"</f>
        <v>3,000</v>
      </c>
      <c r="M1027" t="str">
        <f t="shared" ref="M1027:M1090" si="681">" "</f>
        <v xml:space="preserve"> </v>
      </c>
      <c r="N1027" t="str">
        <f t="shared" si="665"/>
        <v>MPSI</v>
      </c>
      <c r="O1027" t="str">
        <f t="shared" si="666"/>
        <v>COJINETES</v>
      </c>
      <c r="P1027" t="str">
        <f t="shared" si="677"/>
        <v>0</v>
      </c>
      <c r="Q1027" t="str">
        <f t="shared" si="677"/>
        <v>0</v>
      </c>
      <c r="R1027" t="str">
        <f t="shared" si="678"/>
        <v>0,00</v>
      </c>
      <c r="S1027" t="str">
        <f t="shared" si="678"/>
        <v>0,00</v>
      </c>
      <c r="T1027" t="str">
        <f t="shared" si="657"/>
        <v xml:space="preserve"> </v>
      </c>
      <c r="U1027" t="str">
        <f t="shared" si="673"/>
        <v>-</v>
      </c>
      <c r="V1027" t="str">
        <f>"3,000"</f>
        <v>3,000</v>
      </c>
      <c r="W1027" t="str">
        <f t="shared" ref="W1027:W1090" si="682">"Lista 4"</f>
        <v>Lista 4</v>
      </c>
      <c r="X1027" t="str">
        <f t="shared" ref="X1027:X1090" si="683">"Lista 5"</f>
        <v>Lista 5</v>
      </c>
      <c r="Y1027" t="str">
        <f t="shared" ref="Y1027:Y1090" si="684">"Oferta Gral."</f>
        <v>Oferta Gral.</v>
      </c>
      <c r="Z1027" t="str">
        <f t="shared" ref="Z1027:Z1090" si="685">"Rubro"</f>
        <v>Rubro</v>
      </c>
      <c r="AA1027" t="str">
        <f t="shared" ref="AA1027:AA1090" si="686">"Cantidad por Bulto"</f>
        <v>Cantidad por Bulto</v>
      </c>
      <c r="AB1027" t="str">
        <f t="shared" ref="AB1027:AB1090" si="687">"INNER"</f>
        <v>INNER</v>
      </c>
      <c r="AC1027" t="str">
        <f t="shared" ref="AC1027:AC1090" si="688">"Stock en Bultos"</f>
        <v>Stock en Bultos</v>
      </c>
      <c r="AD1027" t="str">
        <f t="shared" ref="AD1027:AD1090" si="689">"SubDepósito"</f>
        <v>SubDepósito</v>
      </c>
      <c r="AE1027" t="str">
        <f t="shared" ref="AE1027:AE1090" si="690">"Marca"</f>
        <v>Marca</v>
      </c>
      <c r="AF1027" t="str">
        <f t="shared" ref="AF1027:AF1090" si="691">"Super Rubro"</f>
        <v>Super Rubro</v>
      </c>
      <c r="AG1027" t="str">
        <f t="shared" ref="AG1027:AG1090" si="692">"ComercioExterior"</f>
        <v>ComercioExterior</v>
      </c>
      <c r="AH1027" t="str">
        <f t="shared" ref="AH1027:AH1090" si="693">"PrecioFOB"</f>
        <v>PrecioFOB</v>
      </c>
      <c r="AI1027" t="str">
        <f t="shared" ref="AI1027:AI1090" si="694">"Monto II"</f>
        <v>Monto II</v>
      </c>
      <c r="AJ1027" t="str">
        <f t="shared" ref="AJ1027:AJ1090" si="695">"Porcentaje II"</f>
        <v>Porcentaje II</v>
      </c>
      <c r="AK1027" t="str">
        <f t="shared" ref="AK1027:AK1090" si="696">"Foto"</f>
        <v>Foto</v>
      </c>
      <c r="AL1027" t="str">
        <f t="shared" si="676"/>
        <v xml:space="preserve"> </v>
      </c>
      <c r="AM1027" t="str">
        <f t="shared" si="675"/>
        <v xml:space="preserve"> </v>
      </c>
    </row>
    <row r="1028" spans="1:39" x14ac:dyDescent="0.25">
      <c r="A1028" t="str">
        <f>"BI080 10"</f>
        <v>BI080 10</v>
      </c>
      <c r="B1028" t="str">
        <f>"COJINETES BIELA 0,25 DODGE VALIANT"</f>
        <v>COJINETES BIELA 0,25 DODGE VALIANT</v>
      </c>
      <c r="C1028" t="str">
        <f>"$ 29518,10"</f>
        <v>$ 29518,10</v>
      </c>
      <c r="D1028" t="str">
        <f>"$ 29518,10"</f>
        <v>$ 29518,10</v>
      </c>
      <c r="E1028" t="str">
        <f>"$ 29518,10"</f>
        <v>$ 29518,10</v>
      </c>
      <c r="F1028" t="str">
        <f>"$ 29518,10"</f>
        <v>$ 29518,10</v>
      </c>
      <c r="G1028" t="str">
        <f>"$ 29518,10"</f>
        <v>$ 29518,10</v>
      </c>
      <c r="H1028" t="str">
        <f t="shared" si="679"/>
        <v>$ 0,00</v>
      </c>
      <c r="I1028" t="str">
        <f t="shared" si="672"/>
        <v>JUEGO COJINETES BIELA</v>
      </c>
      <c r="J1028" t="str">
        <f t="shared" si="680"/>
        <v>1</v>
      </c>
      <c r="K1028" t="str">
        <f t="shared" si="658"/>
        <v>0</v>
      </c>
      <c r="L1028" t="str">
        <f>"2,000"</f>
        <v>2,000</v>
      </c>
      <c r="M1028" t="str">
        <f t="shared" si="681"/>
        <v xml:space="preserve"> </v>
      </c>
      <c r="N1028" t="str">
        <f t="shared" si="665"/>
        <v>MPSI</v>
      </c>
      <c r="O1028" t="str">
        <f t="shared" si="666"/>
        <v>COJINETES</v>
      </c>
      <c r="P1028" t="str">
        <f t="shared" si="677"/>
        <v>0</v>
      </c>
      <c r="Q1028" t="str">
        <f t="shared" si="677"/>
        <v>0</v>
      </c>
      <c r="R1028" t="str">
        <f t="shared" si="678"/>
        <v>0,00</v>
      </c>
      <c r="S1028" t="str">
        <f t="shared" si="678"/>
        <v>0,00</v>
      </c>
      <c r="T1028" t="str">
        <f t="shared" si="657"/>
        <v xml:space="preserve"> </v>
      </c>
      <c r="U1028" t="str">
        <f t="shared" si="673"/>
        <v>-</v>
      </c>
      <c r="V1028" t="str">
        <f>"2,000"</f>
        <v>2,000</v>
      </c>
      <c r="W1028" t="str">
        <f t="shared" si="682"/>
        <v>Lista 4</v>
      </c>
      <c r="X1028" t="str">
        <f t="shared" si="683"/>
        <v>Lista 5</v>
      </c>
      <c r="Y1028" t="str">
        <f t="shared" si="684"/>
        <v>Oferta Gral.</v>
      </c>
      <c r="Z1028" t="str">
        <f t="shared" si="685"/>
        <v>Rubro</v>
      </c>
      <c r="AA1028" t="str">
        <f t="shared" si="686"/>
        <v>Cantidad por Bulto</v>
      </c>
      <c r="AB1028" t="str">
        <f t="shared" si="687"/>
        <v>INNER</v>
      </c>
      <c r="AC1028" t="str">
        <f t="shared" si="688"/>
        <v>Stock en Bultos</v>
      </c>
      <c r="AD1028" t="str">
        <f t="shared" si="689"/>
        <v>SubDepósito</v>
      </c>
      <c r="AE1028" t="str">
        <f t="shared" si="690"/>
        <v>Marca</v>
      </c>
      <c r="AF1028" t="str">
        <f t="shared" si="691"/>
        <v>Super Rubro</v>
      </c>
      <c r="AG1028" t="str">
        <f t="shared" si="692"/>
        <v>ComercioExterior</v>
      </c>
      <c r="AH1028" t="str">
        <f t="shared" si="693"/>
        <v>PrecioFOB</v>
      </c>
      <c r="AI1028" t="str">
        <f t="shared" si="694"/>
        <v>Monto II</v>
      </c>
      <c r="AJ1028" t="str">
        <f t="shared" si="695"/>
        <v>Porcentaje II</v>
      </c>
      <c r="AK1028" t="str">
        <f t="shared" si="696"/>
        <v>Foto</v>
      </c>
      <c r="AL1028" t="str">
        <f t="shared" si="676"/>
        <v xml:space="preserve"> </v>
      </c>
      <c r="AM1028" t="str">
        <f t="shared" si="675"/>
        <v xml:space="preserve"> </v>
      </c>
    </row>
    <row r="1029" spans="1:39" x14ac:dyDescent="0.25">
      <c r="A1029" t="str">
        <f>"BI144405 10"</f>
        <v>BI144405 10</v>
      </c>
      <c r="B1029" t="str">
        <f>"COJINETES BIELA 0,25 DUCATO DAILY BOXER JUMPER 2.3 MULTIJET"</f>
        <v>COJINETES BIELA 0,25 DUCATO DAILY BOXER JUMPER 2.3 MULTIJET</v>
      </c>
      <c r="C1029" t="str">
        <f>"$ 29913,79"</f>
        <v>$ 29913,79</v>
      </c>
      <c r="D1029" t="str">
        <f>"$ 29913,79"</f>
        <v>$ 29913,79</v>
      </c>
      <c r="E1029" t="str">
        <f>"$ 29913,79"</f>
        <v>$ 29913,79</v>
      </c>
      <c r="F1029" t="str">
        <f>"$ 29913,79"</f>
        <v>$ 29913,79</v>
      </c>
      <c r="G1029" t="str">
        <f>"$ 29913,79"</f>
        <v>$ 29913,79</v>
      </c>
      <c r="H1029" t="str">
        <f t="shared" si="679"/>
        <v>$ 0,00</v>
      </c>
      <c r="I1029" t="str">
        <f t="shared" si="672"/>
        <v>JUEGO COJINETES BIELA</v>
      </c>
      <c r="J1029" t="str">
        <f t="shared" si="680"/>
        <v>1</v>
      </c>
      <c r="K1029" t="str">
        <f t="shared" si="658"/>
        <v>0</v>
      </c>
      <c r="L1029" t="str">
        <f>"4,000"</f>
        <v>4,000</v>
      </c>
      <c r="M1029" t="str">
        <f t="shared" si="681"/>
        <v xml:space="preserve"> </v>
      </c>
      <c r="N1029" t="str">
        <f t="shared" si="665"/>
        <v>MPSI</v>
      </c>
      <c r="O1029" t="str">
        <f t="shared" si="666"/>
        <v>COJINETES</v>
      </c>
      <c r="P1029" t="str">
        <f t="shared" si="677"/>
        <v>0</v>
      </c>
      <c r="Q1029" t="str">
        <f t="shared" si="677"/>
        <v>0</v>
      </c>
      <c r="R1029" t="str">
        <f t="shared" si="678"/>
        <v>0,00</v>
      </c>
      <c r="S1029" t="str">
        <f t="shared" si="678"/>
        <v>0,00</v>
      </c>
      <c r="T1029" t="str">
        <f t="shared" si="657"/>
        <v xml:space="preserve"> </v>
      </c>
      <c r="U1029" t="str">
        <f t="shared" si="673"/>
        <v>-</v>
      </c>
      <c r="V1029" t="str">
        <f>"4,000"</f>
        <v>4,000</v>
      </c>
      <c r="W1029" t="str">
        <f t="shared" si="682"/>
        <v>Lista 4</v>
      </c>
      <c r="X1029" t="str">
        <f t="shared" si="683"/>
        <v>Lista 5</v>
      </c>
      <c r="Y1029" t="str">
        <f t="shared" si="684"/>
        <v>Oferta Gral.</v>
      </c>
      <c r="Z1029" t="str">
        <f t="shared" si="685"/>
        <v>Rubro</v>
      </c>
      <c r="AA1029" t="str">
        <f t="shared" si="686"/>
        <v>Cantidad por Bulto</v>
      </c>
      <c r="AB1029" t="str">
        <f t="shared" si="687"/>
        <v>INNER</v>
      </c>
      <c r="AC1029" t="str">
        <f t="shared" si="688"/>
        <v>Stock en Bultos</v>
      </c>
      <c r="AD1029" t="str">
        <f t="shared" si="689"/>
        <v>SubDepósito</v>
      </c>
      <c r="AE1029" t="str">
        <f t="shared" si="690"/>
        <v>Marca</v>
      </c>
      <c r="AF1029" t="str">
        <f t="shared" si="691"/>
        <v>Super Rubro</v>
      </c>
      <c r="AG1029" t="str">
        <f t="shared" si="692"/>
        <v>ComercioExterior</v>
      </c>
      <c r="AH1029" t="str">
        <f t="shared" si="693"/>
        <v>PrecioFOB</v>
      </c>
      <c r="AI1029" t="str">
        <f t="shared" si="694"/>
        <v>Monto II</v>
      </c>
      <c r="AJ1029" t="str">
        <f t="shared" si="695"/>
        <v>Porcentaje II</v>
      </c>
      <c r="AK1029" t="str">
        <f t="shared" si="696"/>
        <v>Foto</v>
      </c>
      <c r="AL1029" t="str">
        <f>"{\rtf1\ansi\ansicpg1252\deff0\deflang11274{\fonttbl{\f0\fnil\fcharset0 MS Sans Serif}} \viewkind4\uc1\pard\f0\fs16 COJINETES BIELA 0,25 DUCATO DAILY BOXER JUMPER 2.3 MULTIJET\par } "</f>
        <v xml:space="preserve">{\rtf1\ansi\ansicpg1252\deff0\deflang11274{\fonttbl{\f0\fnil\fcharset0 MS Sans Serif}} \viewkind4\uc1\pard\f0\fs16 COJINETES BIELA 0,25 DUCATO DAILY BOXER JUMPER 2.3 MULTIJET\par } </v>
      </c>
      <c r="AM1029" t="str">
        <f t="shared" si="675"/>
        <v xml:space="preserve"> </v>
      </c>
    </row>
    <row r="1030" spans="1:39" x14ac:dyDescent="0.25">
      <c r="A1030" t="str">
        <f>"BI136 10"</f>
        <v>BI136 10</v>
      </c>
      <c r="B1030" t="str">
        <f>"COJINETES BIELA 0,25 FIAT 147 DUNA 1300 DIESEL"</f>
        <v>COJINETES BIELA 0,25 FIAT 147 DUNA 1300 DIESEL</v>
      </c>
      <c r="C1030" t="str">
        <f>"$ 12196,21"</f>
        <v>$ 12196,21</v>
      </c>
      <c r="D1030" t="str">
        <f>"$ 12196,21"</f>
        <v>$ 12196,21</v>
      </c>
      <c r="E1030" t="str">
        <f>"$ 12196,21"</f>
        <v>$ 12196,21</v>
      </c>
      <c r="F1030" t="str">
        <f>"$ 12196,21"</f>
        <v>$ 12196,21</v>
      </c>
      <c r="G1030" t="str">
        <f>"$ 12196,21"</f>
        <v>$ 12196,21</v>
      </c>
      <c r="H1030" t="str">
        <f t="shared" si="679"/>
        <v>$ 0,00</v>
      </c>
      <c r="I1030" t="str">
        <f t="shared" si="672"/>
        <v>JUEGO COJINETES BIELA</v>
      </c>
      <c r="J1030" t="str">
        <f t="shared" si="680"/>
        <v>1</v>
      </c>
      <c r="K1030" t="str">
        <f t="shared" si="658"/>
        <v>0</v>
      </c>
      <c r="L1030" t="str">
        <f>"8,000"</f>
        <v>8,000</v>
      </c>
      <c r="M1030" t="str">
        <f t="shared" si="681"/>
        <v xml:space="preserve"> </v>
      </c>
      <c r="N1030" t="str">
        <f t="shared" si="665"/>
        <v>MPSI</v>
      </c>
      <c r="O1030" t="str">
        <f t="shared" si="666"/>
        <v>COJINETES</v>
      </c>
      <c r="P1030" t="str">
        <f t="shared" si="677"/>
        <v>0</v>
      </c>
      <c r="Q1030" t="str">
        <f t="shared" si="677"/>
        <v>0</v>
      </c>
      <c r="R1030" t="str">
        <f t="shared" si="678"/>
        <v>0,00</v>
      </c>
      <c r="S1030" t="str">
        <f t="shared" si="678"/>
        <v>0,00</v>
      </c>
      <c r="T1030" t="str">
        <f t="shared" si="657"/>
        <v xml:space="preserve"> </v>
      </c>
      <c r="U1030" t="str">
        <f t="shared" si="673"/>
        <v>-</v>
      </c>
      <c r="V1030" t="str">
        <f>"8,000"</f>
        <v>8,000</v>
      </c>
      <c r="W1030" t="str">
        <f t="shared" si="682"/>
        <v>Lista 4</v>
      </c>
      <c r="X1030" t="str">
        <f t="shared" si="683"/>
        <v>Lista 5</v>
      </c>
      <c r="Y1030" t="str">
        <f t="shared" si="684"/>
        <v>Oferta Gral.</v>
      </c>
      <c r="Z1030" t="str">
        <f t="shared" si="685"/>
        <v>Rubro</v>
      </c>
      <c r="AA1030" t="str">
        <f t="shared" si="686"/>
        <v>Cantidad por Bulto</v>
      </c>
      <c r="AB1030" t="str">
        <f t="shared" si="687"/>
        <v>INNER</v>
      </c>
      <c r="AC1030" t="str">
        <f t="shared" si="688"/>
        <v>Stock en Bultos</v>
      </c>
      <c r="AD1030" t="str">
        <f t="shared" si="689"/>
        <v>SubDepósito</v>
      </c>
      <c r="AE1030" t="str">
        <f t="shared" si="690"/>
        <v>Marca</v>
      </c>
      <c r="AF1030" t="str">
        <f t="shared" si="691"/>
        <v>Super Rubro</v>
      </c>
      <c r="AG1030" t="str">
        <f t="shared" si="692"/>
        <v>ComercioExterior</v>
      </c>
      <c r="AH1030" t="str">
        <f t="shared" si="693"/>
        <v>PrecioFOB</v>
      </c>
      <c r="AI1030" t="str">
        <f t="shared" si="694"/>
        <v>Monto II</v>
      </c>
      <c r="AJ1030" t="str">
        <f t="shared" si="695"/>
        <v>Porcentaje II</v>
      </c>
      <c r="AK1030" t="str">
        <f t="shared" si="696"/>
        <v>Foto</v>
      </c>
      <c r="AL1030" t="str">
        <f t="shared" ref="AL1030:AL1036" si="697">" "</f>
        <v xml:space="preserve"> </v>
      </c>
      <c r="AM1030" t="str">
        <f t="shared" si="675"/>
        <v xml:space="preserve"> </v>
      </c>
    </row>
    <row r="1031" spans="1:39" x14ac:dyDescent="0.25">
      <c r="A1031" t="str">
        <f>"BI133 10"</f>
        <v>BI133 10</v>
      </c>
      <c r="B1031" t="str">
        <f>"COJINETES BIELA 0,25 FIAT 600 S 133"</f>
        <v>COJINETES BIELA 0,25 FIAT 600 S 133</v>
      </c>
      <c r="C1031" t="str">
        <f>"$ 13908,33"</f>
        <v>$ 13908,33</v>
      </c>
      <c r="D1031" t="str">
        <f>"$ 13908,33"</f>
        <v>$ 13908,33</v>
      </c>
      <c r="E1031" t="str">
        <f>"$ 13908,33"</f>
        <v>$ 13908,33</v>
      </c>
      <c r="F1031" t="str">
        <f>"$ 13908,33"</f>
        <v>$ 13908,33</v>
      </c>
      <c r="G1031" t="str">
        <f>"$ 13908,33"</f>
        <v>$ 13908,33</v>
      </c>
      <c r="H1031" t="str">
        <f t="shared" si="679"/>
        <v>$ 0,00</v>
      </c>
      <c r="I1031" t="str">
        <f t="shared" si="672"/>
        <v>JUEGO COJINETES BIELA</v>
      </c>
      <c r="J1031" t="str">
        <f t="shared" si="680"/>
        <v>1</v>
      </c>
      <c r="K1031" t="str">
        <f t="shared" si="658"/>
        <v>0</v>
      </c>
      <c r="L1031" t="str">
        <f>"1,000"</f>
        <v>1,000</v>
      </c>
      <c r="M1031" t="str">
        <f t="shared" si="681"/>
        <v xml:space="preserve"> </v>
      </c>
      <c r="N1031" t="str">
        <f t="shared" si="665"/>
        <v>MPSI</v>
      </c>
      <c r="O1031" t="str">
        <f t="shared" si="666"/>
        <v>COJINETES</v>
      </c>
      <c r="P1031" t="str">
        <f t="shared" si="677"/>
        <v>0</v>
      </c>
      <c r="Q1031" t="str">
        <f t="shared" si="677"/>
        <v>0</v>
      </c>
      <c r="R1031" t="str">
        <f t="shared" si="678"/>
        <v>0,00</v>
      </c>
      <c r="S1031" t="str">
        <f t="shared" si="678"/>
        <v>0,00</v>
      </c>
      <c r="T1031" t="str">
        <f t="shared" si="657"/>
        <v xml:space="preserve"> </v>
      </c>
      <c r="U1031" t="str">
        <f t="shared" si="673"/>
        <v>-</v>
      </c>
      <c r="V1031" t="str">
        <f>"1,000"</f>
        <v>1,000</v>
      </c>
      <c r="W1031" t="str">
        <f t="shared" si="682"/>
        <v>Lista 4</v>
      </c>
      <c r="X1031" t="str">
        <f t="shared" si="683"/>
        <v>Lista 5</v>
      </c>
      <c r="Y1031" t="str">
        <f t="shared" si="684"/>
        <v>Oferta Gral.</v>
      </c>
      <c r="Z1031" t="str">
        <f t="shared" si="685"/>
        <v>Rubro</v>
      </c>
      <c r="AA1031" t="str">
        <f t="shared" si="686"/>
        <v>Cantidad por Bulto</v>
      </c>
      <c r="AB1031" t="str">
        <f t="shared" si="687"/>
        <v>INNER</v>
      </c>
      <c r="AC1031" t="str">
        <f t="shared" si="688"/>
        <v>Stock en Bultos</v>
      </c>
      <c r="AD1031" t="str">
        <f t="shared" si="689"/>
        <v>SubDepósito</v>
      </c>
      <c r="AE1031" t="str">
        <f t="shared" si="690"/>
        <v>Marca</v>
      </c>
      <c r="AF1031" t="str">
        <f t="shared" si="691"/>
        <v>Super Rubro</v>
      </c>
      <c r="AG1031" t="str">
        <f t="shared" si="692"/>
        <v>ComercioExterior</v>
      </c>
      <c r="AH1031" t="str">
        <f t="shared" si="693"/>
        <v>PrecioFOB</v>
      </c>
      <c r="AI1031" t="str">
        <f t="shared" si="694"/>
        <v>Monto II</v>
      </c>
      <c r="AJ1031" t="str">
        <f t="shared" si="695"/>
        <v>Porcentaje II</v>
      </c>
      <c r="AK1031" t="str">
        <f t="shared" si="696"/>
        <v>Foto</v>
      </c>
      <c r="AL1031" t="str">
        <f t="shared" si="697"/>
        <v xml:space="preserve"> </v>
      </c>
      <c r="AM1031" t="str">
        <f t="shared" si="675"/>
        <v xml:space="preserve"> </v>
      </c>
    </row>
    <row r="1032" spans="1:39" x14ac:dyDescent="0.25">
      <c r="A1032" t="str">
        <f>"BI134358 10"</f>
        <v>BI134358 10</v>
      </c>
      <c r="B1032" t="str">
        <f>"COJINETES BIELA 0,25 FIAT ARGO CRONOS 1.3 FIREFLY 8V"</f>
        <v>COJINETES BIELA 0,25 FIAT ARGO CRONOS 1.3 FIREFLY 8V</v>
      </c>
      <c r="C1032" t="str">
        <f>"$ 10268,03"</f>
        <v>$ 10268,03</v>
      </c>
      <c r="D1032" t="str">
        <f>"$ 10268,03"</f>
        <v>$ 10268,03</v>
      </c>
      <c r="E1032" t="str">
        <f>"$ 10268,03"</f>
        <v>$ 10268,03</v>
      </c>
      <c r="F1032" t="str">
        <f>"$ 10268,03"</f>
        <v>$ 10268,03</v>
      </c>
      <c r="G1032" t="str">
        <f>"$ 10268,03"</f>
        <v>$ 10268,03</v>
      </c>
      <c r="H1032" t="str">
        <f t="shared" si="679"/>
        <v>$ 0,00</v>
      </c>
      <c r="I1032" t="str">
        <f t="shared" si="672"/>
        <v>JUEGO COJINETES BIELA</v>
      </c>
      <c r="J1032" t="str">
        <f t="shared" si="680"/>
        <v>1</v>
      </c>
      <c r="K1032" t="str">
        <f t="shared" si="658"/>
        <v>0</v>
      </c>
      <c r="L1032" t="str">
        <f>"7,000"</f>
        <v>7,000</v>
      </c>
      <c r="M1032" t="str">
        <f t="shared" si="681"/>
        <v xml:space="preserve"> </v>
      </c>
      <c r="N1032" t="str">
        <f t="shared" si="665"/>
        <v>MPSI</v>
      </c>
      <c r="O1032" t="str">
        <f t="shared" si="666"/>
        <v>COJINETES</v>
      </c>
      <c r="P1032" t="str">
        <f t="shared" si="677"/>
        <v>0</v>
      </c>
      <c r="Q1032" t="str">
        <f t="shared" si="677"/>
        <v>0</v>
      </c>
      <c r="R1032" t="str">
        <f t="shared" si="678"/>
        <v>0,00</v>
      </c>
      <c r="S1032" t="str">
        <f t="shared" si="678"/>
        <v>0,00</v>
      </c>
      <c r="T1032" t="str">
        <f t="shared" si="657"/>
        <v xml:space="preserve"> </v>
      </c>
      <c r="U1032" t="str">
        <f t="shared" si="673"/>
        <v>-</v>
      </c>
      <c r="V1032" t="str">
        <f>"7,000"</f>
        <v>7,000</v>
      </c>
      <c r="W1032" t="str">
        <f t="shared" si="682"/>
        <v>Lista 4</v>
      </c>
      <c r="X1032" t="str">
        <f t="shared" si="683"/>
        <v>Lista 5</v>
      </c>
      <c r="Y1032" t="str">
        <f t="shared" si="684"/>
        <v>Oferta Gral.</v>
      </c>
      <c r="Z1032" t="str">
        <f t="shared" si="685"/>
        <v>Rubro</v>
      </c>
      <c r="AA1032" t="str">
        <f t="shared" si="686"/>
        <v>Cantidad por Bulto</v>
      </c>
      <c r="AB1032" t="str">
        <f t="shared" si="687"/>
        <v>INNER</v>
      </c>
      <c r="AC1032" t="str">
        <f t="shared" si="688"/>
        <v>Stock en Bultos</v>
      </c>
      <c r="AD1032" t="str">
        <f t="shared" si="689"/>
        <v>SubDepósito</v>
      </c>
      <c r="AE1032" t="str">
        <f t="shared" si="690"/>
        <v>Marca</v>
      </c>
      <c r="AF1032" t="str">
        <f t="shared" si="691"/>
        <v>Super Rubro</v>
      </c>
      <c r="AG1032" t="str">
        <f t="shared" si="692"/>
        <v>ComercioExterior</v>
      </c>
      <c r="AH1032" t="str">
        <f t="shared" si="693"/>
        <v>PrecioFOB</v>
      </c>
      <c r="AI1032" t="str">
        <f t="shared" si="694"/>
        <v>Monto II</v>
      </c>
      <c r="AJ1032" t="str">
        <f t="shared" si="695"/>
        <v>Porcentaje II</v>
      </c>
      <c r="AK1032" t="str">
        <f t="shared" si="696"/>
        <v>Foto</v>
      </c>
      <c r="AL1032" t="str">
        <f t="shared" si="697"/>
        <v xml:space="preserve"> </v>
      </c>
      <c r="AM1032" t="str">
        <f t="shared" si="675"/>
        <v xml:space="preserve"> </v>
      </c>
    </row>
    <row r="1033" spans="1:39" x14ac:dyDescent="0.25">
      <c r="A1033" t="str">
        <f>"BI137 10"</f>
        <v>BI137 10</v>
      </c>
      <c r="B1033" t="str">
        <f>"COJINETES BIELA 0,25 FIAT DUNA DUCATO 1.7 1.9 DIESEL"</f>
        <v>COJINETES BIELA 0,25 FIAT DUNA DUCATO 1.7 1.9 DIESEL</v>
      </c>
      <c r="C1033" t="str">
        <f>"$ 13253,87"</f>
        <v>$ 13253,87</v>
      </c>
      <c r="D1033" t="str">
        <f>"$ 13253,87"</f>
        <v>$ 13253,87</v>
      </c>
      <c r="E1033" t="str">
        <f>"$ 13253,87"</f>
        <v>$ 13253,87</v>
      </c>
      <c r="F1033" t="str">
        <f>"$ 13253,87"</f>
        <v>$ 13253,87</v>
      </c>
      <c r="G1033" t="str">
        <f>"$ 13253,87"</f>
        <v>$ 13253,87</v>
      </c>
      <c r="H1033" t="str">
        <f t="shared" si="679"/>
        <v>$ 0,00</v>
      </c>
      <c r="I1033" t="str">
        <f t="shared" si="672"/>
        <v>JUEGO COJINETES BIELA</v>
      </c>
      <c r="J1033" t="str">
        <f t="shared" si="680"/>
        <v>1</v>
      </c>
      <c r="K1033" t="str">
        <f t="shared" si="658"/>
        <v>0</v>
      </c>
      <c r="L1033" t="str">
        <f>"12,000"</f>
        <v>12,000</v>
      </c>
      <c r="M1033" t="str">
        <f t="shared" si="681"/>
        <v xml:space="preserve"> </v>
      </c>
      <c r="N1033" t="str">
        <f t="shared" si="665"/>
        <v>MPSI</v>
      </c>
      <c r="O1033" t="str">
        <f t="shared" si="666"/>
        <v>COJINETES</v>
      </c>
      <c r="P1033" t="str">
        <f t="shared" si="677"/>
        <v>0</v>
      </c>
      <c r="Q1033" t="str">
        <f t="shared" si="677"/>
        <v>0</v>
      </c>
      <c r="R1033" t="str">
        <f t="shared" si="678"/>
        <v>0,00</v>
      </c>
      <c r="S1033" t="str">
        <f t="shared" si="678"/>
        <v>0,00</v>
      </c>
      <c r="T1033" t="str">
        <f t="shared" si="657"/>
        <v xml:space="preserve"> </v>
      </c>
      <c r="U1033" t="str">
        <f t="shared" si="673"/>
        <v>-</v>
      </c>
      <c r="V1033" t="str">
        <f>"12,000"</f>
        <v>12,000</v>
      </c>
      <c r="W1033" t="str">
        <f t="shared" si="682"/>
        <v>Lista 4</v>
      </c>
      <c r="X1033" t="str">
        <f t="shared" si="683"/>
        <v>Lista 5</v>
      </c>
      <c r="Y1033" t="str">
        <f t="shared" si="684"/>
        <v>Oferta Gral.</v>
      </c>
      <c r="Z1033" t="str">
        <f t="shared" si="685"/>
        <v>Rubro</v>
      </c>
      <c r="AA1033" t="str">
        <f t="shared" si="686"/>
        <v>Cantidad por Bulto</v>
      </c>
      <c r="AB1033" t="str">
        <f t="shared" si="687"/>
        <v>INNER</v>
      </c>
      <c r="AC1033" t="str">
        <f t="shared" si="688"/>
        <v>Stock en Bultos</v>
      </c>
      <c r="AD1033" t="str">
        <f t="shared" si="689"/>
        <v>SubDepósito</v>
      </c>
      <c r="AE1033" t="str">
        <f t="shared" si="690"/>
        <v>Marca</v>
      </c>
      <c r="AF1033" t="str">
        <f t="shared" si="691"/>
        <v>Super Rubro</v>
      </c>
      <c r="AG1033" t="str">
        <f t="shared" si="692"/>
        <v>ComercioExterior</v>
      </c>
      <c r="AH1033" t="str">
        <f t="shared" si="693"/>
        <v>PrecioFOB</v>
      </c>
      <c r="AI1033" t="str">
        <f t="shared" si="694"/>
        <v>Monto II</v>
      </c>
      <c r="AJ1033" t="str">
        <f t="shared" si="695"/>
        <v>Porcentaje II</v>
      </c>
      <c r="AK1033" t="str">
        <f t="shared" si="696"/>
        <v>Foto</v>
      </c>
      <c r="AL1033" t="str">
        <f t="shared" si="697"/>
        <v xml:space="preserve"> </v>
      </c>
      <c r="AM1033" t="str">
        <f t="shared" si="675"/>
        <v xml:space="preserve"> </v>
      </c>
    </row>
    <row r="1034" spans="1:39" x14ac:dyDescent="0.25">
      <c r="A1034" t="str">
        <f>"BI138 10"</f>
        <v>BI138 10</v>
      </c>
      <c r="B1034" t="str">
        <f>"COJINETES BIELA 0,25 FIAT DUNA UNO 1.7 TURBO DIESEL"</f>
        <v>COJINETES BIELA 0,25 FIAT DUNA UNO 1.7 TURBO DIESEL</v>
      </c>
      <c r="C1034" t="str">
        <f>"$ 25244,70"</f>
        <v>$ 25244,70</v>
      </c>
      <c r="D1034" t="str">
        <f>"$ 25244,70"</f>
        <v>$ 25244,70</v>
      </c>
      <c r="E1034" t="str">
        <f>"$ 25244,70"</f>
        <v>$ 25244,70</v>
      </c>
      <c r="F1034" t="str">
        <f>"$ 25244,70"</f>
        <v>$ 25244,70</v>
      </c>
      <c r="G1034" t="str">
        <f>"$ 25244,70"</f>
        <v>$ 25244,70</v>
      </c>
      <c r="H1034" t="str">
        <f t="shared" si="679"/>
        <v>$ 0,00</v>
      </c>
      <c r="I1034" t="str">
        <f t="shared" si="672"/>
        <v>JUEGO COJINETES BIELA</v>
      </c>
      <c r="J1034" t="str">
        <f t="shared" si="680"/>
        <v>1</v>
      </c>
      <c r="K1034" t="str">
        <f t="shared" si="658"/>
        <v>0</v>
      </c>
      <c r="L1034" t="str">
        <f>"5,000"</f>
        <v>5,000</v>
      </c>
      <c r="M1034" t="str">
        <f t="shared" si="681"/>
        <v xml:space="preserve"> </v>
      </c>
      <c r="N1034" t="str">
        <f t="shared" si="665"/>
        <v>MPSI</v>
      </c>
      <c r="O1034" t="str">
        <f t="shared" si="666"/>
        <v>COJINETES</v>
      </c>
      <c r="P1034" t="str">
        <f t="shared" si="677"/>
        <v>0</v>
      </c>
      <c r="Q1034" t="str">
        <f t="shared" si="677"/>
        <v>0</v>
      </c>
      <c r="R1034" t="str">
        <f t="shared" si="678"/>
        <v>0,00</v>
      </c>
      <c r="S1034" t="str">
        <f t="shared" si="678"/>
        <v>0,00</v>
      </c>
      <c r="T1034" t="str">
        <f t="shared" si="657"/>
        <v xml:space="preserve"> </v>
      </c>
      <c r="U1034" t="str">
        <f t="shared" si="673"/>
        <v>-</v>
      </c>
      <c r="V1034" t="str">
        <f>"5,000"</f>
        <v>5,000</v>
      </c>
      <c r="W1034" t="str">
        <f t="shared" si="682"/>
        <v>Lista 4</v>
      </c>
      <c r="X1034" t="str">
        <f t="shared" si="683"/>
        <v>Lista 5</v>
      </c>
      <c r="Y1034" t="str">
        <f t="shared" si="684"/>
        <v>Oferta Gral.</v>
      </c>
      <c r="Z1034" t="str">
        <f t="shared" si="685"/>
        <v>Rubro</v>
      </c>
      <c r="AA1034" t="str">
        <f t="shared" si="686"/>
        <v>Cantidad por Bulto</v>
      </c>
      <c r="AB1034" t="str">
        <f t="shared" si="687"/>
        <v>INNER</v>
      </c>
      <c r="AC1034" t="str">
        <f t="shared" si="688"/>
        <v>Stock en Bultos</v>
      </c>
      <c r="AD1034" t="str">
        <f t="shared" si="689"/>
        <v>SubDepósito</v>
      </c>
      <c r="AE1034" t="str">
        <f t="shared" si="690"/>
        <v>Marca</v>
      </c>
      <c r="AF1034" t="str">
        <f t="shared" si="691"/>
        <v>Super Rubro</v>
      </c>
      <c r="AG1034" t="str">
        <f t="shared" si="692"/>
        <v>ComercioExterior</v>
      </c>
      <c r="AH1034" t="str">
        <f t="shared" si="693"/>
        <v>PrecioFOB</v>
      </c>
      <c r="AI1034" t="str">
        <f t="shared" si="694"/>
        <v>Monto II</v>
      </c>
      <c r="AJ1034" t="str">
        <f t="shared" si="695"/>
        <v>Porcentaje II</v>
      </c>
      <c r="AK1034" t="str">
        <f t="shared" si="696"/>
        <v>Foto</v>
      </c>
      <c r="AL1034" t="str">
        <f t="shared" si="697"/>
        <v xml:space="preserve"> </v>
      </c>
      <c r="AM1034" t="str">
        <f t="shared" si="675"/>
        <v xml:space="preserve"> </v>
      </c>
    </row>
    <row r="1035" spans="1:39" x14ac:dyDescent="0.25">
      <c r="A1035" t="str">
        <f>"BI139 10"</f>
        <v>BI139 10</v>
      </c>
      <c r="B1035" t="str">
        <f>"COJINETES BIELA 0,25 FIAT DUNA UNO 147 MOTOR TIPO 1.4 1.6"</f>
        <v>COJINETES BIELA 0,25 FIAT DUNA UNO 147 MOTOR TIPO 1.4 1.6</v>
      </c>
      <c r="C1035" t="str">
        <f>"$ 12559,78"</f>
        <v>$ 12559,78</v>
      </c>
      <c r="D1035" t="str">
        <f>"$ 12559,78"</f>
        <v>$ 12559,78</v>
      </c>
      <c r="E1035" t="str">
        <f>"$ 12559,78"</f>
        <v>$ 12559,78</v>
      </c>
      <c r="F1035" t="str">
        <f>"$ 12559,78"</f>
        <v>$ 12559,78</v>
      </c>
      <c r="G1035" t="str">
        <f>"$ 12559,78"</f>
        <v>$ 12559,78</v>
      </c>
      <c r="H1035" t="str">
        <f t="shared" si="679"/>
        <v>$ 0,00</v>
      </c>
      <c r="I1035" t="str">
        <f t="shared" si="672"/>
        <v>JUEGO COJINETES BIELA</v>
      </c>
      <c r="J1035" t="str">
        <f t="shared" si="680"/>
        <v>1</v>
      </c>
      <c r="K1035" t="str">
        <f t="shared" si="658"/>
        <v>0</v>
      </c>
      <c r="L1035" t="str">
        <f>"38,000"</f>
        <v>38,000</v>
      </c>
      <c r="M1035" t="str">
        <f t="shared" si="681"/>
        <v xml:space="preserve"> </v>
      </c>
      <c r="N1035" t="str">
        <f t="shared" si="665"/>
        <v>MPSI</v>
      </c>
      <c r="O1035" t="str">
        <f t="shared" si="666"/>
        <v>COJINETES</v>
      </c>
      <c r="P1035" t="str">
        <f t="shared" si="677"/>
        <v>0</v>
      </c>
      <c r="Q1035" t="str">
        <f t="shared" si="677"/>
        <v>0</v>
      </c>
      <c r="R1035" t="str">
        <f t="shared" si="678"/>
        <v>0,00</v>
      </c>
      <c r="S1035" t="str">
        <f t="shared" si="678"/>
        <v>0,00</v>
      </c>
      <c r="T1035" t="str">
        <f t="shared" si="657"/>
        <v xml:space="preserve"> </v>
      </c>
      <c r="U1035" t="str">
        <f t="shared" si="673"/>
        <v>-</v>
      </c>
      <c r="V1035" t="str">
        <f>"38,000"</f>
        <v>38,000</v>
      </c>
      <c r="W1035" t="str">
        <f t="shared" si="682"/>
        <v>Lista 4</v>
      </c>
      <c r="X1035" t="str">
        <f t="shared" si="683"/>
        <v>Lista 5</v>
      </c>
      <c r="Y1035" t="str">
        <f t="shared" si="684"/>
        <v>Oferta Gral.</v>
      </c>
      <c r="Z1035" t="str">
        <f t="shared" si="685"/>
        <v>Rubro</v>
      </c>
      <c r="AA1035" t="str">
        <f t="shared" si="686"/>
        <v>Cantidad por Bulto</v>
      </c>
      <c r="AB1035" t="str">
        <f t="shared" si="687"/>
        <v>INNER</v>
      </c>
      <c r="AC1035" t="str">
        <f t="shared" si="688"/>
        <v>Stock en Bultos</v>
      </c>
      <c r="AD1035" t="str">
        <f t="shared" si="689"/>
        <v>SubDepósito</v>
      </c>
      <c r="AE1035" t="str">
        <f t="shared" si="690"/>
        <v>Marca</v>
      </c>
      <c r="AF1035" t="str">
        <f t="shared" si="691"/>
        <v>Super Rubro</v>
      </c>
      <c r="AG1035" t="str">
        <f t="shared" si="692"/>
        <v>ComercioExterior</v>
      </c>
      <c r="AH1035" t="str">
        <f t="shared" si="693"/>
        <v>PrecioFOB</v>
      </c>
      <c r="AI1035" t="str">
        <f t="shared" si="694"/>
        <v>Monto II</v>
      </c>
      <c r="AJ1035" t="str">
        <f t="shared" si="695"/>
        <v>Porcentaje II</v>
      </c>
      <c r="AK1035" t="str">
        <f t="shared" si="696"/>
        <v>Foto</v>
      </c>
      <c r="AL1035" t="str">
        <f t="shared" si="697"/>
        <v xml:space="preserve"> </v>
      </c>
      <c r="AM1035" t="str">
        <f t="shared" si="675"/>
        <v xml:space="preserve"> </v>
      </c>
    </row>
    <row r="1036" spans="1:39" x14ac:dyDescent="0.25">
      <c r="A1036" t="str">
        <f>"BI172 10"</f>
        <v>BI172 10</v>
      </c>
      <c r="B1036" t="str">
        <f>"COJINETES BIELA 0,25 FIAT PALIO SIENA ETORQ 1.6 16V"</f>
        <v>COJINETES BIELA 0,25 FIAT PALIO SIENA ETORQ 1.6 16V</v>
      </c>
      <c r="C1036" t="str">
        <f>"$ 12879,55"</f>
        <v>$ 12879,55</v>
      </c>
      <c r="D1036" t="str">
        <f>"$ 12879,55"</f>
        <v>$ 12879,55</v>
      </c>
      <c r="E1036" t="str">
        <f>"$ 12879,55"</f>
        <v>$ 12879,55</v>
      </c>
      <c r="F1036" t="str">
        <f>"$ 12879,55"</f>
        <v>$ 12879,55</v>
      </c>
      <c r="G1036" t="str">
        <f>"$ 12879,55"</f>
        <v>$ 12879,55</v>
      </c>
      <c r="H1036" t="str">
        <f t="shared" si="679"/>
        <v>$ 0,00</v>
      </c>
      <c r="I1036" t="str">
        <f t="shared" si="672"/>
        <v>JUEGO COJINETES BIELA</v>
      </c>
      <c r="J1036" t="str">
        <f t="shared" si="680"/>
        <v>1</v>
      </c>
      <c r="K1036" t="str">
        <f t="shared" si="658"/>
        <v>0</v>
      </c>
      <c r="L1036" t="str">
        <f>"5,000"</f>
        <v>5,000</v>
      </c>
      <c r="M1036" t="str">
        <f t="shared" si="681"/>
        <v xml:space="preserve"> </v>
      </c>
      <c r="N1036" t="str">
        <f t="shared" si="665"/>
        <v>MPSI</v>
      </c>
      <c r="O1036" t="str">
        <f t="shared" si="666"/>
        <v>COJINETES</v>
      </c>
      <c r="P1036" t="str">
        <f t="shared" si="677"/>
        <v>0</v>
      </c>
      <c r="Q1036" t="str">
        <f t="shared" si="677"/>
        <v>0</v>
      </c>
      <c r="R1036" t="str">
        <f t="shared" si="678"/>
        <v>0,00</v>
      </c>
      <c r="S1036" t="str">
        <f t="shared" si="678"/>
        <v>0,00</v>
      </c>
      <c r="T1036" t="str">
        <f t="shared" si="657"/>
        <v xml:space="preserve"> </v>
      </c>
      <c r="U1036" t="str">
        <f t="shared" si="673"/>
        <v>-</v>
      </c>
      <c r="V1036" t="str">
        <f>"5,000"</f>
        <v>5,000</v>
      </c>
      <c r="W1036" t="str">
        <f t="shared" si="682"/>
        <v>Lista 4</v>
      </c>
      <c r="X1036" t="str">
        <f t="shared" si="683"/>
        <v>Lista 5</v>
      </c>
      <c r="Y1036" t="str">
        <f t="shared" si="684"/>
        <v>Oferta Gral.</v>
      </c>
      <c r="Z1036" t="str">
        <f t="shared" si="685"/>
        <v>Rubro</v>
      </c>
      <c r="AA1036" t="str">
        <f t="shared" si="686"/>
        <v>Cantidad por Bulto</v>
      </c>
      <c r="AB1036" t="str">
        <f t="shared" si="687"/>
        <v>INNER</v>
      </c>
      <c r="AC1036" t="str">
        <f t="shared" si="688"/>
        <v>Stock en Bultos</v>
      </c>
      <c r="AD1036" t="str">
        <f t="shared" si="689"/>
        <v>SubDepósito</v>
      </c>
      <c r="AE1036" t="str">
        <f t="shared" si="690"/>
        <v>Marca</v>
      </c>
      <c r="AF1036" t="str">
        <f t="shared" si="691"/>
        <v>Super Rubro</v>
      </c>
      <c r="AG1036" t="str">
        <f t="shared" si="692"/>
        <v>ComercioExterior</v>
      </c>
      <c r="AH1036" t="str">
        <f t="shared" si="693"/>
        <v>PrecioFOB</v>
      </c>
      <c r="AI1036" t="str">
        <f t="shared" si="694"/>
        <v>Monto II</v>
      </c>
      <c r="AJ1036" t="str">
        <f t="shared" si="695"/>
        <v>Porcentaje II</v>
      </c>
      <c r="AK1036" t="str">
        <f t="shared" si="696"/>
        <v>Foto</v>
      </c>
      <c r="AL1036" t="str">
        <f t="shared" si="697"/>
        <v xml:space="preserve"> </v>
      </c>
      <c r="AM1036" t="str">
        <f t="shared" si="675"/>
        <v xml:space="preserve"> </v>
      </c>
    </row>
    <row r="1037" spans="1:39" x14ac:dyDescent="0.25">
      <c r="A1037" t="str">
        <f>"BI156 10"</f>
        <v>BI156 10</v>
      </c>
      <c r="B1037" t="str">
        <f>"COJINETES BIELA 0,25 FIAT PALIO SIENA FIRE 1.3 1.4 8V Y 16V"</f>
        <v>COJINETES BIELA 0,25 FIAT PALIO SIENA FIRE 1.3 1.4 8V Y 16V</v>
      </c>
      <c r="C1037" t="str">
        <f>"$ 11287,28"</f>
        <v>$ 11287,28</v>
      </c>
      <c r="D1037" t="str">
        <f>"$ 11287,28"</f>
        <v>$ 11287,28</v>
      </c>
      <c r="E1037" t="str">
        <f>"$ 11287,28"</f>
        <v>$ 11287,28</v>
      </c>
      <c r="F1037" t="str">
        <f>"$ 11287,28"</f>
        <v>$ 11287,28</v>
      </c>
      <c r="G1037" t="str">
        <f>"$ 11287,28"</f>
        <v>$ 11287,28</v>
      </c>
      <c r="H1037" t="str">
        <f t="shared" si="679"/>
        <v>$ 0,00</v>
      </c>
      <c r="I1037" t="str">
        <f t="shared" si="672"/>
        <v>JUEGO COJINETES BIELA</v>
      </c>
      <c r="J1037" t="str">
        <f t="shared" si="680"/>
        <v>1</v>
      </c>
      <c r="K1037" t="str">
        <f t="shared" si="658"/>
        <v>0</v>
      </c>
      <c r="L1037" t="str">
        <f>"0,000"</f>
        <v>0,000</v>
      </c>
      <c r="M1037" t="str">
        <f t="shared" si="681"/>
        <v xml:space="preserve"> </v>
      </c>
      <c r="N1037" t="str">
        <f t="shared" si="665"/>
        <v>MPSI</v>
      </c>
      <c r="O1037" t="str">
        <f t="shared" si="666"/>
        <v>COJINETES</v>
      </c>
      <c r="P1037" t="str">
        <f t="shared" si="677"/>
        <v>0</v>
      </c>
      <c r="Q1037" t="str">
        <f t="shared" si="677"/>
        <v>0</v>
      </c>
      <c r="R1037" t="str">
        <f t="shared" si="678"/>
        <v>0,00</v>
      </c>
      <c r="S1037" t="str">
        <f t="shared" si="678"/>
        <v>0,00</v>
      </c>
      <c r="T1037" t="str">
        <f t="shared" si="657"/>
        <v xml:space="preserve"> </v>
      </c>
      <c r="U1037" t="str">
        <f t="shared" si="673"/>
        <v>-</v>
      </c>
      <c r="V1037" t="str">
        <f>"0,000"</f>
        <v>0,000</v>
      </c>
      <c r="W1037" t="str">
        <f t="shared" si="682"/>
        <v>Lista 4</v>
      </c>
      <c r="X1037" t="str">
        <f t="shared" si="683"/>
        <v>Lista 5</v>
      </c>
      <c r="Y1037" t="str">
        <f t="shared" si="684"/>
        <v>Oferta Gral.</v>
      </c>
      <c r="Z1037" t="str">
        <f t="shared" si="685"/>
        <v>Rubro</v>
      </c>
      <c r="AA1037" t="str">
        <f t="shared" si="686"/>
        <v>Cantidad por Bulto</v>
      </c>
      <c r="AB1037" t="str">
        <f t="shared" si="687"/>
        <v>INNER</v>
      </c>
      <c r="AC1037" t="str">
        <f t="shared" si="688"/>
        <v>Stock en Bultos</v>
      </c>
      <c r="AD1037" t="str">
        <f t="shared" si="689"/>
        <v>SubDepósito</v>
      </c>
      <c r="AE1037" t="str">
        <f t="shared" si="690"/>
        <v>Marca</v>
      </c>
      <c r="AF1037" t="str">
        <f t="shared" si="691"/>
        <v>Super Rubro</v>
      </c>
      <c r="AG1037" t="str">
        <f t="shared" si="692"/>
        <v>ComercioExterior</v>
      </c>
      <c r="AH1037" t="str">
        <f t="shared" si="693"/>
        <v>PrecioFOB</v>
      </c>
      <c r="AI1037" t="str">
        <f t="shared" si="694"/>
        <v>Monto II</v>
      </c>
      <c r="AJ1037" t="str">
        <f t="shared" si="695"/>
        <v>Porcentaje II</v>
      </c>
      <c r="AK1037" t="str">
        <f t="shared" si="696"/>
        <v>Foto</v>
      </c>
      <c r="AL1037" t="str">
        <f>"{\rtf1\ansi\ansicpg1252\deff0\deflang2058{\fonttbl{\f0\fnil\fcharset0 MS Sans Serif}} \viewkind4\uc1\pard\f0\fs16 COJINETES BIELA 0,25 FIAT PALIO SIENA FIRE 1.3 1.4 8V Y 16V\par } "</f>
        <v xml:space="preserve">{\rtf1\ansi\ansicpg1252\deff0\deflang2058{\fonttbl{\f0\fnil\fcharset0 MS Sans Serif}} \viewkind4\uc1\pard\f0\fs16 COJINETES BIELA 0,25 FIAT PALIO SIENA FIRE 1.3 1.4 8V Y 16V\par } </v>
      </c>
      <c r="AM1037" t="str">
        <f t="shared" si="675"/>
        <v xml:space="preserve"> </v>
      </c>
    </row>
    <row r="1038" spans="1:39" x14ac:dyDescent="0.25">
      <c r="A1038" t="str">
        <f>"BI199 10"</f>
        <v>BI199 10</v>
      </c>
      <c r="B1038" t="str">
        <f>"COJINETES BIELA 0,25 FORD FALCON F100 3.0 3.6"</f>
        <v>COJINETES BIELA 0,25 FORD FALCON F100 3.0 3.6</v>
      </c>
      <c r="C1038" t="str">
        <f>"$ 19913,86"</f>
        <v>$ 19913,86</v>
      </c>
      <c r="D1038" t="str">
        <f>"$ 19913,86"</f>
        <v>$ 19913,86</v>
      </c>
      <c r="E1038" t="str">
        <f>"$ 19913,86"</f>
        <v>$ 19913,86</v>
      </c>
      <c r="F1038" t="str">
        <f>"$ 19913,86"</f>
        <v>$ 19913,86</v>
      </c>
      <c r="G1038" t="str">
        <f>"$ 19913,86"</f>
        <v>$ 19913,86</v>
      </c>
      <c r="H1038" t="str">
        <f t="shared" si="679"/>
        <v>$ 0,00</v>
      </c>
      <c r="I1038" t="str">
        <f t="shared" si="672"/>
        <v>JUEGO COJINETES BIELA</v>
      </c>
      <c r="J1038" t="str">
        <f t="shared" si="680"/>
        <v>1</v>
      </c>
      <c r="K1038" t="str">
        <f t="shared" si="658"/>
        <v>0</v>
      </c>
      <c r="L1038" t="str">
        <f>"5,000"</f>
        <v>5,000</v>
      </c>
      <c r="M1038" t="str">
        <f t="shared" si="681"/>
        <v xml:space="preserve"> </v>
      </c>
      <c r="N1038" t="str">
        <f t="shared" si="665"/>
        <v>MPSI</v>
      </c>
      <c r="O1038" t="str">
        <f t="shared" si="666"/>
        <v>COJINETES</v>
      </c>
      <c r="P1038" t="str">
        <f t="shared" si="677"/>
        <v>0</v>
      </c>
      <c r="Q1038" t="str">
        <f t="shared" si="677"/>
        <v>0</v>
      </c>
      <c r="R1038" t="str">
        <f t="shared" si="678"/>
        <v>0,00</v>
      </c>
      <c r="S1038" t="str">
        <f t="shared" si="678"/>
        <v>0,00</v>
      </c>
      <c r="T1038" t="str">
        <f t="shared" si="657"/>
        <v xml:space="preserve"> </v>
      </c>
      <c r="U1038" t="str">
        <f t="shared" si="673"/>
        <v>-</v>
      </c>
      <c r="V1038" t="str">
        <f>"5,000"</f>
        <v>5,000</v>
      </c>
      <c r="W1038" t="str">
        <f t="shared" si="682"/>
        <v>Lista 4</v>
      </c>
      <c r="X1038" t="str">
        <f t="shared" si="683"/>
        <v>Lista 5</v>
      </c>
      <c r="Y1038" t="str">
        <f t="shared" si="684"/>
        <v>Oferta Gral.</v>
      </c>
      <c r="Z1038" t="str">
        <f t="shared" si="685"/>
        <v>Rubro</v>
      </c>
      <c r="AA1038" t="str">
        <f t="shared" si="686"/>
        <v>Cantidad por Bulto</v>
      </c>
      <c r="AB1038" t="str">
        <f t="shared" si="687"/>
        <v>INNER</v>
      </c>
      <c r="AC1038" t="str">
        <f t="shared" si="688"/>
        <v>Stock en Bultos</v>
      </c>
      <c r="AD1038" t="str">
        <f t="shared" si="689"/>
        <v>SubDepósito</v>
      </c>
      <c r="AE1038" t="str">
        <f t="shared" si="690"/>
        <v>Marca</v>
      </c>
      <c r="AF1038" t="str">
        <f t="shared" si="691"/>
        <v>Super Rubro</v>
      </c>
      <c r="AG1038" t="str">
        <f t="shared" si="692"/>
        <v>ComercioExterior</v>
      </c>
      <c r="AH1038" t="str">
        <f t="shared" si="693"/>
        <v>PrecioFOB</v>
      </c>
      <c r="AI1038" t="str">
        <f t="shared" si="694"/>
        <v>Monto II</v>
      </c>
      <c r="AJ1038" t="str">
        <f t="shared" si="695"/>
        <v>Porcentaje II</v>
      </c>
      <c r="AK1038" t="str">
        <f t="shared" si="696"/>
        <v>Foto</v>
      </c>
      <c r="AL1038" t="str">
        <f>"{\rtf1\ansi\ansicpg1252\deff0\deflang2058{\fonttbl{\f0\fnil\fcharset0 MS Sans Serif}} \viewkind4\uc1\pard\f0\fs16 COJINETES BIELA 0,25 FORD FALCON F100 3.0 3.6\par } "</f>
        <v xml:space="preserve">{\rtf1\ansi\ansicpg1252\deff0\deflang2058{\fonttbl{\f0\fnil\fcharset0 MS Sans Serif}} \viewkind4\uc1\pard\f0\fs16 COJINETES BIELA 0,25 FORD FALCON F100 3.0 3.6\par } </v>
      </c>
      <c r="AM1038" t="str">
        <f t="shared" si="675"/>
        <v xml:space="preserve"> </v>
      </c>
    </row>
    <row r="1039" spans="1:39" x14ac:dyDescent="0.25">
      <c r="A1039" t="str">
        <f>"BI775 10"</f>
        <v>BI775 10</v>
      </c>
      <c r="B1039" t="str">
        <f>"COJINETES BIELA 0,25 FORD FIESTA 1.3 ENDURA VARILLERO"</f>
        <v>COJINETES BIELA 0,25 FORD FIESTA 1.3 ENDURA VARILLERO</v>
      </c>
      <c r="C1039" t="str">
        <f>"$ 10973,28"</f>
        <v>$ 10973,28</v>
      </c>
      <c r="D1039" t="str">
        <f>"$ 10973,28"</f>
        <v>$ 10973,28</v>
      </c>
      <c r="E1039" t="str">
        <f>"$ 10973,28"</f>
        <v>$ 10973,28</v>
      </c>
      <c r="F1039" t="str">
        <f>"$ 10973,28"</f>
        <v>$ 10973,28</v>
      </c>
      <c r="G1039" t="str">
        <f>"$ 10973,28"</f>
        <v>$ 10973,28</v>
      </c>
      <c r="H1039" t="str">
        <f t="shared" si="679"/>
        <v>$ 0,00</v>
      </c>
      <c r="I1039" t="str">
        <f t="shared" si="672"/>
        <v>JUEGO COJINETES BIELA</v>
      </c>
      <c r="J1039" t="str">
        <f t="shared" si="680"/>
        <v>1</v>
      </c>
      <c r="K1039" t="str">
        <f t="shared" si="658"/>
        <v>0</v>
      </c>
      <c r="L1039" t="str">
        <f>"7,000"</f>
        <v>7,000</v>
      </c>
      <c r="M1039" t="str">
        <f t="shared" si="681"/>
        <v xml:space="preserve"> </v>
      </c>
      <c r="N1039" t="str">
        <f t="shared" si="665"/>
        <v>MPSI</v>
      </c>
      <c r="O1039" t="str">
        <f t="shared" si="666"/>
        <v>COJINETES</v>
      </c>
      <c r="P1039" t="str">
        <f t="shared" si="677"/>
        <v>0</v>
      </c>
      <c r="Q1039" t="str">
        <f t="shared" si="677"/>
        <v>0</v>
      </c>
      <c r="R1039" t="str">
        <f t="shared" si="678"/>
        <v>0,00</v>
      </c>
      <c r="S1039" t="str">
        <f t="shared" si="678"/>
        <v>0,00</v>
      </c>
      <c r="T1039" t="str">
        <f t="shared" si="657"/>
        <v xml:space="preserve"> </v>
      </c>
      <c r="U1039" t="str">
        <f t="shared" si="673"/>
        <v>-</v>
      </c>
      <c r="V1039" t="str">
        <f>"7,000"</f>
        <v>7,000</v>
      </c>
      <c r="W1039" t="str">
        <f t="shared" si="682"/>
        <v>Lista 4</v>
      </c>
      <c r="X1039" t="str">
        <f t="shared" si="683"/>
        <v>Lista 5</v>
      </c>
      <c r="Y1039" t="str">
        <f t="shared" si="684"/>
        <v>Oferta Gral.</v>
      </c>
      <c r="Z1039" t="str">
        <f t="shared" si="685"/>
        <v>Rubro</v>
      </c>
      <c r="AA1039" t="str">
        <f t="shared" si="686"/>
        <v>Cantidad por Bulto</v>
      </c>
      <c r="AB1039" t="str">
        <f t="shared" si="687"/>
        <v>INNER</v>
      </c>
      <c r="AC1039" t="str">
        <f t="shared" si="688"/>
        <v>Stock en Bultos</v>
      </c>
      <c r="AD1039" t="str">
        <f t="shared" si="689"/>
        <v>SubDepósito</v>
      </c>
      <c r="AE1039" t="str">
        <f t="shared" si="690"/>
        <v>Marca</v>
      </c>
      <c r="AF1039" t="str">
        <f t="shared" si="691"/>
        <v>Super Rubro</v>
      </c>
      <c r="AG1039" t="str">
        <f t="shared" si="692"/>
        <v>ComercioExterior</v>
      </c>
      <c r="AH1039" t="str">
        <f t="shared" si="693"/>
        <v>PrecioFOB</v>
      </c>
      <c r="AI1039" t="str">
        <f t="shared" si="694"/>
        <v>Monto II</v>
      </c>
      <c r="AJ1039" t="str">
        <f t="shared" si="695"/>
        <v>Porcentaje II</v>
      </c>
      <c r="AK1039" t="str">
        <f t="shared" si="696"/>
        <v>Foto</v>
      </c>
      <c r="AL1039" t="str">
        <f>"{\rtf1\ansi\ansicpg1252\deff0\deflang2058{\fonttbl{\f0\fnil\fcharset0 MS Sans Serif}} \viewkind4\uc1\pard\f0\fs16 COJINETES BIELA 0,25 FORD FIESTA 1.3 ENDURA VARILLERO\par } "</f>
        <v xml:space="preserve">{\rtf1\ansi\ansicpg1252\deff0\deflang2058{\fonttbl{\f0\fnil\fcharset0 MS Sans Serif}} \viewkind4\uc1\pard\f0\fs16 COJINETES BIELA 0,25 FORD FIESTA 1.3 ENDURA VARILLERO\par } </v>
      </c>
      <c r="AM1039" t="str">
        <f t="shared" si="675"/>
        <v xml:space="preserve"> </v>
      </c>
    </row>
    <row r="1040" spans="1:39" x14ac:dyDescent="0.25">
      <c r="A1040" t="str">
        <f>"BI679 10"</f>
        <v>BI679 10</v>
      </c>
      <c r="B1040" t="str">
        <f>"COJINETES BIELA 0,25 FORD FIESTA 1.4 TDCI DV4"</f>
        <v>COJINETES BIELA 0,25 FORD FIESTA 1.4 TDCI DV4</v>
      </c>
      <c r="C1040" t="str">
        <f>"$ 17848,11"</f>
        <v>$ 17848,11</v>
      </c>
      <c r="D1040" t="str">
        <f>"$ 17848,11"</f>
        <v>$ 17848,11</v>
      </c>
      <c r="E1040" t="str">
        <f>"$ 17848,11"</f>
        <v>$ 17848,11</v>
      </c>
      <c r="F1040" t="str">
        <f>"$ 17848,11"</f>
        <v>$ 17848,11</v>
      </c>
      <c r="G1040" t="str">
        <f>"$ 17848,11"</f>
        <v>$ 17848,11</v>
      </c>
      <c r="H1040" t="str">
        <f t="shared" si="679"/>
        <v>$ 0,00</v>
      </c>
      <c r="I1040" t="str">
        <f t="shared" si="672"/>
        <v>JUEGO COJINETES BIELA</v>
      </c>
      <c r="J1040" t="str">
        <f t="shared" si="680"/>
        <v>1</v>
      </c>
      <c r="K1040" t="str">
        <f t="shared" si="658"/>
        <v>0</v>
      </c>
      <c r="L1040" t="str">
        <f>"11,000"</f>
        <v>11,000</v>
      </c>
      <c r="M1040" t="str">
        <f t="shared" si="681"/>
        <v xml:space="preserve"> </v>
      </c>
      <c r="N1040" t="str">
        <f t="shared" si="665"/>
        <v>MPSI</v>
      </c>
      <c r="O1040" t="str">
        <f t="shared" si="666"/>
        <v>COJINETES</v>
      </c>
      <c r="P1040" t="str">
        <f t="shared" si="677"/>
        <v>0</v>
      </c>
      <c r="Q1040" t="str">
        <f t="shared" si="677"/>
        <v>0</v>
      </c>
      <c r="R1040" t="str">
        <f t="shared" si="678"/>
        <v>0,00</v>
      </c>
      <c r="S1040" t="str">
        <f t="shared" si="678"/>
        <v>0,00</v>
      </c>
      <c r="T1040" t="str">
        <f t="shared" si="657"/>
        <v xml:space="preserve"> </v>
      </c>
      <c r="U1040" t="str">
        <f t="shared" si="673"/>
        <v>-</v>
      </c>
      <c r="V1040" t="str">
        <f>"11,000"</f>
        <v>11,000</v>
      </c>
      <c r="W1040" t="str">
        <f t="shared" si="682"/>
        <v>Lista 4</v>
      </c>
      <c r="X1040" t="str">
        <f t="shared" si="683"/>
        <v>Lista 5</v>
      </c>
      <c r="Y1040" t="str">
        <f t="shared" si="684"/>
        <v>Oferta Gral.</v>
      </c>
      <c r="Z1040" t="str">
        <f t="shared" si="685"/>
        <v>Rubro</v>
      </c>
      <c r="AA1040" t="str">
        <f t="shared" si="686"/>
        <v>Cantidad por Bulto</v>
      </c>
      <c r="AB1040" t="str">
        <f t="shared" si="687"/>
        <v>INNER</v>
      </c>
      <c r="AC1040" t="str">
        <f t="shared" si="688"/>
        <v>Stock en Bultos</v>
      </c>
      <c r="AD1040" t="str">
        <f t="shared" si="689"/>
        <v>SubDepósito</v>
      </c>
      <c r="AE1040" t="str">
        <f t="shared" si="690"/>
        <v>Marca</v>
      </c>
      <c r="AF1040" t="str">
        <f t="shared" si="691"/>
        <v>Super Rubro</v>
      </c>
      <c r="AG1040" t="str">
        <f t="shared" si="692"/>
        <v>ComercioExterior</v>
      </c>
      <c r="AH1040" t="str">
        <f t="shared" si="693"/>
        <v>PrecioFOB</v>
      </c>
      <c r="AI1040" t="str">
        <f t="shared" si="694"/>
        <v>Monto II</v>
      </c>
      <c r="AJ1040" t="str">
        <f t="shared" si="695"/>
        <v>Porcentaje II</v>
      </c>
      <c r="AK1040" t="str">
        <f t="shared" si="696"/>
        <v>Foto</v>
      </c>
      <c r="AL1040" t="str">
        <f t="shared" ref="AL1040:AL1045" si="698">" "</f>
        <v xml:space="preserve"> </v>
      </c>
      <c r="AM1040" t="str">
        <f t="shared" si="675"/>
        <v xml:space="preserve"> </v>
      </c>
    </row>
    <row r="1041" spans="1:39" x14ac:dyDescent="0.25">
      <c r="A1041" t="str">
        <f>"BI776 10"</f>
        <v>BI776 10</v>
      </c>
      <c r="B1041" t="str">
        <f>"COJINETES BIELA 0,25 FORD FIESTA COURIER FOCUS 1.8 DIESEL"</f>
        <v>COJINETES BIELA 0,25 FORD FIESTA COURIER FOCUS 1.8 DIESEL</v>
      </c>
      <c r="C1041" t="str">
        <f>"$ 15570,20"</f>
        <v>$ 15570,20</v>
      </c>
      <c r="D1041" t="str">
        <f>"$ 15570,20"</f>
        <v>$ 15570,20</v>
      </c>
      <c r="E1041" t="str">
        <f>"$ 15570,20"</f>
        <v>$ 15570,20</v>
      </c>
      <c r="F1041" t="str">
        <f>"$ 15570,20"</f>
        <v>$ 15570,20</v>
      </c>
      <c r="G1041" t="str">
        <f>"$ 15570,20"</f>
        <v>$ 15570,20</v>
      </c>
      <c r="H1041" t="str">
        <f t="shared" si="679"/>
        <v>$ 0,00</v>
      </c>
      <c r="I1041" t="str">
        <f t="shared" si="672"/>
        <v>JUEGO COJINETES BIELA</v>
      </c>
      <c r="J1041" t="str">
        <f t="shared" si="680"/>
        <v>1</v>
      </c>
      <c r="K1041" t="str">
        <f t="shared" si="658"/>
        <v>0</v>
      </c>
      <c r="L1041" t="str">
        <f>"8,000"</f>
        <v>8,000</v>
      </c>
      <c r="M1041" t="str">
        <f t="shared" si="681"/>
        <v xml:space="preserve"> </v>
      </c>
      <c r="N1041" t="str">
        <f t="shared" si="665"/>
        <v>MPSI</v>
      </c>
      <c r="O1041" t="str">
        <f t="shared" si="666"/>
        <v>COJINETES</v>
      </c>
      <c r="P1041" t="str">
        <f t="shared" si="677"/>
        <v>0</v>
      </c>
      <c r="Q1041" t="str">
        <f t="shared" si="677"/>
        <v>0</v>
      </c>
      <c r="R1041" t="str">
        <f t="shared" si="678"/>
        <v>0,00</v>
      </c>
      <c r="S1041" t="str">
        <f t="shared" si="678"/>
        <v>0,00</v>
      </c>
      <c r="T1041" t="str">
        <f t="shared" ref="T1041:T1104" si="699">" "</f>
        <v xml:space="preserve"> </v>
      </c>
      <c r="U1041" t="str">
        <f t="shared" si="673"/>
        <v>-</v>
      </c>
      <c r="V1041" t="str">
        <f>"8,000"</f>
        <v>8,000</v>
      </c>
      <c r="W1041" t="str">
        <f t="shared" si="682"/>
        <v>Lista 4</v>
      </c>
      <c r="X1041" t="str">
        <f t="shared" si="683"/>
        <v>Lista 5</v>
      </c>
      <c r="Y1041" t="str">
        <f t="shared" si="684"/>
        <v>Oferta Gral.</v>
      </c>
      <c r="Z1041" t="str">
        <f t="shared" si="685"/>
        <v>Rubro</v>
      </c>
      <c r="AA1041" t="str">
        <f t="shared" si="686"/>
        <v>Cantidad por Bulto</v>
      </c>
      <c r="AB1041" t="str">
        <f t="shared" si="687"/>
        <v>INNER</v>
      </c>
      <c r="AC1041" t="str">
        <f t="shared" si="688"/>
        <v>Stock en Bultos</v>
      </c>
      <c r="AD1041" t="str">
        <f t="shared" si="689"/>
        <v>SubDepósito</v>
      </c>
      <c r="AE1041" t="str">
        <f t="shared" si="690"/>
        <v>Marca</v>
      </c>
      <c r="AF1041" t="str">
        <f t="shared" si="691"/>
        <v>Super Rubro</v>
      </c>
      <c r="AG1041" t="str">
        <f t="shared" si="692"/>
        <v>ComercioExterior</v>
      </c>
      <c r="AH1041" t="str">
        <f t="shared" si="693"/>
        <v>PrecioFOB</v>
      </c>
      <c r="AI1041" t="str">
        <f t="shared" si="694"/>
        <v>Monto II</v>
      </c>
      <c r="AJ1041" t="str">
        <f t="shared" si="695"/>
        <v>Porcentaje II</v>
      </c>
      <c r="AK1041" t="str">
        <f t="shared" si="696"/>
        <v>Foto</v>
      </c>
      <c r="AL1041" t="str">
        <f t="shared" si="698"/>
        <v xml:space="preserve"> </v>
      </c>
      <c r="AM1041" t="str">
        <f t="shared" si="675"/>
        <v xml:space="preserve"> </v>
      </c>
    </row>
    <row r="1042" spans="1:39" x14ac:dyDescent="0.25">
      <c r="A1042" t="str">
        <f>"BI773 10"</f>
        <v>BI773 10</v>
      </c>
      <c r="B1042" t="str">
        <f>"COJINETES BIELA 0,25 FORD FIESTA FOCUS 1.8 DIESEL SIN TRABA"</f>
        <v>COJINETES BIELA 0,25 FORD FIESTA FOCUS 1.8 DIESEL SIN TRABA</v>
      </c>
      <c r="C1042" t="str">
        <f>"$ 26787,87"</f>
        <v>$ 26787,87</v>
      </c>
      <c r="D1042" t="str">
        <f>"$ 26787,87"</f>
        <v>$ 26787,87</v>
      </c>
      <c r="E1042" t="str">
        <f>"$ 26787,87"</f>
        <v>$ 26787,87</v>
      </c>
      <c r="F1042" t="str">
        <f>"$ 26787,87"</f>
        <v>$ 26787,87</v>
      </c>
      <c r="G1042" t="str">
        <f>"$ 26787,87"</f>
        <v>$ 26787,87</v>
      </c>
      <c r="H1042" t="str">
        <f t="shared" si="679"/>
        <v>$ 0,00</v>
      </c>
      <c r="I1042" t="str">
        <f t="shared" si="672"/>
        <v>JUEGO COJINETES BIELA</v>
      </c>
      <c r="J1042" t="str">
        <f t="shared" si="680"/>
        <v>1</v>
      </c>
      <c r="K1042" t="str">
        <f t="shared" si="658"/>
        <v>0</v>
      </c>
      <c r="L1042" t="str">
        <f>"5,000"</f>
        <v>5,000</v>
      </c>
      <c r="M1042" t="str">
        <f t="shared" si="681"/>
        <v xml:space="preserve"> </v>
      </c>
      <c r="N1042" t="str">
        <f t="shared" si="665"/>
        <v>MPSI</v>
      </c>
      <c r="O1042" t="str">
        <f t="shared" si="666"/>
        <v>COJINETES</v>
      </c>
      <c r="P1042" t="str">
        <f t="shared" si="677"/>
        <v>0</v>
      </c>
      <c r="Q1042" t="str">
        <f t="shared" si="677"/>
        <v>0</v>
      </c>
      <c r="R1042" t="str">
        <f t="shared" si="678"/>
        <v>0,00</v>
      </c>
      <c r="S1042" t="str">
        <f t="shared" si="678"/>
        <v>0,00</v>
      </c>
      <c r="T1042" t="str">
        <f t="shared" si="699"/>
        <v xml:space="preserve"> </v>
      </c>
      <c r="U1042" t="str">
        <f t="shared" si="673"/>
        <v>-</v>
      </c>
      <c r="V1042" t="str">
        <f>"5,000"</f>
        <v>5,000</v>
      </c>
      <c r="W1042" t="str">
        <f t="shared" si="682"/>
        <v>Lista 4</v>
      </c>
      <c r="X1042" t="str">
        <f t="shared" si="683"/>
        <v>Lista 5</v>
      </c>
      <c r="Y1042" t="str">
        <f t="shared" si="684"/>
        <v>Oferta Gral.</v>
      </c>
      <c r="Z1042" t="str">
        <f t="shared" si="685"/>
        <v>Rubro</v>
      </c>
      <c r="AA1042" t="str">
        <f t="shared" si="686"/>
        <v>Cantidad por Bulto</v>
      </c>
      <c r="AB1042" t="str">
        <f t="shared" si="687"/>
        <v>INNER</v>
      </c>
      <c r="AC1042" t="str">
        <f t="shared" si="688"/>
        <v>Stock en Bultos</v>
      </c>
      <c r="AD1042" t="str">
        <f t="shared" si="689"/>
        <v>SubDepósito</v>
      </c>
      <c r="AE1042" t="str">
        <f t="shared" si="690"/>
        <v>Marca</v>
      </c>
      <c r="AF1042" t="str">
        <f t="shared" si="691"/>
        <v>Super Rubro</v>
      </c>
      <c r="AG1042" t="str">
        <f t="shared" si="692"/>
        <v>ComercioExterior</v>
      </c>
      <c r="AH1042" t="str">
        <f t="shared" si="693"/>
        <v>PrecioFOB</v>
      </c>
      <c r="AI1042" t="str">
        <f t="shared" si="694"/>
        <v>Monto II</v>
      </c>
      <c r="AJ1042" t="str">
        <f t="shared" si="695"/>
        <v>Porcentaje II</v>
      </c>
      <c r="AK1042" t="str">
        <f t="shared" si="696"/>
        <v>Foto</v>
      </c>
      <c r="AL1042" t="str">
        <f t="shared" si="698"/>
        <v xml:space="preserve"> </v>
      </c>
      <c r="AM1042" t="str">
        <f t="shared" si="675"/>
        <v xml:space="preserve"> </v>
      </c>
    </row>
    <row r="1043" spans="1:39" x14ac:dyDescent="0.25">
      <c r="A1043" t="str">
        <f>"BI209 10"</f>
        <v>BI209 10</v>
      </c>
      <c r="B1043" t="str">
        <f>"COJINETES BIELA 0,25 FORD FOCUS FIESTA SIGMA 1.6 16V"</f>
        <v>COJINETES BIELA 0,25 FORD FOCUS FIESTA SIGMA 1.6 16V</v>
      </c>
      <c r="C1043" t="str">
        <f>"$ 20733,89"</f>
        <v>$ 20733,89</v>
      </c>
      <c r="D1043" t="str">
        <f>"$ 20733,89"</f>
        <v>$ 20733,89</v>
      </c>
      <c r="E1043" t="str">
        <f>"$ 20733,89"</f>
        <v>$ 20733,89</v>
      </c>
      <c r="F1043" t="str">
        <f>"$ 20733,89"</f>
        <v>$ 20733,89</v>
      </c>
      <c r="G1043" t="str">
        <f>"$ 20733,89"</f>
        <v>$ 20733,89</v>
      </c>
      <c r="H1043" t="str">
        <f t="shared" si="679"/>
        <v>$ 0,00</v>
      </c>
      <c r="I1043" t="str">
        <f t="shared" si="672"/>
        <v>JUEGO COJINETES BIELA</v>
      </c>
      <c r="J1043" t="str">
        <f t="shared" si="680"/>
        <v>1</v>
      </c>
      <c r="K1043" t="str">
        <f t="shared" si="658"/>
        <v>0</v>
      </c>
      <c r="L1043" t="str">
        <f>"9,000"</f>
        <v>9,000</v>
      </c>
      <c r="M1043" t="str">
        <f t="shared" si="681"/>
        <v xml:space="preserve"> </v>
      </c>
      <c r="N1043" t="str">
        <f t="shared" si="665"/>
        <v>MPSI</v>
      </c>
      <c r="O1043" t="str">
        <f t="shared" si="666"/>
        <v>COJINETES</v>
      </c>
      <c r="P1043" t="str">
        <f t="shared" ref="P1043:Q1062" si="700">"0"</f>
        <v>0</v>
      </c>
      <c r="Q1043" t="str">
        <f t="shared" si="700"/>
        <v>0</v>
      </c>
      <c r="R1043" t="str">
        <f t="shared" ref="R1043:S1062" si="701">"0,00"</f>
        <v>0,00</v>
      </c>
      <c r="S1043" t="str">
        <f t="shared" si="701"/>
        <v>0,00</v>
      </c>
      <c r="T1043" t="str">
        <f t="shared" si="699"/>
        <v xml:space="preserve"> </v>
      </c>
      <c r="U1043" t="str">
        <f t="shared" si="673"/>
        <v>-</v>
      </c>
      <c r="V1043" t="str">
        <f>"9,000"</f>
        <v>9,000</v>
      </c>
      <c r="W1043" t="str">
        <f t="shared" si="682"/>
        <v>Lista 4</v>
      </c>
      <c r="X1043" t="str">
        <f t="shared" si="683"/>
        <v>Lista 5</v>
      </c>
      <c r="Y1043" t="str">
        <f t="shared" si="684"/>
        <v>Oferta Gral.</v>
      </c>
      <c r="Z1043" t="str">
        <f t="shared" si="685"/>
        <v>Rubro</v>
      </c>
      <c r="AA1043" t="str">
        <f t="shared" si="686"/>
        <v>Cantidad por Bulto</v>
      </c>
      <c r="AB1043" t="str">
        <f t="shared" si="687"/>
        <v>INNER</v>
      </c>
      <c r="AC1043" t="str">
        <f t="shared" si="688"/>
        <v>Stock en Bultos</v>
      </c>
      <c r="AD1043" t="str">
        <f t="shared" si="689"/>
        <v>SubDepósito</v>
      </c>
      <c r="AE1043" t="str">
        <f t="shared" si="690"/>
        <v>Marca</v>
      </c>
      <c r="AF1043" t="str">
        <f t="shared" si="691"/>
        <v>Super Rubro</v>
      </c>
      <c r="AG1043" t="str">
        <f t="shared" si="692"/>
        <v>ComercioExterior</v>
      </c>
      <c r="AH1043" t="str">
        <f t="shared" si="693"/>
        <v>PrecioFOB</v>
      </c>
      <c r="AI1043" t="str">
        <f t="shared" si="694"/>
        <v>Monto II</v>
      </c>
      <c r="AJ1043" t="str">
        <f t="shared" si="695"/>
        <v>Porcentaje II</v>
      </c>
      <c r="AK1043" t="str">
        <f t="shared" si="696"/>
        <v>Foto</v>
      </c>
      <c r="AL1043" t="str">
        <f t="shared" si="698"/>
        <v xml:space="preserve"> </v>
      </c>
      <c r="AM1043" t="str">
        <f t="shared" si="675"/>
        <v xml:space="preserve"> </v>
      </c>
    </row>
    <row r="1044" spans="1:39" x14ac:dyDescent="0.25">
      <c r="A1044" t="str">
        <f>"BI777 10"</f>
        <v>BI777 10</v>
      </c>
      <c r="B1044" t="str">
        <f>"COJINETES BIELA 0,25 FORD FOCUS FIESTA ZETEC 1.6 1.8 2.0 16V"</f>
        <v>COJINETES BIELA 0,25 FORD FOCUS FIESTA ZETEC 1.6 1.8 2.0 16V</v>
      </c>
      <c r="C1044" t="str">
        <f>"$ 14739,27"</f>
        <v>$ 14739,27</v>
      </c>
      <c r="D1044" t="str">
        <f>"$ 14739,27"</f>
        <v>$ 14739,27</v>
      </c>
      <c r="E1044" t="str">
        <f>"$ 14739,27"</f>
        <v>$ 14739,27</v>
      </c>
      <c r="F1044" t="str">
        <f>"$ 14739,27"</f>
        <v>$ 14739,27</v>
      </c>
      <c r="G1044" t="str">
        <f>"$ 14739,27"</f>
        <v>$ 14739,27</v>
      </c>
      <c r="H1044" t="str">
        <f t="shared" si="679"/>
        <v>$ 0,00</v>
      </c>
      <c r="I1044" t="str">
        <f t="shared" si="672"/>
        <v>JUEGO COJINETES BIELA</v>
      </c>
      <c r="J1044" t="str">
        <f t="shared" si="680"/>
        <v>1</v>
      </c>
      <c r="K1044" t="str">
        <f t="shared" si="658"/>
        <v>0</v>
      </c>
      <c r="L1044" t="str">
        <f>"11,000"</f>
        <v>11,000</v>
      </c>
      <c r="M1044" t="str">
        <f t="shared" si="681"/>
        <v xml:space="preserve"> </v>
      </c>
      <c r="N1044" t="str">
        <f t="shared" si="665"/>
        <v>MPSI</v>
      </c>
      <c r="O1044" t="str">
        <f t="shared" si="666"/>
        <v>COJINETES</v>
      </c>
      <c r="P1044" t="str">
        <f t="shared" si="700"/>
        <v>0</v>
      </c>
      <c r="Q1044" t="str">
        <f t="shared" si="700"/>
        <v>0</v>
      </c>
      <c r="R1044" t="str">
        <f t="shared" si="701"/>
        <v>0,00</v>
      </c>
      <c r="S1044" t="str">
        <f t="shared" si="701"/>
        <v>0,00</v>
      </c>
      <c r="T1044" t="str">
        <f t="shared" si="699"/>
        <v xml:space="preserve"> </v>
      </c>
      <c r="U1044" t="str">
        <f t="shared" si="673"/>
        <v>-</v>
      </c>
      <c r="V1044" t="str">
        <f>"11,000"</f>
        <v>11,000</v>
      </c>
      <c r="W1044" t="str">
        <f t="shared" si="682"/>
        <v>Lista 4</v>
      </c>
      <c r="X1044" t="str">
        <f t="shared" si="683"/>
        <v>Lista 5</v>
      </c>
      <c r="Y1044" t="str">
        <f t="shared" si="684"/>
        <v>Oferta Gral.</v>
      </c>
      <c r="Z1044" t="str">
        <f t="shared" si="685"/>
        <v>Rubro</v>
      </c>
      <c r="AA1044" t="str">
        <f t="shared" si="686"/>
        <v>Cantidad por Bulto</v>
      </c>
      <c r="AB1044" t="str">
        <f t="shared" si="687"/>
        <v>INNER</v>
      </c>
      <c r="AC1044" t="str">
        <f t="shared" si="688"/>
        <v>Stock en Bultos</v>
      </c>
      <c r="AD1044" t="str">
        <f t="shared" si="689"/>
        <v>SubDepósito</v>
      </c>
      <c r="AE1044" t="str">
        <f t="shared" si="690"/>
        <v>Marca</v>
      </c>
      <c r="AF1044" t="str">
        <f t="shared" si="691"/>
        <v>Super Rubro</v>
      </c>
      <c r="AG1044" t="str">
        <f t="shared" si="692"/>
        <v>ComercioExterior</v>
      </c>
      <c r="AH1044" t="str">
        <f t="shared" si="693"/>
        <v>PrecioFOB</v>
      </c>
      <c r="AI1044" t="str">
        <f t="shared" si="694"/>
        <v>Monto II</v>
      </c>
      <c r="AJ1044" t="str">
        <f t="shared" si="695"/>
        <v>Porcentaje II</v>
      </c>
      <c r="AK1044" t="str">
        <f t="shared" si="696"/>
        <v>Foto</v>
      </c>
      <c r="AL1044" t="str">
        <f t="shared" si="698"/>
        <v xml:space="preserve"> </v>
      </c>
      <c r="AM1044" t="str">
        <f t="shared" si="675"/>
        <v xml:space="preserve"> </v>
      </c>
    </row>
    <row r="1045" spans="1:39" x14ac:dyDescent="0.25">
      <c r="A1045" t="str">
        <f>"BI164647 10"</f>
        <v>BI164647 10</v>
      </c>
      <c r="B1045" t="str">
        <f>"COJINETES BIELA 0,25 FORD FOCUS MONDEO DURATEC 2.0 16V"</f>
        <v>COJINETES BIELA 0,25 FORD FOCUS MONDEO DURATEC 2.0 16V</v>
      </c>
      <c r="C1045" t="str">
        <f>"$ 13018,04"</f>
        <v>$ 13018,04</v>
      </c>
      <c r="D1045" t="str">
        <f>"$ 13018,04"</f>
        <v>$ 13018,04</v>
      </c>
      <c r="E1045" t="str">
        <f>"$ 13018,04"</f>
        <v>$ 13018,04</v>
      </c>
      <c r="F1045" t="str">
        <f>"$ 13018,04"</f>
        <v>$ 13018,04</v>
      </c>
      <c r="G1045" t="str">
        <f>"$ 13018,04"</f>
        <v>$ 13018,04</v>
      </c>
      <c r="H1045" t="str">
        <f t="shared" si="679"/>
        <v>$ 0,00</v>
      </c>
      <c r="I1045" t="str">
        <f t="shared" si="672"/>
        <v>JUEGO COJINETES BIELA</v>
      </c>
      <c r="J1045" t="str">
        <f t="shared" si="680"/>
        <v>1</v>
      </c>
      <c r="K1045" t="str">
        <f t="shared" si="658"/>
        <v>0</v>
      </c>
      <c r="L1045" t="str">
        <f>"4,000"</f>
        <v>4,000</v>
      </c>
      <c r="M1045" t="str">
        <f t="shared" si="681"/>
        <v xml:space="preserve"> </v>
      </c>
      <c r="N1045" t="str">
        <f t="shared" si="665"/>
        <v>MPSI</v>
      </c>
      <c r="O1045" t="str">
        <f t="shared" si="666"/>
        <v>COJINETES</v>
      </c>
      <c r="P1045" t="str">
        <f t="shared" si="700"/>
        <v>0</v>
      </c>
      <c r="Q1045" t="str">
        <f t="shared" si="700"/>
        <v>0</v>
      </c>
      <c r="R1045" t="str">
        <f t="shared" si="701"/>
        <v>0,00</v>
      </c>
      <c r="S1045" t="str">
        <f t="shared" si="701"/>
        <v>0,00</v>
      </c>
      <c r="T1045" t="str">
        <f t="shared" si="699"/>
        <v xml:space="preserve"> </v>
      </c>
      <c r="U1045" t="str">
        <f t="shared" si="673"/>
        <v>-</v>
      </c>
      <c r="V1045" t="str">
        <f>"4,000"</f>
        <v>4,000</v>
      </c>
      <c r="W1045" t="str">
        <f t="shared" si="682"/>
        <v>Lista 4</v>
      </c>
      <c r="X1045" t="str">
        <f t="shared" si="683"/>
        <v>Lista 5</v>
      </c>
      <c r="Y1045" t="str">
        <f t="shared" si="684"/>
        <v>Oferta Gral.</v>
      </c>
      <c r="Z1045" t="str">
        <f t="shared" si="685"/>
        <v>Rubro</v>
      </c>
      <c r="AA1045" t="str">
        <f t="shared" si="686"/>
        <v>Cantidad por Bulto</v>
      </c>
      <c r="AB1045" t="str">
        <f t="shared" si="687"/>
        <v>INNER</v>
      </c>
      <c r="AC1045" t="str">
        <f t="shared" si="688"/>
        <v>Stock en Bultos</v>
      </c>
      <c r="AD1045" t="str">
        <f t="shared" si="689"/>
        <v>SubDepósito</v>
      </c>
      <c r="AE1045" t="str">
        <f t="shared" si="690"/>
        <v>Marca</v>
      </c>
      <c r="AF1045" t="str">
        <f t="shared" si="691"/>
        <v>Super Rubro</v>
      </c>
      <c r="AG1045" t="str">
        <f t="shared" si="692"/>
        <v>ComercioExterior</v>
      </c>
      <c r="AH1045" t="str">
        <f t="shared" si="693"/>
        <v>PrecioFOB</v>
      </c>
      <c r="AI1045" t="str">
        <f t="shared" si="694"/>
        <v>Monto II</v>
      </c>
      <c r="AJ1045" t="str">
        <f t="shared" si="695"/>
        <v>Porcentaje II</v>
      </c>
      <c r="AK1045" t="str">
        <f t="shared" si="696"/>
        <v>Foto</v>
      </c>
      <c r="AL1045" t="str">
        <f t="shared" si="698"/>
        <v xml:space="preserve"> </v>
      </c>
      <c r="AM1045" t="str">
        <f t="shared" si="675"/>
        <v xml:space="preserve"> </v>
      </c>
    </row>
    <row r="1046" spans="1:39" x14ac:dyDescent="0.25">
      <c r="A1046" t="str">
        <f>"BI164748 10"</f>
        <v>BI164748 10</v>
      </c>
      <c r="B1046" t="str">
        <f>"COJINETES BIELA 0,25 FORD KA ECOSPORT SIGMA 1.5 16 VALVULAS"</f>
        <v>COJINETES BIELA 0,25 FORD KA ECOSPORT SIGMA 1.5 16 VALVULAS</v>
      </c>
      <c r="C1046" t="str">
        <f>"$ 9799,93"</f>
        <v>$ 9799,93</v>
      </c>
      <c r="D1046" t="str">
        <f>"$ 9799,93"</f>
        <v>$ 9799,93</v>
      </c>
      <c r="E1046" t="str">
        <f>"$ 9799,93"</f>
        <v>$ 9799,93</v>
      </c>
      <c r="F1046" t="str">
        <f>"$ 9799,93"</f>
        <v>$ 9799,93</v>
      </c>
      <c r="G1046" t="str">
        <f>"$ 9799,93"</f>
        <v>$ 9799,93</v>
      </c>
      <c r="H1046" t="str">
        <f t="shared" si="679"/>
        <v>$ 0,00</v>
      </c>
      <c r="I1046" t="str">
        <f t="shared" si="672"/>
        <v>JUEGO COJINETES BIELA</v>
      </c>
      <c r="J1046" t="str">
        <f t="shared" si="680"/>
        <v>1</v>
      </c>
      <c r="K1046" t="str">
        <f t="shared" si="658"/>
        <v>0</v>
      </c>
      <c r="L1046" t="str">
        <f>"6,000"</f>
        <v>6,000</v>
      </c>
      <c r="M1046" t="str">
        <f t="shared" si="681"/>
        <v xml:space="preserve"> </v>
      </c>
      <c r="N1046" t="str">
        <f t="shared" si="665"/>
        <v>MPSI</v>
      </c>
      <c r="O1046" t="str">
        <f t="shared" si="666"/>
        <v>COJINETES</v>
      </c>
      <c r="P1046" t="str">
        <f t="shared" si="700"/>
        <v>0</v>
      </c>
      <c r="Q1046" t="str">
        <f t="shared" si="700"/>
        <v>0</v>
      </c>
      <c r="R1046" t="str">
        <f t="shared" si="701"/>
        <v>0,00</v>
      </c>
      <c r="S1046" t="str">
        <f t="shared" si="701"/>
        <v>0,00</v>
      </c>
      <c r="T1046" t="str">
        <f t="shared" si="699"/>
        <v xml:space="preserve"> </v>
      </c>
      <c r="U1046" t="str">
        <f>" "</f>
        <v xml:space="preserve"> </v>
      </c>
      <c r="V1046" t="str">
        <f>"6,000"</f>
        <v>6,000</v>
      </c>
      <c r="W1046" t="str">
        <f t="shared" si="682"/>
        <v>Lista 4</v>
      </c>
      <c r="X1046" t="str">
        <f t="shared" si="683"/>
        <v>Lista 5</v>
      </c>
      <c r="Y1046" t="str">
        <f t="shared" si="684"/>
        <v>Oferta Gral.</v>
      </c>
      <c r="Z1046" t="str">
        <f t="shared" si="685"/>
        <v>Rubro</v>
      </c>
      <c r="AA1046" t="str">
        <f t="shared" si="686"/>
        <v>Cantidad por Bulto</v>
      </c>
      <c r="AB1046" t="str">
        <f t="shared" si="687"/>
        <v>INNER</v>
      </c>
      <c r="AC1046" t="str">
        <f t="shared" si="688"/>
        <v>Stock en Bultos</v>
      </c>
      <c r="AD1046" t="str">
        <f t="shared" si="689"/>
        <v>SubDepósito</v>
      </c>
      <c r="AE1046" t="str">
        <f t="shared" si="690"/>
        <v>Marca</v>
      </c>
      <c r="AF1046" t="str">
        <f t="shared" si="691"/>
        <v>Super Rubro</v>
      </c>
      <c r="AG1046" t="str">
        <f t="shared" si="692"/>
        <v>ComercioExterior</v>
      </c>
      <c r="AH1046" t="str">
        <f t="shared" si="693"/>
        <v>PrecioFOB</v>
      </c>
      <c r="AI1046" t="str">
        <f t="shared" si="694"/>
        <v>Monto II</v>
      </c>
      <c r="AJ1046" t="str">
        <f t="shared" si="695"/>
        <v>Porcentaje II</v>
      </c>
      <c r="AK1046" t="str">
        <f t="shared" si="696"/>
        <v>Foto</v>
      </c>
      <c r="AL104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046" t="str">
        <f t="shared" si="675"/>
        <v xml:space="preserve"> </v>
      </c>
    </row>
    <row r="1047" spans="1:39" x14ac:dyDescent="0.25">
      <c r="A1047" t="str">
        <f>"BI164198 10"</f>
        <v>BI164198 10</v>
      </c>
      <c r="B1047" t="str">
        <f>"COJINETES BIELA 0,25 FORD RANGER 2.2 PUMA TDCI 125HP"</f>
        <v>COJINETES BIELA 0,25 FORD RANGER 2.2 PUMA TDCI 125HP</v>
      </c>
      <c r="C1047" t="str">
        <f>"$ 29478,53"</f>
        <v>$ 29478,53</v>
      </c>
      <c r="D1047" t="str">
        <f>"$ 29478,53"</f>
        <v>$ 29478,53</v>
      </c>
      <c r="E1047" t="str">
        <f>"$ 29478,53"</f>
        <v>$ 29478,53</v>
      </c>
      <c r="F1047" t="str">
        <f>"$ 29478,53"</f>
        <v>$ 29478,53</v>
      </c>
      <c r="G1047" t="str">
        <f>"$ 29478,53"</f>
        <v>$ 29478,53</v>
      </c>
      <c r="H1047" t="str">
        <f t="shared" si="679"/>
        <v>$ 0,00</v>
      </c>
      <c r="I1047" t="str">
        <f t="shared" si="672"/>
        <v>JUEGO COJINETES BIELA</v>
      </c>
      <c r="J1047" t="str">
        <f t="shared" si="680"/>
        <v>1</v>
      </c>
      <c r="K1047" t="str">
        <f t="shared" ref="K1047:K1110" si="702">"0"</f>
        <v>0</v>
      </c>
      <c r="L1047" t="str">
        <f>"5,000"</f>
        <v>5,000</v>
      </c>
      <c r="M1047" t="str">
        <f t="shared" si="681"/>
        <v xml:space="preserve"> </v>
      </c>
      <c r="N1047" t="str">
        <f t="shared" si="665"/>
        <v>MPSI</v>
      </c>
      <c r="O1047" t="str">
        <f t="shared" si="666"/>
        <v>COJINETES</v>
      </c>
      <c r="P1047" t="str">
        <f t="shared" si="700"/>
        <v>0</v>
      </c>
      <c r="Q1047" t="str">
        <f t="shared" si="700"/>
        <v>0</v>
      </c>
      <c r="R1047" t="str">
        <f t="shared" si="701"/>
        <v>0,00</v>
      </c>
      <c r="S1047" t="str">
        <f t="shared" si="701"/>
        <v>0,00</v>
      </c>
      <c r="T1047" t="str">
        <f t="shared" si="699"/>
        <v xml:space="preserve"> </v>
      </c>
      <c r="U1047" t="str">
        <f t="shared" ref="U1047:U1058" si="703">"-"</f>
        <v>-</v>
      </c>
      <c r="V1047" t="str">
        <f>"5,000"</f>
        <v>5,000</v>
      </c>
      <c r="W1047" t="str">
        <f t="shared" si="682"/>
        <v>Lista 4</v>
      </c>
      <c r="X1047" t="str">
        <f t="shared" si="683"/>
        <v>Lista 5</v>
      </c>
      <c r="Y1047" t="str">
        <f t="shared" si="684"/>
        <v>Oferta Gral.</v>
      </c>
      <c r="Z1047" t="str">
        <f t="shared" si="685"/>
        <v>Rubro</v>
      </c>
      <c r="AA1047" t="str">
        <f t="shared" si="686"/>
        <v>Cantidad por Bulto</v>
      </c>
      <c r="AB1047" t="str">
        <f t="shared" si="687"/>
        <v>INNER</v>
      </c>
      <c r="AC1047" t="str">
        <f t="shared" si="688"/>
        <v>Stock en Bultos</v>
      </c>
      <c r="AD1047" t="str">
        <f t="shared" si="689"/>
        <v>SubDepósito</v>
      </c>
      <c r="AE1047" t="str">
        <f t="shared" si="690"/>
        <v>Marca</v>
      </c>
      <c r="AF1047" t="str">
        <f t="shared" si="691"/>
        <v>Super Rubro</v>
      </c>
      <c r="AG1047" t="str">
        <f t="shared" si="692"/>
        <v>ComercioExterior</v>
      </c>
      <c r="AH1047" t="str">
        <f t="shared" si="693"/>
        <v>PrecioFOB</v>
      </c>
      <c r="AI1047" t="str">
        <f t="shared" si="694"/>
        <v>Monto II</v>
      </c>
      <c r="AJ1047" t="str">
        <f t="shared" si="695"/>
        <v>Porcentaje II</v>
      </c>
      <c r="AK1047" t="str">
        <f t="shared" si="696"/>
        <v>Foto</v>
      </c>
      <c r="AL1047" t="str">
        <f t="shared" ref="AL1047:AL1058" si="704">" "</f>
        <v xml:space="preserve"> </v>
      </c>
      <c r="AM1047" t="str">
        <f t="shared" si="675"/>
        <v xml:space="preserve"> </v>
      </c>
    </row>
    <row r="1048" spans="1:39" x14ac:dyDescent="0.25">
      <c r="A1048" t="str">
        <f>"BI404 10"</f>
        <v>BI404 10</v>
      </c>
      <c r="B1048" t="str">
        <f>"COJINETES BIELA 0,25 FORD RANGER 2.8 3.0 POWER STROKE"</f>
        <v>COJINETES BIELA 0,25 FORD RANGER 2.8 3.0 POWER STROKE</v>
      </c>
      <c r="C1048" t="str">
        <f>"$ 21169,15"</f>
        <v>$ 21169,15</v>
      </c>
      <c r="D1048" t="str">
        <f>"$ 21169,15"</f>
        <v>$ 21169,15</v>
      </c>
      <c r="E1048" t="str">
        <f>"$ 21169,15"</f>
        <v>$ 21169,15</v>
      </c>
      <c r="F1048" t="str">
        <f>"$ 21169,15"</f>
        <v>$ 21169,15</v>
      </c>
      <c r="G1048" t="str">
        <f>"$ 21169,15"</f>
        <v>$ 21169,15</v>
      </c>
      <c r="H1048" t="str">
        <f t="shared" si="679"/>
        <v>$ 0,00</v>
      </c>
      <c r="I1048" t="str">
        <f t="shared" si="672"/>
        <v>JUEGO COJINETES BIELA</v>
      </c>
      <c r="J1048" t="str">
        <f t="shared" si="680"/>
        <v>1</v>
      </c>
      <c r="K1048" t="str">
        <f t="shared" si="702"/>
        <v>0</v>
      </c>
      <c r="L1048" t="str">
        <f>"7,000"</f>
        <v>7,000</v>
      </c>
      <c r="M1048" t="str">
        <f t="shared" si="681"/>
        <v xml:space="preserve"> </v>
      </c>
      <c r="N1048" t="str">
        <f t="shared" si="665"/>
        <v>MPSI</v>
      </c>
      <c r="O1048" t="str">
        <f t="shared" si="666"/>
        <v>COJINETES</v>
      </c>
      <c r="P1048" t="str">
        <f t="shared" si="700"/>
        <v>0</v>
      </c>
      <c r="Q1048" t="str">
        <f t="shared" si="700"/>
        <v>0</v>
      </c>
      <c r="R1048" t="str">
        <f t="shared" si="701"/>
        <v>0,00</v>
      </c>
      <c r="S1048" t="str">
        <f t="shared" si="701"/>
        <v>0,00</v>
      </c>
      <c r="T1048" t="str">
        <f t="shared" si="699"/>
        <v xml:space="preserve"> </v>
      </c>
      <c r="U1048" t="str">
        <f t="shared" si="703"/>
        <v>-</v>
      </c>
      <c r="V1048" t="str">
        <f>"7,000"</f>
        <v>7,000</v>
      </c>
      <c r="W1048" t="str">
        <f t="shared" si="682"/>
        <v>Lista 4</v>
      </c>
      <c r="X1048" t="str">
        <f t="shared" si="683"/>
        <v>Lista 5</v>
      </c>
      <c r="Y1048" t="str">
        <f t="shared" si="684"/>
        <v>Oferta Gral.</v>
      </c>
      <c r="Z1048" t="str">
        <f t="shared" si="685"/>
        <v>Rubro</v>
      </c>
      <c r="AA1048" t="str">
        <f t="shared" si="686"/>
        <v>Cantidad por Bulto</v>
      </c>
      <c r="AB1048" t="str">
        <f t="shared" si="687"/>
        <v>INNER</v>
      </c>
      <c r="AC1048" t="str">
        <f t="shared" si="688"/>
        <v>Stock en Bultos</v>
      </c>
      <c r="AD1048" t="str">
        <f t="shared" si="689"/>
        <v>SubDepósito</v>
      </c>
      <c r="AE1048" t="str">
        <f t="shared" si="690"/>
        <v>Marca</v>
      </c>
      <c r="AF1048" t="str">
        <f t="shared" si="691"/>
        <v>Super Rubro</v>
      </c>
      <c r="AG1048" t="str">
        <f t="shared" si="692"/>
        <v>ComercioExterior</v>
      </c>
      <c r="AH1048" t="str">
        <f t="shared" si="693"/>
        <v>PrecioFOB</v>
      </c>
      <c r="AI1048" t="str">
        <f t="shared" si="694"/>
        <v>Monto II</v>
      </c>
      <c r="AJ1048" t="str">
        <f t="shared" si="695"/>
        <v>Porcentaje II</v>
      </c>
      <c r="AK1048" t="str">
        <f t="shared" si="696"/>
        <v>Foto</v>
      </c>
      <c r="AL1048" t="str">
        <f t="shared" si="704"/>
        <v xml:space="preserve"> </v>
      </c>
      <c r="AM1048" t="str">
        <f t="shared" si="675"/>
        <v xml:space="preserve"> </v>
      </c>
    </row>
    <row r="1049" spans="1:39" x14ac:dyDescent="0.25">
      <c r="A1049" t="str">
        <f>"BI165200 10"</f>
        <v>BI165200 10</v>
      </c>
      <c r="B1049" t="str">
        <f>"COJINETES BIELA 0,25 FORD RANGER 3.2 PUMA TDCI 200HP 5 CIL"</f>
        <v>COJINETES BIELA 0,25 FORD RANGER 3.2 PUMA TDCI 200HP 5 CIL</v>
      </c>
      <c r="C1049" t="str">
        <f>"$ 36462,37"</f>
        <v>$ 36462,37</v>
      </c>
      <c r="D1049" t="str">
        <f>"$ 36462,37"</f>
        <v>$ 36462,37</v>
      </c>
      <c r="E1049" t="str">
        <f>"$ 36462,37"</f>
        <v>$ 36462,37</v>
      </c>
      <c r="F1049" t="str">
        <f>"$ 36462,37"</f>
        <v>$ 36462,37</v>
      </c>
      <c r="G1049" t="str">
        <f>"$ 36462,37"</f>
        <v>$ 36462,37</v>
      </c>
      <c r="H1049" t="str">
        <f t="shared" si="679"/>
        <v>$ 0,00</v>
      </c>
      <c r="I1049" t="str">
        <f t="shared" si="672"/>
        <v>JUEGO COJINETES BIELA</v>
      </c>
      <c r="J1049" t="str">
        <f t="shared" si="680"/>
        <v>1</v>
      </c>
      <c r="K1049" t="str">
        <f t="shared" si="702"/>
        <v>0</v>
      </c>
      <c r="L1049" t="str">
        <f>"10,000"</f>
        <v>10,000</v>
      </c>
      <c r="M1049" t="str">
        <f t="shared" si="681"/>
        <v xml:space="preserve"> </v>
      </c>
      <c r="N1049" t="str">
        <f t="shared" si="665"/>
        <v>MPSI</v>
      </c>
      <c r="O1049" t="str">
        <f t="shared" si="666"/>
        <v>COJINETES</v>
      </c>
      <c r="P1049" t="str">
        <f t="shared" si="700"/>
        <v>0</v>
      </c>
      <c r="Q1049" t="str">
        <f t="shared" si="700"/>
        <v>0</v>
      </c>
      <c r="R1049" t="str">
        <f t="shared" si="701"/>
        <v>0,00</v>
      </c>
      <c r="S1049" t="str">
        <f t="shared" si="701"/>
        <v>0,00</v>
      </c>
      <c r="T1049" t="str">
        <f t="shared" si="699"/>
        <v xml:space="preserve"> </v>
      </c>
      <c r="U1049" t="str">
        <f t="shared" si="703"/>
        <v>-</v>
      </c>
      <c r="V1049" t="str">
        <f>"10,000"</f>
        <v>10,000</v>
      </c>
      <c r="W1049" t="str">
        <f t="shared" si="682"/>
        <v>Lista 4</v>
      </c>
      <c r="X1049" t="str">
        <f t="shared" si="683"/>
        <v>Lista 5</v>
      </c>
      <c r="Y1049" t="str">
        <f t="shared" si="684"/>
        <v>Oferta Gral.</v>
      </c>
      <c r="Z1049" t="str">
        <f t="shared" si="685"/>
        <v>Rubro</v>
      </c>
      <c r="AA1049" t="str">
        <f t="shared" si="686"/>
        <v>Cantidad por Bulto</v>
      </c>
      <c r="AB1049" t="str">
        <f t="shared" si="687"/>
        <v>INNER</v>
      </c>
      <c r="AC1049" t="str">
        <f t="shared" si="688"/>
        <v>Stock en Bultos</v>
      </c>
      <c r="AD1049" t="str">
        <f t="shared" si="689"/>
        <v>SubDepósito</v>
      </c>
      <c r="AE1049" t="str">
        <f t="shared" si="690"/>
        <v>Marca</v>
      </c>
      <c r="AF1049" t="str">
        <f t="shared" si="691"/>
        <v>Super Rubro</v>
      </c>
      <c r="AG1049" t="str">
        <f t="shared" si="692"/>
        <v>ComercioExterior</v>
      </c>
      <c r="AH1049" t="str">
        <f t="shared" si="693"/>
        <v>PrecioFOB</v>
      </c>
      <c r="AI1049" t="str">
        <f t="shared" si="694"/>
        <v>Monto II</v>
      </c>
      <c r="AJ1049" t="str">
        <f t="shared" si="695"/>
        <v>Porcentaje II</v>
      </c>
      <c r="AK1049" t="str">
        <f t="shared" si="696"/>
        <v>Foto</v>
      </c>
      <c r="AL1049" t="str">
        <f t="shared" si="704"/>
        <v xml:space="preserve"> </v>
      </c>
      <c r="AM1049" t="str">
        <f t="shared" si="675"/>
        <v xml:space="preserve"> </v>
      </c>
    </row>
    <row r="1050" spans="1:39" x14ac:dyDescent="0.25">
      <c r="A1050" t="str">
        <f>"BI203 10"</f>
        <v>BI203 10</v>
      </c>
      <c r="B1050" t="str">
        <f>"COJINETES BIELA 0,25 FORD SIERRA 1600"</f>
        <v>COJINETES BIELA 0,25 FORD SIERRA 1600</v>
      </c>
      <c r="C1050" t="str">
        <f>"$ 15174,52"</f>
        <v>$ 15174,52</v>
      </c>
      <c r="D1050" t="str">
        <f>"$ 15174,52"</f>
        <v>$ 15174,52</v>
      </c>
      <c r="E1050" t="str">
        <f>"$ 15174,52"</f>
        <v>$ 15174,52</v>
      </c>
      <c r="F1050" t="str">
        <f>"$ 15174,52"</f>
        <v>$ 15174,52</v>
      </c>
      <c r="G1050" t="str">
        <f>"$ 15174,52"</f>
        <v>$ 15174,52</v>
      </c>
      <c r="H1050" t="str">
        <f t="shared" si="679"/>
        <v>$ 0,00</v>
      </c>
      <c r="I1050" t="str">
        <f t="shared" si="672"/>
        <v>JUEGO COJINETES BIELA</v>
      </c>
      <c r="J1050" t="str">
        <f t="shared" si="680"/>
        <v>1</v>
      </c>
      <c r="K1050" t="str">
        <f t="shared" si="702"/>
        <v>0</v>
      </c>
      <c r="L1050" t="str">
        <f>"3,000"</f>
        <v>3,000</v>
      </c>
      <c r="M1050" t="str">
        <f t="shared" si="681"/>
        <v xml:space="preserve"> </v>
      </c>
      <c r="N1050" t="str">
        <f t="shared" si="665"/>
        <v>MPSI</v>
      </c>
      <c r="O1050" t="str">
        <f t="shared" si="666"/>
        <v>COJINETES</v>
      </c>
      <c r="P1050" t="str">
        <f t="shared" si="700"/>
        <v>0</v>
      </c>
      <c r="Q1050" t="str">
        <f t="shared" si="700"/>
        <v>0</v>
      </c>
      <c r="R1050" t="str">
        <f t="shared" si="701"/>
        <v>0,00</v>
      </c>
      <c r="S1050" t="str">
        <f t="shared" si="701"/>
        <v>0,00</v>
      </c>
      <c r="T1050" t="str">
        <f t="shared" si="699"/>
        <v xml:space="preserve"> </v>
      </c>
      <c r="U1050" t="str">
        <f t="shared" si="703"/>
        <v>-</v>
      </c>
      <c r="V1050" t="str">
        <f>"3,000"</f>
        <v>3,000</v>
      </c>
      <c r="W1050" t="str">
        <f t="shared" si="682"/>
        <v>Lista 4</v>
      </c>
      <c r="X1050" t="str">
        <f t="shared" si="683"/>
        <v>Lista 5</v>
      </c>
      <c r="Y1050" t="str">
        <f t="shared" si="684"/>
        <v>Oferta Gral.</v>
      </c>
      <c r="Z1050" t="str">
        <f t="shared" si="685"/>
        <v>Rubro</v>
      </c>
      <c r="AA1050" t="str">
        <f t="shared" si="686"/>
        <v>Cantidad por Bulto</v>
      </c>
      <c r="AB1050" t="str">
        <f t="shared" si="687"/>
        <v>INNER</v>
      </c>
      <c r="AC1050" t="str">
        <f t="shared" si="688"/>
        <v>Stock en Bultos</v>
      </c>
      <c r="AD1050" t="str">
        <f t="shared" si="689"/>
        <v>SubDepósito</v>
      </c>
      <c r="AE1050" t="str">
        <f t="shared" si="690"/>
        <v>Marca</v>
      </c>
      <c r="AF1050" t="str">
        <f t="shared" si="691"/>
        <v>Super Rubro</v>
      </c>
      <c r="AG1050" t="str">
        <f t="shared" si="692"/>
        <v>ComercioExterior</v>
      </c>
      <c r="AH1050" t="str">
        <f t="shared" si="693"/>
        <v>PrecioFOB</v>
      </c>
      <c r="AI1050" t="str">
        <f t="shared" si="694"/>
        <v>Monto II</v>
      </c>
      <c r="AJ1050" t="str">
        <f t="shared" si="695"/>
        <v>Porcentaje II</v>
      </c>
      <c r="AK1050" t="str">
        <f t="shared" si="696"/>
        <v>Foto</v>
      </c>
      <c r="AL1050" t="str">
        <f t="shared" si="704"/>
        <v xml:space="preserve"> </v>
      </c>
      <c r="AM1050" t="str">
        <f t="shared" si="675"/>
        <v xml:space="preserve"> </v>
      </c>
    </row>
    <row r="1051" spans="1:39" x14ac:dyDescent="0.25">
      <c r="A1051" t="str">
        <f>"BI201 10"</f>
        <v>BI201 10</v>
      </c>
      <c r="B1051" t="str">
        <f>"COJINETES BIELA 0,25 FORD TAUNUS 2.0 2.3"</f>
        <v>COJINETES BIELA 0,25 FORD TAUNUS 2.0 2.3</v>
      </c>
      <c r="C1051" t="str">
        <f>"$ 16124,16"</f>
        <v>$ 16124,16</v>
      </c>
      <c r="D1051" t="str">
        <f>"$ 16124,16"</f>
        <v>$ 16124,16</v>
      </c>
      <c r="E1051" t="str">
        <f>"$ 16124,16"</f>
        <v>$ 16124,16</v>
      </c>
      <c r="F1051" t="str">
        <f>"$ 16124,16"</f>
        <v>$ 16124,16</v>
      </c>
      <c r="G1051" t="str">
        <f>"$ 16124,16"</f>
        <v>$ 16124,16</v>
      </c>
      <c r="H1051" t="str">
        <f t="shared" si="679"/>
        <v>$ 0,00</v>
      </c>
      <c r="I1051" t="str">
        <f t="shared" si="672"/>
        <v>JUEGO COJINETES BIELA</v>
      </c>
      <c r="J1051" t="str">
        <f t="shared" si="680"/>
        <v>1</v>
      </c>
      <c r="K1051" t="str">
        <f t="shared" si="702"/>
        <v>0</v>
      </c>
      <c r="L1051" t="str">
        <f>"3,000"</f>
        <v>3,000</v>
      </c>
      <c r="M1051" t="str">
        <f t="shared" si="681"/>
        <v xml:space="preserve"> </v>
      </c>
      <c r="N1051" t="str">
        <f t="shared" si="665"/>
        <v>MPSI</v>
      </c>
      <c r="O1051" t="str">
        <f t="shared" si="666"/>
        <v>COJINETES</v>
      </c>
      <c r="P1051" t="str">
        <f t="shared" si="700"/>
        <v>0</v>
      </c>
      <c r="Q1051" t="str">
        <f t="shared" si="700"/>
        <v>0</v>
      </c>
      <c r="R1051" t="str">
        <f t="shared" si="701"/>
        <v>0,00</v>
      </c>
      <c r="S1051" t="str">
        <f t="shared" si="701"/>
        <v>0,00</v>
      </c>
      <c r="T1051" t="str">
        <f t="shared" si="699"/>
        <v xml:space="preserve"> </v>
      </c>
      <c r="U1051" t="str">
        <f t="shared" si="703"/>
        <v>-</v>
      </c>
      <c r="V1051" t="str">
        <f>"3,000"</f>
        <v>3,000</v>
      </c>
      <c r="W1051" t="str">
        <f t="shared" si="682"/>
        <v>Lista 4</v>
      </c>
      <c r="X1051" t="str">
        <f t="shared" si="683"/>
        <v>Lista 5</v>
      </c>
      <c r="Y1051" t="str">
        <f t="shared" si="684"/>
        <v>Oferta Gral.</v>
      </c>
      <c r="Z1051" t="str">
        <f t="shared" si="685"/>
        <v>Rubro</v>
      </c>
      <c r="AA1051" t="str">
        <f t="shared" si="686"/>
        <v>Cantidad por Bulto</v>
      </c>
      <c r="AB1051" t="str">
        <f t="shared" si="687"/>
        <v>INNER</v>
      </c>
      <c r="AC1051" t="str">
        <f t="shared" si="688"/>
        <v>Stock en Bultos</v>
      </c>
      <c r="AD1051" t="str">
        <f t="shared" si="689"/>
        <v>SubDepósito</v>
      </c>
      <c r="AE1051" t="str">
        <f t="shared" si="690"/>
        <v>Marca</v>
      </c>
      <c r="AF1051" t="str">
        <f t="shared" si="691"/>
        <v>Super Rubro</v>
      </c>
      <c r="AG1051" t="str">
        <f t="shared" si="692"/>
        <v>ComercioExterior</v>
      </c>
      <c r="AH1051" t="str">
        <f t="shared" si="693"/>
        <v>PrecioFOB</v>
      </c>
      <c r="AI1051" t="str">
        <f t="shared" si="694"/>
        <v>Monto II</v>
      </c>
      <c r="AJ1051" t="str">
        <f t="shared" si="695"/>
        <v>Porcentaje II</v>
      </c>
      <c r="AK1051" t="str">
        <f t="shared" si="696"/>
        <v>Foto</v>
      </c>
      <c r="AL1051" t="str">
        <f t="shared" si="704"/>
        <v xml:space="preserve"> </v>
      </c>
      <c r="AM1051" t="str">
        <f t="shared" si="675"/>
        <v xml:space="preserve"> </v>
      </c>
    </row>
    <row r="1052" spans="1:39" x14ac:dyDescent="0.25">
      <c r="A1052" t="str">
        <f>"BI774 10"</f>
        <v>BI774 10</v>
      </c>
      <c r="B1052" t="str">
        <f>"COJINETES BIELA 0,25 FORD TRANSIT 2,5 DIESEL 2401E"</f>
        <v>COJINETES BIELA 0,25 FORD TRANSIT 2,5 DIESEL 2401E</v>
      </c>
      <c r="C1052" t="str">
        <f>"$ 22751,89"</f>
        <v>$ 22751,89</v>
      </c>
      <c r="D1052" t="str">
        <f>"$ 22751,89"</f>
        <v>$ 22751,89</v>
      </c>
      <c r="E1052" t="str">
        <f>"$ 22751,89"</f>
        <v>$ 22751,89</v>
      </c>
      <c r="F1052" t="str">
        <f>"$ 22751,89"</f>
        <v>$ 22751,89</v>
      </c>
      <c r="G1052" t="str">
        <f>"$ 22751,89"</f>
        <v>$ 22751,89</v>
      </c>
      <c r="H1052" t="str">
        <f t="shared" si="679"/>
        <v>$ 0,00</v>
      </c>
      <c r="I1052" t="str">
        <f t="shared" si="672"/>
        <v>JUEGO COJINETES BIELA</v>
      </c>
      <c r="J1052" t="str">
        <f t="shared" si="680"/>
        <v>1</v>
      </c>
      <c r="K1052" t="str">
        <f t="shared" si="702"/>
        <v>0</v>
      </c>
      <c r="L1052" t="str">
        <f>"3,000"</f>
        <v>3,000</v>
      </c>
      <c r="M1052" t="str">
        <f t="shared" si="681"/>
        <v xml:space="preserve"> </v>
      </c>
      <c r="N1052" t="str">
        <f t="shared" si="665"/>
        <v>MPSI</v>
      </c>
      <c r="O1052" t="str">
        <f t="shared" si="666"/>
        <v>COJINETES</v>
      </c>
      <c r="P1052" t="str">
        <f t="shared" si="700"/>
        <v>0</v>
      </c>
      <c r="Q1052" t="str">
        <f t="shared" si="700"/>
        <v>0</v>
      </c>
      <c r="R1052" t="str">
        <f t="shared" si="701"/>
        <v>0,00</v>
      </c>
      <c r="S1052" t="str">
        <f t="shared" si="701"/>
        <v>0,00</v>
      </c>
      <c r="T1052" t="str">
        <f t="shared" si="699"/>
        <v xml:space="preserve"> </v>
      </c>
      <c r="U1052" t="str">
        <f t="shared" si="703"/>
        <v>-</v>
      </c>
      <c r="V1052" t="str">
        <f>"3,000"</f>
        <v>3,000</v>
      </c>
      <c r="W1052" t="str">
        <f t="shared" si="682"/>
        <v>Lista 4</v>
      </c>
      <c r="X1052" t="str">
        <f t="shared" si="683"/>
        <v>Lista 5</v>
      </c>
      <c r="Y1052" t="str">
        <f t="shared" si="684"/>
        <v>Oferta Gral.</v>
      </c>
      <c r="Z1052" t="str">
        <f t="shared" si="685"/>
        <v>Rubro</v>
      </c>
      <c r="AA1052" t="str">
        <f t="shared" si="686"/>
        <v>Cantidad por Bulto</v>
      </c>
      <c r="AB1052" t="str">
        <f t="shared" si="687"/>
        <v>INNER</v>
      </c>
      <c r="AC1052" t="str">
        <f t="shared" si="688"/>
        <v>Stock en Bultos</v>
      </c>
      <c r="AD1052" t="str">
        <f t="shared" si="689"/>
        <v>SubDepósito</v>
      </c>
      <c r="AE1052" t="str">
        <f t="shared" si="690"/>
        <v>Marca</v>
      </c>
      <c r="AF1052" t="str">
        <f t="shared" si="691"/>
        <v>Super Rubro</v>
      </c>
      <c r="AG1052" t="str">
        <f t="shared" si="692"/>
        <v>ComercioExterior</v>
      </c>
      <c r="AH1052" t="str">
        <f t="shared" si="693"/>
        <v>PrecioFOB</v>
      </c>
      <c r="AI1052" t="str">
        <f t="shared" si="694"/>
        <v>Monto II</v>
      </c>
      <c r="AJ1052" t="str">
        <f t="shared" si="695"/>
        <v>Porcentaje II</v>
      </c>
      <c r="AK1052" t="str">
        <f t="shared" si="696"/>
        <v>Foto</v>
      </c>
      <c r="AL1052" t="str">
        <f t="shared" si="704"/>
        <v xml:space="preserve"> </v>
      </c>
      <c r="AM1052" t="str">
        <f t="shared" si="675"/>
        <v xml:space="preserve"> </v>
      </c>
    </row>
    <row r="1053" spans="1:39" x14ac:dyDescent="0.25">
      <c r="A1053" t="str">
        <f>"BI164211 10"</f>
        <v>BI164211 10</v>
      </c>
      <c r="B1053" t="str">
        <f>"COJINETES BIELA 0,25 FORD TRANSIT 2.4 MONDEO 2.2 TDCI"</f>
        <v>COJINETES BIELA 0,25 FORD TRANSIT 2.4 MONDEO 2.2 TDCI</v>
      </c>
      <c r="C1053" t="str">
        <f>"$ 16777,04"</f>
        <v>$ 16777,04</v>
      </c>
      <c r="D1053" t="str">
        <f>"$ 16777,04"</f>
        <v>$ 16777,04</v>
      </c>
      <c r="E1053" t="str">
        <f>"$ 16777,04"</f>
        <v>$ 16777,04</v>
      </c>
      <c r="F1053" t="str">
        <f>"$ 16777,04"</f>
        <v>$ 16777,04</v>
      </c>
      <c r="G1053" t="str">
        <f>"$ 16777,04"</f>
        <v>$ 16777,04</v>
      </c>
      <c r="H1053" t="str">
        <f t="shared" si="679"/>
        <v>$ 0,00</v>
      </c>
      <c r="I1053" t="str">
        <f t="shared" si="672"/>
        <v>JUEGO COJINETES BIELA</v>
      </c>
      <c r="J1053" t="str">
        <f t="shared" si="680"/>
        <v>1</v>
      </c>
      <c r="K1053" t="str">
        <f t="shared" si="702"/>
        <v>0</v>
      </c>
      <c r="L1053" t="str">
        <f>"3,000"</f>
        <v>3,000</v>
      </c>
      <c r="M1053" t="str">
        <f t="shared" si="681"/>
        <v xml:space="preserve"> </v>
      </c>
      <c r="N1053" t="str">
        <f t="shared" si="665"/>
        <v>MPSI</v>
      </c>
      <c r="O1053" t="str">
        <f t="shared" si="666"/>
        <v>COJINETES</v>
      </c>
      <c r="P1053" t="str">
        <f t="shared" si="700"/>
        <v>0</v>
      </c>
      <c r="Q1053" t="str">
        <f t="shared" si="700"/>
        <v>0</v>
      </c>
      <c r="R1053" t="str">
        <f t="shared" si="701"/>
        <v>0,00</v>
      </c>
      <c r="S1053" t="str">
        <f t="shared" si="701"/>
        <v>0,00</v>
      </c>
      <c r="T1053" t="str">
        <f t="shared" si="699"/>
        <v xml:space="preserve"> </v>
      </c>
      <c r="U1053" t="str">
        <f t="shared" si="703"/>
        <v>-</v>
      </c>
      <c r="V1053" t="str">
        <f>"3,000"</f>
        <v>3,000</v>
      </c>
      <c r="W1053" t="str">
        <f t="shared" si="682"/>
        <v>Lista 4</v>
      </c>
      <c r="X1053" t="str">
        <f t="shared" si="683"/>
        <v>Lista 5</v>
      </c>
      <c r="Y1053" t="str">
        <f t="shared" si="684"/>
        <v>Oferta Gral.</v>
      </c>
      <c r="Z1053" t="str">
        <f t="shared" si="685"/>
        <v>Rubro</v>
      </c>
      <c r="AA1053" t="str">
        <f t="shared" si="686"/>
        <v>Cantidad por Bulto</v>
      </c>
      <c r="AB1053" t="str">
        <f t="shared" si="687"/>
        <v>INNER</v>
      </c>
      <c r="AC1053" t="str">
        <f t="shared" si="688"/>
        <v>Stock en Bultos</v>
      </c>
      <c r="AD1053" t="str">
        <f t="shared" si="689"/>
        <v>SubDepósito</v>
      </c>
      <c r="AE1053" t="str">
        <f t="shared" si="690"/>
        <v>Marca</v>
      </c>
      <c r="AF1053" t="str">
        <f t="shared" si="691"/>
        <v>Super Rubro</v>
      </c>
      <c r="AG1053" t="str">
        <f t="shared" si="692"/>
        <v>ComercioExterior</v>
      </c>
      <c r="AH1053" t="str">
        <f t="shared" si="693"/>
        <v>PrecioFOB</v>
      </c>
      <c r="AI1053" t="str">
        <f t="shared" si="694"/>
        <v>Monto II</v>
      </c>
      <c r="AJ1053" t="str">
        <f t="shared" si="695"/>
        <v>Porcentaje II</v>
      </c>
      <c r="AK1053" t="str">
        <f t="shared" si="696"/>
        <v>Foto</v>
      </c>
      <c r="AL1053" t="str">
        <f t="shared" si="704"/>
        <v xml:space="preserve"> </v>
      </c>
      <c r="AM1053" t="str">
        <f t="shared" si="675"/>
        <v xml:space="preserve"> </v>
      </c>
    </row>
    <row r="1054" spans="1:39" x14ac:dyDescent="0.25">
      <c r="A1054" t="str">
        <f>"BI538 10"</f>
        <v>BI538 10</v>
      </c>
      <c r="B1054" t="str">
        <f>"COJINETES BIELA 0,25 HONDA 1600 MOTOR D16A1 D16A6 D16Y7 D16Y8"</f>
        <v>COJINETES BIELA 0,25 HONDA 1600 MOTOR D16A1 D16A6 D16Y7 D16Y8</v>
      </c>
      <c r="C1054" t="str">
        <f>"$ 14224,88"</f>
        <v>$ 14224,88</v>
      </c>
      <c r="D1054" t="str">
        <f>"$ 14224,88"</f>
        <v>$ 14224,88</v>
      </c>
      <c r="E1054" t="str">
        <f>"$ 14224,88"</f>
        <v>$ 14224,88</v>
      </c>
      <c r="F1054" t="str">
        <f>"$ 14224,88"</f>
        <v>$ 14224,88</v>
      </c>
      <c r="G1054" t="str">
        <f>"$ 14224,88"</f>
        <v>$ 14224,88</v>
      </c>
      <c r="H1054" t="str">
        <f t="shared" si="679"/>
        <v>$ 0,00</v>
      </c>
      <c r="I1054" t="str">
        <f t="shared" si="672"/>
        <v>JUEGO COJINETES BIELA</v>
      </c>
      <c r="J1054" t="str">
        <f t="shared" si="680"/>
        <v>1</v>
      </c>
      <c r="K1054" t="str">
        <f t="shared" si="702"/>
        <v>0</v>
      </c>
      <c r="L1054" t="str">
        <f>"4,000"</f>
        <v>4,000</v>
      </c>
      <c r="M1054" t="str">
        <f t="shared" si="681"/>
        <v xml:space="preserve"> </v>
      </c>
      <c r="N1054" t="str">
        <f t="shared" si="665"/>
        <v>MPSI</v>
      </c>
      <c r="O1054" t="str">
        <f t="shared" si="666"/>
        <v>COJINETES</v>
      </c>
      <c r="P1054" t="str">
        <f t="shared" si="700"/>
        <v>0</v>
      </c>
      <c r="Q1054" t="str">
        <f t="shared" si="700"/>
        <v>0</v>
      </c>
      <c r="R1054" t="str">
        <f t="shared" si="701"/>
        <v>0,00</v>
      </c>
      <c r="S1054" t="str">
        <f t="shared" si="701"/>
        <v>0,00</v>
      </c>
      <c r="T1054" t="str">
        <f t="shared" si="699"/>
        <v xml:space="preserve"> </v>
      </c>
      <c r="U1054" t="str">
        <f t="shared" si="703"/>
        <v>-</v>
      </c>
      <c r="V1054" t="str">
        <f>"4,000"</f>
        <v>4,000</v>
      </c>
      <c r="W1054" t="str">
        <f t="shared" si="682"/>
        <v>Lista 4</v>
      </c>
      <c r="X1054" t="str">
        <f t="shared" si="683"/>
        <v>Lista 5</v>
      </c>
      <c r="Y1054" t="str">
        <f t="shared" si="684"/>
        <v>Oferta Gral.</v>
      </c>
      <c r="Z1054" t="str">
        <f t="shared" si="685"/>
        <v>Rubro</v>
      </c>
      <c r="AA1054" t="str">
        <f t="shared" si="686"/>
        <v>Cantidad por Bulto</v>
      </c>
      <c r="AB1054" t="str">
        <f t="shared" si="687"/>
        <v>INNER</v>
      </c>
      <c r="AC1054" t="str">
        <f t="shared" si="688"/>
        <v>Stock en Bultos</v>
      </c>
      <c r="AD1054" t="str">
        <f t="shared" si="689"/>
        <v>SubDepósito</v>
      </c>
      <c r="AE1054" t="str">
        <f t="shared" si="690"/>
        <v>Marca</v>
      </c>
      <c r="AF1054" t="str">
        <f t="shared" si="691"/>
        <v>Super Rubro</v>
      </c>
      <c r="AG1054" t="str">
        <f t="shared" si="692"/>
        <v>ComercioExterior</v>
      </c>
      <c r="AH1054" t="str">
        <f t="shared" si="693"/>
        <v>PrecioFOB</v>
      </c>
      <c r="AI1054" t="str">
        <f t="shared" si="694"/>
        <v>Monto II</v>
      </c>
      <c r="AJ1054" t="str">
        <f t="shared" si="695"/>
        <v>Porcentaje II</v>
      </c>
      <c r="AK1054" t="str">
        <f t="shared" si="696"/>
        <v>Foto</v>
      </c>
      <c r="AL1054" t="str">
        <f t="shared" si="704"/>
        <v xml:space="preserve"> </v>
      </c>
      <c r="AM1054" t="str">
        <f t="shared" si="675"/>
        <v xml:space="preserve"> </v>
      </c>
    </row>
    <row r="1055" spans="1:39" x14ac:dyDescent="0.25">
      <c r="A1055" t="str">
        <f>"BI235 10"</f>
        <v>BI235 10</v>
      </c>
      <c r="B1055" t="str">
        <f>"COJINETES BIELA 0,25 IKA CONTINENTAL"</f>
        <v>COJINETES BIELA 0,25 IKA CONTINENTAL</v>
      </c>
      <c r="C1055" t="str">
        <f>"$ 31694,37"</f>
        <v>$ 31694,37</v>
      </c>
      <c r="D1055" t="str">
        <f>"$ 31694,37"</f>
        <v>$ 31694,37</v>
      </c>
      <c r="E1055" t="str">
        <f>"$ 31694,37"</f>
        <v>$ 31694,37</v>
      </c>
      <c r="F1055" t="str">
        <f>"$ 31694,37"</f>
        <v>$ 31694,37</v>
      </c>
      <c r="G1055" t="str">
        <f>"$ 31694,37"</f>
        <v>$ 31694,37</v>
      </c>
      <c r="H1055" t="str">
        <f t="shared" si="679"/>
        <v>$ 0,00</v>
      </c>
      <c r="I1055" t="str">
        <f t="shared" si="672"/>
        <v>JUEGO COJINETES BIELA</v>
      </c>
      <c r="J1055" t="str">
        <f t="shared" si="680"/>
        <v>1</v>
      </c>
      <c r="K1055" t="str">
        <f t="shared" si="702"/>
        <v>0</v>
      </c>
      <c r="L1055" t="str">
        <f>"0,000"</f>
        <v>0,000</v>
      </c>
      <c r="M1055" t="str">
        <f t="shared" si="681"/>
        <v xml:space="preserve"> </v>
      </c>
      <c r="N1055" t="str">
        <f t="shared" si="665"/>
        <v>MPSI</v>
      </c>
      <c r="O1055" t="str">
        <f t="shared" si="666"/>
        <v>COJINETES</v>
      </c>
      <c r="P1055" t="str">
        <f t="shared" si="700"/>
        <v>0</v>
      </c>
      <c r="Q1055" t="str">
        <f t="shared" si="700"/>
        <v>0</v>
      </c>
      <c r="R1055" t="str">
        <f t="shared" si="701"/>
        <v>0,00</v>
      </c>
      <c r="S1055" t="str">
        <f t="shared" si="701"/>
        <v>0,00</v>
      </c>
      <c r="T1055" t="str">
        <f t="shared" si="699"/>
        <v xml:space="preserve"> </v>
      </c>
      <c r="U1055" t="str">
        <f t="shared" si="703"/>
        <v>-</v>
      </c>
      <c r="V1055" t="str">
        <f>"0,000"</f>
        <v>0,000</v>
      </c>
      <c r="W1055" t="str">
        <f t="shared" si="682"/>
        <v>Lista 4</v>
      </c>
      <c r="X1055" t="str">
        <f t="shared" si="683"/>
        <v>Lista 5</v>
      </c>
      <c r="Y1055" t="str">
        <f t="shared" si="684"/>
        <v>Oferta Gral.</v>
      </c>
      <c r="Z1055" t="str">
        <f t="shared" si="685"/>
        <v>Rubro</v>
      </c>
      <c r="AA1055" t="str">
        <f t="shared" si="686"/>
        <v>Cantidad por Bulto</v>
      </c>
      <c r="AB1055" t="str">
        <f t="shared" si="687"/>
        <v>INNER</v>
      </c>
      <c r="AC1055" t="str">
        <f t="shared" si="688"/>
        <v>Stock en Bultos</v>
      </c>
      <c r="AD1055" t="str">
        <f t="shared" si="689"/>
        <v>SubDepósito</v>
      </c>
      <c r="AE1055" t="str">
        <f t="shared" si="690"/>
        <v>Marca</v>
      </c>
      <c r="AF1055" t="str">
        <f t="shared" si="691"/>
        <v>Super Rubro</v>
      </c>
      <c r="AG1055" t="str">
        <f t="shared" si="692"/>
        <v>ComercioExterior</v>
      </c>
      <c r="AH1055" t="str">
        <f t="shared" si="693"/>
        <v>PrecioFOB</v>
      </c>
      <c r="AI1055" t="str">
        <f t="shared" si="694"/>
        <v>Monto II</v>
      </c>
      <c r="AJ1055" t="str">
        <f t="shared" si="695"/>
        <v>Porcentaje II</v>
      </c>
      <c r="AK1055" t="str">
        <f t="shared" si="696"/>
        <v>Foto</v>
      </c>
      <c r="AL1055" t="str">
        <f t="shared" si="704"/>
        <v xml:space="preserve"> </v>
      </c>
      <c r="AM1055" t="str">
        <f t="shared" si="675"/>
        <v xml:space="preserve"> </v>
      </c>
    </row>
    <row r="1056" spans="1:39" x14ac:dyDescent="0.25">
      <c r="A1056" t="str">
        <f>"BI141 10"</f>
        <v>BI141 10</v>
      </c>
      <c r="B1056" t="str">
        <f>"COJINETES BIELA 0,25 IVECO DAILY 2.5 2.8"</f>
        <v>COJINETES BIELA 0,25 IVECO DAILY 2.5 2.8</v>
      </c>
      <c r="C1056" t="str">
        <f>"$ 27697,62"</f>
        <v>$ 27697,62</v>
      </c>
      <c r="D1056" t="str">
        <f>"$ 27697,62"</f>
        <v>$ 27697,62</v>
      </c>
      <c r="E1056" t="str">
        <f>"$ 27697,62"</f>
        <v>$ 27697,62</v>
      </c>
      <c r="F1056" t="str">
        <f>"$ 27697,62"</f>
        <v>$ 27697,62</v>
      </c>
      <c r="G1056" t="str">
        <f>"$ 27697,62"</f>
        <v>$ 27697,62</v>
      </c>
      <c r="H1056" t="str">
        <f t="shared" si="679"/>
        <v>$ 0,00</v>
      </c>
      <c r="I1056" t="str">
        <f t="shared" si="672"/>
        <v>JUEGO COJINETES BIELA</v>
      </c>
      <c r="J1056" t="str">
        <f t="shared" si="680"/>
        <v>1</v>
      </c>
      <c r="K1056" t="str">
        <f t="shared" si="702"/>
        <v>0</v>
      </c>
      <c r="L1056" t="str">
        <f>"6,000"</f>
        <v>6,000</v>
      </c>
      <c r="M1056" t="str">
        <f t="shared" si="681"/>
        <v xml:space="preserve"> </v>
      </c>
      <c r="N1056" t="str">
        <f t="shared" si="665"/>
        <v>MPSI</v>
      </c>
      <c r="O1056" t="str">
        <f t="shared" si="666"/>
        <v>COJINETES</v>
      </c>
      <c r="P1056" t="str">
        <f t="shared" si="700"/>
        <v>0</v>
      </c>
      <c r="Q1056" t="str">
        <f t="shared" si="700"/>
        <v>0</v>
      </c>
      <c r="R1056" t="str">
        <f t="shared" si="701"/>
        <v>0,00</v>
      </c>
      <c r="S1056" t="str">
        <f t="shared" si="701"/>
        <v>0,00</v>
      </c>
      <c r="T1056" t="str">
        <f t="shared" si="699"/>
        <v xml:space="preserve"> </v>
      </c>
      <c r="U1056" t="str">
        <f t="shared" si="703"/>
        <v>-</v>
      </c>
      <c r="V1056" t="str">
        <f>"6,000"</f>
        <v>6,000</v>
      </c>
      <c r="W1056" t="str">
        <f t="shared" si="682"/>
        <v>Lista 4</v>
      </c>
      <c r="X1056" t="str">
        <f t="shared" si="683"/>
        <v>Lista 5</v>
      </c>
      <c r="Y1056" t="str">
        <f t="shared" si="684"/>
        <v>Oferta Gral.</v>
      </c>
      <c r="Z1056" t="str">
        <f t="shared" si="685"/>
        <v>Rubro</v>
      </c>
      <c r="AA1056" t="str">
        <f t="shared" si="686"/>
        <v>Cantidad por Bulto</v>
      </c>
      <c r="AB1056" t="str">
        <f t="shared" si="687"/>
        <v>INNER</v>
      </c>
      <c r="AC1056" t="str">
        <f t="shared" si="688"/>
        <v>Stock en Bultos</v>
      </c>
      <c r="AD1056" t="str">
        <f t="shared" si="689"/>
        <v>SubDepósito</v>
      </c>
      <c r="AE1056" t="str">
        <f t="shared" si="690"/>
        <v>Marca</v>
      </c>
      <c r="AF1056" t="str">
        <f t="shared" si="691"/>
        <v>Super Rubro</v>
      </c>
      <c r="AG1056" t="str">
        <f t="shared" si="692"/>
        <v>ComercioExterior</v>
      </c>
      <c r="AH1056" t="str">
        <f t="shared" si="693"/>
        <v>PrecioFOB</v>
      </c>
      <c r="AI1056" t="str">
        <f t="shared" si="694"/>
        <v>Monto II</v>
      </c>
      <c r="AJ1056" t="str">
        <f t="shared" si="695"/>
        <v>Porcentaje II</v>
      </c>
      <c r="AK1056" t="str">
        <f t="shared" si="696"/>
        <v>Foto</v>
      </c>
      <c r="AL1056" t="str">
        <f t="shared" si="704"/>
        <v xml:space="preserve"> </v>
      </c>
      <c r="AM1056" t="str">
        <f t="shared" si="675"/>
        <v xml:space="preserve"> </v>
      </c>
    </row>
    <row r="1057" spans="1:39" x14ac:dyDescent="0.25">
      <c r="A1057" t="str">
        <f>"BI844 10"</f>
        <v>BI844 10</v>
      </c>
      <c r="B1057" t="str">
        <f>"COJINETES BIELA 0,25 MAXION 2.5 SPRINTER FORD F100 CHEVROLET S10"</f>
        <v>COJINETES BIELA 0,25 MAXION 2.5 SPRINTER FORD F100 CHEVROLET S10</v>
      </c>
      <c r="C1057" t="str">
        <f>"$ 25664,92"</f>
        <v>$ 25664,92</v>
      </c>
      <c r="D1057" t="str">
        <f>"$ 25664,92"</f>
        <v>$ 25664,92</v>
      </c>
      <c r="E1057" t="str">
        <f>"$ 25664,92"</f>
        <v>$ 25664,92</v>
      </c>
      <c r="F1057" t="str">
        <f>"$ 25664,92"</f>
        <v>$ 25664,92</v>
      </c>
      <c r="G1057" t="str">
        <f>"$ 25664,92"</f>
        <v>$ 25664,92</v>
      </c>
      <c r="H1057" t="str">
        <f t="shared" si="679"/>
        <v>$ 0,00</v>
      </c>
      <c r="I1057" t="str">
        <f t="shared" si="672"/>
        <v>JUEGO COJINETES BIELA</v>
      </c>
      <c r="J1057" t="str">
        <f t="shared" si="680"/>
        <v>1</v>
      </c>
      <c r="K1057" t="str">
        <f t="shared" si="702"/>
        <v>0</v>
      </c>
      <c r="L1057" t="str">
        <f>"8,000"</f>
        <v>8,000</v>
      </c>
      <c r="M1057" t="str">
        <f t="shared" si="681"/>
        <v xml:space="preserve"> </v>
      </c>
      <c r="N1057" t="str">
        <f t="shared" si="665"/>
        <v>MPSI</v>
      </c>
      <c r="O1057" t="str">
        <f t="shared" si="666"/>
        <v>COJINETES</v>
      </c>
      <c r="P1057" t="str">
        <f t="shared" si="700"/>
        <v>0</v>
      </c>
      <c r="Q1057" t="str">
        <f t="shared" si="700"/>
        <v>0</v>
      </c>
      <c r="R1057" t="str">
        <f t="shared" si="701"/>
        <v>0,00</v>
      </c>
      <c r="S1057" t="str">
        <f t="shared" si="701"/>
        <v>0,00</v>
      </c>
      <c r="T1057" t="str">
        <f t="shared" si="699"/>
        <v xml:space="preserve"> </v>
      </c>
      <c r="U1057" t="str">
        <f t="shared" si="703"/>
        <v>-</v>
      </c>
      <c r="V1057" t="str">
        <f>"8,000"</f>
        <v>8,000</v>
      </c>
      <c r="W1057" t="str">
        <f t="shared" si="682"/>
        <v>Lista 4</v>
      </c>
      <c r="X1057" t="str">
        <f t="shared" si="683"/>
        <v>Lista 5</v>
      </c>
      <c r="Y1057" t="str">
        <f t="shared" si="684"/>
        <v>Oferta Gral.</v>
      </c>
      <c r="Z1057" t="str">
        <f t="shared" si="685"/>
        <v>Rubro</v>
      </c>
      <c r="AA1057" t="str">
        <f t="shared" si="686"/>
        <v>Cantidad por Bulto</v>
      </c>
      <c r="AB1057" t="str">
        <f t="shared" si="687"/>
        <v>INNER</v>
      </c>
      <c r="AC1057" t="str">
        <f t="shared" si="688"/>
        <v>Stock en Bultos</v>
      </c>
      <c r="AD1057" t="str">
        <f t="shared" si="689"/>
        <v>SubDepósito</v>
      </c>
      <c r="AE1057" t="str">
        <f t="shared" si="690"/>
        <v>Marca</v>
      </c>
      <c r="AF1057" t="str">
        <f t="shared" si="691"/>
        <v>Super Rubro</v>
      </c>
      <c r="AG1057" t="str">
        <f t="shared" si="692"/>
        <v>ComercioExterior</v>
      </c>
      <c r="AH1057" t="str">
        <f t="shared" si="693"/>
        <v>PrecioFOB</v>
      </c>
      <c r="AI1057" t="str">
        <f t="shared" si="694"/>
        <v>Monto II</v>
      </c>
      <c r="AJ1057" t="str">
        <f t="shared" si="695"/>
        <v>Porcentaje II</v>
      </c>
      <c r="AK1057" t="str">
        <f t="shared" si="696"/>
        <v>Foto</v>
      </c>
      <c r="AL1057" t="str">
        <f t="shared" si="704"/>
        <v xml:space="preserve"> </v>
      </c>
      <c r="AM1057" t="str">
        <f t="shared" si="675"/>
        <v xml:space="preserve"> </v>
      </c>
    </row>
    <row r="1058" spans="1:39" x14ac:dyDescent="0.25">
      <c r="A1058" t="str">
        <f>"BI556 10"</f>
        <v>BI556 10</v>
      </c>
      <c r="B1058" t="str">
        <f>"COJINETES BIELA 0,25 MERCEDES SPRINTER OM611"</f>
        <v>COJINETES BIELA 0,25 MERCEDES SPRINTER OM611</v>
      </c>
      <c r="C1058" t="str">
        <f>"$ 24492,90"</f>
        <v>$ 24492,90</v>
      </c>
      <c r="D1058" t="str">
        <f>"$ 24492,90"</f>
        <v>$ 24492,90</v>
      </c>
      <c r="E1058" t="str">
        <f>"$ 24492,90"</f>
        <v>$ 24492,90</v>
      </c>
      <c r="F1058" t="str">
        <f>"$ 24492,90"</f>
        <v>$ 24492,90</v>
      </c>
      <c r="G1058" t="str">
        <f>"$ 24492,90"</f>
        <v>$ 24492,90</v>
      </c>
      <c r="H1058" t="str">
        <f t="shared" si="679"/>
        <v>$ 0,00</v>
      </c>
      <c r="I1058" t="str">
        <f t="shared" si="672"/>
        <v>JUEGO COJINETES BIELA</v>
      </c>
      <c r="J1058" t="str">
        <f t="shared" si="680"/>
        <v>1</v>
      </c>
      <c r="K1058" t="str">
        <f t="shared" si="702"/>
        <v>0</v>
      </c>
      <c r="L1058" t="str">
        <f>"5,000"</f>
        <v>5,000</v>
      </c>
      <c r="M1058" t="str">
        <f t="shared" si="681"/>
        <v xml:space="preserve"> </v>
      </c>
      <c r="N1058" t="str">
        <f t="shared" si="665"/>
        <v>MPSI</v>
      </c>
      <c r="O1058" t="str">
        <f t="shared" si="666"/>
        <v>COJINETES</v>
      </c>
      <c r="P1058" t="str">
        <f t="shared" si="700"/>
        <v>0</v>
      </c>
      <c r="Q1058" t="str">
        <f t="shared" si="700"/>
        <v>0</v>
      </c>
      <c r="R1058" t="str">
        <f t="shared" si="701"/>
        <v>0,00</v>
      </c>
      <c r="S1058" t="str">
        <f t="shared" si="701"/>
        <v>0,00</v>
      </c>
      <c r="T1058" t="str">
        <f t="shared" si="699"/>
        <v xml:space="preserve"> </v>
      </c>
      <c r="U1058" t="str">
        <f t="shared" si="703"/>
        <v>-</v>
      </c>
      <c r="V1058" t="str">
        <f>"5,000"</f>
        <v>5,000</v>
      </c>
      <c r="W1058" t="str">
        <f t="shared" si="682"/>
        <v>Lista 4</v>
      </c>
      <c r="X1058" t="str">
        <f t="shared" si="683"/>
        <v>Lista 5</v>
      </c>
      <c r="Y1058" t="str">
        <f t="shared" si="684"/>
        <v>Oferta Gral.</v>
      </c>
      <c r="Z1058" t="str">
        <f t="shared" si="685"/>
        <v>Rubro</v>
      </c>
      <c r="AA1058" t="str">
        <f t="shared" si="686"/>
        <v>Cantidad por Bulto</v>
      </c>
      <c r="AB1058" t="str">
        <f t="shared" si="687"/>
        <v>INNER</v>
      </c>
      <c r="AC1058" t="str">
        <f t="shared" si="688"/>
        <v>Stock en Bultos</v>
      </c>
      <c r="AD1058" t="str">
        <f t="shared" si="689"/>
        <v>SubDepósito</v>
      </c>
      <c r="AE1058" t="str">
        <f t="shared" si="690"/>
        <v>Marca</v>
      </c>
      <c r="AF1058" t="str">
        <f t="shared" si="691"/>
        <v>Super Rubro</v>
      </c>
      <c r="AG1058" t="str">
        <f t="shared" si="692"/>
        <v>ComercioExterior</v>
      </c>
      <c r="AH1058" t="str">
        <f t="shared" si="693"/>
        <v>PrecioFOB</v>
      </c>
      <c r="AI1058" t="str">
        <f t="shared" si="694"/>
        <v>Monto II</v>
      </c>
      <c r="AJ1058" t="str">
        <f t="shared" si="695"/>
        <v>Porcentaje II</v>
      </c>
      <c r="AK1058" t="str">
        <f t="shared" si="696"/>
        <v>Foto</v>
      </c>
      <c r="AL1058" t="str">
        <f t="shared" si="704"/>
        <v xml:space="preserve"> </v>
      </c>
      <c r="AM1058" t="str">
        <f t="shared" si="675"/>
        <v xml:space="preserve"> </v>
      </c>
    </row>
    <row r="1059" spans="1:39" x14ac:dyDescent="0.25">
      <c r="A1059" t="str">
        <f>"BI155 10"</f>
        <v>BI155 10</v>
      </c>
      <c r="B1059" t="str">
        <f>"COJINETES BIELA 0,25 MM FIAT MOBI MOTOR 1000 CC"</f>
        <v>COJINETES BIELA 0,25 MM FIAT MOBI MOTOR 1000 CC</v>
      </c>
      <c r="C1059" t="str">
        <f>"$ 45266,36"</f>
        <v>$ 45266,36</v>
      </c>
      <c r="D1059" t="str">
        <f>"$ 45266,36"</f>
        <v>$ 45266,36</v>
      </c>
      <c r="E1059" t="str">
        <f>"$ 45266,36"</f>
        <v>$ 45266,36</v>
      </c>
      <c r="F1059" t="str">
        <f>"$ 45266,36"</f>
        <v>$ 45266,36</v>
      </c>
      <c r="G1059" t="str">
        <f>"$ 45266,36"</f>
        <v>$ 45266,36</v>
      </c>
      <c r="H1059" t="str">
        <f t="shared" si="679"/>
        <v>$ 0,00</v>
      </c>
      <c r="I1059" t="str">
        <f t="shared" si="672"/>
        <v>JUEGO COJINETES BIELA</v>
      </c>
      <c r="J1059" t="str">
        <f t="shared" si="680"/>
        <v>1</v>
      </c>
      <c r="K1059" t="str">
        <f t="shared" si="702"/>
        <v>0</v>
      </c>
      <c r="L1059" t="str">
        <f>"2,000"</f>
        <v>2,000</v>
      </c>
      <c r="M1059" t="str">
        <f t="shared" si="681"/>
        <v xml:space="preserve"> </v>
      </c>
      <c r="N1059" t="str">
        <f t="shared" si="665"/>
        <v>MPSI</v>
      </c>
      <c r="O1059" t="str">
        <f t="shared" si="666"/>
        <v>COJINETES</v>
      </c>
      <c r="P1059" t="str">
        <f t="shared" si="700"/>
        <v>0</v>
      </c>
      <c r="Q1059" t="str">
        <f t="shared" si="700"/>
        <v>0</v>
      </c>
      <c r="R1059" t="str">
        <f t="shared" si="701"/>
        <v>0,00</v>
      </c>
      <c r="S1059" t="str">
        <f t="shared" si="701"/>
        <v>0,00</v>
      </c>
      <c r="T1059" t="str">
        <f t="shared" si="699"/>
        <v xml:space="preserve"> </v>
      </c>
      <c r="U1059" t="str">
        <f>" "</f>
        <v xml:space="preserve"> </v>
      </c>
      <c r="V1059" t="str">
        <f>"2,000"</f>
        <v>2,000</v>
      </c>
      <c r="W1059" t="str">
        <f t="shared" si="682"/>
        <v>Lista 4</v>
      </c>
      <c r="X1059" t="str">
        <f t="shared" si="683"/>
        <v>Lista 5</v>
      </c>
      <c r="Y1059" t="str">
        <f t="shared" si="684"/>
        <v>Oferta Gral.</v>
      </c>
      <c r="Z1059" t="str">
        <f t="shared" si="685"/>
        <v>Rubro</v>
      </c>
      <c r="AA1059" t="str">
        <f t="shared" si="686"/>
        <v>Cantidad por Bulto</v>
      </c>
      <c r="AB1059" t="str">
        <f t="shared" si="687"/>
        <v>INNER</v>
      </c>
      <c r="AC1059" t="str">
        <f t="shared" si="688"/>
        <v>Stock en Bultos</v>
      </c>
      <c r="AD1059" t="str">
        <f t="shared" si="689"/>
        <v>SubDepósito</v>
      </c>
      <c r="AE1059" t="str">
        <f t="shared" si="690"/>
        <v>Marca</v>
      </c>
      <c r="AF1059" t="str">
        <f t="shared" si="691"/>
        <v>Super Rubro</v>
      </c>
      <c r="AG1059" t="str">
        <f t="shared" si="692"/>
        <v>ComercioExterior</v>
      </c>
      <c r="AH1059" t="str">
        <f t="shared" si="693"/>
        <v>PrecioFOB</v>
      </c>
      <c r="AI1059" t="str">
        <f t="shared" si="694"/>
        <v>Monto II</v>
      </c>
      <c r="AJ1059" t="str">
        <f t="shared" si="695"/>
        <v>Porcentaje II</v>
      </c>
      <c r="AK1059" t="str">
        <f t="shared" si="696"/>
        <v>Foto</v>
      </c>
      <c r="AL1059" t="str">
        <f>"{\rtf1\ansi\ansicpg1252\deff0\deflang11274{\fonttbl{\f0\fnil\fcharset0 MS Sans Serif}} \viewkind4\uc1\pard\f0\fs16 COJINETES BIELA 0,25 MM FIAT MOBI MOTOR 1000 CC\par } "</f>
        <v xml:space="preserve">{\rtf1\ansi\ansicpg1252\deff0\deflang11274{\fonttbl{\f0\fnil\fcharset0 MS Sans Serif}} \viewkind4\uc1\pard\f0\fs16 COJINETES BIELA 0,25 MM FIAT MOBI MOTOR 1000 CC\par } </v>
      </c>
      <c r="AM1059" t="str">
        <f>"-"</f>
        <v>-</v>
      </c>
    </row>
    <row r="1060" spans="1:39" x14ac:dyDescent="0.25">
      <c r="A1060" t="str">
        <f>"BI388 10"</f>
        <v>BI388 10</v>
      </c>
      <c r="B1060" t="str">
        <f>"COJINETES BIELA 0,25 PERKINS 6-305"</f>
        <v>COJINETES BIELA 0,25 PERKINS 6-305</v>
      </c>
      <c r="C1060" t="str">
        <f>"$ 28656,13"</f>
        <v>$ 28656,13</v>
      </c>
      <c r="D1060" t="str">
        <f>"$ 28656,13"</f>
        <v>$ 28656,13</v>
      </c>
      <c r="E1060" t="str">
        <f>"$ 28656,13"</f>
        <v>$ 28656,13</v>
      </c>
      <c r="F1060" t="str">
        <f>"$ 28656,13"</f>
        <v>$ 28656,13</v>
      </c>
      <c r="G1060" t="str">
        <f>"$ 28656,13"</f>
        <v>$ 28656,13</v>
      </c>
      <c r="H1060" t="str">
        <f t="shared" si="679"/>
        <v>$ 0,00</v>
      </c>
      <c r="I1060" t="str">
        <f t="shared" si="672"/>
        <v>JUEGO COJINETES BIELA</v>
      </c>
      <c r="J1060" t="str">
        <f t="shared" si="680"/>
        <v>1</v>
      </c>
      <c r="K1060" t="str">
        <f t="shared" si="702"/>
        <v>0</v>
      </c>
      <c r="L1060" t="str">
        <f>"10,000"</f>
        <v>10,000</v>
      </c>
      <c r="M1060" t="str">
        <f t="shared" si="681"/>
        <v xml:space="preserve"> </v>
      </c>
      <c r="N1060" t="str">
        <f t="shared" si="665"/>
        <v>MPSI</v>
      </c>
      <c r="O1060" t="str">
        <f t="shared" si="666"/>
        <v>COJINETES</v>
      </c>
      <c r="P1060" t="str">
        <f t="shared" si="700"/>
        <v>0</v>
      </c>
      <c r="Q1060" t="str">
        <f t="shared" si="700"/>
        <v>0</v>
      </c>
      <c r="R1060" t="str">
        <f t="shared" si="701"/>
        <v>0,00</v>
      </c>
      <c r="S1060" t="str">
        <f t="shared" si="701"/>
        <v>0,00</v>
      </c>
      <c r="T1060" t="str">
        <f t="shared" si="699"/>
        <v xml:space="preserve"> </v>
      </c>
      <c r="U1060" t="str">
        <f t="shared" ref="U1060:U1091" si="705">"-"</f>
        <v>-</v>
      </c>
      <c r="V1060" t="str">
        <f>"10,000"</f>
        <v>10,000</v>
      </c>
      <c r="W1060" t="str">
        <f t="shared" si="682"/>
        <v>Lista 4</v>
      </c>
      <c r="X1060" t="str">
        <f t="shared" si="683"/>
        <v>Lista 5</v>
      </c>
      <c r="Y1060" t="str">
        <f t="shared" si="684"/>
        <v>Oferta Gral.</v>
      </c>
      <c r="Z1060" t="str">
        <f t="shared" si="685"/>
        <v>Rubro</v>
      </c>
      <c r="AA1060" t="str">
        <f t="shared" si="686"/>
        <v>Cantidad por Bulto</v>
      </c>
      <c r="AB1060" t="str">
        <f t="shared" si="687"/>
        <v>INNER</v>
      </c>
      <c r="AC1060" t="str">
        <f t="shared" si="688"/>
        <v>Stock en Bultos</v>
      </c>
      <c r="AD1060" t="str">
        <f t="shared" si="689"/>
        <v>SubDepósito</v>
      </c>
      <c r="AE1060" t="str">
        <f t="shared" si="690"/>
        <v>Marca</v>
      </c>
      <c r="AF1060" t="str">
        <f t="shared" si="691"/>
        <v>Super Rubro</v>
      </c>
      <c r="AG1060" t="str">
        <f t="shared" si="692"/>
        <v>ComercioExterior</v>
      </c>
      <c r="AH1060" t="str">
        <f t="shared" si="693"/>
        <v>PrecioFOB</v>
      </c>
      <c r="AI1060" t="str">
        <f t="shared" si="694"/>
        <v>Monto II</v>
      </c>
      <c r="AJ1060" t="str">
        <f t="shared" si="695"/>
        <v>Porcentaje II</v>
      </c>
      <c r="AK1060" t="str">
        <f t="shared" si="696"/>
        <v>Foto</v>
      </c>
      <c r="AL1060" t="str">
        <f>"{\rtf1\ansi\ansicpg1252\deff0\deflang2058{\fonttbl{\f0\fnil\fcharset0 MS Sans Serif}} \viewkind4\uc1\pard\f0\fs16 COJINETES BIELA 0,25 PERKINS 6-305\par } "</f>
        <v xml:space="preserve">{\rtf1\ansi\ansicpg1252\deff0\deflang2058{\fonttbl{\f0\fnil\fcharset0 MS Sans Serif}} \viewkind4\uc1\pard\f0\fs16 COJINETES BIELA 0,25 PERKINS 6-305\par } </v>
      </c>
      <c r="AM1060" t="str">
        <f t="shared" ref="AM1060:AM1091" si="706">" "</f>
        <v xml:space="preserve"> </v>
      </c>
    </row>
    <row r="1061" spans="1:39" x14ac:dyDescent="0.25">
      <c r="A1061" t="str">
        <f>"BI392 10"</f>
        <v>BI392 10</v>
      </c>
      <c r="B1061" t="str">
        <f>"COJINETES BIELA 0,25 PERKINS 6-354 FASE 2"</f>
        <v>COJINETES BIELA 0,25 PERKINS 6-354 FASE 2</v>
      </c>
      <c r="C1061" t="str">
        <f>"$ 32804,16"</f>
        <v>$ 32804,16</v>
      </c>
      <c r="D1061" t="str">
        <f>"$ 32804,16"</f>
        <v>$ 32804,16</v>
      </c>
      <c r="E1061" t="str">
        <f>"$ 32804,16"</f>
        <v>$ 32804,16</v>
      </c>
      <c r="F1061" t="str">
        <f>"$ 32804,16"</f>
        <v>$ 32804,16</v>
      </c>
      <c r="G1061" t="str">
        <f>"$ 32804,16"</f>
        <v>$ 32804,16</v>
      </c>
      <c r="H1061" t="str">
        <f t="shared" si="679"/>
        <v>$ 0,00</v>
      </c>
      <c r="I1061" t="str">
        <f t="shared" si="672"/>
        <v>JUEGO COJINETES BIELA</v>
      </c>
      <c r="J1061" t="str">
        <f t="shared" si="680"/>
        <v>1</v>
      </c>
      <c r="K1061" t="str">
        <f t="shared" si="702"/>
        <v>0</v>
      </c>
      <c r="L1061" t="str">
        <f>"8,000"</f>
        <v>8,000</v>
      </c>
      <c r="M1061" t="str">
        <f t="shared" si="681"/>
        <v xml:space="preserve"> </v>
      </c>
      <c r="N1061" t="str">
        <f t="shared" ref="N1061:N1124" si="707">"MPSI"</f>
        <v>MPSI</v>
      </c>
      <c r="O1061" t="str">
        <f t="shared" ref="O1061:O1124" si="708">"COJINETES"</f>
        <v>COJINETES</v>
      </c>
      <c r="P1061" t="str">
        <f t="shared" si="700"/>
        <v>0</v>
      </c>
      <c r="Q1061" t="str">
        <f t="shared" si="700"/>
        <v>0</v>
      </c>
      <c r="R1061" t="str">
        <f t="shared" si="701"/>
        <v>0,00</v>
      </c>
      <c r="S1061" t="str">
        <f t="shared" si="701"/>
        <v>0,00</v>
      </c>
      <c r="T1061" t="str">
        <f t="shared" si="699"/>
        <v xml:space="preserve"> </v>
      </c>
      <c r="U1061" t="str">
        <f t="shared" si="705"/>
        <v>-</v>
      </c>
      <c r="V1061" t="str">
        <f>"8,000"</f>
        <v>8,000</v>
      </c>
      <c r="W1061" t="str">
        <f t="shared" si="682"/>
        <v>Lista 4</v>
      </c>
      <c r="X1061" t="str">
        <f t="shared" si="683"/>
        <v>Lista 5</v>
      </c>
      <c r="Y1061" t="str">
        <f t="shared" si="684"/>
        <v>Oferta Gral.</v>
      </c>
      <c r="Z1061" t="str">
        <f t="shared" si="685"/>
        <v>Rubro</v>
      </c>
      <c r="AA1061" t="str">
        <f t="shared" si="686"/>
        <v>Cantidad por Bulto</v>
      </c>
      <c r="AB1061" t="str">
        <f t="shared" si="687"/>
        <v>INNER</v>
      </c>
      <c r="AC1061" t="str">
        <f t="shared" si="688"/>
        <v>Stock en Bultos</v>
      </c>
      <c r="AD1061" t="str">
        <f t="shared" si="689"/>
        <v>SubDepósito</v>
      </c>
      <c r="AE1061" t="str">
        <f t="shared" si="690"/>
        <v>Marca</v>
      </c>
      <c r="AF1061" t="str">
        <f t="shared" si="691"/>
        <v>Super Rubro</v>
      </c>
      <c r="AG1061" t="str">
        <f t="shared" si="692"/>
        <v>ComercioExterior</v>
      </c>
      <c r="AH1061" t="str">
        <f t="shared" si="693"/>
        <v>PrecioFOB</v>
      </c>
      <c r="AI1061" t="str">
        <f t="shared" si="694"/>
        <v>Monto II</v>
      </c>
      <c r="AJ1061" t="str">
        <f t="shared" si="695"/>
        <v>Porcentaje II</v>
      </c>
      <c r="AK1061" t="str">
        <f t="shared" si="696"/>
        <v>Foto</v>
      </c>
      <c r="AL1061" t="str">
        <f t="shared" ref="AL1061:AL1066" si="709">" "</f>
        <v xml:space="preserve"> </v>
      </c>
      <c r="AM1061" t="str">
        <f t="shared" si="706"/>
        <v xml:space="preserve"> </v>
      </c>
    </row>
    <row r="1062" spans="1:39" x14ac:dyDescent="0.25">
      <c r="A1062" t="str">
        <f>"BI364035 10"</f>
        <v>BI364035 10</v>
      </c>
      <c r="B1062" t="str">
        <f>"COJINETES BIELA 0,25 PEUGEOT CITROEN 1.6 16V TURBO THP"</f>
        <v>COJINETES BIELA 0,25 PEUGEOT CITROEN 1.6 16V TURBO THP</v>
      </c>
      <c r="C1062" t="str">
        <f>"$ 13512,64"</f>
        <v>$ 13512,64</v>
      </c>
      <c r="D1062" t="str">
        <f>"$ 13512,64"</f>
        <v>$ 13512,64</v>
      </c>
      <c r="E1062" t="str">
        <f>"$ 13512,64"</f>
        <v>$ 13512,64</v>
      </c>
      <c r="F1062" t="str">
        <f>"$ 13512,64"</f>
        <v>$ 13512,64</v>
      </c>
      <c r="G1062" t="str">
        <f>"$ 13512,64"</f>
        <v>$ 13512,64</v>
      </c>
      <c r="H1062" t="str">
        <f t="shared" si="679"/>
        <v>$ 0,00</v>
      </c>
      <c r="I1062" t="str">
        <f t="shared" si="672"/>
        <v>JUEGO COJINETES BIELA</v>
      </c>
      <c r="J1062" t="str">
        <f t="shared" si="680"/>
        <v>1</v>
      </c>
      <c r="K1062" t="str">
        <f t="shared" si="702"/>
        <v>0</v>
      </c>
      <c r="L1062" t="str">
        <f>"5,000"</f>
        <v>5,000</v>
      </c>
      <c r="M1062" t="str">
        <f t="shared" si="681"/>
        <v xml:space="preserve"> </v>
      </c>
      <c r="N1062" t="str">
        <f t="shared" si="707"/>
        <v>MPSI</v>
      </c>
      <c r="O1062" t="str">
        <f t="shared" si="708"/>
        <v>COJINETES</v>
      </c>
      <c r="P1062" t="str">
        <f t="shared" si="700"/>
        <v>0</v>
      </c>
      <c r="Q1062" t="str">
        <f t="shared" si="700"/>
        <v>0</v>
      </c>
      <c r="R1062" t="str">
        <f t="shared" si="701"/>
        <v>0,00</v>
      </c>
      <c r="S1062" t="str">
        <f t="shared" si="701"/>
        <v>0,00</v>
      </c>
      <c r="T1062" t="str">
        <f t="shared" si="699"/>
        <v xml:space="preserve"> </v>
      </c>
      <c r="U1062" t="str">
        <f t="shared" si="705"/>
        <v>-</v>
      </c>
      <c r="V1062" t="str">
        <f>"5,000"</f>
        <v>5,000</v>
      </c>
      <c r="W1062" t="str">
        <f t="shared" si="682"/>
        <v>Lista 4</v>
      </c>
      <c r="X1062" t="str">
        <f t="shared" si="683"/>
        <v>Lista 5</v>
      </c>
      <c r="Y1062" t="str">
        <f t="shared" si="684"/>
        <v>Oferta Gral.</v>
      </c>
      <c r="Z1062" t="str">
        <f t="shared" si="685"/>
        <v>Rubro</v>
      </c>
      <c r="AA1062" t="str">
        <f t="shared" si="686"/>
        <v>Cantidad por Bulto</v>
      </c>
      <c r="AB1062" t="str">
        <f t="shared" si="687"/>
        <v>INNER</v>
      </c>
      <c r="AC1062" t="str">
        <f t="shared" si="688"/>
        <v>Stock en Bultos</v>
      </c>
      <c r="AD1062" t="str">
        <f t="shared" si="689"/>
        <v>SubDepósito</v>
      </c>
      <c r="AE1062" t="str">
        <f t="shared" si="690"/>
        <v>Marca</v>
      </c>
      <c r="AF1062" t="str">
        <f t="shared" si="691"/>
        <v>Super Rubro</v>
      </c>
      <c r="AG1062" t="str">
        <f t="shared" si="692"/>
        <v>ComercioExterior</v>
      </c>
      <c r="AH1062" t="str">
        <f t="shared" si="693"/>
        <v>PrecioFOB</v>
      </c>
      <c r="AI1062" t="str">
        <f t="shared" si="694"/>
        <v>Monto II</v>
      </c>
      <c r="AJ1062" t="str">
        <f t="shared" si="695"/>
        <v>Porcentaje II</v>
      </c>
      <c r="AK1062" t="str">
        <f t="shared" si="696"/>
        <v>Foto</v>
      </c>
      <c r="AL1062" t="str">
        <f t="shared" si="709"/>
        <v xml:space="preserve"> </v>
      </c>
      <c r="AM1062" t="str">
        <f t="shared" si="706"/>
        <v xml:space="preserve"> </v>
      </c>
    </row>
    <row r="1063" spans="1:39" x14ac:dyDescent="0.25">
      <c r="A1063" t="str">
        <f>"BI241 10"</f>
        <v>BI241 10</v>
      </c>
      <c r="B1063" t="str">
        <f>"COJINETES BIELA 0,25 RENAULT 18 FUEGO TRAFIC 2.0"</f>
        <v>COJINETES BIELA 0,25 RENAULT 18 FUEGO TRAFIC 2.0</v>
      </c>
      <c r="C1063" t="str">
        <f>"$ 16519,85"</f>
        <v>$ 16519,85</v>
      </c>
      <c r="D1063" t="str">
        <f>"$ 16519,85"</f>
        <v>$ 16519,85</v>
      </c>
      <c r="E1063" t="str">
        <f>"$ 16519,85"</f>
        <v>$ 16519,85</v>
      </c>
      <c r="F1063" t="str">
        <f>"$ 16519,85"</f>
        <v>$ 16519,85</v>
      </c>
      <c r="G1063" t="str">
        <f>"$ 16519,85"</f>
        <v>$ 16519,85</v>
      </c>
      <c r="H1063" t="str">
        <f t="shared" si="679"/>
        <v>$ 0,00</v>
      </c>
      <c r="I1063" t="str">
        <f t="shared" si="672"/>
        <v>JUEGO COJINETES BIELA</v>
      </c>
      <c r="J1063" t="str">
        <f t="shared" si="680"/>
        <v>1</v>
      </c>
      <c r="K1063" t="str">
        <f t="shared" si="702"/>
        <v>0</v>
      </c>
      <c r="L1063" t="str">
        <f>"9,000"</f>
        <v>9,000</v>
      </c>
      <c r="M1063" t="str">
        <f t="shared" si="681"/>
        <v xml:space="preserve"> </v>
      </c>
      <c r="N1063" t="str">
        <f t="shared" si="707"/>
        <v>MPSI</v>
      </c>
      <c r="O1063" t="str">
        <f t="shared" si="708"/>
        <v>COJINETES</v>
      </c>
      <c r="P1063" t="str">
        <f t="shared" ref="P1063:Q1082" si="710">"0"</f>
        <v>0</v>
      </c>
      <c r="Q1063" t="str">
        <f t="shared" si="710"/>
        <v>0</v>
      </c>
      <c r="R1063" t="str">
        <f t="shared" ref="R1063:S1082" si="711">"0,00"</f>
        <v>0,00</v>
      </c>
      <c r="S1063" t="str">
        <f t="shared" si="711"/>
        <v>0,00</v>
      </c>
      <c r="T1063" t="str">
        <f t="shared" si="699"/>
        <v xml:space="preserve"> </v>
      </c>
      <c r="U1063" t="str">
        <f t="shared" si="705"/>
        <v>-</v>
      </c>
      <c r="V1063" t="str">
        <f>"9,000"</f>
        <v>9,000</v>
      </c>
      <c r="W1063" t="str">
        <f t="shared" si="682"/>
        <v>Lista 4</v>
      </c>
      <c r="X1063" t="str">
        <f t="shared" si="683"/>
        <v>Lista 5</v>
      </c>
      <c r="Y1063" t="str">
        <f t="shared" si="684"/>
        <v>Oferta Gral.</v>
      </c>
      <c r="Z1063" t="str">
        <f t="shared" si="685"/>
        <v>Rubro</v>
      </c>
      <c r="AA1063" t="str">
        <f t="shared" si="686"/>
        <v>Cantidad por Bulto</v>
      </c>
      <c r="AB1063" t="str">
        <f t="shared" si="687"/>
        <v>INNER</v>
      </c>
      <c r="AC1063" t="str">
        <f t="shared" si="688"/>
        <v>Stock en Bultos</v>
      </c>
      <c r="AD1063" t="str">
        <f t="shared" si="689"/>
        <v>SubDepósito</v>
      </c>
      <c r="AE1063" t="str">
        <f t="shared" si="690"/>
        <v>Marca</v>
      </c>
      <c r="AF1063" t="str">
        <f t="shared" si="691"/>
        <v>Super Rubro</v>
      </c>
      <c r="AG1063" t="str">
        <f t="shared" si="692"/>
        <v>ComercioExterior</v>
      </c>
      <c r="AH1063" t="str">
        <f t="shared" si="693"/>
        <v>PrecioFOB</v>
      </c>
      <c r="AI1063" t="str">
        <f t="shared" si="694"/>
        <v>Monto II</v>
      </c>
      <c r="AJ1063" t="str">
        <f t="shared" si="695"/>
        <v>Porcentaje II</v>
      </c>
      <c r="AK1063" t="str">
        <f t="shared" si="696"/>
        <v>Foto</v>
      </c>
      <c r="AL1063" t="str">
        <f t="shared" si="709"/>
        <v xml:space="preserve"> </v>
      </c>
      <c r="AM1063" t="str">
        <f t="shared" si="706"/>
        <v xml:space="preserve"> </v>
      </c>
    </row>
    <row r="1064" spans="1:39" x14ac:dyDescent="0.25">
      <c r="A1064" t="str">
        <f>"BI244 10"</f>
        <v>BI244 10</v>
      </c>
      <c r="B1064" t="str">
        <f>"COJINETES BIELA 0,25 RENAULT 18 FUEGO TRAFIC 2.D NAFTA Y DIESEL"</f>
        <v>COJINETES BIELA 0,25 RENAULT 18 FUEGO TRAFIC 2.D NAFTA Y DIESEL</v>
      </c>
      <c r="C1064" t="str">
        <f>"$ 18043,24"</f>
        <v>$ 18043,24</v>
      </c>
      <c r="D1064" t="str">
        <f>"$ 18043,24"</f>
        <v>$ 18043,24</v>
      </c>
      <c r="E1064" t="str">
        <f>"$ 18043,24"</f>
        <v>$ 18043,24</v>
      </c>
      <c r="F1064" t="str">
        <f>"$ 18043,24"</f>
        <v>$ 18043,24</v>
      </c>
      <c r="G1064" t="str">
        <f>"$ 18043,24"</f>
        <v>$ 18043,24</v>
      </c>
      <c r="H1064" t="str">
        <f t="shared" si="679"/>
        <v>$ 0,00</v>
      </c>
      <c r="I1064" t="str">
        <f t="shared" si="672"/>
        <v>JUEGO COJINETES BIELA</v>
      </c>
      <c r="J1064" t="str">
        <f t="shared" si="680"/>
        <v>1</v>
      </c>
      <c r="K1064" t="str">
        <f t="shared" si="702"/>
        <v>0</v>
      </c>
      <c r="L1064" t="str">
        <f>"7,000"</f>
        <v>7,000</v>
      </c>
      <c r="M1064" t="str">
        <f t="shared" si="681"/>
        <v xml:space="preserve"> </v>
      </c>
      <c r="N1064" t="str">
        <f t="shared" si="707"/>
        <v>MPSI</v>
      </c>
      <c r="O1064" t="str">
        <f t="shared" si="708"/>
        <v>COJINETES</v>
      </c>
      <c r="P1064" t="str">
        <f t="shared" si="710"/>
        <v>0</v>
      </c>
      <c r="Q1064" t="str">
        <f t="shared" si="710"/>
        <v>0</v>
      </c>
      <c r="R1064" t="str">
        <f t="shared" si="711"/>
        <v>0,00</v>
      </c>
      <c r="S1064" t="str">
        <f t="shared" si="711"/>
        <v>0,00</v>
      </c>
      <c r="T1064" t="str">
        <f t="shared" si="699"/>
        <v xml:space="preserve"> </v>
      </c>
      <c r="U1064" t="str">
        <f t="shared" si="705"/>
        <v>-</v>
      </c>
      <c r="V1064" t="str">
        <f>"7,000"</f>
        <v>7,000</v>
      </c>
      <c r="W1064" t="str">
        <f t="shared" si="682"/>
        <v>Lista 4</v>
      </c>
      <c r="X1064" t="str">
        <f t="shared" si="683"/>
        <v>Lista 5</v>
      </c>
      <c r="Y1064" t="str">
        <f t="shared" si="684"/>
        <v>Oferta Gral.</v>
      </c>
      <c r="Z1064" t="str">
        <f t="shared" si="685"/>
        <v>Rubro</v>
      </c>
      <c r="AA1064" t="str">
        <f t="shared" si="686"/>
        <v>Cantidad por Bulto</v>
      </c>
      <c r="AB1064" t="str">
        <f t="shared" si="687"/>
        <v>INNER</v>
      </c>
      <c r="AC1064" t="str">
        <f t="shared" si="688"/>
        <v>Stock en Bultos</v>
      </c>
      <c r="AD1064" t="str">
        <f t="shared" si="689"/>
        <v>SubDepósito</v>
      </c>
      <c r="AE1064" t="str">
        <f t="shared" si="690"/>
        <v>Marca</v>
      </c>
      <c r="AF1064" t="str">
        <f t="shared" si="691"/>
        <v>Super Rubro</v>
      </c>
      <c r="AG1064" t="str">
        <f t="shared" si="692"/>
        <v>ComercioExterior</v>
      </c>
      <c r="AH1064" t="str">
        <f t="shared" si="693"/>
        <v>PrecioFOB</v>
      </c>
      <c r="AI1064" t="str">
        <f t="shared" si="694"/>
        <v>Monto II</v>
      </c>
      <c r="AJ1064" t="str">
        <f t="shared" si="695"/>
        <v>Porcentaje II</v>
      </c>
      <c r="AK1064" t="str">
        <f t="shared" si="696"/>
        <v>Foto</v>
      </c>
      <c r="AL1064" t="str">
        <f t="shared" si="709"/>
        <v xml:space="preserve"> </v>
      </c>
      <c r="AM1064" t="str">
        <f t="shared" si="706"/>
        <v xml:space="preserve"> </v>
      </c>
    </row>
    <row r="1065" spans="1:39" x14ac:dyDescent="0.25">
      <c r="A1065" t="str">
        <f>"BI247 10"</f>
        <v>BI247 10</v>
      </c>
      <c r="B1065" t="str">
        <f>"COJINETES BIELA 0,25 RENAULT 19 CLIO 1.9 DIESEL F8Q  CON TRABA"</f>
        <v>COJINETES BIELA 0,25 RENAULT 19 CLIO 1.9 DIESEL F8Q  CON TRABA</v>
      </c>
      <c r="C1065" t="str">
        <f>"$ 16064,81"</f>
        <v>$ 16064,81</v>
      </c>
      <c r="D1065" t="str">
        <f>"$ 16064,81"</f>
        <v>$ 16064,81</v>
      </c>
      <c r="E1065" t="str">
        <f>"$ 16064,81"</f>
        <v>$ 16064,81</v>
      </c>
      <c r="F1065" t="str">
        <f>"$ 16064,81"</f>
        <v>$ 16064,81</v>
      </c>
      <c r="G1065" t="str">
        <f>"$ 16064,81"</f>
        <v>$ 16064,81</v>
      </c>
      <c r="H1065" t="str">
        <f t="shared" si="679"/>
        <v>$ 0,00</v>
      </c>
      <c r="I1065" t="str">
        <f t="shared" si="672"/>
        <v>JUEGO COJINETES BIELA</v>
      </c>
      <c r="J1065" t="str">
        <f t="shared" si="680"/>
        <v>1</v>
      </c>
      <c r="K1065" t="str">
        <f t="shared" si="702"/>
        <v>0</v>
      </c>
      <c r="L1065" t="str">
        <f>"13,000"</f>
        <v>13,000</v>
      </c>
      <c r="M1065" t="str">
        <f t="shared" si="681"/>
        <v xml:space="preserve"> </v>
      </c>
      <c r="N1065" t="str">
        <f t="shared" si="707"/>
        <v>MPSI</v>
      </c>
      <c r="O1065" t="str">
        <f t="shared" si="708"/>
        <v>COJINETES</v>
      </c>
      <c r="P1065" t="str">
        <f t="shared" si="710"/>
        <v>0</v>
      </c>
      <c r="Q1065" t="str">
        <f t="shared" si="710"/>
        <v>0</v>
      </c>
      <c r="R1065" t="str">
        <f t="shared" si="711"/>
        <v>0,00</v>
      </c>
      <c r="S1065" t="str">
        <f t="shared" si="711"/>
        <v>0,00</v>
      </c>
      <c r="T1065" t="str">
        <f t="shared" si="699"/>
        <v xml:space="preserve"> </v>
      </c>
      <c r="U1065" t="str">
        <f t="shared" si="705"/>
        <v>-</v>
      </c>
      <c r="V1065" t="str">
        <f>"13,000"</f>
        <v>13,000</v>
      </c>
      <c r="W1065" t="str">
        <f t="shared" si="682"/>
        <v>Lista 4</v>
      </c>
      <c r="X1065" t="str">
        <f t="shared" si="683"/>
        <v>Lista 5</v>
      </c>
      <c r="Y1065" t="str">
        <f t="shared" si="684"/>
        <v>Oferta Gral.</v>
      </c>
      <c r="Z1065" t="str">
        <f t="shared" si="685"/>
        <v>Rubro</v>
      </c>
      <c r="AA1065" t="str">
        <f t="shared" si="686"/>
        <v>Cantidad por Bulto</v>
      </c>
      <c r="AB1065" t="str">
        <f t="shared" si="687"/>
        <v>INNER</v>
      </c>
      <c r="AC1065" t="str">
        <f t="shared" si="688"/>
        <v>Stock en Bultos</v>
      </c>
      <c r="AD1065" t="str">
        <f t="shared" si="689"/>
        <v>SubDepósito</v>
      </c>
      <c r="AE1065" t="str">
        <f t="shared" si="690"/>
        <v>Marca</v>
      </c>
      <c r="AF1065" t="str">
        <f t="shared" si="691"/>
        <v>Super Rubro</v>
      </c>
      <c r="AG1065" t="str">
        <f t="shared" si="692"/>
        <v>ComercioExterior</v>
      </c>
      <c r="AH1065" t="str">
        <f t="shared" si="693"/>
        <v>PrecioFOB</v>
      </c>
      <c r="AI1065" t="str">
        <f t="shared" si="694"/>
        <v>Monto II</v>
      </c>
      <c r="AJ1065" t="str">
        <f t="shared" si="695"/>
        <v>Porcentaje II</v>
      </c>
      <c r="AK1065" t="str">
        <f t="shared" si="696"/>
        <v>Foto</v>
      </c>
      <c r="AL1065" t="str">
        <f t="shared" si="709"/>
        <v xml:space="preserve"> </v>
      </c>
      <c r="AM1065" t="str">
        <f t="shared" si="706"/>
        <v xml:space="preserve"> </v>
      </c>
    </row>
    <row r="1066" spans="1:39" x14ac:dyDescent="0.25">
      <c r="A1066" t="str">
        <f>"BI243 10"</f>
        <v>BI243 10</v>
      </c>
      <c r="B1066" t="str">
        <f>"COJINETES BIELA 0,25 RENAULT 19 KANGOO 1.9 DIESEL F8Q  SIN TRABA"</f>
        <v>COJINETES BIELA 0,25 RENAULT 19 KANGOO 1.9 DIESEL F8Q  SIN TRABA</v>
      </c>
      <c r="C1066" t="str">
        <f>"$ 13005,98"</f>
        <v>$ 13005,98</v>
      </c>
      <c r="D1066" t="str">
        <f>"$ 13005,98"</f>
        <v>$ 13005,98</v>
      </c>
      <c r="E1066" t="str">
        <f>"$ 13005,98"</f>
        <v>$ 13005,98</v>
      </c>
      <c r="F1066" t="str">
        <f>"$ 13005,98"</f>
        <v>$ 13005,98</v>
      </c>
      <c r="G1066" t="str">
        <f>"$ 13005,98"</f>
        <v>$ 13005,98</v>
      </c>
      <c r="H1066" t="str">
        <f t="shared" si="679"/>
        <v>$ 0,00</v>
      </c>
      <c r="I1066" t="str">
        <f t="shared" si="672"/>
        <v>JUEGO COJINETES BIELA</v>
      </c>
      <c r="J1066" t="str">
        <f t="shared" si="680"/>
        <v>1</v>
      </c>
      <c r="K1066" t="str">
        <f t="shared" si="702"/>
        <v>0</v>
      </c>
      <c r="L1066" t="str">
        <f>"10,000"</f>
        <v>10,000</v>
      </c>
      <c r="M1066" t="str">
        <f t="shared" si="681"/>
        <v xml:space="preserve"> </v>
      </c>
      <c r="N1066" t="str">
        <f t="shared" si="707"/>
        <v>MPSI</v>
      </c>
      <c r="O1066" t="str">
        <f t="shared" si="708"/>
        <v>COJINETES</v>
      </c>
      <c r="P1066" t="str">
        <f t="shared" si="710"/>
        <v>0</v>
      </c>
      <c r="Q1066" t="str">
        <f t="shared" si="710"/>
        <v>0</v>
      </c>
      <c r="R1066" t="str">
        <f t="shared" si="711"/>
        <v>0,00</v>
      </c>
      <c r="S1066" t="str">
        <f t="shared" si="711"/>
        <v>0,00</v>
      </c>
      <c r="T1066" t="str">
        <f t="shared" si="699"/>
        <v xml:space="preserve"> </v>
      </c>
      <c r="U1066" t="str">
        <f t="shared" si="705"/>
        <v>-</v>
      </c>
      <c r="V1066" t="str">
        <f>"10,000"</f>
        <v>10,000</v>
      </c>
      <c r="W1066" t="str">
        <f t="shared" si="682"/>
        <v>Lista 4</v>
      </c>
      <c r="X1066" t="str">
        <f t="shared" si="683"/>
        <v>Lista 5</v>
      </c>
      <c r="Y1066" t="str">
        <f t="shared" si="684"/>
        <v>Oferta Gral.</v>
      </c>
      <c r="Z1066" t="str">
        <f t="shared" si="685"/>
        <v>Rubro</v>
      </c>
      <c r="AA1066" t="str">
        <f t="shared" si="686"/>
        <v>Cantidad por Bulto</v>
      </c>
      <c r="AB1066" t="str">
        <f t="shared" si="687"/>
        <v>INNER</v>
      </c>
      <c r="AC1066" t="str">
        <f t="shared" si="688"/>
        <v>Stock en Bultos</v>
      </c>
      <c r="AD1066" t="str">
        <f t="shared" si="689"/>
        <v>SubDepósito</v>
      </c>
      <c r="AE1066" t="str">
        <f t="shared" si="690"/>
        <v>Marca</v>
      </c>
      <c r="AF1066" t="str">
        <f t="shared" si="691"/>
        <v>Super Rubro</v>
      </c>
      <c r="AG1066" t="str">
        <f t="shared" si="692"/>
        <v>ComercioExterior</v>
      </c>
      <c r="AH1066" t="str">
        <f t="shared" si="693"/>
        <v>PrecioFOB</v>
      </c>
      <c r="AI1066" t="str">
        <f t="shared" si="694"/>
        <v>Monto II</v>
      </c>
      <c r="AJ1066" t="str">
        <f t="shared" si="695"/>
        <v>Porcentaje II</v>
      </c>
      <c r="AK1066" t="str">
        <f t="shared" si="696"/>
        <v>Foto</v>
      </c>
      <c r="AL1066" t="str">
        <f t="shared" si="709"/>
        <v xml:space="preserve"> </v>
      </c>
      <c r="AM1066" t="str">
        <f t="shared" si="706"/>
        <v xml:space="preserve"> </v>
      </c>
    </row>
    <row r="1067" spans="1:39" x14ac:dyDescent="0.25">
      <c r="A1067" t="str">
        <f>"BI237 10"</f>
        <v>BI237 10</v>
      </c>
      <c r="B1067" t="str">
        <f>"COJINETES BIELA 0,25 RENAULT 4 6 9 11 18 19 CLIO 1.3 1.4 1.6 8V"</f>
        <v>COJINETES BIELA 0,25 RENAULT 4 6 9 11 18 19 CLIO 1.3 1.4 1.6 8V</v>
      </c>
      <c r="C1067" t="str">
        <f>"$ 11882,21"</f>
        <v>$ 11882,21</v>
      </c>
      <c r="D1067" t="str">
        <f>"$ 11882,21"</f>
        <v>$ 11882,21</v>
      </c>
      <c r="E1067" t="str">
        <f>"$ 11882,21"</f>
        <v>$ 11882,21</v>
      </c>
      <c r="F1067" t="str">
        <f>"$ 11882,21"</f>
        <v>$ 11882,21</v>
      </c>
      <c r="G1067" t="str">
        <f>"$ 11882,21"</f>
        <v>$ 11882,21</v>
      </c>
      <c r="H1067" t="str">
        <f t="shared" si="679"/>
        <v>$ 0,00</v>
      </c>
      <c r="I1067" t="str">
        <f t="shared" si="672"/>
        <v>JUEGO COJINETES BIELA</v>
      </c>
      <c r="J1067" t="str">
        <f t="shared" si="680"/>
        <v>1</v>
      </c>
      <c r="K1067" t="str">
        <f t="shared" si="702"/>
        <v>0</v>
      </c>
      <c r="L1067" t="str">
        <f>"52,000"</f>
        <v>52,000</v>
      </c>
      <c r="M1067" t="str">
        <f t="shared" si="681"/>
        <v xml:space="preserve"> </v>
      </c>
      <c r="N1067" t="str">
        <f t="shared" si="707"/>
        <v>MPSI</v>
      </c>
      <c r="O1067" t="str">
        <f t="shared" si="708"/>
        <v>COJINETES</v>
      </c>
      <c r="P1067" t="str">
        <f t="shared" si="710"/>
        <v>0</v>
      </c>
      <c r="Q1067" t="str">
        <f t="shared" si="710"/>
        <v>0</v>
      </c>
      <c r="R1067" t="str">
        <f t="shared" si="711"/>
        <v>0,00</v>
      </c>
      <c r="S1067" t="str">
        <f t="shared" si="711"/>
        <v>0,00</v>
      </c>
      <c r="T1067" t="str">
        <f t="shared" si="699"/>
        <v xml:space="preserve"> </v>
      </c>
      <c r="U1067" t="str">
        <f t="shared" si="705"/>
        <v>-</v>
      </c>
      <c r="V1067" t="str">
        <f>"52,000"</f>
        <v>52,000</v>
      </c>
      <c r="W1067" t="str">
        <f t="shared" si="682"/>
        <v>Lista 4</v>
      </c>
      <c r="X1067" t="str">
        <f t="shared" si="683"/>
        <v>Lista 5</v>
      </c>
      <c r="Y1067" t="str">
        <f t="shared" si="684"/>
        <v>Oferta Gral.</v>
      </c>
      <c r="Z1067" t="str">
        <f t="shared" si="685"/>
        <v>Rubro</v>
      </c>
      <c r="AA1067" t="str">
        <f t="shared" si="686"/>
        <v>Cantidad por Bulto</v>
      </c>
      <c r="AB1067" t="str">
        <f t="shared" si="687"/>
        <v>INNER</v>
      </c>
      <c r="AC1067" t="str">
        <f t="shared" si="688"/>
        <v>Stock en Bultos</v>
      </c>
      <c r="AD1067" t="str">
        <f t="shared" si="689"/>
        <v>SubDepósito</v>
      </c>
      <c r="AE1067" t="str">
        <f t="shared" si="690"/>
        <v>Marca</v>
      </c>
      <c r="AF1067" t="str">
        <f t="shared" si="691"/>
        <v>Super Rubro</v>
      </c>
      <c r="AG1067" t="str">
        <f t="shared" si="692"/>
        <v>ComercioExterior</v>
      </c>
      <c r="AH1067" t="str">
        <f t="shared" si="693"/>
        <v>PrecioFOB</v>
      </c>
      <c r="AI1067" t="str">
        <f t="shared" si="694"/>
        <v>Monto II</v>
      </c>
      <c r="AJ1067" t="str">
        <f t="shared" si="695"/>
        <v>Porcentaje II</v>
      </c>
      <c r="AK1067" t="str">
        <f t="shared" si="696"/>
        <v>Foto</v>
      </c>
      <c r="AL1067" t="str">
        <f>"{\rtf1\ansi\ansicpg1252\deff0\deflang2058{\fonttbl{\f0\fnil\fcharset0 MS Sans Serif}} \viewkind4\uc1\pard\f0\fs16 COJINETES BIELA 0,25 RENAULT 4 6 9 11 18 19 CLIO 1.3 1.4 1.6 8V\par } "</f>
        <v xml:space="preserve">{\rtf1\ansi\ansicpg1252\deff0\deflang2058{\fonttbl{\f0\fnil\fcharset0 MS Sans Serif}} \viewkind4\uc1\pard\f0\fs16 COJINETES BIELA 0,25 RENAULT 4 6 9 11 18 19 CLIO 1.3 1.4 1.6 8V\par } </v>
      </c>
      <c r="AM1067" t="str">
        <f t="shared" si="706"/>
        <v xml:space="preserve"> </v>
      </c>
    </row>
    <row r="1068" spans="1:39" x14ac:dyDescent="0.25">
      <c r="A1068" t="str">
        <f>"BI384101 10"</f>
        <v>BI384101 10</v>
      </c>
      <c r="B1068" t="str">
        <f>"COJINETES BIELA 0,25 RENAULT CAPTUR NISSAN VERSA 1.6 H4M CADENERO"</f>
        <v>COJINETES BIELA 0,25 RENAULT CAPTUR NISSAN VERSA 1.6 H4M CADENERO</v>
      </c>
      <c r="C1068" t="str">
        <f>"$ 10960,47"</f>
        <v>$ 10960,47</v>
      </c>
      <c r="D1068" t="str">
        <f>"$ 10960,47"</f>
        <v>$ 10960,47</v>
      </c>
      <c r="E1068" t="str">
        <f>"$ 10960,47"</f>
        <v>$ 10960,47</v>
      </c>
      <c r="F1068" t="str">
        <f>"$ 10960,47"</f>
        <v>$ 10960,47</v>
      </c>
      <c r="G1068" t="str">
        <f>"$ 10960,47"</f>
        <v>$ 10960,47</v>
      </c>
      <c r="H1068" t="str">
        <f t="shared" si="679"/>
        <v>$ 0,00</v>
      </c>
      <c r="I1068" t="str">
        <f t="shared" si="672"/>
        <v>JUEGO COJINETES BIELA</v>
      </c>
      <c r="J1068" t="str">
        <f t="shared" si="680"/>
        <v>1</v>
      </c>
      <c r="K1068" t="str">
        <f t="shared" si="702"/>
        <v>0</v>
      </c>
      <c r="L1068" t="str">
        <f>"12,000"</f>
        <v>12,000</v>
      </c>
      <c r="M1068" t="str">
        <f t="shared" si="681"/>
        <v xml:space="preserve"> </v>
      </c>
      <c r="N1068" t="str">
        <f t="shared" si="707"/>
        <v>MPSI</v>
      </c>
      <c r="O1068" t="str">
        <f t="shared" si="708"/>
        <v>COJINETES</v>
      </c>
      <c r="P1068" t="str">
        <f t="shared" si="710"/>
        <v>0</v>
      </c>
      <c r="Q1068" t="str">
        <f t="shared" si="710"/>
        <v>0</v>
      </c>
      <c r="R1068" t="str">
        <f t="shared" si="711"/>
        <v>0,00</v>
      </c>
      <c r="S1068" t="str">
        <f t="shared" si="711"/>
        <v>0,00</v>
      </c>
      <c r="T1068" t="str">
        <f t="shared" si="699"/>
        <v xml:space="preserve"> </v>
      </c>
      <c r="U1068" t="str">
        <f t="shared" si="705"/>
        <v>-</v>
      </c>
      <c r="V1068" t="str">
        <f>"12,000"</f>
        <v>12,000</v>
      </c>
      <c r="W1068" t="str">
        <f t="shared" si="682"/>
        <v>Lista 4</v>
      </c>
      <c r="X1068" t="str">
        <f t="shared" si="683"/>
        <v>Lista 5</v>
      </c>
      <c r="Y1068" t="str">
        <f t="shared" si="684"/>
        <v>Oferta Gral.</v>
      </c>
      <c r="Z1068" t="str">
        <f t="shared" si="685"/>
        <v>Rubro</v>
      </c>
      <c r="AA1068" t="str">
        <f t="shared" si="686"/>
        <v>Cantidad por Bulto</v>
      </c>
      <c r="AB1068" t="str">
        <f t="shared" si="687"/>
        <v>INNER</v>
      </c>
      <c r="AC1068" t="str">
        <f t="shared" si="688"/>
        <v>Stock en Bultos</v>
      </c>
      <c r="AD1068" t="str">
        <f t="shared" si="689"/>
        <v>SubDepósito</v>
      </c>
      <c r="AE1068" t="str">
        <f t="shared" si="690"/>
        <v>Marca</v>
      </c>
      <c r="AF1068" t="str">
        <f t="shared" si="691"/>
        <v>Super Rubro</v>
      </c>
      <c r="AG1068" t="str">
        <f t="shared" si="692"/>
        <v>ComercioExterior</v>
      </c>
      <c r="AH1068" t="str">
        <f t="shared" si="693"/>
        <v>PrecioFOB</v>
      </c>
      <c r="AI1068" t="str">
        <f t="shared" si="694"/>
        <v>Monto II</v>
      </c>
      <c r="AJ1068" t="str">
        <f t="shared" si="695"/>
        <v>Porcentaje II</v>
      </c>
      <c r="AK1068" t="str">
        <f t="shared" si="696"/>
        <v>Foto</v>
      </c>
      <c r="AL1068" t="str">
        <f t="shared" ref="AL1068:AL1076" si="712">" "</f>
        <v xml:space="preserve"> </v>
      </c>
      <c r="AM1068" t="str">
        <f t="shared" si="706"/>
        <v xml:space="preserve"> </v>
      </c>
    </row>
    <row r="1069" spans="1:39" x14ac:dyDescent="0.25">
      <c r="A1069" t="str">
        <f>"BI871 10"</f>
        <v>BI871 10</v>
      </c>
      <c r="B1069" t="str">
        <f>"COJINETES BIELA 0,25 RENAULT CLIO TWINGO 1.2  D7F SIN TRABA"</f>
        <v>COJINETES BIELA 0,25 RENAULT CLIO TWINGO 1.2  D7F SIN TRABA</v>
      </c>
      <c r="C1069" t="str">
        <f>"$ 10708,86"</f>
        <v>$ 10708,86</v>
      </c>
      <c r="D1069" t="str">
        <f>"$ 10708,86"</f>
        <v>$ 10708,86</v>
      </c>
      <c r="E1069" t="str">
        <f>"$ 10708,86"</f>
        <v>$ 10708,86</v>
      </c>
      <c r="F1069" t="str">
        <f>"$ 10708,86"</f>
        <v>$ 10708,86</v>
      </c>
      <c r="G1069" t="str">
        <f>"$ 10708,86"</f>
        <v>$ 10708,86</v>
      </c>
      <c r="H1069" t="str">
        <f t="shared" si="679"/>
        <v>$ 0,00</v>
      </c>
      <c r="I1069" t="str">
        <f t="shared" si="672"/>
        <v>JUEGO COJINETES BIELA</v>
      </c>
      <c r="J1069" t="str">
        <f t="shared" si="680"/>
        <v>1</v>
      </c>
      <c r="K1069" t="str">
        <f t="shared" si="702"/>
        <v>0</v>
      </c>
      <c r="L1069" t="str">
        <f>"11,000"</f>
        <v>11,000</v>
      </c>
      <c r="M1069" t="str">
        <f t="shared" si="681"/>
        <v xml:space="preserve"> </v>
      </c>
      <c r="N1069" t="str">
        <f t="shared" si="707"/>
        <v>MPSI</v>
      </c>
      <c r="O1069" t="str">
        <f t="shared" si="708"/>
        <v>COJINETES</v>
      </c>
      <c r="P1069" t="str">
        <f t="shared" si="710"/>
        <v>0</v>
      </c>
      <c r="Q1069" t="str">
        <f t="shared" si="710"/>
        <v>0</v>
      </c>
      <c r="R1069" t="str">
        <f t="shared" si="711"/>
        <v>0,00</v>
      </c>
      <c r="S1069" t="str">
        <f t="shared" si="711"/>
        <v>0,00</v>
      </c>
      <c r="T1069" t="str">
        <f t="shared" si="699"/>
        <v xml:space="preserve"> </v>
      </c>
      <c r="U1069" t="str">
        <f t="shared" si="705"/>
        <v>-</v>
      </c>
      <c r="V1069" t="str">
        <f>"11,000"</f>
        <v>11,000</v>
      </c>
      <c r="W1069" t="str">
        <f t="shared" si="682"/>
        <v>Lista 4</v>
      </c>
      <c r="X1069" t="str">
        <f t="shared" si="683"/>
        <v>Lista 5</v>
      </c>
      <c r="Y1069" t="str">
        <f t="shared" si="684"/>
        <v>Oferta Gral.</v>
      </c>
      <c r="Z1069" t="str">
        <f t="shared" si="685"/>
        <v>Rubro</v>
      </c>
      <c r="AA1069" t="str">
        <f t="shared" si="686"/>
        <v>Cantidad por Bulto</v>
      </c>
      <c r="AB1069" t="str">
        <f t="shared" si="687"/>
        <v>INNER</v>
      </c>
      <c r="AC1069" t="str">
        <f t="shared" si="688"/>
        <v>Stock en Bultos</v>
      </c>
      <c r="AD1069" t="str">
        <f t="shared" si="689"/>
        <v>SubDepósito</v>
      </c>
      <c r="AE1069" t="str">
        <f t="shared" si="690"/>
        <v>Marca</v>
      </c>
      <c r="AF1069" t="str">
        <f t="shared" si="691"/>
        <v>Super Rubro</v>
      </c>
      <c r="AG1069" t="str">
        <f t="shared" si="692"/>
        <v>ComercioExterior</v>
      </c>
      <c r="AH1069" t="str">
        <f t="shared" si="693"/>
        <v>PrecioFOB</v>
      </c>
      <c r="AI1069" t="str">
        <f t="shared" si="694"/>
        <v>Monto II</v>
      </c>
      <c r="AJ1069" t="str">
        <f t="shared" si="695"/>
        <v>Porcentaje II</v>
      </c>
      <c r="AK1069" t="str">
        <f t="shared" si="696"/>
        <v>Foto</v>
      </c>
      <c r="AL1069" t="str">
        <f t="shared" si="712"/>
        <v xml:space="preserve"> </v>
      </c>
      <c r="AM1069" t="str">
        <f t="shared" si="706"/>
        <v xml:space="preserve"> </v>
      </c>
    </row>
    <row r="1070" spans="1:39" x14ac:dyDescent="0.25">
      <c r="A1070" t="str">
        <f>"BI384613 10"</f>
        <v>BI384613 10</v>
      </c>
      <c r="B1070" t="str">
        <f>"COJINETES BIELA 0,25 RENAULT CLIO TWINGO 1.2 D7F CON TRABA"</f>
        <v>COJINETES BIELA 0,25 RENAULT CLIO TWINGO 1.2 D7F CON TRABA</v>
      </c>
      <c r="C1070" t="str">
        <f>"$ 13255,45"</f>
        <v>$ 13255,45</v>
      </c>
      <c r="D1070" t="str">
        <f>"$ 13255,45"</f>
        <v>$ 13255,45</v>
      </c>
      <c r="E1070" t="str">
        <f>"$ 13255,45"</f>
        <v>$ 13255,45</v>
      </c>
      <c r="F1070" t="str">
        <f>"$ 13255,45"</f>
        <v>$ 13255,45</v>
      </c>
      <c r="G1070" t="str">
        <f>"$ 13255,45"</f>
        <v>$ 13255,45</v>
      </c>
      <c r="H1070" t="str">
        <f t="shared" si="679"/>
        <v>$ 0,00</v>
      </c>
      <c r="I1070" t="str">
        <f t="shared" si="672"/>
        <v>JUEGO COJINETES BIELA</v>
      </c>
      <c r="J1070" t="str">
        <f t="shared" si="680"/>
        <v>1</v>
      </c>
      <c r="K1070" t="str">
        <f t="shared" si="702"/>
        <v>0</v>
      </c>
      <c r="L1070" t="str">
        <f>"6,000"</f>
        <v>6,000</v>
      </c>
      <c r="M1070" t="str">
        <f t="shared" si="681"/>
        <v xml:space="preserve"> </v>
      </c>
      <c r="N1070" t="str">
        <f t="shared" si="707"/>
        <v>MPSI</v>
      </c>
      <c r="O1070" t="str">
        <f t="shared" si="708"/>
        <v>COJINETES</v>
      </c>
      <c r="P1070" t="str">
        <f t="shared" si="710"/>
        <v>0</v>
      </c>
      <c r="Q1070" t="str">
        <f t="shared" si="710"/>
        <v>0</v>
      </c>
      <c r="R1070" t="str">
        <f t="shared" si="711"/>
        <v>0,00</v>
      </c>
      <c r="S1070" t="str">
        <f t="shared" si="711"/>
        <v>0,00</v>
      </c>
      <c r="T1070" t="str">
        <f t="shared" si="699"/>
        <v xml:space="preserve"> </v>
      </c>
      <c r="U1070" t="str">
        <f t="shared" si="705"/>
        <v>-</v>
      </c>
      <c r="V1070" t="str">
        <f>"6,000"</f>
        <v>6,000</v>
      </c>
      <c r="W1070" t="str">
        <f t="shared" si="682"/>
        <v>Lista 4</v>
      </c>
      <c r="X1070" t="str">
        <f t="shared" si="683"/>
        <v>Lista 5</v>
      </c>
      <c r="Y1070" t="str">
        <f t="shared" si="684"/>
        <v>Oferta Gral.</v>
      </c>
      <c r="Z1070" t="str">
        <f t="shared" si="685"/>
        <v>Rubro</v>
      </c>
      <c r="AA1070" t="str">
        <f t="shared" si="686"/>
        <v>Cantidad por Bulto</v>
      </c>
      <c r="AB1070" t="str">
        <f t="shared" si="687"/>
        <v>INNER</v>
      </c>
      <c r="AC1070" t="str">
        <f t="shared" si="688"/>
        <v>Stock en Bultos</v>
      </c>
      <c r="AD1070" t="str">
        <f t="shared" si="689"/>
        <v>SubDepósito</v>
      </c>
      <c r="AE1070" t="str">
        <f t="shared" si="690"/>
        <v>Marca</v>
      </c>
      <c r="AF1070" t="str">
        <f t="shared" si="691"/>
        <v>Super Rubro</v>
      </c>
      <c r="AG1070" t="str">
        <f t="shared" si="692"/>
        <v>ComercioExterior</v>
      </c>
      <c r="AH1070" t="str">
        <f t="shared" si="693"/>
        <v>PrecioFOB</v>
      </c>
      <c r="AI1070" t="str">
        <f t="shared" si="694"/>
        <v>Monto II</v>
      </c>
      <c r="AJ1070" t="str">
        <f t="shared" si="695"/>
        <v>Porcentaje II</v>
      </c>
      <c r="AK1070" t="str">
        <f t="shared" si="696"/>
        <v>Foto</v>
      </c>
      <c r="AL1070" t="str">
        <f t="shared" si="712"/>
        <v xml:space="preserve"> </v>
      </c>
      <c r="AM1070" t="str">
        <f t="shared" si="706"/>
        <v xml:space="preserve"> </v>
      </c>
    </row>
    <row r="1071" spans="1:39" x14ac:dyDescent="0.25">
      <c r="A1071" t="str">
        <f>"BI383069 10"</f>
        <v>BI383069 10</v>
      </c>
      <c r="B1071" t="str">
        <f>"COJINETES BIELA 0,25 RENAULT KWID 1.0 3 CILINDROS"</f>
        <v>COJINETES BIELA 0,25 RENAULT KWID 1.0 3 CILINDROS</v>
      </c>
      <c r="C1071" t="str">
        <f>"$ 8863,34"</f>
        <v>$ 8863,34</v>
      </c>
      <c r="D1071" t="str">
        <f>"$ 8863,34"</f>
        <v>$ 8863,34</v>
      </c>
      <c r="E1071" t="str">
        <f>"$ 8863,34"</f>
        <v>$ 8863,34</v>
      </c>
      <c r="F1071" t="str">
        <f>"$ 8863,34"</f>
        <v>$ 8863,34</v>
      </c>
      <c r="G1071" t="str">
        <f>"$ 8863,34"</f>
        <v>$ 8863,34</v>
      </c>
      <c r="H1071" t="str">
        <f t="shared" si="679"/>
        <v>$ 0,00</v>
      </c>
      <c r="I1071" t="str">
        <f t="shared" si="672"/>
        <v>JUEGO COJINETES BIELA</v>
      </c>
      <c r="J1071" t="str">
        <f t="shared" si="680"/>
        <v>1</v>
      </c>
      <c r="K1071" t="str">
        <f t="shared" si="702"/>
        <v>0</v>
      </c>
      <c r="L1071" t="str">
        <f>"10,000"</f>
        <v>10,000</v>
      </c>
      <c r="M1071" t="str">
        <f t="shared" si="681"/>
        <v xml:space="preserve"> </v>
      </c>
      <c r="N1071" t="str">
        <f t="shared" si="707"/>
        <v>MPSI</v>
      </c>
      <c r="O1071" t="str">
        <f t="shared" si="708"/>
        <v>COJINETES</v>
      </c>
      <c r="P1071" t="str">
        <f t="shared" si="710"/>
        <v>0</v>
      </c>
      <c r="Q1071" t="str">
        <f t="shared" si="710"/>
        <v>0</v>
      </c>
      <c r="R1071" t="str">
        <f t="shared" si="711"/>
        <v>0,00</v>
      </c>
      <c r="S1071" t="str">
        <f t="shared" si="711"/>
        <v>0,00</v>
      </c>
      <c r="T1071" t="str">
        <f t="shared" si="699"/>
        <v xml:space="preserve"> </v>
      </c>
      <c r="U1071" t="str">
        <f t="shared" si="705"/>
        <v>-</v>
      </c>
      <c r="V1071" t="str">
        <f>"10,000"</f>
        <v>10,000</v>
      </c>
      <c r="W1071" t="str">
        <f t="shared" si="682"/>
        <v>Lista 4</v>
      </c>
      <c r="X1071" t="str">
        <f t="shared" si="683"/>
        <v>Lista 5</v>
      </c>
      <c r="Y1071" t="str">
        <f t="shared" si="684"/>
        <v>Oferta Gral.</v>
      </c>
      <c r="Z1071" t="str">
        <f t="shared" si="685"/>
        <v>Rubro</v>
      </c>
      <c r="AA1071" t="str">
        <f t="shared" si="686"/>
        <v>Cantidad por Bulto</v>
      </c>
      <c r="AB1071" t="str">
        <f t="shared" si="687"/>
        <v>INNER</v>
      </c>
      <c r="AC1071" t="str">
        <f t="shared" si="688"/>
        <v>Stock en Bultos</v>
      </c>
      <c r="AD1071" t="str">
        <f t="shared" si="689"/>
        <v>SubDepósito</v>
      </c>
      <c r="AE1071" t="str">
        <f t="shared" si="690"/>
        <v>Marca</v>
      </c>
      <c r="AF1071" t="str">
        <f t="shared" si="691"/>
        <v>Super Rubro</v>
      </c>
      <c r="AG1071" t="str">
        <f t="shared" si="692"/>
        <v>ComercioExterior</v>
      </c>
      <c r="AH1071" t="str">
        <f t="shared" si="693"/>
        <v>PrecioFOB</v>
      </c>
      <c r="AI1071" t="str">
        <f t="shared" si="694"/>
        <v>Monto II</v>
      </c>
      <c r="AJ1071" t="str">
        <f t="shared" si="695"/>
        <v>Porcentaje II</v>
      </c>
      <c r="AK1071" t="str">
        <f t="shared" si="696"/>
        <v>Foto</v>
      </c>
      <c r="AL1071" t="str">
        <f t="shared" si="712"/>
        <v xml:space="preserve"> </v>
      </c>
      <c r="AM1071" t="str">
        <f t="shared" si="706"/>
        <v xml:space="preserve"> </v>
      </c>
    </row>
    <row r="1072" spans="1:39" x14ac:dyDescent="0.25">
      <c r="A1072" t="str">
        <f>"BI869 10"</f>
        <v>BI869 10</v>
      </c>
      <c r="B1072" t="str">
        <f>"COJINETES BIELA 0,25 RENAULT MASTER 2.5 MOTOR G9U"</f>
        <v>COJINETES BIELA 0,25 RENAULT MASTER 2.5 MOTOR G9U</v>
      </c>
      <c r="C1072" t="str">
        <f>"$ 22161,40"</f>
        <v>$ 22161,40</v>
      </c>
      <c r="D1072" t="str">
        <f>"$ 22161,40"</f>
        <v>$ 22161,40</v>
      </c>
      <c r="E1072" t="str">
        <f>"$ 22161,40"</f>
        <v>$ 22161,40</v>
      </c>
      <c r="F1072" t="str">
        <f>"$ 22161,40"</f>
        <v>$ 22161,40</v>
      </c>
      <c r="G1072" t="str">
        <f>"$ 22161,40"</f>
        <v>$ 22161,40</v>
      </c>
      <c r="H1072" t="str">
        <f t="shared" si="679"/>
        <v>$ 0,00</v>
      </c>
      <c r="I1072" t="str">
        <f t="shared" si="672"/>
        <v>JUEGO COJINETES BIELA</v>
      </c>
      <c r="J1072" t="str">
        <f t="shared" si="680"/>
        <v>1</v>
      </c>
      <c r="K1072" t="str">
        <f t="shared" si="702"/>
        <v>0</v>
      </c>
      <c r="L1072" t="str">
        <f>"7,000"</f>
        <v>7,000</v>
      </c>
      <c r="M1072" t="str">
        <f t="shared" si="681"/>
        <v xml:space="preserve"> </v>
      </c>
      <c r="N1072" t="str">
        <f t="shared" si="707"/>
        <v>MPSI</v>
      </c>
      <c r="O1072" t="str">
        <f t="shared" si="708"/>
        <v>COJINETES</v>
      </c>
      <c r="P1072" t="str">
        <f t="shared" si="710"/>
        <v>0</v>
      </c>
      <c r="Q1072" t="str">
        <f t="shared" si="710"/>
        <v>0</v>
      </c>
      <c r="R1072" t="str">
        <f t="shared" si="711"/>
        <v>0,00</v>
      </c>
      <c r="S1072" t="str">
        <f t="shared" si="711"/>
        <v>0,00</v>
      </c>
      <c r="T1072" t="str">
        <f t="shared" si="699"/>
        <v xml:space="preserve"> </v>
      </c>
      <c r="U1072" t="str">
        <f t="shared" si="705"/>
        <v>-</v>
      </c>
      <c r="V1072" t="str">
        <f>"7,000"</f>
        <v>7,000</v>
      </c>
      <c r="W1072" t="str">
        <f t="shared" si="682"/>
        <v>Lista 4</v>
      </c>
      <c r="X1072" t="str">
        <f t="shared" si="683"/>
        <v>Lista 5</v>
      </c>
      <c r="Y1072" t="str">
        <f t="shared" si="684"/>
        <v>Oferta Gral.</v>
      </c>
      <c r="Z1072" t="str">
        <f t="shared" si="685"/>
        <v>Rubro</v>
      </c>
      <c r="AA1072" t="str">
        <f t="shared" si="686"/>
        <v>Cantidad por Bulto</v>
      </c>
      <c r="AB1072" t="str">
        <f t="shared" si="687"/>
        <v>INNER</v>
      </c>
      <c r="AC1072" t="str">
        <f t="shared" si="688"/>
        <v>Stock en Bultos</v>
      </c>
      <c r="AD1072" t="str">
        <f t="shared" si="689"/>
        <v>SubDepósito</v>
      </c>
      <c r="AE1072" t="str">
        <f t="shared" si="690"/>
        <v>Marca</v>
      </c>
      <c r="AF1072" t="str">
        <f t="shared" si="691"/>
        <v>Super Rubro</v>
      </c>
      <c r="AG1072" t="str">
        <f t="shared" si="692"/>
        <v>ComercioExterior</v>
      </c>
      <c r="AH1072" t="str">
        <f t="shared" si="693"/>
        <v>PrecioFOB</v>
      </c>
      <c r="AI1072" t="str">
        <f t="shared" si="694"/>
        <v>Monto II</v>
      </c>
      <c r="AJ1072" t="str">
        <f t="shared" si="695"/>
        <v>Porcentaje II</v>
      </c>
      <c r="AK1072" t="str">
        <f t="shared" si="696"/>
        <v>Foto</v>
      </c>
      <c r="AL1072" t="str">
        <f t="shared" si="712"/>
        <v xml:space="preserve"> </v>
      </c>
      <c r="AM1072" t="str">
        <f t="shared" si="706"/>
        <v xml:space="preserve"> </v>
      </c>
    </row>
    <row r="1073" spans="1:39" x14ac:dyDescent="0.25">
      <c r="A1073" t="str">
        <f>"BI384574 10"</f>
        <v>BI384574 10</v>
      </c>
      <c r="B1073" t="str">
        <f>"COJINETES BIELA 0,25 RENAULT MASTER ALASKAN NISSAN FRONTIER 2.3 M9T"</f>
        <v>COJINETES BIELA 0,25 RENAULT MASTER ALASKAN NISSAN FRONTIER 2.3 M9T</v>
      </c>
      <c r="C1073" t="str">
        <f>"$ 26332,84"</f>
        <v>$ 26332,84</v>
      </c>
      <c r="D1073" t="str">
        <f>"$ 26332,84"</f>
        <v>$ 26332,84</v>
      </c>
      <c r="E1073" t="str">
        <f>"$ 26332,84"</f>
        <v>$ 26332,84</v>
      </c>
      <c r="F1073" t="str">
        <f>"$ 26332,84"</f>
        <v>$ 26332,84</v>
      </c>
      <c r="G1073" t="str">
        <f>"$ 26332,84"</f>
        <v>$ 26332,84</v>
      </c>
      <c r="H1073" t="str">
        <f t="shared" si="679"/>
        <v>$ 0,00</v>
      </c>
      <c r="I1073" t="str">
        <f t="shared" si="672"/>
        <v>JUEGO COJINETES BIELA</v>
      </c>
      <c r="J1073" t="str">
        <f t="shared" si="680"/>
        <v>1</v>
      </c>
      <c r="K1073" t="str">
        <f t="shared" si="702"/>
        <v>0</v>
      </c>
      <c r="L1073" t="str">
        <f>"7,000"</f>
        <v>7,000</v>
      </c>
      <c r="M1073" t="str">
        <f t="shared" si="681"/>
        <v xml:space="preserve"> </v>
      </c>
      <c r="N1073" t="str">
        <f t="shared" si="707"/>
        <v>MPSI</v>
      </c>
      <c r="O1073" t="str">
        <f t="shared" si="708"/>
        <v>COJINETES</v>
      </c>
      <c r="P1073" t="str">
        <f t="shared" si="710"/>
        <v>0</v>
      </c>
      <c r="Q1073" t="str">
        <f t="shared" si="710"/>
        <v>0</v>
      </c>
      <c r="R1073" t="str">
        <f t="shared" si="711"/>
        <v>0,00</v>
      </c>
      <c r="S1073" t="str">
        <f t="shared" si="711"/>
        <v>0,00</v>
      </c>
      <c r="T1073" t="str">
        <f t="shared" si="699"/>
        <v xml:space="preserve"> </v>
      </c>
      <c r="U1073" t="str">
        <f t="shared" si="705"/>
        <v>-</v>
      </c>
      <c r="V1073" t="str">
        <f>"7,000"</f>
        <v>7,000</v>
      </c>
      <c r="W1073" t="str">
        <f t="shared" si="682"/>
        <v>Lista 4</v>
      </c>
      <c r="X1073" t="str">
        <f t="shared" si="683"/>
        <v>Lista 5</v>
      </c>
      <c r="Y1073" t="str">
        <f t="shared" si="684"/>
        <v>Oferta Gral.</v>
      </c>
      <c r="Z1073" t="str">
        <f t="shared" si="685"/>
        <v>Rubro</v>
      </c>
      <c r="AA1073" t="str">
        <f t="shared" si="686"/>
        <v>Cantidad por Bulto</v>
      </c>
      <c r="AB1073" t="str">
        <f t="shared" si="687"/>
        <v>INNER</v>
      </c>
      <c r="AC1073" t="str">
        <f t="shared" si="688"/>
        <v>Stock en Bultos</v>
      </c>
      <c r="AD1073" t="str">
        <f t="shared" si="689"/>
        <v>SubDepósito</v>
      </c>
      <c r="AE1073" t="str">
        <f t="shared" si="690"/>
        <v>Marca</v>
      </c>
      <c r="AF1073" t="str">
        <f t="shared" si="691"/>
        <v>Super Rubro</v>
      </c>
      <c r="AG1073" t="str">
        <f t="shared" si="692"/>
        <v>ComercioExterior</v>
      </c>
      <c r="AH1073" t="str">
        <f t="shared" si="693"/>
        <v>PrecioFOB</v>
      </c>
      <c r="AI1073" t="str">
        <f t="shared" si="694"/>
        <v>Monto II</v>
      </c>
      <c r="AJ1073" t="str">
        <f t="shared" si="695"/>
        <v>Porcentaje II</v>
      </c>
      <c r="AK1073" t="str">
        <f t="shared" si="696"/>
        <v>Foto</v>
      </c>
      <c r="AL1073" t="str">
        <f t="shared" si="712"/>
        <v xml:space="preserve"> </v>
      </c>
      <c r="AM1073" t="str">
        <f t="shared" si="706"/>
        <v xml:space="preserve"> </v>
      </c>
    </row>
    <row r="1074" spans="1:39" x14ac:dyDescent="0.25">
      <c r="A1074" t="str">
        <f>"BI242 10"</f>
        <v>BI242 10</v>
      </c>
      <c r="B1074" t="str">
        <f>"COJINETES BIELA 0,25 RENAULT MEGANE 1.9 TURBO DIESEL SIN TRABA"</f>
        <v>COJINETES BIELA 0,25 RENAULT MEGANE 1.9 TURBO DIESEL SIN TRABA</v>
      </c>
      <c r="C1074" t="str">
        <f>"$ 24868,80"</f>
        <v>$ 24868,80</v>
      </c>
      <c r="D1074" t="str">
        <f>"$ 24868,80"</f>
        <v>$ 24868,80</v>
      </c>
      <c r="E1074" t="str">
        <f>"$ 24868,80"</f>
        <v>$ 24868,80</v>
      </c>
      <c r="F1074" t="str">
        <f>"$ 24868,80"</f>
        <v>$ 24868,80</v>
      </c>
      <c r="G1074" t="str">
        <f>"$ 24868,80"</f>
        <v>$ 24868,80</v>
      </c>
      <c r="H1074" t="str">
        <f t="shared" si="679"/>
        <v>$ 0,00</v>
      </c>
      <c r="I1074" t="str">
        <f t="shared" si="672"/>
        <v>JUEGO COJINETES BIELA</v>
      </c>
      <c r="J1074" t="str">
        <f t="shared" si="680"/>
        <v>1</v>
      </c>
      <c r="K1074" t="str">
        <f t="shared" si="702"/>
        <v>0</v>
      </c>
      <c r="L1074" t="str">
        <f>"4,000"</f>
        <v>4,000</v>
      </c>
      <c r="M1074" t="str">
        <f t="shared" si="681"/>
        <v xml:space="preserve"> </v>
      </c>
      <c r="N1074" t="str">
        <f t="shared" si="707"/>
        <v>MPSI</v>
      </c>
      <c r="O1074" t="str">
        <f t="shared" si="708"/>
        <v>COJINETES</v>
      </c>
      <c r="P1074" t="str">
        <f t="shared" si="710"/>
        <v>0</v>
      </c>
      <c r="Q1074" t="str">
        <f t="shared" si="710"/>
        <v>0</v>
      </c>
      <c r="R1074" t="str">
        <f t="shared" si="711"/>
        <v>0,00</v>
      </c>
      <c r="S1074" t="str">
        <f t="shared" si="711"/>
        <v>0,00</v>
      </c>
      <c r="T1074" t="str">
        <f t="shared" si="699"/>
        <v xml:space="preserve"> </v>
      </c>
      <c r="U1074" t="str">
        <f t="shared" si="705"/>
        <v>-</v>
      </c>
      <c r="V1074" t="str">
        <f>"4,000"</f>
        <v>4,000</v>
      </c>
      <c r="W1074" t="str">
        <f t="shared" si="682"/>
        <v>Lista 4</v>
      </c>
      <c r="X1074" t="str">
        <f t="shared" si="683"/>
        <v>Lista 5</v>
      </c>
      <c r="Y1074" t="str">
        <f t="shared" si="684"/>
        <v>Oferta Gral.</v>
      </c>
      <c r="Z1074" t="str">
        <f t="shared" si="685"/>
        <v>Rubro</v>
      </c>
      <c r="AA1074" t="str">
        <f t="shared" si="686"/>
        <v>Cantidad por Bulto</v>
      </c>
      <c r="AB1074" t="str">
        <f t="shared" si="687"/>
        <v>INNER</v>
      </c>
      <c r="AC1074" t="str">
        <f t="shared" si="688"/>
        <v>Stock en Bultos</v>
      </c>
      <c r="AD1074" t="str">
        <f t="shared" si="689"/>
        <v>SubDepósito</v>
      </c>
      <c r="AE1074" t="str">
        <f t="shared" si="690"/>
        <v>Marca</v>
      </c>
      <c r="AF1074" t="str">
        <f t="shared" si="691"/>
        <v>Super Rubro</v>
      </c>
      <c r="AG1074" t="str">
        <f t="shared" si="692"/>
        <v>ComercioExterior</v>
      </c>
      <c r="AH1074" t="str">
        <f t="shared" si="693"/>
        <v>PrecioFOB</v>
      </c>
      <c r="AI1074" t="str">
        <f t="shared" si="694"/>
        <v>Monto II</v>
      </c>
      <c r="AJ1074" t="str">
        <f t="shared" si="695"/>
        <v>Porcentaje II</v>
      </c>
      <c r="AK1074" t="str">
        <f t="shared" si="696"/>
        <v>Foto</v>
      </c>
      <c r="AL1074" t="str">
        <f t="shared" si="712"/>
        <v xml:space="preserve"> </v>
      </c>
      <c r="AM1074" t="str">
        <f t="shared" si="706"/>
        <v xml:space="preserve"> </v>
      </c>
    </row>
    <row r="1075" spans="1:39" x14ac:dyDescent="0.25">
      <c r="A1075" t="str">
        <f>"BI384104 10"</f>
        <v>BI384104 10</v>
      </c>
      <c r="B1075" t="str">
        <f>"COJINETES BIELA 0,25 RENAULT MEGANE 3 FLUENCE NISSAN SENTRA 2.0 M4R"</f>
        <v>COJINETES BIELA 0,25 RENAULT MEGANE 3 FLUENCE NISSAN SENTRA 2.0 M4R</v>
      </c>
      <c r="C1075" t="str">
        <f>"$ 10960,47"</f>
        <v>$ 10960,47</v>
      </c>
      <c r="D1075" t="str">
        <f>"$ 10960,47"</f>
        <v>$ 10960,47</v>
      </c>
      <c r="E1075" t="str">
        <f>"$ 10960,47"</f>
        <v>$ 10960,47</v>
      </c>
      <c r="F1075" t="str">
        <f>"$ 10960,47"</f>
        <v>$ 10960,47</v>
      </c>
      <c r="G1075" t="str">
        <f>"$ 10960,47"</f>
        <v>$ 10960,47</v>
      </c>
      <c r="H1075" t="str">
        <f t="shared" si="679"/>
        <v>$ 0,00</v>
      </c>
      <c r="I1075" t="str">
        <f t="shared" si="672"/>
        <v>JUEGO COJINETES BIELA</v>
      </c>
      <c r="J1075" t="str">
        <f t="shared" si="680"/>
        <v>1</v>
      </c>
      <c r="K1075" t="str">
        <f t="shared" si="702"/>
        <v>0</v>
      </c>
      <c r="L1075" t="str">
        <f>"13,000"</f>
        <v>13,000</v>
      </c>
      <c r="M1075" t="str">
        <f t="shared" si="681"/>
        <v xml:space="preserve"> </v>
      </c>
      <c r="N1075" t="str">
        <f t="shared" si="707"/>
        <v>MPSI</v>
      </c>
      <c r="O1075" t="str">
        <f t="shared" si="708"/>
        <v>COJINETES</v>
      </c>
      <c r="P1075" t="str">
        <f t="shared" si="710"/>
        <v>0</v>
      </c>
      <c r="Q1075" t="str">
        <f t="shared" si="710"/>
        <v>0</v>
      </c>
      <c r="R1075" t="str">
        <f t="shared" si="711"/>
        <v>0,00</v>
      </c>
      <c r="S1075" t="str">
        <f t="shared" si="711"/>
        <v>0,00</v>
      </c>
      <c r="T1075" t="str">
        <f t="shared" si="699"/>
        <v xml:space="preserve"> </v>
      </c>
      <c r="U1075" t="str">
        <f t="shared" si="705"/>
        <v>-</v>
      </c>
      <c r="V1075" t="str">
        <f>"13,000"</f>
        <v>13,000</v>
      </c>
      <c r="W1075" t="str">
        <f t="shared" si="682"/>
        <v>Lista 4</v>
      </c>
      <c r="X1075" t="str">
        <f t="shared" si="683"/>
        <v>Lista 5</v>
      </c>
      <c r="Y1075" t="str">
        <f t="shared" si="684"/>
        <v>Oferta Gral.</v>
      </c>
      <c r="Z1075" t="str">
        <f t="shared" si="685"/>
        <v>Rubro</v>
      </c>
      <c r="AA1075" t="str">
        <f t="shared" si="686"/>
        <v>Cantidad por Bulto</v>
      </c>
      <c r="AB1075" t="str">
        <f t="shared" si="687"/>
        <v>INNER</v>
      </c>
      <c r="AC1075" t="str">
        <f t="shared" si="688"/>
        <v>Stock en Bultos</v>
      </c>
      <c r="AD1075" t="str">
        <f t="shared" si="689"/>
        <v>SubDepósito</v>
      </c>
      <c r="AE1075" t="str">
        <f t="shared" si="690"/>
        <v>Marca</v>
      </c>
      <c r="AF1075" t="str">
        <f t="shared" si="691"/>
        <v>Super Rubro</v>
      </c>
      <c r="AG1075" t="str">
        <f t="shared" si="692"/>
        <v>ComercioExterior</v>
      </c>
      <c r="AH1075" t="str">
        <f t="shared" si="693"/>
        <v>PrecioFOB</v>
      </c>
      <c r="AI1075" t="str">
        <f t="shared" si="694"/>
        <v>Monto II</v>
      </c>
      <c r="AJ1075" t="str">
        <f t="shared" si="695"/>
        <v>Porcentaje II</v>
      </c>
      <c r="AK1075" t="str">
        <f t="shared" si="696"/>
        <v>Foto</v>
      </c>
      <c r="AL1075" t="str">
        <f t="shared" si="712"/>
        <v xml:space="preserve"> </v>
      </c>
      <c r="AM1075" t="str">
        <f t="shared" si="706"/>
        <v xml:space="preserve"> </v>
      </c>
    </row>
    <row r="1076" spans="1:39" x14ac:dyDescent="0.25">
      <c r="A1076" t="str">
        <f>"BI876 10"</f>
        <v>BI876 10</v>
      </c>
      <c r="B1076" t="str">
        <f>"COJINETES BIELA 0,25 RENAULT MEGANE KANGOO LOGAN 1.5 DCI K9K"</f>
        <v>COJINETES BIELA 0,25 RENAULT MEGANE KANGOO LOGAN 1.5 DCI K9K</v>
      </c>
      <c r="C1076" t="str">
        <f>"$ 16988,75"</f>
        <v>$ 16988,75</v>
      </c>
      <c r="D1076" t="str">
        <f>"$ 16988,75"</f>
        <v>$ 16988,75</v>
      </c>
      <c r="E1076" t="str">
        <f>"$ 16988,75"</f>
        <v>$ 16988,75</v>
      </c>
      <c r="F1076" t="str">
        <f>"$ 16988,75"</f>
        <v>$ 16988,75</v>
      </c>
      <c r="G1076" t="str">
        <f>"$ 16988,75"</f>
        <v>$ 16988,75</v>
      </c>
      <c r="H1076" t="str">
        <f t="shared" si="679"/>
        <v>$ 0,00</v>
      </c>
      <c r="I1076" t="str">
        <f t="shared" si="672"/>
        <v>JUEGO COJINETES BIELA</v>
      </c>
      <c r="J1076" t="str">
        <f t="shared" si="680"/>
        <v>1</v>
      </c>
      <c r="K1076" t="str">
        <f t="shared" si="702"/>
        <v>0</v>
      </c>
      <c r="L1076" t="str">
        <f>"7,000"</f>
        <v>7,000</v>
      </c>
      <c r="M1076" t="str">
        <f t="shared" si="681"/>
        <v xml:space="preserve"> </v>
      </c>
      <c r="N1076" t="str">
        <f t="shared" si="707"/>
        <v>MPSI</v>
      </c>
      <c r="O1076" t="str">
        <f t="shared" si="708"/>
        <v>COJINETES</v>
      </c>
      <c r="P1076" t="str">
        <f t="shared" si="710"/>
        <v>0</v>
      </c>
      <c r="Q1076" t="str">
        <f t="shared" si="710"/>
        <v>0</v>
      </c>
      <c r="R1076" t="str">
        <f t="shared" si="711"/>
        <v>0,00</v>
      </c>
      <c r="S1076" t="str">
        <f t="shared" si="711"/>
        <v>0,00</v>
      </c>
      <c r="T1076" t="str">
        <f t="shared" si="699"/>
        <v xml:space="preserve"> </v>
      </c>
      <c r="U1076" t="str">
        <f t="shared" si="705"/>
        <v>-</v>
      </c>
      <c r="V1076" t="str">
        <f>"7,000"</f>
        <v>7,000</v>
      </c>
      <c r="W1076" t="str">
        <f t="shared" si="682"/>
        <v>Lista 4</v>
      </c>
      <c r="X1076" t="str">
        <f t="shared" si="683"/>
        <v>Lista 5</v>
      </c>
      <c r="Y1076" t="str">
        <f t="shared" si="684"/>
        <v>Oferta Gral.</v>
      </c>
      <c r="Z1076" t="str">
        <f t="shared" si="685"/>
        <v>Rubro</v>
      </c>
      <c r="AA1076" t="str">
        <f t="shared" si="686"/>
        <v>Cantidad por Bulto</v>
      </c>
      <c r="AB1076" t="str">
        <f t="shared" si="687"/>
        <v>INNER</v>
      </c>
      <c r="AC1076" t="str">
        <f t="shared" si="688"/>
        <v>Stock en Bultos</v>
      </c>
      <c r="AD1076" t="str">
        <f t="shared" si="689"/>
        <v>SubDepósito</v>
      </c>
      <c r="AE1076" t="str">
        <f t="shared" si="690"/>
        <v>Marca</v>
      </c>
      <c r="AF1076" t="str">
        <f t="shared" si="691"/>
        <v>Super Rubro</v>
      </c>
      <c r="AG1076" t="str">
        <f t="shared" si="692"/>
        <v>ComercioExterior</v>
      </c>
      <c r="AH1076" t="str">
        <f t="shared" si="693"/>
        <v>PrecioFOB</v>
      </c>
      <c r="AI1076" t="str">
        <f t="shared" si="694"/>
        <v>Monto II</v>
      </c>
      <c r="AJ1076" t="str">
        <f t="shared" si="695"/>
        <v>Porcentaje II</v>
      </c>
      <c r="AK1076" t="str">
        <f t="shared" si="696"/>
        <v>Foto</v>
      </c>
      <c r="AL1076" t="str">
        <f t="shared" si="712"/>
        <v xml:space="preserve"> </v>
      </c>
      <c r="AM1076" t="str">
        <f t="shared" si="706"/>
        <v xml:space="preserve"> </v>
      </c>
    </row>
    <row r="1077" spans="1:39" x14ac:dyDescent="0.25">
      <c r="A1077" t="str">
        <f>"BI873 10"</f>
        <v>BI873 10</v>
      </c>
      <c r="B1077" t="str">
        <f>"COJINETES BIELA 0,25 RENAULT MEGANE KANGOO LOGAN 1.6 16V K4M"</f>
        <v>COJINETES BIELA 0,25 RENAULT MEGANE KANGOO LOGAN 1.6 16V K4M</v>
      </c>
      <c r="C1077" t="str">
        <f>"$ 11452,54"</f>
        <v>$ 11452,54</v>
      </c>
      <c r="D1077" t="str">
        <f>"$ 11452,54"</f>
        <v>$ 11452,54</v>
      </c>
      <c r="E1077" t="str">
        <f>"$ 11452,54"</f>
        <v>$ 11452,54</v>
      </c>
      <c r="F1077" t="str">
        <f>"$ 11452,54"</f>
        <v>$ 11452,54</v>
      </c>
      <c r="G1077" t="str">
        <f>"$ 11452,54"</f>
        <v>$ 11452,54</v>
      </c>
      <c r="H1077" t="str">
        <f t="shared" si="679"/>
        <v>$ 0,00</v>
      </c>
      <c r="I1077" t="str">
        <f t="shared" si="672"/>
        <v>JUEGO COJINETES BIELA</v>
      </c>
      <c r="J1077" t="str">
        <f t="shared" si="680"/>
        <v>1</v>
      </c>
      <c r="K1077" t="str">
        <f t="shared" si="702"/>
        <v>0</v>
      </c>
      <c r="L1077" t="str">
        <f>"32,000"</f>
        <v>32,000</v>
      </c>
      <c r="M1077" t="str">
        <f t="shared" si="681"/>
        <v xml:space="preserve"> </v>
      </c>
      <c r="N1077" t="str">
        <f t="shared" si="707"/>
        <v>MPSI</v>
      </c>
      <c r="O1077" t="str">
        <f t="shared" si="708"/>
        <v>COJINETES</v>
      </c>
      <c r="P1077" t="str">
        <f t="shared" si="710"/>
        <v>0</v>
      </c>
      <c r="Q1077" t="str">
        <f t="shared" si="710"/>
        <v>0</v>
      </c>
      <c r="R1077" t="str">
        <f t="shared" si="711"/>
        <v>0,00</v>
      </c>
      <c r="S1077" t="str">
        <f t="shared" si="711"/>
        <v>0,00</v>
      </c>
      <c r="T1077" t="str">
        <f t="shared" si="699"/>
        <v xml:space="preserve"> </v>
      </c>
      <c r="U1077" t="str">
        <f t="shared" si="705"/>
        <v>-</v>
      </c>
      <c r="V1077" t="str">
        <f>"32,000"</f>
        <v>32,000</v>
      </c>
      <c r="W1077" t="str">
        <f t="shared" si="682"/>
        <v>Lista 4</v>
      </c>
      <c r="X1077" t="str">
        <f t="shared" si="683"/>
        <v>Lista 5</v>
      </c>
      <c r="Y1077" t="str">
        <f t="shared" si="684"/>
        <v>Oferta Gral.</v>
      </c>
      <c r="Z1077" t="str">
        <f t="shared" si="685"/>
        <v>Rubro</v>
      </c>
      <c r="AA1077" t="str">
        <f t="shared" si="686"/>
        <v>Cantidad por Bulto</v>
      </c>
      <c r="AB1077" t="str">
        <f t="shared" si="687"/>
        <v>INNER</v>
      </c>
      <c r="AC1077" t="str">
        <f t="shared" si="688"/>
        <v>Stock en Bultos</v>
      </c>
      <c r="AD1077" t="str">
        <f t="shared" si="689"/>
        <v>SubDepósito</v>
      </c>
      <c r="AE1077" t="str">
        <f t="shared" si="690"/>
        <v>Marca</v>
      </c>
      <c r="AF1077" t="str">
        <f t="shared" si="691"/>
        <v>Super Rubro</v>
      </c>
      <c r="AG1077" t="str">
        <f t="shared" si="692"/>
        <v>ComercioExterior</v>
      </c>
      <c r="AH1077" t="str">
        <f t="shared" si="693"/>
        <v>PrecioFOB</v>
      </c>
      <c r="AI1077" t="str">
        <f t="shared" si="694"/>
        <v>Monto II</v>
      </c>
      <c r="AJ1077" t="str">
        <f t="shared" si="695"/>
        <v>Porcentaje II</v>
      </c>
      <c r="AK1077" t="str">
        <f t="shared" si="696"/>
        <v>Foto</v>
      </c>
      <c r="AL1077" t="str">
        <f>"{\rtf1\ansi\ansicpg1252\deff0\deflang2058{\fonttbl{\f0\fnil\fcharset0 MS Sans Serif}} \viewkind4\uc1\pard\f0\fs16 COJINETES BIELA 0,25 RENAULT MEGANE KANGOO LOGAN 1.6 16V K4M\par } "</f>
        <v xml:space="preserve">{\rtf1\ansi\ansicpg1252\deff0\deflang2058{\fonttbl{\f0\fnil\fcharset0 MS Sans Serif}} \viewkind4\uc1\pard\f0\fs16 COJINETES BIELA 0,25 RENAULT MEGANE KANGOO LOGAN 1.6 16V K4M\par } </v>
      </c>
      <c r="AM1077" t="str">
        <f t="shared" si="706"/>
        <v xml:space="preserve"> </v>
      </c>
    </row>
    <row r="1078" spans="1:39" x14ac:dyDescent="0.25">
      <c r="A1078" t="str">
        <f>"BI556SP 10"</f>
        <v>BI556SP 10</v>
      </c>
      <c r="B1078" t="str">
        <f>"COJINETES BIELA 0,25 SPUTTER MERCEDES SPRINTER OM611"</f>
        <v>COJINETES BIELA 0,25 SPUTTER MERCEDES SPRINTER OM611</v>
      </c>
      <c r="C1078" t="str">
        <f>"$ 49361,70"</f>
        <v>$ 49361,70</v>
      </c>
      <c r="D1078" t="str">
        <f>"$ 49361,70"</f>
        <v>$ 49361,70</v>
      </c>
      <c r="E1078" t="str">
        <f>"$ 49361,70"</f>
        <v>$ 49361,70</v>
      </c>
      <c r="F1078" t="str">
        <f>"$ 49361,70"</f>
        <v>$ 49361,70</v>
      </c>
      <c r="G1078" t="str">
        <f>"$ 49361,70"</f>
        <v>$ 49361,70</v>
      </c>
      <c r="H1078" t="str">
        <f t="shared" si="679"/>
        <v>$ 0,00</v>
      </c>
      <c r="I1078" t="str">
        <f t="shared" si="672"/>
        <v>JUEGO COJINETES BIELA</v>
      </c>
      <c r="J1078" t="str">
        <f t="shared" si="680"/>
        <v>1</v>
      </c>
      <c r="K1078" t="str">
        <f t="shared" si="702"/>
        <v>0</v>
      </c>
      <c r="L1078" t="str">
        <f>"0,000"</f>
        <v>0,000</v>
      </c>
      <c r="M1078" t="str">
        <f t="shared" si="681"/>
        <v xml:space="preserve"> </v>
      </c>
      <c r="N1078" t="str">
        <f t="shared" si="707"/>
        <v>MPSI</v>
      </c>
      <c r="O1078" t="str">
        <f t="shared" si="708"/>
        <v>COJINETES</v>
      </c>
      <c r="P1078" t="str">
        <f t="shared" si="710"/>
        <v>0</v>
      </c>
      <c r="Q1078" t="str">
        <f t="shared" si="710"/>
        <v>0</v>
      </c>
      <c r="R1078" t="str">
        <f t="shared" si="711"/>
        <v>0,00</v>
      </c>
      <c r="S1078" t="str">
        <f t="shared" si="711"/>
        <v>0,00</v>
      </c>
      <c r="T1078" t="str">
        <f t="shared" si="699"/>
        <v xml:space="preserve"> </v>
      </c>
      <c r="U1078" t="str">
        <f t="shared" si="705"/>
        <v>-</v>
      </c>
      <c r="V1078" t="str">
        <f>"0,000"</f>
        <v>0,000</v>
      </c>
      <c r="W1078" t="str">
        <f t="shared" si="682"/>
        <v>Lista 4</v>
      </c>
      <c r="X1078" t="str">
        <f t="shared" si="683"/>
        <v>Lista 5</v>
      </c>
      <c r="Y1078" t="str">
        <f t="shared" si="684"/>
        <v>Oferta Gral.</v>
      </c>
      <c r="Z1078" t="str">
        <f t="shared" si="685"/>
        <v>Rubro</v>
      </c>
      <c r="AA1078" t="str">
        <f t="shared" si="686"/>
        <v>Cantidad por Bulto</v>
      </c>
      <c r="AB1078" t="str">
        <f t="shared" si="687"/>
        <v>INNER</v>
      </c>
      <c r="AC1078" t="str">
        <f t="shared" si="688"/>
        <v>Stock en Bultos</v>
      </c>
      <c r="AD1078" t="str">
        <f t="shared" si="689"/>
        <v>SubDepósito</v>
      </c>
      <c r="AE1078" t="str">
        <f t="shared" si="690"/>
        <v>Marca</v>
      </c>
      <c r="AF1078" t="str">
        <f t="shared" si="691"/>
        <v>Super Rubro</v>
      </c>
      <c r="AG1078" t="str">
        <f t="shared" si="692"/>
        <v>ComercioExterior</v>
      </c>
      <c r="AH1078" t="str">
        <f t="shared" si="693"/>
        <v>PrecioFOB</v>
      </c>
      <c r="AI1078" t="str">
        <f t="shared" si="694"/>
        <v>Monto II</v>
      </c>
      <c r="AJ1078" t="str">
        <f t="shared" si="695"/>
        <v>Porcentaje II</v>
      </c>
      <c r="AK1078" t="str">
        <f t="shared" si="696"/>
        <v>Foto</v>
      </c>
      <c r="AL1078" t="str">
        <f>" "</f>
        <v xml:space="preserve"> </v>
      </c>
      <c r="AM1078" t="str">
        <f t="shared" si="706"/>
        <v xml:space="preserve"> </v>
      </c>
    </row>
    <row r="1079" spans="1:39" x14ac:dyDescent="0.25">
      <c r="A1079" t="str">
        <f>"BI444332 10"</f>
        <v>BI444332 10</v>
      </c>
      <c r="B1079" t="str">
        <f>"COJINETES BIELA 0,25 TOYOTA COROLLA YARIS 1.8 16V MOTOR 2ZR-FE"</f>
        <v>COJINETES BIELA 0,25 TOYOTA COROLLA YARIS 1.8 16V MOTOR 2ZR-FE</v>
      </c>
      <c r="C1079" t="str">
        <f>"$ 12444,29"</f>
        <v>$ 12444,29</v>
      </c>
      <c r="D1079" t="str">
        <f>"$ 12444,29"</f>
        <v>$ 12444,29</v>
      </c>
      <c r="E1079" t="str">
        <f>"$ 12444,29"</f>
        <v>$ 12444,29</v>
      </c>
      <c r="F1079" t="str">
        <f>"$ 12444,29"</f>
        <v>$ 12444,29</v>
      </c>
      <c r="G1079" t="str">
        <f>"$ 12444,29"</f>
        <v>$ 12444,29</v>
      </c>
      <c r="H1079" t="str">
        <f t="shared" si="679"/>
        <v>$ 0,00</v>
      </c>
      <c r="I1079" t="str">
        <f t="shared" si="672"/>
        <v>JUEGO COJINETES BIELA</v>
      </c>
      <c r="J1079" t="str">
        <f t="shared" si="680"/>
        <v>1</v>
      </c>
      <c r="K1079" t="str">
        <f t="shared" si="702"/>
        <v>0</v>
      </c>
      <c r="L1079" t="str">
        <f>"2,000"</f>
        <v>2,000</v>
      </c>
      <c r="M1079" t="str">
        <f t="shared" si="681"/>
        <v xml:space="preserve"> </v>
      </c>
      <c r="N1079" t="str">
        <f t="shared" si="707"/>
        <v>MPSI</v>
      </c>
      <c r="O1079" t="str">
        <f t="shared" si="708"/>
        <v>COJINETES</v>
      </c>
      <c r="P1079" t="str">
        <f t="shared" si="710"/>
        <v>0</v>
      </c>
      <c r="Q1079" t="str">
        <f t="shared" si="710"/>
        <v>0</v>
      </c>
      <c r="R1079" t="str">
        <f t="shared" si="711"/>
        <v>0,00</v>
      </c>
      <c r="S1079" t="str">
        <f t="shared" si="711"/>
        <v>0,00</v>
      </c>
      <c r="T1079" t="str">
        <f t="shared" si="699"/>
        <v xml:space="preserve"> </v>
      </c>
      <c r="U1079" t="str">
        <f t="shared" si="705"/>
        <v>-</v>
      </c>
      <c r="V1079" t="str">
        <f>"2,000"</f>
        <v>2,000</v>
      </c>
      <c r="W1079" t="str">
        <f t="shared" si="682"/>
        <v>Lista 4</v>
      </c>
      <c r="X1079" t="str">
        <f t="shared" si="683"/>
        <v>Lista 5</v>
      </c>
      <c r="Y1079" t="str">
        <f t="shared" si="684"/>
        <v>Oferta Gral.</v>
      </c>
      <c r="Z1079" t="str">
        <f t="shared" si="685"/>
        <v>Rubro</v>
      </c>
      <c r="AA1079" t="str">
        <f t="shared" si="686"/>
        <v>Cantidad por Bulto</v>
      </c>
      <c r="AB1079" t="str">
        <f t="shared" si="687"/>
        <v>INNER</v>
      </c>
      <c r="AC1079" t="str">
        <f t="shared" si="688"/>
        <v>Stock en Bultos</v>
      </c>
      <c r="AD1079" t="str">
        <f t="shared" si="689"/>
        <v>SubDepósito</v>
      </c>
      <c r="AE1079" t="str">
        <f t="shared" si="690"/>
        <v>Marca</v>
      </c>
      <c r="AF1079" t="str">
        <f t="shared" si="691"/>
        <v>Super Rubro</v>
      </c>
      <c r="AG1079" t="str">
        <f t="shared" si="692"/>
        <v>ComercioExterior</v>
      </c>
      <c r="AH1079" t="str">
        <f t="shared" si="693"/>
        <v>PrecioFOB</v>
      </c>
      <c r="AI1079" t="str">
        <f t="shared" si="694"/>
        <v>Monto II</v>
      </c>
      <c r="AJ1079" t="str">
        <f t="shared" si="695"/>
        <v>Porcentaje II</v>
      </c>
      <c r="AK1079" t="str">
        <f t="shared" si="696"/>
        <v>Foto</v>
      </c>
      <c r="AL1079" t="str">
        <f>" "</f>
        <v xml:space="preserve"> </v>
      </c>
      <c r="AM1079" t="str">
        <f t="shared" si="706"/>
        <v xml:space="preserve"> </v>
      </c>
    </row>
    <row r="1080" spans="1:39" x14ac:dyDescent="0.25">
      <c r="A1080" t="str">
        <f>"BI444107 10"</f>
        <v>BI444107 10</v>
      </c>
      <c r="B1080" t="str">
        <f>"COJINETES BIELA 0,25 TOYOTA ETIOS 1.5"</f>
        <v>COJINETES BIELA 0,25 TOYOTA ETIOS 1.5</v>
      </c>
      <c r="C1080" t="str">
        <f>"$ 11415,51"</f>
        <v>$ 11415,51</v>
      </c>
      <c r="D1080" t="str">
        <f>"$ 11415,51"</f>
        <v>$ 11415,51</v>
      </c>
      <c r="E1080" t="str">
        <f>"$ 11415,51"</f>
        <v>$ 11415,51</v>
      </c>
      <c r="F1080" t="str">
        <f>"$ 11415,51"</f>
        <v>$ 11415,51</v>
      </c>
      <c r="G1080" t="str">
        <f>"$ 11415,51"</f>
        <v>$ 11415,51</v>
      </c>
      <c r="H1080" t="str">
        <f t="shared" si="679"/>
        <v>$ 0,00</v>
      </c>
      <c r="I1080" t="str">
        <f t="shared" ref="I1080:I1143" si="713">"JUEGO COJINETES BIELA"</f>
        <v>JUEGO COJINETES BIELA</v>
      </c>
      <c r="J1080" t="str">
        <f t="shared" si="680"/>
        <v>1</v>
      </c>
      <c r="K1080" t="str">
        <f t="shared" si="702"/>
        <v>0</v>
      </c>
      <c r="L1080" t="str">
        <f>"4,000"</f>
        <v>4,000</v>
      </c>
      <c r="M1080" t="str">
        <f t="shared" si="681"/>
        <v xml:space="preserve"> </v>
      </c>
      <c r="N1080" t="str">
        <f t="shared" si="707"/>
        <v>MPSI</v>
      </c>
      <c r="O1080" t="str">
        <f t="shared" si="708"/>
        <v>COJINETES</v>
      </c>
      <c r="P1080" t="str">
        <f t="shared" si="710"/>
        <v>0</v>
      </c>
      <c r="Q1080" t="str">
        <f t="shared" si="710"/>
        <v>0</v>
      </c>
      <c r="R1080" t="str">
        <f t="shared" si="711"/>
        <v>0,00</v>
      </c>
      <c r="S1080" t="str">
        <f t="shared" si="711"/>
        <v>0,00</v>
      </c>
      <c r="T1080" t="str">
        <f t="shared" si="699"/>
        <v xml:space="preserve"> </v>
      </c>
      <c r="U1080" t="str">
        <f t="shared" si="705"/>
        <v>-</v>
      </c>
      <c r="V1080" t="str">
        <f>"4,000"</f>
        <v>4,000</v>
      </c>
      <c r="W1080" t="str">
        <f t="shared" si="682"/>
        <v>Lista 4</v>
      </c>
      <c r="X1080" t="str">
        <f t="shared" si="683"/>
        <v>Lista 5</v>
      </c>
      <c r="Y1080" t="str">
        <f t="shared" si="684"/>
        <v>Oferta Gral.</v>
      </c>
      <c r="Z1080" t="str">
        <f t="shared" si="685"/>
        <v>Rubro</v>
      </c>
      <c r="AA1080" t="str">
        <f t="shared" si="686"/>
        <v>Cantidad por Bulto</v>
      </c>
      <c r="AB1080" t="str">
        <f t="shared" si="687"/>
        <v>INNER</v>
      </c>
      <c r="AC1080" t="str">
        <f t="shared" si="688"/>
        <v>Stock en Bultos</v>
      </c>
      <c r="AD1080" t="str">
        <f t="shared" si="689"/>
        <v>SubDepósito</v>
      </c>
      <c r="AE1080" t="str">
        <f t="shared" si="690"/>
        <v>Marca</v>
      </c>
      <c r="AF1080" t="str">
        <f t="shared" si="691"/>
        <v>Super Rubro</v>
      </c>
      <c r="AG1080" t="str">
        <f t="shared" si="692"/>
        <v>ComercioExterior</v>
      </c>
      <c r="AH1080" t="str">
        <f t="shared" si="693"/>
        <v>PrecioFOB</v>
      </c>
      <c r="AI1080" t="str">
        <f t="shared" si="694"/>
        <v>Monto II</v>
      </c>
      <c r="AJ1080" t="str">
        <f t="shared" si="695"/>
        <v>Porcentaje II</v>
      </c>
      <c r="AK1080" t="str">
        <f t="shared" si="696"/>
        <v>Foto</v>
      </c>
      <c r="AL1080" t="str">
        <f>" "</f>
        <v xml:space="preserve"> </v>
      </c>
      <c r="AM1080" t="str">
        <f t="shared" si="706"/>
        <v xml:space="preserve"> </v>
      </c>
    </row>
    <row r="1081" spans="1:39" x14ac:dyDescent="0.25">
      <c r="A1081" t="str">
        <f>"BI749 10"</f>
        <v>BI749 10</v>
      </c>
      <c r="B1081" t="str">
        <f>"COJINETES BIELA 0,25 TOYOTA HILUX 2.8 L DIESEL MOTOR 3L"</f>
        <v>COJINETES BIELA 0,25 TOYOTA HILUX 2.8 L DIESEL MOTOR 3L</v>
      </c>
      <c r="C1081" t="str">
        <f>"$ 18359,78"</f>
        <v>$ 18359,78</v>
      </c>
      <c r="D1081" t="str">
        <f>"$ 18359,78"</f>
        <v>$ 18359,78</v>
      </c>
      <c r="E1081" t="str">
        <f>"$ 18359,78"</f>
        <v>$ 18359,78</v>
      </c>
      <c r="F1081" t="str">
        <f>"$ 18359,78"</f>
        <v>$ 18359,78</v>
      </c>
      <c r="G1081" t="str">
        <f>"$ 18359,78"</f>
        <v>$ 18359,78</v>
      </c>
      <c r="H1081" t="str">
        <f t="shared" si="679"/>
        <v>$ 0,00</v>
      </c>
      <c r="I1081" t="str">
        <f t="shared" si="713"/>
        <v>JUEGO COJINETES BIELA</v>
      </c>
      <c r="J1081" t="str">
        <f t="shared" si="680"/>
        <v>1</v>
      </c>
      <c r="K1081" t="str">
        <f t="shared" si="702"/>
        <v>0</v>
      </c>
      <c r="L1081" t="str">
        <f>"4,000"</f>
        <v>4,000</v>
      </c>
      <c r="M1081" t="str">
        <f t="shared" si="681"/>
        <v xml:space="preserve"> </v>
      </c>
      <c r="N1081" t="str">
        <f t="shared" si="707"/>
        <v>MPSI</v>
      </c>
      <c r="O1081" t="str">
        <f t="shared" si="708"/>
        <v>COJINETES</v>
      </c>
      <c r="P1081" t="str">
        <f t="shared" si="710"/>
        <v>0</v>
      </c>
      <c r="Q1081" t="str">
        <f t="shared" si="710"/>
        <v>0</v>
      </c>
      <c r="R1081" t="str">
        <f t="shared" si="711"/>
        <v>0,00</v>
      </c>
      <c r="S1081" t="str">
        <f t="shared" si="711"/>
        <v>0,00</v>
      </c>
      <c r="T1081" t="str">
        <f t="shared" si="699"/>
        <v xml:space="preserve"> </v>
      </c>
      <c r="U1081" t="str">
        <f t="shared" si="705"/>
        <v>-</v>
      </c>
      <c r="V1081" t="str">
        <f>"4,000"</f>
        <v>4,000</v>
      </c>
      <c r="W1081" t="str">
        <f t="shared" si="682"/>
        <v>Lista 4</v>
      </c>
      <c r="X1081" t="str">
        <f t="shared" si="683"/>
        <v>Lista 5</v>
      </c>
      <c r="Y1081" t="str">
        <f t="shared" si="684"/>
        <v>Oferta Gral.</v>
      </c>
      <c r="Z1081" t="str">
        <f t="shared" si="685"/>
        <v>Rubro</v>
      </c>
      <c r="AA1081" t="str">
        <f t="shared" si="686"/>
        <v>Cantidad por Bulto</v>
      </c>
      <c r="AB1081" t="str">
        <f t="shared" si="687"/>
        <v>INNER</v>
      </c>
      <c r="AC1081" t="str">
        <f t="shared" si="688"/>
        <v>Stock en Bultos</v>
      </c>
      <c r="AD1081" t="str">
        <f t="shared" si="689"/>
        <v>SubDepósito</v>
      </c>
      <c r="AE1081" t="str">
        <f t="shared" si="690"/>
        <v>Marca</v>
      </c>
      <c r="AF1081" t="str">
        <f t="shared" si="691"/>
        <v>Super Rubro</v>
      </c>
      <c r="AG1081" t="str">
        <f t="shared" si="692"/>
        <v>ComercioExterior</v>
      </c>
      <c r="AH1081" t="str">
        <f t="shared" si="693"/>
        <v>PrecioFOB</v>
      </c>
      <c r="AI1081" t="str">
        <f t="shared" si="694"/>
        <v>Monto II</v>
      </c>
      <c r="AJ1081" t="str">
        <f t="shared" si="695"/>
        <v>Porcentaje II</v>
      </c>
      <c r="AK1081" t="str">
        <f t="shared" si="696"/>
        <v>Foto</v>
      </c>
      <c r="AL1081" t="str">
        <f>" "</f>
        <v xml:space="preserve"> </v>
      </c>
      <c r="AM1081" t="str">
        <f t="shared" si="706"/>
        <v xml:space="preserve"> </v>
      </c>
    </row>
    <row r="1082" spans="1:39" x14ac:dyDescent="0.25">
      <c r="A1082" t="str">
        <f>"BI837 10"</f>
        <v>BI837 10</v>
      </c>
      <c r="B1082" t="str">
        <f>"COJINETES BIELA 0,25 TOYOTA HILUX 3.0 MOTOR D4D 1KD"</f>
        <v>COJINETES BIELA 0,25 TOYOTA HILUX 3.0 MOTOR D4D 1KD</v>
      </c>
      <c r="C1082" t="str">
        <f>"$ 18874,17"</f>
        <v>$ 18874,17</v>
      </c>
      <c r="D1082" t="str">
        <f>"$ 18874,17"</f>
        <v>$ 18874,17</v>
      </c>
      <c r="E1082" t="str">
        <f>"$ 18874,17"</f>
        <v>$ 18874,17</v>
      </c>
      <c r="F1082" t="str">
        <f>"$ 18874,17"</f>
        <v>$ 18874,17</v>
      </c>
      <c r="G1082" t="str">
        <f>"$ 18874,17"</f>
        <v>$ 18874,17</v>
      </c>
      <c r="H1082" t="str">
        <f t="shared" si="679"/>
        <v>$ 0,00</v>
      </c>
      <c r="I1082" t="str">
        <f t="shared" si="713"/>
        <v>JUEGO COJINETES BIELA</v>
      </c>
      <c r="J1082" t="str">
        <f t="shared" si="680"/>
        <v>1</v>
      </c>
      <c r="K1082" t="str">
        <f t="shared" si="702"/>
        <v>0</v>
      </c>
      <c r="L1082" t="str">
        <f>"4,000"</f>
        <v>4,000</v>
      </c>
      <c r="M1082" t="str">
        <f t="shared" si="681"/>
        <v xml:space="preserve"> </v>
      </c>
      <c r="N1082" t="str">
        <f t="shared" si="707"/>
        <v>MPSI</v>
      </c>
      <c r="O1082" t="str">
        <f t="shared" si="708"/>
        <v>COJINETES</v>
      </c>
      <c r="P1082" t="str">
        <f t="shared" si="710"/>
        <v>0</v>
      </c>
      <c r="Q1082" t="str">
        <f t="shared" si="710"/>
        <v>0</v>
      </c>
      <c r="R1082" t="str">
        <f t="shared" si="711"/>
        <v>0,00</v>
      </c>
      <c r="S1082" t="str">
        <f t="shared" si="711"/>
        <v>0,00</v>
      </c>
      <c r="T1082" t="str">
        <f t="shared" si="699"/>
        <v xml:space="preserve"> </v>
      </c>
      <c r="U1082" t="str">
        <f t="shared" si="705"/>
        <v>-</v>
      </c>
      <c r="V1082" t="str">
        <f>"4,000"</f>
        <v>4,000</v>
      </c>
      <c r="W1082" t="str">
        <f t="shared" si="682"/>
        <v>Lista 4</v>
      </c>
      <c r="X1082" t="str">
        <f t="shared" si="683"/>
        <v>Lista 5</v>
      </c>
      <c r="Y1082" t="str">
        <f t="shared" si="684"/>
        <v>Oferta Gral.</v>
      </c>
      <c r="Z1082" t="str">
        <f t="shared" si="685"/>
        <v>Rubro</v>
      </c>
      <c r="AA1082" t="str">
        <f t="shared" si="686"/>
        <v>Cantidad por Bulto</v>
      </c>
      <c r="AB1082" t="str">
        <f t="shared" si="687"/>
        <v>INNER</v>
      </c>
      <c r="AC1082" t="str">
        <f t="shared" si="688"/>
        <v>Stock en Bultos</v>
      </c>
      <c r="AD1082" t="str">
        <f t="shared" si="689"/>
        <v>SubDepósito</v>
      </c>
      <c r="AE1082" t="str">
        <f t="shared" si="690"/>
        <v>Marca</v>
      </c>
      <c r="AF1082" t="str">
        <f t="shared" si="691"/>
        <v>Super Rubro</v>
      </c>
      <c r="AG1082" t="str">
        <f t="shared" si="692"/>
        <v>ComercioExterior</v>
      </c>
      <c r="AH1082" t="str">
        <f t="shared" si="693"/>
        <v>PrecioFOB</v>
      </c>
      <c r="AI1082" t="str">
        <f t="shared" si="694"/>
        <v>Monto II</v>
      </c>
      <c r="AJ1082" t="str">
        <f t="shared" si="695"/>
        <v>Porcentaje II</v>
      </c>
      <c r="AK1082" t="str">
        <f t="shared" si="696"/>
        <v>Foto</v>
      </c>
      <c r="AL1082" t="str">
        <f>" "</f>
        <v xml:space="preserve"> </v>
      </c>
      <c r="AM1082" t="str">
        <f t="shared" si="706"/>
        <v xml:space="preserve"> </v>
      </c>
    </row>
    <row r="1083" spans="1:39" x14ac:dyDescent="0.25">
      <c r="A1083" t="str">
        <f>"BI625 10"</f>
        <v>BI625 10</v>
      </c>
      <c r="B1083" t="str">
        <f>"COJINETES BIELA 0,25 VW FOX SURAN GOL TREND GOLF IVI 1.6 8V"</f>
        <v>COJINETES BIELA 0,25 VW FOX SURAN GOL TREND GOLF IVI 1.6 8V</v>
      </c>
      <c r="C1083" t="str">
        <f>"$ 11667,37"</f>
        <v>$ 11667,37</v>
      </c>
      <c r="D1083" t="str">
        <f>"$ 11667,37"</f>
        <v>$ 11667,37</v>
      </c>
      <c r="E1083" t="str">
        <f>"$ 11667,37"</f>
        <v>$ 11667,37</v>
      </c>
      <c r="F1083" t="str">
        <f>"$ 11667,37"</f>
        <v>$ 11667,37</v>
      </c>
      <c r="G1083" t="str">
        <f>"$ 11667,37"</f>
        <v>$ 11667,37</v>
      </c>
      <c r="H1083" t="str">
        <f t="shared" si="679"/>
        <v>$ 0,00</v>
      </c>
      <c r="I1083" t="str">
        <f t="shared" si="713"/>
        <v>JUEGO COJINETES BIELA</v>
      </c>
      <c r="J1083" t="str">
        <f t="shared" si="680"/>
        <v>1</v>
      </c>
      <c r="K1083" t="str">
        <f t="shared" si="702"/>
        <v>0</v>
      </c>
      <c r="L1083" t="str">
        <f>"17,000"</f>
        <v>17,000</v>
      </c>
      <c r="M1083" t="str">
        <f t="shared" si="681"/>
        <v xml:space="preserve"> </v>
      </c>
      <c r="N1083" t="str">
        <f t="shared" si="707"/>
        <v>MPSI</v>
      </c>
      <c r="O1083" t="str">
        <f t="shared" si="708"/>
        <v>COJINETES</v>
      </c>
      <c r="P1083" t="str">
        <f t="shared" ref="P1083:Q1102" si="714">"0"</f>
        <v>0</v>
      </c>
      <c r="Q1083" t="str">
        <f t="shared" si="714"/>
        <v>0</v>
      </c>
      <c r="R1083" t="str">
        <f t="shared" ref="R1083:S1102" si="715">"0,00"</f>
        <v>0,00</v>
      </c>
      <c r="S1083" t="str">
        <f t="shared" si="715"/>
        <v>0,00</v>
      </c>
      <c r="T1083" t="str">
        <f t="shared" si="699"/>
        <v xml:space="preserve"> </v>
      </c>
      <c r="U1083" t="str">
        <f t="shared" si="705"/>
        <v>-</v>
      </c>
      <c r="V1083" t="str">
        <f>"17,000"</f>
        <v>17,000</v>
      </c>
      <c r="W1083" t="str">
        <f t="shared" si="682"/>
        <v>Lista 4</v>
      </c>
      <c r="X1083" t="str">
        <f t="shared" si="683"/>
        <v>Lista 5</v>
      </c>
      <c r="Y1083" t="str">
        <f t="shared" si="684"/>
        <v>Oferta Gral.</v>
      </c>
      <c r="Z1083" t="str">
        <f t="shared" si="685"/>
        <v>Rubro</v>
      </c>
      <c r="AA1083" t="str">
        <f t="shared" si="686"/>
        <v>Cantidad por Bulto</v>
      </c>
      <c r="AB1083" t="str">
        <f t="shared" si="687"/>
        <v>INNER</v>
      </c>
      <c r="AC1083" t="str">
        <f t="shared" si="688"/>
        <v>Stock en Bultos</v>
      </c>
      <c r="AD1083" t="str">
        <f t="shared" si="689"/>
        <v>SubDepósito</v>
      </c>
      <c r="AE1083" t="str">
        <f t="shared" si="690"/>
        <v>Marca</v>
      </c>
      <c r="AF1083" t="str">
        <f t="shared" si="691"/>
        <v>Super Rubro</v>
      </c>
      <c r="AG1083" t="str">
        <f t="shared" si="692"/>
        <v>ComercioExterior</v>
      </c>
      <c r="AH1083" t="str">
        <f t="shared" si="693"/>
        <v>PrecioFOB</v>
      </c>
      <c r="AI1083" t="str">
        <f t="shared" si="694"/>
        <v>Monto II</v>
      </c>
      <c r="AJ1083" t="str">
        <f t="shared" si="695"/>
        <v>Porcentaje II</v>
      </c>
      <c r="AK1083" t="str">
        <f t="shared" si="696"/>
        <v>Foto</v>
      </c>
      <c r="AL1083" t="str">
        <f>"{\rtf1\ansi\ansicpg1252\deff0\deflang2058{\fonttbl{\f0\fnil\fcharset0 MS Sans Serif}} \viewkind4\uc1\pard\f0\fs16 COJINETES BIELA 0,25 VW FOX SURAN GOL TREND GOLF IVI 1.6 8V\par } "</f>
        <v xml:space="preserve">{\rtf1\ansi\ansicpg1252\deff0\deflang2058{\fonttbl{\f0\fnil\fcharset0 MS Sans Serif}} \viewkind4\uc1\pard\f0\fs16 COJINETES BIELA 0,25 VW FOX SURAN GOL TREND GOLF IVI 1.6 8V\par } </v>
      </c>
      <c r="AM1083" t="str">
        <f t="shared" si="706"/>
        <v xml:space="preserve"> </v>
      </c>
    </row>
    <row r="1084" spans="1:39" x14ac:dyDescent="0.25">
      <c r="A1084" t="str">
        <f>"BI624 10"</f>
        <v>BI624 10</v>
      </c>
      <c r="B1084" t="str">
        <f>"COJINETES BIELA 0,25 VW GOL 1000"</f>
        <v>COJINETES BIELA 0,25 VW GOL 1000</v>
      </c>
      <c r="C1084" t="str">
        <f>"$ 12879,55"</f>
        <v>$ 12879,55</v>
      </c>
      <c r="D1084" t="str">
        <f>"$ 12879,55"</f>
        <v>$ 12879,55</v>
      </c>
      <c r="E1084" t="str">
        <f>"$ 12879,55"</f>
        <v>$ 12879,55</v>
      </c>
      <c r="F1084" t="str">
        <f>"$ 12879,55"</f>
        <v>$ 12879,55</v>
      </c>
      <c r="G1084" t="str">
        <f>"$ 12879,55"</f>
        <v>$ 12879,55</v>
      </c>
      <c r="H1084" t="str">
        <f t="shared" si="679"/>
        <v>$ 0,00</v>
      </c>
      <c r="I1084" t="str">
        <f t="shared" si="713"/>
        <v>JUEGO COJINETES BIELA</v>
      </c>
      <c r="J1084" t="str">
        <f t="shared" si="680"/>
        <v>1</v>
      </c>
      <c r="K1084" t="str">
        <f t="shared" si="702"/>
        <v>0</v>
      </c>
      <c r="L1084" t="str">
        <f>"3,000"</f>
        <v>3,000</v>
      </c>
      <c r="M1084" t="str">
        <f t="shared" si="681"/>
        <v xml:space="preserve"> </v>
      </c>
      <c r="N1084" t="str">
        <f t="shared" si="707"/>
        <v>MPSI</v>
      </c>
      <c r="O1084" t="str">
        <f t="shared" si="708"/>
        <v>COJINETES</v>
      </c>
      <c r="P1084" t="str">
        <f t="shared" si="714"/>
        <v>0</v>
      </c>
      <c r="Q1084" t="str">
        <f t="shared" si="714"/>
        <v>0</v>
      </c>
      <c r="R1084" t="str">
        <f t="shared" si="715"/>
        <v>0,00</v>
      </c>
      <c r="S1084" t="str">
        <f t="shared" si="715"/>
        <v>0,00</v>
      </c>
      <c r="T1084" t="str">
        <f t="shared" si="699"/>
        <v xml:space="preserve"> </v>
      </c>
      <c r="U1084" t="str">
        <f t="shared" si="705"/>
        <v>-</v>
      </c>
      <c r="V1084" t="str">
        <f>"3,000"</f>
        <v>3,000</v>
      </c>
      <c r="W1084" t="str">
        <f t="shared" si="682"/>
        <v>Lista 4</v>
      </c>
      <c r="X1084" t="str">
        <f t="shared" si="683"/>
        <v>Lista 5</v>
      </c>
      <c r="Y1084" t="str">
        <f t="shared" si="684"/>
        <v>Oferta Gral.</v>
      </c>
      <c r="Z1084" t="str">
        <f t="shared" si="685"/>
        <v>Rubro</v>
      </c>
      <c r="AA1084" t="str">
        <f t="shared" si="686"/>
        <v>Cantidad por Bulto</v>
      </c>
      <c r="AB1084" t="str">
        <f t="shared" si="687"/>
        <v>INNER</v>
      </c>
      <c r="AC1084" t="str">
        <f t="shared" si="688"/>
        <v>Stock en Bultos</v>
      </c>
      <c r="AD1084" t="str">
        <f t="shared" si="689"/>
        <v>SubDepósito</v>
      </c>
      <c r="AE1084" t="str">
        <f t="shared" si="690"/>
        <v>Marca</v>
      </c>
      <c r="AF1084" t="str">
        <f t="shared" si="691"/>
        <v>Super Rubro</v>
      </c>
      <c r="AG1084" t="str">
        <f t="shared" si="692"/>
        <v>ComercioExterior</v>
      </c>
      <c r="AH1084" t="str">
        <f t="shared" si="693"/>
        <v>PrecioFOB</v>
      </c>
      <c r="AI1084" t="str">
        <f t="shared" si="694"/>
        <v>Monto II</v>
      </c>
      <c r="AJ1084" t="str">
        <f t="shared" si="695"/>
        <v>Porcentaje II</v>
      </c>
      <c r="AK1084" t="str">
        <f t="shared" si="696"/>
        <v>Foto</v>
      </c>
      <c r="AL1084" t="str">
        <f>" "</f>
        <v xml:space="preserve"> </v>
      </c>
      <c r="AM1084" t="str">
        <f t="shared" si="706"/>
        <v xml:space="preserve"> </v>
      </c>
    </row>
    <row r="1085" spans="1:39" x14ac:dyDescent="0.25">
      <c r="A1085" t="str">
        <f>"BI628 10"</f>
        <v>BI628 10</v>
      </c>
      <c r="B1085" t="str">
        <f>"COJINETES BIELA 0,25 VW GOL POLO SAVEIRO MOTOR AUDI 1.6 8V"</f>
        <v>COJINETES BIELA 0,25 VW GOL POLO SAVEIRO MOTOR AUDI 1.6 8V</v>
      </c>
      <c r="C1085" t="str">
        <f>"$ 12196,21"</f>
        <v>$ 12196,21</v>
      </c>
      <c r="D1085" t="str">
        <f>"$ 12196,21"</f>
        <v>$ 12196,21</v>
      </c>
      <c r="E1085" t="str">
        <f>"$ 12196,21"</f>
        <v>$ 12196,21</v>
      </c>
      <c r="F1085" t="str">
        <f>"$ 12196,21"</f>
        <v>$ 12196,21</v>
      </c>
      <c r="G1085" t="str">
        <f>"$ 12196,21"</f>
        <v>$ 12196,21</v>
      </c>
      <c r="H1085" t="str">
        <f t="shared" si="679"/>
        <v>$ 0,00</v>
      </c>
      <c r="I1085" t="str">
        <f t="shared" si="713"/>
        <v>JUEGO COJINETES BIELA</v>
      </c>
      <c r="J1085" t="str">
        <f t="shared" si="680"/>
        <v>1</v>
      </c>
      <c r="K1085" t="str">
        <f t="shared" si="702"/>
        <v>0</v>
      </c>
      <c r="L1085" t="str">
        <f>"52,000"</f>
        <v>52,000</v>
      </c>
      <c r="M1085" t="str">
        <f t="shared" si="681"/>
        <v xml:space="preserve"> </v>
      </c>
      <c r="N1085" t="str">
        <f t="shared" si="707"/>
        <v>MPSI</v>
      </c>
      <c r="O1085" t="str">
        <f t="shared" si="708"/>
        <v>COJINETES</v>
      </c>
      <c r="P1085" t="str">
        <f t="shared" si="714"/>
        <v>0</v>
      </c>
      <c r="Q1085" t="str">
        <f t="shared" si="714"/>
        <v>0</v>
      </c>
      <c r="R1085" t="str">
        <f t="shared" si="715"/>
        <v>0,00</v>
      </c>
      <c r="S1085" t="str">
        <f t="shared" si="715"/>
        <v>0,00</v>
      </c>
      <c r="T1085" t="str">
        <f t="shared" si="699"/>
        <v xml:space="preserve"> </v>
      </c>
      <c r="U1085" t="str">
        <f t="shared" si="705"/>
        <v>-</v>
      </c>
      <c r="V1085" t="str">
        <f>"52,000"</f>
        <v>52,000</v>
      </c>
      <c r="W1085" t="str">
        <f t="shared" si="682"/>
        <v>Lista 4</v>
      </c>
      <c r="X1085" t="str">
        <f t="shared" si="683"/>
        <v>Lista 5</v>
      </c>
      <c r="Y1085" t="str">
        <f t="shared" si="684"/>
        <v>Oferta Gral.</v>
      </c>
      <c r="Z1085" t="str">
        <f t="shared" si="685"/>
        <v>Rubro</v>
      </c>
      <c r="AA1085" t="str">
        <f t="shared" si="686"/>
        <v>Cantidad por Bulto</v>
      </c>
      <c r="AB1085" t="str">
        <f t="shared" si="687"/>
        <v>INNER</v>
      </c>
      <c r="AC1085" t="str">
        <f t="shared" si="688"/>
        <v>Stock en Bultos</v>
      </c>
      <c r="AD1085" t="str">
        <f t="shared" si="689"/>
        <v>SubDepósito</v>
      </c>
      <c r="AE1085" t="str">
        <f t="shared" si="690"/>
        <v>Marca</v>
      </c>
      <c r="AF1085" t="str">
        <f t="shared" si="691"/>
        <v>Super Rubro</v>
      </c>
      <c r="AG1085" t="str">
        <f t="shared" si="692"/>
        <v>ComercioExterior</v>
      </c>
      <c r="AH1085" t="str">
        <f t="shared" si="693"/>
        <v>PrecioFOB</v>
      </c>
      <c r="AI1085" t="str">
        <f t="shared" si="694"/>
        <v>Monto II</v>
      </c>
      <c r="AJ1085" t="str">
        <f t="shared" si="695"/>
        <v>Porcentaje II</v>
      </c>
      <c r="AK1085" t="str">
        <f t="shared" si="696"/>
        <v>Foto</v>
      </c>
      <c r="AL1085" t="str">
        <f>"{\rtf1\ansi\ansicpg1252\deff0\deflang2058{\fonttbl{\f0\fnil\fcharset0 MS Sans Serif}} \viewkind4\uc1\pard\f0\fs16 COJINETES BIELA 0,25 VW GOL POLO SAVEIRO MOTOR AUDI 1.6 8V\par } "</f>
        <v xml:space="preserve">{\rtf1\ansi\ansicpg1252\deff0\deflang2058{\fonttbl{\f0\fnil\fcharset0 MS Sans Serif}} \viewkind4\uc1\pard\f0\fs16 COJINETES BIELA 0,25 VW GOL POLO SAVEIRO MOTOR AUDI 1.6 8V\par } </v>
      </c>
      <c r="AM1085" t="str">
        <f t="shared" si="706"/>
        <v xml:space="preserve"> </v>
      </c>
    </row>
    <row r="1086" spans="1:39" x14ac:dyDescent="0.25">
      <c r="A1086" t="str">
        <f>"BI483 10"</f>
        <v>BI483 10</v>
      </c>
      <c r="B1086" t="str">
        <f>"COJINETES BIELA 0,25 VW POLO 1.9 TDI"</f>
        <v>COJINETES BIELA 0,25 VW POLO 1.9 TDI</v>
      </c>
      <c r="C1086" t="str">
        <f>"$ 24354,41"</f>
        <v>$ 24354,41</v>
      </c>
      <c r="D1086" t="str">
        <f>"$ 24354,41"</f>
        <v>$ 24354,41</v>
      </c>
      <c r="E1086" t="str">
        <f>"$ 24354,41"</f>
        <v>$ 24354,41</v>
      </c>
      <c r="F1086" t="str">
        <f>"$ 24354,41"</f>
        <v>$ 24354,41</v>
      </c>
      <c r="G1086" t="str">
        <f>"$ 24354,41"</f>
        <v>$ 24354,41</v>
      </c>
      <c r="H1086" t="str">
        <f t="shared" si="679"/>
        <v>$ 0,00</v>
      </c>
      <c r="I1086" t="str">
        <f t="shared" si="713"/>
        <v>JUEGO COJINETES BIELA</v>
      </c>
      <c r="J1086" t="str">
        <f t="shared" si="680"/>
        <v>1</v>
      </c>
      <c r="K1086" t="str">
        <f t="shared" si="702"/>
        <v>0</v>
      </c>
      <c r="L1086" t="str">
        <f>"6,000"</f>
        <v>6,000</v>
      </c>
      <c r="M1086" t="str">
        <f t="shared" si="681"/>
        <v xml:space="preserve"> </v>
      </c>
      <c r="N1086" t="str">
        <f t="shared" si="707"/>
        <v>MPSI</v>
      </c>
      <c r="O1086" t="str">
        <f t="shared" si="708"/>
        <v>COJINETES</v>
      </c>
      <c r="P1086" t="str">
        <f t="shared" si="714"/>
        <v>0</v>
      </c>
      <c r="Q1086" t="str">
        <f t="shared" si="714"/>
        <v>0</v>
      </c>
      <c r="R1086" t="str">
        <f t="shared" si="715"/>
        <v>0,00</v>
      </c>
      <c r="S1086" t="str">
        <f t="shared" si="715"/>
        <v>0,00</v>
      </c>
      <c r="T1086" t="str">
        <f t="shared" si="699"/>
        <v xml:space="preserve"> </v>
      </c>
      <c r="U1086" t="str">
        <f t="shared" si="705"/>
        <v>-</v>
      </c>
      <c r="V1086" t="str">
        <f>"6,000"</f>
        <v>6,000</v>
      </c>
      <c r="W1086" t="str">
        <f t="shared" si="682"/>
        <v>Lista 4</v>
      </c>
      <c r="X1086" t="str">
        <f t="shared" si="683"/>
        <v>Lista 5</v>
      </c>
      <c r="Y1086" t="str">
        <f t="shared" si="684"/>
        <v>Oferta Gral.</v>
      </c>
      <c r="Z1086" t="str">
        <f t="shared" si="685"/>
        <v>Rubro</v>
      </c>
      <c r="AA1086" t="str">
        <f t="shared" si="686"/>
        <v>Cantidad por Bulto</v>
      </c>
      <c r="AB1086" t="str">
        <f t="shared" si="687"/>
        <v>INNER</v>
      </c>
      <c r="AC1086" t="str">
        <f t="shared" si="688"/>
        <v>Stock en Bultos</v>
      </c>
      <c r="AD1086" t="str">
        <f t="shared" si="689"/>
        <v>SubDepósito</v>
      </c>
      <c r="AE1086" t="str">
        <f t="shared" si="690"/>
        <v>Marca</v>
      </c>
      <c r="AF1086" t="str">
        <f t="shared" si="691"/>
        <v>Super Rubro</v>
      </c>
      <c r="AG1086" t="str">
        <f t="shared" si="692"/>
        <v>ComercioExterior</v>
      </c>
      <c r="AH1086" t="str">
        <f t="shared" si="693"/>
        <v>PrecioFOB</v>
      </c>
      <c r="AI1086" t="str">
        <f t="shared" si="694"/>
        <v>Monto II</v>
      </c>
      <c r="AJ1086" t="str">
        <f t="shared" si="695"/>
        <v>Porcentaje II</v>
      </c>
      <c r="AK1086" t="str">
        <f t="shared" si="696"/>
        <v>Foto</v>
      </c>
      <c r="AL1086" t="str">
        <f>"{\rtf1\ansi\ansicpg1252\deff0\deflang11274{\fonttbl{\f0\fnil\fcharset0 MS Sans Serif}} \viewkind4\uc1\pard\f0\fs16 COJINETES BIELA 0,25 VW POLO 1.9 TDI\par } "</f>
        <v xml:space="preserve">{\rtf1\ansi\ansicpg1252\deff0\deflang11274{\fonttbl{\f0\fnil\fcharset0 MS Sans Serif}} \viewkind4\uc1\pard\f0\fs16 COJINETES BIELA 0,25 VW POLO 1.9 TDI\par } </v>
      </c>
      <c r="AM1086" t="str">
        <f t="shared" si="706"/>
        <v xml:space="preserve"> </v>
      </c>
    </row>
    <row r="1087" spans="1:39" x14ac:dyDescent="0.25">
      <c r="A1087" t="str">
        <f>"BI480 10"</f>
        <v>BI480 10</v>
      </c>
      <c r="B1087" t="str">
        <f>"COJINETES BIELA 0,25 VW SENDA GOL DIESEL 1600"</f>
        <v>COJINETES BIELA 0,25 VW SENDA GOL DIESEL 1600</v>
      </c>
      <c r="C1087" t="str">
        <f>"$ 14482,07"</f>
        <v>$ 14482,07</v>
      </c>
      <c r="D1087" t="str">
        <f>"$ 14482,07"</f>
        <v>$ 14482,07</v>
      </c>
      <c r="E1087" t="str">
        <f>"$ 14482,07"</f>
        <v>$ 14482,07</v>
      </c>
      <c r="F1087" t="str">
        <f>"$ 14482,07"</f>
        <v>$ 14482,07</v>
      </c>
      <c r="G1087" t="str">
        <f>"$ 14482,07"</f>
        <v>$ 14482,07</v>
      </c>
      <c r="H1087" t="str">
        <f t="shared" si="679"/>
        <v>$ 0,00</v>
      </c>
      <c r="I1087" t="str">
        <f t="shared" si="713"/>
        <v>JUEGO COJINETES BIELA</v>
      </c>
      <c r="J1087" t="str">
        <f t="shared" si="680"/>
        <v>1</v>
      </c>
      <c r="K1087" t="str">
        <f t="shared" si="702"/>
        <v>0</v>
      </c>
      <c r="L1087" t="str">
        <f>"4,000"</f>
        <v>4,000</v>
      </c>
      <c r="M1087" t="str">
        <f t="shared" si="681"/>
        <v xml:space="preserve"> </v>
      </c>
      <c r="N1087" t="str">
        <f t="shared" si="707"/>
        <v>MPSI</v>
      </c>
      <c r="O1087" t="str">
        <f t="shared" si="708"/>
        <v>COJINETES</v>
      </c>
      <c r="P1087" t="str">
        <f t="shared" si="714"/>
        <v>0</v>
      </c>
      <c r="Q1087" t="str">
        <f t="shared" si="714"/>
        <v>0</v>
      </c>
      <c r="R1087" t="str">
        <f t="shared" si="715"/>
        <v>0,00</v>
      </c>
      <c r="S1087" t="str">
        <f t="shared" si="715"/>
        <v>0,00</v>
      </c>
      <c r="T1087" t="str">
        <f t="shared" si="699"/>
        <v xml:space="preserve"> </v>
      </c>
      <c r="U1087" t="str">
        <f t="shared" si="705"/>
        <v>-</v>
      </c>
      <c r="V1087" t="str">
        <f>"4,000"</f>
        <v>4,000</v>
      </c>
      <c r="W1087" t="str">
        <f t="shared" si="682"/>
        <v>Lista 4</v>
      </c>
      <c r="X1087" t="str">
        <f t="shared" si="683"/>
        <v>Lista 5</v>
      </c>
      <c r="Y1087" t="str">
        <f t="shared" si="684"/>
        <v>Oferta Gral.</v>
      </c>
      <c r="Z1087" t="str">
        <f t="shared" si="685"/>
        <v>Rubro</v>
      </c>
      <c r="AA1087" t="str">
        <f t="shared" si="686"/>
        <v>Cantidad por Bulto</v>
      </c>
      <c r="AB1087" t="str">
        <f t="shared" si="687"/>
        <v>INNER</v>
      </c>
      <c r="AC1087" t="str">
        <f t="shared" si="688"/>
        <v>Stock en Bultos</v>
      </c>
      <c r="AD1087" t="str">
        <f t="shared" si="689"/>
        <v>SubDepósito</v>
      </c>
      <c r="AE1087" t="str">
        <f t="shared" si="690"/>
        <v>Marca</v>
      </c>
      <c r="AF1087" t="str">
        <f t="shared" si="691"/>
        <v>Super Rubro</v>
      </c>
      <c r="AG1087" t="str">
        <f t="shared" si="692"/>
        <v>ComercioExterior</v>
      </c>
      <c r="AH1087" t="str">
        <f t="shared" si="693"/>
        <v>PrecioFOB</v>
      </c>
      <c r="AI1087" t="str">
        <f t="shared" si="694"/>
        <v>Monto II</v>
      </c>
      <c r="AJ1087" t="str">
        <f t="shared" si="695"/>
        <v>Porcentaje II</v>
      </c>
      <c r="AK1087" t="str">
        <f t="shared" si="696"/>
        <v>Foto</v>
      </c>
      <c r="AL1087" t="str">
        <f t="shared" ref="AL1087:AL1102" si="716">" "</f>
        <v xml:space="preserve"> </v>
      </c>
      <c r="AM1087" t="str">
        <f t="shared" si="706"/>
        <v xml:space="preserve"> </v>
      </c>
    </row>
    <row r="1088" spans="1:39" x14ac:dyDescent="0.25">
      <c r="A1088" t="str">
        <f>"BI463108 10"</f>
        <v>BI463108 10</v>
      </c>
      <c r="B1088" t="str">
        <f>"COJINETES BIELA 0,25 VW UP 1.0 3 CILINDROS"</f>
        <v>COJINETES BIELA 0,25 VW UP 1.0 3 CILINDROS</v>
      </c>
      <c r="C1088" t="str">
        <f>"$ 9654,71"</f>
        <v>$ 9654,71</v>
      </c>
      <c r="D1088" t="str">
        <f>"$ 9654,71"</f>
        <v>$ 9654,71</v>
      </c>
      <c r="E1088" t="str">
        <f>"$ 9654,71"</f>
        <v>$ 9654,71</v>
      </c>
      <c r="F1088" t="str">
        <f>"$ 9654,71"</f>
        <v>$ 9654,71</v>
      </c>
      <c r="G1088" t="str">
        <f>"$ 9654,71"</f>
        <v>$ 9654,71</v>
      </c>
      <c r="H1088" t="str">
        <f t="shared" si="679"/>
        <v>$ 0,00</v>
      </c>
      <c r="I1088" t="str">
        <f t="shared" si="713"/>
        <v>JUEGO COJINETES BIELA</v>
      </c>
      <c r="J1088" t="str">
        <f t="shared" si="680"/>
        <v>1</v>
      </c>
      <c r="K1088" t="str">
        <f t="shared" si="702"/>
        <v>0</v>
      </c>
      <c r="L1088" t="str">
        <f>"4,000"</f>
        <v>4,000</v>
      </c>
      <c r="M1088" t="str">
        <f t="shared" si="681"/>
        <v xml:space="preserve"> </v>
      </c>
      <c r="N1088" t="str">
        <f t="shared" si="707"/>
        <v>MPSI</v>
      </c>
      <c r="O1088" t="str">
        <f t="shared" si="708"/>
        <v>COJINETES</v>
      </c>
      <c r="P1088" t="str">
        <f t="shared" si="714"/>
        <v>0</v>
      </c>
      <c r="Q1088" t="str">
        <f t="shared" si="714"/>
        <v>0</v>
      </c>
      <c r="R1088" t="str">
        <f t="shared" si="715"/>
        <v>0,00</v>
      </c>
      <c r="S1088" t="str">
        <f t="shared" si="715"/>
        <v>0,00</v>
      </c>
      <c r="T1088" t="str">
        <f t="shared" si="699"/>
        <v xml:space="preserve"> </v>
      </c>
      <c r="U1088" t="str">
        <f t="shared" si="705"/>
        <v>-</v>
      </c>
      <c r="V1088" t="str">
        <f>"4,000"</f>
        <v>4,000</v>
      </c>
      <c r="W1088" t="str">
        <f t="shared" si="682"/>
        <v>Lista 4</v>
      </c>
      <c r="X1088" t="str">
        <f t="shared" si="683"/>
        <v>Lista 5</v>
      </c>
      <c r="Y1088" t="str">
        <f t="shared" si="684"/>
        <v>Oferta Gral.</v>
      </c>
      <c r="Z1088" t="str">
        <f t="shared" si="685"/>
        <v>Rubro</v>
      </c>
      <c r="AA1088" t="str">
        <f t="shared" si="686"/>
        <v>Cantidad por Bulto</v>
      </c>
      <c r="AB1088" t="str">
        <f t="shared" si="687"/>
        <v>INNER</v>
      </c>
      <c r="AC1088" t="str">
        <f t="shared" si="688"/>
        <v>Stock en Bultos</v>
      </c>
      <c r="AD1088" t="str">
        <f t="shared" si="689"/>
        <v>SubDepósito</v>
      </c>
      <c r="AE1088" t="str">
        <f t="shared" si="690"/>
        <v>Marca</v>
      </c>
      <c r="AF1088" t="str">
        <f t="shared" si="691"/>
        <v>Super Rubro</v>
      </c>
      <c r="AG1088" t="str">
        <f t="shared" si="692"/>
        <v>ComercioExterior</v>
      </c>
      <c r="AH1088" t="str">
        <f t="shared" si="693"/>
        <v>PrecioFOB</v>
      </c>
      <c r="AI1088" t="str">
        <f t="shared" si="694"/>
        <v>Monto II</v>
      </c>
      <c r="AJ1088" t="str">
        <f t="shared" si="695"/>
        <v>Porcentaje II</v>
      </c>
      <c r="AK1088" t="str">
        <f t="shared" si="696"/>
        <v>Foto</v>
      </c>
      <c r="AL1088" t="str">
        <f t="shared" si="716"/>
        <v xml:space="preserve"> </v>
      </c>
      <c r="AM1088" t="str">
        <f t="shared" si="706"/>
        <v xml:space="preserve"> </v>
      </c>
    </row>
    <row r="1089" spans="1:39" x14ac:dyDescent="0.25">
      <c r="A1089" t="str">
        <f>"BI677 10"</f>
        <v>BI677 10</v>
      </c>
      <c r="B1089" t="str">
        <f>"COJINETES BIELA 0,30 PEUGEOT 205 206 1.4 TU3"</f>
        <v>COJINETES BIELA 0,30 PEUGEOT 205 206 1.4 TU3</v>
      </c>
      <c r="C1089" t="str">
        <f>"$ 15293,23"</f>
        <v>$ 15293,23</v>
      </c>
      <c r="D1089" t="str">
        <f>"$ 15293,23"</f>
        <v>$ 15293,23</v>
      </c>
      <c r="E1089" t="str">
        <f>"$ 15293,23"</f>
        <v>$ 15293,23</v>
      </c>
      <c r="F1089" t="str">
        <f>"$ 15293,23"</f>
        <v>$ 15293,23</v>
      </c>
      <c r="G1089" t="str">
        <f>"$ 15293,23"</f>
        <v>$ 15293,23</v>
      </c>
      <c r="H1089" t="str">
        <f t="shared" si="679"/>
        <v>$ 0,00</v>
      </c>
      <c r="I1089" t="str">
        <f t="shared" si="713"/>
        <v>JUEGO COJINETES BIELA</v>
      </c>
      <c r="J1089" t="str">
        <f t="shared" si="680"/>
        <v>1</v>
      </c>
      <c r="K1089" t="str">
        <f t="shared" si="702"/>
        <v>0</v>
      </c>
      <c r="L1089" t="str">
        <f>"1,000"</f>
        <v>1,000</v>
      </c>
      <c r="M1089" t="str">
        <f t="shared" si="681"/>
        <v xml:space="preserve"> </v>
      </c>
      <c r="N1089" t="str">
        <f t="shared" si="707"/>
        <v>MPSI</v>
      </c>
      <c r="O1089" t="str">
        <f t="shared" si="708"/>
        <v>COJINETES</v>
      </c>
      <c r="P1089" t="str">
        <f t="shared" si="714"/>
        <v>0</v>
      </c>
      <c r="Q1089" t="str">
        <f t="shared" si="714"/>
        <v>0</v>
      </c>
      <c r="R1089" t="str">
        <f t="shared" si="715"/>
        <v>0,00</v>
      </c>
      <c r="S1089" t="str">
        <f t="shared" si="715"/>
        <v>0,00</v>
      </c>
      <c r="T1089" t="str">
        <f t="shared" si="699"/>
        <v xml:space="preserve"> </v>
      </c>
      <c r="U1089" t="str">
        <f t="shared" si="705"/>
        <v>-</v>
      </c>
      <c r="V1089" t="str">
        <f>"1,000"</f>
        <v>1,000</v>
      </c>
      <c r="W1089" t="str">
        <f t="shared" si="682"/>
        <v>Lista 4</v>
      </c>
      <c r="X1089" t="str">
        <f t="shared" si="683"/>
        <v>Lista 5</v>
      </c>
      <c r="Y1089" t="str">
        <f t="shared" si="684"/>
        <v>Oferta Gral.</v>
      </c>
      <c r="Z1089" t="str">
        <f t="shared" si="685"/>
        <v>Rubro</v>
      </c>
      <c r="AA1089" t="str">
        <f t="shared" si="686"/>
        <v>Cantidad por Bulto</v>
      </c>
      <c r="AB1089" t="str">
        <f t="shared" si="687"/>
        <v>INNER</v>
      </c>
      <c r="AC1089" t="str">
        <f t="shared" si="688"/>
        <v>Stock en Bultos</v>
      </c>
      <c r="AD1089" t="str">
        <f t="shared" si="689"/>
        <v>SubDepósito</v>
      </c>
      <c r="AE1089" t="str">
        <f t="shared" si="690"/>
        <v>Marca</v>
      </c>
      <c r="AF1089" t="str">
        <f t="shared" si="691"/>
        <v>Super Rubro</v>
      </c>
      <c r="AG1089" t="str">
        <f t="shared" si="692"/>
        <v>ComercioExterior</v>
      </c>
      <c r="AH1089" t="str">
        <f t="shared" si="693"/>
        <v>PrecioFOB</v>
      </c>
      <c r="AI1089" t="str">
        <f t="shared" si="694"/>
        <v>Monto II</v>
      </c>
      <c r="AJ1089" t="str">
        <f t="shared" si="695"/>
        <v>Porcentaje II</v>
      </c>
      <c r="AK1089" t="str">
        <f t="shared" si="696"/>
        <v>Foto</v>
      </c>
      <c r="AL1089" t="str">
        <f t="shared" si="716"/>
        <v xml:space="preserve"> </v>
      </c>
      <c r="AM1089" t="str">
        <f t="shared" si="706"/>
        <v xml:space="preserve"> </v>
      </c>
    </row>
    <row r="1090" spans="1:39" x14ac:dyDescent="0.25">
      <c r="A1090" t="str">
        <f>"BI422 10"</f>
        <v>BI422 10</v>
      </c>
      <c r="B1090" t="str">
        <f>"COJINETES BIELA 0,30 PEUGEOT 306 1.9 TURBO DIESEL XUD9T"</f>
        <v>COJINETES BIELA 0,30 PEUGEOT 306 1.9 TURBO DIESEL XUD9T</v>
      </c>
      <c r="C1090" t="str">
        <f>"$ 25442,55"</f>
        <v>$ 25442,55</v>
      </c>
      <c r="D1090" t="str">
        <f>"$ 25442,55"</f>
        <v>$ 25442,55</v>
      </c>
      <c r="E1090" t="str">
        <f>"$ 25442,55"</f>
        <v>$ 25442,55</v>
      </c>
      <c r="F1090" t="str">
        <f>"$ 25442,55"</f>
        <v>$ 25442,55</v>
      </c>
      <c r="G1090" t="str">
        <f>"$ 25442,55"</f>
        <v>$ 25442,55</v>
      </c>
      <c r="H1090" t="str">
        <f t="shared" si="679"/>
        <v>$ 0,00</v>
      </c>
      <c r="I1090" t="str">
        <f t="shared" si="713"/>
        <v>JUEGO COJINETES BIELA</v>
      </c>
      <c r="J1090" t="str">
        <f t="shared" si="680"/>
        <v>1</v>
      </c>
      <c r="K1090" t="str">
        <f t="shared" si="702"/>
        <v>0</v>
      </c>
      <c r="L1090" t="str">
        <f>"3,000"</f>
        <v>3,000</v>
      </c>
      <c r="M1090" t="str">
        <f t="shared" si="681"/>
        <v xml:space="preserve"> </v>
      </c>
      <c r="N1090" t="str">
        <f t="shared" si="707"/>
        <v>MPSI</v>
      </c>
      <c r="O1090" t="str">
        <f t="shared" si="708"/>
        <v>COJINETES</v>
      </c>
      <c r="P1090" t="str">
        <f t="shared" si="714"/>
        <v>0</v>
      </c>
      <c r="Q1090" t="str">
        <f t="shared" si="714"/>
        <v>0</v>
      </c>
      <c r="R1090" t="str">
        <f t="shared" si="715"/>
        <v>0,00</v>
      </c>
      <c r="S1090" t="str">
        <f t="shared" si="715"/>
        <v>0,00</v>
      </c>
      <c r="T1090" t="str">
        <f t="shared" si="699"/>
        <v xml:space="preserve"> </v>
      </c>
      <c r="U1090" t="str">
        <f t="shared" si="705"/>
        <v>-</v>
      </c>
      <c r="V1090" t="str">
        <f>"3,000"</f>
        <v>3,000</v>
      </c>
      <c r="W1090" t="str">
        <f t="shared" si="682"/>
        <v>Lista 4</v>
      </c>
      <c r="X1090" t="str">
        <f t="shared" si="683"/>
        <v>Lista 5</v>
      </c>
      <c r="Y1090" t="str">
        <f t="shared" si="684"/>
        <v>Oferta Gral.</v>
      </c>
      <c r="Z1090" t="str">
        <f t="shared" si="685"/>
        <v>Rubro</v>
      </c>
      <c r="AA1090" t="str">
        <f t="shared" si="686"/>
        <v>Cantidad por Bulto</v>
      </c>
      <c r="AB1090" t="str">
        <f t="shared" si="687"/>
        <v>INNER</v>
      </c>
      <c r="AC1090" t="str">
        <f t="shared" si="688"/>
        <v>Stock en Bultos</v>
      </c>
      <c r="AD1090" t="str">
        <f t="shared" si="689"/>
        <v>SubDepósito</v>
      </c>
      <c r="AE1090" t="str">
        <f t="shared" si="690"/>
        <v>Marca</v>
      </c>
      <c r="AF1090" t="str">
        <f t="shared" si="691"/>
        <v>Super Rubro</v>
      </c>
      <c r="AG1090" t="str">
        <f t="shared" si="692"/>
        <v>ComercioExterior</v>
      </c>
      <c r="AH1090" t="str">
        <f t="shared" si="693"/>
        <v>PrecioFOB</v>
      </c>
      <c r="AI1090" t="str">
        <f t="shared" si="694"/>
        <v>Monto II</v>
      </c>
      <c r="AJ1090" t="str">
        <f t="shared" si="695"/>
        <v>Porcentaje II</v>
      </c>
      <c r="AK1090" t="str">
        <f t="shared" si="696"/>
        <v>Foto</v>
      </c>
      <c r="AL1090" t="str">
        <f t="shared" si="716"/>
        <v xml:space="preserve"> </v>
      </c>
      <c r="AM1090" t="str">
        <f t="shared" si="706"/>
        <v xml:space="preserve"> </v>
      </c>
    </row>
    <row r="1091" spans="1:39" x14ac:dyDescent="0.25">
      <c r="A1091" t="str">
        <f>"BI734 10"</f>
        <v>BI734 10</v>
      </c>
      <c r="B1091" t="str">
        <f>"COJINETES BIELA 0,30 PEUGEOT 306 405 PARTNER 1.9D MOTOR XUD9"</f>
        <v>COJINETES BIELA 0,30 PEUGEOT 306 405 PARTNER 1.9D MOTOR XUD9</v>
      </c>
      <c r="C1091" t="str">
        <f>"$ 13584,39"</f>
        <v>$ 13584,39</v>
      </c>
      <c r="D1091" t="str">
        <f>"$ 13584,39"</f>
        <v>$ 13584,39</v>
      </c>
      <c r="E1091" t="str">
        <f>"$ 13584,39"</f>
        <v>$ 13584,39</v>
      </c>
      <c r="F1091" t="str">
        <f>"$ 13584,39"</f>
        <v>$ 13584,39</v>
      </c>
      <c r="G1091" t="str">
        <f>"$ 13584,39"</f>
        <v>$ 13584,39</v>
      </c>
      <c r="H1091" t="str">
        <f t="shared" ref="H1091:H1154" si="717">"$ 0,00"</f>
        <v>$ 0,00</v>
      </c>
      <c r="I1091" t="str">
        <f t="shared" si="713"/>
        <v>JUEGO COJINETES BIELA</v>
      </c>
      <c r="J1091" t="str">
        <f t="shared" ref="J1091:J1154" si="718">"1"</f>
        <v>1</v>
      </c>
      <c r="K1091" t="str">
        <f t="shared" si="702"/>
        <v>0</v>
      </c>
      <c r="L1091" t="str">
        <f>"21,000"</f>
        <v>21,000</v>
      </c>
      <c r="M1091" t="str">
        <f t="shared" ref="M1091:M1154" si="719">" "</f>
        <v xml:space="preserve"> </v>
      </c>
      <c r="N1091" t="str">
        <f t="shared" si="707"/>
        <v>MPSI</v>
      </c>
      <c r="O1091" t="str">
        <f t="shared" si="708"/>
        <v>COJINETES</v>
      </c>
      <c r="P1091" t="str">
        <f t="shared" si="714"/>
        <v>0</v>
      </c>
      <c r="Q1091" t="str">
        <f t="shared" si="714"/>
        <v>0</v>
      </c>
      <c r="R1091" t="str">
        <f t="shared" si="715"/>
        <v>0,00</v>
      </c>
      <c r="S1091" t="str">
        <f t="shared" si="715"/>
        <v>0,00</v>
      </c>
      <c r="T1091" t="str">
        <f t="shared" si="699"/>
        <v xml:space="preserve"> </v>
      </c>
      <c r="U1091" t="str">
        <f t="shared" si="705"/>
        <v>-</v>
      </c>
      <c r="V1091" t="str">
        <f>"21,000"</f>
        <v>21,000</v>
      </c>
      <c r="W1091" t="str">
        <f t="shared" ref="W1091:W1154" si="720">"Lista 4"</f>
        <v>Lista 4</v>
      </c>
      <c r="X1091" t="str">
        <f t="shared" ref="X1091:X1154" si="721">"Lista 5"</f>
        <v>Lista 5</v>
      </c>
      <c r="Y1091" t="str">
        <f t="shared" ref="Y1091:Y1154" si="722">"Oferta Gral."</f>
        <v>Oferta Gral.</v>
      </c>
      <c r="Z1091" t="str">
        <f t="shared" ref="Z1091:Z1154" si="723">"Rubro"</f>
        <v>Rubro</v>
      </c>
      <c r="AA1091" t="str">
        <f t="shared" ref="AA1091:AA1154" si="724">"Cantidad por Bulto"</f>
        <v>Cantidad por Bulto</v>
      </c>
      <c r="AB1091" t="str">
        <f t="shared" ref="AB1091:AB1154" si="725">"INNER"</f>
        <v>INNER</v>
      </c>
      <c r="AC1091" t="str">
        <f t="shared" ref="AC1091:AC1154" si="726">"Stock en Bultos"</f>
        <v>Stock en Bultos</v>
      </c>
      <c r="AD1091" t="str">
        <f t="shared" ref="AD1091:AD1154" si="727">"SubDepósito"</f>
        <v>SubDepósito</v>
      </c>
      <c r="AE1091" t="str">
        <f t="shared" ref="AE1091:AE1154" si="728">"Marca"</f>
        <v>Marca</v>
      </c>
      <c r="AF1091" t="str">
        <f t="shared" ref="AF1091:AF1154" si="729">"Super Rubro"</f>
        <v>Super Rubro</v>
      </c>
      <c r="AG1091" t="str">
        <f t="shared" ref="AG1091:AG1154" si="730">"ComercioExterior"</f>
        <v>ComercioExterior</v>
      </c>
      <c r="AH1091" t="str">
        <f t="shared" ref="AH1091:AH1154" si="731">"PrecioFOB"</f>
        <v>PrecioFOB</v>
      </c>
      <c r="AI1091" t="str">
        <f t="shared" ref="AI1091:AI1154" si="732">"Monto II"</f>
        <v>Monto II</v>
      </c>
      <c r="AJ1091" t="str">
        <f t="shared" ref="AJ1091:AJ1154" si="733">"Porcentaje II"</f>
        <v>Porcentaje II</v>
      </c>
      <c r="AK1091" t="str">
        <f t="shared" ref="AK1091:AK1154" si="734">"Foto"</f>
        <v>Foto</v>
      </c>
      <c r="AL1091" t="str">
        <f t="shared" si="716"/>
        <v xml:space="preserve"> </v>
      </c>
      <c r="AM1091" t="str">
        <f t="shared" si="706"/>
        <v xml:space="preserve"> </v>
      </c>
    </row>
    <row r="1092" spans="1:39" x14ac:dyDescent="0.25">
      <c r="A1092" t="str">
        <f>"BI421 10"</f>
        <v>BI421 10</v>
      </c>
      <c r="B1092" t="str">
        <f>"COJINETES BIELA 0,30 PEUGEOT 306 406 DW10 4 TRABAS DER Y 4 IZQ"</f>
        <v>COJINETES BIELA 0,30 PEUGEOT 306 406 DW10 4 TRABAS DER Y 4 IZQ</v>
      </c>
      <c r="C1092" t="str">
        <f>"$ 25699,74"</f>
        <v>$ 25699,74</v>
      </c>
      <c r="D1092" t="str">
        <f>"$ 25699,74"</f>
        <v>$ 25699,74</v>
      </c>
      <c r="E1092" t="str">
        <f>"$ 25699,74"</f>
        <v>$ 25699,74</v>
      </c>
      <c r="F1092" t="str">
        <f>"$ 25699,74"</f>
        <v>$ 25699,74</v>
      </c>
      <c r="G1092" t="str">
        <f>"$ 25699,74"</f>
        <v>$ 25699,74</v>
      </c>
      <c r="H1092" t="str">
        <f t="shared" si="717"/>
        <v>$ 0,00</v>
      </c>
      <c r="I1092" t="str">
        <f t="shared" si="713"/>
        <v>JUEGO COJINETES BIELA</v>
      </c>
      <c r="J1092" t="str">
        <f t="shared" si="718"/>
        <v>1</v>
      </c>
      <c r="K1092" t="str">
        <f t="shared" si="702"/>
        <v>0</v>
      </c>
      <c r="L1092" t="str">
        <f>"7,000"</f>
        <v>7,000</v>
      </c>
      <c r="M1092" t="str">
        <f t="shared" si="719"/>
        <v xml:space="preserve"> </v>
      </c>
      <c r="N1092" t="str">
        <f t="shared" si="707"/>
        <v>MPSI</v>
      </c>
      <c r="O1092" t="str">
        <f t="shared" si="708"/>
        <v>COJINETES</v>
      </c>
      <c r="P1092" t="str">
        <f t="shared" si="714"/>
        <v>0</v>
      </c>
      <c r="Q1092" t="str">
        <f t="shared" si="714"/>
        <v>0</v>
      </c>
      <c r="R1092" t="str">
        <f t="shared" si="715"/>
        <v>0,00</v>
      </c>
      <c r="S1092" t="str">
        <f t="shared" si="715"/>
        <v>0,00</v>
      </c>
      <c r="T1092" t="str">
        <f t="shared" si="699"/>
        <v xml:space="preserve"> </v>
      </c>
      <c r="U1092" t="str">
        <f t="shared" ref="U1092:U1112" si="735">"-"</f>
        <v>-</v>
      </c>
      <c r="V1092" t="str">
        <f>"7,000"</f>
        <v>7,000</v>
      </c>
      <c r="W1092" t="str">
        <f t="shared" si="720"/>
        <v>Lista 4</v>
      </c>
      <c r="X1092" t="str">
        <f t="shared" si="721"/>
        <v>Lista 5</v>
      </c>
      <c r="Y1092" t="str">
        <f t="shared" si="722"/>
        <v>Oferta Gral.</v>
      </c>
      <c r="Z1092" t="str">
        <f t="shared" si="723"/>
        <v>Rubro</v>
      </c>
      <c r="AA1092" t="str">
        <f t="shared" si="724"/>
        <v>Cantidad por Bulto</v>
      </c>
      <c r="AB1092" t="str">
        <f t="shared" si="725"/>
        <v>INNER</v>
      </c>
      <c r="AC1092" t="str">
        <f t="shared" si="726"/>
        <v>Stock en Bultos</v>
      </c>
      <c r="AD1092" t="str">
        <f t="shared" si="727"/>
        <v>SubDepósito</v>
      </c>
      <c r="AE1092" t="str">
        <f t="shared" si="728"/>
        <v>Marca</v>
      </c>
      <c r="AF1092" t="str">
        <f t="shared" si="729"/>
        <v>Super Rubro</v>
      </c>
      <c r="AG1092" t="str">
        <f t="shared" si="730"/>
        <v>ComercioExterior</v>
      </c>
      <c r="AH1092" t="str">
        <f t="shared" si="731"/>
        <v>PrecioFOB</v>
      </c>
      <c r="AI1092" t="str">
        <f t="shared" si="732"/>
        <v>Monto II</v>
      </c>
      <c r="AJ1092" t="str">
        <f t="shared" si="733"/>
        <v>Porcentaje II</v>
      </c>
      <c r="AK1092" t="str">
        <f t="shared" si="734"/>
        <v>Foto</v>
      </c>
      <c r="AL1092" t="str">
        <f t="shared" si="716"/>
        <v xml:space="preserve"> </v>
      </c>
      <c r="AM1092" t="str">
        <f t="shared" ref="AM1092:AM1112" si="736">" "</f>
        <v xml:space="preserve"> </v>
      </c>
    </row>
    <row r="1093" spans="1:39" x14ac:dyDescent="0.25">
      <c r="A1093" t="str">
        <f>"BI732 10"</f>
        <v>BI732 10</v>
      </c>
      <c r="B1093" t="str">
        <f>"COJINETES BIELA 0,30 PEUGEOT 307 406 MOTOR 2.0 EW10J4 XU7"</f>
        <v>COJINETES BIELA 0,30 PEUGEOT 307 406 MOTOR 2.0 EW10J4 XU7</v>
      </c>
      <c r="C1093" t="str">
        <f>"$ 16519,85"</f>
        <v>$ 16519,85</v>
      </c>
      <c r="D1093" t="str">
        <f>"$ 16519,85"</f>
        <v>$ 16519,85</v>
      </c>
      <c r="E1093" t="str">
        <f>"$ 16519,85"</f>
        <v>$ 16519,85</v>
      </c>
      <c r="F1093" t="str">
        <f>"$ 16519,85"</f>
        <v>$ 16519,85</v>
      </c>
      <c r="G1093" t="str">
        <f>"$ 16519,85"</f>
        <v>$ 16519,85</v>
      </c>
      <c r="H1093" t="str">
        <f t="shared" si="717"/>
        <v>$ 0,00</v>
      </c>
      <c r="I1093" t="str">
        <f t="shared" si="713"/>
        <v>JUEGO COJINETES BIELA</v>
      </c>
      <c r="J1093" t="str">
        <f t="shared" si="718"/>
        <v>1</v>
      </c>
      <c r="K1093" t="str">
        <f t="shared" si="702"/>
        <v>0</v>
      </c>
      <c r="L1093" t="str">
        <f>"7,000"</f>
        <v>7,000</v>
      </c>
      <c r="M1093" t="str">
        <f t="shared" si="719"/>
        <v xml:space="preserve"> </v>
      </c>
      <c r="N1093" t="str">
        <f t="shared" si="707"/>
        <v>MPSI</v>
      </c>
      <c r="O1093" t="str">
        <f t="shared" si="708"/>
        <v>COJINETES</v>
      </c>
      <c r="P1093" t="str">
        <f t="shared" si="714"/>
        <v>0</v>
      </c>
      <c r="Q1093" t="str">
        <f t="shared" si="714"/>
        <v>0</v>
      </c>
      <c r="R1093" t="str">
        <f t="shared" si="715"/>
        <v>0,00</v>
      </c>
      <c r="S1093" t="str">
        <f t="shared" si="715"/>
        <v>0,00</v>
      </c>
      <c r="T1093" t="str">
        <f t="shared" si="699"/>
        <v xml:space="preserve"> </v>
      </c>
      <c r="U1093" t="str">
        <f t="shared" si="735"/>
        <v>-</v>
      </c>
      <c r="V1093" t="str">
        <f>"7,000"</f>
        <v>7,000</v>
      </c>
      <c r="W1093" t="str">
        <f t="shared" si="720"/>
        <v>Lista 4</v>
      </c>
      <c r="X1093" t="str">
        <f t="shared" si="721"/>
        <v>Lista 5</v>
      </c>
      <c r="Y1093" t="str">
        <f t="shared" si="722"/>
        <v>Oferta Gral.</v>
      </c>
      <c r="Z1093" t="str">
        <f t="shared" si="723"/>
        <v>Rubro</v>
      </c>
      <c r="AA1093" t="str">
        <f t="shared" si="724"/>
        <v>Cantidad por Bulto</v>
      </c>
      <c r="AB1093" t="str">
        <f t="shared" si="725"/>
        <v>INNER</v>
      </c>
      <c r="AC1093" t="str">
        <f t="shared" si="726"/>
        <v>Stock en Bultos</v>
      </c>
      <c r="AD1093" t="str">
        <f t="shared" si="727"/>
        <v>SubDepósito</v>
      </c>
      <c r="AE1093" t="str">
        <f t="shared" si="728"/>
        <v>Marca</v>
      </c>
      <c r="AF1093" t="str">
        <f t="shared" si="729"/>
        <v>Super Rubro</v>
      </c>
      <c r="AG1093" t="str">
        <f t="shared" si="730"/>
        <v>ComercioExterior</v>
      </c>
      <c r="AH1093" t="str">
        <f t="shared" si="731"/>
        <v>PrecioFOB</v>
      </c>
      <c r="AI1093" t="str">
        <f t="shared" si="732"/>
        <v>Monto II</v>
      </c>
      <c r="AJ1093" t="str">
        <f t="shared" si="733"/>
        <v>Porcentaje II</v>
      </c>
      <c r="AK1093" t="str">
        <f t="shared" si="734"/>
        <v>Foto</v>
      </c>
      <c r="AL1093" t="str">
        <f t="shared" si="716"/>
        <v xml:space="preserve"> </v>
      </c>
      <c r="AM1093" t="str">
        <f t="shared" si="736"/>
        <v xml:space="preserve"> </v>
      </c>
    </row>
    <row r="1094" spans="1:39" x14ac:dyDescent="0.25">
      <c r="A1094" t="str">
        <f>"BI731 10"</f>
        <v>BI731 10</v>
      </c>
      <c r="B1094" t="str">
        <f>"COJINETES BIELA 0,30 PEUGEOT 307 CITROEN C4 1.6 16V TU5JP4"</f>
        <v>COJINETES BIELA 0,30 PEUGEOT 307 CITROEN C4 1.6 16V TU5JP4</v>
      </c>
      <c r="C1094" t="str">
        <f>"$ 12559,78"</f>
        <v>$ 12559,78</v>
      </c>
      <c r="D1094" t="str">
        <f>"$ 12559,78"</f>
        <v>$ 12559,78</v>
      </c>
      <c r="E1094" t="str">
        <f>"$ 12559,78"</f>
        <v>$ 12559,78</v>
      </c>
      <c r="F1094" t="str">
        <f>"$ 12559,78"</f>
        <v>$ 12559,78</v>
      </c>
      <c r="G1094" t="str">
        <f>"$ 12559,78"</f>
        <v>$ 12559,78</v>
      </c>
      <c r="H1094" t="str">
        <f t="shared" si="717"/>
        <v>$ 0,00</v>
      </c>
      <c r="I1094" t="str">
        <f t="shared" si="713"/>
        <v>JUEGO COJINETES BIELA</v>
      </c>
      <c r="J1094" t="str">
        <f t="shared" si="718"/>
        <v>1</v>
      </c>
      <c r="K1094" t="str">
        <f t="shared" si="702"/>
        <v>0</v>
      </c>
      <c r="L1094" t="str">
        <f>"8,000"</f>
        <v>8,000</v>
      </c>
      <c r="M1094" t="str">
        <f t="shared" si="719"/>
        <v xml:space="preserve"> </v>
      </c>
      <c r="N1094" t="str">
        <f t="shared" si="707"/>
        <v>MPSI</v>
      </c>
      <c r="O1094" t="str">
        <f t="shared" si="708"/>
        <v>COJINETES</v>
      </c>
      <c r="P1094" t="str">
        <f t="shared" si="714"/>
        <v>0</v>
      </c>
      <c r="Q1094" t="str">
        <f t="shared" si="714"/>
        <v>0</v>
      </c>
      <c r="R1094" t="str">
        <f t="shared" si="715"/>
        <v>0,00</v>
      </c>
      <c r="S1094" t="str">
        <f t="shared" si="715"/>
        <v>0,00</v>
      </c>
      <c r="T1094" t="str">
        <f t="shared" si="699"/>
        <v xml:space="preserve"> </v>
      </c>
      <c r="U1094" t="str">
        <f t="shared" si="735"/>
        <v>-</v>
      </c>
      <c r="V1094" t="str">
        <f>"8,000"</f>
        <v>8,000</v>
      </c>
      <c r="W1094" t="str">
        <f t="shared" si="720"/>
        <v>Lista 4</v>
      </c>
      <c r="X1094" t="str">
        <f t="shared" si="721"/>
        <v>Lista 5</v>
      </c>
      <c r="Y1094" t="str">
        <f t="shared" si="722"/>
        <v>Oferta Gral.</v>
      </c>
      <c r="Z1094" t="str">
        <f t="shared" si="723"/>
        <v>Rubro</v>
      </c>
      <c r="AA1094" t="str">
        <f t="shared" si="724"/>
        <v>Cantidad por Bulto</v>
      </c>
      <c r="AB1094" t="str">
        <f t="shared" si="725"/>
        <v>INNER</v>
      </c>
      <c r="AC1094" t="str">
        <f t="shared" si="726"/>
        <v>Stock en Bultos</v>
      </c>
      <c r="AD1094" t="str">
        <f t="shared" si="727"/>
        <v>SubDepósito</v>
      </c>
      <c r="AE1094" t="str">
        <f t="shared" si="728"/>
        <v>Marca</v>
      </c>
      <c r="AF1094" t="str">
        <f t="shared" si="729"/>
        <v>Super Rubro</v>
      </c>
      <c r="AG1094" t="str">
        <f t="shared" si="730"/>
        <v>ComercioExterior</v>
      </c>
      <c r="AH1094" t="str">
        <f t="shared" si="731"/>
        <v>PrecioFOB</v>
      </c>
      <c r="AI1094" t="str">
        <f t="shared" si="732"/>
        <v>Monto II</v>
      </c>
      <c r="AJ1094" t="str">
        <f t="shared" si="733"/>
        <v>Porcentaje II</v>
      </c>
      <c r="AK1094" t="str">
        <f t="shared" si="734"/>
        <v>Foto</v>
      </c>
      <c r="AL1094" t="str">
        <f t="shared" si="716"/>
        <v xml:space="preserve"> </v>
      </c>
      <c r="AM1094" t="str">
        <f t="shared" si="736"/>
        <v xml:space="preserve"> </v>
      </c>
    </row>
    <row r="1095" spans="1:39" x14ac:dyDescent="0.25">
      <c r="A1095" t="str">
        <f>"BI728 10"</f>
        <v>BI728 10</v>
      </c>
      <c r="B1095" t="str">
        <f>"COJINETES BIELA 0,30 PEUGEOT 307 CITROEN C4 HDI 1.6 DV6TED"</f>
        <v>COJINETES BIELA 0,30 PEUGEOT 307 CITROEN C4 HDI 1.6 DV6TED</v>
      </c>
      <c r="C1095" t="str">
        <f>"$ 24097,22"</f>
        <v>$ 24097,22</v>
      </c>
      <c r="D1095" t="str">
        <f>"$ 24097,22"</f>
        <v>$ 24097,22</v>
      </c>
      <c r="E1095" t="str">
        <f>"$ 24097,22"</f>
        <v>$ 24097,22</v>
      </c>
      <c r="F1095" t="str">
        <f>"$ 24097,22"</f>
        <v>$ 24097,22</v>
      </c>
      <c r="G1095" t="str">
        <f>"$ 24097,22"</f>
        <v>$ 24097,22</v>
      </c>
      <c r="H1095" t="str">
        <f t="shared" si="717"/>
        <v>$ 0,00</v>
      </c>
      <c r="I1095" t="str">
        <f t="shared" si="713"/>
        <v>JUEGO COJINETES BIELA</v>
      </c>
      <c r="J1095" t="str">
        <f t="shared" si="718"/>
        <v>1</v>
      </c>
      <c r="K1095" t="str">
        <f t="shared" si="702"/>
        <v>0</v>
      </c>
      <c r="L1095" t="str">
        <f>"7,000"</f>
        <v>7,000</v>
      </c>
      <c r="M1095" t="str">
        <f t="shared" si="719"/>
        <v xml:space="preserve"> </v>
      </c>
      <c r="N1095" t="str">
        <f t="shared" si="707"/>
        <v>MPSI</v>
      </c>
      <c r="O1095" t="str">
        <f t="shared" si="708"/>
        <v>COJINETES</v>
      </c>
      <c r="P1095" t="str">
        <f t="shared" si="714"/>
        <v>0</v>
      </c>
      <c r="Q1095" t="str">
        <f t="shared" si="714"/>
        <v>0</v>
      </c>
      <c r="R1095" t="str">
        <f t="shared" si="715"/>
        <v>0,00</v>
      </c>
      <c r="S1095" t="str">
        <f t="shared" si="715"/>
        <v>0,00</v>
      </c>
      <c r="T1095" t="str">
        <f t="shared" si="699"/>
        <v xml:space="preserve"> </v>
      </c>
      <c r="U1095" t="str">
        <f t="shared" si="735"/>
        <v>-</v>
      </c>
      <c r="V1095" t="str">
        <f>"7,000"</f>
        <v>7,000</v>
      </c>
      <c r="W1095" t="str">
        <f t="shared" si="720"/>
        <v>Lista 4</v>
      </c>
      <c r="X1095" t="str">
        <f t="shared" si="721"/>
        <v>Lista 5</v>
      </c>
      <c r="Y1095" t="str">
        <f t="shared" si="722"/>
        <v>Oferta Gral.</v>
      </c>
      <c r="Z1095" t="str">
        <f t="shared" si="723"/>
        <v>Rubro</v>
      </c>
      <c r="AA1095" t="str">
        <f t="shared" si="724"/>
        <v>Cantidad por Bulto</v>
      </c>
      <c r="AB1095" t="str">
        <f t="shared" si="725"/>
        <v>INNER</v>
      </c>
      <c r="AC1095" t="str">
        <f t="shared" si="726"/>
        <v>Stock en Bultos</v>
      </c>
      <c r="AD1095" t="str">
        <f t="shared" si="727"/>
        <v>SubDepósito</v>
      </c>
      <c r="AE1095" t="str">
        <f t="shared" si="728"/>
        <v>Marca</v>
      </c>
      <c r="AF1095" t="str">
        <f t="shared" si="729"/>
        <v>Super Rubro</v>
      </c>
      <c r="AG1095" t="str">
        <f t="shared" si="730"/>
        <v>ComercioExterior</v>
      </c>
      <c r="AH1095" t="str">
        <f t="shared" si="731"/>
        <v>PrecioFOB</v>
      </c>
      <c r="AI1095" t="str">
        <f t="shared" si="732"/>
        <v>Monto II</v>
      </c>
      <c r="AJ1095" t="str">
        <f t="shared" si="733"/>
        <v>Porcentaje II</v>
      </c>
      <c r="AK1095" t="str">
        <f t="shared" si="734"/>
        <v>Foto</v>
      </c>
      <c r="AL1095" t="str">
        <f t="shared" si="716"/>
        <v xml:space="preserve"> </v>
      </c>
      <c r="AM1095" t="str">
        <f t="shared" si="736"/>
        <v xml:space="preserve"> </v>
      </c>
    </row>
    <row r="1096" spans="1:39" x14ac:dyDescent="0.25">
      <c r="A1096" t="str">
        <f>"BI413 10"</f>
        <v>BI413 10</v>
      </c>
      <c r="B1096" t="str">
        <f>"COJINETES BIELA 0,30 PEUGEOT 404 504 DIESEL XD 4.88"</f>
        <v>COJINETES BIELA 0,30 PEUGEOT 404 504 DIESEL XD 4.88</v>
      </c>
      <c r="C1096" t="str">
        <f>"$ 20278,86"</f>
        <v>$ 20278,86</v>
      </c>
      <c r="D1096" t="str">
        <f>"$ 20278,86"</f>
        <v>$ 20278,86</v>
      </c>
      <c r="E1096" t="str">
        <f>"$ 20278,86"</f>
        <v>$ 20278,86</v>
      </c>
      <c r="F1096" t="str">
        <f>"$ 20278,86"</f>
        <v>$ 20278,86</v>
      </c>
      <c r="G1096" t="str">
        <f>"$ 20278,86"</f>
        <v>$ 20278,86</v>
      </c>
      <c r="H1096" t="str">
        <f t="shared" si="717"/>
        <v>$ 0,00</v>
      </c>
      <c r="I1096" t="str">
        <f t="shared" si="713"/>
        <v>JUEGO COJINETES BIELA</v>
      </c>
      <c r="J1096" t="str">
        <f t="shared" si="718"/>
        <v>1</v>
      </c>
      <c r="K1096" t="str">
        <f t="shared" si="702"/>
        <v>0</v>
      </c>
      <c r="L1096" t="str">
        <f>"3,000"</f>
        <v>3,000</v>
      </c>
      <c r="M1096" t="str">
        <f t="shared" si="719"/>
        <v xml:space="preserve"> </v>
      </c>
      <c r="N1096" t="str">
        <f t="shared" si="707"/>
        <v>MPSI</v>
      </c>
      <c r="O1096" t="str">
        <f t="shared" si="708"/>
        <v>COJINETES</v>
      </c>
      <c r="P1096" t="str">
        <f t="shared" si="714"/>
        <v>0</v>
      </c>
      <c r="Q1096" t="str">
        <f t="shared" si="714"/>
        <v>0</v>
      </c>
      <c r="R1096" t="str">
        <f t="shared" si="715"/>
        <v>0,00</v>
      </c>
      <c r="S1096" t="str">
        <f t="shared" si="715"/>
        <v>0,00</v>
      </c>
      <c r="T1096" t="str">
        <f t="shared" si="699"/>
        <v xml:space="preserve"> </v>
      </c>
      <c r="U1096" t="str">
        <f t="shared" si="735"/>
        <v>-</v>
      </c>
      <c r="V1096" t="str">
        <f>"3,000"</f>
        <v>3,000</v>
      </c>
      <c r="W1096" t="str">
        <f t="shared" si="720"/>
        <v>Lista 4</v>
      </c>
      <c r="X1096" t="str">
        <f t="shared" si="721"/>
        <v>Lista 5</v>
      </c>
      <c r="Y1096" t="str">
        <f t="shared" si="722"/>
        <v>Oferta Gral.</v>
      </c>
      <c r="Z1096" t="str">
        <f t="shared" si="723"/>
        <v>Rubro</v>
      </c>
      <c r="AA1096" t="str">
        <f t="shared" si="724"/>
        <v>Cantidad por Bulto</v>
      </c>
      <c r="AB1096" t="str">
        <f t="shared" si="725"/>
        <v>INNER</v>
      </c>
      <c r="AC1096" t="str">
        <f t="shared" si="726"/>
        <v>Stock en Bultos</v>
      </c>
      <c r="AD1096" t="str">
        <f t="shared" si="727"/>
        <v>SubDepósito</v>
      </c>
      <c r="AE1096" t="str">
        <f t="shared" si="728"/>
        <v>Marca</v>
      </c>
      <c r="AF1096" t="str">
        <f t="shared" si="729"/>
        <v>Super Rubro</v>
      </c>
      <c r="AG1096" t="str">
        <f t="shared" si="730"/>
        <v>ComercioExterior</v>
      </c>
      <c r="AH1096" t="str">
        <f t="shared" si="731"/>
        <v>PrecioFOB</v>
      </c>
      <c r="AI1096" t="str">
        <f t="shared" si="732"/>
        <v>Monto II</v>
      </c>
      <c r="AJ1096" t="str">
        <f t="shared" si="733"/>
        <v>Porcentaje II</v>
      </c>
      <c r="AK1096" t="str">
        <f t="shared" si="734"/>
        <v>Foto</v>
      </c>
      <c r="AL1096" t="str">
        <f t="shared" si="716"/>
        <v xml:space="preserve"> </v>
      </c>
      <c r="AM1096" t="str">
        <f t="shared" si="736"/>
        <v xml:space="preserve"> </v>
      </c>
    </row>
    <row r="1097" spans="1:39" x14ac:dyDescent="0.25">
      <c r="A1097" t="str">
        <f>"BI410 10"</f>
        <v>BI410 10</v>
      </c>
      <c r="B1097" t="str">
        <f>"COJINETES BIELA 0,30 PEUGEOT 404 504 NAFTA 1.6 1.8 2.0"</f>
        <v>COJINETES BIELA 0,30 PEUGEOT 404 504 NAFTA 1.6 1.8 2.0</v>
      </c>
      <c r="C1097" t="str">
        <f>"$ 14972,58"</f>
        <v>$ 14972,58</v>
      </c>
      <c r="D1097" t="str">
        <f>"$ 14972,58"</f>
        <v>$ 14972,58</v>
      </c>
      <c r="E1097" t="str">
        <f>"$ 14972,58"</f>
        <v>$ 14972,58</v>
      </c>
      <c r="F1097" t="str">
        <f>"$ 14972,58"</f>
        <v>$ 14972,58</v>
      </c>
      <c r="G1097" t="str">
        <f>"$ 14972,58"</f>
        <v>$ 14972,58</v>
      </c>
      <c r="H1097" t="str">
        <f t="shared" si="717"/>
        <v>$ 0,00</v>
      </c>
      <c r="I1097" t="str">
        <f t="shared" si="713"/>
        <v>JUEGO COJINETES BIELA</v>
      </c>
      <c r="J1097" t="str">
        <f t="shared" si="718"/>
        <v>1</v>
      </c>
      <c r="K1097" t="str">
        <f t="shared" si="702"/>
        <v>0</v>
      </c>
      <c r="L1097" t="str">
        <f>"9,000"</f>
        <v>9,000</v>
      </c>
      <c r="M1097" t="str">
        <f t="shared" si="719"/>
        <v xml:space="preserve"> </v>
      </c>
      <c r="N1097" t="str">
        <f t="shared" si="707"/>
        <v>MPSI</v>
      </c>
      <c r="O1097" t="str">
        <f t="shared" si="708"/>
        <v>COJINETES</v>
      </c>
      <c r="P1097" t="str">
        <f t="shared" si="714"/>
        <v>0</v>
      </c>
      <c r="Q1097" t="str">
        <f t="shared" si="714"/>
        <v>0</v>
      </c>
      <c r="R1097" t="str">
        <f t="shared" si="715"/>
        <v>0,00</v>
      </c>
      <c r="S1097" t="str">
        <f t="shared" si="715"/>
        <v>0,00</v>
      </c>
      <c r="T1097" t="str">
        <f t="shared" si="699"/>
        <v xml:space="preserve"> </v>
      </c>
      <c r="U1097" t="str">
        <f t="shared" si="735"/>
        <v>-</v>
      </c>
      <c r="V1097" t="str">
        <f>"9,000"</f>
        <v>9,000</v>
      </c>
      <c r="W1097" t="str">
        <f t="shared" si="720"/>
        <v>Lista 4</v>
      </c>
      <c r="X1097" t="str">
        <f t="shared" si="721"/>
        <v>Lista 5</v>
      </c>
      <c r="Y1097" t="str">
        <f t="shared" si="722"/>
        <v>Oferta Gral.</v>
      </c>
      <c r="Z1097" t="str">
        <f t="shared" si="723"/>
        <v>Rubro</v>
      </c>
      <c r="AA1097" t="str">
        <f t="shared" si="724"/>
        <v>Cantidad por Bulto</v>
      </c>
      <c r="AB1097" t="str">
        <f t="shared" si="725"/>
        <v>INNER</v>
      </c>
      <c r="AC1097" t="str">
        <f t="shared" si="726"/>
        <v>Stock en Bultos</v>
      </c>
      <c r="AD1097" t="str">
        <f t="shared" si="727"/>
        <v>SubDepósito</v>
      </c>
      <c r="AE1097" t="str">
        <f t="shared" si="728"/>
        <v>Marca</v>
      </c>
      <c r="AF1097" t="str">
        <f t="shared" si="729"/>
        <v>Super Rubro</v>
      </c>
      <c r="AG1097" t="str">
        <f t="shared" si="730"/>
        <v>ComercioExterior</v>
      </c>
      <c r="AH1097" t="str">
        <f t="shared" si="731"/>
        <v>PrecioFOB</v>
      </c>
      <c r="AI1097" t="str">
        <f t="shared" si="732"/>
        <v>Monto II</v>
      </c>
      <c r="AJ1097" t="str">
        <f t="shared" si="733"/>
        <v>Porcentaje II</v>
      </c>
      <c r="AK1097" t="str">
        <f t="shared" si="734"/>
        <v>Foto</v>
      </c>
      <c r="AL1097" t="str">
        <f t="shared" si="716"/>
        <v xml:space="preserve"> </v>
      </c>
      <c r="AM1097" t="str">
        <f t="shared" si="736"/>
        <v xml:space="preserve"> </v>
      </c>
    </row>
    <row r="1098" spans="1:39" x14ac:dyDescent="0.25">
      <c r="A1098" t="str">
        <f>"BI415 10"</f>
        <v>BI415 10</v>
      </c>
      <c r="B1098" t="str">
        <f>"COJINETES BIELA 0,30 PEUGEOT 504 505 DIESEL XD2 XD3"</f>
        <v>COJINETES BIELA 0,30 PEUGEOT 504 505 DIESEL XD2 XD3</v>
      </c>
      <c r="C1098" t="str">
        <f>"$ 18376,94"</f>
        <v>$ 18376,94</v>
      </c>
      <c r="D1098" t="str">
        <f>"$ 18376,94"</f>
        <v>$ 18376,94</v>
      </c>
      <c r="E1098" t="str">
        <f>"$ 18376,94"</f>
        <v>$ 18376,94</v>
      </c>
      <c r="F1098" t="str">
        <f>"$ 18376,94"</f>
        <v>$ 18376,94</v>
      </c>
      <c r="G1098" t="str">
        <f>"$ 18376,94"</f>
        <v>$ 18376,94</v>
      </c>
      <c r="H1098" t="str">
        <f t="shared" si="717"/>
        <v>$ 0,00</v>
      </c>
      <c r="I1098" t="str">
        <f t="shared" si="713"/>
        <v>JUEGO COJINETES BIELA</v>
      </c>
      <c r="J1098" t="str">
        <f t="shared" si="718"/>
        <v>1</v>
      </c>
      <c r="K1098" t="str">
        <f t="shared" si="702"/>
        <v>0</v>
      </c>
      <c r="L1098" t="str">
        <f>"9,000"</f>
        <v>9,000</v>
      </c>
      <c r="M1098" t="str">
        <f t="shared" si="719"/>
        <v xml:space="preserve"> </v>
      </c>
      <c r="N1098" t="str">
        <f t="shared" si="707"/>
        <v>MPSI</v>
      </c>
      <c r="O1098" t="str">
        <f t="shared" si="708"/>
        <v>COJINETES</v>
      </c>
      <c r="P1098" t="str">
        <f t="shared" si="714"/>
        <v>0</v>
      </c>
      <c r="Q1098" t="str">
        <f t="shared" si="714"/>
        <v>0</v>
      </c>
      <c r="R1098" t="str">
        <f t="shared" si="715"/>
        <v>0,00</v>
      </c>
      <c r="S1098" t="str">
        <f t="shared" si="715"/>
        <v>0,00</v>
      </c>
      <c r="T1098" t="str">
        <f t="shared" si="699"/>
        <v xml:space="preserve"> </v>
      </c>
      <c r="U1098" t="str">
        <f t="shared" si="735"/>
        <v>-</v>
      </c>
      <c r="V1098" t="str">
        <f>"9,000"</f>
        <v>9,000</v>
      </c>
      <c r="W1098" t="str">
        <f t="shared" si="720"/>
        <v>Lista 4</v>
      </c>
      <c r="X1098" t="str">
        <f t="shared" si="721"/>
        <v>Lista 5</v>
      </c>
      <c r="Y1098" t="str">
        <f t="shared" si="722"/>
        <v>Oferta Gral.</v>
      </c>
      <c r="Z1098" t="str">
        <f t="shared" si="723"/>
        <v>Rubro</v>
      </c>
      <c r="AA1098" t="str">
        <f t="shared" si="724"/>
        <v>Cantidad por Bulto</v>
      </c>
      <c r="AB1098" t="str">
        <f t="shared" si="725"/>
        <v>INNER</v>
      </c>
      <c r="AC1098" t="str">
        <f t="shared" si="726"/>
        <v>Stock en Bultos</v>
      </c>
      <c r="AD1098" t="str">
        <f t="shared" si="727"/>
        <v>SubDepósito</v>
      </c>
      <c r="AE1098" t="str">
        <f t="shared" si="728"/>
        <v>Marca</v>
      </c>
      <c r="AF1098" t="str">
        <f t="shared" si="729"/>
        <v>Super Rubro</v>
      </c>
      <c r="AG1098" t="str">
        <f t="shared" si="730"/>
        <v>ComercioExterior</v>
      </c>
      <c r="AH1098" t="str">
        <f t="shared" si="731"/>
        <v>PrecioFOB</v>
      </c>
      <c r="AI1098" t="str">
        <f t="shared" si="732"/>
        <v>Monto II</v>
      </c>
      <c r="AJ1098" t="str">
        <f t="shared" si="733"/>
        <v>Porcentaje II</v>
      </c>
      <c r="AK1098" t="str">
        <f t="shared" si="734"/>
        <v>Foto</v>
      </c>
      <c r="AL1098" t="str">
        <f t="shared" si="716"/>
        <v xml:space="preserve"> </v>
      </c>
      <c r="AM1098" t="str">
        <f t="shared" si="736"/>
        <v xml:space="preserve"> </v>
      </c>
    </row>
    <row r="1099" spans="1:39" x14ac:dyDescent="0.25">
      <c r="A1099" t="str">
        <f>"BI733 10"</f>
        <v>BI733 10</v>
      </c>
      <c r="B1099" t="str">
        <f>"COJINETES BIELA 0,30 PEUGEOT BOXER 2,5 DJ5"</f>
        <v>COJINETES BIELA 0,30 PEUGEOT BOXER 2,5 DJ5</v>
      </c>
      <c r="C1099" t="str">
        <f>"$ 31001,92"</f>
        <v>$ 31001,92</v>
      </c>
      <c r="D1099" t="str">
        <f>"$ 31001,92"</f>
        <v>$ 31001,92</v>
      </c>
      <c r="E1099" t="str">
        <f>"$ 31001,92"</f>
        <v>$ 31001,92</v>
      </c>
      <c r="F1099" t="str">
        <f>"$ 31001,92"</f>
        <v>$ 31001,92</v>
      </c>
      <c r="G1099" t="str">
        <f>"$ 31001,92"</f>
        <v>$ 31001,92</v>
      </c>
      <c r="H1099" t="str">
        <f t="shared" si="717"/>
        <v>$ 0,00</v>
      </c>
      <c r="I1099" t="str">
        <f t="shared" si="713"/>
        <v>JUEGO COJINETES BIELA</v>
      </c>
      <c r="J1099" t="str">
        <f t="shared" si="718"/>
        <v>1</v>
      </c>
      <c r="K1099" t="str">
        <f t="shared" si="702"/>
        <v>0</v>
      </c>
      <c r="L1099" t="str">
        <f>"3,000"</f>
        <v>3,000</v>
      </c>
      <c r="M1099" t="str">
        <f t="shared" si="719"/>
        <v xml:space="preserve"> </v>
      </c>
      <c r="N1099" t="str">
        <f t="shared" si="707"/>
        <v>MPSI</v>
      </c>
      <c r="O1099" t="str">
        <f t="shared" si="708"/>
        <v>COJINETES</v>
      </c>
      <c r="P1099" t="str">
        <f t="shared" si="714"/>
        <v>0</v>
      </c>
      <c r="Q1099" t="str">
        <f t="shared" si="714"/>
        <v>0</v>
      </c>
      <c r="R1099" t="str">
        <f t="shared" si="715"/>
        <v>0,00</v>
      </c>
      <c r="S1099" t="str">
        <f t="shared" si="715"/>
        <v>0,00</v>
      </c>
      <c r="T1099" t="str">
        <f t="shared" si="699"/>
        <v xml:space="preserve"> </v>
      </c>
      <c r="U1099" t="str">
        <f t="shared" si="735"/>
        <v>-</v>
      </c>
      <c r="V1099" t="str">
        <f>"3,000"</f>
        <v>3,000</v>
      </c>
      <c r="W1099" t="str">
        <f t="shared" si="720"/>
        <v>Lista 4</v>
      </c>
      <c r="X1099" t="str">
        <f t="shared" si="721"/>
        <v>Lista 5</v>
      </c>
      <c r="Y1099" t="str">
        <f t="shared" si="722"/>
        <v>Oferta Gral.</v>
      </c>
      <c r="Z1099" t="str">
        <f t="shared" si="723"/>
        <v>Rubro</v>
      </c>
      <c r="AA1099" t="str">
        <f t="shared" si="724"/>
        <v>Cantidad por Bulto</v>
      </c>
      <c r="AB1099" t="str">
        <f t="shared" si="725"/>
        <v>INNER</v>
      </c>
      <c r="AC1099" t="str">
        <f t="shared" si="726"/>
        <v>Stock en Bultos</v>
      </c>
      <c r="AD1099" t="str">
        <f t="shared" si="727"/>
        <v>SubDepósito</v>
      </c>
      <c r="AE1099" t="str">
        <f t="shared" si="728"/>
        <v>Marca</v>
      </c>
      <c r="AF1099" t="str">
        <f t="shared" si="729"/>
        <v>Super Rubro</v>
      </c>
      <c r="AG1099" t="str">
        <f t="shared" si="730"/>
        <v>ComercioExterior</v>
      </c>
      <c r="AH1099" t="str">
        <f t="shared" si="731"/>
        <v>PrecioFOB</v>
      </c>
      <c r="AI1099" t="str">
        <f t="shared" si="732"/>
        <v>Monto II</v>
      </c>
      <c r="AJ1099" t="str">
        <f t="shared" si="733"/>
        <v>Porcentaje II</v>
      </c>
      <c r="AK1099" t="str">
        <f t="shared" si="734"/>
        <v>Foto</v>
      </c>
      <c r="AL1099" t="str">
        <f t="shared" si="716"/>
        <v xml:space="preserve"> </v>
      </c>
      <c r="AM1099" t="str">
        <f t="shared" si="736"/>
        <v xml:space="preserve"> </v>
      </c>
    </row>
    <row r="1100" spans="1:39" x14ac:dyDescent="0.25">
      <c r="A1100" t="str">
        <f>"BI948 20"</f>
        <v>BI948 20</v>
      </c>
      <c r="B1100" t="str">
        <f>"COJINETES BIELA 0,50 AMAROK 2.0 TDI"</f>
        <v>COJINETES BIELA 0,50 AMAROK 2.0 TDI</v>
      </c>
      <c r="C1100" t="str">
        <f>"$ 20888,90"</f>
        <v>$ 20888,90</v>
      </c>
      <c r="D1100" t="str">
        <f>"$ 20888,90"</f>
        <v>$ 20888,90</v>
      </c>
      <c r="E1100" t="str">
        <f>"$ 20888,90"</f>
        <v>$ 20888,90</v>
      </c>
      <c r="F1100" t="str">
        <f>"$ 20888,90"</f>
        <v>$ 20888,90</v>
      </c>
      <c r="G1100" t="str">
        <f>"$ 20888,90"</f>
        <v>$ 20888,90</v>
      </c>
      <c r="H1100" t="str">
        <f t="shared" si="717"/>
        <v>$ 0,00</v>
      </c>
      <c r="I1100" t="str">
        <f t="shared" si="713"/>
        <v>JUEGO COJINETES BIELA</v>
      </c>
      <c r="J1100" t="str">
        <f t="shared" si="718"/>
        <v>1</v>
      </c>
      <c r="K1100" t="str">
        <f t="shared" si="702"/>
        <v>0</v>
      </c>
      <c r="L1100" t="str">
        <f>"6,000"</f>
        <v>6,000</v>
      </c>
      <c r="M1100" t="str">
        <f t="shared" si="719"/>
        <v xml:space="preserve"> </v>
      </c>
      <c r="N1100" t="str">
        <f t="shared" si="707"/>
        <v>MPSI</v>
      </c>
      <c r="O1100" t="str">
        <f t="shared" si="708"/>
        <v>COJINETES</v>
      </c>
      <c r="P1100" t="str">
        <f t="shared" si="714"/>
        <v>0</v>
      </c>
      <c r="Q1100" t="str">
        <f t="shared" si="714"/>
        <v>0</v>
      </c>
      <c r="R1100" t="str">
        <f t="shared" si="715"/>
        <v>0,00</v>
      </c>
      <c r="S1100" t="str">
        <f t="shared" si="715"/>
        <v>0,00</v>
      </c>
      <c r="T1100" t="str">
        <f t="shared" si="699"/>
        <v xml:space="preserve"> </v>
      </c>
      <c r="U1100" t="str">
        <f t="shared" si="735"/>
        <v>-</v>
      </c>
      <c r="V1100" t="str">
        <f>"6,000"</f>
        <v>6,000</v>
      </c>
      <c r="W1100" t="str">
        <f t="shared" si="720"/>
        <v>Lista 4</v>
      </c>
      <c r="X1100" t="str">
        <f t="shared" si="721"/>
        <v>Lista 5</v>
      </c>
      <c r="Y1100" t="str">
        <f t="shared" si="722"/>
        <v>Oferta Gral.</v>
      </c>
      <c r="Z1100" t="str">
        <f t="shared" si="723"/>
        <v>Rubro</v>
      </c>
      <c r="AA1100" t="str">
        <f t="shared" si="724"/>
        <v>Cantidad por Bulto</v>
      </c>
      <c r="AB1100" t="str">
        <f t="shared" si="725"/>
        <v>INNER</v>
      </c>
      <c r="AC1100" t="str">
        <f t="shared" si="726"/>
        <v>Stock en Bultos</v>
      </c>
      <c r="AD1100" t="str">
        <f t="shared" si="727"/>
        <v>SubDepósito</v>
      </c>
      <c r="AE1100" t="str">
        <f t="shared" si="728"/>
        <v>Marca</v>
      </c>
      <c r="AF1100" t="str">
        <f t="shared" si="729"/>
        <v>Super Rubro</v>
      </c>
      <c r="AG1100" t="str">
        <f t="shared" si="730"/>
        <v>ComercioExterior</v>
      </c>
      <c r="AH1100" t="str">
        <f t="shared" si="731"/>
        <v>PrecioFOB</v>
      </c>
      <c r="AI1100" t="str">
        <f t="shared" si="732"/>
        <v>Monto II</v>
      </c>
      <c r="AJ1100" t="str">
        <f t="shared" si="733"/>
        <v>Porcentaje II</v>
      </c>
      <c r="AK1100" t="str">
        <f t="shared" si="734"/>
        <v>Foto</v>
      </c>
      <c r="AL1100" t="str">
        <f t="shared" si="716"/>
        <v xml:space="preserve"> </v>
      </c>
      <c r="AM1100" t="str">
        <f t="shared" si="736"/>
        <v xml:space="preserve"> </v>
      </c>
    </row>
    <row r="1101" spans="1:39" x14ac:dyDescent="0.25">
      <c r="A1101" t="str">
        <f>"BI044481 20"</f>
        <v>BI044481 20</v>
      </c>
      <c r="B1101" t="str">
        <f>"COJINETES BIELA 0,50 CHERY SQR484F/SQR481FC"</f>
        <v>COJINETES BIELA 0,50 CHERY SQR484F/SQR481FC</v>
      </c>
      <c r="C1101" t="str">
        <f>"$ 14818,40"</f>
        <v>$ 14818,40</v>
      </c>
      <c r="D1101" t="str">
        <f>"$ 14818,40"</f>
        <v>$ 14818,40</v>
      </c>
      <c r="E1101" t="str">
        <f>"$ 14818,40"</f>
        <v>$ 14818,40</v>
      </c>
      <c r="F1101" t="str">
        <f>"$ 14818,40"</f>
        <v>$ 14818,40</v>
      </c>
      <c r="G1101" t="str">
        <f>"$ 14818,40"</f>
        <v>$ 14818,40</v>
      </c>
      <c r="H1101" t="str">
        <f t="shared" si="717"/>
        <v>$ 0,00</v>
      </c>
      <c r="I1101" t="str">
        <f t="shared" si="713"/>
        <v>JUEGO COJINETES BIELA</v>
      </c>
      <c r="J1101" t="str">
        <f t="shared" si="718"/>
        <v>1</v>
      </c>
      <c r="K1101" t="str">
        <f t="shared" si="702"/>
        <v>0</v>
      </c>
      <c r="L1101" t="str">
        <f>"2,000"</f>
        <v>2,000</v>
      </c>
      <c r="M1101" t="str">
        <f t="shared" si="719"/>
        <v xml:space="preserve"> </v>
      </c>
      <c r="N1101" t="str">
        <f t="shared" si="707"/>
        <v>MPSI</v>
      </c>
      <c r="O1101" t="str">
        <f t="shared" si="708"/>
        <v>COJINETES</v>
      </c>
      <c r="P1101" t="str">
        <f t="shared" si="714"/>
        <v>0</v>
      </c>
      <c r="Q1101" t="str">
        <f t="shared" si="714"/>
        <v>0</v>
      </c>
      <c r="R1101" t="str">
        <f t="shared" si="715"/>
        <v>0,00</v>
      </c>
      <c r="S1101" t="str">
        <f t="shared" si="715"/>
        <v>0,00</v>
      </c>
      <c r="T1101" t="str">
        <f t="shared" si="699"/>
        <v xml:space="preserve"> </v>
      </c>
      <c r="U1101" t="str">
        <f t="shared" si="735"/>
        <v>-</v>
      </c>
      <c r="V1101" t="str">
        <f>"2,000"</f>
        <v>2,000</v>
      </c>
      <c r="W1101" t="str">
        <f t="shared" si="720"/>
        <v>Lista 4</v>
      </c>
      <c r="X1101" t="str">
        <f t="shared" si="721"/>
        <v>Lista 5</v>
      </c>
      <c r="Y1101" t="str">
        <f t="shared" si="722"/>
        <v>Oferta Gral.</v>
      </c>
      <c r="Z1101" t="str">
        <f t="shared" si="723"/>
        <v>Rubro</v>
      </c>
      <c r="AA1101" t="str">
        <f t="shared" si="724"/>
        <v>Cantidad por Bulto</v>
      </c>
      <c r="AB1101" t="str">
        <f t="shared" si="725"/>
        <v>INNER</v>
      </c>
      <c r="AC1101" t="str">
        <f t="shared" si="726"/>
        <v>Stock en Bultos</v>
      </c>
      <c r="AD1101" t="str">
        <f t="shared" si="727"/>
        <v>SubDepósito</v>
      </c>
      <c r="AE1101" t="str">
        <f t="shared" si="728"/>
        <v>Marca</v>
      </c>
      <c r="AF1101" t="str">
        <f t="shared" si="729"/>
        <v>Super Rubro</v>
      </c>
      <c r="AG1101" t="str">
        <f t="shared" si="730"/>
        <v>ComercioExterior</v>
      </c>
      <c r="AH1101" t="str">
        <f t="shared" si="731"/>
        <v>PrecioFOB</v>
      </c>
      <c r="AI1101" t="str">
        <f t="shared" si="732"/>
        <v>Monto II</v>
      </c>
      <c r="AJ1101" t="str">
        <f t="shared" si="733"/>
        <v>Porcentaje II</v>
      </c>
      <c r="AK1101" t="str">
        <f t="shared" si="734"/>
        <v>Foto</v>
      </c>
      <c r="AL1101" t="str">
        <f t="shared" si="716"/>
        <v xml:space="preserve"> </v>
      </c>
      <c r="AM1101" t="str">
        <f t="shared" si="736"/>
        <v xml:space="preserve"> </v>
      </c>
    </row>
    <row r="1102" spans="1:39" x14ac:dyDescent="0.25">
      <c r="A1102" t="str">
        <f>"BI062 20"</f>
        <v>BI062 20</v>
      </c>
      <c r="B1102" t="str">
        <f>"COJINETES BIELA 0,50 CHEVROLET 400 CHEVY C10"</f>
        <v>COJINETES BIELA 0,50 CHEVROLET 400 CHEVY C10</v>
      </c>
      <c r="C1102" t="str">
        <f>"$ 22210,98"</f>
        <v>$ 22210,98</v>
      </c>
      <c r="D1102" t="str">
        <f>"$ 22210,98"</f>
        <v>$ 22210,98</v>
      </c>
      <c r="E1102" t="str">
        <f>"$ 22210,98"</f>
        <v>$ 22210,98</v>
      </c>
      <c r="F1102" t="str">
        <f>"$ 22210,98"</f>
        <v>$ 22210,98</v>
      </c>
      <c r="G1102" t="str">
        <f>"$ 22210,98"</f>
        <v>$ 22210,98</v>
      </c>
      <c r="H1102" t="str">
        <f t="shared" si="717"/>
        <v>$ 0,00</v>
      </c>
      <c r="I1102" t="str">
        <f t="shared" si="713"/>
        <v>JUEGO COJINETES BIELA</v>
      </c>
      <c r="J1102" t="str">
        <f t="shared" si="718"/>
        <v>1</v>
      </c>
      <c r="K1102" t="str">
        <f t="shared" si="702"/>
        <v>0</v>
      </c>
      <c r="L1102" t="str">
        <f>"3,000"</f>
        <v>3,000</v>
      </c>
      <c r="M1102" t="str">
        <f t="shared" si="719"/>
        <v xml:space="preserve"> </v>
      </c>
      <c r="N1102" t="str">
        <f t="shared" si="707"/>
        <v>MPSI</v>
      </c>
      <c r="O1102" t="str">
        <f t="shared" si="708"/>
        <v>COJINETES</v>
      </c>
      <c r="P1102" t="str">
        <f t="shared" si="714"/>
        <v>0</v>
      </c>
      <c r="Q1102" t="str">
        <f t="shared" si="714"/>
        <v>0</v>
      </c>
      <c r="R1102" t="str">
        <f t="shared" si="715"/>
        <v>0,00</v>
      </c>
      <c r="S1102" t="str">
        <f t="shared" si="715"/>
        <v>0,00</v>
      </c>
      <c r="T1102" t="str">
        <f t="shared" si="699"/>
        <v xml:space="preserve"> </v>
      </c>
      <c r="U1102" t="str">
        <f t="shared" si="735"/>
        <v>-</v>
      </c>
      <c r="V1102" t="str">
        <f>"3,000"</f>
        <v>3,000</v>
      </c>
      <c r="W1102" t="str">
        <f t="shared" si="720"/>
        <v>Lista 4</v>
      </c>
      <c r="X1102" t="str">
        <f t="shared" si="721"/>
        <v>Lista 5</v>
      </c>
      <c r="Y1102" t="str">
        <f t="shared" si="722"/>
        <v>Oferta Gral.</v>
      </c>
      <c r="Z1102" t="str">
        <f t="shared" si="723"/>
        <v>Rubro</v>
      </c>
      <c r="AA1102" t="str">
        <f t="shared" si="724"/>
        <v>Cantidad por Bulto</v>
      </c>
      <c r="AB1102" t="str">
        <f t="shared" si="725"/>
        <v>INNER</v>
      </c>
      <c r="AC1102" t="str">
        <f t="shared" si="726"/>
        <v>Stock en Bultos</v>
      </c>
      <c r="AD1102" t="str">
        <f t="shared" si="727"/>
        <v>SubDepósito</v>
      </c>
      <c r="AE1102" t="str">
        <f t="shared" si="728"/>
        <v>Marca</v>
      </c>
      <c r="AF1102" t="str">
        <f t="shared" si="729"/>
        <v>Super Rubro</v>
      </c>
      <c r="AG1102" t="str">
        <f t="shared" si="730"/>
        <v>ComercioExterior</v>
      </c>
      <c r="AH1102" t="str">
        <f t="shared" si="731"/>
        <v>PrecioFOB</v>
      </c>
      <c r="AI1102" t="str">
        <f t="shared" si="732"/>
        <v>Monto II</v>
      </c>
      <c r="AJ1102" t="str">
        <f t="shared" si="733"/>
        <v>Porcentaje II</v>
      </c>
      <c r="AK1102" t="str">
        <f t="shared" si="734"/>
        <v>Foto</v>
      </c>
      <c r="AL1102" t="str">
        <f t="shared" si="716"/>
        <v xml:space="preserve"> </v>
      </c>
      <c r="AM1102" t="str">
        <f t="shared" si="736"/>
        <v xml:space="preserve"> </v>
      </c>
    </row>
    <row r="1103" spans="1:39" x14ac:dyDescent="0.25">
      <c r="A1103" t="str">
        <f>"BI372 20"</f>
        <v>BI372 20</v>
      </c>
      <c r="B1103" t="str">
        <f>"COJINETES BIELA 0,50 CHEVROLET CORSA 1.4 1.6 1.8 FIAT PALIO 1.8 8V"</f>
        <v>COJINETES BIELA 0,50 CHEVROLET CORSA 1.4 1.6 1.8 FIAT PALIO 1.8 8V</v>
      </c>
      <c r="C1103" t="str">
        <f>"$ 10874,12"</f>
        <v>$ 10874,12</v>
      </c>
      <c r="D1103" t="str">
        <f>"$ 10874,12"</f>
        <v>$ 10874,12</v>
      </c>
      <c r="E1103" t="str">
        <f>"$ 10874,12"</f>
        <v>$ 10874,12</v>
      </c>
      <c r="F1103" t="str">
        <f>"$ 10874,12"</f>
        <v>$ 10874,12</v>
      </c>
      <c r="G1103" t="str">
        <f>"$ 10874,12"</f>
        <v>$ 10874,12</v>
      </c>
      <c r="H1103" t="str">
        <f t="shared" si="717"/>
        <v>$ 0,00</v>
      </c>
      <c r="I1103" t="str">
        <f t="shared" si="713"/>
        <v>JUEGO COJINETES BIELA</v>
      </c>
      <c r="J1103" t="str">
        <f t="shared" si="718"/>
        <v>1</v>
      </c>
      <c r="K1103" t="str">
        <f t="shared" si="702"/>
        <v>0</v>
      </c>
      <c r="L1103" t="str">
        <f>"32,000"</f>
        <v>32,000</v>
      </c>
      <c r="M1103" t="str">
        <f t="shared" si="719"/>
        <v xml:space="preserve"> </v>
      </c>
      <c r="N1103" t="str">
        <f t="shared" si="707"/>
        <v>MPSI</v>
      </c>
      <c r="O1103" t="str">
        <f t="shared" si="708"/>
        <v>COJINETES</v>
      </c>
      <c r="P1103" t="str">
        <f t="shared" ref="P1103:Q1122" si="737">"0"</f>
        <v>0</v>
      </c>
      <c r="Q1103" t="str">
        <f t="shared" si="737"/>
        <v>0</v>
      </c>
      <c r="R1103" t="str">
        <f t="shared" ref="R1103:S1122" si="738">"0,00"</f>
        <v>0,00</v>
      </c>
      <c r="S1103" t="str">
        <f t="shared" si="738"/>
        <v>0,00</v>
      </c>
      <c r="T1103" t="str">
        <f t="shared" si="699"/>
        <v xml:space="preserve"> </v>
      </c>
      <c r="U1103" t="str">
        <f t="shared" si="735"/>
        <v>-</v>
      </c>
      <c r="V1103" t="str">
        <f>"32,000"</f>
        <v>32,000</v>
      </c>
      <c r="W1103" t="str">
        <f t="shared" si="720"/>
        <v>Lista 4</v>
      </c>
      <c r="X1103" t="str">
        <f t="shared" si="721"/>
        <v>Lista 5</v>
      </c>
      <c r="Y1103" t="str">
        <f t="shared" si="722"/>
        <v>Oferta Gral.</v>
      </c>
      <c r="Z1103" t="str">
        <f t="shared" si="723"/>
        <v>Rubro</v>
      </c>
      <c r="AA1103" t="str">
        <f t="shared" si="724"/>
        <v>Cantidad por Bulto</v>
      </c>
      <c r="AB1103" t="str">
        <f t="shared" si="725"/>
        <v>INNER</v>
      </c>
      <c r="AC1103" t="str">
        <f t="shared" si="726"/>
        <v>Stock en Bultos</v>
      </c>
      <c r="AD1103" t="str">
        <f t="shared" si="727"/>
        <v>SubDepósito</v>
      </c>
      <c r="AE1103" t="str">
        <f t="shared" si="728"/>
        <v>Marca</v>
      </c>
      <c r="AF1103" t="str">
        <f t="shared" si="729"/>
        <v>Super Rubro</v>
      </c>
      <c r="AG1103" t="str">
        <f t="shared" si="730"/>
        <v>ComercioExterior</v>
      </c>
      <c r="AH1103" t="str">
        <f t="shared" si="731"/>
        <v>PrecioFOB</v>
      </c>
      <c r="AI1103" t="str">
        <f t="shared" si="732"/>
        <v>Monto II</v>
      </c>
      <c r="AJ1103" t="str">
        <f t="shared" si="733"/>
        <v>Porcentaje II</v>
      </c>
      <c r="AK1103" t="str">
        <f t="shared" si="734"/>
        <v>Foto</v>
      </c>
      <c r="AL1103" t="str">
        <f>"{\rtf1\ansi\ansicpg1252\deff0\deflang2058{\fonttbl{\f0\fnil\fcharset0 MS Sans Serif}} \viewkind4\uc1\pard\f0\fs16 COJINETES BIELA 0,50 CHEVROLET CORSA 1.4 1.6 1.8 FIAT PALIO 1.8 8V\par } "</f>
        <v xml:space="preserve">{\rtf1\ansi\ansicpg1252\deff0\deflang2058{\fonttbl{\f0\fnil\fcharset0 MS Sans Serif}} \viewkind4\uc1\pard\f0\fs16 COJINETES BIELA 0,50 CHEVROLET CORSA 1.4 1.6 1.8 FIAT PALIO 1.8 8V\par } </v>
      </c>
      <c r="AM1103" t="str">
        <f t="shared" si="736"/>
        <v xml:space="preserve"> </v>
      </c>
    </row>
    <row r="1104" spans="1:39" x14ac:dyDescent="0.25">
      <c r="A1104" t="str">
        <f>"BI810 20"</f>
        <v>BI810 20</v>
      </c>
      <c r="B1104" t="str">
        <f>"COJINETES BIELA 0,50 CHEVROLET CORSA 1.7 ISUZU 1,7 DIESEL"</f>
        <v>COJINETES BIELA 0,50 CHEVROLET CORSA 1.7 ISUZU 1,7 DIESEL</v>
      </c>
      <c r="C1104" t="str">
        <f>"$ 17897,69"</f>
        <v>$ 17897,69</v>
      </c>
      <c r="D1104" t="str">
        <f>"$ 17897,69"</f>
        <v>$ 17897,69</v>
      </c>
      <c r="E1104" t="str">
        <f>"$ 17897,69"</f>
        <v>$ 17897,69</v>
      </c>
      <c r="F1104" t="str">
        <f>"$ 17897,69"</f>
        <v>$ 17897,69</v>
      </c>
      <c r="G1104" t="str">
        <f>"$ 17897,69"</f>
        <v>$ 17897,69</v>
      </c>
      <c r="H1104" t="str">
        <f t="shared" si="717"/>
        <v>$ 0,00</v>
      </c>
      <c r="I1104" t="str">
        <f t="shared" si="713"/>
        <v>JUEGO COJINETES BIELA</v>
      </c>
      <c r="J1104" t="str">
        <f t="shared" si="718"/>
        <v>1</v>
      </c>
      <c r="K1104" t="str">
        <f t="shared" si="702"/>
        <v>0</v>
      </c>
      <c r="L1104" t="str">
        <f>"9,000"</f>
        <v>9,000</v>
      </c>
      <c r="M1104" t="str">
        <f t="shared" si="719"/>
        <v xml:space="preserve"> </v>
      </c>
      <c r="N1104" t="str">
        <f t="shared" si="707"/>
        <v>MPSI</v>
      </c>
      <c r="O1104" t="str">
        <f t="shared" si="708"/>
        <v>COJINETES</v>
      </c>
      <c r="P1104" t="str">
        <f t="shared" si="737"/>
        <v>0</v>
      </c>
      <c r="Q1104" t="str">
        <f t="shared" si="737"/>
        <v>0</v>
      </c>
      <c r="R1104" t="str">
        <f t="shared" si="738"/>
        <v>0,00</v>
      </c>
      <c r="S1104" t="str">
        <f t="shared" si="738"/>
        <v>0,00</v>
      </c>
      <c r="T1104" t="str">
        <f t="shared" si="699"/>
        <v xml:space="preserve"> </v>
      </c>
      <c r="U1104" t="str">
        <f t="shared" si="735"/>
        <v>-</v>
      </c>
      <c r="V1104" t="str">
        <f>"9,000"</f>
        <v>9,000</v>
      </c>
      <c r="W1104" t="str">
        <f t="shared" si="720"/>
        <v>Lista 4</v>
      </c>
      <c r="X1104" t="str">
        <f t="shared" si="721"/>
        <v>Lista 5</v>
      </c>
      <c r="Y1104" t="str">
        <f t="shared" si="722"/>
        <v>Oferta Gral.</v>
      </c>
      <c r="Z1104" t="str">
        <f t="shared" si="723"/>
        <v>Rubro</v>
      </c>
      <c r="AA1104" t="str">
        <f t="shared" si="724"/>
        <v>Cantidad por Bulto</v>
      </c>
      <c r="AB1104" t="str">
        <f t="shared" si="725"/>
        <v>INNER</v>
      </c>
      <c r="AC1104" t="str">
        <f t="shared" si="726"/>
        <v>Stock en Bultos</v>
      </c>
      <c r="AD1104" t="str">
        <f t="shared" si="727"/>
        <v>SubDepósito</v>
      </c>
      <c r="AE1104" t="str">
        <f t="shared" si="728"/>
        <v>Marca</v>
      </c>
      <c r="AF1104" t="str">
        <f t="shared" si="729"/>
        <v>Super Rubro</v>
      </c>
      <c r="AG1104" t="str">
        <f t="shared" si="730"/>
        <v>ComercioExterior</v>
      </c>
      <c r="AH1104" t="str">
        <f t="shared" si="731"/>
        <v>PrecioFOB</v>
      </c>
      <c r="AI1104" t="str">
        <f t="shared" si="732"/>
        <v>Monto II</v>
      </c>
      <c r="AJ1104" t="str">
        <f t="shared" si="733"/>
        <v>Porcentaje II</v>
      </c>
      <c r="AK1104" t="str">
        <f t="shared" si="734"/>
        <v>Foto</v>
      </c>
      <c r="AL1104" t="str">
        <f t="shared" ref="AL1104:AL1111" si="739">" "</f>
        <v xml:space="preserve"> </v>
      </c>
      <c r="AM1104" t="str">
        <f t="shared" si="736"/>
        <v xml:space="preserve"> </v>
      </c>
    </row>
    <row r="1105" spans="1:39" x14ac:dyDescent="0.25">
      <c r="A1105" t="str">
        <f>"BI054915 20"</f>
        <v>BI054915 20</v>
      </c>
      <c r="B1105" t="str">
        <f>"COJINETES BIELA 0,50 CHEVROLET CRUZE TRACKER 1.8 16V Z18XE 6 N18XFF"</f>
        <v>COJINETES BIELA 0,50 CHEVROLET CRUZE TRACKER 1.8 16V Z18XE 6 N18XFF</v>
      </c>
      <c r="C1105" t="str">
        <f>"$ 12622,35"</f>
        <v>$ 12622,35</v>
      </c>
      <c r="D1105" t="str">
        <f>"$ 12622,35"</f>
        <v>$ 12622,35</v>
      </c>
      <c r="E1105" t="str">
        <f>"$ 12622,35"</f>
        <v>$ 12622,35</v>
      </c>
      <c r="F1105" t="str">
        <f>"$ 12622,35"</f>
        <v>$ 12622,35</v>
      </c>
      <c r="G1105" t="str">
        <f>"$ 12622,35"</f>
        <v>$ 12622,35</v>
      </c>
      <c r="H1105" t="str">
        <f t="shared" si="717"/>
        <v>$ 0,00</v>
      </c>
      <c r="I1105" t="str">
        <f t="shared" si="713"/>
        <v>JUEGO COJINETES BIELA</v>
      </c>
      <c r="J1105" t="str">
        <f t="shared" si="718"/>
        <v>1</v>
      </c>
      <c r="K1105" t="str">
        <f t="shared" si="702"/>
        <v>0</v>
      </c>
      <c r="L1105" t="str">
        <f>"6,000"</f>
        <v>6,000</v>
      </c>
      <c r="M1105" t="str">
        <f t="shared" si="719"/>
        <v xml:space="preserve"> </v>
      </c>
      <c r="N1105" t="str">
        <f t="shared" si="707"/>
        <v>MPSI</v>
      </c>
      <c r="O1105" t="str">
        <f t="shared" si="708"/>
        <v>COJINETES</v>
      </c>
      <c r="P1105" t="str">
        <f t="shared" si="737"/>
        <v>0</v>
      </c>
      <c r="Q1105" t="str">
        <f t="shared" si="737"/>
        <v>0</v>
      </c>
      <c r="R1105" t="str">
        <f t="shared" si="738"/>
        <v>0,00</v>
      </c>
      <c r="S1105" t="str">
        <f t="shared" si="738"/>
        <v>0,00</v>
      </c>
      <c r="T1105" t="str">
        <f t="shared" ref="T1105:T1168" si="740">" "</f>
        <v xml:space="preserve"> </v>
      </c>
      <c r="U1105" t="str">
        <f t="shared" si="735"/>
        <v>-</v>
      </c>
      <c r="V1105" t="str">
        <f>"6,000"</f>
        <v>6,000</v>
      </c>
      <c r="W1105" t="str">
        <f t="shared" si="720"/>
        <v>Lista 4</v>
      </c>
      <c r="X1105" t="str">
        <f t="shared" si="721"/>
        <v>Lista 5</v>
      </c>
      <c r="Y1105" t="str">
        <f t="shared" si="722"/>
        <v>Oferta Gral.</v>
      </c>
      <c r="Z1105" t="str">
        <f t="shared" si="723"/>
        <v>Rubro</v>
      </c>
      <c r="AA1105" t="str">
        <f t="shared" si="724"/>
        <v>Cantidad por Bulto</v>
      </c>
      <c r="AB1105" t="str">
        <f t="shared" si="725"/>
        <v>INNER</v>
      </c>
      <c r="AC1105" t="str">
        <f t="shared" si="726"/>
        <v>Stock en Bultos</v>
      </c>
      <c r="AD1105" t="str">
        <f t="shared" si="727"/>
        <v>SubDepósito</v>
      </c>
      <c r="AE1105" t="str">
        <f t="shared" si="728"/>
        <v>Marca</v>
      </c>
      <c r="AF1105" t="str">
        <f t="shared" si="729"/>
        <v>Super Rubro</v>
      </c>
      <c r="AG1105" t="str">
        <f t="shared" si="730"/>
        <v>ComercioExterior</v>
      </c>
      <c r="AH1105" t="str">
        <f t="shared" si="731"/>
        <v>PrecioFOB</v>
      </c>
      <c r="AI1105" t="str">
        <f t="shared" si="732"/>
        <v>Monto II</v>
      </c>
      <c r="AJ1105" t="str">
        <f t="shared" si="733"/>
        <v>Porcentaje II</v>
      </c>
      <c r="AK1105" t="str">
        <f t="shared" si="734"/>
        <v>Foto</v>
      </c>
      <c r="AL1105" t="str">
        <f t="shared" si="739"/>
        <v xml:space="preserve"> </v>
      </c>
      <c r="AM1105" t="str">
        <f t="shared" si="736"/>
        <v xml:space="preserve"> </v>
      </c>
    </row>
    <row r="1106" spans="1:39" x14ac:dyDescent="0.25">
      <c r="A1106" t="str">
        <f>"BI054928 20"</f>
        <v>BI054928 20</v>
      </c>
      <c r="B1106" t="str">
        <f>"COJINETES BIELA 0,50 CHEVROLET CRUZE X12XE 1.4 TURBO"</f>
        <v>COJINETES BIELA 0,50 CHEVROLET CRUZE X12XE 1.4 TURBO</v>
      </c>
      <c r="C1106" t="str">
        <f>"$ 11593,57"</f>
        <v>$ 11593,57</v>
      </c>
      <c r="D1106" t="str">
        <f>"$ 11593,57"</f>
        <v>$ 11593,57</v>
      </c>
      <c r="E1106" t="str">
        <f>"$ 11593,57"</f>
        <v>$ 11593,57</v>
      </c>
      <c r="F1106" t="str">
        <f>"$ 11593,57"</f>
        <v>$ 11593,57</v>
      </c>
      <c r="G1106" t="str">
        <f>"$ 11593,57"</f>
        <v>$ 11593,57</v>
      </c>
      <c r="H1106" t="str">
        <f t="shared" si="717"/>
        <v>$ 0,00</v>
      </c>
      <c r="I1106" t="str">
        <f t="shared" si="713"/>
        <v>JUEGO COJINETES BIELA</v>
      </c>
      <c r="J1106" t="str">
        <f t="shared" si="718"/>
        <v>1</v>
      </c>
      <c r="K1106" t="str">
        <f t="shared" si="702"/>
        <v>0</v>
      </c>
      <c r="L1106" t="str">
        <f>"3,000"</f>
        <v>3,000</v>
      </c>
      <c r="M1106" t="str">
        <f t="shared" si="719"/>
        <v xml:space="preserve"> </v>
      </c>
      <c r="N1106" t="str">
        <f t="shared" si="707"/>
        <v>MPSI</v>
      </c>
      <c r="O1106" t="str">
        <f t="shared" si="708"/>
        <v>COJINETES</v>
      </c>
      <c r="P1106" t="str">
        <f t="shared" si="737"/>
        <v>0</v>
      </c>
      <c r="Q1106" t="str">
        <f t="shared" si="737"/>
        <v>0</v>
      </c>
      <c r="R1106" t="str">
        <f t="shared" si="738"/>
        <v>0,00</v>
      </c>
      <c r="S1106" t="str">
        <f t="shared" si="738"/>
        <v>0,00</v>
      </c>
      <c r="T1106" t="str">
        <f t="shared" si="740"/>
        <v xml:space="preserve"> </v>
      </c>
      <c r="U1106" t="str">
        <f t="shared" si="735"/>
        <v>-</v>
      </c>
      <c r="V1106" t="str">
        <f>"3,000"</f>
        <v>3,000</v>
      </c>
      <c r="W1106" t="str">
        <f t="shared" si="720"/>
        <v>Lista 4</v>
      </c>
      <c r="X1106" t="str">
        <f t="shared" si="721"/>
        <v>Lista 5</v>
      </c>
      <c r="Y1106" t="str">
        <f t="shared" si="722"/>
        <v>Oferta Gral.</v>
      </c>
      <c r="Z1106" t="str">
        <f t="shared" si="723"/>
        <v>Rubro</v>
      </c>
      <c r="AA1106" t="str">
        <f t="shared" si="724"/>
        <v>Cantidad por Bulto</v>
      </c>
      <c r="AB1106" t="str">
        <f t="shared" si="725"/>
        <v>INNER</v>
      </c>
      <c r="AC1106" t="str">
        <f t="shared" si="726"/>
        <v>Stock en Bultos</v>
      </c>
      <c r="AD1106" t="str">
        <f t="shared" si="727"/>
        <v>SubDepósito</v>
      </c>
      <c r="AE1106" t="str">
        <f t="shared" si="728"/>
        <v>Marca</v>
      </c>
      <c r="AF1106" t="str">
        <f t="shared" si="729"/>
        <v>Super Rubro</v>
      </c>
      <c r="AG1106" t="str">
        <f t="shared" si="730"/>
        <v>ComercioExterior</v>
      </c>
      <c r="AH1106" t="str">
        <f t="shared" si="731"/>
        <v>PrecioFOB</v>
      </c>
      <c r="AI1106" t="str">
        <f t="shared" si="732"/>
        <v>Monto II</v>
      </c>
      <c r="AJ1106" t="str">
        <f t="shared" si="733"/>
        <v>Porcentaje II</v>
      </c>
      <c r="AK1106" t="str">
        <f t="shared" si="734"/>
        <v>Foto</v>
      </c>
      <c r="AL1106" t="str">
        <f t="shared" si="739"/>
        <v xml:space="preserve"> </v>
      </c>
      <c r="AM1106" t="str">
        <f t="shared" si="736"/>
        <v xml:space="preserve"> </v>
      </c>
    </row>
    <row r="1107" spans="1:39" x14ac:dyDescent="0.25">
      <c r="A1107" t="str">
        <f>"BI070 20"</f>
        <v>BI070 20</v>
      </c>
      <c r="B1107" t="str">
        <f>"COJINETES BIELA 0,50 CHEVROLET MONZA ASTRA 1.8 2.0 8V"</f>
        <v>COJINETES BIELA 0,50 CHEVROLET MONZA ASTRA 1.8 2.0 8V</v>
      </c>
      <c r="C1107" t="str">
        <f>"$ 15174,52"</f>
        <v>$ 15174,52</v>
      </c>
      <c r="D1107" t="str">
        <f>"$ 15174,52"</f>
        <v>$ 15174,52</v>
      </c>
      <c r="E1107" t="str">
        <f>"$ 15174,52"</f>
        <v>$ 15174,52</v>
      </c>
      <c r="F1107" t="str">
        <f>"$ 15174,52"</f>
        <v>$ 15174,52</v>
      </c>
      <c r="G1107" t="str">
        <f>"$ 15174,52"</f>
        <v>$ 15174,52</v>
      </c>
      <c r="H1107" t="str">
        <f t="shared" si="717"/>
        <v>$ 0,00</v>
      </c>
      <c r="I1107" t="str">
        <f t="shared" si="713"/>
        <v>JUEGO COJINETES BIELA</v>
      </c>
      <c r="J1107" t="str">
        <f t="shared" si="718"/>
        <v>1</v>
      </c>
      <c r="K1107" t="str">
        <f t="shared" si="702"/>
        <v>0</v>
      </c>
      <c r="L1107" t="str">
        <f>"15,000"</f>
        <v>15,000</v>
      </c>
      <c r="M1107" t="str">
        <f t="shared" si="719"/>
        <v xml:space="preserve"> </v>
      </c>
      <c r="N1107" t="str">
        <f t="shared" si="707"/>
        <v>MPSI</v>
      </c>
      <c r="O1107" t="str">
        <f t="shared" si="708"/>
        <v>COJINETES</v>
      </c>
      <c r="P1107" t="str">
        <f t="shared" si="737"/>
        <v>0</v>
      </c>
      <c r="Q1107" t="str">
        <f t="shared" si="737"/>
        <v>0</v>
      </c>
      <c r="R1107" t="str">
        <f t="shared" si="738"/>
        <v>0,00</v>
      </c>
      <c r="S1107" t="str">
        <f t="shared" si="738"/>
        <v>0,00</v>
      </c>
      <c r="T1107" t="str">
        <f t="shared" si="740"/>
        <v xml:space="preserve"> </v>
      </c>
      <c r="U1107" t="str">
        <f t="shared" si="735"/>
        <v>-</v>
      </c>
      <c r="V1107" t="str">
        <f>"15,000"</f>
        <v>15,000</v>
      </c>
      <c r="W1107" t="str">
        <f t="shared" si="720"/>
        <v>Lista 4</v>
      </c>
      <c r="X1107" t="str">
        <f t="shared" si="721"/>
        <v>Lista 5</v>
      </c>
      <c r="Y1107" t="str">
        <f t="shared" si="722"/>
        <v>Oferta Gral.</v>
      </c>
      <c r="Z1107" t="str">
        <f t="shared" si="723"/>
        <v>Rubro</v>
      </c>
      <c r="AA1107" t="str">
        <f t="shared" si="724"/>
        <v>Cantidad por Bulto</v>
      </c>
      <c r="AB1107" t="str">
        <f t="shared" si="725"/>
        <v>INNER</v>
      </c>
      <c r="AC1107" t="str">
        <f t="shared" si="726"/>
        <v>Stock en Bultos</v>
      </c>
      <c r="AD1107" t="str">
        <f t="shared" si="727"/>
        <v>SubDepósito</v>
      </c>
      <c r="AE1107" t="str">
        <f t="shared" si="728"/>
        <v>Marca</v>
      </c>
      <c r="AF1107" t="str">
        <f t="shared" si="729"/>
        <v>Super Rubro</v>
      </c>
      <c r="AG1107" t="str">
        <f t="shared" si="730"/>
        <v>ComercioExterior</v>
      </c>
      <c r="AH1107" t="str">
        <f t="shared" si="731"/>
        <v>PrecioFOB</v>
      </c>
      <c r="AI1107" t="str">
        <f t="shared" si="732"/>
        <v>Monto II</v>
      </c>
      <c r="AJ1107" t="str">
        <f t="shared" si="733"/>
        <v>Porcentaje II</v>
      </c>
      <c r="AK1107" t="str">
        <f t="shared" si="734"/>
        <v>Foto</v>
      </c>
      <c r="AL1107" t="str">
        <f t="shared" si="739"/>
        <v xml:space="preserve"> </v>
      </c>
      <c r="AM1107" t="str">
        <f t="shared" si="736"/>
        <v xml:space="preserve"> </v>
      </c>
    </row>
    <row r="1108" spans="1:39" x14ac:dyDescent="0.25">
      <c r="A1108" t="str">
        <f>"BI054420 20"</f>
        <v>BI054420 20</v>
      </c>
      <c r="B1108" t="str">
        <f>"COJINETES BIELA 0,50 CHEVROLET S10 DURAMAX 2,8 16V"</f>
        <v>COJINETES BIELA 0,50 CHEVROLET S10 DURAMAX 2,8 16V</v>
      </c>
      <c r="C1108" t="str">
        <f>"$ 28627,81"</f>
        <v>$ 28627,81</v>
      </c>
      <c r="D1108" t="str">
        <f>"$ 28627,81"</f>
        <v>$ 28627,81</v>
      </c>
      <c r="E1108" t="str">
        <f>"$ 28627,81"</f>
        <v>$ 28627,81</v>
      </c>
      <c r="F1108" t="str">
        <f>"$ 28627,81"</f>
        <v>$ 28627,81</v>
      </c>
      <c r="G1108" t="str">
        <f>"$ 28627,81"</f>
        <v>$ 28627,81</v>
      </c>
      <c r="H1108" t="str">
        <f t="shared" si="717"/>
        <v>$ 0,00</v>
      </c>
      <c r="I1108" t="str">
        <f t="shared" si="713"/>
        <v>JUEGO COJINETES BIELA</v>
      </c>
      <c r="J1108" t="str">
        <f t="shared" si="718"/>
        <v>1</v>
      </c>
      <c r="K1108" t="str">
        <f t="shared" si="702"/>
        <v>0</v>
      </c>
      <c r="L1108" t="str">
        <f>"5,000"</f>
        <v>5,000</v>
      </c>
      <c r="M1108" t="str">
        <f t="shared" si="719"/>
        <v xml:space="preserve"> </v>
      </c>
      <c r="N1108" t="str">
        <f t="shared" si="707"/>
        <v>MPSI</v>
      </c>
      <c r="O1108" t="str">
        <f t="shared" si="708"/>
        <v>COJINETES</v>
      </c>
      <c r="P1108" t="str">
        <f t="shared" si="737"/>
        <v>0</v>
      </c>
      <c r="Q1108" t="str">
        <f t="shared" si="737"/>
        <v>0</v>
      </c>
      <c r="R1108" t="str">
        <f t="shared" si="738"/>
        <v>0,00</v>
      </c>
      <c r="S1108" t="str">
        <f t="shared" si="738"/>
        <v>0,00</v>
      </c>
      <c r="T1108" t="str">
        <f t="shared" si="740"/>
        <v xml:space="preserve"> </v>
      </c>
      <c r="U1108" t="str">
        <f t="shared" si="735"/>
        <v>-</v>
      </c>
      <c r="V1108" t="str">
        <f>"5,000"</f>
        <v>5,000</v>
      </c>
      <c r="W1108" t="str">
        <f t="shared" si="720"/>
        <v>Lista 4</v>
      </c>
      <c r="X1108" t="str">
        <f t="shared" si="721"/>
        <v>Lista 5</v>
      </c>
      <c r="Y1108" t="str">
        <f t="shared" si="722"/>
        <v>Oferta Gral.</v>
      </c>
      <c r="Z1108" t="str">
        <f t="shared" si="723"/>
        <v>Rubro</v>
      </c>
      <c r="AA1108" t="str">
        <f t="shared" si="724"/>
        <v>Cantidad por Bulto</v>
      </c>
      <c r="AB1108" t="str">
        <f t="shared" si="725"/>
        <v>INNER</v>
      </c>
      <c r="AC1108" t="str">
        <f t="shared" si="726"/>
        <v>Stock en Bultos</v>
      </c>
      <c r="AD1108" t="str">
        <f t="shared" si="727"/>
        <v>SubDepósito</v>
      </c>
      <c r="AE1108" t="str">
        <f t="shared" si="728"/>
        <v>Marca</v>
      </c>
      <c r="AF1108" t="str">
        <f t="shared" si="729"/>
        <v>Super Rubro</v>
      </c>
      <c r="AG1108" t="str">
        <f t="shared" si="730"/>
        <v>ComercioExterior</v>
      </c>
      <c r="AH1108" t="str">
        <f t="shared" si="731"/>
        <v>PrecioFOB</v>
      </c>
      <c r="AI1108" t="str">
        <f t="shared" si="732"/>
        <v>Monto II</v>
      </c>
      <c r="AJ1108" t="str">
        <f t="shared" si="733"/>
        <v>Porcentaje II</v>
      </c>
      <c r="AK1108" t="str">
        <f t="shared" si="734"/>
        <v>Foto</v>
      </c>
      <c r="AL1108" t="str">
        <f t="shared" si="739"/>
        <v xml:space="preserve"> </v>
      </c>
      <c r="AM1108" t="str">
        <f t="shared" si="736"/>
        <v xml:space="preserve"> </v>
      </c>
    </row>
    <row r="1109" spans="1:39" x14ac:dyDescent="0.25">
      <c r="A1109" t="str">
        <f>"BI580 20"</f>
        <v>BI580 20</v>
      </c>
      <c r="B1109" t="str">
        <f>"COJINETES BIELA 0,50 DAEWOO TICO MATIZ MOTOR 3 CILINDROS F8CB F8CV"</f>
        <v>COJINETES BIELA 0,50 DAEWOO TICO MATIZ MOTOR 3 CILINDROS F8CB F8CV</v>
      </c>
      <c r="C1109" t="str">
        <f>"$ 10010,83"</f>
        <v>$ 10010,83</v>
      </c>
      <c r="D1109" t="str">
        <f>"$ 10010,83"</f>
        <v>$ 10010,83</v>
      </c>
      <c r="E1109" t="str">
        <f>"$ 10010,83"</f>
        <v>$ 10010,83</v>
      </c>
      <c r="F1109" t="str">
        <f>"$ 10010,83"</f>
        <v>$ 10010,83</v>
      </c>
      <c r="G1109" t="str">
        <f>"$ 10010,83"</f>
        <v>$ 10010,83</v>
      </c>
      <c r="H1109" t="str">
        <f t="shared" si="717"/>
        <v>$ 0,00</v>
      </c>
      <c r="I1109" t="str">
        <f t="shared" si="713"/>
        <v>JUEGO COJINETES BIELA</v>
      </c>
      <c r="J1109" t="str">
        <f t="shared" si="718"/>
        <v>1</v>
      </c>
      <c r="K1109" t="str">
        <f t="shared" si="702"/>
        <v>0</v>
      </c>
      <c r="L1109" t="str">
        <f>"2,000"</f>
        <v>2,000</v>
      </c>
      <c r="M1109" t="str">
        <f t="shared" si="719"/>
        <v xml:space="preserve"> </v>
      </c>
      <c r="N1109" t="str">
        <f t="shared" si="707"/>
        <v>MPSI</v>
      </c>
      <c r="O1109" t="str">
        <f t="shared" si="708"/>
        <v>COJINETES</v>
      </c>
      <c r="P1109" t="str">
        <f t="shared" si="737"/>
        <v>0</v>
      </c>
      <c r="Q1109" t="str">
        <f t="shared" si="737"/>
        <v>0</v>
      </c>
      <c r="R1109" t="str">
        <f t="shared" si="738"/>
        <v>0,00</v>
      </c>
      <c r="S1109" t="str">
        <f t="shared" si="738"/>
        <v>0,00</v>
      </c>
      <c r="T1109" t="str">
        <f t="shared" si="740"/>
        <v xml:space="preserve"> </v>
      </c>
      <c r="U1109" t="str">
        <f t="shared" si="735"/>
        <v>-</v>
      </c>
      <c r="V1109" t="str">
        <f>"2,000"</f>
        <v>2,000</v>
      </c>
      <c r="W1109" t="str">
        <f t="shared" si="720"/>
        <v>Lista 4</v>
      </c>
      <c r="X1109" t="str">
        <f t="shared" si="721"/>
        <v>Lista 5</v>
      </c>
      <c r="Y1109" t="str">
        <f t="shared" si="722"/>
        <v>Oferta Gral.</v>
      </c>
      <c r="Z1109" t="str">
        <f t="shared" si="723"/>
        <v>Rubro</v>
      </c>
      <c r="AA1109" t="str">
        <f t="shared" si="724"/>
        <v>Cantidad por Bulto</v>
      </c>
      <c r="AB1109" t="str">
        <f t="shared" si="725"/>
        <v>INNER</v>
      </c>
      <c r="AC1109" t="str">
        <f t="shared" si="726"/>
        <v>Stock en Bultos</v>
      </c>
      <c r="AD1109" t="str">
        <f t="shared" si="727"/>
        <v>SubDepósito</v>
      </c>
      <c r="AE1109" t="str">
        <f t="shared" si="728"/>
        <v>Marca</v>
      </c>
      <c r="AF1109" t="str">
        <f t="shared" si="729"/>
        <v>Super Rubro</v>
      </c>
      <c r="AG1109" t="str">
        <f t="shared" si="730"/>
        <v>ComercioExterior</v>
      </c>
      <c r="AH1109" t="str">
        <f t="shared" si="731"/>
        <v>PrecioFOB</v>
      </c>
      <c r="AI1109" t="str">
        <f t="shared" si="732"/>
        <v>Monto II</v>
      </c>
      <c r="AJ1109" t="str">
        <f t="shared" si="733"/>
        <v>Porcentaje II</v>
      </c>
      <c r="AK1109" t="str">
        <f t="shared" si="734"/>
        <v>Foto</v>
      </c>
      <c r="AL1109" t="str">
        <f t="shared" si="739"/>
        <v xml:space="preserve"> </v>
      </c>
      <c r="AM1109" t="str">
        <f t="shared" si="736"/>
        <v xml:space="preserve"> </v>
      </c>
    </row>
    <row r="1110" spans="1:39" x14ac:dyDescent="0.25">
      <c r="A1110" t="str">
        <f>"BI082 20"</f>
        <v>BI082 20</v>
      </c>
      <c r="B1110" t="str">
        <f>"COJINETES BIELA 0,50 DODGE 1500"</f>
        <v>COJINETES BIELA 0,50 DODGE 1500</v>
      </c>
      <c r="C1110" t="str">
        <f>"$ 17350,79"</f>
        <v>$ 17350,79</v>
      </c>
      <c r="D1110" t="str">
        <f>"$ 17350,79"</f>
        <v>$ 17350,79</v>
      </c>
      <c r="E1110" t="str">
        <f>"$ 17350,79"</f>
        <v>$ 17350,79</v>
      </c>
      <c r="F1110" t="str">
        <f>"$ 17350,79"</f>
        <v>$ 17350,79</v>
      </c>
      <c r="G1110" t="str">
        <f>"$ 17350,79"</f>
        <v>$ 17350,79</v>
      </c>
      <c r="H1110" t="str">
        <f t="shared" si="717"/>
        <v>$ 0,00</v>
      </c>
      <c r="I1110" t="str">
        <f t="shared" si="713"/>
        <v>JUEGO COJINETES BIELA</v>
      </c>
      <c r="J1110" t="str">
        <f t="shared" si="718"/>
        <v>1</v>
      </c>
      <c r="K1110" t="str">
        <f t="shared" si="702"/>
        <v>0</v>
      </c>
      <c r="L1110" t="str">
        <f>"3,000"</f>
        <v>3,000</v>
      </c>
      <c r="M1110" t="str">
        <f t="shared" si="719"/>
        <v xml:space="preserve"> </v>
      </c>
      <c r="N1110" t="str">
        <f t="shared" si="707"/>
        <v>MPSI</v>
      </c>
      <c r="O1110" t="str">
        <f t="shared" si="708"/>
        <v>COJINETES</v>
      </c>
      <c r="P1110" t="str">
        <f t="shared" si="737"/>
        <v>0</v>
      </c>
      <c r="Q1110" t="str">
        <f t="shared" si="737"/>
        <v>0</v>
      </c>
      <c r="R1110" t="str">
        <f t="shared" si="738"/>
        <v>0,00</v>
      </c>
      <c r="S1110" t="str">
        <f t="shared" si="738"/>
        <v>0,00</v>
      </c>
      <c r="T1110" t="str">
        <f t="shared" si="740"/>
        <v xml:space="preserve"> </v>
      </c>
      <c r="U1110" t="str">
        <f t="shared" si="735"/>
        <v>-</v>
      </c>
      <c r="V1110" t="str">
        <f>"3,000"</f>
        <v>3,000</v>
      </c>
      <c r="W1110" t="str">
        <f t="shared" si="720"/>
        <v>Lista 4</v>
      </c>
      <c r="X1110" t="str">
        <f t="shared" si="721"/>
        <v>Lista 5</v>
      </c>
      <c r="Y1110" t="str">
        <f t="shared" si="722"/>
        <v>Oferta Gral.</v>
      </c>
      <c r="Z1110" t="str">
        <f t="shared" si="723"/>
        <v>Rubro</v>
      </c>
      <c r="AA1110" t="str">
        <f t="shared" si="724"/>
        <v>Cantidad por Bulto</v>
      </c>
      <c r="AB1110" t="str">
        <f t="shared" si="725"/>
        <v>INNER</v>
      </c>
      <c r="AC1110" t="str">
        <f t="shared" si="726"/>
        <v>Stock en Bultos</v>
      </c>
      <c r="AD1110" t="str">
        <f t="shared" si="727"/>
        <v>SubDepósito</v>
      </c>
      <c r="AE1110" t="str">
        <f t="shared" si="728"/>
        <v>Marca</v>
      </c>
      <c r="AF1110" t="str">
        <f t="shared" si="729"/>
        <v>Super Rubro</v>
      </c>
      <c r="AG1110" t="str">
        <f t="shared" si="730"/>
        <v>ComercioExterior</v>
      </c>
      <c r="AH1110" t="str">
        <f t="shared" si="731"/>
        <v>PrecioFOB</v>
      </c>
      <c r="AI1110" t="str">
        <f t="shared" si="732"/>
        <v>Monto II</v>
      </c>
      <c r="AJ1110" t="str">
        <f t="shared" si="733"/>
        <v>Porcentaje II</v>
      </c>
      <c r="AK1110" t="str">
        <f t="shared" si="734"/>
        <v>Foto</v>
      </c>
      <c r="AL1110" t="str">
        <f t="shared" si="739"/>
        <v xml:space="preserve"> </v>
      </c>
      <c r="AM1110" t="str">
        <f t="shared" si="736"/>
        <v xml:space="preserve"> </v>
      </c>
    </row>
    <row r="1111" spans="1:39" x14ac:dyDescent="0.25">
      <c r="A1111" t="str">
        <f>"BI080 20"</f>
        <v>BI080 20</v>
      </c>
      <c r="B1111" t="str">
        <f>"COJINETES BIELA 0,50 DODGE VALIANT"</f>
        <v>COJINETES BIELA 0,50 DODGE VALIANT</v>
      </c>
      <c r="C1111" t="str">
        <f>"$ 29518,10"</f>
        <v>$ 29518,10</v>
      </c>
      <c r="D1111" t="str">
        <f>"$ 29518,10"</f>
        <v>$ 29518,10</v>
      </c>
      <c r="E1111" t="str">
        <f>"$ 29518,10"</f>
        <v>$ 29518,10</v>
      </c>
      <c r="F1111" t="str">
        <f>"$ 29518,10"</f>
        <v>$ 29518,10</v>
      </c>
      <c r="G1111" t="str">
        <f>"$ 29518,10"</f>
        <v>$ 29518,10</v>
      </c>
      <c r="H1111" t="str">
        <f t="shared" si="717"/>
        <v>$ 0,00</v>
      </c>
      <c r="I1111" t="str">
        <f t="shared" si="713"/>
        <v>JUEGO COJINETES BIELA</v>
      </c>
      <c r="J1111" t="str">
        <f t="shared" si="718"/>
        <v>1</v>
      </c>
      <c r="K1111" t="str">
        <f t="shared" ref="K1111:K1174" si="741">"0"</f>
        <v>0</v>
      </c>
      <c r="L1111" t="str">
        <f>"2,000"</f>
        <v>2,000</v>
      </c>
      <c r="M1111" t="str">
        <f t="shared" si="719"/>
        <v xml:space="preserve"> </v>
      </c>
      <c r="N1111" t="str">
        <f t="shared" si="707"/>
        <v>MPSI</v>
      </c>
      <c r="O1111" t="str">
        <f t="shared" si="708"/>
        <v>COJINETES</v>
      </c>
      <c r="P1111" t="str">
        <f t="shared" si="737"/>
        <v>0</v>
      </c>
      <c r="Q1111" t="str">
        <f t="shared" si="737"/>
        <v>0</v>
      </c>
      <c r="R1111" t="str">
        <f t="shared" si="738"/>
        <v>0,00</v>
      </c>
      <c r="S1111" t="str">
        <f t="shared" si="738"/>
        <v>0,00</v>
      </c>
      <c r="T1111" t="str">
        <f t="shared" si="740"/>
        <v xml:space="preserve"> </v>
      </c>
      <c r="U1111" t="str">
        <f t="shared" si="735"/>
        <v>-</v>
      </c>
      <c r="V1111" t="str">
        <f>"2,000"</f>
        <v>2,000</v>
      </c>
      <c r="W1111" t="str">
        <f t="shared" si="720"/>
        <v>Lista 4</v>
      </c>
      <c r="X1111" t="str">
        <f t="shared" si="721"/>
        <v>Lista 5</v>
      </c>
      <c r="Y1111" t="str">
        <f t="shared" si="722"/>
        <v>Oferta Gral.</v>
      </c>
      <c r="Z1111" t="str">
        <f t="shared" si="723"/>
        <v>Rubro</v>
      </c>
      <c r="AA1111" t="str">
        <f t="shared" si="724"/>
        <v>Cantidad por Bulto</v>
      </c>
      <c r="AB1111" t="str">
        <f t="shared" si="725"/>
        <v>INNER</v>
      </c>
      <c r="AC1111" t="str">
        <f t="shared" si="726"/>
        <v>Stock en Bultos</v>
      </c>
      <c r="AD1111" t="str">
        <f t="shared" si="727"/>
        <v>SubDepósito</v>
      </c>
      <c r="AE1111" t="str">
        <f t="shared" si="728"/>
        <v>Marca</v>
      </c>
      <c r="AF1111" t="str">
        <f t="shared" si="729"/>
        <v>Super Rubro</v>
      </c>
      <c r="AG1111" t="str">
        <f t="shared" si="730"/>
        <v>ComercioExterior</v>
      </c>
      <c r="AH1111" t="str">
        <f t="shared" si="731"/>
        <v>PrecioFOB</v>
      </c>
      <c r="AI1111" t="str">
        <f t="shared" si="732"/>
        <v>Monto II</v>
      </c>
      <c r="AJ1111" t="str">
        <f t="shared" si="733"/>
        <v>Porcentaje II</v>
      </c>
      <c r="AK1111" t="str">
        <f t="shared" si="734"/>
        <v>Foto</v>
      </c>
      <c r="AL1111" t="str">
        <f t="shared" si="739"/>
        <v xml:space="preserve"> </v>
      </c>
      <c r="AM1111" t="str">
        <f t="shared" si="736"/>
        <v xml:space="preserve"> </v>
      </c>
    </row>
    <row r="1112" spans="1:39" x14ac:dyDescent="0.25">
      <c r="A1112" t="str">
        <f>"BI144405 20"</f>
        <v>BI144405 20</v>
      </c>
      <c r="B1112" t="str">
        <f>"COJINETES BIELA 0,50 DUCATO DAILY BOXER JUMPER 2.3 MULTIJET"</f>
        <v>COJINETES BIELA 0,50 DUCATO DAILY BOXER JUMPER 2.3 MULTIJET</v>
      </c>
      <c r="C1112" t="str">
        <f>"$ 29913,79"</f>
        <v>$ 29913,79</v>
      </c>
      <c r="D1112" t="str">
        <f>"$ 29913,79"</f>
        <v>$ 29913,79</v>
      </c>
      <c r="E1112" t="str">
        <f>"$ 29913,79"</f>
        <v>$ 29913,79</v>
      </c>
      <c r="F1112" t="str">
        <f>"$ 29913,79"</f>
        <v>$ 29913,79</v>
      </c>
      <c r="G1112" t="str">
        <f>"$ 29913,79"</f>
        <v>$ 29913,79</v>
      </c>
      <c r="H1112" t="str">
        <f t="shared" si="717"/>
        <v>$ 0,00</v>
      </c>
      <c r="I1112" t="str">
        <f t="shared" si="713"/>
        <v>JUEGO COJINETES BIELA</v>
      </c>
      <c r="J1112" t="str">
        <f t="shared" si="718"/>
        <v>1</v>
      </c>
      <c r="K1112" t="str">
        <f t="shared" si="741"/>
        <v>0</v>
      </c>
      <c r="L1112" t="str">
        <f>"4,000"</f>
        <v>4,000</v>
      </c>
      <c r="M1112" t="str">
        <f t="shared" si="719"/>
        <v xml:space="preserve"> </v>
      </c>
      <c r="N1112" t="str">
        <f t="shared" si="707"/>
        <v>MPSI</v>
      </c>
      <c r="O1112" t="str">
        <f t="shared" si="708"/>
        <v>COJINETES</v>
      </c>
      <c r="P1112" t="str">
        <f t="shared" si="737"/>
        <v>0</v>
      </c>
      <c r="Q1112" t="str">
        <f t="shared" si="737"/>
        <v>0</v>
      </c>
      <c r="R1112" t="str">
        <f t="shared" si="738"/>
        <v>0,00</v>
      </c>
      <c r="S1112" t="str">
        <f t="shared" si="738"/>
        <v>0,00</v>
      </c>
      <c r="T1112" t="str">
        <f t="shared" si="740"/>
        <v xml:space="preserve"> </v>
      </c>
      <c r="U1112" t="str">
        <f t="shared" si="735"/>
        <v>-</v>
      </c>
      <c r="V1112" t="str">
        <f>"4,000"</f>
        <v>4,000</v>
      </c>
      <c r="W1112" t="str">
        <f t="shared" si="720"/>
        <v>Lista 4</v>
      </c>
      <c r="X1112" t="str">
        <f t="shared" si="721"/>
        <v>Lista 5</v>
      </c>
      <c r="Y1112" t="str">
        <f t="shared" si="722"/>
        <v>Oferta Gral.</v>
      </c>
      <c r="Z1112" t="str">
        <f t="shared" si="723"/>
        <v>Rubro</v>
      </c>
      <c r="AA1112" t="str">
        <f t="shared" si="724"/>
        <v>Cantidad por Bulto</v>
      </c>
      <c r="AB1112" t="str">
        <f t="shared" si="725"/>
        <v>INNER</v>
      </c>
      <c r="AC1112" t="str">
        <f t="shared" si="726"/>
        <v>Stock en Bultos</v>
      </c>
      <c r="AD1112" t="str">
        <f t="shared" si="727"/>
        <v>SubDepósito</v>
      </c>
      <c r="AE1112" t="str">
        <f t="shared" si="728"/>
        <v>Marca</v>
      </c>
      <c r="AF1112" t="str">
        <f t="shared" si="729"/>
        <v>Super Rubro</v>
      </c>
      <c r="AG1112" t="str">
        <f t="shared" si="730"/>
        <v>ComercioExterior</v>
      </c>
      <c r="AH1112" t="str">
        <f t="shared" si="731"/>
        <v>PrecioFOB</v>
      </c>
      <c r="AI1112" t="str">
        <f t="shared" si="732"/>
        <v>Monto II</v>
      </c>
      <c r="AJ1112" t="str">
        <f t="shared" si="733"/>
        <v>Porcentaje II</v>
      </c>
      <c r="AK1112" t="str">
        <f t="shared" si="734"/>
        <v>Foto</v>
      </c>
      <c r="AL1112" t="str">
        <f>"{\rtf1\ansi\ansicpg1252\deff0\deflang11274{\fonttbl{\f0\fnil\fcharset0 MS Sans Serif}} \viewkind4\uc1\pard\f0\fs16 COJINETES BIELA 0,50 DUCATO DAILY BOXER JUMPER 2.3 MULTIJET\par } "</f>
        <v xml:space="preserve">{\rtf1\ansi\ansicpg1252\deff0\deflang11274{\fonttbl{\f0\fnil\fcharset0 MS Sans Serif}} \viewkind4\uc1\pard\f0\fs16 COJINETES BIELA 0,50 DUCATO DAILY BOXER JUMPER 2.3 MULTIJET\par } </v>
      </c>
      <c r="AM1112" t="str">
        <f t="shared" si="736"/>
        <v xml:space="preserve"> </v>
      </c>
    </row>
    <row r="1113" spans="1:39" x14ac:dyDescent="0.25">
      <c r="A1113" t="str">
        <f>"BI131 20"</f>
        <v>BI131 20</v>
      </c>
      <c r="B1113" t="str">
        <f>"COJINETES BIELA 0,50 FIAT 128 1100/1300CC    FM 60985RA"</f>
        <v>COJINETES BIELA 0,50 FIAT 128 1100/1300CC    FM 60985RA</v>
      </c>
      <c r="C1113" t="str">
        <f>"$ 16120,50"</f>
        <v>$ 16120,50</v>
      </c>
      <c r="D1113" t="str">
        <f>"$ 16120,50"</f>
        <v>$ 16120,50</v>
      </c>
      <c r="E1113" t="str">
        <f>"$ 16120,50"</f>
        <v>$ 16120,50</v>
      </c>
      <c r="F1113" t="str">
        <f>"$ 16120,50"</f>
        <v>$ 16120,50</v>
      </c>
      <c r="G1113" t="str">
        <f>"$ 16120,50"</f>
        <v>$ 16120,50</v>
      </c>
      <c r="H1113" t="str">
        <f t="shared" si="717"/>
        <v>$ 0,00</v>
      </c>
      <c r="I1113" t="str">
        <f t="shared" si="713"/>
        <v>JUEGO COJINETES BIELA</v>
      </c>
      <c r="J1113" t="str">
        <f t="shared" si="718"/>
        <v>1</v>
      </c>
      <c r="K1113" t="str">
        <f t="shared" si="741"/>
        <v>0</v>
      </c>
      <c r="L1113" t="str">
        <f>"5,000"</f>
        <v>5,000</v>
      </c>
      <c r="M1113" t="str">
        <f t="shared" si="719"/>
        <v xml:space="preserve"> </v>
      </c>
      <c r="N1113" t="str">
        <f t="shared" si="707"/>
        <v>MPSI</v>
      </c>
      <c r="O1113" t="str">
        <f t="shared" si="708"/>
        <v>COJINETES</v>
      </c>
      <c r="P1113" t="str">
        <f t="shared" si="737"/>
        <v>0</v>
      </c>
      <c r="Q1113" t="str">
        <f t="shared" si="737"/>
        <v>0</v>
      </c>
      <c r="R1113" t="str">
        <f t="shared" si="738"/>
        <v>0,00</v>
      </c>
      <c r="S1113" t="str">
        <f t="shared" si="738"/>
        <v>0,00</v>
      </c>
      <c r="T1113" t="str">
        <f t="shared" si="740"/>
        <v xml:space="preserve"> </v>
      </c>
      <c r="U1113" t="str">
        <f>" "</f>
        <v xml:space="preserve"> </v>
      </c>
      <c r="V1113" t="str">
        <f>"5,000"</f>
        <v>5,000</v>
      </c>
      <c r="W1113" t="str">
        <f t="shared" si="720"/>
        <v>Lista 4</v>
      </c>
      <c r="X1113" t="str">
        <f t="shared" si="721"/>
        <v>Lista 5</v>
      </c>
      <c r="Y1113" t="str">
        <f t="shared" si="722"/>
        <v>Oferta Gral.</v>
      </c>
      <c r="Z1113" t="str">
        <f t="shared" si="723"/>
        <v>Rubro</v>
      </c>
      <c r="AA1113" t="str">
        <f t="shared" si="724"/>
        <v>Cantidad por Bulto</v>
      </c>
      <c r="AB1113" t="str">
        <f t="shared" si="725"/>
        <v>INNER</v>
      </c>
      <c r="AC1113" t="str">
        <f t="shared" si="726"/>
        <v>Stock en Bultos</v>
      </c>
      <c r="AD1113" t="str">
        <f t="shared" si="727"/>
        <v>SubDepósito</v>
      </c>
      <c r="AE1113" t="str">
        <f t="shared" si="728"/>
        <v>Marca</v>
      </c>
      <c r="AF1113" t="str">
        <f t="shared" si="729"/>
        <v>Super Rubro</v>
      </c>
      <c r="AG1113" t="str">
        <f t="shared" si="730"/>
        <v>ComercioExterior</v>
      </c>
      <c r="AH1113" t="str">
        <f t="shared" si="731"/>
        <v>PrecioFOB</v>
      </c>
      <c r="AI1113" t="str">
        <f t="shared" si="732"/>
        <v>Monto II</v>
      </c>
      <c r="AJ1113" t="str">
        <f t="shared" si="733"/>
        <v>Porcentaje II</v>
      </c>
      <c r="AK1113" t="str">
        <f t="shared" si="734"/>
        <v>Foto</v>
      </c>
      <c r="AL1113" t="str">
        <f>"{\rtf1\ansi\ansicpg1252\deff0\deflang11274{\fonttbl{\f0\fnil\fcharset0 MS Sans Serif}} \viewkind4\uc1\pard\f0\fs16 COJINETES BIELA 0,50 FIAT 128 1100/1300CC    FM 60985RA\par } "</f>
        <v xml:space="preserve">{\rtf1\ansi\ansicpg1252\deff0\deflang11274{\fonttbl{\f0\fnil\fcharset0 MS Sans Serif}} \viewkind4\uc1\pard\f0\fs16 COJINETES BIELA 0,50 FIAT 128 1100/1300CC    FM 60985RA\par } </v>
      </c>
      <c r="AM1113" t="str">
        <f>"-"</f>
        <v>-</v>
      </c>
    </row>
    <row r="1114" spans="1:39" x14ac:dyDescent="0.25">
      <c r="A1114" t="str">
        <f>"BI136 20"</f>
        <v>BI136 20</v>
      </c>
      <c r="B1114" t="str">
        <f>"COJINETES BIELA 0,50 FIAT 147 DUNA 1300 DIESEL"</f>
        <v>COJINETES BIELA 0,50 FIAT 147 DUNA 1300 DIESEL</v>
      </c>
      <c r="C1114" t="str">
        <f>"$ 12196,21"</f>
        <v>$ 12196,21</v>
      </c>
      <c r="D1114" t="str">
        <f>"$ 12196,21"</f>
        <v>$ 12196,21</v>
      </c>
      <c r="E1114" t="str">
        <f>"$ 12196,21"</f>
        <v>$ 12196,21</v>
      </c>
      <c r="F1114" t="str">
        <f>"$ 12196,21"</f>
        <v>$ 12196,21</v>
      </c>
      <c r="G1114" t="str">
        <f>"$ 12196,21"</f>
        <v>$ 12196,21</v>
      </c>
      <c r="H1114" t="str">
        <f t="shared" si="717"/>
        <v>$ 0,00</v>
      </c>
      <c r="I1114" t="str">
        <f t="shared" si="713"/>
        <v>JUEGO COJINETES BIELA</v>
      </c>
      <c r="J1114" t="str">
        <f t="shared" si="718"/>
        <v>1</v>
      </c>
      <c r="K1114" t="str">
        <f t="shared" si="741"/>
        <v>0</v>
      </c>
      <c r="L1114" t="str">
        <f>"6,000"</f>
        <v>6,000</v>
      </c>
      <c r="M1114" t="str">
        <f t="shared" si="719"/>
        <v xml:space="preserve"> </v>
      </c>
      <c r="N1114" t="str">
        <f t="shared" si="707"/>
        <v>MPSI</v>
      </c>
      <c r="O1114" t="str">
        <f t="shared" si="708"/>
        <v>COJINETES</v>
      </c>
      <c r="P1114" t="str">
        <f t="shared" si="737"/>
        <v>0</v>
      </c>
      <c r="Q1114" t="str">
        <f t="shared" si="737"/>
        <v>0</v>
      </c>
      <c r="R1114" t="str">
        <f t="shared" si="738"/>
        <v>0,00</v>
      </c>
      <c r="S1114" t="str">
        <f t="shared" si="738"/>
        <v>0,00</v>
      </c>
      <c r="T1114" t="str">
        <f t="shared" si="740"/>
        <v xml:space="preserve"> </v>
      </c>
      <c r="U1114" t="str">
        <f t="shared" ref="U1114:U1129" si="742">"-"</f>
        <v>-</v>
      </c>
      <c r="V1114" t="str">
        <f>"6,000"</f>
        <v>6,000</v>
      </c>
      <c r="W1114" t="str">
        <f t="shared" si="720"/>
        <v>Lista 4</v>
      </c>
      <c r="X1114" t="str">
        <f t="shared" si="721"/>
        <v>Lista 5</v>
      </c>
      <c r="Y1114" t="str">
        <f t="shared" si="722"/>
        <v>Oferta Gral.</v>
      </c>
      <c r="Z1114" t="str">
        <f t="shared" si="723"/>
        <v>Rubro</v>
      </c>
      <c r="AA1114" t="str">
        <f t="shared" si="724"/>
        <v>Cantidad por Bulto</v>
      </c>
      <c r="AB1114" t="str">
        <f t="shared" si="725"/>
        <v>INNER</v>
      </c>
      <c r="AC1114" t="str">
        <f t="shared" si="726"/>
        <v>Stock en Bultos</v>
      </c>
      <c r="AD1114" t="str">
        <f t="shared" si="727"/>
        <v>SubDepósito</v>
      </c>
      <c r="AE1114" t="str">
        <f t="shared" si="728"/>
        <v>Marca</v>
      </c>
      <c r="AF1114" t="str">
        <f t="shared" si="729"/>
        <v>Super Rubro</v>
      </c>
      <c r="AG1114" t="str">
        <f t="shared" si="730"/>
        <v>ComercioExterior</v>
      </c>
      <c r="AH1114" t="str">
        <f t="shared" si="731"/>
        <v>PrecioFOB</v>
      </c>
      <c r="AI1114" t="str">
        <f t="shared" si="732"/>
        <v>Monto II</v>
      </c>
      <c r="AJ1114" t="str">
        <f t="shared" si="733"/>
        <v>Porcentaje II</v>
      </c>
      <c r="AK1114" t="str">
        <f t="shared" si="734"/>
        <v>Foto</v>
      </c>
      <c r="AL1114" t="str">
        <f t="shared" ref="AL1114:AM1117" si="743">" "</f>
        <v xml:space="preserve"> </v>
      </c>
      <c r="AM1114" t="str">
        <f t="shared" si="743"/>
        <v xml:space="preserve"> </v>
      </c>
    </row>
    <row r="1115" spans="1:39" x14ac:dyDescent="0.25">
      <c r="A1115" t="str">
        <f>"BI133 20"</f>
        <v>BI133 20</v>
      </c>
      <c r="B1115" t="str">
        <f>"COJINETES BIELA 0,50 FIAT 600 S 133"</f>
        <v>COJINETES BIELA 0,50 FIAT 600 S 133</v>
      </c>
      <c r="C1115" t="str">
        <f>"$ 13908,33"</f>
        <v>$ 13908,33</v>
      </c>
      <c r="D1115" t="str">
        <f>"$ 13908,33"</f>
        <v>$ 13908,33</v>
      </c>
      <c r="E1115" t="str">
        <f>"$ 13908,33"</f>
        <v>$ 13908,33</v>
      </c>
      <c r="F1115" t="str">
        <f>"$ 13908,33"</f>
        <v>$ 13908,33</v>
      </c>
      <c r="G1115" t="str">
        <f>"$ 13908,33"</f>
        <v>$ 13908,33</v>
      </c>
      <c r="H1115" t="str">
        <f t="shared" si="717"/>
        <v>$ 0,00</v>
      </c>
      <c r="I1115" t="str">
        <f t="shared" si="713"/>
        <v>JUEGO COJINETES BIELA</v>
      </c>
      <c r="J1115" t="str">
        <f t="shared" si="718"/>
        <v>1</v>
      </c>
      <c r="K1115" t="str">
        <f t="shared" si="741"/>
        <v>0</v>
      </c>
      <c r="L1115" t="str">
        <f>"4,000"</f>
        <v>4,000</v>
      </c>
      <c r="M1115" t="str">
        <f t="shared" si="719"/>
        <v xml:space="preserve"> </v>
      </c>
      <c r="N1115" t="str">
        <f t="shared" si="707"/>
        <v>MPSI</v>
      </c>
      <c r="O1115" t="str">
        <f t="shared" si="708"/>
        <v>COJINETES</v>
      </c>
      <c r="P1115" t="str">
        <f t="shared" si="737"/>
        <v>0</v>
      </c>
      <c r="Q1115" t="str">
        <f t="shared" si="737"/>
        <v>0</v>
      </c>
      <c r="R1115" t="str">
        <f t="shared" si="738"/>
        <v>0,00</v>
      </c>
      <c r="S1115" t="str">
        <f t="shared" si="738"/>
        <v>0,00</v>
      </c>
      <c r="T1115" t="str">
        <f t="shared" si="740"/>
        <v xml:space="preserve"> </v>
      </c>
      <c r="U1115" t="str">
        <f t="shared" si="742"/>
        <v>-</v>
      </c>
      <c r="V1115" t="str">
        <f>"4,000"</f>
        <v>4,000</v>
      </c>
      <c r="W1115" t="str">
        <f t="shared" si="720"/>
        <v>Lista 4</v>
      </c>
      <c r="X1115" t="str">
        <f t="shared" si="721"/>
        <v>Lista 5</v>
      </c>
      <c r="Y1115" t="str">
        <f t="shared" si="722"/>
        <v>Oferta Gral.</v>
      </c>
      <c r="Z1115" t="str">
        <f t="shared" si="723"/>
        <v>Rubro</v>
      </c>
      <c r="AA1115" t="str">
        <f t="shared" si="724"/>
        <v>Cantidad por Bulto</v>
      </c>
      <c r="AB1115" t="str">
        <f t="shared" si="725"/>
        <v>INNER</v>
      </c>
      <c r="AC1115" t="str">
        <f t="shared" si="726"/>
        <v>Stock en Bultos</v>
      </c>
      <c r="AD1115" t="str">
        <f t="shared" si="727"/>
        <v>SubDepósito</v>
      </c>
      <c r="AE1115" t="str">
        <f t="shared" si="728"/>
        <v>Marca</v>
      </c>
      <c r="AF1115" t="str">
        <f t="shared" si="729"/>
        <v>Super Rubro</v>
      </c>
      <c r="AG1115" t="str">
        <f t="shared" si="730"/>
        <v>ComercioExterior</v>
      </c>
      <c r="AH1115" t="str">
        <f t="shared" si="731"/>
        <v>PrecioFOB</v>
      </c>
      <c r="AI1115" t="str">
        <f t="shared" si="732"/>
        <v>Monto II</v>
      </c>
      <c r="AJ1115" t="str">
        <f t="shared" si="733"/>
        <v>Porcentaje II</v>
      </c>
      <c r="AK1115" t="str">
        <f t="shared" si="734"/>
        <v>Foto</v>
      </c>
      <c r="AL1115" t="str">
        <f t="shared" si="743"/>
        <v xml:space="preserve"> </v>
      </c>
      <c r="AM1115" t="str">
        <f t="shared" si="743"/>
        <v xml:space="preserve"> </v>
      </c>
    </row>
    <row r="1116" spans="1:39" x14ac:dyDescent="0.25">
      <c r="A1116" t="str">
        <f>"BI134358 20"</f>
        <v>BI134358 20</v>
      </c>
      <c r="B1116" t="str">
        <f>"COJINETES BIELA 0,50 FIAT ARGO CRONOS 1.3 FIREFLY 8V"</f>
        <v>COJINETES BIELA 0,50 FIAT ARGO CRONOS 1.3 FIREFLY 8V</v>
      </c>
      <c r="C1116" t="str">
        <f>"$ 10268,03"</f>
        <v>$ 10268,03</v>
      </c>
      <c r="D1116" t="str">
        <f>"$ 10268,03"</f>
        <v>$ 10268,03</v>
      </c>
      <c r="E1116" t="str">
        <f>"$ 10268,03"</f>
        <v>$ 10268,03</v>
      </c>
      <c r="F1116" t="str">
        <f>"$ 10268,03"</f>
        <v>$ 10268,03</v>
      </c>
      <c r="G1116" t="str">
        <f>"$ 10268,03"</f>
        <v>$ 10268,03</v>
      </c>
      <c r="H1116" t="str">
        <f t="shared" si="717"/>
        <v>$ 0,00</v>
      </c>
      <c r="I1116" t="str">
        <f t="shared" si="713"/>
        <v>JUEGO COJINETES BIELA</v>
      </c>
      <c r="J1116" t="str">
        <f t="shared" si="718"/>
        <v>1</v>
      </c>
      <c r="K1116" t="str">
        <f t="shared" si="741"/>
        <v>0</v>
      </c>
      <c r="L1116" t="str">
        <f>"7,000"</f>
        <v>7,000</v>
      </c>
      <c r="M1116" t="str">
        <f t="shared" si="719"/>
        <v xml:space="preserve"> </v>
      </c>
      <c r="N1116" t="str">
        <f t="shared" si="707"/>
        <v>MPSI</v>
      </c>
      <c r="O1116" t="str">
        <f t="shared" si="708"/>
        <v>COJINETES</v>
      </c>
      <c r="P1116" t="str">
        <f t="shared" si="737"/>
        <v>0</v>
      </c>
      <c r="Q1116" t="str">
        <f t="shared" si="737"/>
        <v>0</v>
      </c>
      <c r="R1116" t="str">
        <f t="shared" si="738"/>
        <v>0,00</v>
      </c>
      <c r="S1116" t="str">
        <f t="shared" si="738"/>
        <v>0,00</v>
      </c>
      <c r="T1116" t="str">
        <f t="shared" si="740"/>
        <v xml:space="preserve"> </v>
      </c>
      <c r="U1116" t="str">
        <f t="shared" si="742"/>
        <v>-</v>
      </c>
      <c r="V1116" t="str">
        <f>"7,000"</f>
        <v>7,000</v>
      </c>
      <c r="W1116" t="str">
        <f t="shared" si="720"/>
        <v>Lista 4</v>
      </c>
      <c r="X1116" t="str">
        <f t="shared" si="721"/>
        <v>Lista 5</v>
      </c>
      <c r="Y1116" t="str">
        <f t="shared" si="722"/>
        <v>Oferta Gral.</v>
      </c>
      <c r="Z1116" t="str">
        <f t="shared" si="723"/>
        <v>Rubro</v>
      </c>
      <c r="AA1116" t="str">
        <f t="shared" si="724"/>
        <v>Cantidad por Bulto</v>
      </c>
      <c r="AB1116" t="str">
        <f t="shared" si="725"/>
        <v>INNER</v>
      </c>
      <c r="AC1116" t="str">
        <f t="shared" si="726"/>
        <v>Stock en Bultos</v>
      </c>
      <c r="AD1116" t="str">
        <f t="shared" si="727"/>
        <v>SubDepósito</v>
      </c>
      <c r="AE1116" t="str">
        <f t="shared" si="728"/>
        <v>Marca</v>
      </c>
      <c r="AF1116" t="str">
        <f t="shared" si="729"/>
        <v>Super Rubro</v>
      </c>
      <c r="AG1116" t="str">
        <f t="shared" si="730"/>
        <v>ComercioExterior</v>
      </c>
      <c r="AH1116" t="str">
        <f t="shared" si="731"/>
        <v>PrecioFOB</v>
      </c>
      <c r="AI1116" t="str">
        <f t="shared" si="732"/>
        <v>Monto II</v>
      </c>
      <c r="AJ1116" t="str">
        <f t="shared" si="733"/>
        <v>Porcentaje II</v>
      </c>
      <c r="AK1116" t="str">
        <f t="shared" si="734"/>
        <v>Foto</v>
      </c>
      <c r="AL1116" t="str">
        <f t="shared" si="743"/>
        <v xml:space="preserve"> </v>
      </c>
      <c r="AM1116" t="str">
        <f t="shared" si="743"/>
        <v xml:space="preserve"> </v>
      </c>
    </row>
    <row r="1117" spans="1:39" x14ac:dyDescent="0.25">
      <c r="A1117" t="str">
        <f>"BI137 20"</f>
        <v>BI137 20</v>
      </c>
      <c r="B1117" t="str">
        <f>"COJINETES BIELA 0,50 FIAT DUNA DUCATO 1.7 1.9 DIESEL"</f>
        <v>COJINETES BIELA 0,50 FIAT DUNA DUCATO 1.7 1.9 DIESEL</v>
      </c>
      <c r="C1117" t="str">
        <f>"$ 13253,87"</f>
        <v>$ 13253,87</v>
      </c>
      <c r="D1117" t="str">
        <f>"$ 13253,87"</f>
        <v>$ 13253,87</v>
      </c>
      <c r="E1117" t="str">
        <f>"$ 13253,87"</f>
        <v>$ 13253,87</v>
      </c>
      <c r="F1117" t="str">
        <f>"$ 13253,87"</f>
        <v>$ 13253,87</v>
      </c>
      <c r="G1117" t="str">
        <f>"$ 13253,87"</f>
        <v>$ 13253,87</v>
      </c>
      <c r="H1117" t="str">
        <f t="shared" si="717"/>
        <v>$ 0,00</v>
      </c>
      <c r="I1117" t="str">
        <f t="shared" si="713"/>
        <v>JUEGO COJINETES BIELA</v>
      </c>
      <c r="J1117" t="str">
        <f t="shared" si="718"/>
        <v>1</v>
      </c>
      <c r="K1117" t="str">
        <f t="shared" si="741"/>
        <v>0</v>
      </c>
      <c r="L1117" t="str">
        <f>"9,000"</f>
        <v>9,000</v>
      </c>
      <c r="M1117" t="str">
        <f t="shared" si="719"/>
        <v xml:space="preserve"> </v>
      </c>
      <c r="N1117" t="str">
        <f t="shared" si="707"/>
        <v>MPSI</v>
      </c>
      <c r="O1117" t="str">
        <f t="shared" si="708"/>
        <v>COJINETES</v>
      </c>
      <c r="P1117" t="str">
        <f t="shared" si="737"/>
        <v>0</v>
      </c>
      <c r="Q1117" t="str">
        <f t="shared" si="737"/>
        <v>0</v>
      </c>
      <c r="R1117" t="str">
        <f t="shared" si="738"/>
        <v>0,00</v>
      </c>
      <c r="S1117" t="str">
        <f t="shared" si="738"/>
        <v>0,00</v>
      </c>
      <c r="T1117" t="str">
        <f t="shared" si="740"/>
        <v xml:space="preserve"> </v>
      </c>
      <c r="U1117" t="str">
        <f t="shared" si="742"/>
        <v>-</v>
      </c>
      <c r="V1117" t="str">
        <f>"9,000"</f>
        <v>9,000</v>
      </c>
      <c r="W1117" t="str">
        <f t="shared" si="720"/>
        <v>Lista 4</v>
      </c>
      <c r="X1117" t="str">
        <f t="shared" si="721"/>
        <v>Lista 5</v>
      </c>
      <c r="Y1117" t="str">
        <f t="shared" si="722"/>
        <v>Oferta Gral.</v>
      </c>
      <c r="Z1117" t="str">
        <f t="shared" si="723"/>
        <v>Rubro</v>
      </c>
      <c r="AA1117" t="str">
        <f t="shared" si="724"/>
        <v>Cantidad por Bulto</v>
      </c>
      <c r="AB1117" t="str">
        <f t="shared" si="725"/>
        <v>INNER</v>
      </c>
      <c r="AC1117" t="str">
        <f t="shared" si="726"/>
        <v>Stock en Bultos</v>
      </c>
      <c r="AD1117" t="str">
        <f t="shared" si="727"/>
        <v>SubDepósito</v>
      </c>
      <c r="AE1117" t="str">
        <f t="shared" si="728"/>
        <v>Marca</v>
      </c>
      <c r="AF1117" t="str">
        <f t="shared" si="729"/>
        <v>Super Rubro</v>
      </c>
      <c r="AG1117" t="str">
        <f t="shared" si="730"/>
        <v>ComercioExterior</v>
      </c>
      <c r="AH1117" t="str">
        <f t="shared" si="731"/>
        <v>PrecioFOB</v>
      </c>
      <c r="AI1117" t="str">
        <f t="shared" si="732"/>
        <v>Monto II</v>
      </c>
      <c r="AJ1117" t="str">
        <f t="shared" si="733"/>
        <v>Porcentaje II</v>
      </c>
      <c r="AK1117" t="str">
        <f t="shared" si="734"/>
        <v>Foto</v>
      </c>
      <c r="AL1117" t="str">
        <f t="shared" si="743"/>
        <v xml:space="preserve"> </v>
      </c>
      <c r="AM1117" t="str">
        <f t="shared" si="743"/>
        <v xml:space="preserve"> </v>
      </c>
    </row>
    <row r="1118" spans="1:39" x14ac:dyDescent="0.25">
      <c r="A1118" t="str">
        <f>"BI138 20"</f>
        <v>BI138 20</v>
      </c>
      <c r="B1118" t="str">
        <f>"COJINETES BIELA 0,50 FIAT DUNA UNO 1.7 TURBO DIESEL"</f>
        <v>COJINETES BIELA 0,50 FIAT DUNA UNO 1.7 TURBO DIESEL</v>
      </c>
      <c r="C1118" t="str">
        <f>"$ 25244,70"</f>
        <v>$ 25244,70</v>
      </c>
      <c r="D1118" t="str">
        <f>"$ 25244,70"</f>
        <v>$ 25244,70</v>
      </c>
      <c r="E1118" t="str">
        <f>"$ 25244,70"</f>
        <v>$ 25244,70</v>
      </c>
      <c r="F1118" t="str">
        <f>"$ 25244,70"</f>
        <v>$ 25244,70</v>
      </c>
      <c r="G1118" t="str">
        <f>"$ 25244,70"</f>
        <v>$ 25244,70</v>
      </c>
      <c r="H1118" t="str">
        <f t="shared" si="717"/>
        <v>$ 0,00</v>
      </c>
      <c r="I1118" t="str">
        <f t="shared" si="713"/>
        <v>JUEGO COJINETES BIELA</v>
      </c>
      <c r="J1118" t="str">
        <f t="shared" si="718"/>
        <v>1</v>
      </c>
      <c r="K1118" t="str">
        <f t="shared" si="741"/>
        <v>0</v>
      </c>
      <c r="L1118" t="str">
        <f>"4,000"</f>
        <v>4,000</v>
      </c>
      <c r="M1118" t="str">
        <f t="shared" si="719"/>
        <v xml:space="preserve"> </v>
      </c>
      <c r="N1118" t="str">
        <f t="shared" si="707"/>
        <v>MPSI</v>
      </c>
      <c r="O1118" t="str">
        <f t="shared" si="708"/>
        <v>COJINETES</v>
      </c>
      <c r="P1118" t="str">
        <f t="shared" si="737"/>
        <v>0</v>
      </c>
      <c r="Q1118" t="str">
        <f t="shared" si="737"/>
        <v>0</v>
      </c>
      <c r="R1118" t="str">
        <f t="shared" si="738"/>
        <v>0,00</v>
      </c>
      <c r="S1118" t="str">
        <f t="shared" si="738"/>
        <v>0,00</v>
      </c>
      <c r="T1118" t="str">
        <f t="shared" si="740"/>
        <v xml:space="preserve"> </v>
      </c>
      <c r="U1118" t="str">
        <f t="shared" si="742"/>
        <v>-</v>
      </c>
      <c r="V1118" t="str">
        <f>"4,000"</f>
        <v>4,000</v>
      </c>
      <c r="W1118" t="str">
        <f t="shared" si="720"/>
        <v>Lista 4</v>
      </c>
      <c r="X1118" t="str">
        <f t="shared" si="721"/>
        <v>Lista 5</v>
      </c>
      <c r="Y1118" t="str">
        <f t="shared" si="722"/>
        <v>Oferta Gral.</v>
      </c>
      <c r="Z1118" t="str">
        <f t="shared" si="723"/>
        <v>Rubro</v>
      </c>
      <c r="AA1118" t="str">
        <f t="shared" si="724"/>
        <v>Cantidad por Bulto</v>
      </c>
      <c r="AB1118" t="str">
        <f t="shared" si="725"/>
        <v>INNER</v>
      </c>
      <c r="AC1118" t="str">
        <f t="shared" si="726"/>
        <v>Stock en Bultos</v>
      </c>
      <c r="AD1118" t="str">
        <f t="shared" si="727"/>
        <v>SubDepósito</v>
      </c>
      <c r="AE1118" t="str">
        <f t="shared" si="728"/>
        <v>Marca</v>
      </c>
      <c r="AF1118" t="str">
        <f t="shared" si="729"/>
        <v>Super Rubro</v>
      </c>
      <c r="AG1118" t="str">
        <f t="shared" si="730"/>
        <v>ComercioExterior</v>
      </c>
      <c r="AH1118" t="str">
        <f t="shared" si="731"/>
        <v>PrecioFOB</v>
      </c>
      <c r="AI1118" t="str">
        <f t="shared" si="732"/>
        <v>Monto II</v>
      </c>
      <c r="AJ1118" t="str">
        <f t="shared" si="733"/>
        <v>Porcentaje II</v>
      </c>
      <c r="AK1118" t="str">
        <f t="shared" si="734"/>
        <v>Foto</v>
      </c>
      <c r="AL1118" t="str">
        <f>"{\rtf1\ansi\ansicpg1252\deff0\deflang11274{\fonttbl{\f0\fnil\fcharset0 MS Sans Serif}} \viewkind4\uc1\pard\f0\fs16 COJINETES BIELA 0,50 FIAT DUNA UNO 1.7 TURBO DIESEL\par } "</f>
        <v xml:space="preserve">{\rtf1\ansi\ansicpg1252\deff0\deflang11274{\fonttbl{\f0\fnil\fcharset0 MS Sans Serif}} \viewkind4\uc1\pard\f0\fs16 COJINETES BIELA 0,50 FIAT DUNA UNO 1.7 TURBO DIESEL\par } </v>
      </c>
      <c r="AM1118" t="str">
        <f t="shared" ref="AM1118:AM1156" si="744">" "</f>
        <v xml:space="preserve"> </v>
      </c>
    </row>
    <row r="1119" spans="1:39" x14ac:dyDescent="0.25">
      <c r="A1119" t="str">
        <f>"BI139 20"</f>
        <v>BI139 20</v>
      </c>
      <c r="B1119" t="str">
        <f>"COJINETES BIELA 0,50 FIAT DUNA UNO 147 MOTOR TIPO 1.4 1.6"</f>
        <v>COJINETES BIELA 0,50 FIAT DUNA UNO 147 MOTOR TIPO 1.4 1.6</v>
      </c>
      <c r="C1119" t="str">
        <f>"$ 12559,78"</f>
        <v>$ 12559,78</v>
      </c>
      <c r="D1119" t="str">
        <f>"$ 12559,78"</f>
        <v>$ 12559,78</v>
      </c>
      <c r="E1119" t="str">
        <f>"$ 12559,78"</f>
        <v>$ 12559,78</v>
      </c>
      <c r="F1119" t="str">
        <f>"$ 12559,78"</f>
        <v>$ 12559,78</v>
      </c>
      <c r="G1119" t="str">
        <f>"$ 12559,78"</f>
        <v>$ 12559,78</v>
      </c>
      <c r="H1119" t="str">
        <f t="shared" si="717"/>
        <v>$ 0,00</v>
      </c>
      <c r="I1119" t="str">
        <f t="shared" si="713"/>
        <v>JUEGO COJINETES BIELA</v>
      </c>
      <c r="J1119" t="str">
        <f t="shared" si="718"/>
        <v>1</v>
      </c>
      <c r="K1119" t="str">
        <f t="shared" si="741"/>
        <v>0</v>
      </c>
      <c r="L1119" t="str">
        <f>"46,000"</f>
        <v>46,000</v>
      </c>
      <c r="M1119" t="str">
        <f t="shared" si="719"/>
        <v xml:space="preserve"> </v>
      </c>
      <c r="N1119" t="str">
        <f t="shared" si="707"/>
        <v>MPSI</v>
      </c>
      <c r="O1119" t="str">
        <f t="shared" si="708"/>
        <v>COJINETES</v>
      </c>
      <c r="P1119" t="str">
        <f t="shared" si="737"/>
        <v>0</v>
      </c>
      <c r="Q1119" t="str">
        <f t="shared" si="737"/>
        <v>0</v>
      </c>
      <c r="R1119" t="str">
        <f t="shared" si="738"/>
        <v>0,00</v>
      </c>
      <c r="S1119" t="str">
        <f t="shared" si="738"/>
        <v>0,00</v>
      </c>
      <c r="T1119" t="str">
        <f t="shared" si="740"/>
        <v xml:space="preserve"> </v>
      </c>
      <c r="U1119" t="str">
        <f t="shared" si="742"/>
        <v>-</v>
      </c>
      <c r="V1119" t="str">
        <f>"46,000"</f>
        <v>46,000</v>
      </c>
      <c r="W1119" t="str">
        <f t="shared" si="720"/>
        <v>Lista 4</v>
      </c>
      <c r="X1119" t="str">
        <f t="shared" si="721"/>
        <v>Lista 5</v>
      </c>
      <c r="Y1119" t="str">
        <f t="shared" si="722"/>
        <v>Oferta Gral.</v>
      </c>
      <c r="Z1119" t="str">
        <f t="shared" si="723"/>
        <v>Rubro</v>
      </c>
      <c r="AA1119" t="str">
        <f t="shared" si="724"/>
        <v>Cantidad por Bulto</v>
      </c>
      <c r="AB1119" t="str">
        <f t="shared" si="725"/>
        <v>INNER</v>
      </c>
      <c r="AC1119" t="str">
        <f t="shared" si="726"/>
        <v>Stock en Bultos</v>
      </c>
      <c r="AD1119" t="str">
        <f t="shared" si="727"/>
        <v>SubDepósito</v>
      </c>
      <c r="AE1119" t="str">
        <f t="shared" si="728"/>
        <v>Marca</v>
      </c>
      <c r="AF1119" t="str">
        <f t="shared" si="729"/>
        <v>Super Rubro</v>
      </c>
      <c r="AG1119" t="str">
        <f t="shared" si="730"/>
        <v>ComercioExterior</v>
      </c>
      <c r="AH1119" t="str">
        <f t="shared" si="731"/>
        <v>PrecioFOB</v>
      </c>
      <c r="AI1119" t="str">
        <f t="shared" si="732"/>
        <v>Monto II</v>
      </c>
      <c r="AJ1119" t="str">
        <f t="shared" si="733"/>
        <v>Porcentaje II</v>
      </c>
      <c r="AK1119" t="str">
        <f t="shared" si="734"/>
        <v>Foto</v>
      </c>
      <c r="AL1119" t="str">
        <f>" "</f>
        <v xml:space="preserve"> </v>
      </c>
      <c r="AM1119" t="str">
        <f t="shared" si="744"/>
        <v xml:space="preserve"> </v>
      </c>
    </row>
    <row r="1120" spans="1:39" x14ac:dyDescent="0.25">
      <c r="A1120" t="str">
        <f>"BI172 20"</f>
        <v>BI172 20</v>
      </c>
      <c r="B1120" t="str">
        <f>"COJINETES BIELA 0,50 FIAT PALIO SIENA ETORQ 1.6 16V"</f>
        <v>COJINETES BIELA 0,50 FIAT PALIO SIENA ETORQ 1.6 16V</v>
      </c>
      <c r="C1120" t="str">
        <f>"$ 12879,55"</f>
        <v>$ 12879,55</v>
      </c>
      <c r="D1120" t="str">
        <f>"$ 12879,55"</f>
        <v>$ 12879,55</v>
      </c>
      <c r="E1120" t="str">
        <f>"$ 12879,55"</f>
        <v>$ 12879,55</v>
      </c>
      <c r="F1120" t="str">
        <f>"$ 12879,55"</f>
        <v>$ 12879,55</v>
      </c>
      <c r="G1120" t="str">
        <f>"$ 12879,55"</f>
        <v>$ 12879,55</v>
      </c>
      <c r="H1120" t="str">
        <f t="shared" si="717"/>
        <v>$ 0,00</v>
      </c>
      <c r="I1120" t="str">
        <f t="shared" si="713"/>
        <v>JUEGO COJINETES BIELA</v>
      </c>
      <c r="J1120" t="str">
        <f t="shared" si="718"/>
        <v>1</v>
      </c>
      <c r="K1120" t="str">
        <f t="shared" si="741"/>
        <v>0</v>
      </c>
      <c r="L1120" t="str">
        <f>"11,000"</f>
        <v>11,000</v>
      </c>
      <c r="M1120" t="str">
        <f t="shared" si="719"/>
        <v xml:space="preserve"> </v>
      </c>
      <c r="N1120" t="str">
        <f t="shared" si="707"/>
        <v>MPSI</v>
      </c>
      <c r="O1120" t="str">
        <f t="shared" si="708"/>
        <v>COJINETES</v>
      </c>
      <c r="P1120" t="str">
        <f t="shared" si="737"/>
        <v>0</v>
      </c>
      <c r="Q1120" t="str">
        <f t="shared" si="737"/>
        <v>0</v>
      </c>
      <c r="R1120" t="str">
        <f t="shared" si="738"/>
        <v>0,00</v>
      </c>
      <c r="S1120" t="str">
        <f t="shared" si="738"/>
        <v>0,00</v>
      </c>
      <c r="T1120" t="str">
        <f t="shared" si="740"/>
        <v xml:space="preserve"> </v>
      </c>
      <c r="U1120" t="str">
        <f t="shared" si="742"/>
        <v>-</v>
      </c>
      <c r="V1120" t="str">
        <f>"11,000"</f>
        <v>11,000</v>
      </c>
      <c r="W1120" t="str">
        <f t="shared" si="720"/>
        <v>Lista 4</v>
      </c>
      <c r="X1120" t="str">
        <f t="shared" si="721"/>
        <v>Lista 5</v>
      </c>
      <c r="Y1120" t="str">
        <f t="shared" si="722"/>
        <v>Oferta Gral.</v>
      </c>
      <c r="Z1120" t="str">
        <f t="shared" si="723"/>
        <v>Rubro</v>
      </c>
      <c r="AA1120" t="str">
        <f t="shared" si="724"/>
        <v>Cantidad por Bulto</v>
      </c>
      <c r="AB1120" t="str">
        <f t="shared" si="725"/>
        <v>INNER</v>
      </c>
      <c r="AC1120" t="str">
        <f t="shared" si="726"/>
        <v>Stock en Bultos</v>
      </c>
      <c r="AD1120" t="str">
        <f t="shared" si="727"/>
        <v>SubDepósito</v>
      </c>
      <c r="AE1120" t="str">
        <f t="shared" si="728"/>
        <v>Marca</v>
      </c>
      <c r="AF1120" t="str">
        <f t="shared" si="729"/>
        <v>Super Rubro</v>
      </c>
      <c r="AG1120" t="str">
        <f t="shared" si="730"/>
        <v>ComercioExterior</v>
      </c>
      <c r="AH1120" t="str">
        <f t="shared" si="731"/>
        <v>PrecioFOB</v>
      </c>
      <c r="AI1120" t="str">
        <f t="shared" si="732"/>
        <v>Monto II</v>
      </c>
      <c r="AJ1120" t="str">
        <f t="shared" si="733"/>
        <v>Porcentaje II</v>
      </c>
      <c r="AK1120" t="str">
        <f t="shared" si="734"/>
        <v>Foto</v>
      </c>
      <c r="AL1120" t="str">
        <f>" "</f>
        <v xml:space="preserve"> </v>
      </c>
      <c r="AM1120" t="str">
        <f t="shared" si="744"/>
        <v xml:space="preserve"> </v>
      </c>
    </row>
    <row r="1121" spans="1:39" x14ac:dyDescent="0.25">
      <c r="A1121" t="str">
        <f>"BI156 20"</f>
        <v>BI156 20</v>
      </c>
      <c r="B1121" t="str">
        <f>"COJINETES BIELA 0,50 FIAT PALIO SIENA FIRE 1.3 1.4 8V Y 16V"</f>
        <v>COJINETES BIELA 0,50 FIAT PALIO SIENA FIRE 1.3 1.4 8V Y 16V</v>
      </c>
      <c r="C1121" t="str">
        <f>"$ 11287,28"</f>
        <v>$ 11287,28</v>
      </c>
      <c r="D1121" t="str">
        <f>"$ 11287,28"</f>
        <v>$ 11287,28</v>
      </c>
      <c r="E1121" t="str">
        <f>"$ 11287,28"</f>
        <v>$ 11287,28</v>
      </c>
      <c r="F1121" t="str">
        <f>"$ 11287,28"</f>
        <v>$ 11287,28</v>
      </c>
      <c r="G1121" t="str">
        <f>"$ 11287,28"</f>
        <v>$ 11287,28</v>
      </c>
      <c r="H1121" t="str">
        <f t="shared" si="717"/>
        <v>$ 0,00</v>
      </c>
      <c r="I1121" t="str">
        <f t="shared" si="713"/>
        <v>JUEGO COJINETES BIELA</v>
      </c>
      <c r="J1121" t="str">
        <f t="shared" si="718"/>
        <v>1</v>
      </c>
      <c r="K1121" t="str">
        <f t="shared" si="741"/>
        <v>0</v>
      </c>
      <c r="L1121" t="str">
        <f>"23,000"</f>
        <v>23,000</v>
      </c>
      <c r="M1121" t="str">
        <f t="shared" si="719"/>
        <v xml:space="preserve"> </v>
      </c>
      <c r="N1121" t="str">
        <f t="shared" si="707"/>
        <v>MPSI</v>
      </c>
      <c r="O1121" t="str">
        <f t="shared" si="708"/>
        <v>COJINETES</v>
      </c>
      <c r="P1121" t="str">
        <f t="shared" si="737"/>
        <v>0</v>
      </c>
      <c r="Q1121" t="str">
        <f t="shared" si="737"/>
        <v>0</v>
      </c>
      <c r="R1121" t="str">
        <f t="shared" si="738"/>
        <v>0,00</v>
      </c>
      <c r="S1121" t="str">
        <f t="shared" si="738"/>
        <v>0,00</v>
      </c>
      <c r="T1121" t="str">
        <f t="shared" si="740"/>
        <v xml:space="preserve"> </v>
      </c>
      <c r="U1121" t="str">
        <f t="shared" si="742"/>
        <v>-</v>
      </c>
      <c r="V1121" t="str">
        <f>"23,000"</f>
        <v>23,000</v>
      </c>
      <c r="W1121" t="str">
        <f t="shared" si="720"/>
        <v>Lista 4</v>
      </c>
      <c r="X1121" t="str">
        <f t="shared" si="721"/>
        <v>Lista 5</v>
      </c>
      <c r="Y1121" t="str">
        <f t="shared" si="722"/>
        <v>Oferta Gral.</v>
      </c>
      <c r="Z1121" t="str">
        <f t="shared" si="723"/>
        <v>Rubro</v>
      </c>
      <c r="AA1121" t="str">
        <f t="shared" si="724"/>
        <v>Cantidad por Bulto</v>
      </c>
      <c r="AB1121" t="str">
        <f t="shared" si="725"/>
        <v>INNER</v>
      </c>
      <c r="AC1121" t="str">
        <f t="shared" si="726"/>
        <v>Stock en Bultos</v>
      </c>
      <c r="AD1121" t="str">
        <f t="shared" si="727"/>
        <v>SubDepósito</v>
      </c>
      <c r="AE1121" t="str">
        <f t="shared" si="728"/>
        <v>Marca</v>
      </c>
      <c r="AF1121" t="str">
        <f t="shared" si="729"/>
        <v>Super Rubro</v>
      </c>
      <c r="AG1121" t="str">
        <f t="shared" si="730"/>
        <v>ComercioExterior</v>
      </c>
      <c r="AH1121" t="str">
        <f t="shared" si="731"/>
        <v>PrecioFOB</v>
      </c>
      <c r="AI1121" t="str">
        <f t="shared" si="732"/>
        <v>Monto II</v>
      </c>
      <c r="AJ1121" t="str">
        <f t="shared" si="733"/>
        <v>Porcentaje II</v>
      </c>
      <c r="AK1121" t="str">
        <f t="shared" si="734"/>
        <v>Foto</v>
      </c>
      <c r="AL1121" t="str">
        <f>"{\rtf1\ansi\ansicpg1252\deff0\deflang2058{\fonttbl{\f0\fnil\fcharset0 MS Sans Serif}} \viewkind4\uc1\pard\f0\fs16 COJINETES BIELA 0,50 FIAT PALIO SIENA FIRE 1.3 1.4 8V Y 16V\par } "</f>
        <v xml:space="preserve">{\rtf1\ansi\ansicpg1252\deff0\deflang2058{\fonttbl{\f0\fnil\fcharset0 MS Sans Serif}} \viewkind4\uc1\pard\f0\fs16 COJINETES BIELA 0,50 FIAT PALIO SIENA FIRE 1.3 1.4 8V Y 16V\par } </v>
      </c>
      <c r="AM1121" t="str">
        <f t="shared" si="744"/>
        <v xml:space="preserve"> </v>
      </c>
    </row>
    <row r="1122" spans="1:39" x14ac:dyDescent="0.25">
      <c r="A1122" t="str">
        <f>"BI199 20"</f>
        <v>BI199 20</v>
      </c>
      <c r="B1122" t="str">
        <f>"COJINETES BIELA 0,50 FORD FALCON F100 3.0 3.6"</f>
        <v>COJINETES BIELA 0,50 FORD FALCON F100 3.0 3.6</v>
      </c>
      <c r="C1122" t="str">
        <f>"$ 19913,86"</f>
        <v>$ 19913,86</v>
      </c>
      <c r="D1122" t="str">
        <f>"$ 19913,86"</f>
        <v>$ 19913,86</v>
      </c>
      <c r="E1122" t="str">
        <f>"$ 19913,86"</f>
        <v>$ 19913,86</v>
      </c>
      <c r="F1122" t="str">
        <f>"$ 19913,86"</f>
        <v>$ 19913,86</v>
      </c>
      <c r="G1122" t="str">
        <f>"$ 19913,86"</f>
        <v>$ 19913,86</v>
      </c>
      <c r="H1122" t="str">
        <f t="shared" si="717"/>
        <v>$ 0,00</v>
      </c>
      <c r="I1122" t="str">
        <f t="shared" si="713"/>
        <v>JUEGO COJINETES BIELA</v>
      </c>
      <c r="J1122" t="str">
        <f t="shared" si="718"/>
        <v>1</v>
      </c>
      <c r="K1122" t="str">
        <f t="shared" si="741"/>
        <v>0</v>
      </c>
      <c r="L1122" t="str">
        <f>"0,000"</f>
        <v>0,000</v>
      </c>
      <c r="M1122" t="str">
        <f t="shared" si="719"/>
        <v xml:space="preserve"> </v>
      </c>
      <c r="N1122" t="str">
        <f t="shared" si="707"/>
        <v>MPSI</v>
      </c>
      <c r="O1122" t="str">
        <f t="shared" si="708"/>
        <v>COJINETES</v>
      </c>
      <c r="P1122" t="str">
        <f t="shared" si="737"/>
        <v>0</v>
      </c>
      <c r="Q1122" t="str">
        <f t="shared" si="737"/>
        <v>0</v>
      </c>
      <c r="R1122" t="str">
        <f t="shared" si="738"/>
        <v>0,00</v>
      </c>
      <c r="S1122" t="str">
        <f t="shared" si="738"/>
        <v>0,00</v>
      </c>
      <c r="T1122" t="str">
        <f t="shared" si="740"/>
        <v xml:space="preserve"> </v>
      </c>
      <c r="U1122" t="str">
        <f t="shared" si="742"/>
        <v>-</v>
      </c>
      <c r="V1122" t="str">
        <f>"0,000"</f>
        <v>0,000</v>
      </c>
      <c r="W1122" t="str">
        <f t="shared" si="720"/>
        <v>Lista 4</v>
      </c>
      <c r="X1122" t="str">
        <f t="shared" si="721"/>
        <v>Lista 5</v>
      </c>
      <c r="Y1122" t="str">
        <f t="shared" si="722"/>
        <v>Oferta Gral.</v>
      </c>
      <c r="Z1122" t="str">
        <f t="shared" si="723"/>
        <v>Rubro</v>
      </c>
      <c r="AA1122" t="str">
        <f t="shared" si="724"/>
        <v>Cantidad por Bulto</v>
      </c>
      <c r="AB1122" t="str">
        <f t="shared" si="725"/>
        <v>INNER</v>
      </c>
      <c r="AC1122" t="str">
        <f t="shared" si="726"/>
        <v>Stock en Bultos</v>
      </c>
      <c r="AD1122" t="str">
        <f t="shared" si="727"/>
        <v>SubDepósito</v>
      </c>
      <c r="AE1122" t="str">
        <f t="shared" si="728"/>
        <v>Marca</v>
      </c>
      <c r="AF1122" t="str">
        <f t="shared" si="729"/>
        <v>Super Rubro</v>
      </c>
      <c r="AG1122" t="str">
        <f t="shared" si="730"/>
        <v>ComercioExterior</v>
      </c>
      <c r="AH1122" t="str">
        <f t="shared" si="731"/>
        <v>PrecioFOB</v>
      </c>
      <c r="AI1122" t="str">
        <f t="shared" si="732"/>
        <v>Monto II</v>
      </c>
      <c r="AJ1122" t="str">
        <f t="shared" si="733"/>
        <v>Porcentaje II</v>
      </c>
      <c r="AK1122" t="str">
        <f t="shared" si="734"/>
        <v>Foto</v>
      </c>
      <c r="AL1122" t="str">
        <f>"{\rtf1\ansi\ansicpg1252\deff0\deflang2058{\fonttbl{\f0\fnil\fcharset0 MS Sans Serif}} \viewkind4\uc1\pard\f0\fs16 COJINETES BIELA 0,50 FORD FALCON F100 3.0 3.6\par } "</f>
        <v xml:space="preserve">{\rtf1\ansi\ansicpg1252\deff0\deflang2058{\fonttbl{\f0\fnil\fcharset0 MS Sans Serif}} \viewkind4\uc1\pard\f0\fs16 COJINETES BIELA 0,50 FORD FALCON F100 3.0 3.6\par } </v>
      </c>
      <c r="AM1122" t="str">
        <f t="shared" si="744"/>
        <v xml:space="preserve"> </v>
      </c>
    </row>
    <row r="1123" spans="1:39" x14ac:dyDescent="0.25">
      <c r="A1123" t="str">
        <f>"BI775 20"</f>
        <v>BI775 20</v>
      </c>
      <c r="B1123" t="str">
        <f>"COJINETES BIELA 0,50 FORD FIESTA 1.3 ENDURA VARILLERO"</f>
        <v>COJINETES BIELA 0,50 FORD FIESTA 1.3 ENDURA VARILLERO</v>
      </c>
      <c r="C1123" t="str">
        <f>"$ 10973,28"</f>
        <v>$ 10973,28</v>
      </c>
      <c r="D1123" t="str">
        <f>"$ 10973,28"</f>
        <v>$ 10973,28</v>
      </c>
      <c r="E1123" t="str">
        <f>"$ 10973,28"</f>
        <v>$ 10973,28</v>
      </c>
      <c r="F1123" t="str">
        <f>"$ 10973,28"</f>
        <v>$ 10973,28</v>
      </c>
      <c r="G1123" t="str">
        <f>"$ 10973,28"</f>
        <v>$ 10973,28</v>
      </c>
      <c r="H1123" t="str">
        <f t="shared" si="717"/>
        <v>$ 0,00</v>
      </c>
      <c r="I1123" t="str">
        <f t="shared" si="713"/>
        <v>JUEGO COJINETES BIELA</v>
      </c>
      <c r="J1123" t="str">
        <f t="shared" si="718"/>
        <v>1</v>
      </c>
      <c r="K1123" t="str">
        <f t="shared" si="741"/>
        <v>0</v>
      </c>
      <c r="L1123" t="str">
        <f>"4,000"</f>
        <v>4,000</v>
      </c>
      <c r="M1123" t="str">
        <f t="shared" si="719"/>
        <v xml:space="preserve"> </v>
      </c>
      <c r="N1123" t="str">
        <f t="shared" si="707"/>
        <v>MPSI</v>
      </c>
      <c r="O1123" t="str">
        <f t="shared" si="708"/>
        <v>COJINETES</v>
      </c>
      <c r="P1123" t="str">
        <f t="shared" ref="P1123:Q1142" si="745">"0"</f>
        <v>0</v>
      </c>
      <c r="Q1123" t="str">
        <f t="shared" si="745"/>
        <v>0</v>
      </c>
      <c r="R1123" t="str">
        <f t="shared" ref="R1123:S1142" si="746">"0,00"</f>
        <v>0,00</v>
      </c>
      <c r="S1123" t="str">
        <f t="shared" si="746"/>
        <v>0,00</v>
      </c>
      <c r="T1123" t="str">
        <f t="shared" si="740"/>
        <v xml:space="preserve"> </v>
      </c>
      <c r="U1123" t="str">
        <f t="shared" si="742"/>
        <v>-</v>
      </c>
      <c r="V1123" t="str">
        <f>"4,000"</f>
        <v>4,000</v>
      </c>
      <c r="W1123" t="str">
        <f t="shared" si="720"/>
        <v>Lista 4</v>
      </c>
      <c r="X1123" t="str">
        <f t="shared" si="721"/>
        <v>Lista 5</v>
      </c>
      <c r="Y1123" t="str">
        <f t="shared" si="722"/>
        <v>Oferta Gral.</v>
      </c>
      <c r="Z1123" t="str">
        <f t="shared" si="723"/>
        <v>Rubro</v>
      </c>
      <c r="AA1123" t="str">
        <f t="shared" si="724"/>
        <v>Cantidad por Bulto</v>
      </c>
      <c r="AB1123" t="str">
        <f t="shared" si="725"/>
        <v>INNER</v>
      </c>
      <c r="AC1123" t="str">
        <f t="shared" si="726"/>
        <v>Stock en Bultos</v>
      </c>
      <c r="AD1123" t="str">
        <f t="shared" si="727"/>
        <v>SubDepósito</v>
      </c>
      <c r="AE1123" t="str">
        <f t="shared" si="728"/>
        <v>Marca</v>
      </c>
      <c r="AF1123" t="str">
        <f t="shared" si="729"/>
        <v>Super Rubro</v>
      </c>
      <c r="AG1123" t="str">
        <f t="shared" si="730"/>
        <v>ComercioExterior</v>
      </c>
      <c r="AH1123" t="str">
        <f t="shared" si="731"/>
        <v>PrecioFOB</v>
      </c>
      <c r="AI1123" t="str">
        <f t="shared" si="732"/>
        <v>Monto II</v>
      </c>
      <c r="AJ1123" t="str">
        <f t="shared" si="733"/>
        <v>Porcentaje II</v>
      </c>
      <c r="AK1123" t="str">
        <f t="shared" si="734"/>
        <v>Foto</v>
      </c>
      <c r="AL1123" t="str">
        <f>"{\rtf1\ansi\ansicpg1252\deff0\deflang2058{\fonttbl{\f0\fnil\fcharset0 MS Sans Serif}} \viewkind4\uc1\pard\f0\fs16 COJINETES BIELA 0,50 FORD FIESTA 1.3 ENDURA VARILLERO\par } "</f>
        <v xml:space="preserve">{\rtf1\ansi\ansicpg1252\deff0\deflang2058{\fonttbl{\f0\fnil\fcharset0 MS Sans Serif}} \viewkind4\uc1\pard\f0\fs16 COJINETES BIELA 0,50 FORD FIESTA 1.3 ENDURA VARILLERO\par } </v>
      </c>
      <c r="AM1123" t="str">
        <f t="shared" si="744"/>
        <v xml:space="preserve"> </v>
      </c>
    </row>
    <row r="1124" spans="1:39" x14ac:dyDescent="0.25">
      <c r="A1124" t="str">
        <f>"BI679 20"</f>
        <v>BI679 20</v>
      </c>
      <c r="B1124" t="str">
        <f>"COJINETES BIELA 0,50 FORD FIESTA 1.4 TDCI DV4"</f>
        <v>COJINETES BIELA 0,50 FORD FIESTA 1.4 TDCI DV4</v>
      </c>
      <c r="C1124" t="str">
        <f>"$ 17848,11"</f>
        <v>$ 17848,11</v>
      </c>
      <c r="D1124" t="str">
        <f>"$ 17848,11"</f>
        <v>$ 17848,11</v>
      </c>
      <c r="E1124" t="str">
        <f>"$ 17848,11"</f>
        <v>$ 17848,11</v>
      </c>
      <c r="F1124" t="str">
        <f>"$ 17848,11"</f>
        <v>$ 17848,11</v>
      </c>
      <c r="G1124" t="str">
        <f>"$ 17848,11"</f>
        <v>$ 17848,11</v>
      </c>
      <c r="H1124" t="str">
        <f t="shared" si="717"/>
        <v>$ 0,00</v>
      </c>
      <c r="I1124" t="str">
        <f t="shared" si="713"/>
        <v>JUEGO COJINETES BIELA</v>
      </c>
      <c r="J1124" t="str">
        <f t="shared" si="718"/>
        <v>1</v>
      </c>
      <c r="K1124" t="str">
        <f t="shared" si="741"/>
        <v>0</v>
      </c>
      <c r="L1124" t="str">
        <f>"4,000"</f>
        <v>4,000</v>
      </c>
      <c r="M1124" t="str">
        <f t="shared" si="719"/>
        <v xml:space="preserve"> </v>
      </c>
      <c r="N1124" t="str">
        <f t="shared" si="707"/>
        <v>MPSI</v>
      </c>
      <c r="O1124" t="str">
        <f t="shared" si="708"/>
        <v>COJINETES</v>
      </c>
      <c r="P1124" t="str">
        <f t="shared" si="745"/>
        <v>0</v>
      </c>
      <c r="Q1124" t="str">
        <f t="shared" si="745"/>
        <v>0</v>
      </c>
      <c r="R1124" t="str">
        <f t="shared" si="746"/>
        <v>0,00</v>
      </c>
      <c r="S1124" t="str">
        <f t="shared" si="746"/>
        <v>0,00</v>
      </c>
      <c r="T1124" t="str">
        <f t="shared" si="740"/>
        <v xml:space="preserve"> </v>
      </c>
      <c r="U1124" t="str">
        <f t="shared" si="742"/>
        <v>-</v>
      </c>
      <c r="V1124" t="str">
        <f>"4,000"</f>
        <v>4,000</v>
      </c>
      <c r="W1124" t="str">
        <f t="shared" si="720"/>
        <v>Lista 4</v>
      </c>
      <c r="X1124" t="str">
        <f t="shared" si="721"/>
        <v>Lista 5</v>
      </c>
      <c r="Y1124" t="str">
        <f t="shared" si="722"/>
        <v>Oferta Gral.</v>
      </c>
      <c r="Z1124" t="str">
        <f t="shared" si="723"/>
        <v>Rubro</v>
      </c>
      <c r="AA1124" t="str">
        <f t="shared" si="724"/>
        <v>Cantidad por Bulto</v>
      </c>
      <c r="AB1124" t="str">
        <f t="shared" si="725"/>
        <v>INNER</v>
      </c>
      <c r="AC1124" t="str">
        <f t="shared" si="726"/>
        <v>Stock en Bultos</v>
      </c>
      <c r="AD1124" t="str">
        <f t="shared" si="727"/>
        <v>SubDepósito</v>
      </c>
      <c r="AE1124" t="str">
        <f t="shared" si="728"/>
        <v>Marca</v>
      </c>
      <c r="AF1124" t="str">
        <f t="shared" si="729"/>
        <v>Super Rubro</v>
      </c>
      <c r="AG1124" t="str">
        <f t="shared" si="730"/>
        <v>ComercioExterior</v>
      </c>
      <c r="AH1124" t="str">
        <f t="shared" si="731"/>
        <v>PrecioFOB</v>
      </c>
      <c r="AI1124" t="str">
        <f t="shared" si="732"/>
        <v>Monto II</v>
      </c>
      <c r="AJ1124" t="str">
        <f t="shared" si="733"/>
        <v>Porcentaje II</v>
      </c>
      <c r="AK1124" t="str">
        <f t="shared" si="734"/>
        <v>Foto</v>
      </c>
      <c r="AL1124" t="str">
        <f t="shared" ref="AL1124:AL1129" si="747">" "</f>
        <v xml:space="preserve"> </v>
      </c>
      <c r="AM1124" t="str">
        <f t="shared" si="744"/>
        <v xml:space="preserve"> </v>
      </c>
    </row>
    <row r="1125" spans="1:39" x14ac:dyDescent="0.25">
      <c r="A1125" t="str">
        <f>"BI776 20"</f>
        <v>BI776 20</v>
      </c>
      <c r="B1125" t="str">
        <f>"COJINETES BIELA 0,50 FORD FIESTA COURIER FOCUS 1.8 DIESEL"</f>
        <v>COJINETES BIELA 0,50 FORD FIESTA COURIER FOCUS 1.8 DIESEL</v>
      </c>
      <c r="C1125" t="str">
        <f>"$ 15570,20"</f>
        <v>$ 15570,20</v>
      </c>
      <c r="D1125" t="str">
        <f>"$ 15570,20"</f>
        <v>$ 15570,20</v>
      </c>
      <c r="E1125" t="str">
        <f>"$ 15570,20"</f>
        <v>$ 15570,20</v>
      </c>
      <c r="F1125" t="str">
        <f>"$ 15570,20"</f>
        <v>$ 15570,20</v>
      </c>
      <c r="G1125" t="str">
        <f>"$ 15570,20"</f>
        <v>$ 15570,20</v>
      </c>
      <c r="H1125" t="str">
        <f t="shared" si="717"/>
        <v>$ 0,00</v>
      </c>
      <c r="I1125" t="str">
        <f t="shared" si="713"/>
        <v>JUEGO COJINETES BIELA</v>
      </c>
      <c r="J1125" t="str">
        <f t="shared" si="718"/>
        <v>1</v>
      </c>
      <c r="K1125" t="str">
        <f t="shared" si="741"/>
        <v>0</v>
      </c>
      <c r="L1125" t="str">
        <f>"8,000"</f>
        <v>8,000</v>
      </c>
      <c r="M1125" t="str">
        <f t="shared" si="719"/>
        <v xml:space="preserve"> </v>
      </c>
      <c r="N1125" t="str">
        <f t="shared" ref="N1125:N1188" si="748">"MPSI"</f>
        <v>MPSI</v>
      </c>
      <c r="O1125" t="str">
        <f t="shared" ref="O1125:O1188" si="749">"COJINETES"</f>
        <v>COJINETES</v>
      </c>
      <c r="P1125" t="str">
        <f t="shared" si="745"/>
        <v>0</v>
      </c>
      <c r="Q1125" t="str">
        <f t="shared" si="745"/>
        <v>0</v>
      </c>
      <c r="R1125" t="str">
        <f t="shared" si="746"/>
        <v>0,00</v>
      </c>
      <c r="S1125" t="str">
        <f t="shared" si="746"/>
        <v>0,00</v>
      </c>
      <c r="T1125" t="str">
        <f t="shared" si="740"/>
        <v xml:space="preserve"> </v>
      </c>
      <c r="U1125" t="str">
        <f t="shared" si="742"/>
        <v>-</v>
      </c>
      <c r="V1125" t="str">
        <f>"8,000"</f>
        <v>8,000</v>
      </c>
      <c r="W1125" t="str">
        <f t="shared" si="720"/>
        <v>Lista 4</v>
      </c>
      <c r="X1125" t="str">
        <f t="shared" si="721"/>
        <v>Lista 5</v>
      </c>
      <c r="Y1125" t="str">
        <f t="shared" si="722"/>
        <v>Oferta Gral.</v>
      </c>
      <c r="Z1125" t="str">
        <f t="shared" si="723"/>
        <v>Rubro</v>
      </c>
      <c r="AA1125" t="str">
        <f t="shared" si="724"/>
        <v>Cantidad por Bulto</v>
      </c>
      <c r="AB1125" t="str">
        <f t="shared" si="725"/>
        <v>INNER</v>
      </c>
      <c r="AC1125" t="str">
        <f t="shared" si="726"/>
        <v>Stock en Bultos</v>
      </c>
      <c r="AD1125" t="str">
        <f t="shared" si="727"/>
        <v>SubDepósito</v>
      </c>
      <c r="AE1125" t="str">
        <f t="shared" si="728"/>
        <v>Marca</v>
      </c>
      <c r="AF1125" t="str">
        <f t="shared" si="729"/>
        <v>Super Rubro</v>
      </c>
      <c r="AG1125" t="str">
        <f t="shared" si="730"/>
        <v>ComercioExterior</v>
      </c>
      <c r="AH1125" t="str">
        <f t="shared" si="731"/>
        <v>PrecioFOB</v>
      </c>
      <c r="AI1125" t="str">
        <f t="shared" si="732"/>
        <v>Monto II</v>
      </c>
      <c r="AJ1125" t="str">
        <f t="shared" si="733"/>
        <v>Porcentaje II</v>
      </c>
      <c r="AK1125" t="str">
        <f t="shared" si="734"/>
        <v>Foto</v>
      </c>
      <c r="AL1125" t="str">
        <f t="shared" si="747"/>
        <v xml:space="preserve"> </v>
      </c>
      <c r="AM1125" t="str">
        <f t="shared" si="744"/>
        <v xml:space="preserve"> </v>
      </c>
    </row>
    <row r="1126" spans="1:39" x14ac:dyDescent="0.25">
      <c r="A1126" t="str">
        <f>"BI773 20"</f>
        <v>BI773 20</v>
      </c>
      <c r="B1126" t="str">
        <f>"COJINETES BIELA 0,50 FORD FIESTA FOCUS 1.8 DIESEL SIN TRABA"</f>
        <v>COJINETES BIELA 0,50 FORD FIESTA FOCUS 1.8 DIESEL SIN TRABA</v>
      </c>
      <c r="C1126" t="str">
        <f>"$ 26787,87"</f>
        <v>$ 26787,87</v>
      </c>
      <c r="D1126" t="str">
        <f>"$ 26787,87"</f>
        <v>$ 26787,87</v>
      </c>
      <c r="E1126" t="str">
        <f>"$ 26787,87"</f>
        <v>$ 26787,87</v>
      </c>
      <c r="F1126" t="str">
        <f>"$ 26787,87"</f>
        <v>$ 26787,87</v>
      </c>
      <c r="G1126" t="str">
        <f>"$ 26787,87"</f>
        <v>$ 26787,87</v>
      </c>
      <c r="H1126" t="str">
        <f t="shared" si="717"/>
        <v>$ 0,00</v>
      </c>
      <c r="I1126" t="str">
        <f t="shared" si="713"/>
        <v>JUEGO COJINETES BIELA</v>
      </c>
      <c r="J1126" t="str">
        <f t="shared" si="718"/>
        <v>1</v>
      </c>
      <c r="K1126" t="str">
        <f t="shared" si="741"/>
        <v>0</v>
      </c>
      <c r="L1126" t="str">
        <f>"5,000"</f>
        <v>5,000</v>
      </c>
      <c r="M1126" t="str">
        <f t="shared" si="719"/>
        <v xml:space="preserve"> </v>
      </c>
      <c r="N1126" t="str">
        <f t="shared" si="748"/>
        <v>MPSI</v>
      </c>
      <c r="O1126" t="str">
        <f t="shared" si="749"/>
        <v>COJINETES</v>
      </c>
      <c r="P1126" t="str">
        <f t="shared" si="745"/>
        <v>0</v>
      </c>
      <c r="Q1126" t="str">
        <f t="shared" si="745"/>
        <v>0</v>
      </c>
      <c r="R1126" t="str">
        <f t="shared" si="746"/>
        <v>0,00</v>
      </c>
      <c r="S1126" t="str">
        <f t="shared" si="746"/>
        <v>0,00</v>
      </c>
      <c r="T1126" t="str">
        <f t="shared" si="740"/>
        <v xml:space="preserve"> </v>
      </c>
      <c r="U1126" t="str">
        <f t="shared" si="742"/>
        <v>-</v>
      </c>
      <c r="V1126" t="str">
        <f>"5,000"</f>
        <v>5,000</v>
      </c>
      <c r="W1126" t="str">
        <f t="shared" si="720"/>
        <v>Lista 4</v>
      </c>
      <c r="X1126" t="str">
        <f t="shared" si="721"/>
        <v>Lista 5</v>
      </c>
      <c r="Y1126" t="str">
        <f t="shared" si="722"/>
        <v>Oferta Gral.</v>
      </c>
      <c r="Z1126" t="str">
        <f t="shared" si="723"/>
        <v>Rubro</v>
      </c>
      <c r="AA1126" t="str">
        <f t="shared" si="724"/>
        <v>Cantidad por Bulto</v>
      </c>
      <c r="AB1126" t="str">
        <f t="shared" si="725"/>
        <v>INNER</v>
      </c>
      <c r="AC1126" t="str">
        <f t="shared" si="726"/>
        <v>Stock en Bultos</v>
      </c>
      <c r="AD1126" t="str">
        <f t="shared" si="727"/>
        <v>SubDepósito</v>
      </c>
      <c r="AE1126" t="str">
        <f t="shared" si="728"/>
        <v>Marca</v>
      </c>
      <c r="AF1126" t="str">
        <f t="shared" si="729"/>
        <v>Super Rubro</v>
      </c>
      <c r="AG1126" t="str">
        <f t="shared" si="730"/>
        <v>ComercioExterior</v>
      </c>
      <c r="AH1126" t="str">
        <f t="shared" si="731"/>
        <v>PrecioFOB</v>
      </c>
      <c r="AI1126" t="str">
        <f t="shared" si="732"/>
        <v>Monto II</v>
      </c>
      <c r="AJ1126" t="str">
        <f t="shared" si="733"/>
        <v>Porcentaje II</v>
      </c>
      <c r="AK1126" t="str">
        <f t="shared" si="734"/>
        <v>Foto</v>
      </c>
      <c r="AL1126" t="str">
        <f t="shared" si="747"/>
        <v xml:space="preserve"> </v>
      </c>
      <c r="AM1126" t="str">
        <f t="shared" si="744"/>
        <v xml:space="preserve"> </v>
      </c>
    </row>
    <row r="1127" spans="1:39" x14ac:dyDescent="0.25">
      <c r="A1127" t="str">
        <f>"BI209 20"</f>
        <v>BI209 20</v>
      </c>
      <c r="B1127" t="str">
        <f>"COJINETES BIELA 0,50 FORD FOCUS FIESTA SIGMA 1.6 16V"</f>
        <v>COJINETES BIELA 0,50 FORD FOCUS FIESTA SIGMA 1.6 16V</v>
      </c>
      <c r="C1127" t="str">
        <f>"$ 20733,89"</f>
        <v>$ 20733,89</v>
      </c>
      <c r="D1127" t="str">
        <f>"$ 20733,89"</f>
        <v>$ 20733,89</v>
      </c>
      <c r="E1127" t="str">
        <f>"$ 20733,89"</f>
        <v>$ 20733,89</v>
      </c>
      <c r="F1127" t="str">
        <f>"$ 20733,89"</f>
        <v>$ 20733,89</v>
      </c>
      <c r="G1127" t="str">
        <f>"$ 20733,89"</f>
        <v>$ 20733,89</v>
      </c>
      <c r="H1127" t="str">
        <f t="shared" si="717"/>
        <v>$ 0,00</v>
      </c>
      <c r="I1127" t="str">
        <f t="shared" si="713"/>
        <v>JUEGO COJINETES BIELA</v>
      </c>
      <c r="J1127" t="str">
        <f t="shared" si="718"/>
        <v>1</v>
      </c>
      <c r="K1127" t="str">
        <f t="shared" si="741"/>
        <v>0</v>
      </c>
      <c r="L1127" t="str">
        <f>"6,000"</f>
        <v>6,000</v>
      </c>
      <c r="M1127" t="str">
        <f t="shared" si="719"/>
        <v xml:space="preserve"> </v>
      </c>
      <c r="N1127" t="str">
        <f t="shared" si="748"/>
        <v>MPSI</v>
      </c>
      <c r="O1127" t="str">
        <f t="shared" si="749"/>
        <v>COJINETES</v>
      </c>
      <c r="P1127" t="str">
        <f t="shared" si="745"/>
        <v>0</v>
      </c>
      <c r="Q1127" t="str">
        <f t="shared" si="745"/>
        <v>0</v>
      </c>
      <c r="R1127" t="str">
        <f t="shared" si="746"/>
        <v>0,00</v>
      </c>
      <c r="S1127" t="str">
        <f t="shared" si="746"/>
        <v>0,00</v>
      </c>
      <c r="T1127" t="str">
        <f t="shared" si="740"/>
        <v xml:space="preserve"> </v>
      </c>
      <c r="U1127" t="str">
        <f t="shared" si="742"/>
        <v>-</v>
      </c>
      <c r="V1127" t="str">
        <f>"6,000"</f>
        <v>6,000</v>
      </c>
      <c r="W1127" t="str">
        <f t="shared" si="720"/>
        <v>Lista 4</v>
      </c>
      <c r="X1127" t="str">
        <f t="shared" si="721"/>
        <v>Lista 5</v>
      </c>
      <c r="Y1127" t="str">
        <f t="shared" si="722"/>
        <v>Oferta Gral.</v>
      </c>
      <c r="Z1127" t="str">
        <f t="shared" si="723"/>
        <v>Rubro</v>
      </c>
      <c r="AA1127" t="str">
        <f t="shared" si="724"/>
        <v>Cantidad por Bulto</v>
      </c>
      <c r="AB1127" t="str">
        <f t="shared" si="725"/>
        <v>INNER</v>
      </c>
      <c r="AC1127" t="str">
        <f t="shared" si="726"/>
        <v>Stock en Bultos</v>
      </c>
      <c r="AD1127" t="str">
        <f t="shared" si="727"/>
        <v>SubDepósito</v>
      </c>
      <c r="AE1127" t="str">
        <f t="shared" si="728"/>
        <v>Marca</v>
      </c>
      <c r="AF1127" t="str">
        <f t="shared" si="729"/>
        <v>Super Rubro</v>
      </c>
      <c r="AG1127" t="str">
        <f t="shared" si="730"/>
        <v>ComercioExterior</v>
      </c>
      <c r="AH1127" t="str">
        <f t="shared" si="731"/>
        <v>PrecioFOB</v>
      </c>
      <c r="AI1127" t="str">
        <f t="shared" si="732"/>
        <v>Monto II</v>
      </c>
      <c r="AJ1127" t="str">
        <f t="shared" si="733"/>
        <v>Porcentaje II</v>
      </c>
      <c r="AK1127" t="str">
        <f t="shared" si="734"/>
        <v>Foto</v>
      </c>
      <c r="AL1127" t="str">
        <f t="shared" si="747"/>
        <v xml:space="preserve"> </v>
      </c>
      <c r="AM1127" t="str">
        <f t="shared" si="744"/>
        <v xml:space="preserve"> </v>
      </c>
    </row>
    <row r="1128" spans="1:39" x14ac:dyDescent="0.25">
      <c r="A1128" t="str">
        <f>"BI777 20"</f>
        <v>BI777 20</v>
      </c>
      <c r="B1128" t="str">
        <f>"COJINETES BIELA 0,50 FORD FOCUS FIESTA ZETEC 1.6 1.8 2.0 16V"</f>
        <v>COJINETES BIELA 0,50 FORD FOCUS FIESTA ZETEC 1.6 1.8 2.0 16V</v>
      </c>
      <c r="C1128" t="str">
        <f>"$ 14739,27"</f>
        <v>$ 14739,27</v>
      </c>
      <c r="D1128" t="str">
        <f>"$ 14739,27"</f>
        <v>$ 14739,27</v>
      </c>
      <c r="E1128" t="str">
        <f>"$ 14739,27"</f>
        <v>$ 14739,27</v>
      </c>
      <c r="F1128" t="str">
        <f>"$ 14739,27"</f>
        <v>$ 14739,27</v>
      </c>
      <c r="G1128" t="str">
        <f>"$ 14739,27"</f>
        <v>$ 14739,27</v>
      </c>
      <c r="H1128" t="str">
        <f t="shared" si="717"/>
        <v>$ 0,00</v>
      </c>
      <c r="I1128" t="str">
        <f t="shared" si="713"/>
        <v>JUEGO COJINETES BIELA</v>
      </c>
      <c r="J1128" t="str">
        <f t="shared" si="718"/>
        <v>1</v>
      </c>
      <c r="K1128" t="str">
        <f t="shared" si="741"/>
        <v>0</v>
      </c>
      <c r="L1128" t="str">
        <f>"10,000"</f>
        <v>10,000</v>
      </c>
      <c r="M1128" t="str">
        <f t="shared" si="719"/>
        <v xml:space="preserve"> </v>
      </c>
      <c r="N1128" t="str">
        <f t="shared" si="748"/>
        <v>MPSI</v>
      </c>
      <c r="O1128" t="str">
        <f t="shared" si="749"/>
        <v>COJINETES</v>
      </c>
      <c r="P1128" t="str">
        <f t="shared" si="745"/>
        <v>0</v>
      </c>
      <c r="Q1128" t="str">
        <f t="shared" si="745"/>
        <v>0</v>
      </c>
      <c r="R1128" t="str">
        <f t="shared" si="746"/>
        <v>0,00</v>
      </c>
      <c r="S1128" t="str">
        <f t="shared" si="746"/>
        <v>0,00</v>
      </c>
      <c r="T1128" t="str">
        <f t="shared" si="740"/>
        <v xml:space="preserve"> </v>
      </c>
      <c r="U1128" t="str">
        <f t="shared" si="742"/>
        <v>-</v>
      </c>
      <c r="V1128" t="str">
        <f>"10,000"</f>
        <v>10,000</v>
      </c>
      <c r="W1128" t="str">
        <f t="shared" si="720"/>
        <v>Lista 4</v>
      </c>
      <c r="X1128" t="str">
        <f t="shared" si="721"/>
        <v>Lista 5</v>
      </c>
      <c r="Y1128" t="str">
        <f t="shared" si="722"/>
        <v>Oferta Gral.</v>
      </c>
      <c r="Z1128" t="str">
        <f t="shared" si="723"/>
        <v>Rubro</v>
      </c>
      <c r="AA1128" t="str">
        <f t="shared" si="724"/>
        <v>Cantidad por Bulto</v>
      </c>
      <c r="AB1128" t="str">
        <f t="shared" si="725"/>
        <v>INNER</v>
      </c>
      <c r="AC1128" t="str">
        <f t="shared" si="726"/>
        <v>Stock en Bultos</v>
      </c>
      <c r="AD1128" t="str">
        <f t="shared" si="727"/>
        <v>SubDepósito</v>
      </c>
      <c r="AE1128" t="str">
        <f t="shared" si="728"/>
        <v>Marca</v>
      </c>
      <c r="AF1128" t="str">
        <f t="shared" si="729"/>
        <v>Super Rubro</v>
      </c>
      <c r="AG1128" t="str">
        <f t="shared" si="730"/>
        <v>ComercioExterior</v>
      </c>
      <c r="AH1128" t="str">
        <f t="shared" si="731"/>
        <v>PrecioFOB</v>
      </c>
      <c r="AI1128" t="str">
        <f t="shared" si="732"/>
        <v>Monto II</v>
      </c>
      <c r="AJ1128" t="str">
        <f t="shared" si="733"/>
        <v>Porcentaje II</v>
      </c>
      <c r="AK1128" t="str">
        <f t="shared" si="734"/>
        <v>Foto</v>
      </c>
      <c r="AL1128" t="str">
        <f t="shared" si="747"/>
        <v xml:space="preserve"> </v>
      </c>
      <c r="AM1128" t="str">
        <f t="shared" si="744"/>
        <v xml:space="preserve"> </v>
      </c>
    </row>
    <row r="1129" spans="1:39" x14ac:dyDescent="0.25">
      <c r="A1129" t="str">
        <f>"BI164647 20"</f>
        <v>BI164647 20</v>
      </c>
      <c r="B1129" t="str">
        <f>"COJINETES BIELA 0,50 FORD FOCUS MONDEO DURATEC 2.0 16V"</f>
        <v>COJINETES BIELA 0,50 FORD FOCUS MONDEO DURATEC 2.0 16V</v>
      </c>
      <c r="C1129" t="str">
        <f>"$ 13018,04"</f>
        <v>$ 13018,04</v>
      </c>
      <c r="D1129" t="str">
        <f>"$ 13018,04"</f>
        <v>$ 13018,04</v>
      </c>
      <c r="E1129" t="str">
        <f>"$ 13018,04"</f>
        <v>$ 13018,04</v>
      </c>
      <c r="F1129" t="str">
        <f>"$ 13018,04"</f>
        <v>$ 13018,04</v>
      </c>
      <c r="G1129" t="str">
        <f>"$ 13018,04"</f>
        <v>$ 13018,04</v>
      </c>
      <c r="H1129" t="str">
        <f t="shared" si="717"/>
        <v>$ 0,00</v>
      </c>
      <c r="I1129" t="str">
        <f t="shared" si="713"/>
        <v>JUEGO COJINETES BIELA</v>
      </c>
      <c r="J1129" t="str">
        <f t="shared" si="718"/>
        <v>1</v>
      </c>
      <c r="K1129" t="str">
        <f t="shared" si="741"/>
        <v>0</v>
      </c>
      <c r="L1129" t="str">
        <f>"4,000"</f>
        <v>4,000</v>
      </c>
      <c r="M1129" t="str">
        <f t="shared" si="719"/>
        <v xml:space="preserve"> </v>
      </c>
      <c r="N1129" t="str">
        <f t="shared" si="748"/>
        <v>MPSI</v>
      </c>
      <c r="O1129" t="str">
        <f t="shared" si="749"/>
        <v>COJINETES</v>
      </c>
      <c r="P1129" t="str">
        <f t="shared" si="745"/>
        <v>0</v>
      </c>
      <c r="Q1129" t="str">
        <f t="shared" si="745"/>
        <v>0</v>
      </c>
      <c r="R1129" t="str">
        <f t="shared" si="746"/>
        <v>0,00</v>
      </c>
      <c r="S1129" t="str">
        <f t="shared" si="746"/>
        <v>0,00</v>
      </c>
      <c r="T1129" t="str">
        <f t="shared" si="740"/>
        <v xml:space="preserve"> </v>
      </c>
      <c r="U1129" t="str">
        <f t="shared" si="742"/>
        <v>-</v>
      </c>
      <c r="V1129" t="str">
        <f>"4,000"</f>
        <v>4,000</v>
      </c>
      <c r="W1129" t="str">
        <f t="shared" si="720"/>
        <v>Lista 4</v>
      </c>
      <c r="X1129" t="str">
        <f t="shared" si="721"/>
        <v>Lista 5</v>
      </c>
      <c r="Y1129" t="str">
        <f t="shared" si="722"/>
        <v>Oferta Gral.</v>
      </c>
      <c r="Z1129" t="str">
        <f t="shared" si="723"/>
        <v>Rubro</v>
      </c>
      <c r="AA1129" t="str">
        <f t="shared" si="724"/>
        <v>Cantidad por Bulto</v>
      </c>
      <c r="AB1129" t="str">
        <f t="shared" si="725"/>
        <v>INNER</v>
      </c>
      <c r="AC1129" t="str">
        <f t="shared" si="726"/>
        <v>Stock en Bultos</v>
      </c>
      <c r="AD1129" t="str">
        <f t="shared" si="727"/>
        <v>SubDepósito</v>
      </c>
      <c r="AE1129" t="str">
        <f t="shared" si="728"/>
        <v>Marca</v>
      </c>
      <c r="AF1129" t="str">
        <f t="shared" si="729"/>
        <v>Super Rubro</v>
      </c>
      <c r="AG1129" t="str">
        <f t="shared" si="730"/>
        <v>ComercioExterior</v>
      </c>
      <c r="AH1129" t="str">
        <f t="shared" si="731"/>
        <v>PrecioFOB</v>
      </c>
      <c r="AI1129" t="str">
        <f t="shared" si="732"/>
        <v>Monto II</v>
      </c>
      <c r="AJ1129" t="str">
        <f t="shared" si="733"/>
        <v>Porcentaje II</v>
      </c>
      <c r="AK1129" t="str">
        <f t="shared" si="734"/>
        <v>Foto</v>
      </c>
      <c r="AL1129" t="str">
        <f t="shared" si="747"/>
        <v xml:space="preserve"> </v>
      </c>
      <c r="AM1129" t="str">
        <f t="shared" si="744"/>
        <v xml:space="preserve"> </v>
      </c>
    </row>
    <row r="1130" spans="1:39" x14ac:dyDescent="0.25">
      <c r="A1130" t="str">
        <f>"BI164748 20"</f>
        <v>BI164748 20</v>
      </c>
      <c r="B1130" t="str">
        <f>"COJINETES BIELA 0,50 FORD KA ECOSPORT SIGMA 1.5 16 VALVULAS"</f>
        <v>COJINETES BIELA 0,50 FORD KA ECOSPORT SIGMA 1.5 16 VALVULAS</v>
      </c>
      <c r="C1130" t="str">
        <f>"$ 9799,93"</f>
        <v>$ 9799,93</v>
      </c>
      <c r="D1130" t="str">
        <f>"$ 9799,93"</f>
        <v>$ 9799,93</v>
      </c>
      <c r="E1130" t="str">
        <f>"$ 9799,93"</f>
        <v>$ 9799,93</v>
      </c>
      <c r="F1130" t="str">
        <f>"$ 9799,93"</f>
        <v>$ 9799,93</v>
      </c>
      <c r="G1130" t="str">
        <f>"$ 9799,93"</f>
        <v>$ 9799,93</v>
      </c>
      <c r="H1130" t="str">
        <f t="shared" si="717"/>
        <v>$ 0,00</v>
      </c>
      <c r="I1130" t="str">
        <f t="shared" si="713"/>
        <v>JUEGO COJINETES BIELA</v>
      </c>
      <c r="J1130" t="str">
        <f t="shared" si="718"/>
        <v>1</v>
      </c>
      <c r="K1130" t="str">
        <f t="shared" si="741"/>
        <v>0</v>
      </c>
      <c r="L1130" t="str">
        <f>"6,000"</f>
        <v>6,000</v>
      </c>
      <c r="M1130" t="str">
        <f t="shared" si="719"/>
        <v xml:space="preserve"> </v>
      </c>
      <c r="N1130" t="str">
        <f t="shared" si="748"/>
        <v>MPSI</v>
      </c>
      <c r="O1130" t="str">
        <f t="shared" si="749"/>
        <v>COJINETES</v>
      </c>
      <c r="P1130" t="str">
        <f t="shared" si="745"/>
        <v>0</v>
      </c>
      <c r="Q1130" t="str">
        <f t="shared" si="745"/>
        <v>0</v>
      </c>
      <c r="R1130" t="str">
        <f t="shared" si="746"/>
        <v>0,00</v>
      </c>
      <c r="S1130" t="str">
        <f t="shared" si="746"/>
        <v>0,00</v>
      </c>
      <c r="T1130" t="str">
        <f t="shared" si="740"/>
        <v xml:space="preserve"> </v>
      </c>
      <c r="U1130" t="str">
        <f>" "</f>
        <v xml:space="preserve"> </v>
      </c>
      <c r="V1130" t="str">
        <f>"6,000"</f>
        <v>6,000</v>
      </c>
      <c r="W1130" t="str">
        <f t="shared" si="720"/>
        <v>Lista 4</v>
      </c>
      <c r="X1130" t="str">
        <f t="shared" si="721"/>
        <v>Lista 5</v>
      </c>
      <c r="Y1130" t="str">
        <f t="shared" si="722"/>
        <v>Oferta Gral.</v>
      </c>
      <c r="Z1130" t="str">
        <f t="shared" si="723"/>
        <v>Rubro</v>
      </c>
      <c r="AA1130" t="str">
        <f t="shared" si="724"/>
        <v>Cantidad por Bulto</v>
      </c>
      <c r="AB1130" t="str">
        <f t="shared" si="725"/>
        <v>INNER</v>
      </c>
      <c r="AC1130" t="str">
        <f t="shared" si="726"/>
        <v>Stock en Bultos</v>
      </c>
      <c r="AD1130" t="str">
        <f t="shared" si="727"/>
        <v>SubDepósito</v>
      </c>
      <c r="AE1130" t="str">
        <f t="shared" si="728"/>
        <v>Marca</v>
      </c>
      <c r="AF1130" t="str">
        <f t="shared" si="729"/>
        <v>Super Rubro</v>
      </c>
      <c r="AG1130" t="str">
        <f t="shared" si="730"/>
        <v>ComercioExterior</v>
      </c>
      <c r="AH1130" t="str">
        <f t="shared" si="731"/>
        <v>PrecioFOB</v>
      </c>
      <c r="AI1130" t="str">
        <f t="shared" si="732"/>
        <v>Monto II</v>
      </c>
      <c r="AJ1130" t="str">
        <f t="shared" si="733"/>
        <v>Porcentaje II</v>
      </c>
      <c r="AK1130" t="str">
        <f t="shared" si="734"/>
        <v>Foto</v>
      </c>
      <c r="AL113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130" t="str">
        <f t="shared" si="744"/>
        <v xml:space="preserve"> </v>
      </c>
    </row>
    <row r="1131" spans="1:39" x14ac:dyDescent="0.25">
      <c r="A1131" t="str">
        <f>"BI164198 20"</f>
        <v>BI164198 20</v>
      </c>
      <c r="B1131" t="str">
        <f>"COJINETES BIELA 0,50 FORD RANGER 2.2 PUMA TDCI 125HP"</f>
        <v>COJINETES BIELA 0,50 FORD RANGER 2.2 PUMA TDCI 125HP</v>
      </c>
      <c r="C1131" t="str">
        <f>"$ 29478,53"</f>
        <v>$ 29478,53</v>
      </c>
      <c r="D1131" t="str">
        <f>"$ 29478,53"</f>
        <v>$ 29478,53</v>
      </c>
      <c r="E1131" t="str">
        <f>"$ 29478,53"</f>
        <v>$ 29478,53</v>
      </c>
      <c r="F1131" t="str">
        <f>"$ 29478,53"</f>
        <v>$ 29478,53</v>
      </c>
      <c r="G1131" t="str">
        <f>"$ 29478,53"</f>
        <v>$ 29478,53</v>
      </c>
      <c r="H1131" t="str">
        <f t="shared" si="717"/>
        <v>$ 0,00</v>
      </c>
      <c r="I1131" t="str">
        <f t="shared" si="713"/>
        <v>JUEGO COJINETES BIELA</v>
      </c>
      <c r="J1131" t="str">
        <f t="shared" si="718"/>
        <v>1</v>
      </c>
      <c r="K1131" t="str">
        <f t="shared" si="741"/>
        <v>0</v>
      </c>
      <c r="L1131" t="str">
        <f>"6,000"</f>
        <v>6,000</v>
      </c>
      <c r="M1131" t="str">
        <f t="shared" si="719"/>
        <v xml:space="preserve"> </v>
      </c>
      <c r="N1131" t="str">
        <f t="shared" si="748"/>
        <v>MPSI</v>
      </c>
      <c r="O1131" t="str">
        <f t="shared" si="749"/>
        <v>COJINETES</v>
      </c>
      <c r="P1131" t="str">
        <f t="shared" si="745"/>
        <v>0</v>
      </c>
      <c r="Q1131" t="str">
        <f t="shared" si="745"/>
        <v>0</v>
      </c>
      <c r="R1131" t="str">
        <f t="shared" si="746"/>
        <v>0,00</v>
      </c>
      <c r="S1131" t="str">
        <f t="shared" si="746"/>
        <v>0,00</v>
      </c>
      <c r="T1131" t="str">
        <f t="shared" si="740"/>
        <v xml:space="preserve"> </v>
      </c>
      <c r="U1131" t="str">
        <f t="shared" ref="U1131:U1156" si="750">"-"</f>
        <v>-</v>
      </c>
      <c r="V1131" t="str">
        <f>"6,000"</f>
        <v>6,000</v>
      </c>
      <c r="W1131" t="str">
        <f t="shared" si="720"/>
        <v>Lista 4</v>
      </c>
      <c r="X1131" t="str">
        <f t="shared" si="721"/>
        <v>Lista 5</v>
      </c>
      <c r="Y1131" t="str">
        <f t="shared" si="722"/>
        <v>Oferta Gral.</v>
      </c>
      <c r="Z1131" t="str">
        <f t="shared" si="723"/>
        <v>Rubro</v>
      </c>
      <c r="AA1131" t="str">
        <f t="shared" si="724"/>
        <v>Cantidad por Bulto</v>
      </c>
      <c r="AB1131" t="str">
        <f t="shared" si="725"/>
        <v>INNER</v>
      </c>
      <c r="AC1131" t="str">
        <f t="shared" si="726"/>
        <v>Stock en Bultos</v>
      </c>
      <c r="AD1131" t="str">
        <f t="shared" si="727"/>
        <v>SubDepósito</v>
      </c>
      <c r="AE1131" t="str">
        <f t="shared" si="728"/>
        <v>Marca</v>
      </c>
      <c r="AF1131" t="str">
        <f t="shared" si="729"/>
        <v>Super Rubro</v>
      </c>
      <c r="AG1131" t="str">
        <f t="shared" si="730"/>
        <v>ComercioExterior</v>
      </c>
      <c r="AH1131" t="str">
        <f t="shared" si="731"/>
        <v>PrecioFOB</v>
      </c>
      <c r="AI1131" t="str">
        <f t="shared" si="732"/>
        <v>Monto II</v>
      </c>
      <c r="AJ1131" t="str">
        <f t="shared" si="733"/>
        <v>Porcentaje II</v>
      </c>
      <c r="AK1131" t="str">
        <f t="shared" si="734"/>
        <v>Foto</v>
      </c>
      <c r="AL1131" t="str">
        <f t="shared" ref="AL1131:AL1142" si="751">" "</f>
        <v xml:space="preserve"> </v>
      </c>
      <c r="AM1131" t="str">
        <f t="shared" si="744"/>
        <v xml:space="preserve"> </v>
      </c>
    </row>
    <row r="1132" spans="1:39" x14ac:dyDescent="0.25">
      <c r="A1132" t="str">
        <f>"BI404 20"</f>
        <v>BI404 20</v>
      </c>
      <c r="B1132" t="str">
        <f>"COJINETES BIELA 0,50 FORD RANGER 2.8 3.0 POWER STROKE"</f>
        <v>COJINETES BIELA 0,50 FORD RANGER 2.8 3.0 POWER STROKE</v>
      </c>
      <c r="C1132" t="str">
        <f>"$ 21169,15"</f>
        <v>$ 21169,15</v>
      </c>
      <c r="D1132" t="str">
        <f>"$ 21169,15"</f>
        <v>$ 21169,15</v>
      </c>
      <c r="E1132" t="str">
        <f>"$ 21169,15"</f>
        <v>$ 21169,15</v>
      </c>
      <c r="F1132" t="str">
        <f>"$ 21169,15"</f>
        <v>$ 21169,15</v>
      </c>
      <c r="G1132" t="str">
        <f>"$ 21169,15"</f>
        <v>$ 21169,15</v>
      </c>
      <c r="H1132" t="str">
        <f t="shared" si="717"/>
        <v>$ 0,00</v>
      </c>
      <c r="I1132" t="str">
        <f t="shared" si="713"/>
        <v>JUEGO COJINETES BIELA</v>
      </c>
      <c r="J1132" t="str">
        <f t="shared" si="718"/>
        <v>1</v>
      </c>
      <c r="K1132" t="str">
        <f t="shared" si="741"/>
        <v>0</v>
      </c>
      <c r="L1132" t="str">
        <f>"4,000"</f>
        <v>4,000</v>
      </c>
      <c r="M1132" t="str">
        <f t="shared" si="719"/>
        <v xml:space="preserve"> </v>
      </c>
      <c r="N1132" t="str">
        <f t="shared" si="748"/>
        <v>MPSI</v>
      </c>
      <c r="O1132" t="str">
        <f t="shared" si="749"/>
        <v>COJINETES</v>
      </c>
      <c r="P1132" t="str">
        <f t="shared" si="745"/>
        <v>0</v>
      </c>
      <c r="Q1132" t="str">
        <f t="shared" si="745"/>
        <v>0</v>
      </c>
      <c r="R1132" t="str">
        <f t="shared" si="746"/>
        <v>0,00</v>
      </c>
      <c r="S1132" t="str">
        <f t="shared" si="746"/>
        <v>0,00</v>
      </c>
      <c r="T1132" t="str">
        <f t="shared" si="740"/>
        <v xml:space="preserve"> </v>
      </c>
      <c r="U1132" t="str">
        <f t="shared" si="750"/>
        <v>-</v>
      </c>
      <c r="V1132" t="str">
        <f>"4,000"</f>
        <v>4,000</v>
      </c>
      <c r="W1132" t="str">
        <f t="shared" si="720"/>
        <v>Lista 4</v>
      </c>
      <c r="X1132" t="str">
        <f t="shared" si="721"/>
        <v>Lista 5</v>
      </c>
      <c r="Y1132" t="str">
        <f t="shared" si="722"/>
        <v>Oferta Gral.</v>
      </c>
      <c r="Z1132" t="str">
        <f t="shared" si="723"/>
        <v>Rubro</v>
      </c>
      <c r="AA1132" t="str">
        <f t="shared" si="724"/>
        <v>Cantidad por Bulto</v>
      </c>
      <c r="AB1132" t="str">
        <f t="shared" si="725"/>
        <v>INNER</v>
      </c>
      <c r="AC1132" t="str">
        <f t="shared" si="726"/>
        <v>Stock en Bultos</v>
      </c>
      <c r="AD1132" t="str">
        <f t="shared" si="727"/>
        <v>SubDepósito</v>
      </c>
      <c r="AE1132" t="str">
        <f t="shared" si="728"/>
        <v>Marca</v>
      </c>
      <c r="AF1132" t="str">
        <f t="shared" si="729"/>
        <v>Super Rubro</v>
      </c>
      <c r="AG1132" t="str">
        <f t="shared" si="730"/>
        <v>ComercioExterior</v>
      </c>
      <c r="AH1132" t="str">
        <f t="shared" si="731"/>
        <v>PrecioFOB</v>
      </c>
      <c r="AI1132" t="str">
        <f t="shared" si="732"/>
        <v>Monto II</v>
      </c>
      <c r="AJ1132" t="str">
        <f t="shared" si="733"/>
        <v>Porcentaje II</v>
      </c>
      <c r="AK1132" t="str">
        <f t="shared" si="734"/>
        <v>Foto</v>
      </c>
      <c r="AL1132" t="str">
        <f t="shared" si="751"/>
        <v xml:space="preserve"> </v>
      </c>
      <c r="AM1132" t="str">
        <f t="shared" si="744"/>
        <v xml:space="preserve"> </v>
      </c>
    </row>
    <row r="1133" spans="1:39" x14ac:dyDescent="0.25">
      <c r="A1133" t="str">
        <f>"BI165200 20"</f>
        <v>BI165200 20</v>
      </c>
      <c r="B1133" t="str">
        <f>"COJINETES BIELA 0,50 FORD RANGER 3.2 PUMA TDCI 200HP 5 CIL"</f>
        <v>COJINETES BIELA 0,50 FORD RANGER 3.2 PUMA TDCI 200HP 5 CIL</v>
      </c>
      <c r="C1133" t="str">
        <f>"$ 36462,37"</f>
        <v>$ 36462,37</v>
      </c>
      <c r="D1133" t="str">
        <f>"$ 36462,37"</f>
        <v>$ 36462,37</v>
      </c>
      <c r="E1133" t="str">
        <f>"$ 36462,37"</f>
        <v>$ 36462,37</v>
      </c>
      <c r="F1133" t="str">
        <f>"$ 36462,37"</f>
        <v>$ 36462,37</v>
      </c>
      <c r="G1133" t="str">
        <f>"$ 36462,37"</f>
        <v>$ 36462,37</v>
      </c>
      <c r="H1133" t="str">
        <f t="shared" si="717"/>
        <v>$ 0,00</v>
      </c>
      <c r="I1133" t="str">
        <f t="shared" si="713"/>
        <v>JUEGO COJINETES BIELA</v>
      </c>
      <c r="J1133" t="str">
        <f t="shared" si="718"/>
        <v>1</v>
      </c>
      <c r="K1133" t="str">
        <f t="shared" si="741"/>
        <v>0</v>
      </c>
      <c r="L1133" t="str">
        <f>"9,000"</f>
        <v>9,000</v>
      </c>
      <c r="M1133" t="str">
        <f t="shared" si="719"/>
        <v xml:space="preserve"> </v>
      </c>
      <c r="N1133" t="str">
        <f t="shared" si="748"/>
        <v>MPSI</v>
      </c>
      <c r="O1133" t="str">
        <f t="shared" si="749"/>
        <v>COJINETES</v>
      </c>
      <c r="P1133" t="str">
        <f t="shared" si="745"/>
        <v>0</v>
      </c>
      <c r="Q1133" t="str">
        <f t="shared" si="745"/>
        <v>0</v>
      </c>
      <c r="R1133" t="str">
        <f t="shared" si="746"/>
        <v>0,00</v>
      </c>
      <c r="S1133" t="str">
        <f t="shared" si="746"/>
        <v>0,00</v>
      </c>
      <c r="T1133" t="str">
        <f t="shared" si="740"/>
        <v xml:space="preserve"> </v>
      </c>
      <c r="U1133" t="str">
        <f t="shared" si="750"/>
        <v>-</v>
      </c>
      <c r="V1133" t="str">
        <f>"9,000"</f>
        <v>9,000</v>
      </c>
      <c r="W1133" t="str">
        <f t="shared" si="720"/>
        <v>Lista 4</v>
      </c>
      <c r="X1133" t="str">
        <f t="shared" si="721"/>
        <v>Lista 5</v>
      </c>
      <c r="Y1133" t="str">
        <f t="shared" si="722"/>
        <v>Oferta Gral.</v>
      </c>
      <c r="Z1133" t="str">
        <f t="shared" si="723"/>
        <v>Rubro</v>
      </c>
      <c r="AA1133" t="str">
        <f t="shared" si="724"/>
        <v>Cantidad por Bulto</v>
      </c>
      <c r="AB1133" t="str">
        <f t="shared" si="725"/>
        <v>INNER</v>
      </c>
      <c r="AC1133" t="str">
        <f t="shared" si="726"/>
        <v>Stock en Bultos</v>
      </c>
      <c r="AD1133" t="str">
        <f t="shared" si="727"/>
        <v>SubDepósito</v>
      </c>
      <c r="AE1133" t="str">
        <f t="shared" si="728"/>
        <v>Marca</v>
      </c>
      <c r="AF1133" t="str">
        <f t="shared" si="729"/>
        <v>Super Rubro</v>
      </c>
      <c r="AG1133" t="str">
        <f t="shared" si="730"/>
        <v>ComercioExterior</v>
      </c>
      <c r="AH1133" t="str">
        <f t="shared" si="731"/>
        <v>PrecioFOB</v>
      </c>
      <c r="AI1133" t="str">
        <f t="shared" si="732"/>
        <v>Monto II</v>
      </c>
      <c r="AJ1133" t="str">
        <f t="shared" si="733"/>
        <v>Porcentaje II</v>
      </c>
      <c r="AK1133" t="str">
        <f t="shared" si="734"/>
        <v>Foto</v>
      </c>
      <c r="AL1133" t="str">
        <f t="shared" si="751"/>
        <v xml:space="preserve"> </v>
      </c>
      <c r="AM1133" t="str">
        <f t="shared" si="744"/>
        <v xml:space="preserve"> </v>
      </c>
    </row>
    <row r="1134" spans="1:39" x14ac:dyDescent="0.25">
      <c r="A1134" t="str">
        <f>"BI203 20"</f>
        <v>BI203 20</v>
      </c>
      <c r="B1134" t="str">
        <f>"COJINETES BIELA 0,50 FORD SIERRA 1600"</f>
        <v>COJINETES BIELA 0,50 FORD SIERRA 1600</v>
      </c>
      <c r="C1134" t="str">
        <f>"$ 15174,52"</f>
        <v>$ 15174,52</v>
      </c>
      <c r="D1134" t="str">
        <f>"$ 15174,52"</f>
        <v>$ 15174,52</v>
      </c>
      <c r="E1134" t="str">
        <f>"$ 15174,52"</f>
        <v>$ 15174,52</v>
      </c>
      <c r="F1134" t="str">
        <f>"$ 15174,52"</f>
        <v>$ 15174,52</v>
      </c>
      <c r="G1134" t="str">
        <f>"$ 15174,52"</f>
        <v>$ 15174,52</v>
      </c>
      <c r="H1134" t="str">
        <f t="shared" si="717"/>
        <v>$ 0,00</v>
      </c>
      <c r="I1134" t="str">
        <f t="shared" si="713"/>
        <v>JUEGO COJINETES BIELA</v>
      </c>
      <c r="J1134" t="str">
        <f t="shared" si="718"/>
        <v>1</v>
      </c>
      <c r="K1134" t="str">
        <f t="shared" si="741"/>
        <v>0</v>
      </c>
      <c r="L1134" t="str">
        <f>"3,000"</f>
        <v>3,000</v>
      </c>
      <c r="M1134" t="str">
        <f t="shared" si="719"/>
        <v xml:space="preserve"> </v>
      </c>
      <c r="N1134" t="str">
        <f t="shared" si="748"/>
        <v>MPSI</v>
      </c>
      <c r="O1134" t="str">
        <f t="shared" si="749"/>
        <v>COJINETES</v>
      </c>
      <c r="P1134" t="str">
        <f t="shared" si="745"/>
        <v>0</v>
      </c>
      <c r="Q1134" t="str">
        <f t="shared" si="745"/>
        <v>0</v>
      </c>
      <c r="R1134" t="str">
        <f t="shared" si="746"/>
        <v>0,00</v>
      </c>
      <c r="S1134" t="str">
        <f t="shared" si="746"/>
        <v>0,00</v>
      </c>
      <c r="T1134" t="str">
        <f t="shared" si="740"/>
        <v xml:space="preserve"> </v>
      </c>
      <c r="U1134" t="str">
        <f t="shared" si="750"/>
        <v>-</v>
      </c>
      <c r="V1134" t="str">
        <f>"3,000"</f>
        <v>3,000</v>
      </c>
      <c r="W1134" t="str">
        <f t="shared" si="720"/>
        <v>Lista 4</v>
      </c>
      <c r="X1134" t="str">
        <f t="shared" si="721"/>
        <v>Lista 5</v>
      </c>
      <c r="Y1134" t="str">
        <f t="shared" si="722"/>
        <v>Oferta Gral.</v>
      </c>
      <c r="Z1134" t="str">
        <f t="shared" si="723"/>
        <v>Rubro</v>
      </c>
      <c r="AA1134" t="str">
        <f t="shared" si="724"/>
        <v>Cantidad por Bulto</v>
      </c>
      <c r="AB1134" t="str">
        <f t="shared" si="725"/>
        <v>INNER</v>
      </c>
      <c r="AC1134" t="str">
        <f t="shared" si="726"/>
        <v>Stock en Bultos</v>
      </c>
      <c r="AD1134" t="str">
        <f t="shared" si="727"/>
        <v>SubDepósito</v>
      </c>
      <c r="AE1134" t="str">
        <f t="shared" si="728"/>
        <v>Marca</v>
      </c>
      <c r="AF1134" t="str">
        <f t="shared" si="729"/>
        <v>Super Rubro</v>
      </c>
      <c r="AG1134" t="str">
        <f t="shared" si="730"/>
        <v>ComercioExterior</v>
      </c>
      <c r="AH1134" t="str">
        <f t="shared" si="731"/>
        <v>PrecioFOB</v>
      </c>
      <c r="AI1134" t="str">
        <f t="shared" si="732"/>
        <v>Monto II</v>
      </c>
      <c r="AJ1134" t="str">
        <f t="shared" si="733"/>
        <v>Porcentaje II</v>
      </c>
      <c r="AK1134" t="str">
        <f t="shared" si="734"/>
        <v>Foto</v>
      </c>
      <c r="AL1134" t="str">
        <f t="shared" si="751"/>
        <v xml:space="preserve"> </v>
      </c>
      <c r="AM1134" t="str">
        <f t="shared" si="744"/>
        <v xml:space="preserve"> </v>
      </c>
    </row>
    <row r="1135" spans="1:39" x14ac:dyDescent="0.25">
      <c r="A1135" t="str">
        <f>"BI201 20"</f>
        <v>BI201 20</v>
      </c>
      <c r="B1135" t="str">
        <f>"COJINETES BIELA 0,50 FORD TAUNUS 2.0 2.3"</f>
        <v>COJINETES BIELA 0,50 FORD TAUNUS 2.0 2.3</v>
      </c>
      <c r="C1135" t="str">
        <f>"$ 16124,16"</f>
        <v>$ 16124,16</v>
      </c>
      <c r="D1135" t="str">
        <f>"$ 16124,16"</f>
        <v>$ 16124,16</v>
      </c>
      <c r="E1135" t="str">
        <f>"$ 16124,16"</f>
        <v>$ 16124,16</v>
      </c>
      <c r="F1135" t="str">
        <f>"$ 16124,16"</f>
        <v>$ 16124,16</v>
      </c>
      <c r="G1135" t="str">
        <f>"$ 16124,16"</f>
        <v>$ 16124,16</v>
      </c>
      <c r="H1135" t="str">
        <f t="shared" si="717"/>
        <v>$ 0,00</v>
      </c>
      <c r="I1135" t="str">
        <f t="shared" si="713"/>
        <v>JUEGO COJINETES BIELA</v>
      </c>
      <c r="J1135" t="str">
        <f t="shared" si="718"/>
        <v>1</v>
      </c>
      <c r="K1135" t="str">
        <f t="shared" si="741"/>
        <v>0</v>
      </c>
      <c r="L1135" t="str">
        <f>"2,000"</f>
        <v>2,000</v>
      </c>
      <c r="M1135" t="str">
        <f t="shared" si="719"/>
        <v xml:space="preserve"> </v>
      </c>
      <c r="N1135" t="str">
        <f t="shared" si="748"/>
        <v>MPSI</v>
      </c>
      <c r="O1135" t="str">
        <f t="shared" si="749"/>
        <v>COJINETES</v>
      </c>
      <c r="P1135" t="str">
        <f t="shared" si="745"/>
        <v>0</v>
      </c>
      <c r="Q1135" t="str">
        <f t="shared" si="745"/>
        <v>0</v>
      </c>
      <c r="R1135" t="str">
        <f t="shared" si="746"/>
        <v>0,00</v>
      </c>
      <c r="S1135" t="str">
        <f t="shared" si="746"/>
        <v>0,00</v>
      </c>
      <c r="T1135" t="str">
        <f t="shared" si="740"/>
        <v xml:space="preserve"> </v>
      </c>
      <c r="U1135" t="str">
        <f t="shared" si="750"/>
        <v>-</v>
      </c>
      <c r="V1135" t="str">
        <f>"2,000"</f>
        <v>2,000</v>
      </c>
      <c r="W1135" t="str">
        <f t="shared" si="720"/>
        <v>Lista 4</v>
      </c>
      <c r="X1135" t="str">
        <f t="shared" si="721"/>
        <v>Lista 5</v>
      </c>
      <c r="Y1135" t="str">
        <f t="shared" si="722"/>
        <v>Oferta Gral.</v>
      </c>
      <c r="Z1135" t="str">
        <f t="shared" si="723"/>
        <v>Rubro</v>
      </c>
      <c r="AA1135" t="str">
        <f t="shared" si="724"/>
        <v>Cantidad por Bulto</v>
      </c>
      <c r="AB1135" t="str">
        <f t="shared" si="725"/>
        <v>INNER</v>
      </c>
      <c r="AC1135" t="str">
        <f t="shared" si="726"/>
        <v>Stock en Bultos</v>
      </c>
      <c r="AD1135" t="str">
        <f t="shared" si="727"/>
        <v>SubDepósito</v>
      </c>
      <c r="AE1135" t="str">
        <f t="shared" si="728"/>
        <v>Marca</v>
      </c>
      <c r="AF1135" t="str">
        <f t="shared" si="729"/>
        <v>Super Rubro</v>
      </c>
      <c r="AG1135" t="str">
        <f t="shared" si="730"/>
        <v>ComercioExterior</v>
      </c>
      <c r="AH1135" t="str">
        <f t="shared" si="731"/>
        <v>PrecioFOB</v>
      </c>
      <c r="AI1135" t="str">
        <f t="shared" si="732"/>
        <v>Monto II</v>
      </c>
      <c r="AJ1135" t="str">
        <f t="shared" si="733"/>
        <v>Porcentaje II</v>
      </c>
      <c r="AK1135" t="str">
        <f t="shared" si="734"/>
        <v>Foto</v>
      </c>
      <c r="AL1135" t="str">
        <f t="shared" si="751"/>
        <v xml:space="preserve"> </v>
      </c>
      <c r="AM1135" t="str">
        <f t="shared" si="744"/>
        <v xml:space="preserve"> </v>
      </c>
    </row>
    <row r="1136" spans="1:39" x14ac:dyDescent="0.25">
      <c r="A1136" t="str">
        <f>"BI774 20"</f>
        <v>BI774 20</v>
      </c>
      <c r="B1136" t="str">
        <f>"COJINETES BIELA 0,50 FORD TRANSIT 2,5 DIESEL 2401E"</f>
        <v>COJINETES BIELA 0,50 FORD TRANSIT 2,5 DIESEL 2401E</v>
      </c>
      <c r="C1136" t="str">
        <f>"$ 22751,89"</f>
        <v>$ 22751,89</v>
      </c>
      <c r="D1136" t="str">
        <f>"$ 22751,89"</f>
        <v>$ 22751,89</v>
      </c>
      <c r="E1136" t="str">
        <f>"$ 22751,89"</f>
        <v>$ 22751,89</v>
      </c>
      <c r="F1136" t="str">
        <f>"$ 22751,89"</f>
        <v>$ 22751,89</v>
      </c>
      <c r="G1136" t="str">
        <f>"$ 22751,89"</f>
        <v>$ 22751,89</v>
      </c>
      <c r="H1136" t="str">
        <f t="shared" si="717"/>
        <v>$ 0,00</v>
      </c>
      <c r="I1136" t="str">
        <f t="shared" si="713"/>
        <v>JUEGO COJINETES BIELA</v>
      </c>
      <c r="J1136" t="str">
        <f t="shared" si="718"/>
        <v>1</v>
      </c>
      <c r="K1136" t="str">
        <f t="shared" si="741"/>
        <v>0</v>
      </c>
      <c r="L1136" t="str">
        <f>"2,000"</f>
        <v>2,000</v>
      </c>
      <c r="M1136" t="str">
        <f t="shared" si="719"/>
        <v xml:space="preserve"> </v>
      </c>
      <c r="N1136" t="str">
        <f t="shared" si="748"/>
        <v>MPSI</v>
      </c>
      <c r="O1136" t="str">
        <f t="shared" si="749"/>
        <v>COJINETES</v>
      </c>
      <c r="P1136" t="str">
        <f t="shared" si="745"/>
        <v>0</v>
      </c>
      <c r="Q1136" t="str">
        <f t="shared" si="745"/>
        <v>0</v>
      </c>
      <c r="R1136" t="str">
        <f t="shared" si="746"/>
        <v>0,00</v>
      </c>
      <c r="S1136" t="str">
        <f t="shared" si="746"/>
        <v>0,00</v>
      </c>
      <c r="T1136" t="str">
        <f t="shared" si="740"/>
        <v xml:space="preserve"> </v>
      </c>
      <c r="U1136" t="str">
        <f t="shared" si="750"/>
        <v>-</v>
      </c>
      <c r="V1136" t="str">
        <f>"2,000"</f>
        <v>2,000</v>
      </c>
      <c r="W1136" t="str">
        <f t="shared" si="720"/>
        <v>Lista 4</v>
      </c>
      <c r="X1136" t="str">
        <f t="shared" si="721"/>
        <v>Lista 5</v>
      </c>
      <c r="Y1136" t="str">
        <f t="shared" si="722"/>
        <v>Oferta Gral.</v>
      </c>
      <c r="Z1136" t="str">
        <f t="shared" si="723"/>
        <v>Rubro</v>
      </c>
      <c r="AA1136" t="str">
        <f t="shared" si="724"/>
        <v>Cantidad por Bulto</v>
      </c>
      <c r="AB1136" t="str">
        <f t="shared" si="725"/>
        <v>INNER</v>
      </c>
      <c r="AC1136" t="str">
        <f t="shared" si="726"/>
        <v>Stock en Bultos</v>
      </c>
      <c r="AD1136" t="str">
        <f t="shared" si="727"/>
        <v>SubDepósito</v>
      </c>
      <c r="AE1136" t="str">
        <f t="shared" si="728"/>
        <v>Marca</v>
      </c>
      <c r="AF1136" t="str">
        <f t="shared" si="729"/>
        <v>Super Rubro</v>
      </c>
      <c r="AG1136" t="str">
        <f t="shared" si="730"/>
        <v>ComercioExterior</v>
      </c>
      <c r="AH1136" t="str">
        <f t="shared" si="731"/>
        <v>PrecioFOB</v>
      </c>
      <c r="AI1136" t="str">
        <f t="shared" si="732"/>
        <v>Monto II</v>
      </c>
      <c r="AJ1136" t="str">
        <f t="shared" si="733"/>
        <v>Porcentaje II</v>
      </c>
      <c r="AK1136" t="str">
        <f t="shared" si="734"/>
        <v>Foto</v>
      </c>
      <c r="AL1136" t="str">
        <f t="shared" si="751"/>
        <v xml:space="preserve"> </v>
      </c>
      <c r="AM1136" t="str">
        <f t="shared" si="744"/>
        <v xml:space="preserve"> </v>
      </c>
    </row>
    <row r="1137" spans="1:39" x14ac:dyDescent="0.25">
      <c r="A1137" t="str">
        <f>"BI164211 20"</f>
        <v>BI164211 20</v>
      </c>
      <c r="B1137" t="str">
        <f>"COJINETES BIELA 0,50 FORD TRANSIT 2.4 MONDEO 2.2 TDCI"</f>
        <v>COJINETES BIELA 0,50 FORD TRANSIT 2.4 MONDEO 2.2 TDCI</v>
      </c>
      <c r="C1137" t="str">
        <f>"$ 16777,04"</f>
        <v>$ 16777,04</v>
      </c>
      <c r="D1137" t="str">
        <f>"$ 16777,04"</f>
        <v>$ 16777,04</v>
      </c>
      <c r="E1137" t="str">
        <f>"$ 16777,04"</f>
        <v>$ 16777,04</v>
      </c>
      <c r="F1137" t="str">
        <f>"$ 16777,04"</f>
        <v>$ 16777,04</v>
      </c>
      <c r="G1137" t="str">
        <f>"$ 16777,04"</f>
        <v>$ 16777,04</v>
      </c>
      <c r="H1137" t="str">
        <f t="shared" si="717"/>
        <v>$ 0,00</v>
      </c>
      <c r="I1137" t="str">
        <f t="shared" si="713"/>
        <v>JUEGO COJINETES BIELA</v>
      </c>
      <c r="J1137" t="str">
        <f t="shared" si="718"/>
        <v>1</v>
      </c>
      <c r="K1137" t="str">
        <f t="shared" si="741"/>
        <v>0</v>
      </c>
      <c r="L1137" t="str">
        <f>"2,000"</f>
        <v>2,000</v>
      </c>
      <c r="M1137" t="str">
        <f t="shared" si="719"/>
        <v xml:space="preserve"> </v>
      </c>
      <c r="N1137" t="str">
        <f t="shared" si="748"/>
        <v>MPSI</v>
      </c>
      <c r="O1137" t="str">
        <f t="shared" si="749"/>
        <v>COJINETES</v>
      </c>
      <c r="P1137" t="str">
        <f t="shared" si="745"/>
        <v>0</v>
      </c>
      <c r="Q1137" t="str">
        <f t="shared" si="745"/>
        <v>0</v>
      </c>
      <c r="R1137" t="str">
        <f t="shared" si="746"/>
        <v>0,00</v>
      </c>
      <c r="S1137" t="str">
        <f t="shared" si="746"/>
        <v>0,00</v>
      </c>
      <c r="T1137" t="str">
        <f t="shared" si="740"/>
        <v xml:space="preserve"> </v>
      </c>
      <c r="U1137" t="str">
        <f t="shared" si="750"/>
        <v>-</v>
      </c>
      <c r="V1137" t="str">
        <f>"2,000"</f>
        <v>2,000</v>
      </c>
      <c r="W1137" t="str">
        <f t="shared" si="720"/>
        <v>Lista 4</v>
      </c>
      <c r="X1137" t="str">
        <f t="shared" si="721"/>
        <v>Lista 5</v>
      </c>
      <c r="Y1137" t="str">
        <f t="shared" si="722"/>
        <v>Oferta Gral.</v>
      </c>
      <c r="Z1137" t="str">
        <f t="shared" si="723"/>
        <v>Rubro</v>
      </c>
      <c r="AA1137" t="str">
        <f t="shared" si="724"/>
        <v>Cantidad por Bulto</v>
      </c>
      <c r="AB1137" t="str">
        <f t="shared" si="725"/>
        <v>INNER</v>
      </c>
      <c r="AC1137" t="str">
        <f t="shared" si="726"/>
        <v>Stock en Bultos</v>
      </c>
      <c r="AD1137" t="str">
        <f t="shared" si="727"/>
        <v>SubDepósito</v>
      </c>
      <c r="AE1137" t="str">
        <f t="shared" si="728"/>
        <v>Marca</v>
      </c>
      <c r="AF1137" t="str">
        <f t="shared" si="729"/>
        <v>Super Rubro</v>
      </c>
      <c r="AG1137" t="str">
        <f t="shared" si="730"/>
        <v>ComercioExterior</v>
      </c>
      <c r="AH1137" t="str">
        <f t="shared" si="731"/>
        <v>PrecioFOB</v>
      </c>
      <c r="AI1137" t="str">
        <f t="shared" si="732"/>
        <v>Monto II</v>
      </c>
      <c r="AJ1137" t="str">
        <f t="shared" si="733"/>
        <v>Porcentaje II</v>
      </c>
      <c r="AK1137" t="str">
        <f t="shared" si="734"/>
        <v>Foto</v>
      </c>
      <c r="AL1137" t="str">
        <f t="shared" si="751"/>
        <v xml:space="preserve"> </v>
      </c>
      <c r="AM1137" t="str">
        <f t="shared" si="744"/>
        <v xml:space="preserve"> </v>
      </c>
    </row>
    <row r="1138" spans="1:39" x14ac:dyDescent="0.25">
      <c r="A1138" t="str">
        <f>"BI538 20"</f>
        <v>BI538 20</v>
      </c>
      <c r="B1138" t="str">
        <f>"COJINETES BIELA 0,50 HONDA 1600 MOTOR D16A1 D16A6 D16Y7 D16Y8"</f>
        <v>COJINETES BIELA 0,50 HONDA 1600 MOTOR D16A1 D16A6 D16Y7 D16Y8</v>
      </c>
      <c r="C1138" t="str">
        <f>"$ 14224,88"</f>
        <v>$ 14224,88</v>
      </c>
      <c r="D1138" t="str">
        <f>"$ 14224,88"</f>
        <v>$ 14224,88</v>
      </c>
      <c r="E1138" t="str">
        <f>"$ 14224,88"</f>
        <v>$ 14224,88</v>
      </c>
      <c r="F1138" t="str">
        <f>"$ 14224,88"</f>
        <v>$ 14224,88</v>
      </c>
      <c r="G1138" t="str">
        <f>"$ 14224,88"</f>
        <v>$ 14224,88</v>
      </c>
      <c r="H1138" t="str">
        <f t="shared" si="717"/>
        <v>$ 0,00</v>
      </c>
      <c r="I1138" t="str">
        <f t="shared" si="713"/>
        <v>JUEGO COJINETES BIELA</v>
      </c>
      <c r="J1138" t="str">
        <f t="shared" si="718"/>
        <v>1</v>
      </c>
      <c r="K1138" t="str">
        <f t="shared" si="741"/>
        <v>0</v>
      </c>
      <c r="L1138" t="str">
        <f>"2,000"</f>
        <v>2,000</v>
      </c>
      <c r="M1138" t="str">
        <f t="shared" si="719"/>
        <v xml:space="preserve"> </v>
      </c>
      <c r="N1138" t="str">
        <f t="shared" si="748"/>
        <v>MPSI</v>
      </c>
      <c r="O1138" t="str">
        <f t="shared" si="749"/>
        <v>COJINETES</v>
      </c>
      <c r="P1138" t="str">
        <f t="shared" si="745"/>
        <v>0</v>
      </c>
      <c r="Q1138" t="str">
        <f t="shared" si="745"/>
        <v>0</v>
      </c>
      <c r="R1138" t="str">
        <f t="shared" si="746"/>
        <v>0,00</v>
      </c>
      <c r="S1138" t="str">
        <f t="shared" si="746"/>
        <v>0,00</v>
      </c>
      <c r="T1138" t="str">
        <f t="shared" si="740"/>
        <v xml:space="preserve"> </v>
      </c>
      <c r="U1138" t="str">
        <f t="shared" si="750"/>
        <v>-</v>
      </c>
      <c r="V1138" t="str">
        <f>"2,000"</f>
        <v>2,000</v>
      </c>
      <c r="W1138" t="str">
        <f t="shared" si="720"/>
        <v>Lista 4</v>
      </c>
      <c r="X1138" t="str">
        <f t="shared" si="721"/>
        <v>Lista 5</v>
      </c>
      <c r="Y1138" t="str">
        <f t="shared" si="722"/>
        <v>Oferta Gral.</v>
      </c>
      <c r="Z1138" t="str">
        <f t="shared" si="723"/>
        <v>Rubro</v>
      </c>
      <c r="AA1138" t="str">
        <f t="shared" si="724"/>
        <v>Cantidad por Bulto</v>
      </c>
      <c r="AB1138" t="str">
        <f t="shared" si="725"/>
        <v>INNER</v>
      </c>
      <c r="AC1138" t="str">
        <f t="shared" si="726"/>
        <v>Stock en Bultos</v>
      </c>
      <c r="AD1138" t="str">
        <f t="shared" si="727"/>
        <v>SubDepósito</v>
      </c>
      <c r="AE1138" t="str">
        <f t="shared" si="728"/>
        <v>Marca</v>
      </c>
      <c r="AF1138" t="str">
        <f t="shared" si="729"/>
        <v>Super Rubro</v>
      </c>
      <c r="AG1138" t="str">
        <f t="shared" si="730"/>
        <v>ComercioExterior</v>
      </c>
      <c r="AH1138" t="str">
        <f t="shared" si="731"/>
        <v>PrecioFOB</v>
      </c>
      <c r="AI1138" t="str">
        <f t="shared" si="732"/>
        <v>Monto II</v>
      </c>
      <c r="AJ1138" t="str">
        <f t="shared" si="733"/>
        <v>Porcentaje II</v>
      </c>
      <c r="AK1138" t="str">
        <f t="shared" si="734"/>
        <v>Foto</v>
      </c>
      <c r="AL1138" t="str">
        <f t="shared" si="751"/>
        <v xml:space="preserve"> </v>
      </c>
      <c r="AM1138" t="str">
        <f t="shared" si="744"/>
        <v xml:space="preserve"> </v>
      </c>
    </row>
    <row r="1139" spans="1:39" x14ac:dyDescent="0.25">
      <c r="A1139" t="str">
        <f>"BI235 20"</f>
        <v>BI235 20</v>
      </c>
      <c r="B1139" t="str">
        <f>"COJINETES BIELA 0,50 IKA CONTINENTAL"</f>
        <v>COJINETES BIELA 0,50 IKA CONTINENTAL</v>
      </c>
      <c r="C1139" t="str">
        <f>"$ 31694,37"</f>
        <v>$ 31694,37</v>
      </c>
      <c r="D1139" t="str">
        <f>"$ 31694,37"</f>
        <v>$ 31694,37</v>
      </c>
      <c r="E1139" t="str">
        <f>"$ 31694,37"</f>
        <v>$ 31694,37</v>
      </c>
      <c r="F1139" t="str">
        <f>"$ 31694,37"</f>
        <v>$ 31694,37</v>
      </c>
      <c r="G1139" t="str">
        <f>"$ 31694,37"</f>
        <v>$ 31694,37</v>
      </c>
      <c r="H1139" t="str">
        <f t="shared" si="717"/>
        <v>$ 0,00</v>
      </c>
      <c r="I1139" t="str">
        <f t="shared" si="713"/>
        <v>JUEGO COJINETES BIELA</v>
      </c>
      <c r="J1139" t="str">
        <f t="shared" si="718"/>
        <v>1</v>
      </c>
      <c r="K1139" t="str">
        <f t="shared" si="741"/>
        <v>0</v>
      </c>
      <c r="L1139" t="str">
        <f>"0,000"</f>
        <v>0,000</v>
      </c>
      <c r="M1139" t="str">
        <f t="shared" si="719"/>
        <v xml:space="preserve"> </v>
      </c>
      <c r="N1139" t="str">
        <f t="shared" si="748"/>
        <v>MPSI</v>
      </c>
      <c r="O1139" t="str">
        <f t="shared" si="749"/>
        <v>COJINETES</v>
      </c>
      <c r="P1139" t="str">
        <f t="shared" si="745"/>
        <v>0</v>
      </c>
      <c r="Q1139" t="str">
        <f t="shared" si="745"/>
        <v>0</v>
      </c>
      <c r="R1139" t="str">
        <f t="shared" si="746"/>
        <v>0,00</v>
      </c>
      <c r="S1139" t="str">
        <f t="shared" si="746"/>
        <v>0,00</v>
      </c>
      <c r="T1139" t="str">
        <f t="shared" si="740"/>
        <v xml:space="preserve"> </v>
      </c>
      <c r="U1139" t="str">
        <f t="shared" si="750"/>
        <v>-</v>
      </c>
      <c r="V1139" t="str">
        <f>"0,000"</f>
        <v>0,000</v>
      </c>
      <c r="W1139" t="str">
        <f t="shared" si="720"/>
        <v>Lista 4</v>
      </c>
      <c r="X1139" t="str">
        <f t="shared" si="721"/>
        <v>Lista 5</v>
      </c>
      <c r="Y1139" t="str">
        <f t="shared" si="722"/>
        <v>Oferta Gral.</v>
      </c>
      <c r="Z1139" t="str">
        <f t="shared" si="723"/>
        <v>Rubro</v>
      </c>
      <c r="AA1139" t="str">
        <f t="shared" si="724"/>
        <v>Cantidad por Bulto</v>
      </c>
      <c r="AB1139" t="str">
        <f t="shared" si="725"/>
        <v>INNER</v>
      </c>
      <c r="AC1139" t="str">
        <f t="shared" si="726"/>
        <v>Stock en Bultos</v>
      </c>
      <c r="AD1139" t="str">
        <f t="shared" si="727"/>
        <v>SubDepósito</v>
      </c>
      <c r="AE1139" t="str">
        <f t="shared" si="728"/>
        <v>Marca</v>
      </c>
      <c r="AF1139" t="str">
        <f t="shared" si="729"/>
        <v>Super Rubro</v>
      </c>
      <c r="AG1139" t="str">
        <f t="shared" si="730"/>
        <v>ComercioExterior</v>
      </c>
      <c r="AH1139" t="str">
        <f t="shared" si="731"/>
        <v>PrecioFOB</v>
      </c>
      <c r="AI1139" t="str">
        <f t="shared" si="732"/>
        <v>Monto II</v>
      </c>
      <c r="AJ1139" t="str">
        <f t="shared" si="733"/>
        <v>Porcentaje II</v>
      </c>
      <c r="AK1139" t="str">
        <f t="shared" si="734"/>
        <v>Foto</v>
      </c>
      <c r="AL1139" t="str">
        <f t="shared" si="751"/>
        <v xml:space="preserve"> </v>
      </c>
      <c r="AM1139" t="str">
        <f t="shared" si="744"/>
        <v xml:space="preserve"> </v>
      </c>
    </row>
    <row r="1140" spans="1:39" x14ac:dyDescent="0.25">
      <c r="A1140" t="str">
        <f>"BI141 20"</f>
        <v>BI141 20</v>
      </c>
      <c r="B1140" t="str">
        <f>"COJINETES BIELA 0,50 IVECO DAILY 2.5 2.8"</f>
        <v>COJINETES BIELA 0,50 IVECO DAILY 2.5 2.8</v>
      </c>
      <c r="C1140" t="str">
        <f>"$ 27697,62"</f>
        <v>$ 27697,62</v>
      </c>
      <c r="D1140" t="str">
        <f>"$ 27697,62"</f>
        <v>$ 27697,62</v>
      </c>
      <c r="E1140" t="str">
        <f>"$ 27697,62"</f>
        <v>$ 27697,62</v>
      </c>
      <c r="F1140" t="str">
        <f>"$ 27697,62"</f>
        <v>$ 27697,62</v>
      </c>
      <c r="G1140" t="str">
        <f>"$ 27697,62"</f>
        <v>$ 27697,62</v>
      </c>
      <c r="H1140" t="str">
        <f t="shared" si="717"/>
        <v>$ 0,00</v>
      </c>
      <c r="I1140" t="str">
        <f t="shared" si="713"/>
        <v>JUEGO COJINETES BIELA</v>
      </c>
      <c r="J1140" t="str">
        <f t="shared" si="718"/>
        <v>1</v>
      </c>
      <c r="K1140" t="str">
        <f t="shared" si="741"/>
        <v>0</v>
      </c>
      <c r="L1140" t="str">
        <f>"7,000"</f>
        <v>7,000</v>
      </c>
      <c r="M1140" t="str">
        <f t="shared" si="719"/>
        <v xml:space="preserve"> </v>
      </c>
      <c r="N1140" t="str">
        <f t="shared" si="748"/>
        <v>MPSI</v>
      </c>
      <c r="O1140" t="str">
        <f t="shared" si="749"/>
        <v>COJINETES</v>
      </c>
      <c r="P1140" t="str">
        <f t="shared" si="745"/>
        <v>0</v>
      </c>
      <c r="Q1140" t="str">
        <f t="shared" si="745"/>
        <v>0</v>
      </c>
      <c r="R1140" t="str">
        <f t="shared" si="746"/>
        <v>0,00</v>
      </c>
      <c r="S1140" t="str">
        <f t="shared" si="746"/>
        <v>0,00</v>
      </c>
      <c r="T1140" t="str">
        <f t="shared" si="740"/>
        <v xml:space="preserve"> </v>
      </c>
      <c r="U1140" t="str">
        <f t="shared" si="750"/>
        <v>-</v>
      </c>
      <c r="V1140" t="str">
        <f>"7,000"</f>
        <v>7,000</v>
      </c>
      <c r="W1140" t="str">
        <f t="shared" si="720"/>
        <v>Lista 4</v>
      </c>
      <c r="X1140" t="str">
        <f t="shared" si="721"/>
        <v>Lista 5</v>
      </c>
      <c r="Y1140" t="str">
        <f t="shared" si="722"/>
        <v>Oferta Gral.</v>
      </c>
      <c r="Z1140" t="str">
        <f t="shared" si="723"/>
        <v>Rubro</v>
      </c>
      <c r="AA1140" t="str">
        <f t="shared" si="724"/>
        <v>Cantidad por Bulto</v>
      </c>
      <c r="AB1140" t="str">
        <f t="shared" si="725"/>
        <v>INNER</v>
      </c>
      <c r="AC1140" t="str">
        <f t="shared" si="726"/>
        <v>Stock en Bultos</v>
      </c>
      <c r="AD1140" t="str">
        <f t="shared" si="727"/>
        <v>SubDepósito</v>
      </c>
      <c r="AE1140" t="str">
        <f t="shared" si="728"/>
        <v>Marca</v>
      </c>
      <c r="AF1140" t="str">
        <f t="shared" si="729"/>
        <v>Super Rubro</v>
      </c>
      <c r="AG1140" t="str">
        <f t="shared" si="730"/>
        <v>ComercioExterior</v>
      </c>
      <c r="AH1140" t="str">
        <f t="shared" si="731"/>
        <v>PrecioFOB</v>
      </c>
      <c r="AI1140" t="str">
        <f t="shared" si="732"/>
        <v>Monto II</v>
      </c>
      <c r="AJ1140" t="str">
        <f t="shared" si="733"/>
        <v>Porcentaje II</v>
      </c>
      <c r="AK1140" t="str">
        <f t="shared" si="734"/>
        <v>Foto</v>
      </c>
      <c r="AL1140" t="str">
        <f t="shared" si="751"/>
        <v xml:space="preserve"> </v>
      </c>
      <c r="AM1140" t="str">
        <f t="shared" si="744"/>
        <v xml:space="preserve"> </v>
      </c>
    </row>
    <row r="1141" spans="1:39" x14ac:dyDescent="0.25">
      <c r="A1141" t="str">
        <f>"BI844 20"</f>
        <v>BI844 20</v>
      </c>
      <c r="B1141" t="str">
        <f>"COJINETES BIELA 0,50 MAXION 2.5 SPRINTER FORD F100 CHEVROLET S10"</f>
        <v>COJINETES BIELA 0,50 MAXION 2.5 SPRINTER FORD F100 CHEVROLET S10</v>
      </c>
      <c r="C1141" t="str">
        <f>"$ 25664,92"</f>
        <v>$ 25664,92</v>
      </c>
      <c r="D1141" t="str">
        <f>"$ 25664,92"</f>
        <v>$ 25664,92</v>
      </c>
      <c r="E1141" t="str">
        <f>"$ 25664,92"</f>
        <v>$ 25664,92</v>
      </c>
      <c r="F1141" t="str">
        <f>"$ 25664,92"</f>
        <v>$ 25664,92</v>
      </c>
      <c r="G1141" t="str">
        <f>"$ 25664,92"</f>
        <v>$ 25664,92</v>
      </c>
      <c r="H1141" t="str">
        <f t="shared" si="717"/>
        <v>$ 0,00</v>
      </c>
      <c r="I1141" t="str">
        <f t="shared" si="713"/>
        <v>JUEGO COJINETES BIELA</v>
      </c>
      <c r="J1141" t="str">
        <f t="shared" si="718"/>
        <v>1</v>
      </c>
      <c r="K1141" t="str">
        <f t="shared" si="741"/>
        <v>0</v>
      </c>
      <c r="L1141" t="str">
        <f>"11,000"</f>
        <v>11,000</v>
      </c>
      <c r="M1141" t="str">
        <f t="shared" si="719"/>
        <v xml:space="preserve"> </v>
      </c>
      <c r="N1141" t="str">
        <f t="shared" si="748"/>
        <v>MPSI</v>
      </c>
      <c r="O1141" t="str">
        <f t="shared" si="749"/>
        <v>COJINETES</v>
      </c>
      <c r="P1141" t="str">
        <f t="shared" si="745"/>
        <v>0</v>
      </c>
      <c r="Q1141" t="str">
        <f t="shared" si="745"/>
        <v>0</v>
      </c>
      <c r="R1141" t="str">
        <f t="shared" si="746"/>
        <v>0,00</v>
      </c>
      <c r="S1141" t="str">
        <f t="shared" si="746"/>
        <v>0,00</v>
      </c>
      <c r="T1141" t="str">
        <f t="shared" si="740"/>
        <v xml:space="preserve"> </v>
      </c>
      <c r="U1141" t="str">
        <f t="shared" si="750"/>
        <v>-</v>
      </c>
      <c r="V1141" t="str">
        <f>"11,000"</f>
        <v>11,000</v>
      </c>
      <c r="W1141" t="str">
        <f t="shared" si="720"/>
        <v>Lista 4</v>
      </c>
      <c r="X1141" t="str">
        <f t="shared" si="721"/>
        <v>Lista 5</v>
      </c>
      <c r="Y1141" t="str">
        <f t="shared" si="722"/>
        <v>Oferta Gral.</v>
      </c>
      <c r="Z1141" t="str">
        <f t="shared" si="723"/>
        <v>Rubro</v>
      </c>
      <c r="AA1141" t="str">
        <f t="shared" si="724"/>
        <v>Cantidad por Bulto</v>
      </c>
      <c r="AB1141" t="str">
        <f t="shared" si="725"/>
        <v>INNER</v>
      </c>
      <c r="AC1141" t="str">
        <f t="shared" si="726"/>
        <v>Stock en Bultos</v>
      </c>
      <c r="AD1141" t="str">
        <f t="shared" si="727"/>
        <v>SubDepósito</v>
      </c>
      <c r="AE1141" t="str">
        <f t="shared" si="728"/>
        <v>Marca</v>
      </c>
      <c r="AF1141" t="str">
        <f t="shared" si="729"/>
        <v>Super Rubro</v>
      </c>
      <c r="AG1141" t="str">
        <f t="shared" si="730"/>
        <v>ComercioExterior</v>
      </c>
      <c r="AH1141" t="str">
        <f t="shared" si="731"/>
        <v>PrecioFOB</v>
      </c>
      <c r="AI1141" t="str">
        <f t="shared" si="732"/>
        <v>Monto II</v>
      </c>
      <c r="AJ1141" t="str">
        <f t="shared" si="733"/>
        <v>Porcentaje II</v>
      </c>
      <c r="AK1141" t="str">
        <f t="shared" si="734"/>
        <v>Foto</v>
      </c>
      <c r="AL1141" t="str">
        <f t="shared" si="751"/>
        <v xml:space="preserve"> </v>
      </c>
      <c r="AM1141" t="str">
        <f t="shared" si="744"/>
        <v xml:space="preserve"> </v>
      </c>
    </row>
    <row r="1142" spans="1:39" x14ac:dyDescent="0.25">
      <c r="A1142" t="str">
        <f>"BI556 20"</f>
        <v>BI556 20</v>
      </c>
      <c r="B1142" t="str">
        <f>"COJINETES BIELA 0,50 MERCEDES SPRINTER OM611"</f>
        <v>COJINETES BIELA 0,50 MERCEDES SPRINTER OM611</v>
      </c>
      <c r="C1142" t="str">
        <f>"$ 24492,90"</f>
        <v>$ 24492,90</v>
      </c>
      <c r="D1142" t="str">
        <f>"$ 24492,90"</f>
        <v>$ 24492,90</v>
      </c>
      <c r="E1142" t="str">
        <f>"$ 24492,90"</f>
        <v>$ 24492,90</v>
      </c>
      <c r="F1142" t="str">
        <f>"$ 24492,90"</f>
        <v>$ 24492,90</v>
      </c>
      <c r="G1142" t="str">
        <f>"$ 24492,90"</f>
        <v>$ 24492,90</v>
      </c>
      <c r="H1142" t="str">
        <f t="shared" si="717"/>
        <v>$ 0,00</v>
      </c>
      <c r="I1142" t="str">
        <f t="shared" si="713"/>
        <v>JUEGO COJINETES BIELA</v>
      </c>
      <c r="J1142" t="str">
        <f t="shared" si="718"/>
        <v>1</v>
      </c>
      <c r="K1142" t="str">
        <f t="shared" si="741"/>
        <v>0</v>
      </c>
      <c r="L1142" t="str">
        <f>"4,000"</f>
        <v>4,000</v>
      </c>
      <c r="M1142" t="str">
        <f t="shared" si="719"/>
        <v xml:space="preserve"> </v>
      </c>
      <c r="N1142" t="str">
        <f t="shared" si="748"/>
        <v>MPSI</v>
      </c>
      <c r="O1142" t="str">
        <f t="shared" si="749"/>
        <v>COJINETES</v>
      </c>
      <c r="P1142" t="str">
        <f t="shared" si="745"/>
        <v>0</v>
      </c>
      <c r="Q1142" t="str">
        <f t="shared" si="745"/>
        <v>0</v>
      </c>
      <c r="R1142" t="str">
        <f t="shared" si="746"/>
        <v>0,00</v>
      </c>
      <c r="S1142" t="str">
        <f t="shared" si="746"/>
        <v>0,00</v>
      </c>
      <c r="T1142" t="str">
        <f t="shared" si="740"/>
        <v xml:space="preserve"> </v>
      </c>
      <c r="U1142" t="str">
        <f t="shared" si="750"/>
        <v>-</v>
      </c>
      <c r="V1142" t="str">
        <f>"4,000"</f>
        <v>4,000</v>
      </c>
      <c r="W1142" t="str">
        <f t="shared" si="720"/>
        <v>Lista 4</v>
      </c>
      <c r="X1142" t="str">
        <f t="shared" si="721"/>
        <v>Lista 5</v>
      </c>
      <c r="Y1142" t="str">
        <f t="shared" si="722"/>
        <v>Oferta Gral.</v>
      </c>
      <c r="Z1142" t="str">
        <f t="shared" si="723"/>
        <v>Rubro</v>
      </c>
      <c r="AA1142" t="str">
        <f t="shared" si="724"/>
        <v>Cantidad por Bulto</v>
      </c>
      <c r="AB1142" t="str">
        <f t="shared" si="725"/>
        <v>INNER</v>
      </c>
      <c r="AC1142" t="str">
        <f t="shared" si="726"/>
        <v>Stock en Bultos</v>
      </c>
      <c r="AD1142" t="str">
        <f t="shared" si="727"/>
        <v>SubDepósito</v>
      </c>
      <c r="AE1142" t="str">
        <f t="shared" si="728"/>
        <v>Marca</v>
      </c>
      <c r="AF1142" t="str">
        <f t="shared" si="729"/>
        <v>Super Rubro</v>
      </c>
      <c r="AG1142" t="str">
        <f t="shared" si="730"/>
        <v>ComercioExterior</v>
      </c>
      <c r="AH1142" t="str">
        <f t="shared" si="731"/>
        <v>PrecioFOB</v>
      </c>
      <c r="AI1142" t="str">
        <f t="shared" si="732"/>
        <v>Monto II</v>
      </c>
      <c r="AJ1142" t="str">
        <f t="shared" si="733"/>
        <v>Porcentaje II</v>
      </c>
      <c r="AK1142" t="str">
        <f t="shared" si="734"/>
        <v>Foto</v>
      </c>
      <c r="AL1142" t="str">
        <f t="shared" si="751"/>
        <v xml:space="preserve"> </v>
      </c>
      <c r="AM1142" t="str">
        <f t="shared" si="744"/>
        <v xml:space="preserve"> </v>
      </c>
    </row>
    <row r="1143" spans="1:39" x14ac:dyDescent="0.25">
      <c r="A1143" t="str">
        <f>"BI388 20"</f>
        <v>BI388 20</v>
      </c>
      <c r="B1143" t="str">
        <f>"COJINETES BIELA 0,50 PERKINS 6-305"</f>
        <v>COJINETES BIELA 0,50 PERKINS 6-305</v>
      </c>
      <c r="C1143" t="str">
        <f>"$ 28656,13"</f>
        <v>$ 28656,13</v>
      </c>
      <c r="D1143" t="str">
        <f>"$ 28656,13"</f>
        <v>$ 28656,13</v>
      </c>
      <c r="E1143" t="str">
        <f>"$ 28656,13"</f>
        <v>$ 28656,13</v>
      </c>
      <c r="F1143" t="str">
        <f>"$ 28656,13"</f>
        <v>$ 28656,13</v>
      </c>
      <c r="G1143" t="str">
        <f>"$ 28656,13"</f>
        <v>$ 28656,13</v>
      </c>
      <c r="H1143" t="str">
        <f t="shared" si="717"/>
        <v>$ 0,00</v>
      </c>
      <c r="I1143" t="str">
        <f t="shared" si="713"/>
        <v>JUEGO COJINETES BIELA</v>
      </c>
      <c r="J1143" t="str">
        <f t="shared" si="718"/>
        <v>1</v>
      </c>
      <c r="K1143" t="str">
        <f t="shared" si="741"/>
        <v>0</v>
      </c>
      <c r="L1143" t="str">
        <f>"7,000"</f>
        <v>7,000</v>
      </c>
      <c r="M1143" t="str">
        <f t="shared" si="719"/>
        <v xml:space="preserve"> </v>
      </c>
      <c r="N1143" t="str">
        <f t="shared" si="748"/>
        <v>MPSI</v>
      </c>
      <c r="O1143" t="str">
        <f t="shared" si="749"/>
        <v>COJINETES</v>
      </c>
      <c r="P1143" t="str">
        <f t="shared" ref="P1143:Q1162" si="752">"0"</f>
        <v>0</v>
      </c>
      <c r="Q1143" t="str">
        <f t="shared" si="752"/>
        <v>0</v>
      </c>
      <c r="R1143" t="str">
        <f t="shared" ref="R1143:S1162" si="753">"0,00"</f>
        <v>0,00</v>
      </c>
      <c r="S1143" t="str">
        <f t="shared" si="753"/>
        <v>0,00</v>
      </c>
      <c r="T1143" t="str">
        <f t="shared" si="740"/>
        <v xml:space="preserve"> </v>
      </c>
      <c r="U1143" t="str">
        <f t="shared" si="750"/>
        <v>-</v>
      </c>
      <c r="V1143" t="str">
        <f>"7,000"</f>
        <v>7,000</v>
      </c>
      <c r="W1143" t="str">
        <f t="shared" si="720"/>
        <v>Lista 4</v>
      </c>
      <c r="X1143" t="str">
        <f t="shared" si="721"/>
        <v>Lista 5</v>
      </c>
      <c r="Y1143" t="str">
        <f t="shared" si="722"/>
        <v>Oferta Gral.</v>
      </c>
      <c r="Z1143" t="str">
        <f t="shared" si="723"/>
        <v>Rubro</v>
      </c>
      <c r="AA1143" t="str">
        <f t="shared" si="724"/>
        <v>Cantidad por Bulto</v>
      </c>
      <c r="AB1143" t="str">
        <f t="shared" si="725"/>
        <v>INNER</v>
      </c>
      <c r="AC1143" t="str">
        <f t="shared" si="726"/>
        <v>Stock en Bultos</v>
      </c>
      <c r="AD1143" t="str">
        <f t="shared" si="727"/>
        <v>SubDepósito</v>
      </c>
      <c r="AE1143" t="str">
        <f t="shared" si="728"/>
        <v>Marca</v>
      </c>
      <c r="AF1143" t="str">
        <f t="shared" si="729"/>
        <v>Super Rubro</v>
      </c>
      <c r="AG1143" t="str">
        <f t="shared" si="730"/>
        <v>ComercioExterior</v>
      </c>
      <c r="AH1143" t="str">
        <f t="shared" si="731"/>
        <v>PrecioFOB</v>
      </c>
      <c r="AI1143" t="str">
        <f t="shared" si="732"/>
        <v>Monto II</v>
      </c>
      <c r="AJ1143" t="str">
        <f t="shared" si="733"/>
        <v>Porcentaje II</v>
      </c>
      <c r="AK1143" t="str">
        <f t="shared" si="734"/>
        <v>Foto</v>
      </c>
      <c r="AL1143" t="str">
        <f>"{\rtf1\ansi\ansicpg1252\deff0\deflang2058{\fonttbl{\f0\fnil\fcharset0 MS Sans Serif}} \viewkind4\uc1\pard\f0\fs16 COJINETES BIELA 0,50 PERKINS 6-305\par } "</f>
        <v xml:space="preserve">{\rtf1\ansi\ansicpg1252\deff0\deflang2058{\fonttbl{\f0\fnil\fcharset0 MS Sans Serif}} \viewkind4\uc1\pard\f0\fs16 COJINETES BIELA 0,50 PERKINS 6-305\par } </v>
      </c>
      <c r="AM1143" t="str">
        <f t="shared" si="744"/>
        <v xml:space="preserve"> </v>
      </c>
    </row>
    <row r="1144" spans="1:39" x14ac:dyDescent="0.25">
      <c r="A1144" t="str">
        <f>"BI392 20"</f>
        <v>BI392 20</v>
      </c>
      <c r="B1144" t="str">
        <f>"COJINETES BIELA 0,50 PERKINS 6-354 FASE 2"</f>
        <v>COJINETES BIELA 0,50 PERKINS 6-354 FASE 2</v>
      </c>
      <c r="C1144" t="str">
        <f>"$ 32804,16"</f>
        <v>$ 32804,16</v>
      </c>
      <c r="D1144" t="str">
        <f>"$ 32804,16"</f>
        <v>$ 32804,16</v>
      </c>
      <c r="E1144" t="str">
        <f>"$ 32804,16"</f>
        <v>$ 32804,16</v>
      </c>
      <c r="F1144" t="str">
        <f>"$ 32804,16"</f>
        <v>$ 32804,16</v>
      </c>
      <c r="G1144" t="str">
        <f>"$ 32804,16"</f>
        <v>$ 32804,16</v>
      </c>
      <c r="H1144" t="str">
        <f t="shared" si="717"/>
        <v>$ 0,00</v>
      </c>
      <c r="I1144" t="str">
        <f t="shared" ref="I1144:I1207" si="754">"JUEGO COJINETES BIELA"</f>
        <v>JUEGO COJINETES BIELA</v>
      </c>
      <c r="J1144" t="str">
        <f t="shared" si="718"/>
        <v>1</v>
      </c>
      <c r="K1144" t="str">
        <f t="shared" si="741"/>
        <v>0</v>
      </c>
      <c r="L1144" t="str">
        <f>"5,000"</f>
        <v>5,000</v>
      </c>
      <c r="M1144" t="str">
        <f t="shared" si="719"/>
        <v xml:space="preserve"> </v>
      </c>
      <c r="N1144" t="str">
        <f t="shared" si="748"/>
        <v>MPSI</v>
      </c>
      <c r="O1144" t="str">
        <f t="shared" si="749"/>
        <v>COJINETES</v>
      </c>
      <c r="P1144" t="str">
        <f t="shared" si="752"/>
        <v>0</v>
      </c>
      <c r="Q1144" t="str">
        <f t="shared" si="752"/>
        <v>0</v>
      </c>
      <c r="R1144" t="str">
        <f t="shared" si="753"/>
        <v>0,00</v>
      </c>
      <c r="S1144" t="str">
        <f t="shared" si="753"/>
        <v>0,00</v>
      </c>
      <c r="T1144" t="str">
        <f t="shared" si="740"/>
        <v xml:space="preserve"> </v>
      </c>
      <c r="U1144" t="str">
        <f t="shared" si="750"/>
        <v>-</v>
      </c>
      <c r="V1144" t="str">
        <f>"5,000"</f>
        <v>5,000</v>
      </c>
      <c r="W1144" t="str">
        <f t="shared" si="720"/>
        <v>Lista 4</v>
      </c>
      <c r="X1144" t="str">
        <f t="shared" si="721"/>
        <v>Lista 5</v>
      </c>
      <c r="Y1144" t="str">
        <f t="shared" si="722"/>
        <v>Oferta Gral.</v>
      </c>
      <c r="Z1144" t="str">
        <f t="shared" si="723"/>
        <v>Rubro</v>
      </c>
      <c r="AA1144" t="str">
        <f t="shared" si="724"/>
        <v>Cantidad por Bulto</v>
      </c>
      <c r="AB1144" t="str">
        <f t="shared" si="725"/>
        <v>INNER</v>
      </c>
      <c r="AC1144" t="str">
        <f t="shared" si="726"/>
        <v>Stock en Bultos</v>
      </c>
      <c r="AD1144" t="str">
        <f t="shared" si="727"/>
        <v>SubDepósito</v>
      </c>
      <c r="AE1144" t="str">
        <f t="shared" si="728"/>
        <v>Marca</v>
      </c>
      <c r="AF1144" t="str">
        <f t="shared" si="729"/>
        <v>Super Rubro</v>
      </c>
      <c r="AG1144" t="str">
        <f t="shared" si="730"/>
        <v>ComercioExterior</v>
      </c>
      <c r="AH1144" t="str">
        <f t="shared" si="731"/>
        <v>PrecioFOB</v>
      </c>
      <c r="AI1144" t="str">
        <f t="shared" si="732"/>
        <v>Monto II</v>
      </c>
      <c r="AJ1144" t="str">
        <f t="shared" si="733"/>
        <v>Porcentaje II</v>
      </c>
      <c r="AK1144" t="str">
        <f t="shared" si="734"/>
        <v>Foto</v>
      </c>
      <c r="AL1144" t="str">
        <f t="shared" ref="AL1144:AL1156" si="755">" "</f>
        <v xml:space="preserve"> </v>
      </c>
      <c r="AM1144" t="str">
        <f t="shared" si="744"/>
        <v xml:space="preserve"> </v>
      </c>
    </row>
    <row r="1145" spans="1:39" x14ac:dyDescent="0.25">
      <c r="A1145" t="str">
        <f>"BI677 20"</f>
        <v>BI677 20</v>
      </c>
      <c r="B1145" t="str">
        <f>"COJINETES BIELA 0,50 PEUGEOT 205 206 1.4 TU3"</f>
        <v>COJINETES BIELA 0,50 PEUGEOT 205 206 1.4 TU3</v>
      </c>
      <c r="C1145" t="str">
        <f>"$ 15293,23"</f>
        <v>$ 15293,23</v>
      </c>
      <c r="D1145" t="str">
        <f>"$ 15293,23"</f>
        <v>$ 15293,23</v>
      </c>
      <c r="E1145" t="str">
        <f>"$ 15293,23"</f>
        <v>$ 15293,23</v>
      </c>
      <c r="F1145" t="str">
        <f>"$ 15293,23"</f>
        <v>$ 15293,23</v>
      </c>
      <c r="G1145" t="str">
        <f>"$ 15293,23"</f>
        <v>$ 15293,23</v>
      </c>
      <c r="H1145" t="str">
        <f t="shared" si="717"/>
        <v>$ 0,00</v>
      </c>
      <c r="I1145" t="str">
        <f t="shared" si="754"/>
        <v>JUEGO COJINETES BIELA</v>
      </c>
      <c r="J1145" t="str">
        <f t="shared" si="718"/>
        <v>1</v>
      </c>
      <c r="K1145" t="str">
        <f t="shared" si="741"/>
        <v>0</v>
      </c>
      <c r="L1145" t="str">
        <f>"9,000"</f>
        <v>9,000</v>
      </c>
      <c r="M1145" t="str">
        <f t="shared" si="719"/>
        <v xml:space="preserve"> </v>
      </c>
      <c r="N1145" t="str">
        <f t="shared" si="748"/>
        <v>MPSI</v>
      </c>
      <c r="O1145" t="str">
        <f t="shared" si="749"/>
        <v>COJINETES</v>
      </c>
      <c r="P1145" t="str">
        <f t="shared" si="752"/>
        <v>0</v>
      </c>
      <c r="Q1145" t="str">
        <f t="shared" si="752"/>
        <v>0</v>
      </c>
      <c r="R1145" t="str">
        <f t="shared" si="753"/>
        <v>0,00</v>
      </c>
      <c r="S1145" t="str">
        <f t="shared" si="753"/>
        <v>0,00</v>
      </c>
      <c r="T1145" t="str">
        <f t="shared" si="740"/>
        <v xml:space="preserve"> </v>
      </c>
      <c r="U1145" t="str">
        <f t="shared" si="750"/>
        <v>-</v>
      </c>
      <c r="V1145" t="str">
        <f>"9,000"</f>
        <v>9,000</v>
      </c>
      <c r="W1145" t="str">
        <f t="shared" si="720"/>
        <v>Lista 4</v>
      </c>
      <c r="X1145" t="str">
        <f t="shared" si="721"/>
        <v>Lista 5</v>
      </c>
      <c r="Y1145" t="str">
        <f t="shared" si="722"/>
        <v>Oferta Gral.</v>
      </c>
      <c r="Z1145" t="str">
        <f t="shared" si="723"/>
        <v>Rubro</v>
      </c>
      <c r="AA1145" t="str">
        <f t="shared" si="724"/>
        <v>Cantidad por Bulto</v>
      </c>
      <c r="AB1145" t="str">
        <f t="shared" si="725"/>
        <v>INNER</v>
      </c>
      <c r="AC1145" t="str">
        <f t="shared" si="726"/>
        <v>Stock en Bultos</v>
      </c>
      <c r="AD1145" t="str">
        <f t="shared" si="727"/>
        <v>SubDepósito</v>
      </c>
      <c r="AE1145" t="str">
        <f t="shared" si="728"/>
        <v>Marca</v>
      </c>
      <c r="AF1145" t="str">
        <f t="shared" si="729"/>
        <v>Super Rubro</v>
      </c>
      <c r="AG1145" t="str">
        <f t="shared" si="730"/>
        <v>ComercioExterior</v>
      </c>
      <c r="AH1145" t="str">
        <f t="shared" si="731"/>
        <v>PrecioFOB</v>
      </c>
      <c r="AI1145" t="str">
        <f t="shared" si="732"/>
        <v>Monto II</v>
      </c>
      <c r="AJ1145" t="str">
        <f t="shared" si="733"/>
        <v>Porcentaje II</v>
      </c>
      <c r="AK1145" t="str">
        <f t="shared" si="734"/>
        <v>Foto</v>
      </c>
      <c r="AL1145" t="str">
        <f t="shared" si="755"/>
        <v xml:space="preserve"> </v>
      </c>
      <c r="AM1145" t="str">
        <f t="shared" si="744"/>
        <v xml:space="preserve"> </v>
      </c>
    </row>
    <row r="1146" spans="1:39" x14ac:dyDescent="0.25">
      <c r="A1146" t="str">
        <f>"BI422 20"</f>
        <v>BI422 20</v>
      </c>
      <c r="B1146" t="str">
        <f>"COJINETES BIELA 0,50 PEUGEOT 306 1.9 TURBO DIESEL XUD9T"</f>
        <v>COJINETES BIELA 0,50 PEUGEOT 306 1.9 TURBO DIESEL XUD9T</v>
      </c>
      <c r="C1146" t="str">
        <f>"$ 25442,55"</f>
        <v>$ 25442,55</v>
      </c>
      <c r="D1146" t="str">
        <f>"$ 25442,55"</f>
        <v>$ 25442,55</v>
      </c>
      <c r="E1146" t="str">
        <f>"$ 25442,55"</f>
        <v>$ 25442,55</v>
      </c>
      <c r="F1146" t="str">
        <f>"$ 25442,55"</f>
        <v>$ 25442,55</v>
      </c>
      <c r="G1146" t="str">
        <f>"$ 25442,55"</f>
        <v>$ 25442,55</v>
      </c>
      <c r="H1146" t="str">
        <f t="shared" si="717"/>
        <v>$ 0,00</v>
      </c>
      <c r="I1146" t="str">
        <f t="shared" si="754"/>
        <v>JUEGO COJINETES BIELA</v>
      </c>
      <c r="J1146" t="str">
        <f t="shared" si="718"/>
        <v>1</v>
      </c>
      <c r="K1146" t="str">
        <f t="shared" si="741"/>
        <v>0</v>
      </c>
      <c r="L1146" t="str">
        <f>"3,000"</f>
        <v>3,000</v>
      </c>
      <c r="M1146" t="str">
        <f t="shared" si="719"/>
        <v xml:space="preserve"> </v>
      </c>
      <c r="N1146" t="str">
        <f t="shared" si="748"/>
        <v>MPSI</v>
      </c>
      <c r="O1146" t="str">
        <f t="shared" si="749"/>
        <v>COJINETES</v>
      </c>
      <c r="P1146" t="str">
        <f t="shared" si="752"/>
        <v>0</v>
      </c>
      <c r="Q1146" t="str">
        <f t="shared" si="752"/>
        <v>0</v>
      </c>
      <c r="R1146" t="str">
        <f t="shared" si="753"/>
        <v>0,00</v>
      </c>
      <c r="S1146" t="str">
        <f t="shared" si="753"/>
        <v>0,00</v>
      </c>
      <c r="T1146" t="str">
        <f t="shared" si="740"/>
        <v xml:space="preserve"> </v>
      </c>
      <c r="U1146" t="str">
        <f t="shared" si="750"/>
        <v>-</v>
      </c>
      <c r="V1146" t="str">
        <f>"3,000"</f>
        <v>3,000</v>
      </c>
      <c r="W1146" t="str">
        <f t="shared" si="720"/>
        <v>Lista 4</v>
      </c>
      <c r="X1146" t="str">
        <f t="shared" si="721"/>
        <v>Lista 5</v>
      </c>
      <c r="Y1146" t="str">
        <f t="shared" si="722"/>
        <v>Oferta Gral.</v>
      </c>
      <c r="Z1146" t="str">
        <f t="shared" si="723"/>
        <v>Rubro</v>
      </c>
      <c r="AA1146" t="str">
        <f t="shared" si="724"/>
        <v>Cantidad por Bulto</v>
      </c>
      <c r="AB1146" t="str">
        <f t="shared" si="725"/>
        <v>INNER</v>
      </c>
      <c r="AC1146" t="str">
        <f t="shared" si="726"/>
        <v>Stock en Bultos</v>
      </c>
      <c r="AD1146" t="str">
        <f t="shared" si="727"/>
        <v>SubDepósito</v>
      </c>
      <c r="AE1146" t="str">
        <f t="shared" si="728"/>
        <v>Marca</v>
      </c>
      <c r="AF1146" t="str">
        <f t="shared" si="729"/>
        <v>Super Rubro</v>
      </c>
      <c r="AG1146" t="str">
        <f t="shared" si="730"/>
        <v>ComercioExterior</v>
      </c>
      <c r="AH1146" t="str">
        <f t="shared" si="731"/>
        <v>PrecioFOB</v>
      </c>
      <c r="AI1146" t="str">
        <f t="shared" si="732"/>
        <v>Monto II</v>
      </c>
      <c r="AJ1146" t="str">
        <f t="shared" si="733"/>
        <v>Porcentaje II</v>
      </c>
      <c r="AK1146" t="str">
        <f t="shared" si="734"/>
        <v>Foto</v>
      </c>
      <c r="AL1146" t="str">
        <f t="shared" si="755"/>
        <v xml:space="preserve"> </v>
      </c>
      <c r="AM1146" t="str">
        <f t="shared" si="744"/>
        <v xml:space="preserve"> </v>
      </c>
    </row>
    <row r="1147" spans="1:39" x14ac:dyDescent="0.25">
      <c r="A1147" t="str">
        <f>"BI734 20"</f>
        <v>BI734 20</v>
      </c>
      <c r="B1147" t="str">
        <f>"COJINETES BIELA 0,50 PEUGEOT 306 405 PARTNER 1.9D MOTOR XUD9"</f>
        <v>COJINETES BIELA 0,50 PEUGEOT 306 405 PARTNER 1.9D MOTOR XUD9</v>
      </c>
      <c r="C1147" t="str">
        <f>"$ 13584,39"</f>
        <v>$ 13584,39</v>
      </c>
      <c r="D1147" t="str">
        <f>"$ 13584,39"</f>
        <v>$ 13584,39</v>
      </c>
      <c r="E1147" t="str">
        <f>"$ 13584,39"</f>
        <v>$ 13584,39</v>
      </c>
      <c r="F1147" t="str">
        <f>"$ 13584,39"</f>
        <v>$ 13584,39</v>
      </c>
      <c r="G1147" t="str">
        <f>"$ 13584,39"</f>
        <v>$ 13584,39</v>
      </c>
      <c r="H1147" t="str">
        <f t="shared" si="717"/>
        <v>$ 0,00</v>
      </c>
      <c r="I1147" t="str">
        <f t="shared" si="754"/>
        <v>JUEGO COJINETES BIELA</v>
      </c>
      <c r="J1147" t="str">
        <f t="shared" si="718"/>
        <v>1</v>
      </c>
      <c r="K1147" t="str">
        <f t="shared" si="741"/>
        <v>0</v>
      </c>
      <c r="L1147" t="str">
        <f>"14,000"</f>
        <v>14,000</v>
      </c>
      <c r="M1147" t="str">
        <f t="shared" si="719"/>
        <v xml:space="preserve"> </v>
      </c>
      <c r="N1147" t="str">
        <f t="shared" si="748"/>
        <v>MPSI</v>
      </c>
      <c r="O1147" t="str">
        <f t="shared" si="749"/>
        <v>COJINETES</v>
      </c>
      <c r="P1147" t="str">
        <f t="shared" si="752"/>
        <v>0</v>
      </c>
      <c r="Q1147" t="str">
        <f t="shared" si="752"/>
        <v>0</v>
      </c>
      <c r="R1147" t="str">
        <f t="shared" si="753"/>
        <v>0,00</v>
      </c>
      <c r="S1147" t="str">
        <f t="shared" si="753"/>
        <v>0,00</v>
      </c>
      <c r="T1147" t="str">
        <f t="shared" si="740"/>
        <v xml:space="preserve"> </v>
      </c>
      <c r="U1147" t="str">
        <f t="shared" si="750"/>
        <v>-</v>
      </c>
      <c r="V1147" t="str">
        <f>"14,000"</f>
        <v>14,000</v>
      </c>
      <c r="W1147" t="str">
        <f t="shared" si="720"/>
        <v>Lista 4</v>
      </c>
      <c r="X1147" t="str">
        <f t="shared" si="721"/>
        <v>Lista 5</v>
      </c>
      <c r="Y1147" t="str">
        <f t="shared" si="722"/>
        <v>Oferta Gral.</v>
      </c>
      <c r="Z1147" t="str">
        <f t="shared" si="723"/>
        <v>Rubro</v>
      </c>
      <c r="AA1147" t="str">
        <f t="shared" si="724"/>
        <v>Cantidad por Bulto</v>
      </c>
      <c r="AB1147" t="str">
        <f t="shared" si="725"/>
        <v>INNER</v>
      </c>
      <c r="AC1147" t="str">
        <f t="shared" si="726"/>
        <v>Stock en Bultos</v>
      </c>
      <c r="AD1147" t="str">
        <f t="shared" si="727"/>
        <v>SubDepósito</v>
      </c>
      <c r="AE1147" t="str">
        <f t="shared" si="728"/>
        <v>Marca</v>
      </c>
      <c r="AF1147" t="str">
        <f t="shared" si="729"/>
        <v>Super Rubro</v>
      </c>
      <c r="AG1147" t="str">
        <f t="shared" si="730"/>
        <v>ComercioExterior</v>
      </c>
      <c r="AH1147" t="str">
        <f t="shared" si="731"/>
        <v>PrecioFOB</v>
      </c>
      <c r="AI1147" t="str">
        <f t="shared" si="732"/>
        <v>Monto II</v>
      </c>
      <c r="AJ1147" t="str">
        <f t="shared" si="733"/>
        <v>Porcentaje II</v>
      </c>
      <c r="AK1147" t="str">
        <f t="shared" si="734"/>
        <v>Foto</v>
      </c>
      <c r="AL1147" t="str">
        <f t="shared" si="755"/>
        <v xml:space="preserve"> </v>
      </c>
      <c r="AM1147" t="str">
        <f t="shared" si="744"/>
        <v xml:space="preserve"> </v>
      </c>
    </row>
    <row r="1148" spans="1:39" x14ac:dyDescent="0.25">
      <c r="A1148" t="str">
        <f>"BI421 20"</f>
        <v>BI421 20</v>
      </c>
      <c r="B1148" t="str">
        <f>"COJINETES BIELA 0,50 PEUGEOT 306 406 DW10 4 TRABAS DER Y 4 IZQ"</f>
        <v>COJINETES BIELA 0,50 PEUGEOT 306 406 DW10 4 TRABAS DER Y 4 IZQ</v>
      </c>
      <c r="C1148" t="str">
        <f>"$ 25699,74"</f>
        <v>$ 25699,74</v>
      </c>
      <c r="D1148" t="str">
        <f>"$ 25699,74"</f>
        <v>$ 25699,74</v>
      </c>
      <c r="E1148" t="str">
        <f>"$ 25699,74"</f>
        <v>$ 25699,74</v>
      </c>
      <c r="F1148" t="str">
        <f>"$ 25699,74"</f>
        <v>$ 25699,74</v>
      </c>
      <c r="G1148" t="str">
        <f>"$ 25699,74"</f>
        <v>$ 25699,74</v>
      </c>
      <c r="H1148" t="str">
        <f t="shared" si="717"/>
        <v>$ 0,00</v>
      </c>
      <c r="I1148" t="str">
        <f t="shared" si="754"/>
        <v>JUEGO COJINETES BIELA</v>
      </c>
      <c r="J1148" t="str">
        <f t="shared" si="718"/>
        <v>1</v>
      </c>
      <c r="K1148" t="str">
        <f t="shared" si="741"/>
        <v>0</v>
      </c>
      <c r="L1148" t="str">
        <f>"4,000"</f>
        <v>4,000</v>
      </c>
      <c r="M1148" t="str">
        <f t="shared" si="719"/>
        <v xml:space="preserve"> </v>
      </c>
      <c r="N1148" t="str">
        <f t="shared" si="748"/>
        <v>MPSI</v>
      </c>
      <c r="O1148" t="str">
        <f t="shared" si="749"/>
        <v>COJINETES</v>
      </c>
      <c r="P1148" t="str">
        <f t="shared" si="752"/>
        <v>0</v>
      </c>
      <c r="Q1148" t="str">
        <f t="shared" si="752"/>
        <v>0</v>
      </c>
      <c r="R1148" t="str">
        <f t="shared" si="753"/>
        <v>0,00</v>
      </c>
      <c r="S1148" t="str">
        <f t="shared" si="753"/>
        <v>0,00</v>
      </c>
      <c r="T1148" t="str">
        <f t="shared" si="740"/>
        <v xml:space="preserve"> </v>
      </c>
      <c r="U1148" t="str">
        <f t="shared" si="750"/>
        <v>-</v>
      </c>
      <c r="V1148" t="str">
        <f>"4,000"</f>
        <v>4,000</v>
      </c>
      <c r="W1148" t="str">
        <f t="shared" si="720"/>
        <v>Lista 4</v>
      </c>
      <c r="X1148" t="str">
        <f t="shared" si="721"/>
        <v>Lista 5</v>
      </c>
      <c r="Y1148" t="str">
        <f t="shared" si="722"/>
        <v>Oferta Gral.</v>
      </c>
      <c r="Z1148" t="str">
        <f t="shared" si="723"/>
        <v>Rubro</v>
      </c>
      <c r="AA1148" t="str">
        <f t="shared" si="724"/>
        <v>Cantidad por Bulto</v>
      </c>
      <c r="AB1148" t="str">
        <f t="shared" si="725"/>
        <v>INNER</v>
      </c>
      <c r="AC1148" t="str">
        <f t="shared" si="726"/>
        <v>Stock en Bultos</v>
      </c>
      <c r="AD1148" t="str">
        <f t="shared" si="727"/>
        <v>SubDepósito</v>
      </c>
      <c r="AE1148" t="str">
        <f t="shared" si="728"/>
        <v>Marca</v>
      </c>
      <c r="AF1148" t="str">
        <f t="shared" si="729"/>
        <v>Super Rubro</v>
      </c>
      <c r="AG1148" t="str">
        <f t="shared" si="730"/>
        <v>ComercioExterior</v>
      </c>
      <c r="AH1148" t="str">
        <f t="shared" si="731"/>
        <v>PrecioFOB</v>
      </c>
      <c r="AI1148" t="str">
        <f t="shared" si="732"/>
        <v>Monto II</v>
      </c>
      <c r="AJ1148" t="str">
        <f t="shared" si="733"/>
        <v>Porcentaje II</v>
      </c>
      <c r="AK1148" t="str">
        <f t="shared" si="734"/>
        <v>Foto</v>
      </c>
      <c r="AL1148" t="str">
        <f t="shared" si="755"/>
        <v xml:space="preserve"> </v>
      </c>
      <c r="AM1148" t="str">
        <f t="shared" si="744"/>
        <v xml:space="preserve"> </v>
      </c>
    </row>
    <row r="1149" spans="1:39" x14ac:dyDescent="0.25">
      <c r="A1149" t="str">
        <f>"BI732 20"</f>
        <v>BI732 20</v>
      </c>
      <c r="B1149" t="str">
        <f>"COJINETES BIELA 0,50 PEUGEOT 307 406 MOTOR 2.0 EW10J4 XU7"</f>
        <v>COJINETES BIELA 0,50 PEUGEOT 307 406 MOTOR 2.0 EW10J4 XU7</v>
      </c>
      <c r="C1149" t="str">
        <f>"$ 16519,85"</f>
        <v>$ 16519,85</v>
      </c>
      <c r="D1149" t="str">
        <f>"$ 16519,85"</f>
        <v>$ 16519,85</v>
      </c>
      <c r="E1149" t="str">
        <f>"$ 16519,85"</f>
        <v>$ 16519,85</v>
      </c>
      <c r="F1149" t="str">
        <f>"$ 16519,85"</f>
        <v>$ 16519,85</v>
      </c>
      <c r="G1149" t="str">
        <f>"$ 16519,85"</f>
        <v>$ 16519,85</v>
      </c>
      <c r="H1149" t="str">
        <f t="shared" si="717"/>
        <v>$ 0,00</v>
      </c>
      <c r="I1149" t="str">
        <f t="shared" si="754"/>
        <v>JUEGO COJINETES BIELA</v>
      </c>
      <c r="J1149" t="str">
        <f t="shared" si="718"/>
        <v>1</v>
      </c>
      <c r="K1149" t="str">
        <f t="shared" si="741"/>
        <v>0</v>
      </c>
      <c r="L1149" t="str">
        <f>"4,000"</f>
        <v>4,000</v>
      </c>
      <c r="M1149" t="str">
        <f t="shared" si="719"/>
        <v xml:space="preserve"> </v>
      </c>
      <c r="N1149" t="str">
        <f t="shared" si="748"/>
        <v>MPSI</v>
      </c>
      <c r="O1149" t="str">
        <f t="shared" si="749"/>
        <v>COJINETES</v>
      </c>
      <c r="P1149" t="str">
        <f t="shared" si="752"/>
        <v>0</v>
      </c>
      <c r="Q1149" t="str">
        <f t="shared" si="752"/>
        <v>0</v>
      </c>
      <c r="R1149" t="str">
        <f t="shared" si="753"/>
        <v>0,00</v>
      </c>
      <c r="S1149" t="str">
        <f t="shared" si="753"/>
        <v>0,00</v>
      </c>
      <c r="T1149" t="str">
        <f t="shared" si="740"/>
        <v xml:space="preserve"> </v>
      </c>
      <c r="U1149" t="str">
        <f t="shared" si="750"/>
        <v>-</v>
      </c>
      <c r="V1149" t="str">
        <f>"4,000"</f>
        <v>4,000</v>
      </c>
      <c r="W1149" t="str">
        <f t="shared" si="720"/>
        <v>Lista 4</v>
      </c>
      <c r="X1149" t="str">
        <f t="shared" si="721"/>
        <v>Lista 5</v>
      </c>
      <c r="Y1149" t="str">
        <f t="shared" si="722"/>
        <v>Oferta Gral.</v>
      </c>
      <c r="Z1149" t="str">
        <f t="shared" si="723"/>
        <v>Rubro</v>
      </c>
      <c r="AA1149" t="str">
        <f t="shared" si="724"/>
        <v>Cantidad por Bulto</v>
      </c>
      <c r="AB1149" t="str">
        <f t="shared" si="725"/>
        <v>INNER</v>
      </c>
      <c r="AC1149" t="str">
        <f t="shared" si="726"/>
        <v>Stock en Bultos</v>
      </c>
      <c r="AD1149" t="str">
        <f t="shared" si="727"/>
        <v>SubDepósito</v>
      </c>
      <c r="AE1149" t="str">
        <f t="shared" si="728"/>
        <v>Marca</v>
      </c>
      <c r="AF1149" t="str">
        <f t="shared" si="729"/>
        <v>Super Rubro</v>
      </c>
      <c r="AG1149" t="str">
        <f t="shared" si="730"/>
        <v>ComercioExterior</v>
      </c>
      <c r="AH1149" t="str">
        <f t="shared" si="731"/>
        <v>PrecioFOB</v>
      </c>
      <c r="AI1149" t="str">
        <f t="shared" si="732"/>
        <v>Monto II</v>
      </c>
      <c r="AJ1149" t="str">
        <f t="shared" si="733"/>
        <v>Porcentaje II</v>
      </c>
      <c r="AK1149" t="str">
        <f t="shared" si="734"/>
        <v>Foto</v>
      </c>
      <c r="AL1149" t="str">
        <f t="shared" si="755"/>
        <v xml:space="preserve"> </v>
      </c>
      <c r="AM1149" t="str">
        <f t="shared" si="744"/>
        <v xml:space="preserve"> </v>
      </c>
    </row>
    <row r="1150" spans="1:39" x14ac:dyDescent="0.25">
      <c r="A1150" t="str">
        <f>"BI731 20"</f>
        <v>BI731 20</v>
      </c>
      <c r="B1150" t="str">
        <f>"COJINETES BIELA 0,50 PEUGEOT 307 CITROEN C4 1.6 16V TU5JP4"</f>
        <v>COJINETES BIELA 0,50 PEUGEOT 307 CITROEN C4 1.6 16V TU5JP4</v>
      </c>
      <c r="C1150" t="str">
        <f>"$ 12559,78"</f>
        <v>$ 12559,78</v>
      </c>
      <c r="D1150" t="str">
        <f>"$ 12559,78"</f>
        <v>$ 12559,78</v>
      </c>
      <c r="E1150" t="str">
        <f>"$ 12559,78"</f>
        <v>$ 12559,78</v>
      </c>
      <c r="F1150" t="str">
        <f>"$ 12559,78"</f>
        <v>$ 12559,78</v>
      </c>
      <c r="G1150" t="str">
        <f>"$ 12559,78"</f>
        <v>$ 12559,78</v>
      </c>
      <c r="H1150" t="str">
        <f t="shared" si="717"/>
        <v>$ 0,00</v>
      </c>
      <c r="I1150" t="str">
        <f t="shared" si="754"/>
        <v>JUEGO COJINETES BIELA</v>
      </c>
      <c r="J1150" t="str">
        <f t="shared" si="718"/>
        <v>1</v>
      </c>
      <c r="K1150" t="str">
        <f t="shared" si="741"/>
        <v>0</v>
      </c>
      <c r="L1150" t="str">
        <f>"9,000"</f>
        <v>9,000</v>
      </c>
      <c r="M1150" t="str">
        <f t="shared" si="719"/>
        <v xml:space="preserve"> </v>
      </c>
      <c r="N1150" t="str">
        <f t="shared" si="748"/>
        <v>MPSI</v>
      </c>
      <c r="O1150" t="str">
        <f t="shared" si="749"/>
        <v>COJINETES</v>
      </c>
      <c r="P1150" t="str">
        <f t="shared" si="752"/>
        <v>0</v>
      </c>
      <c r="Q1150" t="str">
        <f t="shared" si="752"/>
        <v>0</v>
      </c>
      <c r="R1150" t="str">
        <f t="shared" si="753"/>
        <v>0,00</v>
      </c>
      <c r="S1150" t="str">
        <f t="shared" si="753"/>
        <v>0,00</v>
      </c>
      <c r="T1150" t="str">
        <f t="shared" si="740"/>
        <v xml:space="preserve"> </v>
      </c>
      <c r="U1150" t="str">
        <f t="shared" si="750"/>
        <v>-</v>
      </c>
      <c r="V1150" t="str">
        <f>"9,000"</f>
        <v>9,000</v>
      </c>
      <c r="W1150" t="str">
        <f t="shared" si="720"/>
        <v>Lista 4</v>
      </c>
      <c r="X1150" t="str">
        <f t="shared" si="721"/>
        <v>Lista 5</v>
      </c>
      <c r="Y1150" t="str">
        <f t="shared" si="722"/>
        <v>Oferta Gral.</v>
      </c>
      <c r="Z1150" t="str">
        <f t="shared" si="723"/>
        <v>Rubro</v>
      </c>
      <c r="AA1150" t="str">
        <f t="shared" si="724"/>
        <v>Cantidad por Bulto</v>
      </c>
      <c r="AB1150" t="str">
        <f t="shared" si="725"/>
        <v>INNER</v>
      </c>
      <c r="AC1150" t="str">
        <f t="shared" si="726"/>
        <v>Stock en Bultos</v>
      </c>
      <c r="AD1150" t="str">
        <f t="shared" si="727"/>
        <v>SubDepósito</v>
      </c>
      <c r="AE1150" t="str">
        <f t="shared" si="728"/>
        <v>Marca</v>
      </c>
      <c r="AF1150" t="str">
        <f t="shared" si="729"/>
        <v>Super Rubro</v>
      </c>
      <c r="AG1150" t="str">
        <f t="shared" si="730"/>
        <v>ComercioExterior</v>
      </c>
      <c r="AH1150" t="str">
        <f t="shared" si="731"/>
        <v>PrecioFOB</v>
      </c>
      <c r="AI1150" t="str">
        <f t="shared" si="732"/>
        <v>Monto II</v>
      </c>
      <c r="AJ1150" t="str">
        <f t="shared" si="733"/>
        <v>Porcentaje II</v>
      </c>
      <c r="AK1150" t="str">
        <f t="shared" si="734"/>
        <v>Foto</v>
      </c>
      <c r="AL1150" t="str">
        <f t="shared" si="755"/>
        <v xml:space="preserve"> </v>
      </c>
      <c r="AM1150" t="str">
        <f t="shared" si="744"/>
        <v xml:space="preserve"> </v>
      </c>
    </row>
    <row r="1151" spans="1:39" x14ac:dyDescent="0.25">
      <c r="A1151" t="str">
        <f>"BI728 20"</f>
        <v>BI728 20</v>
      </c>
      <c r="B1151" t="str">
        <f>"COJINETES BIELA 0,50 PEUGEOT 307 CITROEN C4 HDI 1.6 DV6TED"</f>
        <v>COJINETES BIELA 0,50 PEUGEOT 307 CITROEN C4 HDI 1.6 DV6TED</v>
      </c>
      <c r="C1151" t="str">
        <f>"$ 24097,22"</f>
        <v>$ 24097,22</v>
      </c>
      <c r="D1151" t="str">
        <f>"$ 24097,22"</f>
        <v>$ 24097,22</v>
      </c>
      <c r="E1151" t="str">
        <f>"$ 24097,22"</f>
        <v>$ 24097,22</v>
      </c>
      <c r="F1151" t="str">
        <f>"$ 24097,22"</f>
        <v>$ 24097,22</v>
      </c>
      <c r="G1151" t="str">
        <f>"$ 24097,22"</f>
        <v>$ 24097,22</v>
      </c>
      <c r="H1151" t="str">
        <f t="shared" si="717"/>
        <v>$ 0,00</v>
      </c>
      <c r="I1151" t="str">
        <f t="shared" si="754"/>
        <v>JUEGO COJINETES BIELA</v>
      </c>
      <c r="J1151" t="str">
        <f t="shared" si="718"/>
        <v>1</v>
      </c>
      <c r="K1151" t="str">
        <f t="shared" si="741"/>
        <v>0</v>
      </c>
      <c r="L1151" t="str">
        <f>"9,000"</f>
        <v>9,000</v>
      </c>
      <c r="M1151" t="str">
        <f t="shared" si="719"/>
        <v xml:space="preserve"> </v>
      </c>
      <c r="N1151" t="str">
        <f t="shared" si="748"/>
        <v>MPSI</v>
      </c>
      <c r="O1151" t="str">
        <f t="shared" si="749"/>
        <v>COJINETES</v>
      </c>
      <c r="P1151" t="str">
        <f t="shared" si="752"/>
        <v>0</v>
      </c>
      <c r="Q1151" t="str">
        <f t="shared" si="752"/>
        <v>0</v>
      </c>
      <c r="R1151" t="str">
        <f t="shared" si="753"/>
        <v>0,00</v>
      </c>
      <c r="S1151" t="str">
        <f t="shared" si="753"/>
        <v>0,00</v>
      </c>
      <c r="T1151" t="str">
        <f t="shared" si="740"/>
        <v xml:space="preserve"> </v>
      </c>
      <c r="U1151" t="str">
        <f t="shared" si="750"/>
        <v>-</v>
      </c>
      <c r="V1151" t="str">
        <f>"9,000"</f>
        <v>9,000</v>
      </c>
      <c r="W1151" t="str">
        <f t="shared" si="720"/>
        <v>Lista 4</v>
      </c>
      <c r="X1151" t="str">
        <f t="shared" si="721"/>
        <v>Lista 5</v>
      </c>
      <c r="Y1151" t="str">
        <f t="shared" si="722"/>
        <v>Oferta Gral.</v>
      </c>
      <c r="Z1151" t="str">
        <f t="shared" si="723"/>
        <v>Rubro</v>
      </c>
      <c r="AA1151" t="str">
        <f t="shared" si="724"/>
        <v>Cantidad por Bulto</v>
      </c>
      <c r="AB1151" t="str">
        <f t="shared" si="725"/>
        <v>INNER</v>
      </c>
      <c r="AC1151" t="str">
        <f t="shared" si="726"/>
        <v>Stock en Bultos</v>
      </c>
      <c r="AD1151" t="str">
        <f t="shared" si="727"/>
        <v>SubDepósito</v>
      </c>
      <c r="AE1151" t="str">
        <f t="shared" si="728"/>
        <v>Marca</v>
      </c>
      <c r="AF1151" t="str">
        <f t="shared" si="729"/>
        <v>Super Rubro</v>
      </c>
      <c r="AG1151" t="str">
        <f t="shared" si="730"/>
        <v>ComercioExterior</v>
      </c>
      <c r="AH1151" t="str">
        <f t="shared" si="731"/>
        <v>PrecioFOB</v>
      </c>
      <c r="AI1151" t="str">
        <f t="shared" si="732"/>
        <v>Monto II</v>
      </c>
      <c r="AJ1151" t="str">
        <f t="shared" si="733"/>
        <v>Porcentaje II</v>
      </c>
      <c r="AK1151" t="str">
        <f t="shared" si="734"/>
        <v>Foto</v>
      </c>
      <c r="AL1151" t="str">
        <f t="shared" si="755"/>
        <v xml:space="preserve"> </v>
      </c>
      <c r="AM1151" t="str">
        <f t="shared" si="744"/>
        <v xml:space="preserve"> </v>
      </c>
    </row>
    <row r="1152" spans="1:39" x14ac:dyDescent="0.25">
      <c r="A1152" t="str">
        <f>"BI413 20"</f>
        <v>BI413 20</v>
      </c>
      <c r="B1152" t="str">
        <f>"COJINETES BIELA 0,50 PEUGEOT 404 504 DIESEL XD 4.88"</f>
        <v>COJINETES BIELA 0,50 PEUGEOT 404 504 DIESEL XD 4.88</v>
      </c>
      <c r="C1152" t="str">
        <f>"$ 20278,86"</f>
        <v>$ 20278,86</v>
      </c>
      <c r="D1152" t="str">
        <f>"$ 20278,86"</f>
        <v>$ 20278,86</v>
      </c>
      <c r="E1152" t="str">
        <f>"$ 20278,86"</f>
        <v>$ 20278,86</v>
      </c>
      <c r="F1152" t="str">
        <f>"$ 20278,86"</f>
        <v>$ 20278,86</v>
      </c>
      <c r="G1152" t="str">
        <f>"$ 20278,86"</f>
        <v>$ 20278,86</v>
      </c>
      <c r="H1152" t="str">
        <f t="shared" si="717"/>
        <v>$ 0,00</v>
      </c>
      <c r="I1152" t="str">
        <f t="shared" si="754"/>
        <v>JUEGO COJINETES BIELA</v>
      </c>
      <c r="J1152" t="str">
        <f t="shared" si="718"/>
        <v>1</v>
      </c>
      <c r="K1152" t="str">
        <f t="shared" si="741"/>
        <v>0</v>
      </c>
      <c r="L1152" t="str">
        <f>"3,000"</f>
        <v>3,000</v>
      </c>
      <c r="M1152" t="str">
        <f t="shared" si="719"/>
        <v xml:space="preserve"> </v>
      </c>
      <c r="N1152" t="str">
        <f t="shared" si="748"/>
        <v>MPSI</v>
      </c>
      <c r="O1152" t="str">
        <f t="shared" si="749"/>
        <v>COJINETES</v>
      </c>
      <c r="P1152" t="str">
        <f t="shared" si="752"/>
        <v>0</v>
      </c>
      <c r="Q1152" t="str">
        <f t="shared" si="752"/>
        <v>0</v>
      </c>
      <c r="R1152" t="str">
        <f t="shared" si="753"/>
        <v>0,00</v>
      </c>
      <c r="S1152" t="str">
        <f t="shared" si="753"/>
        <v>0,00</v>
      </c>
      <c r="T1152" t="str">
        <f t="shared" si="740"/>
        <v xml:space="preserve"> </v>
      </c>
      <c r="U1152" t="str">
        <f t="shared" si="750"/>
        <v>-</v>
      </c>
      <c r="V1152" t="str">
        <f>"3,000"</f>
        <v>3,000</v>
      </c>
      <c r="W1152" t="str">
        <f t="shared" si="720"/>
        <v>Lista 4</v>
      </c>
      <c r="X1152" t="str">
        <f t="shared" si="721"/>
        <v>Lista 5</v>
      </c>
      <c r="Y1152" t="str">
        <f t="shared" si="722"/>
        <v>Oferta Gral.</v>
      </c>
      <c r="Z1152" t="str">
        <f t="shared" si="723"/>
        <v>Rubro</v>
      </c>
      <c r="AA1152" t="str">
        <f t="shared" si="724"/>
        <v>Cantidad por Bulto</v>
      </c>
      <c r="AB1152" t="str">
        <f t="shared" si="725"/>
        <v>INNER</v>
      </c>
      <c r="AC1152" t="str">
        <f t="shared" si="726"/>
        <v>Stock en Bultos</v>
      </c>
      <c r="AD1152" t="str">
        <f t="shared" si="727"/>
        <v>SubDepósito</v>
      </c>
      <c r="AE1152" t="str">
        <f t="shared" si="728"/>
        <v>Marca</v>
      </c>
      <c r="AF1152" t="str">
        <f t="shared" si="729"/>
        <v>Super Rubro</v>
      </c>
      <c r="AG1152" t="str">
        <f t="shared" si="730"/>
        <v>ComercioExterior</v>
      </c>
      <c r="AH1152" t="str">
        <f t="shared" si="731"/>
        <v>PrecioFOB</v>
      </c>
      <c r="AI1152" t="str">
        <f t="shared" si="732"/>
        <v>Monto II</v>
      </c>
      <c r="AJ1152" t="str">
        <f t="shared" si="733"/>
        <v>Porcentaje II</v>
      </c>
      <c r="AK1152" t="str">
        <f t="shared" si="734"/>
        <v>Foto</v>
      </c>
      <c r="AL1152" t="str">
        <f t="shared" si="755"/>
        <v xml:space="preserve"> </v>
      </c>
      <c r="AM1152" t="str">
        <f t="shared" si="744"/>
        <v xml:space="preserve"> </v>
      </c>
    </row>
    <row r="1153" spans="1:39" x14ac:dyDescent="0.25">
      <c r="A1153" t="str">
        <f>"BI410 20"</f>
        <v>BI410 20</v>
      </c>
      <c r="B1153" t="str">
        <f>"COJINETES BIELA 0,50 PEUGEOT 404 504 NAFTA 1.6 1.8 2.0"</f>
        <v>COJINETES BIELA 0,50 PEUGEOT 404 504 NAFTA 1.6 1.8 2.0</v>
      </c>
      <c r="C1153" t="str">
        <f>"$ 14972,58"</f>
        <v>$ 14972,58</v>
      </c>
      <c r="D1153" t="str">
        <f>"$ 14972,58"</f>
        <v>$ 14972,58</v>
      </c>
      <c r="E1153" t="str">
        <f>"$ 14972,58"</f>
        <v>$ 14972,58</v>
      </c>
      <c r="F1153" t="str">
        <f>"$ 14972,58"</f>
        <v>$ 14972,58</v>
      </c>
      <c r="G1153" t="str">
        <f>"$ 14972,58"</f>
        <v>$ 14972,58</v>
      </c>
      <c r="H1153" t="str">
        <f t="shared" si="717"/>
        <v>$ 0,00</v>
      </c>
      <c r="I1153" t="str">
        <f t="shared" si="754"/>
        <v>JUEGO COJINETES BIELA</v>
      </c>
      <c r="J1153" t="str">
        <f t="shared" si="718"/>
        <v>1</v>
      </c>
      <c r="K1153" t="str">
        <f t="shared" si="741"/>
        <v>0</v>
      </c>
      <c r="L1153" t="str">
        <f>"6,000"</f>
        <v>6,000</v>
      </c>
      <c r="M1153" t="str">
        <f t="shared" si="719"/>
        <v xml:space="preserve"> </v>
      </c>
      <c r="N1153" t="str">
        <f t="shared" si="748"/>
        <v>MPSI</v>
      </c>
      <c r="O1153" t="str">
        <f t="shared" si="749"/>
        <v>COJINETES</v>
      </c>
      <c r="P1153" t="str">
        <f t="shared" si="752"/>
        <v>0</v>
      </c>
      <c r="Q1153" t="str">
        <f t="shared" si="752"/>
        <v>0</v>
      </c>
      <c r="R1153" t="str">
        <f t="shared" si="753"/>
        <v>0,00</v>
      </c>
      <c r="S1153" t="str">
        <f t="shared" si="753"/>
        <v>0,00</v>
      </c>
      <c r="T1153" t="str">
        <f t="shared" si="740"/>
        <v xml:space="preserve"> </v>
      </c>
      <c r="U1153" t="str">
        <f t="shared" si="750"/>
        <v>-</v>
      </c>
      <c r="V1153" t="str">
        <f>"6,000"</f>
        <v>6,000</v>
      </c>
      <c r="W1153" t="str">
        <f t="shared" si="720"/>
        <v>Lista 4</v>
      </c>
      <c r="X1153" t="str">
        <f t="shared" si="721"/>
        <v>Lista 5</v>
      </c>
      <c r="Y1153" t="str">
        <f t="shared" si="722"/>
        <v>Oferta Gral.</v>
      </c>
      <c r="Z1153" t="str">
        <f t="shared" si="723"/>
        <v>Rubro</v>
      </c>
      <c r="AA1153" t="str">
        <f t="shared" si="724"/>
        <v>Cantidad por Bulto</v>
      </c>
      <c r="AB1153" t="str">
        <f t="shared" si="725"/>
        <v>INNER</v>
      </c>
      <c r="AC1153" t="str">
        <f t="shared" si="726"/>
        <v>Stock en Bultos</v>
      </c>
      <c r="AD1153" t="str">
        <f t="shared" si="727"/>
        <v>SubDepósito</v>
      </c>
      <c r="AE1153" t="str">
        <f t="shared" si="728"/>
        <v>Marca</v>
      </c>
      <c r="AF1153" t="str">
        <f t="shared" si="729"/>
        <v>Super Rubro</v>
      </c>
      <c r="AG1153" t="str">
        <f t="shared" si="730"/>
        <v>ComercioExterior</v>
      </c>
      <c r="AH1153" t="str">
        <f t="shared" si="731"/>
        <v>PrecioFOB</v>
      </c>
      <c r="AI1153" t="str">
        <f t="shared" si="732"/>
        <v>Monto II</v>
      </c>
      <c r="AJ1153" t="str">
        <f t="shared" si="733"/>
        <v>Porcentaje II</v>
      </c>
      <c r="AK1153" t="str">
        <f t="shared" si="734"/>
        <v>Foto</v>
      </c>
      <c r="AL1153" t="str">
        <f t="shared" si="755"/>
        <v xml:space="preserve"> </v>
      </c>
      <c r="AM1153" t="str">
        <f t="shared" si="744"/>
        <v xml:space="preserve"> </v>
      </c>
    </row>
    <row r="1154" spans="1:39" x14ac:dyDescent="0.25">
      <c r="A1154" t="str">
        <f>"BI415 20"</f>
        <v>BI415 20</v>
      </c>
      <c r="B1154" t="str">
        <f>"COJINETES BIELA 0,50 PEUGEOT 504 505 DIESEL XD2 XD3"</f>
        <v>COJINETES BIELA 0,50 PEUGEOT 504 505 DIESEL XD2 XD3</v>
      </c>
      <c r="C1154" t="str">
        <f>"$ 18376,94"</f>
        <v>$ 18376,94</v>
      </c>
      <c r="D1154" t="str">
        <f>"$ 18376,94"</f>
        <v>$ 18376,94</v>
      </c>
      <c r="E1154" t="str">
        <f>"$ 18376,94"</f>
        <v>$ 18376,94</v>
      </c>
      <c r="F1154" t="str">
        <f>"$ 18376,94"</f>
        <v>$ 18376,94</v>
      </c>
      <c r="G1154" t="str">
        <f>"$ 18376,94"</f>
        <v>$ 18376,94</v>
      </c>
      <c r="H1154" t="str">
        <f t="shared" si="717"/>
        <v>$ 0,00</v>
      </c>
      <c r="I1154" t="str">
        <f t="shared" si="754"/>
        <v>JUEGO COJINETES BIELA</v>
      </c>
      <c r="J1154" t="str">
        <f t="shared" si="718"/>
        <v>1</v>
      </c>
      <c r="K1154" t="str">
        <f t="shared" si="741"/>
        <v>0</v>
      </c>
      <c r="L1154" t="str">
        <f>"7,000"</f>
        <v>7,000</v>
      </c>
      <c r="M1154" t="str">
        <f t="shared" si="719"/>
        <v xml:space="preserve"> </v>
      </c>
      <c r="N1154" t="str">
        <f t="shared" si="748"/>
        <v>MPSI</v>
      </c>
      <c r="O1154" t="str">
        <f t="shared" si="749"/>
        <v>COJINETES</v>
      </c>
      <c r="P1154" t="str">
        <f t="shared" si="752"/>
        <v>0</v>
      </c>
      <c r="Q1154" t="str">
        <f t="shared" si="752"/>
        <v>0</v>
      </c>
      <c r="R1154" t="str">
        <f t="shared" si="753"/>
        <v>0,00</v>
      </c>
      <c r="S1154" t="str">
        <f t="shared" si="753"/>
        <v>0,00</v>
      </c>
      <c r="T1154" t="str">
        <f t="shared" si="740"/>
        <v xml:space="preserve"> </v>
      </c>
      <c r="U1154" t="str">
        <f t="shared" si="750"/>
        <v>-</v>
      </c>
      <c r="V1154" t="str">
        <f>"7,000"</f>
        <v>7,000</v>
      </c>
      <c r="W1154" t="str">
        <f t="shared" si="720"/>
        <v>Lista 4</v>
      </c>
      <c r="X1154" t="str">
        <f t="shared" si="721"/>
        <v>Lista 5</v>
      </c>
      <c r="Y1154" t="str">
        <f t="shared" si="722"/>
        <v>Oferta Gral.</v>
      </c>
      <c r="Z1154" t="str">
        <f t="shared" si="723"/>
        <v>Rubro</v>
      </c>
      <c r="AA1154" t="str">
        <f t="shared" si="724"/>
        <v>Cantidad por Bulto</v>
      </c>
      <c r="AB1154" t="str">
        <f t="shared" si="725"/>
        <v>INNER</v>
      </c>
      <c r="AC1154" t="str">
        <f t="shared" si="726"/>
        <v>Stock en Bultos</v>
      </c>
      <c r="AD1154" t="str">
        <f t="shared" si="727"/>
        <v>SubDepósito</v>
      </c>
      <c r="AE1154" t="str">
        <f t="shared" si="728"/>
        <v>Marca</v>
      </c>
      <c r="AF1154" t="str">
        <f t="shared" si="729"/>
        <v>Super Rubro</v>
      </c>
      <c r="AG1154" t="str">
        <f t="shared" si="730"/>
        <v>ComercioExterior</v>
      </c>
      <c r="AH1154" t="str">
        <f t="shared" si="731"/>
        <v>PrecioFOB</v>
      </c>
      <c r="AI1154" t="str">
        <f t="shared" si="732"/>
        <v>Monto II</v>
      </c>
      <c r="AJ1154" t="str">
        <f t="shared" si="733"/>
        <v>Porcentaje II</v>
      </c>
      <c r="AK1154" t="str">
        <f t="shared" si="734"/>
        <v>Foto</v>
      </c>
      <c r="AL1154" t="str">
        <f t="shared" si="755"/>
        <v xml:space="preserve"> </v>
      </c>
      <c r="AM1154" t="str">
        <f t="shared" si="744"/>
        <v xml:space="preserve"> </v>
      </c>
    </row>
    <row r="1155" spans="1:39" x14ac:dyDescent="0.25">
      <c r="A1155" t="str">
        <f>"BI733 20"</f>
        <v>BI733 20</v>
      </c>
      <c r="B1155" t="str">
        <f>"COJINETES BIELA 0,50 PEUGEOT BOXER 2,5 DJ5"</f>
        <v>COJINETES BIELA 0,50 PEUGEOT BOXER 2,5 DJ5</v>
      </c>
      <c r="C1155" t="str">
        <f>"$ 31001,92"</f>
        <v>$ 31001,92</v>
      </c>
      <c r="D1155" t="str">
        <f>"$ 31001,92"</f>
        <v>$ 31001,92</v>
      </c>
      <c r="E1155" t="str">
        <f>"$ 31001,92"</f>
        <v>$ 31001,92</v>
      </c>
      <c r="F1155" t="str">
        <f>"$ 31001,92"</f>
        <v>$ 31001,92</v>
      </c>
      <c r="G1155" t="str">
        <f>"$ 31001,92"</f>
        <v>$ 31001,92</v>
      </c>
      <c r="H1155" t="str">
        <f t="shared" ref="H1155:H1218" si="756">"$ 0,00"</f>
        <v>$ 0,00</v>
      </c>
      <c r="I1155" t="str">
        <f t="shared" si="754"/>
        <v>JUEGO COJINETES BIELA</v>
      </c>
      <c r="J1155" t="str">
        <f t="shared" ref="J1155:J1218" si="757">"1"</f>
        <v>1</v>
      </c>
      <c r="K1155" t="str">
        <f t="shared" si="741"/>
        <v>0</v>
      </c>
      <c r="L1155" t="str">
        <f>"3,000"</f>
        <v>3,000</v>
      </c>
      <c r="M1155" t="str">
        <f t="shared" ref="M1155:M1218" si="758">" "</f>
        <v xml:space="preserve"> </v>
      </c>
      <c r="N1155" t="str">
        <f t="shared" si="748"/>
        <v>MPSI</v>
      </c>
      <c r="O1155" t="str">
        <f t="shared" si="749"/>
        <v>COJINETES</v>
      </c>
      <c r="P1155" t="str">
        <f t="shared" si="752"/>
        <v>0</v>
      </c>
      <c r="Q1155" t="str">
        <f t="shared" si="752"/>
        <v>0</v>
      </c>
      <c r="R1155" t="str">
        <f t="shared" si="753"/>
        <v>0,00</v>
      </c>
      <c r="S1155" t="str">
        <f t="shared" si="753"/>
        <v>0,00</v>
      </c>
      <c r="T1155" t="str">
        <f t="shared" si="740"/>
        <v xml:space="preserve"> </v>
      </c>
      <c r="U1155" t="str">
        <f t="shared" si="750"/>
        <v>-</v>
      </c>
      <c r="V1155" t="str">
        <f>"3,000"</f>
        <v>3,000</v>
      </c>
      <c r="W1155" t="str">
        <f t="shared" ref="W1155:W1218" si="759">"Lista 4"</f>
        <v>Lista 4</v>
      </c>
      <c r="X1155" t="str">
        <f t="shared" ref="X1155:X1218" si="760">"Lista 5"</f>
        <v>Lista 5</v>
      </c>
      <c r="Y1155" t="str">
        <f t="shared" ref="Y1155:Y1218" si="761">"Oferta Gral."</f>
        <v>Oferta Gral.</v>
      </c>
      <c r="Z1155" t="str">
        <f t="shared" ref="Z1155:Z1218" si="762">"Rubro"</f>
        <v>Rubro</v>
      </c>
      <c r="AA1155" t="str">
        <f t="shared" ref="AA1155:AA1218" si="763">"Cantidad por Bulto"</f>
        <v>Cantidad por Bulto</v>
      </c>
      <c r="AB1155" t="str">
        <f t="shared" ref="AB1155:AB1218" si="764">"INNER"</f>
        <v>INNER</v>
      </c>
      <c r="AC1155" t="str">
        <f t="shared" ref="AC1155:AC1218" si="765">"Stock en Bultos"</f>
        <v>Stock en Bultos</v>
      </c>
      <c r="AD1155" t="str">
        <f t="shared" ref="AD1155:AD1218" si="766">"SubDepósito"</f>
        <v>SubDepósito</v>
      </c>
      <c r="AE1155" t="str">
        <f t="shared" ref="AE1155:AE1218" si="767">"Marca"</f>
        <v>Marca</v>
      </c>
      <c r="AF1155" t="str">
        <f t="shared" ref="AF1155:AF1218" si="768">"Super Rubro"</f>
        <v>Super Rubro</v>
      </c>
      <c r="AG1155" t="str">
        <f t="shared" ref="AG1155:AG1218" si="769">"ComercioExterior"</f>
        <v>ComercioExterior</v>
      </c>
      <c r="AH1155" t="str">
        <f t="shared" ref="AH1155:AH1218" si="770">"PrecioFOB"</f>
        <v>PrecioFOB</v>
      </c>
      <c r="AI1155" t="str">
        <f t="shared" ref="AI1155:AI1218" si="771">"Monto II"</f>
        <v>Monto II</v>
      </c>
      <c r="AJ1155" t="str">
        <f t="shared" ref="AJ1155:AJ1218" si="772">"Porcentaje II"</f>
        <v>Porcentaje II</v>
      </c>
      <c r="AK1155" t="str">
        <f t="shared" ref="AK1155:AK1218" si="773">"Foto"</f>
        <v>Foto</v>
      </c>
      <c r="AL1155" t="str">
        <f t="shared" si="755"/>
        <v xml:space="preserve"> </v>
      </c>
      <c r="AM1155" t="str">
        <f t="shared" si="744"/>
        <v xml:space="preserve"> </v>
      </c>
    </row>
    <row r="1156" spans="1:39" x14ac:dyDescent="0.25">
      <c r="A1156" t="str">
        <f>"BI364035 20"</f>
        <v>BI364035 20</v>
      </c>
      <c r="B1156" t="str">
        <f>"COJINETES BIELA 0,50 PEUGEOT CITROEN 1.6 16V TURBO THP"</f>
        <v>COJINETES BIELA 0,50 PEUGEOT CITROEN 1.6 16V TURBO THP</v>
      </c>
      <c r="C1156" t="str">
        <f>"$ 13512,64"</f>
        <v>$ 13512,64</v>
      </c>
      <c r="D1156" t="str">
        <f>"$ 13512,64"</f>
        <v>$ 13512,64</v>
      </c>
      <c r="E1156" t="str">
        <f>"$ 13512,64"</f>
        <v>$ 13512,64</v>
      </c>
      <c r="F1156" t="str">
        <f>"$ 13512,64"</f>
        <v>$ 13512,64</v>
      </c>
      <c r="G1156" t="str">
        <f>"$ 13512,64"</f>
        <v>$ 13512,64</v>
      </c>
      <c r="H1156" t="str">
        <f t="shared" si="756"/>
        <v>$ 0,00</v>
      </c>
      <c r="I1156" t="str">
        <f t="shared" si="754"/>
        <v>JUEGO COJINETES BIELA</v>
      </c>
      <c r="J1156" t="str">
        <f t="shared" si="757"/>
        <v>1</v>
      </c>
      <c r="K1156" t="str">
        <f t="shared" si="741"/>
        <v>0</v>
      </c>
      <c r="L1156" t="str">
        <f>"3,000"</f>
        <v>3,000</v>
      </c>
      <c r="M1156" t="str">
        <f t="shared" si="758"/>
        <v xml:space="preserve"> </v>
      </c>
      <c r="N1156" t="str">
        <f t="shared" si="748"/>
        <v>MPSI</v>
      </c>
      <c r="O1156" t="str">
        <f t="shared" si="749"/>
        <v>COJINETES</v>
      </c>
      <c r="P1156" t="str">
        <f t="shared" si="752"/>
        <v>0</v>
      </c>
      <c r="Q1156" t="str">
        <f t="shared" si="752"/>
        <v>0</v>
      </c>
      <c r="R1156" t="str">
        <f t="shared" si="753"/>
        <v>0,00</v>
      </c>
      <c r="S1156" t="str">
        <f t="shared" si="753"/>
        <v>0,00</v>
      </c>
      <c r="T1156" t="str">
        <f t="shared" si="740"/>
        <v xml:space="preserve"> </v>
      </c>
      <c r="U1156" t="str">
        <f t="shared" si="750"/>
        <v>-</v>
      </c>
      <c r="V1156" t="str">
        <f>"3,000"</f>
        <v>3,000</v>
      </c>
      <c r="W1156" t="str">
        <f t="shared" si="759"/>
        <v>Lista 4</v>
      </c>
      <c r="X1156" t="str">
        <f t="shared" si="760"/>
        <v>Lista 5</v>
      </c>
      <c r="Y1156" t="str">
        <f t="shared" si="761"/>
        <v>Oferta Gral.</v>
      </c>
      <c r="Z1156" t="str">
        <f t="shared" si="762"/>
        <v>Rubro</v>
      </c>
      <c r="AA1156" t="str">
        <f t="shared" si="763"/>
        <v>Cantidad por Bulto</v>
      </c>
      <c r="AB1156" t="str">
        <f t="shared" si="764"/>
        <v>INNER</v>
      </c>
      <c r="AC1156" t="str">
        <f t="shared" si="765"/>
        <v>Stock en Bultos</v>
      </c>
      <c r="AD1156" t="str">
        <f t="shared" si="766"/>
        <v>SubDepósito</v>
      </c>
      <c r="AE1156" t="str">
        <f t="shared" si="767"/>
        <v>Marca</v>
      </c>
      <c r="AF1156" t="str">
        <f t="shared" si="768"/>
        <v>Super Rubro</v>
      </c>
      <c r="AG1156" t="str">
        <f t="shared" si="769"/>
        <v>ComercioExterior</v>
      </c>
      <c r="AH1156" t="str">
        <f t="shared" si="770"/>
        <v>PrecioFOB</v>
      </c>
      <c r="AI1156" t="str">
        <f t="shared" si="771"/>
        <v>Monto II</v>
      </c>
      <c r="AJ1156" t="str">
        <f t="shared" si="772"/>
        <v>Porcentaje II</v>
      </c>
      <c r="AK1156" t="str">
        <f t="shared" si="773"/>
        <v>Foto</v>
      </c>
      <c r="AL1156" t="str">
        <f t="shared" si="755"/>
        <v xml:space="preserve"> </v>
      </c>
      <c r="AM1156" t="str">
        <f t="shared" si="744"/>
        <v xml:space="preserve"> </v>
      </c>
    </row>
    <row r="1157" spans="1:39" x14ac:dyDescent="0.25">
      <c r="A1157" t="str">
        <f>"BI165 20"</f>
        <v>BI165 20</v>
      </c>
      <c r="B1157" t="str">
        <f>"COJINETES BIELA 0,50 PUNTO STRADA DOBLO 1.3 JTD 16V "</f>
        <v xml:space="preserve">COJINETES BIELA 0,50 PUNTO STRADA DOBLO 1.3 JTD 16V </v>
      </c>
      <c r="C1157" t="str">
        <f>"$ 41359,34"</f>
        <v>$ 41359,34</v>
      </c>
      <c r="D1157" t="str">
        <f>"$ 41359,34"</f>
        <v>$ 41359,34</v>
      </c>
      <c r="E1157" t="str">
        <f>"$ 41359,34"</f>
        <v>$ 41359,34</v>
      </c>
      <c r="F1157" t="str">
        <f>"$ 41359,34"</f>
        <v>$ 41359,34</v>
      </c>
      <c r="G1157" t="str">
        <f>"$ 41359,34"</f>
        <v>$ 41359,34</v>
      </c>
      <c r="H1157" t="str">
        <f t="shared" si="756"/>
        <v>$ 0,00</v>
      </c>
      <c r="I1157" t="str">
        <f t="shared" si="754"/>
        <v>JUEGO COJINETES BIELA</v>
      </c>
      <c r="J1157" t="str">
        <f t="shared" si="757"/>
        <v>1</v>
      </c>
      <c r="K1157" t="str">
        <f t="shared" si="741"/>
        <v>0</v>
      </c>
      <c r="L1157" t="str">
        <f>"0,000"</f>
        <v>0,000</v>
      </c>
      <c r="M1157" t="str">
        <f t="shared" si="758"/>
        <v xml:space="preserve"> </v>
      </c>
      <c r="N1157" t="str">
        <f t="shared" si="748"/>
        <v>MPSI</v>
      </c>
      <c r="O1157" t="str">
        <f t="shared" si="749"/>
        <v>COJINETES</v>
      </c>
      <c r="P1157" t="str">
        <f t="shared" si="752"/>
        <v>0</v>
      </c>
      <c r="Q1157" t="str">
        <f t="shared" si="752"/>
        <v>0</v>
      </c>
      <c r="R1157" t="str">
        <f t="shared" si="753"/>
        <v>0,00</v>
      </c>
      <c r="S1157" t="str">
        <f t="shared" si="753"/>
        <v>0,00</v>
      </c>
      <c r="T1157" t="str">
        <f t="shared" si="740"/>
        <v xml:space="preserve"> </v>
      </c>
      <c r="U1157" t="str">
        <f>" "</f>
        <v xml:space="preserve"> </v>
      </c>
      <c r="V1157" t="str">
        <f>"0,000"</f>
        <v>0,000</v>
      </c>
      <c r="W1157" t="str">
        <f t="shared" si="759"/>
        <v>Lista 4</v>
      </c>
      <c r="X1157" t="str">
        <f t="shared" si="760"/>
        <v>Lista 5</v>
      </c>
      <c r="Y1157" t="str">
        <f t="shared" si="761"/>
        <v>Oferta Gral.</v>
      </c>
      <c r="Z1157" t="str">
        <f t="shared" si="762"/>
        <v>Rubro</v>
      </c>
      <c r="AA1157" t="str">
        <f t="shared" si="763"/>
        <v>Cantidad por Bulto</v>
      </c>
      <c r="AB1157" t="str">
        <f t="shared" si="764"/>
        <v>INNER</v>
      </c>
      <c r="AC1157" t="str">
        <f t="shared" si="765"/>
        <v>Stock en Bultos</v>
      </c>
      <c r="AD1157" t="str">
        <f t="shared" si="766"/>
        <v>SubDepósito</v>
      </c>
      <c r="AE1157" t="str">
        <f t="shared" si="767"/>
        <v>Marca</v>
      </c>
      <c r="AF1157" t="str">
        <f t="shared" si="768"/>
        <v>Super Rubro</v>
      </c>
      <c r="AG1157" t="str">
        <f t="shared" si="769"/>
        <v>ComercioExterior</v>
      </c>
      <c r="AH1157" t="str">
        <f t="shared" si="770"/>
        <v>PrecioFOB</v>
      </c>
      <c r="AI1157" t="str">
        <f t="shared" si="771"/>
        <v>Monto II</v>
      </c>
      <c r="AJ1157" t="str">
        <f t="shared" si="772"/>
        <v>Porcentaje II</v>
      </c>
      <c r="AK1157" t="str">
        <f t="shared" si="773"/>
        <v>Foto</v>
      </c>
      <c r="AL1157" t="str">
        <f>"{\rtf1\ansi\ansicpg1252\deff0\deflang11274{\fonttbl{\f0\fnil\fcharset0 MS Sans Serif}} \viewkind4\uc1\pard\f0\fs16 COJINETES BIELA 0,50 PUNTO STRADA DOBLO 1.3 JTD 16V \par } "</f>
        <v xml:space="preserve">{\rtf1\ansi\ansicpg1252\deff0\deflang11274{\fonttbl{\f0\fnil\fcharset0 MS Sans Serif}} \viewkind4\uc1\pard\f0\fs16 COJINETES BIELA 0,50 PUNTO STRADA DOBLO 1.3 JTD 16V \par } </v>
      </c>
      <c r="AM1157" t="str">
        <f>"-"</f>
        <v>-</v>
      </c>
    </row>
    <row r="1158" spans="1:39" x14ac:dyDescent="0.25">
      <c r="A1158" t="str">
        <f>"BI241 20"</f>
        <v>BI241 20</v>
      </c>
      <c r="B1158" t="str">
        <f>"COJINETES BIELA 0,50 RENAULT 18 FUEGO TRAFIC 2.0"</f>
        <v>COJINETES BIELA 0,50 RENAULT 18 FUEGO TRAFIC 2.0</v>
      </c>
      <c r="C1158" t="str">
        <f>"$ 16519,85"</f>
        <v>$ 16519,85</v>
      </c>
      <c r="D1158" t="str">
        <f>"$ 16519,85"</f>
        <v>$ 16519,85</v>
      </c>
      <c r="E1158" t="str">
        <f>"$ 16519,85"</f>
        <v>$ 16519,85</v>
      </c>
      <c r="F1158" t="str">
        <f>"$ 16519,85"</f>
        <v>$ 16519,85</v>
      </c>
      <c r="G1158" t="str">
        <f>"$ 16519,85"</f>
        <v>$ 16519,85</v>
      </c>
      <c r="H1158" t="str">
        <f t="shared" si="756"/>
        <v>$ 0,00</v>
      </c>
      <c r="I1158" t="str">
        <f t="shared" si="754"/>
        <v>JUEGO COJINETES BIELA</v>
      </c>
      <c r="J1158" t="str">
        <f t="shared" si="757"/>
        <v>1</v>
      </c>
      <c r="K1158" t="str">
        <f t="shared" si="741"/>
        <v>0</v>
      </c>
      <c r="L1158" t="str">
        <f>"12,000"</f>
        <v>12,000</v>
      </c>
      <c r="M1158" t="str">
        <f t="shared" si="758"/>
        <v xml:space="preserve"> </v>
      </c>
      <c r="N1158" t="str">
        <f t="shared" si="748"/>
        <v>MPSI</v>
      </c>
      <c r="O1158" t="str">
        <f t="shared" si="749"/>
        <v>COJINETES</v>
      </c>
      <c r="P1158" t="str">
        <f t="shared" si="752"/>
        <v>0</v>
      </c>
      <c r="Q1158" t="str">
        <f t="shared" si="752"/>
        <v>0</v>
      </c>
      <c r="R1158" t="str">
        <f t="shared" si="753"/>
        <v>0,00</v>
      </c>
      <c r="S1158" t="str">
        <f t="shared" si="753"/>
        <v>0,00</v>
      </c>
      <c r="T1158" t="str">
        <f t="shared" si="740"/>
        <v xml:space="preserve"> </v>
      </c>
      <c r="U1158" t="str">
        <f t="shared" ref="U1158:U1177" si="774">"-"</f>
        <v>-</v>
      </c>
      <c r="V1158" t="str">
        <f>"12,000"</f>
        <v>12,000</v>
      </c>
      <c r="W1158" t="str">
        <f t="shared" si="759"/>
        <v>Lista 4</v>
      </c>
      <c r="X1158" t="str">
        <f t="shared" si="760"/>
        <v>Lista 5</v>
      </c>
      <c r="Y1158" t="str">
        <f t="shared" si="761"/>
        <v>Oferta Gral.</v>
      </c>
      <c r="Z1158" t="str">
        <f t="shared" si="762"/>
        <v>Rubro</v>
      </c>
      <c r="AA1158" t="str">
        <f t="shared" si="763"/>
        <v>Cantidad por Bulto</v>
      </c>
      <c r="AB1158" t="str">
        <f t="shared" si="764"/>
        <v>INNER</v>
      </c>
      <c r="AC1158" t="str">
        <f t="shared" si="765"/>
        <v>Stock en Bultos</v>
      </c>
      <c r="AD1158" t="str">
        <f t="shared" si="766"/>
        <v>SubDepósito</v>
      </c>
      <c r="AE1158" t="str">
        <f t="shared" si="767"/>
        <v>Marca</v>
      </c>
      <c r="AF1158" t="str">
        <f t="shared" si="768"/>
        <v>Super Rubro</v>
      </c>
      <c r="AG1158" t="str">
        <f t="shared" si="769"/>
        <v>ComercioExterior</v>
      </c>
      <c r="AH1158" t="str">
        <f t="shared" si="770"/>
        <v>PrecioFOB</v>
      </c>
      <c r="AI1158" t="str">
        <f t="shared" si="771"/>
        <v>Monto II</v>
      </c>
      <c r="AJ1158" t="str">
        <f t="shared" si="772"/>
        <v>Porcentaje II</v>
      </c>
      <c r="AK1158" t="str">
        <f t="shared" si="773"/>
        <v>Foto</v>
      </c>
      <c r="AL1158" t="str">
        <f t="shared" ref="AL1158:AM1161" si="775">" "</f>
        <v xml:space="preserve"> </v>
      </c>
      <c r="AM1158" t="str">
        <f t="shared" si="775"/>
        <v xml:space="preserve"> </v>
      </c>
    </row>
    <row r="1159" spans="1:39" x14ac:dyDescent="0.25">
      <c r="A1159" t="str">
        <f>"BI244 20"</f>
        <v>BI244 20</v>
      </c>
      <c r="B1159" t="str">
        <f>"COJINETES BIELA 0,50 RENAULT 18 FUEGO TRAFIC 2.D NAFTA Y DIESEL"</f>
        <v>COJINETES BIELA 0,50 RENAULT 18 FUEGO TRAFIC 2.D NAFTA Y DIESEL</v>
      </c>
      <c r="C1159" t="str">
        <f>"$ 18043,24"</f>
        <v>$ 18043,24</v>
      </c>
      <c r="D1159" t="str">
        <f>"$ 18043,24"</f>
        <v>$ 18043,24</v>
      </c>
      <c r="E1159" t="str">
        <f>"$ 18043,24"</f>
        <v>$ 18043,24</v>
      </c>
      <c r="F1159" t="str">
        <f>"$ 18043,24"</f>
        <v>$ 18043,24</v>
      </c>
      <c r="G1159" t="str">
        <f>"$ 18043,24"</f>
        <v>$ 18043,24</v>
      </c>
      <c r="H1159" t="str">
        <f t="shared" si="756"/>
        <v>$ 0,00</v>
      </c>
      <c r="I1159" t="str">
        <f t="shared" si="754"/>
        <v>JUEGO COJINETES BIELA</v>
      </c>
      <c r="J1159" t="str">
        <f t="shared" si="757"/>
        <v>1</v>
      </c>
      <c r="K1159" t="str">
        <f t="shared" si="741"/>
        <v>0</v>
      </c>
      <c r="L1159" t="str">
        <f>"9,000"</f>
        <v>9,000</v>
      </c>
      <c r="M1159" t="str">
        <f t="shared" si="758"/>
        <v xml:space="preserve"> </v>
      </c>
      <c r="N1159" t="str">
        <f t="shared" si="748"/>
        <v>MPSI</v>
      </c>
      <c r="O1159" t="str">
        <f t="shared" si="749"/>
        <v>COJINETES</v>
      </c>
      <c r="P1159" t="str">
        <f t="shared" si="752"/>
        <v>0</v>
      </c>
      <c r="Q1159" t="str">
        <f t="shared" si="752"/>
        <v>0</v>
      </c>
      <c r="R1159" t="str">
        <f t="shared" si="753"/>
        <v>0,00</v>
      </c>
      <c r="S1159" t="str">
        <f t="shared" si="753"/>
        <v>0,00</v>
      </c>
      <c r="T1159" t="str">
        <f t="shared" si="740"/>
        <v xml:space="preserve"> </v>
      </c>
      <c r="U1159" t="str">
        <f t="shared" si="774"/>
        <v>-</v>
      </c>
      <c r="V1159" t="str">
        <f>"9,000"</f>
        <v>9,000</v>
      </c>
      <c r="W1159" t="str">
        <f t="shared" si="759"/>
        <v>Lista 4</v>
      </c>
      <c r="X1159" t="str">
        <f t="shared" si="760"/>
        <v>Lista 5</v>
      </c>
      <c r="Y1159" t="str">
        <f t="shared" si="761"/>
        <v>Oferta Gral.</v>
      </c>
      <c r="Z1159" t="str">
        <f t="shared" si="762"/>
        <v>Rubro</v>
      </c>
      <c r="AA1159" t="str">
        <f t="shared" si="763"/>
        <v>Cantidad por Bulto</v>
      </c>
      <c r="AB1159" t="str">
        <f t="shared" si="764"/>
        <v>INNER</v>
      </c>
      <c r="AC1159" t="str">
        <f t="shared" si="765"/>
        <v>Stock en Bultos</v>
      </c>
      <c r="AD1159" t="str">
        <f t="shared" si="766"/>
        <v>SubDepósito</v>
      </c>
      <c r="AE1159" t="str">
        <f t="shared" si="767"/>
        <v>Marca</v>
      </c>
      <c r="AF1159" t="str">
        <f t="shared" si="768"/>
        <v>Super Rubro</v>
      </c>
      <c r="AG1159" t="str">
        <f t="shared" si="769"/>
        <v>ComercioExterior</v>
      </c>
      <c r="AH1159" t="str">
        <f t="shared" si="770"/>
        <v>PrecioFOB</v>
      </c>
      <c r="AI1159" t="str">
        <f t="shared" si="771"/>
        <v>Monto II</v>
      </c>
      <c r="AJ1159" t="str">
        <f t="shared" si="772"/>
        <v>Porcentaje II</v>
      </c>
      <c r="AK1159" t="str">
        <f t="shared" si="773"/>
        <v>Foto</v>
      </c>
      <c r="AL1159" t="str">
        <f t="shared" si="775"/>
        <v xml:space="preserve"> </v>
      </c>
      <c r="AM1159" t="str">
        <f t="shared" si="775"/>
        <v xml:space="preserve"> </v>
      </c>
    </row>
    <row r="1160" spans="1:39" x14ac:dyDescent="0.25">
      <c r="A1160" t="str">
        <f>"BI247 20"</f>
        <v>BI247 20</v>
      </c>
      <c r="B1160" t="str">
        <f>"COJINETES BIELA 0,50 RENAULT 19 CLIO 1.9 DIESEL F8Q  CON TRABA"</f>
        <v>COJINETES BIELA 0,50 RENAULT 19 CLIO 1.9 DIESEL F8Q  CON TRABA</v>
      </c>
      <c r="C1160" t="str">
        <f>"$ 16064,81"</f>
        <v>$ 16064,81</v>
      </c>
      <c r="D1160" t="str">
        <f>"$ 16064,81"</f>
        <v>$ 16064,81</v>
      </c>
      <c r="E1160" t="str">
        <f>"$ 16064,81"</f>
        <v>$ 16064,81</v>
      </c>
      <c r="F1160" t="str">
        <f>"$ 16064,81"</f>
        <v>$ 16064,81</v>
      </c>
      <c r="G1160" t="str">
        <f>"$ 16064,81"</f>
        <v>$ 16064,81</v>
      </c>
      <c r="H1160" t="str">
        <f t="shared" si="756"/>
        <v>$ 0,00</v>
      </c>
      <c r="I1160" t="str">
        <f t="shared" si="754"/>
        <v>JUEGO COJINETES BIELA</v>
      </c>
      <c r="J1160" t="str">
        <f t="shared" si="757"/>
        <v>1</v>
      </c>
      <c r="K1160" t="str">
        <f t="shared" si="741"/>
        <v>0</v>
      </c>
      <c r="L1160" t="str">
        <f>"9,000"</f>
        <v>9,000</v>
      </c>
      <c r="M1160" t="str">
        <f t="shared" si="758"/>
        <v xml:space="preserve"> </v>
      </c>
      <c r="N1160" t="str">
        <f t="shared" si="748"/>
        <v>MPSI</v>
      </c>
      <c r="O1160" t="str">
        <f t="shared" si="749"/>
        <v>COJINETES</v>
      </c>
      <c r="P1160" t="str">
        <f t="shared" si="752"/>
        <v>0</v>
      </c>
      <c r="Q1160" t="str">
        <f t="shared" si="752"/>
        <v>0</v>
      </c>
      <c r="R1160" t="str">
        <f t="shared" si="753"/>
        <v>0,00</v>
      </c>
      <c r="S1160" t="str">
        <f t="shared" si="753"/>
        <v>0,00</v>
      </c>
      <c r="T1160" t="str">
        <f t="shared" si="740"/>
        <v xml:space="preserve"> </v>
      </c>
      <c r="U1160" t="str">
        <f t="shared" si="774"/>
        <v>-</v>
      </c>
      <c r="V1160" t="str">
        <f>"9,000"</f>
        <v>9,000</v>
      </c>
      <c r="W1160" t="str">
        <f t="shared" si="759"/>
        <v>Lista 4</v>
      </c>
      <c r="X1160" t="str">
        <f t="shared" si="760"/>
        <v>Lista 5</v>
      </c>
      <c r="Y1160" t="str">
        <f t="shared" si="761"/>
        <v>Oferta Gral.</v>
      </c>
      <c r="Z1160" t="str">
        <f t="shared" si="762"/>
        <v>Rubro</v>
      </c>
      <c r="AA1160" t="str">
        <f t="shared" si="763"/>
        <v>Cantidad por Bulto</v>
      </c>
      <c r="AB1160" t="str">
        <f t="shared" si="764"/>
        <v>INNER</v>
      </c>
      <c r="AC1160" t="str">
        <f t="shared" si="765"/>
        <v>Stock en Bultos</v>
      </c>
      <c r="AD1160" t="str">
        <f t="shared" si="766"/>
        <v>SubDepósito</v>
      </c>
      <c r="AE1160" t="str">
        <f t="shared" si="767"/>
        <v>Marca</v>
      </c>
      <c r="AF1160" t="str">
        <f t="shared" si="768"/>
        <v>Super Rubro</v>
      </c>
      <c r="AG1160" t="str">
        <f t="shared" si="769"/>
        <v>ComercioExterior</v>
      </c>
      <c r="AH1160" t="str">
        <f t="shared" si="770"/>
        <v>PrecioFOB</v>
      </c>
      <c r="AI1160" t="str">
        <f t="shared" si="771"/>
        <v>Monto II</v>
      </c>
      <c r="AJ1160" t="str">
        <f t="shared" si="772"/>
        <v>Porcentaje II</v>
      </c>
      <c r="AK1160" t="str">
        <f t="shared" si="773"/>
        <v>Foto</v>
      </c>
      <c r="AL1160" t="str">
        <f t="shared" si="775"/>
        <v xml:space="preserve"> </v>
      </c>
      <c r="AM1160" t="str">
        <f t="shared" si="775"/>
        <v xml:space="preserve"> </v>
      </c>
    </row>
    <row r="1161" spans="1:39" x14ac:dyDescent="0.25">
      <c r="A1161" t="str">
        <f>"BI243 20"</f>
        <v>BI243 20</v>
      </c>
      <c r="B1161" t="str">
        <f>"COJINETES BIELA 0,50 RENAULT 19 KANGOO 1.9 DIESEL F8Q  SIN TRABA"</f>
        <v>COJINETES BIELA 0,50 RENAULT 19 KANGOO 1.9 DIESEL F8Q  SIN TRABA</v>
      </c>
      <c r="C1161" t="str">
        <f>"$ 13005,98"</f>
        <v>$ 13005,98</v>
      </c>
      <c r="D1161" t="str">
        <f>"$ 13005,98"</f>
        <v>$ 13005,98</v>
      </c>
      <c r="E1161" t="str">
        <f>"$ 13005,98"</f>
        <v>$ 13005,98</v>
      </c>
      <c r="F1161" t="str">
        <f>"$ 13005,98"</f>
        <v>$ 13005,98</v>
      </c>
      <c r="G1161" t="str">
        <f>"$ 13005,98"</f>
        <v>$ 13005,98</v>
      </c>
      <c r="H1161" t="str">
        <f t="shared" si="756"/>
        <v>$ 0,00</v>
      </c>
      <c r="I1161" t="str">
        <f t="shared" si="754"/>
        <v>JUEGO COJINETES BIELA</v>
      </c>
      <c r="J1161" t="str">
        <f t="shared" si="757"/>
        <v>1</v>
      </c>
      <c r="K1161" t="str">
        <f t="shared" si="741"/>
        <v>0</v>
      </c>
      <c r="L1161" t="str">
        <f>"9,000"</f>
        <v>9,000</v>
      </c>
      <c r="M1161" t="str">
        <f t="shared" si="758"/>
        <v xml:space="preserve"> </v>
      </c>
      <c r="N1161" t="str">
        <f t="shared" si="748"/>
        <v>MPSI</v>
      </c>
      <c r="O1161" t="str">
        <f t="shared" si="749"/>
        <v>COJINETES</v>
      </c>
      <c r="P1161" t="str">
        <f t="shared" si="752"/>
        <v>0</v>
      </c>
      <c r="Q1161" t="str">
        <f t="shared" si="752"/>
        <v>0</v>
      </c>
      <c r="R1161" t="str">
        <f t="shared" si="753"/>
        <v>0,00</v>
      </c>
      <c r="S1161" t="str">
        <f t="shared" si="753"/>
        <v>0,00</v>
      </c>
      <c r="T1161" t="str">
        <f t="shared" si="740"/>
        <v xml:space="preserve"> </v>
      </c>
      <c r="U1161" t="str">
        <f t="shared" si="774"/>
        <v>-</v>
      </c>
      <c r="V1161" t="str">
        <f>"9,000"</f>
        <v>9,000</v>
      </c>
      <c r="W1161" t="str">
        <f t="shared" si="759"/>
        <v>Lista 4</v>
      </c>
      <c r="X1161" t="str">
        <f t="shared" si="760"/>
        <v>Lista 5</v>
      </c>
      <c r="Y1161" t="str">
        <f t="shared" si="761"/>
        <v>Oferta Gral.</v>
      </c>
      <c r="Z1161" t="str">
        <f t="shared" si="762"/>
        <v>Rubro</v>
      </c>
      <c r="AA1161" t="str">
        <f t="shared" si="763"/>
        <v>Cantidad por Bulto</v>
      </c>
      <c r="AB1161" t="str">
        <f t="shared" si="764"/>
        <v>INNER</v>
      </c>
      <c r="AC1161" t="str">
        <f t="shared" si="765"/>
        <v>Stock en Bultos</v>
      </c>
      <c r="AD1161" t="str">
        <f t="shared" si="766"/>
        <v>SubDepósito</v>
      </c>
      <c r="AE1161" t="str">
        <f t="shared" si="767"/>
        <v>Marca</v>
      </c>
      <c r="AF1161" t="str">
        <f t="shared" si="768"/>
        <v>Super Rubro</v>
      </c>
      <c r="AG1161" t="str">
        <f t="shared" si="769"/>
        <v>ComercioExterior</v>
      </c>
      <c r="AH1161" t="str">
        <f t="shared" si="770"/>
        <v>PrecioFOB</v>
      </c>
      <c r="AI1161" t="str">
        <f t="shared" si="771"/>
        <v>Monto II</v>
      </c>
      <c r="AJ1161" t="str">
        <f t="shared" si="772"/>
        <v>Porcentaje II</v>
      </c>
      <c r="AK1161" t="str">
        <f t="shared" si="773"/>
        <v>Foto</v>
      </c>
      <c r="AL1161" t="str">
        <f t="shared" si="775"/>
        <v xml:space="preserve"> </v>
      </c>
      <c r="AM1161" t="str">
        <f t="shared" si="775"/>
        <v xml:space="preserve"> </v>
      </c>
    </row>
    <row r="1162" spans="1:39" x14ac:dyDescent="0.25">
      <c r="A1162" t="str">
        <f>"BI237 20"</f>
        <v>BI237 20</v>
      </c>
      <c r="B1162" t="str">
        <f>"COJINETES BIELA 0,50 RENAULT 4 6 9 11 18 19 CLIO 1.3 1.4 1.6 8V"</f>
        <v>COJINETES BIELA 0,50 RENAULT 4 6 9 11 18 19 CLIO 1.3 1.4 1.6 8V</v>
      </c>
      <c r="C1162" t="str">
        <f>"$ 11882,21"</f>
        <v>$ 11882,21</v>
      </c>
      <c r="D1162" t="str">
        <f>"$ 11882,21"</f>
        <v>$ 11882,21</v>
      </c>
      <c r="E1162" t="str">
        <f>"$ 11882,21"</f>
        <v>$ 11882,21</v>
      </c>
      <c r="F1162" t="str">
        <f>"$ 11882,21"</f>
        <v>$ 11882,21</v>
      </c>
      <c r="G1162" t="str">
        <f>"$ 11882,21"</f>
        <v>$ 11882,21</v>
      </c>
      <c r="H1162" t="str">
        <f t="shared" si="756"/>
        <v>$ 0,00</v>
      </c>
      <c r="I1162" t="str">
        <f t="shared" si="754"/>
        <v>JUEGO COJINETES BIELA</v>
      </c>
      <c r="J1162" t="str">
        <f t="shared" si="757"/>
        <v>1</v>
      </c>
      <c r="K1162" t="str">
        <f t="shared" si="741"/>
        <v>0</v>
      </c>
      <c r="L1162" t="str">
        <f>"34,000"</f>
        <v>34,000</v>
      </c>
      <c r="M1162" t="str">
        <f t="shared" si="758"/>
        <v xml:space="preserve"> </v>
      </c>
      <c r="N1162" t="str">
        <f t="shared" si="748"/>
        <v>MPSI</v>
      </c>
      <c r="O1162" t="str">
        <f t="shared" si="749"/>
        <v>COJINETES</v>
      </c>
      <c r="P1162" t="str">
        <f t="shared" si="752"/>
        <v>0</v>
      </c>
      <c r="Q1162" t="str">
        <f t="shared" si="752"/>
        <v>0</v>
      </c>
      <c r="R1162" t="str">
        <f t="shared" si="753"/>
        <v>0,00</v>
      </c>
      <c r="S1162" t="str">
        <f t="shared" si="753"/>
        <v>0,00</v>
      </c>
      <c r="T1162" t="str">
        <f t="shared" si="740"/>
        <v xml:space="preserve"> </v>
      </c>
      <c r="U1162" t="str">
        <f t="shared" si="774"/>
        <v>-</v>
      </c>
      <c r="V1162" t="str">
        <f>"34,000"</f>
        <v>34,000</v>
      </c>
      <c r="W1162" t="str">
        <f t="shared" si="759"/>
        <v>Lista 4</v>
      </c>
      <c r="X1162" t="str">
        <f t="shared" si="760"/>
        <v>Lista 5</v>
      </c>
      <c r="Y1162" t="str">
        <f t="shared" si="761"/>
        <v>Oferta Gral.</v>
      </c>
      <c r="Z1162" t="str">
        <f t="shared" si="762"/>
        <v>Rubro</v>
      </c>
      <c r="AA1162" t="str">
        <f t="shared" si="763"/>
        <v>Cantidad por Bulto</v>
      </c>
      <c r="AB1162" t="str">
        <f t="shared" si="764"/>
        <v>INNER</v>
      </c>
      <c r="AC1162" t="str">
        <f t="shared" si="765"/>
        <v>Stock en Bultos</v>
      </c>
      <c r="AD1162" t="str">
        <f t="shared" si="766"/>
        <v>SubDepósito</v>
      </c>
      <c r="AE1162" t="str">
        <f t="shared" si="767"/>
        <v>Marca</v>
      </c>
      <c r="AF1162" t="str">
        <f t="shared" si="768"/>
        <v>Super Rubro</v>
      </c>
      <c r="AG1162" t="str">
        <f t="shared" si="769"/>
        <v>ComercioExterior</v>
      </c>
      <c r="AH1162" t="str">
        <f t="shared" si="770"/>
        <v>PrecioFOB</v>
      </c>
      <c r="AI1162" t="str">
        <f t="shared" si="771"/>
        <v>Monto II</v>
      </c>
      <c r="AJ1162" t="str">
        <f t="shared" si="772"/>
        <v>Porcentaje II</v>
      </c>
      <c r="AK1162" t="str">
        <f t="shared" si="773"/>
        <v>Foto</v>
      </c>
      <c r="AL1162" t="str">
        <f>"{\rtf1\ansi\ansicpg1252\deff0\deflang2058{\fonttbl{\f0\fnil\fcharset0 MS Sans Serif}} \viewkind4\uc1\pard\f0\fs16 COJINETES BIELA 0,50 RENAULT 4 6 9 11 18 19 CLIO 1.3 1.4 1.6 8V\par } "</f>
        <v xml:space="preserve">{\rtf1\ansi\ansicpg1252\deff0\deflang2058{\fonttbl{\f0\fnil\fcharset0 MS Sans Serif}} \viewkind4\uc1\pard\f0\fs16 COJINETES BIELA 0,50 RENAULT 4 6 9 11 18 19 CLIO 1.3 1.4 1.6 8V\par } </v>
      </c>
      <c r="AM1162" t="str">
        <f t="shared" ref="AM1162:AM1177" si="776">" "</f>
        <v xml:space="preserve"> </v>
      </c>
    </row>
    <row r="1163" spans="1:39" x14ac:dyDescent="0.25">
      <c r="A1163" t="str">
        <f>"BI384101 20"</f>
        <v>BI384101 20</v>
      </c>
      <c r="B1163" t="str">
        <f>"COJINETES BIELA 0,50 RENAULT CAPTUR NISSAN VERSA 1.6 H4M CADENERO"</f>
        <v>COJINETES BIELA 0,50 RENAULT CAPTUR NISSAN VERSA 1.6 H4M CADENERO</v>
      </c>
      <c r="C1163" t="str">
        <f>"$ 10960,47"</f>
        <v>$ 10960,47</v>
      </c>
      <c r="D1163" t="str">
        <f>"$ 10960,47"</f>
        <v>$ 10960,47</v>
      </c>
      <c r="E1163" t="str">
        <f>"$ 10960,47"</f>
        <v>$ 10960,47</v>
      </c>
      <c r="F1163" t="str">
        <f>"$ 10960,47"</f>
        <v>$ 10960,47</v>
      </c>
      <c r="G1163" t="str">
        <f>"$ 10960,47"</f>
        <v>$ 10960,47</v>
      </c>
      <c r="H1163" t="str">
        <f t="shared" si="756"/>
        <v>$ 0,00</v>
      </c>
      <c r="I1163" t="str">
        <f t="shared" si="754"/>
        <v>JUEGO COJINETES BIELA</v>
      </c>
      <c r="J1163" t="str">
        <f t="shared" si="757"/>
        <v>1</v>
      </c>
      <c r="K1163" t="str">
        <f t="shared" si="741"/>
        <v>0</v>
      </c>
      <c r="L1163" t="str">
        <f>"9,000"</f>
        <v>9,000</v>
      </c>
      <c r="M1163" t="str">
        <f t="shared" si="758"/>
        <v xml:space="preserve"> </v>
      </c>
      <c r="N1163" t="str">
        <f t="shared" si="748"/>
        <v>MPSI</v>
      </c>
      <c r="O1163" t="str">
        <f t="shared" si="749"/>
        <v>COJINETES</v>
      </c>
      <c r="P1163" t="str">
        <f t="shared" ref="P1163:Q1182" si="777">"0"</f>
        <v>0</v>
      </c>
      <c r="Q1163" t="str">
        <f t="shared" si="777"/>
        <v>0</v>
      </c>
      <c r="R1163" t="str">
        <f t="shared" ref="R1163:S1182" si="778">"0,00"</f>
        <v>0,00</v>
      </c>
      <c r="S1163" t="str">
        <f t="shared" si="778"/>
        <v>0,00</v>
      </c>
      <c r="T1163" t="str">
        <f t="shared" si="740"/>
        <v xml:space="preserve"> </v>
      </c>
      <c r="U1163" t="str">
        <f t="shared" si="774"/>
        <v>-</v>
      </c>
      <c r="V1163" t="str">
        <f>"9,000"</f>
        <v>9,000</v>
      </c>
      <c r="W1163" t="str">
        <f t="shared" si="759"/>
        <v>Lista 4</v>
      </c>
      <c r="X1163" t="str">
        <f t="shared" si="760"/>
        <v>Lista 5</v>
      </c>
      <c r="Y1163" t="str">
        <f t="shared" si="761"/>
        <v>Oferta Gral.</v>
      </c>
      <c r="Z1163" t="str">
        <f t="shared" si="762"/>
        <v>Rubro</v>
      </c>
      <c r="AA1163" t="str">
        <f t="shared" si="763"/>
        <v>Cantidad por Bulto</v>
      </c>
      <c r="AB1163" t="str">
        <f t="shared" si="764"/>
        <v>INNER</v>
      </c>
      <c r="AC1163" t="str">
        <f t="shared" si="765"/>
        <v>Stock en Bultos</v>
      </c>
      <c r="AD1163" t="str">
        <f t="shared" si="766"/>
        <v>SubDepósito</v>
      </c>
      <c r="AE1163" t="str">
        <f t="shared" si="767"/>
        <v>Marca</v>
      </c>
      <c r="AF1163" t="str">
        <f t="shared" si="768"/>
        <v>Super Rubro</v>
      </c>
      <c r="AG1163" t="str">
        <f t="shared" si="769"/>
        <v>ComercioExterior</v>
      </c>
      <c r="AH1163" t="str">
        <f t="shared" si="770"/>
        <v>PrecioFOB</v>
      </c>
      <c r="AI1163" t="str">
        <f t="shared" si="771"/>
        <v>Monto II</v>
      </c>
      <c r="AJ1163" t="str">
        <f t="shared" si="772"/>
        <v>Porcentaje II</v>
      </c>
      <c r="AK1163" t="str">
        <f t="shared" si="773"/>
        <v>Foto</v>
      </c>
      <c r="AL1163" t="str">
        <f t="shared" ref="AL1163:AL1171" si="779">" "</f>
        <v xml:space="preserve"> </v>
      </c>
      <c r="AM1163" t="str">
        <f t="shared" si="776"/>
        <v xml:space="preserve"> </v>
      </c>
    </row>
    <row r="1164" spans="1:39" x14ac:dyDescent="0.25">
      <c r="A1164" t="str">
        <f>"BI871 20"</f>
        <v>BI871 20</v>
      </c>
      <c r="B1164" t="str">
        <f>"COJINETES BIELA 0,50 RENAULT CLIO TWINGO 1.2  D7F SIN TRABA"</f>
        <v>COJINETES BIELA 0,50 RENAULT CLIO TWINGO 1.2  D7F SIN TRABA</v>
      </c>
      <c r="C1164" t="str">
        <f>"$ 10708,86"</f>
        <v>$ 10708,86</v>
      </c>
      <c r="D1164" t="str">
        <f>"$ 10708,86"</f>
        <v>$ 10708,86</v>
      </c>
      <c r="E1164" t="str">
        <f>"$ 10708,86"</f>
        <v>$ 10708,86</v>
      </c>
      <c r="F1164" t="str">
        <f>"$ 10708,86"</f>
        <v>$ 10708,86</v>
      </c>
      <c r="G1164" t="str">
        <f>"$ 10708,86"</f>
        <v>$ 10708,86</v>
      </c>
      <c r="H1164" t="str">
        <f t="shared" si="756"/>
        <v>$ 0,00</v>
      </c>
      <c r="I1164" t="str">
        <f t="shared" si="754"/>
        <v>JUEGO COJINETES BIELA</v>
      </c>
      <c r="J1164" t="str">
        <f t="shared" si="757"/>
        <v>1</v>
      </c>
      <c r="K1164" t="str">
        <f t="shared" si="741"/>
        <v>0</v>
      </c>
      <c r="L1164" t="str">
        <f>"7,000"</f>
        <v>7,000</v>
      </c>
      <c r="M1164" t="str">
        <f t="shared" si="758"/>
        <v xml:space="preserve"> </v>
      </c>
      <c r="N1164" t="str">
        <f t="shared" si="748"/>
        <v>MPSI</v>
      </c>
      <c r="O1164" t="str">
        <f t="shared" si="749"/>
        <v>COJINETES</v>
      </c>
      <c r="P1164" t="str">
        <f t="shared" si="777"/>
        <v>0</v>
      </c>
      <c r="Q1164" t="str">
        <f t="shared" si="777"/>
        <v>0</v>
      </c>
      <c r="R1164" t="str">
        <f t="shared" si="778"/>
        <v>0,00</v>
      </c>
      <c r="S1164" t="str">
        <f t="shared" si="778"/>
        <v>0,00</v>
      </c>
      <c r="T1164" t="str">
        <f t="shared" si="740"/>
        <v xml:space="preserve"> </v>
      </c>
      <c r="U1164" t="str">
        <f t="shared" si="774"/>
        <v>-</v>
      </c>
      <c r="V1164" t="str">
        <f>"7,000"</f>
        <v>7,000</v>
      </c>
      <c r="W1164" t="str">
        <f t="shared" si="759"/>
        <v>Lista 4</v>
      </c>
      <c r="X1164" t="str">
        <f t="shared" si="760"/>
        <v>Lista 5</v>
      </c>
      <c r="Y1164" t="str">
        <f t="shared" si="761"/>
        <v>Oferta Gral.</v>
      </c>
      <c r="Z1164" t="str">
        <f t="shared" si="762"/>
        <v>Rubro</v>
      </c>
      <c r="AA1164" t="str">
        <f t="shared" si="763"/>
        <v>Cantidad por Bulto</v>
      </c>
      <c r="AB1164" t="str">
        <f t="shared" si="764"/>
        <v>INNER</v>
      </c>
      <c r="AC1164" t="str">
        <f t="shared" si="765"/>
        <v>Stock en Bultos</v>
      </c>
      <c r="AD1164" t="str">
        <f t="shared" si="766"/>
        <v>SubDepósito</v>
      </c>
      <c r="AE1164" t="str">
        <f t="shared" si="767"/>
        <v>Marca</v>
      </c>
      <c r="AF1164" t="str">
        <f t="shared" si="768"/>
        <v>Super Rubro</v>
      </c>
      <c r="AG1164" t="str">
        <f t="shared" si="769"/>
        <v>ComercioExterior</v>
      </c>
      <c r="AH1164" t="str">
        <f t="shared" si="770"/>
        <v>PrecioFOB</v>
      </c>
      <c r="AI1164" t="str">
        <f t="shared" si="771"/>
        <v>Monto II</v>
      </c>
      <c r="AJ1164" t="str">
        <f t="shared" si="772"/>
        <v>Porcentaje II</v>
      </c>
      <c r="AK1164" t="str">
        <f t="shared" si="773"/>
        <v>Foto</v>
      </c>
      <c r="AL1164" t="str">
        <f t="shared" si="779"/>
        <v xml:space="preserve"> </v>
      </c>
      <c r="AM1164" t="str">
        <f t="shared" si="776"/>
        <v xml:space="preserve"> </v>
      </c>
    </row>
    <row r="1165" spans="1:39" x14ac:dyDescent="0.25">
      <c r="A1165" t="str">
        <f>"BI384613 20"</f>
        <v>BI384613 20</v>
      </c>
      <c r="B1165" t="str">
        <f>"COJINETES BIELA 0,50 RENAULT CLIO TWINGO 1.2 D7F CON TRABA"</f>
        <v>COJINETES BIELA 0,50 RENAULT CLIO TWINGO 1.2 D7F CON TRABA</v>
      </c>
      <c r="C1165" t="str">
        <f>"$ 13255,45"</f>
        <v>$ 13255,45</v>
      </c>
      <c r="D1165" t="str">
        <f>"$ 13255,45"</f>
        <v>$ 13255,45</v>
      </c>
      <c r="E1165" t="str">
        <f>"$ 13255,45"</f>
        <v>$ 13255,45</v>
      </c>
      <c r="F1165" t="str">
        <f>"$ 13255,45"</f>
        <v>$ 13255,45</v>
      </c>
      <c r="G1165" t="str">
        <f>"$ 13255,45"</f>
        <v>$ 13255,45</v>
      </c>
      <c r="H1165" t="str">
        <f t="shared" si="756"/>
        <v>$ 0,00</v>
      </c>
      <c r="I1165" t="str">
        <f t="shared" si="754"/>
        <v>JUEGO COJINETES BIELA</v>
      </c>
      <c r="J1165" t="str">
        <f t="shared" si="757"/>
        <v>1</v>
      </c>
      <c r="K1165" t="str">
        <f t="shared" si="741"/>
        <v>0</v>
      </c>
      <c r="L1165" t="str">
        <f>"5,000"</f>
        <v>5,000</v>
      </c>
      <c r="M1165" t="str">
        <f t="shared" si="758"/>
        <v xml:space="preserve"> </v>
      </c>
      <c r="N1165" t="str">
        <f t="shared" si="748"/>
        <v>MPSI</v>
      </c>
      <c r="O1165" t="str">
        <f t="shared" si="749"/>
        <v>COJINETES</v>
      </c>
      <c r="P1165" t="str">
        <f t="shared" si="777"/>
        <v>0</v>
      </c>
      <c r="Q1165" t="str">
        <f t="shared" si="777"/>
        <v>0</v>
      </c>
      <c r="R1165" t="str">
        <f t="shared" si="778"/>
        <v>0,00</v>
      </c>
      <c r="S1165" t="str">
        <f t="shared" si="778"/>
        <v>0,00</v>
      </c>
      <c r="T1165" t="str">
        <f t="shared" si="740"/>
        <v xml:space="preserve"> </v>
      </c>
      <c r="U1165" t="str">
        <f t="shared" si="774"/>
        <v>-</v>
      </c>
      <c r="V1165" t="str">
        <f>"5,000"</f>
        <v>5,000</v>
      </c>
      <c r="W1165" t="str">
        <f t="shared" si="759"/>
        <v>Lista 4</v>
      </c>
      <c r="X1165" t="str">
        <f t="shared" si="760"/>
        <v>Lista 5</v>
      </c>
      <c r="Y1165" t="str">
        <f t="shared" si="761"/>
        <v>Oferta Gral.</v>
      </c>
      <c r="Z1165" t="str">
        <f t="shared" si="762"/>
        <v>Rubro</v>
      </c>
      <c r="AA1165" t="str">
        <f t="shared" si="763"/>
        <v>Cantidad por Bulto</v>
      </c>
      <c r="AB1165" t="str">
        <f t="shared" si="764"/>
        <v>INNER</v>
      </c>
      <c r="AC1165" t="str">
        <f t="shared" si="765"/>
        <v>Stock en Bultos</v>
      </c>
      <c r="AD1165" t="str">
        <f t="shared" si="766"/>
        <v>SubDepósito</v>
      </c>
      <c r="AE1165" t="str">
        <f t="shared" si="767"/>
        <v>Marca</v>
      </c>
      <c r="AF1165" t="str">
        <f t="shared" si="768"/>
        <v>Super Rubro</v>
      </c>
      <c r="AG1165" t="str">
        <f t="shared" si="769"/>
        <v>ComercioExterior</v>
      </c>
      <c r="AH1165" t="str">
        <f t="shared" si="770"/>
        <v>PrecioFOB</v>
      </c>
      <c r="AI1165" t="str">
        <f t="shared" si="771"/>
        <v>Monto II</v>
      </c>
      <c r="AJ1165" t="str">
        <f t="shared" si="772"/>
        <v>Porcentaje II</v>
      </c>
      <c r="AK1165" t="str">
        <f t="shared" si="773"/>
        <v>Foto</v>
      </c>
      <c r="AL1165" t="str">
        <f t="shared" si="779"/>
        <v xml:space="preserve"> </v>
      </c>
      <c r="AM1165" t="str">
        <f t="shared" si="776"/>
        <v xml:space="preserve"> </v>
      </c>
    </row>
    <row r="1166" spans="1:39" x14ac:dyDescent="0.25">
      <c r="A1166" t="str">
        <f>"BI383069 20"</f>
        <v>BI383069 20</v>
      </c>
      <c r="B1166" t="str">
        <f>"COJINETES BIELA 0,50 RENAULT KWID 1.0 3 CILINDROS"</f>
        <v>COJINETES BIELA 0,50 RENAULT KWID 1.0 3 CILINDROS</v>
      </c>
      <c r="C1166" t="str">
        <f>"$ 8863,34"</f>
        <v>$ 8863,34</v>
      </c>
      <c r="D1166" t="str">
        <f>"$ 8863,34"</f>
        <v>$ 8863,34</v>
      </c>
      <c r="E1166" t="str">
        <f>"$ 8863,34"</f>
        <v>$ 8863,34</v>
      </c>
      <c r="F1166" t="str">
        <f>"$ 8863,34"</f>
        <v>$ 8863,34</v>
      </c>
      <c r="G1166" t="str">
        <f>"$ 8863,34"</f>
        <v>$ 8863,34</v>
      </c>
      <c r="H1166" t="str">
        <f t="shared" si="756"/>
        <v>$ 0,00</v>
      </c>
      <c r="I1166" t="str">
        <f t="shared" si="754"/>
        <v>JUEGO COJINETES BIELA</v>
      </c>
      <c r="J1166" t="str">
        <f t="shared" si="757"/>
        <v>1</v>
      </c>
      <c r="K1166" t="str">
        <f t="shared" si="741"/>
        <v>0</v>
      </c>
      <c r="L1166" t="str">
        <f>"10,000"</f>
        <v>10,000</v>
      </c>
      <c r="M1166" t="str">
        <f t="shared" si="758"/>
        <v xml:space="preserve"> </v>
      </c>
      <c r="N1166" t="str">
        <f t="shared" si="748"/>
        <v>MPSI</v>
      </c>
      <c r="O1166" t="str">
        <f t="shared" si="749"/>
        <v>COJINETES</v>
      </c>
      <c r="P1166" t="str">
        <f t="shared" si="777"/>
        <v>0</v>
      </c>
      <c r="Q1166" t="str">
        <f t="shared" si="777"/>
        <v>0</v>
      </c>
      <c r="R1166" t="str">
        <f t="shared" si="778"/>
        <v>0,00</v>
      </c>
      <c r="S1166" t="str">
        <f t="shared" si="778"/>
        <v>0,00</v>
      </c>
      <c r="T1166" t="str">
        <f t="shared" si="740"/>
        <v xml:space="preserve"> </v>
      </c>
      <c r="U1166" t="str">
        <f t="shared" si="774"/>
        <v>-</v>
      </c>
      <c r="V1166" t="str">
        <f>"10,000"</f>
        <v>10,000</v>
      </c>
      <c r="W1166" t="str">
        <f t="shared" si="759"/>
        <v>Lista 4</v>
      </c>
      <c r="X1166" t="str">
        <f t="shared" si="760"/>
        <v>Lista 5</v>
      </c>
      <c r="Y1166" t="str">
        <f t="shared" si="761"/>
        <v>Oferta Gral.</v>
      </c>
      <c r="Z1166" t="str">
        <f t="shared" si="762"/>
        <v>Rubro</v>
      </c>
      <c r="AA1166" t="str">
        <f t="shared" si="763"/>
        <v>Cantidad por Bulto</v>
      </c>
      <c r="AB1166" t="str">
        <f t="shared" si="764"/>
        <v>INNER</v>
      </c>
      <c r="AC1166" t="str">
        <f t="shared" si="765"/>
        <v>Stock en Bultos</v>
      </c>
      <c r="AD1166" t="str">
        <f t="shared" si="766"/>
        <v>SubDepósito</v>
      </c>
      <c r="AE1166" t="str">
        <f t="shared" si="767"/>
        <v>Marca</v>
      </c>
      <c r="AF1166" t="str">
        <f t="shared" si="768"/>
        <v>Super Rubro</v>
      </c>
      <c r="AG1166" t="str">
        <f t="shared" si="769"/>
        <v>ComercioExterior</v>
      </c>
      <c r="AH1166" t="str">
        <f t="shared" si="770"/>
        <v>PrecioFOB</v>
      </c>
      <c r="AI1166" t="str">
        <f t="shared" si="771"/>
        <v>Monto II</v>
      </c>
      <c r="AJ1166" t="str">
        <f t="shared" si="772"/>
        <v>Porcentaje II</v>
      </c>
      <c r="AK1166" t="str">
        <f t="shared" si="773"/>
        <v>Foto</v>
      </c>
      <c r="AL1166" t="str">
        <f t="shared" si="779"/>
        <v xml:space="preserve"> </v>
      </c>
      <c r="AM1166" t="str">
        <f t="shared" si="776"/>
        <v xml:space="preserve"> </v>
      </c>
    </row>
    <row r="1167" spans="1:39" x14ac:dyDescent="0.25">
      <c r="A1167" t="str">
        <f>"BI869 20"</f>
        <v>BI869 20</v>
      </c>
      <c r="B1167" t="str">
        <f>"COJINETES BIELA 0,50 RENAULT MASTER 2.5 MOTOR G9U"</f>
        <v>COJINETES BIELA 0,50 RENAULT MASTER 2.5 MOTOR G9U</v>
      </c>
      <c r="C1167" t="str">
        <f>"$ 22161,40"</f>
        <v>$ 22161,40</v>
      </c>
      <c r="D1167" t="str">
        <f>"$ 22161,40"</f>
        <v>$ 22161,40</v>
      </c>
      <c r="E1167" t="str">
        <f>"$ 22161,40"</f>
        <v>$ 22161,40</v>
      </c>
      <c r="F1167" t="str">
        <f>"$ 22161,40"</f>
        <v>$ 22161,40</v>
      </c>
      <c r="G1167" t="str">
        <f>"$ 22161,40"</f>
        <v>$ 22161,40</v>
      </c>
      <c r="H1167" t="str">
        <f t="shared" si="756"/>
        <v>$ 0,00</v>
      </c>
      <c r="I1167" t="str">
        <f t="shared" si="754"/>
        <v>JUEGO COJINETES BIELA</v>
      </c>
      <c r="J1167" t="str">
        <f t="shared" si="757"/>
        <v>1</v>
      </c>
      <c r="K1167" t="str">
        <f t="shared" si="741"/>
        <v>0</v>
      </c>
      <c r="L1167" t="str">
        <f>"6,000"</f>
        <v>6,000</v>
      </c>
      <c r="M1167" t="str">
        <f t="shared" si="758"/>
        <v xml:space="preserve"> </v>
      </c>
      <c r="N1167" t="str">
        <f t="shared" si="748"/>
        <v>MPSI</v>
      </c>
      <c r="O1167" t="str">
        <f t="shared" si="749"/>
        <v>COJINETES</v>
      </c>
      <c r="P1167" t="str">
        <f t="shared" si="777"/>
        <v>0</v>
      </c>
      <c r="Q1167" t="str">
        <f t="shared" si="777"/>
        <v>0</v>
      </c>
      <c r="R1167" t="str">
        <f t="shared" si="778"/>
        <v>0,00</v>
      </c>
      <c r="S1167" t="str">
        <f t="shared" si="778"/>
        <v>0,00</v>
      </c>
      <c r="T1167" t="str">
        <f t="shared" si="740"/>
        <v xml:space="preserve"> </v>
      </c>
      <c r="U1167" t="str">
        <f t="shared" si="774"/>
        <v>-</v>
      </c>
      <c r="V1167" t="str">
        <f>"6,000"</f>
        <v>6,000</v>
      </c>
      <c r="W1167" t="str">
        <f t="shared" si="759"/>
        <v>Lista 4</v>
      </c>
      <c r="X1167" t="str">
        <f t="shared" si="760"/>
        <v>Lista 5</v>
      </c>
      <c r="Y1167" t="str">
        <f t="shared" si="761"/>
        <v>Oferta Gral.</v>
      </c>
      <c r="Z1167" t="str">
        <f t="shared" si="762"/>
        <v>Rubro</v>
      </c>
      <c r="AA1167" t="str">
        <f t="shared" si="763"/>
        <v>Cantidad por Bulto</v>
      </c>
      <c r="AB1167" t="str">
        <f t="shared" si="764"/>
        <v>INNER</v>
      </c>
      <c r="AC1167" t="str">
        <f t="shared" si="765"/>
        <v>Stock en Bultos</v>
      </c>
      <c r="AD1167" t="str">
        <f t="shared" si="766"/>
        <v>SubDepósito</v>
      </c>
      <c r="AE1167" t="str">
        <f t="shared" si="767"/>
        <v>Marca</v>
      </c>
      <c r="AF1167" t="str">
        <f t="shared" si="768"/>
        <v>Super Rubro</v>
      </c>
      <c r="AG1167" t="str">
        <f t="shared" si="769"/>
        <v>ComercioExterior</v>
      </c>
      <c r="AH1167" t="str">
        <f t="shared" si="770"/>
        <v>PrecioFOB</v>
      </c>
      <c r="AI1167" t="str">
        <f t="shared" si="771"/>
        <v>Monto II</v>
      </c>
      <c r="AJ1167" t="str">
        <f t="shared" si="772"/>
        <v>Porcentaje II</v>
      </c>
      <c r="AK1167" t="str">
        <f t="shared" si="773"/>
        <v>Foto</v>
      </c>
      <c r="AL1167" t="str">
        <f t="shared" si="779"/>
        <v xml:space="preserve"> </v>
      </c>
      <c r="AM1167" t="str">
        <f t="shared" si="776"/>
        <v xml:space="preserve"> </v>
      </c>
    </row>
    <row r="1168" spans="1:39" x14ac:dyDescent="0.25">
      <c r="A1168" t="str">
        <f>"BI384574 20"</f>
        <v>BI384574 20</v>
      </c>
      <c r="B1168" t="str">
        <f>"COJINETES BIELA 0,50 RENAULT MASTER ALASKAN NISSAN FRONTIER 2.3 M9T"</f>
        <v>COJINETES BIELA 0,50 RENAULT MASTER ALASKAN NISSAN FRONTIER 2.3 M9T</v>
      </c>
      <c r="C1168" t="str">
        <f>"$ 26332,84"</f>
        <v>$ 26332,84</v>
      </c>
      <c r="D1168" t="str">
        <f>"$ 26332,84"</f>
        <v>$ 26332,84</v>
      </c>
      <c r="E1168" t="str">
        <f>"$ 26332,84"</f>
        <v>$ 26332,84</v>
      </c>
      <c r="F1168" t="str">
        <f>"$ 26332,84"</f>
        <v>$ 26332,84</v>
      </c>
      <c r="G1168" t="str">
        <f>"$ 26332,84"</f>
        <v>$ 26332,84</v>
      </c>
      <c r="H1168" t="str">
        <f t="shared" si="756"/>
        <v>$ 0,00</v>
      </c>
      <c r="I1168" t="str">
        <f t="shared" si="754"/>
        <v>JUEGO COJINETES BIELA</v>
      </c>
      <c r="J1168" t="str">
        <f t="shared" si="757"/>
        <v>1</v>
      </c>
      <c r="K1168" t="str">
        <f t="shared" si="741"/>
        <v>0</v>
      </c>
      <c r="L1168" t="str">
        <f>"6,000"</f>
        <v>6,000</v>
      </c>
      <c r="M1168" t="str">
        <f t="shared" si="758"/>
        <v xml:space="preserve"> </v>
      </c>
      <c r="N1168" t="str">
        <f t="shared" si="748"/>
        <v>MPSI</v>
      </c>
      <c r="O1168" t="str">
        <f t="shared" si="749"/>
        <v>COJINETES</v>
      </c>
      <c r="P1168" t="str">
        <f t="shared" si="777"/>
        <v>0</v>
      </c>
      <c r="Q1168" t="str">
        <f t="shared" si="777"/>
        <v>0</v>
      </c>
      <c r="R1168" t="str">
        <f t="shared" si="778"/>
        <v>0,00</v>
      </c>
      <c r="S1168" t="str">
        <f t="shared" si="778"/>
        <v>0,00</v>
      </c>
      <c r="T1168" t="str">
        <f t="shared" si="740"/>
        <v xml:space="preserve"> </v>
      </c>
      <c r="U1168" t="str">
        <f t="shared" si="774"/>
        <v>-</v>
      </c>
      <c r="V1168" t="str">
        <f>"6,000"</f>
        <v>6,000</v>
      </c>
      <c r="W1168" t="str">
        <f t="shared" si="759"/>
        <v>Lista 4</v>
      </c>
      <c r="X1168" t="str">
        <f t="shared" si="760"/>
        <v>Lista 5</v>
      </c>
      <c r="Y1168" t="str">
        <f t="shared" si="761"/>
        <v>Oferta Gral.</v>
      </c>
      <c r="Z1168" t="str">
        <f t="shared" si="762"/>
        <v>Rubro</v>
      </c>
      <c r="AA1168" t="str">
        <f t="shared" si="763"/>
        <v>Cantidad por Bulto</v>
      </c>
      <c r="AB1168" t="str">
        <f t="shared" si="764"/>
        <v>INNER</v>
      </c>
      <c r="AC1168" t="str">
        <f t="shared" si="765"/>
        <v>Stock en Bultos</v>
      </c>
      <c r="AD1168" t="str">
        <f t="shared" si="766"/>
        <v>SubDepósito</v>
      </c>
      <c r="AE1168" t="str">
        <f t="shared" si="767"/>
        <v>Marca</v>
      </c>
      <c r="AF1168" t="str">
        <f t="shared" si="768"/>
        <v>Super Rubro</v>
      </c>
      <c r="AG1168" t="str">
        <f t="shared" si="769"/>
        <v>ComercioExterior</v>
      </c>
      <c r="AH1168" t="str">
        <f t="shared" si="770"/>
        <v>PrecioFOB</v>
      </c>
      <c r="AI1168" t="str">
        <f t="shared" si="771"/>
        <v>Monto II</v>
      </c>
      <c r="AJ1168" t="str">
        <f t="shared" si="772"/>
        <v>Porcentaje II</v>
      </c>
      <c r="AK1168" t="str">
        <f t="shared" si="773"/>
        <v>Foto</v>
      </c>
      <c r="AL1168" t="str">
        <f t="shared" si="779"/>
        <v xml:space="preserve"> </v>
      </c>
      <c r="AM1168" t="str">
        <f t="shared" si="776"/>
        <v xml:space="preserve"> </v>
      </c>
    </row>
    <row r="1169" spans="1:39" x14ac:dyDescent="0.25">
      <c r="A1169" t="str">
        <f>"BI242 20"</f>
        <v>BI242 20</v>
      </c>
      <c r="B1169" t="str">
        <f>"COJINETES BIELA 0,50 RENAULT MEGANE 1.9 TURBO DIESEL SIN TRABA"</f>
        <v>COJINETES BIELA 0,50 RENAULT MEGANE 1.9 TURBO DIESEL SIN TRABA</v>
      </c>
      <c r="C1169" t="str">
        <f>"$ 24868,80"</f>
        <v>$ 24868,80</v>
      </c>
      <c r="D1169" t="str">
        <f>"$ 24868,80"</f>
        <v>$ 24868,80</v>
      </c>
      <c r="E1169" t="str">
        <f>"$ 24868,80"</f>
        <v>$ 24868,80</v>
      </c>
      <c r="F1169" t="str">
        <f>"$ 24868,80"</f>
        <v>$ 24868,80</v>
      </c>
      <c r="G1169" t="str">
        <f>"$ 24868,80"</f>
        <v>$ 24868,80</v>
      </c>
      <c r="H1169" t="str">
        <f t="shared" si="756"/>
        <v>$ 0,00</v>
      </c>
      <c r="I1169" t="str">
        <f t="shared" si="754"/>
        <v>JUEGO COJINETES BIELA</v>
      </c>
      <c r="J1169" t="str">
        <f t="shared" si="757"/>
        <v>1</v>
      </c>
      <c r="K1169" t="str">
        <f t="shared" si="741"/>
        <v>0</v>
      </c>
      <c r="L1169" t="str">
        <f>"4,000"</f>
        <v>4,000</v>
      </c>
      <c r="M1169" t="str">
        <f t="shared" si="758"/>
        <v xml:space="preserve"> </v>
      </c>
      <c r="N1169" t="str">
        <f t="shared" si="748"/>
        <v>MPSI</v>
      </c>
      <c r="O1169" t="str">
        <f t="shared" si="749"/>
        <v>COJINETES</v>
      </c>
      <c r="P1169" t="str">
        <f t="shared" si="777"/>
        <v>0</v>
      </c>
      <c r="Q1169" t="str">
        <f t="shared" si="777"/>
        <v>0</v>
      </c>
      <c r="R1169" t="str">
        <f t="shared" si="778"/>
        <v>0,00</v>
      </c>
      <c r="S1169" t="str">
        <f t="shared" si="778"/>
        <v>0,00</v>
      </c>
      <c r="T1169" t="str">
        <f t="shared" ref="T1169:T1232" si="780">" "</f>
        <v xml:space="preserve"> </v>
      </c>
      <c r="U1169" t="str">
        <f t="shared" si="774"/>
        <v>-</v>
      </c>
      <c r="V1169" t="str">
        <f>"4,000"</f>
        <v>4,000</v>
      </c>
      <c r="W1169" t="str">
        <f t="shared" si="759"/>
        <v>Lista 4</v>
      </c>
      <c r="X1169" t="str">
        <f t="shared" si="760"/>
        <v>Lista 5</v>
      </c>
      <c r="Y1169" t="str">
        <f t="shared" si="761"/>
        <v>Oferta Gral.</v>
      </c>
      <c r="Z1169" t="str">
        <f t="shared" si="762"/>
        <v>Rubro</v>
      </c>
      <c r="AA1169" t="str">
        <f t="shared" si="763"/>
        <v>Cantidad por Bulto</v>
      </c>
      <c r="AB1169" t="str">
        <f t="shared" si="764"/>
        <v>INNER</v>
      </c>
      <c r="AC1169" t="str">
        <f t="shared" si="765"/>
        <v>Stock en Bultos</v>
      </c>
      <c r="AD1169" t="str">
        <f t="shared" si="766"/>
        <v>SubDepósito</v>
      </c>
      <c r="AE1169" t="str">
        <f t="shared" si="767"/>
        <v>Marca</v>
      </c>
      <c r="AF1169" t="str">
        <f t="shared" si="768"/>
        <v>Super Rubro</v>
      </c>
      <c r="AG1169" t="str">
        <f t="shared" si="769"/>
        <v>ComercioExterior</v>
      </c>
      <c r="AH1169" t="str">
        <f t="shared" si="770"/>
        <v>PrecioFOB</v>
      </c>
      <c r="AI1169" t="str">
        <f t="shared" si="771"/>
        <v>Monto II</v>
      </c>
      <c r="AJ1169" t="str">
        <f t="shared" si="772"/>
        <v>Porcentaje II</v>
      </c>
      <c r="AK1169" t="str">
        <f t="shared" si="773"/>
        <v>Foto</v>
      </c>
      <c r="AL1169" t="str">
        <f t="shared" si="779"/>
        <v xml:space="preserve"> </v>
      </c>
      <c r="AM1169" t="str">
        <f t="shared" si="776"/>
        <v xml:space="preserve"> </v>
      </c>
    </row>
    <row r="1170" spans="1:39" x14ac:dyDescent="0.25">
      <c r="A1170" t="str">
        <f>"BI384104 20"</f>
        <v>BI384104 20</v>
      </c>
      <c r="B1170" t="str">
        <f>"COJINETES BIELA 0,50 RENAULT MEGANE 3 FLUENCE NISSAN SENTRA 2.0 M4R"</f>
        <v>COJINETES BIELA 0,50 RENAULT MEGANE 3 FLUENCE NISSAN SENTRA 2.0 M4R</v>
      </c>
      <c r="C1170" t="str">
        <f>"$ 10960,47"</f>
        <v>$ 10960,47</v>
      </c>
      <c r="D1170" t="str">
        <f>"$ 10960,47"</f>
        <v>$ 10960,47</v>
      </c>
      <c r="E1170" t="str">
        <f>"$ 10960,47"</f>
        <v>$ 10960,47</v>
      </c>
      <c r="F1170" t="str">
        <f>"$ 10960,47"</f>
        <v>$ 10960,47</v>
      </c>
      <c r="G1170" t="str">
        <f>"$ 10960,47"</f>
        <v>$ 10960,47</v>
      </c>
      <c r="H1170" t="str">
        <f t="shared" si="756"/>
        <v>$ 0,00</v>
      </c>
      <c r="I1170" t="str">
        <f t="shared" si="754"/>
        <v>JUEGO COJINETES BIELA</v>
      </c>
      <c r="J1170" t="str">
        <f t="shared" si="757"/>
        <v>1</v>
      </c>
      <c r="K1170" t="str">
        <f t="shared" si="741"/>
        <v>0</v>
      </c>
      <c r="L1170" t="str">
        <f>"10,000"</f>
        <v>10,000</v>
      </c>
      <c r="M1170" t="str">
        <f t="shared" si="758"/>
        <v xml:space="preserve"> </v>
      </c>
      <c r="N1170" t="str">
        <f t="shared" si="748"/>
        <v>MPSI</v>
      </c>
      <c r="O1170" t="str">
        <f t="shared" si="749"/>
        <v>COJINETES</v>
      </c>
      <c r="P1170" t="str">
        <f t="shared" si="777"/>
        <v>0</v>
      </c>
      <c r="Q1170" t="str">
        <f t="shared" si="777"/>
        <v>0</v>
      </c>
      <c r="R1170" t="str">
        <f t="shared" si="778"/>
        <v>0,00</v>
      </c>
      <c r="S1170" t="str">
        <f t="shared" si="778"/>
        <v>0,00</v>
      </c>
      <c r="T1170" t="str">
        <f t="shared" si="780"/>
        <v xml:space="preserve"> </v>
      </c>
      <c r="U1170" t="str">
        <f t="shared" si="774"/>
        <v>-</v>
      </c>
      <c r="V1170" t="str">
        <f>"10,000"</f>
        <v>10,000</v>
      </c>
      <c r="W1170" t="str">
        <f t="shared" si="759"/>
        <v>Lista 4</v>
      </c>
      <c r="X1170" t="str">
        <f t="shared" si="760"/>
        <v>Lista 5</v>
      </c>
      <c r="Y1170" t="str">
        <f t="shared" si="761"/>
        <v>Oferta Gral.</v>
      </c>
      <c r="Z1170" t="str">
        <f t="shared" si="762"/>
        <v>Rubro</v>
      </c>
      <c r="AA1170" t="str">
        <f t="shared" si="763"/>
        <v>Cantidad por Bulto</v>
      </c>
      <c r="AB1170" t="str">
        <f t="shared" si="764"/>
        <v>INNER</v>
      </c>
      <c r="AC1170" t="str">
        <f t="shared" si="765"/>
        <v>Stock en Bultos</v>
      </c>
      <c r="AD1170" t="str">
        <f t="shared" si="766"/>
        <v>SubDepósito</v>
      </c>
      <c r="AE1170" t="str">
        <f t="shared" si="767"/>
        <v>Marca</v>
      </c>
      <c r="AF1170" t="str">
        <f t="shared" si="768"/>
        <v>Super Rubro</v>
      </c>
      <c r="AG1170" t="str">
        <f t="shared" si="769"/>
        <v>ComercioExterior</v>
      </c>
      <c r="AH1170" t="str">
        <f t="shared" si="770"/>
        <v>PrecioFOB</v>
      </c>
      <c r="AI1170" t="str">
        <f t="shared" si="771"/>
        <v>Monto II</v>
      </c>
      <c r="AJ1170" t="str">
        <f t="shared" si="772"/>
        <v>Porcentaje II</v>
      </c>
      <c r="AK1170" t="str">
        <f t="shared" si="773"/>
        <v>Foto</v>
      </c>
      <c r="AL1170" t="str">
        <f t="shared" si="779"/>
        <v xml:space="preserve"> </v>
      </c>
      <c r="AM1170" t="str">
        <f t="shared" si="776"/>
        <v xml:space="preserve"> </v>
      </c>
    </row>
    <row r="1171" spans="1:39" x14ac:dyDescent="0.25">
      <c r="A1171" t="str">
        <f>"BI876 20"</f>
        <v>BI876 20</v>
      </c>
      <c r="B1171" t="str">
        <f>"COJINETES BIELA 0,50 RENAULT MEGANE KANGOO LOGAN 1.5 DCI K9K"</f>
        <v>COJINETES BIELA 0,50 RENAULT MEGANE KANGOO LOGAN 1.5 DCI K9K</v>
      </c>
      <c r="C1171" t="str">
        <f>"$ 16988,75"</f>
        <v>$ 16988,75</v>
      </c>
      <c r="D1171" t="str">
        <f>"$ 16988,75"</f>
        <v>$ 16988,75</v>
      </c>
      <c r="E1171" t="str">
        <f>"$ 16988,75"</f>
        <v>$ 16988,75</v>
      </c>
      <c r="F1171" t="str">
        <f>"$ 16988,75"</f>
        <v>$ 16988,75</v>
      </c>
      <c r="G1171" t="str">
        <f>"$ 16988,75"</f>
        <v>$ 16988,75</v>
      </c>
      <c r="H1171" t="str">
        <f t="shared" si="756"/>
        <v>$ 0,00</v>
      </c>
      <c r="I1171" t="str">
        <f t="shared" si="754"/>
        <v>JUEGO COJINETES BIELA</v>
      </c>
      <c r="J1171" t="str">
        <f t="shared" si="757"/>
        <v>1</v>
      </c>
      <c r="K1171" t="str">
        <f t="shared" si="741"/>
        <v>0</v>
      </c>
      <c r="L1171" t="str">
        <f>"5,000"</f>
        <v>5,000</v>
      </c>
      <c r="M1171" t="str">
        <f t="shared" si="758"/>
        <v xml:space="preserve"> </v>
      </c>
      <c r="N1171" t="str">
        <f t="shared" si="748"/>
        <v>MPSI</v>
      </c>
      <c r="O1171" t="str">
        <f t="shared" si="749"/>
        <v>COJINETES</v>
      </c>
      <c r="P1171" t="str">
        <f t="shared" si="777"/>
        <v>0</v>
      </c>
      <c r="Q1171" t="str">
        <f t="shared" si="777"/>
        <v>0</v>
      </c>
      <c r="R1171" t="str">
        <f t="shared" si="778"/>
        <v>0,00</v>
      </c>
      <c r="S1171" t="str">
        <f t="shared" si="778"/>
        <v>0,00</v>
      </c>
      <c r="T1171" t="str">
        <f t="shared" si="780"/>
        <v xml:space="preserve"> </v>
      </c>
      <c r="U1171" t="str">
        <f t="shared" si="774"/>
        <v>-</v>
      </c>
      <c r="V1171" t="str">
        <f>"5,000"</f>
        <v>5,000</v>
      </c>
      <c r="W1171" t="str">
        <f t="shared" si="759"/>
        <v>Lista 4</v>
      </c>
      <c r="X1171" t="str">
        <f t="shared" si="760"/>
        <v>Lista 5</v>
      </c>
      <c r="Y1171" t="str">
        <f t="shared" si="761"/>
        <v>Oferta Gral.</v>
      </c>
      <c r="Z1171" t="str">
        <f t="shared" si="762"/>
        <v>Rubro</v>
      </c>
      <c r="AA1171" t="str">
        <f t="shared" si="763"/>
        <v>Cantidad por Bulto</v>
      </c>
      <c r="AB1171" t="str">
        <f t="shared" si="764"/>
        <v>INNER</v>
      </c>
      <c r="AC1171" t="str">
        <f t="shared" si="765"/>
        <v>Stock en Bultos</v>
      </c>
      <c r="AD1171" t="str">
        <f t="shared" si="766"/>
        <v>SubDepósito</v>
      </c>
      <c r="AE1171" t="str">
        <f t="shared" si="767"/>
        <v>Marca</v>
      </c>
      <c r="AF1171" t="str">
        <f t="shared" si="768"/>
        <v>Super Rubro</v>
      </c>
      <c r="AG1171" t="str">
        <f t="shared" si="769"/>
        <v>ComercioExterior</v>
      </c>
      <c r="AH1171" t="str">
        <f t="shared" si="770"/>
        <v>PrecioFOB</v>
      </c>
      <c r="AI1171" t="str">
        <f t="shared" si="771"/>
        <v>Monto II</v>
      </c>
      <c r="AJ1171" t="str">
        <f t="shared" si="772"/>
        <v>Porcentaje II</v>
      </c>
      <c r="AK1171" t="str">
        <f t="shared" si="773"/>
        <v>Foto</v>
      </c>
      <c r="AL1171" t="str">
        <f t="shared" si="779"/>
        <v xml:space="preserve"> </v>
      </c>
      <c r="AM1171" t="str">
        <f t="shared" si="776"/>
        <v xml:space="preserve"> </v>
      </c>
    </row>
    <row r="1172" spans="1:39" x14ac:dyDescent="0.25">
      <c r="A1172" t="str">
        <f>"BI873 20"</f>
        <v>BI873 20</v>
      </c>
      <c r="B1172" t="str">
        <f>"COJINETES BIELA 0,50 RENAULT MEGANE KANGOO LOGAN 1.6 16V K4M"</f>
        <v>COJINETES BIELA 0,50 RENAULT MEGANE KANGOO LOGAN 1.6 16V K4M</v>
      </c>
      <c r="C1172" t="str">
        <f>"$ 11452,54"</f>
        <v>$ 11452,54</v>
      </c>
      <c r="D1172" t="str">
        <f>"$ 11452,54"</f>
        <v>$ 11452,54</v>
      </c>
      <c r="E1172" t="str">
        <f>"$ 11452,54"</f>
        <v>$ 11452,54</v>
      </c>
      <c r="F1172" t="str">
        <f>"$ 11452,54"</f>
        <v>$ 11452,54</v>
      </c>
      <c r="G1172" t="str">
        <f>"$ 11452,54"</f>
        <v>$ 11452,54</v>
      </c>
      <c r="H1172" t="str">
        <f t="shared" si="756"/>
        <v>$ 0,00</v>
      </c>
      <c r="I1172" t="str">
        <f t="shared" si="754"/>
        <v>JUEGO COJINETES BIELA</v>
      </c>
      <c r="J1172" t="str">
        <f t="shared" si="757"/>
        <v>1</v>
      </c>
      <c r="K1172" t="str">
        <f t="shared" si="741"/>
        <v>0</v>
      </c>
      <c r="L1172" t="str">
        <f>"12,000"</f>
        <v>12,000</v>
      </c>
      <c r="M1172" t="str">
        <f t="shared" si="758"/>
        <v xml:space="preserve"> </v>
      </c>
      <c r="N1172" t="str">
        <f t="shared" si="748"/>
        <v>MPSI</v>
      </c>
      <c r="O1172" t="str">
        <f t="shared" si="749"/>
        <v>COJINETES</v>
      </c>
      <c r="P1172" t="str">
        <f t="shared" si="777"/>
        <v>0</v>
      </c>
      <c r="Q1172" t="str">
        <f t="shared" si="777"/>
        <v>0</v>
      </c>
      <c r="R1172" t="str">
        <f t="shared" si="778"/>
        <v>0,00</v>
      </c>
      <c r="S1172" t="str">
        <f t="shared" si="778"/>
        <v>0,00</v>
      </c>
      <c r="T1172" t="str">
        <f t="shared" si="780"/>
        <v xml:space="preserve"> </v>
      </c>
      <c r="U1172" t="str">
        <f t="shared" si="774"/>
        <v>-</v>
      </c>
      <c r="V1172" t="str">
        <f>"12,000"</f>
        <v>12,000</v>
      </c>
      <c r="W1172" t="str">
        <f t="shared" si="759"/>
        <v>Lista 4</v>
      </c>
      <c r="X1172" t="str">
        <f t="shared" si="760"/>
        <v>Lista 5</v>
      </c>
      <c r="Y1172" t="str">
        <f t="shared" si="761"/>
        <v>Oferta Gral.</v>
      </c>
      <c r="Z1172" t="str">
        <f t="shared" si="762"/>
        <v>Rubro</v>
      </c>
      <c r="AA1172" t="str">
        <f t="shared" si="763"/>
        <v>Cantidad por Bulto</v>
      </c>
      <c r="AB1172" t="str">
        <f t="shared" si="764"/>
        <v>INNER</v>
      </c>
      <c r="AC1172" t="str">
        <f t="shared" si="765"/>
        <v>Stock en Bultos</v>
      </c>
      <c r="AD1172" t="str">
        <f t="shared" si="766"/>
        <v>SubDepósito</v>
      </c>
      <c r="AE1172" t="str">
        <f t="shared" si="767"/>
        <v>Marca</v>
      </c>
      <c r="AF1172" t="str">
        <f t="shared" si="768"/>
        <v>Super Rubro</v>
      </c>
      <c r="AG1172" t="str">
        <f t="shared" si="769"/>
        <v>ComercioExterior</v>
      </c>
      <c r="AH1172" t="str">
        <f t="shared" si="770"/>
        <v>PrecioFOB</v>
      </c>
      <c r="AI1172" t="str">
        <f t="shared" si="771"/>
        <v>Monto II</v>
      </c>
      <c r="AJ1172" t="str">
        <f t="shared" si="772"/>
        <v>Porcentaje II</v>
      </c>
      <c r="AK1172" t="str">
        <f t="shared" si="773"/>
        <v>Foto</v>
      </c>
      <c r="AL1172" t="str">
        <f>"{\rtf1\ansi\ansicpg1252\deff0\deflang2058{\fonttbl{\f0\fnil\fcharset0 MS Sans Serif}} \viewkind4\uc1\pard\f0\fs16 COJINETES BIELA 0,50 RENAULT MEGANE KANGOO LOGAN 1.6 16V K4M\par } "</f>
        <v xml:space="preserve">{\rtf1\ansi\ansicpg1252\deff0\deflang2058{\fonttbl{\f0\fnil\fcharset0 MS Sans Serif}} \viewkind4\uc1\pard\f0\fs16 COJINETES BIELA 0,50 RENAULT MEGANE KANGOO LOGAN 1.6 16V K4M\par } </v>
      </c>
      <c r="AM1172" t="str">
        <f t="shared" si="776"/>
        <v xml:space="preserve"> </v>
      </c>
    </row>
    <row r="1173" spans="1:39" x14ac:dyDescent="0.25">
      <c r="A1173" t="str">
        <f>"BI556SP 20"</f>
        <v>BI556SP 20</v>
      </c>
      <c r="B1173" t="str">
        <f>"COJINETES BIELA 0,50 SPUTTER MERCEDES SPRINTER OM611"</f>
        <v>COJINETES BIELA 0,50 SPUTTER MERCEDES SPRINTER OM611</v>
      </c>
      <c r="C1173" t="str">
        <f>"$ 49361,70"</f>
        <v>$ 49361,70</v>
      </c>
      <c r="D1173" t="str">
        <f>"$ 49361,70"</f>
        <v>$ 49361,70</v>
      </c>
      <c r="E1173" t="str">
        <f>"$ 49361,70"</f>
        <v>$ 49361,70</v>
      </c>
      <c r="F1173" t="str">
        <f>"$ 49361,70"</f>
        <v>$ 49361,70</v>
      </c>
      <c r="G1173" t="str">
        <f>"$ 49361,70"</f>
        <v>$ 49361,70</v>
      </c>
      <c r="H1173" t="str">
        <f t="shared" si="756"/>
        <v>$ 0,00</v>
      </c>
      <c r="I1173" t="str">
        <f t="shared" si="754"/>
        <v>JUEGO COJINETES BIELA</v>
      </c>
      <c r="J1173" t="str">
        <f t="shared" si="757"/>
        <v>1</v>
      </c>
      <c r="K1173" t="str">
        <f t="shared" si="741"/>
        <v>0</v>
      </c>
      <c r="L1173" t="str">
        <f>"0,000"</f>
        <v>0,000</v>
      </c>
      <c r="M1173" t="str">
        <f t="shared" si="758"/>
        <v xml:space="preserve"> </v>
      </c>
      <c r="N1173" t="str">
        <f t="shared" si="748"/>
        <v>MPSI</v>
      </c>
      <c r="O1173" t="str">
        <f t="shared" si="749"/>
        <v>COJINETES</v>
      </c>
      <c r="P1173" t="str">
        <f t="shared" si="777"/>
        <v>0</v>
      </c>
      <c r="Q1173" t="str">
        <f t="shared" si="777"/>
        <v>0</v>
      </c>
      <c r="R1173" t="str">
        <f t="shared" si="778"/>
        <v>0,00</v>
      </c>
      <c r="S1173" t="str">
        <f t="shared" si="778"/>
        <v>0,00</v>
      </c>
      <c r="T1173" t="str">
        <f t="shared" si="780"/>
        <v xml:space="preserve"> </v>
      </c>
      <c r="U1173" t="str">
        <f t="shared" si="774"/>
        <v>-</v>
      </c>
      <c r="V1173" t="str">
        <f>"0,000"</f>
        <v>0,000</v>
      </c>
      <c r="W1173" t="str">
        <f t="shared" si="759"/>
        <v>Lista 4</v>
      </c>
      <c r="X1173" t="str">
        <f t="shared" si="760"/>
        <v>Lista 5</v>
      </c>
      <c r="Y1173" t="str">
        <f t="shared" si="761"/>
        <v>Oferta Gral.</v>
      </c>
      <c r="Z1173" t="str">
        <f t="shared" si="762"/>
        <v>Rubro</v>
      </c>
      <c r="AA1173" t="str">
        <f t="shared" si="763"/>
        <v>Cantidad por Bulto</v>
      </c>
      <c r="AB1173" t="str">
        <f t="shared" si="764"/>
        <v>INNER</v>
      </c>
      <c r="AC1173" t="str">
        <f t="shared" si="765"/>
        <v>Stock en Bultos</v>
      </c>
      <c r="AD1173" t="str">
        <f t="shared" si="766"/>
        <v>SubDepósito</v>
      </c>
      <c r="AE1173" t="str">
        <f t="shared" si="767"/>
        <v>Marca</v>
      </c>
      <c r="AF1173" t="str">
        <f t="shared" si="768"/>
        <v>Super Rubro</v>
      </c>
      <c r="AG1173" t="str">
        <f t="shared" si="769"/>
        <v>ComercioExterior</v>
      </c>
      <c r="AH1173" t="str">
        <f t="shared" si="770"/>
        <v>PrecioFOB</v>
      </c>
      <c r="AI1173" t="str">
        <f t="shared" si="771"/>
        <v>Monto II</v>
      </c>
      <c r="AJ1173" t="str">
        <f t="shared" si="772"/>
        <v>Porcentaje II</v>
      </c>
      <c r="AK1173" t="str">
        <f t="shared" si="773"/>
        <v>Foto</v>
      </c>
      <c r="AL1173" t="str">
        <f>" "</f>
        <v xml:space="preserve"> </v>
      </c>
      <c r="AM1173" t="str">
        <f t="shared" si="776"/>
        <v xml:space="preserve"> </v>
      </c>
    </row>
    <row r="1174" spans="1:39" x14ac:dyDescent="0.25">
      <c r="A1174" t="str">
        <f>"BI444332 20"</f>
        <v>BI444332 20</v>
      </c>
      <c r="B1174" t="str">
        <f>"COJINETES BIELA 0,50 TOYOTA COROLLA YARIS 1.8 16V MOTOR 2ZR-FE"</f>
        <v>COJINETES BIELA 0,50 TOYOTA COROLLA YARIS 1.8 16V MOTOR 2ZR-FE</v>
      </c>
      <c r="C1174" t="str">
        <f>"$ 12444,29"</f>
        <v>$ 12444,29</v>
      </c>
      <c r="D1174" t="str">
        <f>"$ 12444,29"</f>
        <v>$ 12444,29</v>
      </c>
      <c r="E1174" t="str">
        <f>"$ 12444,29"</f>
        <v>$ 12444,29</v>
      </c>
      <c r="F1174" t="str">
        <f>"$ 12444,29"</f>
        <v>$ 12444,29</v>
      </c>
      <c r="G1174" t="str">
        <f>"$ 12444,29"</f>
        <v>$ 12444,29</v>
      </c>
      <c r="H1174" t="str">
        <f t="shared" si="756"/>
        <v>$ 0,00</v>
      </c>
      <c r="I1174" t="str">
        <f t="shared" si="754"/>
        <v>JUEGO COJINETES BIELA</v>
      </c>
      <c r="J1174" t="str">
        <f t="shared" si="757"/>
        <v>1</v>
      </c>
      <c r="K1174" t="str">
        <f t="shared" si="741"/>
        <v>0</v>
      </c>
      <c r="L1174" t="str">
        <f>"2,000"</f>
        <v>2,000</v>
      </c>
      <c r="M1174" t="str">
        <f t="shared" si="758"/>
        <v xml:space="preserve"> </v>
      </c>
      <c r="N1174" t="str">
        <f t="shared" si="748"/>
        <v>MPSI</v>
      </c>
      <c r="O1174" t="str">
        <f t="shared" si="749"/>
        <v>COJINETES</v>
      </c>
      <c r="P1174" t="str">
        <f t="shared" si="777"/>
        <v>0</v>
      </c>
      <c r="Q1174" t="str">
        <f t="shared" si="777"/>
        <v>0</v>
      </c>
      <c r="R1174" t="str">
        <f t="shared" si="778"/>
        <v>0,00</v>
      </c>
      <c r="S1174" t="str">
        <f t="shared" si="778"/>
        <v>0,00</v>
      </c>
      <c r="T1174" t="str">
        <f t="shared" si="780"/>
        <v xml:space="preserve"> </v>
      </c>
      <c r="U1174" t="str">
        <f t="shared" si="774"/>
        <v>-</v>
      </c>
      <c r="V1174" t="str">
        <f>"2,000"</f>
        <v>2,000</v>
      </c>
      <c r="W1174" t="str">
        <f t="shared" si="759"/>
        <v>Lista 4</v>
      </c>
      <c r="X1174" t="str">
        <f t="shared" si="760"/>
        <v>Lista 5</v>
      </c>
      <c r="Y1174" t="str">
        <f t="shared" si="761"/>
        <v>Oferta Gral.</v>
      </c>
      <c r="Z1174" t="str">
        <f t="shared" si="762"/>
        <v>Rubro</v>
      </c>
      <c r="AA1174" t="str">
        <f t="shared" si="763"/>
        <v>Cantidad por Bulto</v>
      </c>
      <c r="AB1174" t="str">
        <f t="shared" si="764"/>
        <v>INNER</v>
      </c>
      <c r="AC1174" t="str">
        <f t="shared" si="765"/>
        <v>Stock en Bultos</v>
      </c>
      <c r="AD1174" t="str">
        <f t="shared" si="766"/>
        <v>SubDepósito</v>
      </c>
      <c r="AE1174" t="str">
        <f t="shared" si="767"/>
        <v>Marca</v>
      </c>
      <c r="AF1174" t="str">
        <f t="shared" si="768"/>
        <v>Super Rubro</v>
      </c>
      <c r="AG1174" t="str">
        <f t="shared" si="769"/>
        <v>ComercioExterior</v>
      </c>
      <c r="AH1174" t="str">
        <f t="shared" si="770"/>
        <v>PrecioFOB</v>
      </c>
      <c r="AI1174" t="str">
        <f t="shared" si="771"/>
        <v>Monto II</v>
      </c>
      <c r="AJ1174" t="str">
        <f t="shared" si="772"/>
        <v>Porcentaje II</v>
      </c>
      <c r="AK1174" t="str">
        <f t="shared" si="773"/>
        <v>Foto</v>
      </c>
      <c r="AL1174" t="str">
        <f>" "</f>
        <v xml:space="preserve"> </v>
      </c>
      <c r="AM1174" t="str">
        <f t="shared" si="776"/>
        <v xml:space="preserve"> </v>
      </c>
    </row>
    <row r="1175" spans="1:39" x14ac:dyDescent="0.25">
      <c r="A1175" t="str">
        <f>"BI444107 20"</f>
        <v>BI444107 20</v>
      </c>
      <c r="B1175" t="str">
        <f>"COJINETES BIELA 0,50 TOYOTA ETIOS 1.5"</f>
        <v>COJINETES BIELA 0,50 TOYOTA ETIOS 1.5</v>
      </c>
      <c r="C1175" t="str">
        <f>"$ 11415,51"</f>
        <v>$ 11415,51</v>
      </c>
      <c r="D1175" t="str">
        <f>"$ 11415,51"</f>
        <v>$ 11415,51</v>
      </c>
      <c r="E1175" t="str">
        <f>"$ 11415,51"</f>
        <v>$ 11415,51</v>
      </c>
      <c r="F1175" t="str">
        <f>"$ 11415,51"</f>
        <v>$ 11415,51</v>
      </c>
      <c r="G1175" t="str">
        <f>"$ 11415,51"</f>
        <v>$ 11415,51</v>
      </c>
      <c r="H1175" t="str">
        <f t="shared" si="756"/>
        <v>$ 0,00</v>
      </c>
      <c r="I1175" t="str">
        <f t="shared" si="754"/>
        <v>JUEGO COJINETES BIELA</v>
      </c>
      <c r="J1175" t="str">
        <f t="shared" si="757"/>
        <v>1</v>
      </c>
      <c r="K1175" t="str">
        <f t="shared" ref="K1175:K1238" si="781">"0"</f>
        <v>0</v>
      </c>
      <c r="L1175" t="str">
        <f>"4,000"</f>
        <v>4,000</v>
      </c>
      <c r="M1175" t="str">
        <f t="shared" si="758"/>
        <v xml:space="preserve"> </v>
      </c>
      <c r="N1175" t="str">
        <f t="shared" si="748"/>
        <v>MPSI</v>
      </c>
      <c r="O1175" t="str">
        <f t="shared" si="749"/>
        <v>COJINETES</v>
      </c>
      <c r="P1175" t="str">
        <f t="shared" si="777"/>
        <v>0</v>
      </c>
      <c r="Q1175" t="str">
        <f t="shared" si="777"/>
        <v>0</v>
      </c>
      <c r="R1175" t="str">
        <f t="shared" si="778"/>
        <v>0,00</v>
      </c>
      <c r="S1175" t="str">
        <f t="shared" si="778"/>
        <v>0,00</v>
      </c>
      <c r="T1175" t="str">
        <f t="shared" si="780"/>
        <v xml:space="preserve"> </v>
      </c>
      <c r="U1175" t="str">
        <f t="shared" si="774"/>
        <v>-</v>
      </c>
      <c r="V1175" t="str">
        <f>"4,000"</f>
        <v>4,000</v>
      </c>
      <c r="W1175" t="str">
        <f t="shared" si="759"/>
        <v>Lista 4</v>
      </c>
      <c r="X1175" t="str">
        <f t="shared" si="760"/>
        <v>Lista 5</v>
      </c>
      <c r="Y1175" t="str">
        <f t="shared" si="761"/>
        <v>Oferta Gral.</v>
      </c>
      <c r="Z1175" t="str">
        <f t="shared" si="762"/>
        <v>Rubro</v>
      </c>
      <c r="AA1175" t="str">
        <f t="shared" si="763"/>
        <v>Cantidad por Bulto</v>
      </c>
      <c r="AB1175" t="str">
        <f t="shared" si="764"/>
        <v>INNER</v>
      </c>
      <c r="AC1175" t="str">
        <f t="shared" si="765"/>
        <v>Stock en Bultos</v>
      </c>
      <c r="AD1175" t="str">
        <f t="shared" si="766"/>
        <v>SubDepósito</v>
      </c>
      <c r="AE1175" t="str">
        <f t="shared" si="767"/>
        <v>Marca</v>
      </c>
      <c r="AF1175" t="str">
        <f t="shared" si="768"/>
        <v>Super Rubro</v>
      </c>
      <c r="AG1175" t="str">
        <f t="shared" si="769"/>
        <v>ComercioExterior</v>
      </c>
      <c r="AH1175" t="str">
        <f t="shared" si="770"/>
        <v>PrecioFOB</v>
      </c>
      <c r="AI1175" t="str">
        <f t="shared" si="771"/>
        <v>Monto II</v>
      </c>
      <c r="AJ1175" t="str">
        <f t="shared" si="772"/>
        <v>Porcentaje II</v>
      </c>
      <c r="AK1175" t="str">
        <f t="shared" si="773"/>
        <v>Foto</v>
      </c>
      <c r="AL1175" t="str">
        <f>" "</f>
        <v xml:space="preserve"> </v>
      </c>
      <c r="AM1175" t="str">
        <f t="shared" si="776"/>
        <v xml:space="preserve"> </v>
      </c>
    </row>
    <row r="1176" spans="1:39" x14ac:dyDescent="0.25">
      <c r="A1176" t="str">
        <f>"BI749 20"</f>
        <v>BI749 20</v>
      </c>
      <c r="B1176" t="str">
        <f>"COJINETES BIELA 0,50 TOYOTA HILUX 2.8 L DIESEL MOTOR 3L"</f>
        <v>COJINETES BIELA 0,50 TOYOTA HILUX 2.8 L DIESEL MOTOR 3L</v>
      </c>
      <c r="C1176" t="str">
        <f>"$ 18359,78"</f>
        <v>$ 18359,78</v>
      </c>
      <c r="D1176" t="str">
        <f>"$ 18359,78"</f>
        <v>$ 18359,78</v>
      </c>
      <c r="E1176" t="str">
        <f>"$ 18359,78"</f>
        <v>$ 18359,78</v>
      </c>
      <c r="F1176" t="str">
        <f>"$ 18359,78"</f>
        <v>$ 18359,78</v>
      </c>
      <c r="G1176" t="str">
        <f>"$ 18359,78"</f>
        <v>$ 18359,78</v>
      </c>
      <c r="H1176" t="str">
        <f t="shared" si="756"/>
        <v>$ 0,00</v>
      </c>
      <c r="I1176" t="str">
        <f t="shared" si="754"/>
        <v>JUEGO COJINETES BIELA</v>
      </c>
      <c r="J1176" t="str">
        <f t="shared" si="757"/>
        <v>1</v>
      </c>
      <c r="K1176" t="str">
        <f t="shared" si="781"/>
        <v>0</v>
      </c>
      <c r="L1176" t="str">
        <f>"4,000"</f>
        <v>4,000</v>
      </c>
      <c r="M1176" t="str">
        <f t="shared" si="758"/>
        <v xml:space="preserve"> </v>
      </c>
      <c r="N1176" t="str">
        <f t="shared" si="748"/>
        <v>MPSI</v>
      </c>
      <c r="O1176" t="str">
        <f t="shared" si="749"/>
        <v>COJINETES</v>
      </c>
      <c r="P1176" t="str">
        <f t="shared" si="777"/>
        <v>0</v>
      </c>
      <c r="Q1176" t="str">
        <f t="shared" si="777"/>
        <v>0</v>
      </c>
      <c r="R1176" t="str">
        <f t="shared" si="778"/>
        <v>0,00</v>
      </c>
      <c r="S1176" t="str">
        <f t="shared" si="778"/>
        <v>0,00</v>
      </c>
      <c r="T1176" t="str">
        <f t="shared" si="780"/>
        <v xml:space="preserve"> </v>
      </c>
      <c r="U1176" t="str">
        <f t="shared" si="774"/>
        <v>-</v>
      </c>
      <c r="V1176" t="str">
        <f>"4,000"</f>
        <v>4,000</v>
      </c>
      <c r="W1176" t="str">
        <f t="shared" si="759"/>
        <v>Lista 4</v>
      </c>
      <c r="X1176" t="str">
        <f t="shared" si="760"/>
        <v>Lista 5</v>
      </c>
      <c r="Y1176" t="str">
        <f t="shared" si="761"/>
        <v>Oferta Gral.</v>
      </c>
      <c r="Z1176" t="str">
        <f t="shared" si="762"/>
        <v>Rubro</v>
      </c>
      <c r="AA1176" t="str">
        <f t="shared" si="763"/>
        <v>Cantidad por Bulto</v>
      </c>
      <c r="AB1176" t="str">
        <f t="shared" si="764"/>
        <v>INNER</v>
      </c>
      <c r="AC1176" t="str">
        <f t="shared" si="765"/>
        <v>Stock en Bultos</v>
      </c>
      <c r="AD1176" t="str">
        <f t="shared" si="766"/>
        <v>SubDepósito</v>
      </c>
      <c r="AE1176" t="str">
        <f t="shared" si="767"/>
        <v>Marca</v>
      </c>
      <c r="AF1176" t="str">
        <f t="shared" si="768"/>
        <v>Super Rubro</v>
      </c>
      <c r="AG1176" t="str">
        <f t="shared" si="769"/>
        <v>ComercioExterior</v>
      </c>
      <c r="AH1176" t="str">
        <f t="shared" si="770"/>
        <v>PrecioFOB</v>
      </c>
      <c r="AI1176" t="str">
        <f t="shared" si="771"/>
        <v>Monto II</v>
      </c>
      <c r="AJ1176" t="str">
        <f t="shared" si="772"/>
        <v>Porcentaje II</v>
      </c>
      <c r="AK1176" t="str">
        <f t="shared" si="773"/>
        <v>Foto</v>
      </c>
      <c r="AL1176" t="str">
        <f>" "</f>
        <v xml:space="preserve"> </v>
      </c>
      <c r="AM1176" t="str">
        <f t="shared" si="776"/>
        <v xml:space="preserve"> </v>
      </c>
    </row>
    <row r="1177" spans="1:39" x14ac:dyDescent="0.25">
      <c r="A1177" t="str">
        <f>"BI837 20"</f>
        <v>BI837 20</v>
      </c>
      <c r="B1177" t="str">
        <f>"COJINETES BIELA 0,50 TOYOTA HILUX 3.0 MOTOR D4D 1KD"</f>
        <v>COJINETES BIELA 0,50 TOYOTA HILUX 3.0 MOTOR D4D 1KD</v>
      </c>
      <c r="C1177" t="str">
        <f>"$ 18874,17"</f>
        <v>$ 18874,17</v>
      </c>
      <c r="D1177" t="str">
        <f>"$ 18874,17"</f>
        <v>$ 18874,17</v>
      </c>
      <c r="E1177" t="str">
        <f>"$ 18874,17"</f>
        <v>$ 18874,17</v>
      </c>
      <c r="F1177" t="str">
        <f>"$ 18874,17"</f>
        <v>$ 18874,17</v>
      </c>
      <c r="G1177" t="str">
        <f>"$ 18874,17"</f>
        <v>$ 18874,17</v>
      </c>
      <c r="H1177" t="str">
        <f t="shared" si="756"/>
        <v>$ 0,00</v>
      </c>
      <c r="I1177" t="str">
        <f t="shared" si="754"/>
        <v>JUEGO COJINETES BIELA</v>
      </c>
      <c r="J1177" t="str">
        <f t="shared" si="757"/>
        <v>1</v>
      </c>
      <c r="K1177" t="str">
        <f t="shared" si="781"/>
        <v>0</v>
      </c>
      <c r="L1177" t="str">
        <f>"2,000"</f>
        <v>2,000</v>
      </c>
      <c r="M1177" t="str">
        <f t="shared" si="758"/>
        <v xml:space="preserve"> </v>
      </c>
      <c r="N1177" t="str">
        <f t="shared" si="748"/>
        <v>MPSI</v>
      </c>
      <c r="O1177" t="str">
        <f t="shared" si="749"/>
        <v>COJINETES</v>
      </c>
      <c r="P1177" t="str">
        <f t="shared" si="777"/>
        <v>0</v>
      </c>
      <c r="Q1177" t="str">
        <f t="shared" si="777"/>
        <v>0</v>
      </c>
      <c r="R1177" t="str">
        <f t="shared" si="778"/>
        <v>0,00</v>
      </c>
      <c r="S1177" t="str">
        <f t="shared" si="778"/>
        <v>0,00</v>
      </c>
      <c r="T1177" t="str">
        <f t="shared" si="780"/>
        <v xml:space="preserve"> </v>
      </c>
      <c r="U1177" t="str">
        <f t="shared" si="774"/>
        <v>-</v>
      </c>
      <c r="V1177" t="str">
        <f>"2,000"</f>
        <v>2,000</v>
      </c>
      <c r="W1177" t="str">
        <f t="shared" si="759"/>
        <v>Lista 4</v>
      </c>
      <c r="X1177" t="str">
        <f t="shared" si="760"/>
        <v>Lista 5</v>
      </c>
      <c r="Y1177" t="str">
        <f t="shared" si="761"/>
        <v>Oferta Gral.</v>
      </c>
      <c r="Z1177" t="str">
        <f t="shared" si="762"/>
        <v>Rubro</v>
      </c>
      <c r="AA1177" t="str">
        <f t="shared" si="763"/>
        <v>Cantidad por Bulto</v>
      </c>
      <c r="AB1177" t="str">
        <f t="shared" si="764"/>
        <v>INNER</v>
      </c>
      <c r="AC1177" t="str">
        <f t="shared" si="765"/>
        <v>Stock en Bultos</v>
      </c>
      <c r="AD1177" t="str">
        <f t="shared" si="766"/>
        <v>SubDepósito</v>
      </c>
      <c r="AE1177" t="str">
        <f t="shared" si="767"/>
        <v>Marca</v>
      </c>
      <c r="AF1177" t="str">
        <f t="shared" si="768"/>
        <v>Super Rubro</v>
      </c>
      <c r="AG1177" t="str">
        <f t="shared" si="769"/>
        <v>ComercioExterior</v>
      </c>
      <c r="AH1177" t="str">
        <f t="shared" si="770"/>
        <v>PrecioFOB</v>
      </c>
      <c r="AI1177" t="str">
        <f t="shared" si="771"/>
        <v>Monto II</v>
      </c>
      <c r="AJ1177" t="str">
        <f t="shared" si="772"/>
        <v>Porcentaje II</v>
      </c>
      <c r="AK1177" t="str">
        <f t="shared" si="773"/>
        <v>Foto</v>
      </c>
      <c r="AL1177" t="str">
        <f>" "</f>
        <v xml:space="preserve"> </v>
      </c>
      <c r="AM1177" t="str">
        <f t="shared" si="776"/>
        <v xml:space="preserve"> </v>
      </c>
    </row>
    <row r="1178" spans="1:39" x14ac:dyDescent="0.25">
      <c r="A1178" t="str">
        <f>"BI481 20"</f>
        <v>BI481 20</v>
      </c>
      <c r="B1178" t="str">
        <f>"COJINETES BIELA 0,50 VW BORA 1.9 TDI"</f>
        <v>COJINETES BIELA 0,50 VW BORA 1.9 TDI</v>
      </c>
      <c r="C1178" t="str">
        <f>"$ 37084,40"</f>
        <v>$ 37084,40</v>
      </c>
      <c r="D1178" t="str">
        <f>"$ 37084,40"</f>
        <v>$ 37084,40</v>
      </c>
      <c r="E1178" t="str">
        <f>"$ 37084,40"</f>
        <v>$ 37084,40</v>
      </c>
      <c r="F1178" t="str">
        <f>"$ 37084,40"</f>
        <v>$ 37084,40</v>
      </c>
      <c r="G1178" t="str">
        <f>"$ 37084,40"</f>
        <v>$ 37084,40</v>
      </c>
      <c r="H1178" t="str">
        <f t="shared" si="756"/>
        <v>$ 0,00</v>
      </c>
      <c r="I1178" t="str">
        <f t="shared" si="754"/>
        <v>JUEGO COJINETES BIELA</v>
      </c>
      <c r="J1178" t="str">
        <f t="shared" si="757"/>
        <v>1</v>
      </c>
      <c r="K1178" t="str">
        <f t="shared" si="781"/>
        <v>0</v>
      </c>
      <c r="L1178" t="str">
        <f>"1,000"</f>
        <v>1,000</v>
      </c>
      <c r="M1178" t="str">
        <f t="shared" si="758"/>
        <v xml:space="preserve"> </v>
      </c>
      <c r="N1178" t="str">
        <f t="shared" si="748"/>
        <v>MPSI</v>
      </c>
      <c r="O1178" t="str">
        <f t="shared" si="749"/>
        <v>COJINETES</v>
      </c>
      <c r="P1178" t="str">
        <f t="shared" si="777"/>
        <v>0</v>
      </c>
      <c r="Q1178" t="str">
        <f t="shared" si="777"/>
        <v>0</v>
      </c>
      <c r="R1178" t="str">
        <f t="shared" si="778"/>
        <v>0,00</v>
      </c>
      <c r="S1178" t="str">
        <f t="shared" si="778"/>
        <v>0,00</v>
      </c>
      <c r="T1178" t="str">
        <f t="shared" si="780"/>
        <v xml:space="preserve"> </v>
      </c>
      <c r="U1178" t="str">
        <f>" "</f>
        <v xml:space="preserve"> </v>
      </c>
      <c r="V1178" t="str">
        <f>"1,000"</f>
        <v>1,000</v>
      </c>
      <c r="W1178" t="str">
        <f t="shared" si="759"/>
        <v>Lista 4</v>
      </c>
      <c r="X1178" t="str">
        <f t="shared" si="760"/>
        <v>Lista 5</v>
      </c>
      <c r="Y1178" t="str">
        <f t="shared" si="761"/>
        <v>Oferta Gral.</v>
      </c>
      <c r="Z1178" t="str">
        <f t="shared" si="762"/>
        <v>Rubro</v>
      </c>
      <c r="AA1178" t="str">
        <f t="shared" si="763"/>
        <v>Cantidad por Bulto</v>
      </c>
      <c r="AB1178" t="str">
        <f t="shared" si="764"/>
        <v>INNER</v>
      </c>
      <c r="AC1178" t="str">
        <f t="shared" si="765"/>
        <v>Stock en Bultos</v>
      </c>
      <c r="AD1178" t="str">
        <f t="shared" si="766"/>
        <v>SubDepósito</v>
      </c>
      <c r="AE1178" t="str">
        <f t="shared" si="767"/>
        <v>Marca</v>
      </c>
      <c r="AF1178" t="str">
        <f t="shared" si="768"/>
        <v>Super Rubro</v>
      </c>
      <c r="AG1178" t="str">
        <f t="shared" si="769"/>
        <v>ComercioExterior</v>
      </c>
      <c r="AH1178" t="str">
        <f t="shared" si="770"/>
        <v>PrecioFOB</v>
      </c>
      <c r="AI1178" t="str">
        <f t="shared" si="771"/>
        <v>Monto II</v>
      </c>
      <c r="AJ1178" t="str">
        <f t="shared" si="772"/>
        <v>Porcentaje II</v>
      </c>
      <c r="AK1178" t="str">
        <f t="shared" si="773"/>
        <v>Foto</v>
      </c>
      <c r="AL1178" t="str">
        <f>"{\rtf1\ansi\ansicpg1252\deff0\deflang11274{\fonttbl{\f0\fnil\fcharset0 MS Sans Serif}} \viewkind4\uc1\pard\f0\fs16 COJINETES BIELA 0,50 VW BORA 1.9 TDI\par } "</f>
        <v xml:space="preserve">{\rtf1\ansi\ansicpg1252\deff0\deflang11274{\fonttbl{\f0\fnil\fcharset0 MS Sans Serif}} \viewkind4\uc1\pard\f0\fs16 COJINETES BIELA 0,50 VW BORA 1.9 TDI\par } </v>
      </c>
      <c r="AM1178" t="str">
        <f>"-"</f>
        <v>-</v>
      </c>
    </row>
    <row r="1179" spans="1:39" x14ac:dyDescent="0.25">
      <c r="A1179" t="str">
        <f>"BI625 20"</f>
        <v>BI625 20</v>
      </c>
      <c r="B1179" t="str">
        <f>"COJINETES BIELA 0,50 VW FOX SURAN GOL TREND GOLF IVI 1.6 8V"</f>
        <v>COJINETES BIELA 0,50 VW FOX SURAN GOL TREND GOLF IVI 1.6 8V</v>
      </c>
      <c r="C1179" t="str">
        <f>"$ 11667,37"</f>
        <v>$ 11667,37</v>
      </c>
      <c r="D1179" t="str">
        <f>"$ 11667,37"</f>
        <v>$ 11667,37</v>
      </c>
      <c r="E1179" t="str">
        <f>"$ 11667,37"</f>
        <v>$ 11667,37</v>
      </c>
      <c r="F1179" t="str">
        <f>"$ 11667,37"</f>
        <v>$ 11667,37</v>
      </c>
      <c r="G1179" t="str">
        <f>"$ 11667,37"</f>
        <v>$ 11667,37</v>
      </c>
      <c r="H1179" t="str">
        <f t="shared" si="756"/>
        <v>$ 0,00</v>
      </c>
      <c r="I1179" t="str">
        <f t="shared" si="754"/>
        <v>JUEGO COJINETES BIELA</v>
      </c>
      <c r="J1179" t="str">
        <f t="shared" si="757"/>
        <v>1</v>
      </c>
      <c r="K1179" t="str">
        <f t="shared" si="781"/>
        <v>0</v>
      </c>
      <c r="L1179" t="str">
        <f>"12,000"</f>
        <v>12,000</v>
      </c>
      <c r="M1179" t="str">
        <f t="shared" si="758"/>
        <v xml:space="preserve"> </v>
      </c>
      <c r="N1179" t="str">
        <f t="shared" si="748"/>
        <v>MPSI</v>
      </c>
      <c r="O1179" t="str">
        <f t="shared" si="749"/>
        <v>COJINETES</v>
      </c>
      <c r="P1179" t="str">
        <f t="shared" si="777"/>
        <v>0</v>
      </c>
      <c r="Q1179" t="str">
        <f t="shared" si="777"/>
        <v>0</v>
      </c>
      <c r="R1179" t="str">
        <f t="shared" si="778"/>
        <v>0,00</v>
      </c>
      <c r="S1179" t="str">
        <f t="shared" si="778"/>
        <v>0,00</v>
      </c>
      <c r="T1179" t="str">
        <f t="shared" si="780"/>
        <v xml:space="preserve"> </v>
      </c>
      <c r="U1179" t="str">
        <f t="shared" ref="U1179:U1185" si="782">"-"</f>
        <v>-</v>
      </c>
      <c r="V1179" t="str">
        <f>"12,000"</f>
        <v>12,000</v>
      </c>
      <c r="W1179" t="str">
        <f t="shared" si="759"/>
        <v>Lista 4</v>
      </c>
      <c r="X1179" t="str">
        <f t="shared" si="760"/>
        <v>Lista 5</v>
      </c>
      <c r="Y1179" t="str">
        <f t="shared" si="761"/>
        <v>Oferta Gral.</v>
      </c>
      <c r="Z1179" t="str">
        <f t="shared" si="762"/>
        <v>Rubro</v>
      </c>
      <c r="AA1179" t="str">
        <f t="shared" si="763"/>
        <v>Cantidad por Bulto</v>
      </c>
      <c r="AB1179" t="str">
        <f t="shared" si="764"/>
        <v>INNER</v>
      </c>
      <c r="AC1179" t="str">
        <f t="shared" si="765"/>
        <v>Stock en Bultos</v>
      </c>
      <c r="AD1179" t="str">
        <f t="shared" si="766"/>
        <v>SubDepósito</v>
      </c>
      <c r="AE1179" t="str">
        <f t="shared" si="767"/>
        <v>Marca</v>
      </c>
      <c r="AF1179" t="str">
        <f t="shared" si="768"/>
        <v>Super Rubro</v>
      </c>
      <c r="AG1179" t="str">
        <f t="shared" si="769"/>
        <v>ComercioExterior</v>
      </c>
      <c r="AH1179" t="str">
        <f t="shared" si="770"/>
        <v>PrecioFOB</v>
      </c>
      <c r="AI1179" t="str">
        <f t="shared" si="771"/>
        <v>Monto II</v>
      </c>
      <c r="AJ1179" t="str">
        <f t="shared" si="772"/>
        <v>Porcentaje II</v>
      </c>
      <c r="AK1179" t="str">
        <f t="shared" si="773"/>
        <v>Foto</v>
      </c>
      <c r="AL1179" t="str">
        <f>"{\rtf1\ansi\ansicpg1252\deff0\deflang2058{\fonttbl{\f0\fnil\fcharset0 MS Sans Serif}} \viewkind4\uc1\pard\f0\fs16 COJINETES BIELA 0,50 VW FOX SURAN GOL TREND GOLF IVI 1.6 8V\par } "</f>
        <v xml:space="preserve">{\rtf1\ansi\ansicpg1252\deff0\deflang2058{\fonttbl{\f0\fnil\fcharset0 MS Sans Serif}} \viewkind4\uc1\pard\f0\fs16 COJINETES BIELA 0,50 VW FOX SURAN GOL TREND GOLF IVI 1.6 8V\par } </v>
      </c>
      <c r="AM1179" t="str">
        <f t="shared" ref="AM1179:AM1185" si="783">" "</f>
        <v xml:space="preserve"> </v>
      </c>
    </row>
    <row r="1180" spans="1:39" x14ac:dyDescent="0.25">
      <c r="A1180" t="str">
        <f>"BI624 20"</f>
        <v>BI624 20</v>
      </c>
      <c r="B1180" t="str">
        <f>"COJINETES BIELA 0,50 VW GOL 1000"</f>
        <v>COJINETES BIELA 0,50 VW GOL 1000</v>
      </c>
      <c r="C1180" t="str">
        <f>"$ 12879,55"</f>
        <v>$ 12879,55</v>
      </c>
      <c r="D1180" t="str">
        <f>"$ 12879,55"</f>
        <v>$ 12879,55</v>
      </c>
      <c r="E1180" t="str">
        <f>"$ 12879,55"</f>
        <v>$ 12879,55</v>
      </c>
      <c r="F1180" t="str">
        <f>"$ 12879,55"</f>
        <v>$ 12879,55</v>
      </c>
      <c r="G1180" t="str">
        <f>"$ 12879,55"</f>
        <v>$ 12879,55</v>
      </c>
      <c r="H1180" t="str">
        <f t="shared" si="756"/>
        <v>$ 0,00</v>
      </c>
      <c r="I1180" t="str">
        <f t="shared" si="754"/>
        <v>JUEGO COJINETES BIELA</v>
      </c>
      <c r="J1180" t="str">
        <f t="shared" si="757"/>
        <v>1</v>
      </c>
      <c r="K1180" t="str">
        <f t="shared" si="781"/>
        <v>0</v>
      </c>
      <c r="L1180" t="str">
        <f>"5,000"</f>
        <v>5,000</v>
      </c>
      <c r="M1180" t="str">
        <f t="shared" si="758"/>
        <v xml:space="preserve"> </v>
      </c>
      <c r="N1180" t="str">
        <f t="shared" si="748"/>
        <v>MPSI</v>
      </c>
      <c r="O1180" t="str">
        <f t="shared" si="749"/>
        <v>COJINETES</v>
      </c>
      <c r="P1180" t="str">
        <f t="shared" si="777"/>
        <v>0</v>
      </c>
      <c r="Q1180" t="str">
        <f t="shared" si="777"/>
        <v>0</v>
      </c>
      <c r="R1180" t="str">
        <f t="shared" si="778"/>
        <v>0,00</v>
      </c>
      <c r="S1180" t="str">
        <f t="shared" si="778"/>
        <v>0,00</v>
      </c>
      <c r="T1180" t="str">
        <f t="shared" si="780"/>
        <v xml:space="preserve"> </v>
      </c>
      <c r="U1180" t="str">
        <f t="shared" si="782"/>
        <v>-</v>
      </c>
      <c r="V1180" t="str">
        <f>"5,000"</f>
        <v>5,000</v>
      </c>
      <c r="W1180" t="str">
        <f t="shared" si="759"/>
        <v>Lista 4</v>
      </c>
      <c r="X1180" t="str">
        <f t="shared" si="760"/>
        <v>Lista 5</v>
      </c>
      <c r="Y1180" t="str">
        <f t="shared" si="761"/>
        <v>Oferta Gral.</v>
      </c>
      <c r="Z1180" t="str">
        <f t="shared" si="762"/>
        <v>Rubro</v>
      </c>
      <c r="AA1180" t="str">
        <f t="shared" si="763"/>
        <v>Cantidad por Bulto</v>
      </c>
      <c r="AB1180" t="str">
        <f t="shared" si="764"/>
        <v>INNER</v>
      </c>
      <c r="AC1180" t="str">
        <f t="shared" si="765"/>
        <v>Stock en Bultos</v>
      </c>
      <c r="AD1180" t="str">
        <f t="shared" si="766"/>
        <v>SubDepósito</v>
      </c>
      <c r="AE1180" t="str">
        <f t="shared" si="767"/>
        <v>Marca</v>
      </c>
      <c r="AF1180" t="str">
        <f t="shared" si="768"/>
        <v>Super Rubro</v>
      </c>
      <c r="AG1180" t="str">
        <f t="shared" si="769"/>
        <v>ComercioExterior</v>
      </c>
      <c r="AH1180" t="str">
        <f t="shared" si="770"/>
        <v>PrecioFOB</v>
      </c>
      <c r="AI1180" t="str">
        <f t="shared" si="771"/>
        <v>Monto II</v>
      </c>
      <c r="AJ1180" t="str">
        <f t="shared" si="772"/>
        <v>Porcentaje II</v>
      </c>
      <c r="AK1180" t="str">
        <f t="shared" si="773"/>
        <v>Foto</v>
      </c>
      <c r="AL1180" t="str">
        <f>" "</f>
        <v xml:space="preserve"> </v>
      </c>
      <c r="AM1180" t="str">
        <f t="shared" si="783"/>
        <v xml:space="preserve"> </v>
      </c>
    </row>
    <row r="1181" spans="1:39" x14ac:dyDescent="0.25">
      <c r="A1181" t="str">
        <f>"BI628 20"</f>
        <v>BI628 20</v>
      </c>
      <c r="B1181" t="str">
        <f>"COJINETES BIELA 0,50 VW GOL POLO SAVEIRO MOTOR AUDI 1.6 8V"</f>
        <v>COJINETES BIELA 0,50 VW GOL POLO SAVEIRO MOTOR AUDI 1.6 8V</v>
      </c>
      <c r="C1181" t="str">
        <f>"$ 12196,21"</f>
        <v>$ 12196,21</v>
      </c>
      <c r="D1181" t="str">
        <f>"$ 12196,21"</f>
        <v>$ 12196,21</v>
      </c>
      <c r="E1181" t="str">
        <f>"$ 12196,21"</f>
        <v>$ 12196,21</v>
      </c>
      <c r="F1181" t="str">
        <f>"$ 12196,21"</f>
        <v>$ 12196,21</v>
      </c>
      <c r="G1181" t="str">
        <f>"$ 12196,21"</f>
        <v>$ 12196,21</v>
      </c>
      <c r="H1181" t="str">
        <f t="shared" si="756"/>
        <v>$ 0,00</v>
      </c>
      <c r="I1181" t="str">
        <f t="shared" si="754"/>
        <v>JUEGO COJINETES BIELA</v>
      </c>
      <c r="J1181" t="str">
        <f t="shared" si="757"/>
        <v>1</v>
      </c>
      <c r="K1181" t="str">
        <f t="shared" si="781"/>
        <v>0</v>
      </c>
      <c r="L1181" t="str">
        <f>"35,000"</f>
        <v>35,000</v>
      </c>
      <c r="M1181" t="str">
        <f t="shared" si="758"/>
        <v xml:space="preserve"> </v>
      </c>
      <c r="N1181" t="str">
        <f t="shared" si="748"/>
        <v>MPSI</v>
      </c>
      <c r="O1181" t="str">
        <f t="shared" si="749"/>
        <v>COJINETES</v>
      </c>
      <c r="P1181" t="str">
        <f t="shared" si="777"/>
        <v>0</v>
      </c>
      <c r="Q1181" t="str">
        <f t="shared" si="777"/>
        <v>0</v>
      </c>
      <c r="R1181" t="str">
        <f t="shared" si="778"/>
        <v>0,00</v>
      </c>
      <c r="S1181" t="str">
        <f t="shared" si="778"/>
        <v>0,00</v>
      </c>
      <c r="T1181" t="str">
        <f t="shared" si="780"/>
        <v xml:space="preserve"> </v>
      </c>
      <c r="U1181" t="str">
        <f t="shared" si="782"/>
        <v>-</v>
      </c>
      <c r="V1181" t="str">
        <f>"35,000"</f>
        <v>35,000</v>
      </c>
      <c r="W1181" t="str">
        <f t="shared" si="759"/>
        <v>Lista 4</v>
      </c>
      <c r="X1181" t="str">
        <f t="shared" si="760"/>
        <v>Lista 5</v>
      </c>
      <c r="Y1181" t="str">
        <f t="shared" si="761"/>
        <v>Oferta Gral.</v>
      </c>
      <c r="Z1181" t="str">
        <f t="shared" si="762"/>
        <v>Rubro</v>
      </c>
      <c r="AA1181" t="str">
        <f t="shared" si="763"/>
        <v>Cantidad por Bulto</v>
      </c>
      <c r="AB1181" t="str">
        <f t="shared" si="764"/>
        <v>INNER</v>
      </c>
      <c r="AC1181" t="str">
        <f t="shared" si="765"/>
        <v>Stock en Bultos</v>
      </c>
      <c r="AD1181" t="str">
        <f t="shared" si="766"/>
        <v>SubDepósito</v>
      </c>
      <c r="AE1181" t="str">
        <f t="shared" si="767"/>
        <v>Marca</v>
      </c>
      <c r="AF1181" t="str">
        <f t="shared" si="768"/>
        <v>Super Rubro</v>
      </c>
      <c r="AG1181" t="str">
        <f t="shared" si="769"/>
        <v>ComercioExterior</v>
      </c>
      <c r="AH1181" t="str">
        <f t="shared" si="770"/>
        <v>PrecioFOB</v>
      </c>
      <c r="AI1181" t="str">
        <f t="shared" si="771"/>
        <v>Monto II</v>
      </c>
      <c r="AJ1181" t="str">
        <f t="shared" si="772"/>
        <v>Porcentaje II</v>
      </c>
      <c r="AK1181" t="str">
        <f t="shared" si="773"/>
        <v>Foto</v>
      </c>
      <c r="AL1181" t="str">
        <f>"{\rtf1\ansi\ansicpg1252\deff0\deflang2058{\fonttbl{\f0\fnil\fcharset0 MS Sans Serif}} \viewkind4\uc1\pard\f0\fs16 COJINETES BIELA 0,50 VW GOL POLO SAVEIRO MOTOR AUDI 1.6 8V\par } "</f>
        <v xml:space="preserve">{\rtf1\ansi\ansicpg1252\deff0\deflang2058{\fonttbl{\f0\fnil\fcharset0 MS Sans Serif}} \viewkind4\uc1\pard\f0\fs16 COJINETES BIELA 0,50 VW GOL POLO SAVEIRO MOTOR AUDI 1.6 8V\par } </v>
      </c>
      <c r="AM1181" t="str">
        <f t="shared" si="783"/>
        <v xml:space="preserve"> </v>
      </c>
    </row>
    <row r="1182" spans="1:39" x14ac:dyDescent="0.25">
      <c r="A1182" t="str">
        <f>"BI483 20"</f>
        <v>BI483 20</v>
      </c>
      <c r="B1182" t="str">
        <f>"COJINETES BIELA 0,50 VW POLO 1.9 TDI"</f>
        <v>COJINETES BIELA 0,50 VW POLO 1.9 TDI</v>
      </c>
      <c r="C1182" t="str">
        <f>"$ 24354,41"</f>
        <v>$ 24354,41</v>
      </c>
      <c r="D1182" t="str">
        <f>"$ 24354,41"</f>
        <v>$ 24354,41</v>
      </c>
      <c r="E1182" t="str">
        <f>"$ 24354,41"</f>
        <v>$ 24354,41</v>
      </c>
      <c r="F1182" t="str">
        <f>"$ 24354,41"</f>
        <v>$ 24354,41</v>
      </c>
      <c r="G1182" t="str">
        <f>"$ 24354,41"</f>
        <v>$ 24354,41</v>
      </c>
      <c r="H1182" t="str">
        <f t="shared" si="756"/>
        <v>$ 0,00</v>
      </c>
      <c r="I1182" t="str">
        <f t="shared" si="754"/>
        <v>JUEGO COJINETES BIELA</v>
      </c>
      <c r="J1182" t="str">
        <f t="shared" si="757"/>
        <v>1</v>
      </c>
      <c r="K1182" t="str">
        <f t="shared" si="781"/>
        <v>0</v>
      </c>
      <c r="L1182" t="str">
        <f>"4,000"</f>
        <v>4,000</v>
      </c>
      <c r="M1182" t="str">
        <f t="shared" si="758"/>
        <v xml:space="preserve"> </v>
      </c>
      <c r="N1182" t="str">
        <f t="shared" si="748"/>
        <v>MPSI</v>
      </c>
      <c r="O1182" t="str">
        <f t="shared" si="749"/>
        <v>COJINETES</v>
      </c>
      <c r="P1182" t="str">
        <f t="shared" si="777"/>
        <v>0</v>
      </c>
      <c r="Q1182" t="str">
        <f t="shared" si="777"/>
        <v>0</v>
      </c>
      <c r="R1182" t="str">
        <f t="shared" si="778"/>
        <v>0,00</v>
      </c>
      <c r="S1182" t="str">
        <f t="shared" si="778"/>
        <v>0,00</v>
      </c>
      <c r="T1182" t="str">
        <f t="shared" si="780"/>
        <v xml:space="preserve"> </v>
      </c>
      <c r="U1182" t="str">
        <f t="shared" si="782"/>
        <v>-</v>
      </c>
      <c r="V1182" t="str">
        <f>"4,000"</f>
        <v>4,000</v>
      </c>
      <c r="W1182" t="str">
        <f t="shared" si="759"/>
        <v>Lista 4</v>
      </c>
      <c r="X1182" t="str">
        <f t="shared" si="760"/>
        <v>Lista 5</v>
      </c>
      <c r="Y1182" t="str">
        <f t="shared" si="761"/>
        <v>Oferta Gral.</v>
      </c>
      <c r="Z1182" t="str">
        <f t="shared" si="762"/>
        <v>Rubro</v>
      </c>
      <c r="AA1182" t="str">
        <f t="shared" si="763"/>
        <v>Cantidad por Bulto</v>
      </c>
      <c r="AB1182" t="str">
        <f t="shared" si="764"/>
        <v>INNER</v>
      </c>
      <c r="AC1182" t="str">
        <f t="shared" si="765"/>
        <v>Stock en Bultos</v>
      </c>
      <c r="AD1182" t="str">
        <f t="shared" si="766"/>
        <v>SubDepósito</v>
      </c>
      <c r="AE1182" t="str">
        <f t="shared" si="767"/>
        <v>Marca</v>
      </c>
      <c r="AF1182" t="str">
        <f t="shared" si="768"/>
        <v>Super Rubro</v>
      </c>
      <c r="AG1182" t="str">
        <f t="shared" si="769"/>
        <v>ComercioExterior</v>
      </c>
      <c r="AH1182" t="str">
        <f t="shared" si="770"/>
        <v>PrecioFOB</v>
      </c>
      <c r="AI1182" t="str">
        <f t="shared" si="771"/>
        <v>Monto II</v>
      </c>
      <c r="AJ1182" t="str">
        <f t="shared" si="772"/>
        <v>Porcentaje II</v>
      </c>
      <c r="AK1182" t="str">
        <f t="shared" si="773"/>
        <v>Foto</v>
      </c>
      <c r="AL1182" t="str">
        <f>"{\rtf1\ansi\ansicpg1252\deff0\deflang11274{\fonttbl{\f0\fnil\fcharset0 MS Sans Serif}} \viewkind4\uc1\pard\f0\fs16 COJINETES BIELA 0,50 VW POLO 1.9 TDI\par } "</f>
        <v xml:space="preserve">{\rtf1\ansi\ansicpg1252\deff0\deflang11274{\fonttbl{\f0\fnil\fcharset0 MS Sans Serif}} \viewkind4\uc1\pard\f0\fs16 COJINETES BIELA 0,50 VW POLO 1.9 TDI\par } </v>
      </c>
      <c r="AM1182" t="str">
        <f t="shared" si="783"/>
        <v xml:space="preserve"> </v>
      </c>
    </row>
    <row r="1183" spans="1:39" x14ac:dyDescent="0.25">
      <c r="A1183" t="str">
        <f>"BI480 20"</f>
        <v>BI480 20</v>
      </c>
      <c r="B1183" t="str">
        <f>"COJINETES BIELA 0,50 VW SENDA GOL DIESEL 1600"</f>
        <v>COJINETES BIELA 0,50 VW SENDA GOL DIESEL 1600</v>
      </c>
      <c r="C1183" t="str">
        <f>"$ 14482,07"</f>
        <v>$ 14482,07</v>
      </c>
      <c r="D1183" t="str">
        <f>"$ 14482,07"</f>
        <v>$ 14482,07</v>
      </c>
      <c r="E1183" t="str">
        <f>"$ 14482,07"</f>
        <v>$ 14482,07</v>
      </c>
      <c r="F1183" t="str">
        <f>"$ 14482,07"</f>
        <v>$ 14482,07</v>
      </c>
      <c r="G1183" t="str">
        <f>"$ 14482,07"</f>
        <v>$ 14482,07</v>
      </c>
      <c r="H1183" t="str">
        <f t="shared" si="756"/>
        <v>$ 0,00</v>
      </c>
      <c r="I1183" t="str">
        <f t="shared" si="754"/>
        <v>JUEGO COJINETES BIELA</v>
      </c>
      <c r="J1183" t="str">
        <f t="shared" si="757"/>
        <v>1</v>
      </c>
      <c r="K1183" t="str">
        <f t="shared" si="781"/>
        <v>0</v>
      </c>
      <c r="L1183" t="str">
        <f>"6,000"</f>
        <v>6,000</v>
      </c>
      <c r="M1183" t="str">
        <f t="shared" si="758"/>
        <v xml:space="preserve"> </v>
      </c>
      <c r="N1183" t="str">
        <f t="shared" si="748"/>
        <v>MPSI</v>
      </c>
      <c r="O1183" t="str">
        <f t="shared" si="749"/>
        <v>COJINETES</v>
      </c>
      <c r="P1183" t="str">
        <f t="shared" ref="P1183:Q1202" si="784">"0"</f>
        <v>0</v>
      </c>
      <c r="Q1183" t="str">
        <f t="shared" si="784"/>
        <v>0</v>
      </c>
      <c r="R1183" t="str">
        <f t="shared" ref="R1183:S1202" si="785">"0,00"</f>
        <v>0,00</v>
      </c>
      <c r="S1183" t="str">
        <f t="shared" si="785"/>
        <v>0,00</v>
      </c>
      <c r="T1183" t="str">
        <f t="shared" si="780"/>
        <v xml:space="preserve"> </v>
      </c>
      <c r="U1183" t="str">
        <f t="shared" si="782"/>
        <v>-</v>
      </c>
      <c r="V1183" t="str">
        <f>"6,000"</f>
        <v>6,000</v>
      </c>
      <c r="W1183" t="str">
        <f t="shared" si="759"/>
        <v>Lista 4</v>
      </c>
      <c r="X1183" t="str">
        <f t="shared" si="760"/>
        <v>Lista 5</v>
      </c>
      <c r="Y1183" t="str">
        <f t="shared" si="761"/>
        <v>Oferta Gral.</v>
      </c>
      <c r="Z1183" t="str">
        <f t="shared" si="762"/>
        <v>Rubro</v>
      </c>
      <c r="AA1183" t="str">
        <f t="shared" si="763"/>
        <v>Cantidad por Bulto</v>
      </c>
      <c r="AB1183" t="str">
        <f t="shared" si="764"/>
        <v>INNER</v>
      </c>
      <c r="AC1183" t="str">
        <f t="shared" si="765"/>
        <v>Stock en Bultos</v>
      </c>
      <c r="AD1183" t="str">
        <f t="shared" si="766"/>
        <v>SubDepósito</v>
      </c>
      <c r="AE1183" t="str">
        <f t="shared" si="767"/>
        <v>Marca</v>
      </c>
      <c r="AF1183" t="str">
        <f t="shared" si="768"/>
        <v>Super Rubro</v>
      </c>
      <c r="AG1183" t="str">
        <f t="shared" si="769"/>
        <v>ComercioExterior</v>
      </c>
      <c r="AH1183" t="str">
        <f t="shared" si="770"/>
        <v>PrecioFOB</v>
      </c>
      <c r="AI1183" t="str">
        <f t="shared" si="771"/>
        <v>Monto II</v>
      </c>
      <c r="AJ1183" t="str">
        <f t="shared" si="772"/>
        <v>Porcentaje II</v>
      </c>
      <c r="AK1183" t="str">
        <f t="shared" si="773"/>
        <v>Foto</v>
      </c>
      <c r="AL1183" t="str">
        <f>" "</f>
        <v xml:space="preserve"> </v>
      </c>
      <c r="AM1183" t="str">
        <f t="shared" si="783"/>
        <v xml:space="preserve"> </v>
      </c>
    </row>
    <row r="1184" spans="1:39" x14ac:dyDescent="0.25">
      <c r="A1184" t="str">
        <f>"BI463108 20"</f>
        <v>BI463108 20</v>
      </c>
      <c r="B1184" t="str">
        <f>"COJINETES BIELA 0,50 VW UP 1.0 3 CILINDROS"</f>
        <v>COJINETES BIELA 0,50 VW UP 1.0 3 CILINDROS</v>
      </c>
      <c r="C1184" t="str">
        <f>"$ 9654,71"</f>
        <v>$ 9654,71</v>
      </c>
      <c r="D1184" t="str">
        <f>"$ 9654,71"</f>
        <v>$ 9654,71</v>
      </c>
      <c r="E1184" t="str">
        <f>"$ 9654,71"</f>
        <v>$ 9654,71</v>
      </c>
      <c r="F1184" t="str">
        <f>"$ 9654,71"</f>
        <v>$ 9654,71</v>
      </c>
      <c r="G1184" t="str">
        <f>"$ 9654,71"</f>
        <v>$ 9654,71</v>
      </c>
      <c r="H1184" t="str">
        <f t="shared" si="756"/>
        <v>$ 0,00</v>
      </c>
      <c r="I1184" t="str">
        <f t="shared" si="754"/>
        <v>JUEGO COJINETES BIELA</v>
      </c>
      <c r="J1184" t="str">
        <f t="shared" si="757"/>
        <v>1</v>
      </c>
      <c r="K1184" t="str">
        <f t="shared" si="781"/>
        <v>0</v>
      </c>
      <c r="L1184" t="str">
        <f>"4,000"</f>
        <v>4,000</v>
      </c>
      <c r="M1184" t="str">
        <f t="shared" si="758"/>
        <v xml:space="preserve"> </v>
      </c>
      <c r="N1184" t="str">
        <f t="shared" si="748"/>
        <v>MPSI</v>
      </c>
      <c r="O1184" t="str">
        <f t="shared" si="749"/>
        <v>COJINETES</v>
      </c>
      <c r="P1184" t="str">
        <f t="shared" si="784"/>
        <v>0</v>
      </c>
      <c r="Q1184" t="str">
        <f t="shared" si="784"/>
        <v>0</v>
      </c>
      <c r="R1184" t="str">
        <f t="shared" si="785"/>
        <v>0,00</v>
      </c>
      <c r="S1184" t="str">
        <f t="shared" si="785"/>
        <v>0,00</v>
      </c>
      <c r="T1184" t="str">
        <f t="shared" si="780"/>
        <v xml:space="preserve"> </v>
      </c>
      <c r="U1184" t="str">
        <f t="shared" si="782"/>
        <v>-</v>
      </c>
      <c r="V1184" t="str">
        <f>"4,000"</f>
        <v>4,000</v>
      </c>
      <c r="W1184" t="str">
        <f t="shared" si="759"/>
        <v>Lista 4</v>
      </c>
      <c r="X1184" t="str">
        <f t="shared" si="760"/>
        <v>Lista 5</v>
      </c>
      <c r="Y1184" t="str">
        <f t="shared" si="761"/>
        <v>Oferta Gral.</v>
      </c>
      <c r="Z1184" t="str">
        <f t="shared" si="762"/>
        <v>Rubro</v>
      </c>
      <c r="AA1184" t="str">
        <f t="shared" si="763"/>
        <v>Cantidad por Bulto</v>
      </c>
      <c r="AB1184" t="str">
        <f t="shared" si="764"/>
        <v>INNER</v>
      </c>
      <c r="AC1184" t="str">
        <f t="shared" si="765"/>
        <v>Stock en Bultos</v>
      </c>
      <c r="AD1184" t="str">
        <f t="shared" si="766"/>
        <v>SubDepósito</v>
      </c>
      <c r="AE1184" t="str">
        <f t="shared" si="767"/>
        <v>Marca</v>
      </c>
      <c r="AF1184" t="str">
        <f t="shared" si="768"/>
        <v>Super Rubro</v>
      </c>
      <c r="AG1184" t="str">
        <f t="shared" si="769"/>
        <v>ComercioExterior</v>
      </c>
      <c r="AH1184" t="str">
        <f t="shared" si="770"/>
        <v>PrecioFOB</v>
      </c>
      <c r="AI1184" t="str">
        <f t="shared" si="771"/>
        <v>Monto II</v>
      </c>
      <c r="AJ1184" t="str">
        <f t="shared" si="772"/>
        <v>Porcentaje II</v>
      </c>
      <c r="AK1184" t="str">
        <f t="shared" si="773"/>
        <v>Foto</v>
      </c>
      <c r="AL1184" t="str">
        <f>" "</f>
        <v xml:space="preserve"> </v>
      </c>
      <c r="AM1184" t="str">
        <f t="shared" si="783"/>
        <v xml:space="preserve"> </v>
      </c>
    </row>
    <row r="1185" spans="1:39" x14ac:dyDescent="0.25">
      <c r="A1185" t="str">
        <f>"BI948 30"</f>
        <v>BI948 30</v>
      </c>
      <c r="B1185" t="str">
        <f>"COJINETES BIELA 0,75 AMAROK 2.0 TDI"</f>
        <v>COJINETES BIELA 0,75 AMAROK 2.0 TDI</v>
      </c>
      <c r="C1185" t="str">
        <f>"$ 20888,90"</f>
        <v>$ 20888,90</v>
      </c>
      <c r="D1185" t="str">
        <f>"$ 20888,90"</f>
        <v>$ 20888,90</v>
      </c>
      <c r="E1185" t="str">
        <f>"$ 20888,90"</f>
        <v>$ 20888,90</v>
      </c>
      <c r="F1185" t="str">
        <f>"$ 20888,90"</f>
        <v>$ 20888,90</v>
      </c>
      <c r="G1185" t="str">
        <f>"$ 20888,90"</f>
        <v>$ 20888,90</v>
      </c>
      <c r="H1185" t="str">
        <f t="shared" si="756"/>
        <v>$ 0,00</v>
      </c>
      <c r="I1185" t="str">
        <f t="shared" si="754"/>
        <v>JUEGO COJINETES BIELA</v>
      </c>
      <c r="J1185" t="str">
        <f t="shared" si="757"/>
        <v>1</v>
      </c>
      <c r="K1185" t="str">
        <f t="shared" si="781"/>
        <v>0</v>
      </c>
      <c r="L1185" t="str">
        <f>"8,000"</f>
        <v>8,000</v>
      </c>
      <c r="M1185" t="str">
        <f t="shared" si="758"/>
        <v xml:space="preserve"> </v>
      </c>
      <c r="N1185" t="str">
        <f t="shared" si="748"/>
        <v>MPSI</v>
      </c>
      <c r="O1185" t="str">
        <f t="shared" si="749"/>
        <v>COJINETES</v>
      </c>
      <c r="P1185" t="str">
        <f t="shared" si="784"/>
        <v>0</v>
      </c>
      <c r="Q1185" t="str">
        <f t="shared" si="784"/>
        <v>0</v>
      </c>
      <c r="R1185" t="str">
        <f t="shared" si="785"/>
        <v>0,00</v>
      </c>
      <c r="S1185" t="str">
        <f t="shared" si="785"/>
        <v>0,00</v>
      </c>
      <c r="T1185" t="str">
        <f t="shared" si="780"/>
        <v xml:space="preserve"> </v>
      </c>
      <c r="U1185" t="str">
        <f t="shared" si="782"/>
        <v>-</v>
      </c>
      <c r="V1185" t="str">
        <f>"8,000"</f>
        <v>8,000</v>
      </c>
      <c r="W1185" t="str">
        <f t="shared" si="759"/>
        <v>Lista 4</v>
      </c>
      <c r="X1185" t="str">
        <f t="shared" si="760"/>
        <v>Lista 5</v>
      </c>
      <c r="Y1185" t="str">
        <f t="shared" si="761"/>
        <v>Oferta Gral.</v>
      </c>
      <c r="Z1185" t="str">
        <f t="shared" si="762"/>
        <v>Rubro</v>
      </c>
      <c r="AA1185" t="str">
        <f t="shared" si="763"/>
        <v>Cantidad por Bulto</v>
      </c>
      <c r="AB1185" t="str">
        <f t="shared" si="764"/>
        <v>INNER</v>
      </c>
      <c r="AC1185" t="str">
        <f t="shared" si="765"/>
        <v>Stock en Bultos</v>
      </c>
      <c r="AD1185" t="str">
        <f t="shared" si="766"/>
        <v>SubDepósito</v>
      </c>
      <c r="AE1185" t="str">
        <f t="shared" si="767"/>
        <v>Marca</v>
      </c>
      <c r="AF1185" t="str">
        <f t="shared" si="768"/>
        <v>Super Rubro</v>
      </c>
      <c r="AG1185" t="str">
        <f t="shared" si="769"/>
        <v>ComercioExterior</v>
      </c>
      <c r="AH1185" t="str">
        <f t="shared" si="770"/>
        <v>PrecioFOB</v>
      </c>
      <c r="AI1185" t="str">
        <f t="shared" si="771"/>
        <v>Monto II</v>
      </c>
      <c r="AJ1185" t="str">
        <f t="shared" si="772"/>
        <v>Porcentaje II</v>
      </c>
      <c r="AK1185" t="str">
        <f t="shared" si="773"/>
        <v>Foto</v>
      </c>
      <c r="AL1185" t="str">
        <f>" "</f>
        <v xml:space="preserve"> </v>
      </c>
      <c r="AM1185" t="str">
        <f t="shared" si="783"/>
        <v xml:space="preserve"> </v>
      </c>
    </row>
    <row r="1186" spans="1:39" x14ac:dyDescent="0.25">
      <c r="A1186" t="str">
        <f>"BI067 30"</f>
        <v>BI067 30</v>
      </c>
      <c r="B1186" t="str">
        <f>"COJINETES BIELA 0,75 CHEVETTE 1400/1600     SINTER 10067/4"</f>
        <v>COJINETES BIELA 0,75 CHEVETTE 1400/1600     SINTER 10067/4</v>
      </c>
      <c r="C1186" t="str">
        <f>"$ 27777,09"</f>
        <v>$ 27777,09</v>
      </c>
      <c r="D1186" t="str">
        <f>"$ 27777,09"</f>
        <v>$ 27777,09</v>
      </c>
      <c r="E1186" t="str">
        <f>"$ 27777,09"</f>
        <v>$ 27777,09</v>
      </c>
      <c r="F1186" t="str">
        <f>"$ 27777,09"</f>
        <v>$ 27777,09</v>
      </c>
      <c r="G1186" t="str">
        <f>"$ 27777,09"</f>
        <v>$ 27777,09</v>
      </c>
      <c r="H1186" t="str">
        <f t="shared" si="756"/>
        <v>$ 0,00</v>
      </c>
      <c r="I1186" t="str">
        <f t="shared" si="754"/>
        <v>JUEGO COJINETES BIELA</v>
      </c>
      <c r="J1186" t="str">
        <f t="shared" si="757"/>
        <v>1</v>
      </c>
      <c r="K1186" t="str">
        <f t="shared" si="781"/>
        <v>0</v>
      </c>
      <c r="L1186" t="str">
        <f>"1,000"</f>
        <v>1,000</v>
      </c>
      <c r="M1186" t="str">
        <f t="shared" si="758"/>
        <v xml:space="preserve"> </v>
      </c>
      <c r="N1186" t="str">
        <f t="shared" si="748"/>
        <v>MPSI</v>
      </c>
      <c r="O1186" t="str">
        <f t="shared" si="749"/>
        <v>COJINETES</v>
      </c>
      <c r="P1186" t="str">
        <f t="shared" si="784"/>
        <v>0</v>
      </c>
      <c r="Q1186" t="str">
        <f t="shared" si="784"/>
        <v>0</v>
      </c>
      <c r="R1186" t="str">
        <f t="shared" si="785"/>
        <v>0,00</v>
      </c>
      <c r="S1186" t="str">
        <f t="shared" si="785"/>
        <v>0,00</v>
      </c>
      <c r="T1186" t="str">
        <f t="shared" si="780"/>
        <v xml:space="preserve"> </v>
      </c>
      <c r="U1186" t="str">
        <f>" "</f>
        <v xml:space="preserve"> </v>
      </c>
      <c r="V1186" t="str">
        <f>"1,000"</f>
        <v>1,000</v>
      </c>
      <c r="W1186" t="str">
        <f t="shared" si="759"/>
        <v>Lista 4</v>
      </c>
      <c r="X1186" t="str">
        <f t="shared" si="760"/>
        <v>Lista 5</v>
      </c>
      <c r="Y1186" t="str">
        <f t="shared" si="761"/>
        <v>Oferta Gral.</v>
      </c>
      <c r="Z1186" t="str">
        <f t="shared" si="762"/>
        <v>Rubro</v>
      </c>
      <c r="AA1186" t="str">
        <f t="shared" si="763"/>
        <v>Cantidad por Bulto</v>
      </c>
      <c r="AB1186" t="str">
        <f t="shared" si="764"/>
        <v>INNER</v>
      </c>
      <c r="AC1186" t="str">
        <f t="shared" si="765"/>
        <v>Stock en Bultos</v>
      </c>
      <c r="AD1186" t="str">
        <f t="shared" si="766"/>
        <v>SubDepósito</v>
      </c>
      <c r="AE1186" t="str">
        <f t="shared" si="767"/>
        <v>Marca</v>
      </c>
      <c r="AF1186" t="str">
        <f t="shared" si="768"/>
        <v>Super Rubro</v>
      </c>
      <c r="AG1186" t="str">
        <f t="shared" si="769"/>
        <v>ComercioExterior</v>
      </c>
      <c r="AH1186" t="str">
        <f t="shared" si="770"/>
        <v>PrecioFOB</v>
      </c>
      <c r="AI1186" t="str">
        <f t="shared" si="771"/>
        <v>Monto II</v>
      </c>
      <c r="AJ1186" t="str">
        <f t="shared" si="772"/>
        <v>Porcentaje II</v>
      </c>
      <c r="AK1186" t="str">
        <f t="shared" si="773"/>
        <v>Foto</v>
      </c>
      <c r="AL1186" t="str">
        <f>"{\rtf1\ansi\ansicpg1252\deff0\deflang11274{\fonttbl{\f0\fnil\fcharset0 MS Sans Serif}} \viewkind4\uc1\pard\f0\fs16 COJINETES BIELA 0,75 CHEVETTE 1400/1600     SINTER 10067/4\par } "</f>
        <v xml:space="preserve">{\rtf1\ansi\ansicpg1252\deff0\deflang11274{\fonttbl{\f0\fnil\fcharset0 MS Sans Serif}} \viewkind4\uc1\pard\f0\fs16 COJINETES BIELA 0,75 CHEVETTE 1400/1600     SINTER 10067/4\par } </v>
      </c>
      <c r="AM1186" t="str">
        <f>"-"</f>
        <v>-</v>
      </c>
    </row>
    <row r="1187" spans="1:39" x14ac:dyDescent="0.25">
      <c r="A1187" t="str">
        <f>"BI062 30"</f>
        <v>BI062 30</v>
      </c>
      <c r="B1187" t="str">
        <f>"COJINETES BIELA 0,75 CHEVROLET 400 CHEVY C10"</f>
        <v>COJINETES BIELA 0,75 CHEVROLET 400 CHEVY C10</v>
      </c>
      <c r="C1187" t="str">
        <f>"$ 22210,98"</f>
        <v>$ 22210,98</v>
      </c>
      <c r="D1187" t="str">
        <f>"$ 22210,98"</f>
        <v>$ 22210,98</v>
      </c>
      <c r="E1187" t="str">
        <f>"$ 22210,98"</f>
        <v>$ 22210,98</v>
      </c>
      <c r="F1187" t="str">
        <f>"$ 22210,98"</f>
        <v>$ 22210,98</v>
      </c>
      <c r="G1187" t="str">
        <f>"$ 22210,98"</f>
        <v>$ 22210,98</v>
      </c>
      <c r="H1187" t="str">
        <f t="shared" si="756"/>
        <v>$ 0,00</v>
      </c>
      <c r="I1187" t="str">
        <f t="shared" si="754"/>
        <v>JUEGO COJINETES BIELA</v>
      </c>
      <c r="J1187" t="str">
        <f t="shared" si="757"/>
        <v>1</v>
      </c>
      <c r="K1187" t="str">
        <f t="shared" si="781"/>
        <v>0</v>
      </c>
      <c r="L1187" t="str">
        <f>"5,000"</f>
        <v>5,000</v>
      </c>
      <c r="M1187" t="str">
        <f t="shared" si="758"/>
        <v xml:space="preserve"> </v>
      </c>
      <c r="N1187" t="str">
        <f t="shared" si="748"/>
        <v>MPSI</v>
      </c>
      <c r="O1187" t="str">
        <f t="shared" si="749"/>
        <v>COJINETES</v>
      </c>
      <c r="P1187" t="str">
        <f t="shared" si="784"/>
        <v>0</v>
      </c>
      <c r="Q1187" t="str">
        <f t="shared" si="784"/>
        <v>0</v>
      </c>
      <c r="R1187" t="str">
        <f t="shared" si="785"/>
        <v>0,00</v>
      </c>
      <c r="S1187" t="str">
        <f t="shared" si="785"/>
        <v>0,00</v>
      </c>
      <c r="T1187" t="str">
        <f t="shared" si="780"/>
        <v xml:space="preserve"> </v>
      </c>
      <c r="U1187" t="str">
        <f t="shared" ref="U1187:U1218" si="786">"-"</f>
        <v>-</v>
      </c>
      <c r="V1187" t="str">
        <f>"5,000"</f>
        <v>5,000</v>
      </c>
      <c r="W1187" t="str">
        <f t="shared" si="759"/>
        <v>Lista 4</v>
      </c>
      <c r="X1187" t="str">
        <f t="shared" si="760"/>
        <v>Lista 5</v>
      </c>
      <c r="Y1187" t="str">
        <f t="shared" si="761"/>
        <v>Oferta Gral.</v>
      </c>
      <c r="Z1187" t="str">
        <f t="shared" si="762"/>
        <v>Rubro</v>
      </c>
      <c r="AA1187" t="str">
        <f t="shared" si="763"/>
        <v>Cantidad por Bulto</v>
      </c>
      <c r="AB1187" t="str">
        <f t="shared" si="764"/>
        <v>INNER</v>
      </c>
      <c r="AC1187" t="str">
        <f t="shared" si="765"/>
        <v>Stock en Bultos</v>
      </c>
      <c r="AD1187" t="str">
        <f t="shared" si="766"/>
        <v>SubDepósito</v>
      </c>
      <c r="AE1187" t="str">
        <f t="shared" si="767"/>
        <v>Marca</v>
      </c>
      <c r="AF1187" t="str">
        <f t="shared" si="768"/>
        <v>Super Rubro</v>
      </c>
      <c r="AG1187" t="str">
        <f t="shared" si="769"/>
        <v>ComercioExterior</v>
      </c>
      <c r="AH1187" t="str">
        <f t="shared" si="770"/>
        <v>PrecioFOB</v>
      </c>
      <c r="AI1187" t="str">
        <f t="shared" si="771"/>
        <v>Monto II</v>
      </c>
      <c r="AJ1187" t="str">
        <f t="shared" si="772"/>
        <v>Porcentaje II</v>
      </c>
      <c r="AK1187" t="str">
        <f t="shared" si="773"/>
        <v>Foto</v>
      </c>
      <c r="AL1187" t="str">
        <f>" "</f>
        <v xml:space="preserve"> </v>
      </c>
      <c r="AM1187" t="str">
        <f>" "</f>
        <v xml:space="preserve"> </v>
      </c>
    </row>
    <row r="1188" spans="1:39" x14ac:dyDescent="0.25">
      <c r="A1188" t="str">
        <f>"BI372 30"</f>
        <v>BI372 30</v>
      </c>
      <c r="B1188" t="str">
        <f>"COJINETES BIELA 0,75 CHEVROLET CORSA 1.4 1.6 1.8 FIAT PALIO 1.8 8V"</f>
        <v>COJINETES BIELA 0,75 CHEVROLET CORSA 1.4 1.6 1.8 FIAT PALIO 1.8 8V</v>
      </c>
      <c r="C1188" t="str">
        <f>"$ 10874,12"</f>
        <v>$ 10874,12</v>
      </c>
      <c r="D1188" t="str">
        <f>"$ 10874,12"</f>
        <v>$ 10874,12</v>
      </c>
      <c r="E1188" t="str">
        <f>"$ 10874,12"</f>
        <v>$ 10874,12</v>
      </c>
      <c r="F1188" t="str">
        <f>"$ 10874,12"</f>
        <v>$ 10874,12</v>
      </c>
      <c r="G1188" t="str">
        <f>"$ 10874,12"</f>
        <v>$ 10874,12</v>
      </c>
      <c r="H1188" t="str">
        <f t="shared" si="756"/>
        <v>$ 0,00</v>
      </c>
      <c r="I1188" t="str">
        <f t="shared" si="754"/>
        <v>JUEGO COJINETES BIELA</v>
      </c>
      <c r="J1188" t="str">
        <f t="shared" si="757"/>
        <v>1</v>
      </c>
      <c r="K1188" t="str">
        <f t="shared" si="781"/>
        <v>0</v>
      </c>
      <c r="L1188" t="str">
        <f>"33,000"</f>
        <v>33,000</v>
      </c>
      <c r="M1188" t="str">
        <f t="shared" si="758"/>
        <v xml:space="preserve"> </v>
      </c>
      <c r="N1188" t="str">
        <f t="shared" si="748"/>
        <v>MPSI</v>
      </c>
      <c r="O1188" t="str">
        <f t="shared" si="749"/>
        <v>COJINETES</v>
      </c>
      <c r="P1188" t="str">
        <f t="shared" si="784"/>
        <v>0</v>
      </c>
      <c r="Q1188" t="str">
        <f t="shared" si="784"/>
        <v>0</v>
      </c>
      <c r="R1188" t="str">
        <f t="shared" si="785"/>
        <v>0,00</v>
      </c>
      <c r="S1188" t="str">
        <f t="shared" si="785"/>
        <v>0,00</v>
      </c>
      <c r="T1188" t="str">
        <f t="shared" si="780"/>
        <v xml:space="preserve"> </v>
      </c>
      <c r="U1188" t="str">
        <f t="shared" si="786"/>
        <v>-</v>
      </c>
      <c r="V1188" t="str">
        <f>"33,000"</f>
        <v>33,000</v>
      </c>
      <c r="W1188" t="str">
        <f t="shared" si="759"/>
        <v>Lista 4</v>
      </c>
      <c r="X1188" t="str">
        <f t="shared" si="760"/>
        <v>Lista 5</v>
      </c>
      <c r="Y1188" t="str">
        <f t="shared" si="761"/>
        <v>Oferta Gral.</v>
      </c>
      <c r="Z1188" t="str">
        <f t="shared" si="762"/>
        <v>Rubro</v>
      </c>
      <c r="AA1188" t="str">
        <f t="shared" si="763"/>
        <v>Cantidad por Bulto</v>
      </c>
      <c r="AB1188" t="str">
        <f t="shared" si="764"/>
        <v>INNER</v>
      </c>
      <c r="AC1188" t="str">
        <f t="shared" si="765"/>
        <v>Stock en Bultos</v>
      </c>
      <c r="AD1188" t="str">
        <f t="shared" si="766"/>
        <v>SubDepósito</v>
      </c>
      <c r="AE1188" t="str">
        <f t="shared" si="767"/>
        <v>Marca</v>
      </c>
      <c r="AF1188" t="str">
        <f t="shared" si="768"/>
        <v>Super Rubro</v>
      </c>
      <c r="AG1188" t="str">
        <f t="shared" si="769"/>
        <v>ComercioExterior</v>
      </c>
      <c r="AH1188" t="str">
        <f t="shared" si="770"/>
        <v>PrecioFOB</v>
      </c>
      <c r="AI1188" t="str">
        <f t="shared" si="771"/>
        <v>Monto II</v>
      </c>
      <c r="AJ1188" t="str">
        <f t="shared" si="772"/>
        <v>Porcentaje II</v>
      </c>
      <c r="AK1188" t="str">
        <f t="shared" si="773"/>
        <v>Foto</v>
      </c>
      <c r="AL1188" t="str">
        <f>"{\rtf1\ansi\ansicpg1252\deff0\deflang2058{\fonttbl{\f0\fnil\fcharset0 MS Sans Serif}} \viewkind4\uc1\pard\f0\fs16 COJINETES BIELA 0,75 CHEVROLET CORSA 1.4 1.6 1.8 FIAT PALIO 1.8 8V\par } "</f>
        <v xml:space="preserve">{\rtf1\ansi\ansicpg1252\deff0\deflang2058{\fonttbl{\f0\fnil\fcharset0 MS Sans Serif}} \viewkind4\uc1\pard\f0\fs16 COJINETES BIELA 0,75 CHEVROLET CORSA 1.4 1.6 1.8 FIAT PALIO 1.8 8V\par } </v>
      </c>
      <c r="AM1188" t="str">
        <f t="shared" ref="AM1188:AM1219" si="787">" "</f>
        <v xml:space="preserve"> </v>
      </c>
    </row>
    <row r="1189" spans="1:39" x14ac:dyDescent="0.25">
      <c r="A1189" t="str">
        <f>"BI810 30"</f>
        <v>BI810 30</v>
      </c>
      <c r="B1189" t="str">
        <f>"COJINETES BIELA 0,75 CHEVROLET CORSA 1.7 ISUZU 1,7 DIESEL"</f>
        <v>COJINETES BIELA 0,75 CHEVROLET CORSA 1.7 ISUZU 1,7 DIESEL</v>
      </c>
      <c r="C1189" t="str">
        <f>"$ 17897,69"</f>
        <v>$ 17897,69</v>
      </c>
      <c r="D1189" t="str">
        <f>"$ 17897,69"</f>
        <v>$ 17897,69</v>
      </c>
      <c r="E1189" t="str">
        <f>"$ 17897,69"</f>
        <v>$ 17897,69</v>
      </c>
      <c r="F1189" t="str">
        <f>"$ 17897,69"</f>
        <v>$ 17897,69</v>
      </c>
      <c r="G1189" t="str">
        <f>"$ 17897,69"</f>
        <v>$ 17897,69</v>
      </c>
      <c r="H1189" t="str">
        <f t="shared" si="756"/>
        <v>$ 0,00</v>
      </c>
      <c r="I1189" t="str">
        <f t="shared" si="754"/>
        <v>JUEGO COJINETES BIELA</v>
      </c>
      <c r="J1189" t="str">
        <f t="shared" si="757"/>
        <v>1</v>
      </c>
      <c r="K1189" t="str">
        <f t="shared" si="781"/>
        <v>0</v>
      </c>
      <c r="L1189" t="str">
        <f>"6,000"</f>
        <v>6,000</v>
      </c>
      <c r="M1189" t="str">
        <f t="shared" si="758"/>
        <v xml:space="preserve"> </v>
      </c>
      <c r="N1189" t="str">
        <f t="shared" ref="N1189:N1252" si="788">"MPSI"</f>
        <v>MPSI</v>
      </c>
      <c r="O1189" t="str">
        <f t="shared" ref="O1189:O1252" si="789">"COJINETES"</f>
        <v>COJINETES</v>
      </c>
      <c r="P1189" t="str">
        <f t="shared" si="784"/>
        <v>0</v>
      </c>
      <c r="Q1189" t="str">
        <f t="shared" si="784"/>
        <v>0</v>
      </c>
      <c r="R1189" t="str">
        <f t="shared" si="785"/>
        <v>0,00</v>
      </c>
      <c r="S1189" t="str">
        <f t="shared" si="785"/>
        <v>0,00</v>
      </c>
      <c r="T1189" t="str">
        <f t="shared" si="780"/>
        <v xml:space="preserve"> </v>
      </c>
      <c r="U1189" t="str">
        <f t="shared" si="786"/>
        <v>-</v>
      </c>
      <c r="V1189" t="str">
        <f>"6,000"</f>
        <v>6,000</v>
      </c>
      <c r="W1189" t="str">
        <f t="shared" si="759"/>
        <v>Lista 4</v>
      </c>
      <c r="X1189" t="str">
        <f t="shared" si="760"/>
        <v>Lista 5</v>
      </c>
      <c r="Y1189" t="str">
        <f t="shared" si="761"/>
        <v>Oferta Gral.</v>
      </c>
      <c r="Z1189" t="str">
        <f t="shared" si="762"/>
        <v>Rubro</v>
      </c>
      <c r="AA1189" t="str">
        <f t="shared" si="763"/>
        <v>Cantidad por Bulto</v>
      </c>
      <c r="AB1189" t="str">
        <f t="shared" si="764"/>
        <v>INNER</v>
      </c>
      <c r="AC1189" t="str">
        <f t="shared" si="765"/>
        <v>Stock en Bultos</v>
      </c>
      <c r="AD1189" t="str">
        <f t="shared" si="766"/>
        <v>SubDepósito</v>
      </c>
      <c r="AE1189" t="str">
        <f t="shared" si="767"/>
        <v>Marca</v>
      </c>
      <c r="AF1189" t="str">
        <f t="shared" si="768"/>
        <v>Super Rubro</v>
      </c>
      <c r="AG1189" t="str">
        <f t="shared" si="769"/>
        <v>ComercioExterior</v>
      </c>
      <c r="AH1189" t="str">
        <f t="shared" si="770"/>
        <v>PrecioFOB</v>
      </c>
      <c r="AI1189" t="str">
        <f t="shared" si="771"/>
        <v>Monto II</v>
      </c>
      <c r="AJ1189" t="str">
        <f t="shared" si="772"/>
        <v>Porcentaje II</v>
      </c>
      <c r="AK1189" t="str">
        <f t="shared" si="773"/>
        <v>Foto</v>
      </c>
      <c r="AL1189" t="str">
        <f t="shared" ref="AL1189:AL1199" si="790">" "</f>
        <v xml:space="preserve"> </v>
      </c>
      <c r="AM1189" t="str">
        <f t="shared" si="787"/>
        <v xml:space="preserve"> </v>
      </c>
    </row>
    <row r="1190" spans="1:39" x14ac:dyDescent="0.25">
      <c r="A1190" t="str">
        <f>"BI070 30"</f>
        <v>BI070 30</v>
      </c>
      <c r="B1190" t="str">
        <f>"COJINETES BIELA 0,75 CHEVROLET MONZA ASTRA 1.8 2.0 8V"</f>
        <v>COJINETES BIELA 0,75 CHEVROLET MONZA ASTRA 1.8 2.0 8V</v>
      </c>
      <c r="C1190" t="str">
        <f>"$ 15174,52"</f>
        <v>$ 15174,52</v>
      </c>
      <c r="D1190" t="str">
        <f>"$ 15174,52"</f>
        <v>$ 15174,52</v>
      </c>
      <c r="E1190" t="str">
        <f>"$ 15174,52"</f>
        <v>$ 15174,52</v>
      </c>
      <c r="F1190" t="str">
        <f>"$ 15174,52"</f>
        <v>$ 15174,52</v>
      </c>
      <c r="G1190" t="str">
        <f>"$ 15174,52"</f>
        <v>$ 15174,52</v>
      </c>
      <c r="H1190" t="str">
        <f t="shared" si="756"/>
        <v>$ 0,00</v>
      </c>
      <c r="I1190" t="str">
        <f t="shared" si="754"/>
        <v>JUEGO COJINETES BIELA</v>
      </c>
      <c r="J1190" t="str">
        <f t="shared" si="757"/>
        <v>1</v>
      </c>
      <c r="K1190" t="str">
        <f t="shared" si="781"/>
        <v>0</v>
      </c>
      <c r="L1190" t="str">
        <f>"0,000"</f>
        <v>0,000</v>
      </c>
      <c r="M1190" t="str">
        <f t="shared" si="758"/>
        <v xml:space="preserve"> </v>
      </c>
      <c r="N1190" t="str">
        <f t="shared" si="788"/>
        <v>MPSI</v>
      </c>
      <c r="O1190" t="str">
        <f t="shared" si="789"/>
        <v>COJINETES</v>
      </c>
      <c r="P1190" t="str">
        <f t="shared" si="784"/>
        <v>0</v>
      </c>
      <c r="Q1190" t="str">
        <f t="shared" si="784"/>
        <v>0</v>
      </c>
      <c r="R1190" t="str">
        <f t="shared" si="785"/>
        <v>0,00</v>
      </c>
      <c r="S1190" t="str">
        <f t="shared" si="785"/>
        <v>0,00</v>
      </c>
      <c r="T1190" t="str">
        <f t="shared" si="780"/>
        <v xml:space="preserve"> </v>
      </c>
      <c r="U1190" t="str">
        <f t="shared" si="786"/>
        <v>-</v>
      </c>
      <c r="V1190" t="str">
        <f>"0,000"</f>
        <v>0,000</v>
      </c>
      <c r="W1190" t="str">
        <f t="shared" si="759"/>
        <v>Lista 4</v>
      </c>
      <c r="X1190" t="str">
        <f t="shared" si="760"/>
        <v>Lista 5</v>
      </c>
      <c r="Y1190" t="str">
        <f t="shared" si="761"/>
        <v>Oferta Gral.</v>
      </c>
      <c r="Z1190" t="str">
        <f t="shared" si="762"/>
        <v>Rubro</v>
      </c>
      <c r="AA1190" t="str">
        <f t="shared" si="763"/>
        <v>Cantidad por Bulto</v>
      </c>
      <c r="AB1190" t="str">
        <f t="shared" si="764"/>
        <v>INNER</v>
      </c>
      <c r="AC1190" t="str">
        <f t="shared" si="765"/>
        <v>Stock en Bultos</v>
      </c>
      <c r="AD1190" t="str">
        <f t="shared" si="766"/>
        <v>SubDepósito</v>
      </c>
      <c r="AE1190" t="str">
        <f t="shared" si="767"/>
        <v>Marca</v>
      </c>
      <c r="AF1190" t="str">
        <f t="shared" si="768"/>
        <v>Super Rubro</v>
      </c>
      <c r="AG1190" t="str">
        <f t="shared" si="769"/>
        <v>ComercioExterior</v>
      </c>
      <c r="AH1190" t="str">
        <f t="shared" si="770"/>
        <v>PrecioFOB</v>
      </c>
      <c r="AI1190" t="str">
        <f t="shared" si="771"/>
        <v>Monto II</v>
      </c>
      <c r="AJ1190" t="str">
        <f t="shared" si="772"/>
        <v>Porcentaje II</v>
      </c>
      <c r="AK1190" t="str">
        <f t="shared" si="773"/>
        <v>Foto</v>
      </c>
      <c r="AL1190" t="str">
        <f t="shared" si="790"/>
        <v xml:space="preserve"> </v>
      </c>
      <c r="AM1190" t="str">
        <f t="shared" si="787"/>
        <v xml:space="preserve"> </v>
      </c>
    </row>
    <row r="1191" spans="1:39" x14ac:dyDescent="0.25">
      <c r="A1191" t="str">
        <f>"BI082 30"</f>
        <v>BI082 30</v>
      </c>
      <c r="B1191" t="str">
        <f>"COJINETES BIELA 0,75 DODGE 1500"</f>
        <v>COJINETES BIELA 0,75 DODGE 1500</v>
      </c>
      <c r="C1191" t="str">
        <f>"$ 17350,79"</f>
        <v>$ 17350,79</v>
      </c>
      <c r="D1191" t="str">
        <f>"$ 17350,79"</f>
        <v>$ 17350,79</v>
      </c>
      <c r="E1191" t="str">
        <f>"$ 17350,79"</f>
        <v>$ 17350,79</v>
      </c>
      <c r="F1191" t="str">
        <f>"$ 17350,79"</f>
        <v>$ 17350,79</v>
      </c>
      <c r="G1191" t="str">
        <f>"$ 17350,79"</f>
        <v>$ 17350,79</v>
      </c>
      <c r="H1191" t="str">
        <f t="shared" si="756"/>
        <v>$ 0,00</v>
      </c>
      <c r="I1191" t="str">
        <f t="shared" si="754"/>
        <v>JUEGO COJINETES BIELA</v>
      </c>
      <c r="J1191" t="str">
        <f t="shared" si="757"/>
        <v>1</v>
      </c>
      <c r="K1191" t="str">
        <f t="shared" si="781"/>
        <v>0</v>
      </c>
      <c r="L1191" t="str">
        <f>"2,000"</f>
        <v>2,000</v>
      </c>
      <c r="M1191" t="str">
        <f t="shared" si="758"/>
        <v xml:space="preserve"> </v>
      </c>
      <c r="N1191" t="str">
        <f t="shared" si="788"/>
        <v>MPSI</v>
      </c>
      <c r="O1191" t="str">
        <f t="shared" si="789"/>
        <v>COJINETES</v>
      </c>
      <c r="P1191" t="str">
        <f t="shared" si="784"/>
        <v>0</v>
      </c>
      <c r="Q1191" t="str">
        <f t="shared" si="784"/>
        <v>0</v>
      </c>
      <c r="R1191" t="str">
        <f t="shared" si="785"/>
        <v>0,00</v>
      </c>
      <c r="S1191" t="str">
        <f t="shared" si="785"/>
        <v>0,00</v>
      </c>
      <c r="T1191" t="str">
        <f t="shared" si="780"/>
        <v xml:space="preserve"> </v>
      </c>
      <c r="U1191" t="str">
        <f t="shared" si="786"/>
        <v>-</v>
      </c>
      <c r="V1191" t="str">
        <f>"2,000"</f>
        <v>2,000</v>
      </c>
      <c r="W1191" t="str">
        <f t="shared" si="759"/>
        <v>Lista 4</v>
      </c>
      <c r="X1191" t="str">
        <f t="shared" si="760"/>
        <v>Lista 5</v>
      </c>
      <c r="Y1191" t="str">
        <f t="shared" si="761"/>
        <v>Oferta Gral.</v>
      </c>
      <c r="Z1191" t="str">
        <f t="shared" si="762"/>
        <v>Rubro</v>
      </c>
      <c r="AA1191" t="str">
        <f t="shared" si="763"/>
        <v>Cantidad por Bulto</v>
      </c>
      <c r="AB1191" t="str">
        <f t="shared" si="764"/>
        <v>INNER</v>
      </c>
      <c r="AC1191" t="str">
        <f t="shared" si="765"/>
        <v>Stock en Bultos</v>
      </c>
      <c r="AD1191" t="str">
        <f t="shared" si="766"/>
        <v>SubDepósito</v>
      </c>
      <c r="AE1191" t="str">
        <f t="shared" si="767"/>
        <v>Marca</v>
      </c>
      <c r="AF1191" t="str">
        <f t="shared" si="768"/>
        <v>Super Rubro</v>
      </c>
      <c r="AG1191" t="str">
        <f t="shared" si="769"/>
        <v>ComercioExterior</v>
      </c>
      <c r="AH1191" t="str">
        <f t="shared" si="770"/>
        <v>PrecioFOB</v>
      </c>
      <c r="AI1191" t="str">
        <f t="shared" si="771"/>
        <v>Monto II</v>
      </c>
      <c r="AJ1191" t="str">
        <f t="shared" si="772"/>
        <v>Porcentaje II</v>
      </c>
      <c r="AK1191" t="str">
        <f t="shared" si="773"/>
        <v>Foto</v>
      </c>
      <c r="AL1191" t="str">
        <f t="shared" si="790"/>
        <v xml:space="preserve"> </v>
      </c>
      <c r="AM1191" t="str">
        <f t="shared" si="787"/>
        <v xml:space="preserve"> </v>
      </c>
    </row>
    <row r="1192" spans="1:39" x14ac:dyDescent="0.25">
      <c r="A1192" t="str">
        <f>"BI080 30"</f>
        <v>BI080 30</v>
      </c>
      <c r="B1192" t="str">
        <f>"COJINETES BIELA 0,75 DODGE VALIANT"</f>
        <v>COJINETES BIELA 0,75 DODGE VALIANT</v>
      </c>
      <c r="C1192" t="str">
        <f>"$ 29518,10"</f>
        <v>$ 29518,10</v>
      </c>
      <c r="D1192" t="str">
        <f>"$ 29518,10"</f>
        <v>$ 29518,10</v>
      </c>
      <c r="E1192" t="str">
        <f>"$ 29518,10"</f>
        <v>$ 29518,10</v>
      </c>
      <c r="F1192" t="str">
        <f>"$ 29518,10"</f>
        <v>$ 29518,10</v>
      </c>
      <c r="G1192" t="str">
        <f>"$ 29518,10"</f>
        <v>$ 29518,10</v>
      </c>
      <c r="H1192" t="str">
        <f t="shared" si="756"/>
        <v>$ 0,00</v>
      </c>
      <c r="I1192" t="str">
        <f t="shared" si="754"/>
        <v>JUEGO COJINETES BIELA</v>
      </c>
      <c r="J1192" t="str">
        <f t="shared" si="757"/>
        <v>1</v>
      </c>
      <c r="K1192" t="str">
        <f t="shared" si="781"/>
        <v>0</v>
      </c>
      <c r="L1192" t="str">
        <f>"1,000"</f>
        <v>1,000</v>
      </c>
      <c r="M1192" t="str">
        <f t="shared" si="758"/>
        <v xml:space="preserve"> </v>
      </c>
      <c r="N1192" t="str">
        <f t="shared" si="788"/>
        <v>MPSI</v>
      </c>
      <c r="O1192" t="str">
        <f t="shared" si="789"/>
        <v>COJINETES</v>
      </c>
      <c r="P1192" t="str">
        <f t="shared" si="784"/>
        <v>0</v>
      </c>
      <c r="Q1192" t="str">
        <f t="shared" si="784"/>
        <v>0</v>
      </c>
      <c r="R1192" t="str">
        <f t="shared" si="785"/>
        <v>0,00</v>
      </c>
      <c r="S1192" t="str">
        <f t="shared" si="785"/>
        <v>0,00</v>
      </c>
      <c r="T1192" t="str">
        <f t="shared" si="780"/>
        <v xml:space="preserve"> </v>
      </c>
      <c r="U1192" t="str">
        <f t="shared" si="786"/>
        <v>-</v>
      </c>
      <c r="V1192" t="str">
        <f>"1,000"</f>
        <v>1,000</v>
      </c>
      <c r="W1192" t="str">
        <f t="shared" si="759"/>
        <v>Lista 4</v>
      </c>
      <c r="X1192" t="str">
        <f t="shared" si="760"/>
        <v>Lista 5</v>
      </c>
      <c r="Y1192" t="str">
        <f t="shared" si="761"/>
        <v>Oferta Gral.</v>
      </c>
      <c r="Z1192" t="str">
        <f t="shared" si="762"/>
        <v>Rubro</v>
      </c>
      <c r="AA1192" t="str">
        <f t="shared" si="763"/>
        <v>Cantidad por Bulto</v>
      </c>
      <c r="AB1192" t="str">
        <f t="shared" si="764"/>
        <v>INNER</v>
      </c>
      <c r="AC1192" t="str">
        <f t="shared" si="765"/>
        <v>Stock en Bultos</v>
      </c>
      <c r="AD1192" t="str">
        <f t="shared" si="766"/>
        <v>SubDepósito</v>
      </c>
      <c r="AE1192" t="str">
        <f t="shared" si="767"/>
        <v>Marca</v>
      </c>
      <c r="AF1192" t="str">
        <f t="shared" si="768"/>
        <v>Super Rubro</v>
      </c>
      <c r="AG1192" t="str">
        <f t="shared" si="769"/>
        <v>ComercioExterior</v>
      </c>
      <c r="AH1192" t="str">
        <f t="shared" si="770"/>
        <v>PrecioFOB</v>
      </c>
      <c r="AI1192" t="str">
        <f t="shared" si="771"/>
        <v>Monto II</v>
      </c>
      <c r="AJ1192" t="str">
        <f t="shared" si="772"/>
        <v>Porcentaje II</v>
      </c>
      <c r="AK1192" t="str">
        <f t="shared" si="773"/>
        <v>Foto</v>
      </c>
      <c r="AL1192" t="str">
        <f t="shared" si="790"/>
        <v xml:space="preserve"> </v>
      </c>
      <c r="AM1192" t="str">
        <f t="shared" si="787"/>
        <v xml:space="preserve"> </v>
      </c>
    </row>
    <row r="1193" spans="1:39" x14ac:dyDescent="0.25">
      <c r="A1193" t="str">
        <f>"BI144405 30"</f>
        <v>BI144405 30</v>
      </c>
      <c r="B1193" t="str">
        <f>"COJINETES BIELA 0,75 DUCATO DAILY BOXER JUMPER 2.3 MULTIJET"</f>
        <v>COJINETES BIELA 0,75 DUCATO DAILY BOXER JUMPER 2.3 MULTIJET</v>
      </c>
      <c r="C1193" t="str">
        <f>"$ 29913,79"</f>
        <v>$ 29913,79</v>
      </c>
      <c r="D1193" t="str">
        <f>"$ 29913,79"</f>
        <v>$ 29913,79</v>
      </c>
      <c r="E1193" t="str">
        <f>"$ 29913,79"</f>
        <v>$ 29913,79</v>
      </c>
      <c r="F1193" t="str">
        <f>"$ 29913,79"</f>
        <v>$ 29913,79</v>
      </c>
      <c r="G1193" t="str">
        <f>"$ 29913,79"</f>
        <v>$ 29913,79</v>
      </c>
      <c r="H1193" t="str">
        <f t="shared" si="756"/>
        <v>$ 0,00</v>
      </c>
      <c r="I1193" t="str">
        <f t="shared" si="754"/>
        <v>JUEGO COJINETES BIELA</v>
      </c>
      <c r="J1193" t="str">
        <f t="shared" si="757"/>
        <v>1</v>
      </c>
      <c r="K1193" t="str">
        <f t="shared" si="781"/>
        <v>0</v>
      </c>
      <c r="L1193" t="str">
        <f>"4,000"</f>
        <v>4,000</v>
      </c>
      <c r="M1193" t="str">
        <f t="shared" si="758"/>
        <v xml:space="preserve"> </v>
      </c>
      <c r="N1193" t="str">
        <f t="shared" si="788"/>
        <v>MPSI</v>
      </c>
      <c r="O1193" t="str">
        <f t="shared" si="789"/>
        <v>COJINETES</v>
      </c>
      <c r="P1193" t="str">
        <f t="shared" si="784"/>
        <v>0</v>
      </c>
      <c r="Q1193" t="str">
        <f t="shared" si="784"/>
        <v>0</v>
      </c>
      <c r="R1193" t="str">
        <f t="shared" si="785"/>
        <v>0,00</v>
      </c>
      <c r="S1193" t="str">
        <f t="shared" si="785"/>
        <v>0,00</v>
      </c>
      <c r="T1193" t="str">
        <f t="shared" si="780"/>
        <v xml:space="preserve"> </v>
      </c>
      <c r="U1193" t="str">
        <f t="shared" si="786"/>
        <v>-</v>
      </c>
      <c r="V1193" t="str">
        <f>"4,000"</f>
        <v>4,000</v>
      </c>
      <c r="W1193" t="str">
        <f t="shared" si="759"/>
        <v>Lista 4</v>
      </c>
      <c r="X1193" t="str">
        <f t="shared" si="760"/>
        <v>Lista 5</v>
      </c>
      <c r="Y1193" t="str">
        <f t="shared" si="761"/>
        <v>Oferta Gral.</v>
      </c>
      <c r="Z1193" t="str">
        <f t="shared" si="762"/>
        <v>Rubro</v>
      </c>
      <c r="AA1193" t="str">
        <f t="shared" si="763"/>
        <v>Cantidad por Bulto</v>
      </c>
      <c r="AB1193" t="str">
        <f t="shared" si="764"/>
        <v>INNER</v>
      </c>
      <c r="AC1193" t="str">
        <f t="shared" si="765"/>
        <v>Stock en Bultos</v>
      </c>
      <c r="AD1193" t="str">
        <f t="shared" si="766"/>
        <v>SubDepósito</v>
      </c>
      <c r="AE1193" t="str">
        <f t="shared" si="767"/>
        <v>Marca</v>
      </c>
      <c r="AF1193" t="str">
        <f t="shared" si="768"/>
        <v>Super Rubro</v>
      </c>
      <c r="AG1193" t="str">
        <f t="shared" si="769"/>
        <v>ComercioExterior</v>
      </c>
      <c r="AH1193" t="str">
        <f t="shared" si="770"/>
        <v>PrecioFOB</v>
      </c>
      <c r="AI1193" t="str">
        <f t="shared" si="771"/>
        <v>Monto II</v>
      </c>
      <c r="AJ1193" t="str">
        <f t="shared" si="772"/>
        <v>Porcentaje II</v>
      </c>
      <c r="AK1193" t="str">
        <f t="shared" si="773"/>
        <v>Foto</v>
      </c>
      <c r="AL1193" t="str">
        <f t="shared" si="790"/>
        <v xml:space="preserve"> </v>
      </c>
      <c r="AM1193" t="str">
        <f t="shared" si="787"/>
        <v xml:space="preserve"> </v>
      </c>
    </row>
    <row r="1194" spans="1:39" x14ac:dyDescent="0.25">
      <c r="A1194" t="str">
        <f>"BI136 30"</f>
        <v>BI136 30</v>
      </c>
      <c r="B1194" t="str">
        <f>"COJINETES BIELA 0,75 FIAT 147 DUNA 1300 DIESEL"</f>
        <v>COJINETES BIELA 0,75 FIAT 147 DUNA 1300 DIESEL</v>
      </c>
      <c r="C1194" t="str">
        <f>"$ 12196,21"</f>
        <v>$ 12196,21</v>
      </c>
      <c r="D1194" t="str">
        <f>"$ 12196,21"</f>
        <v>$ 12196,21</v>
      </c>
      <c r="E1194" t="str">
        <f>"$ 12196,21"</f>
        <v>$ 12196,21</v>
      </c>
      <c r="F1194" t="str">
        <f>"$ 12196,21"</f>
        <v>$ 12196,21</v>
      </c>
      <c r="G1194" t="str">
        <f>"$ 12196,21"</f>
        <v>$ 12196,21</v>
      </c>
      <c r="H1194" t="str">
        <f t="shared" si="756"/>
        <v>$ 0,00</v>
      </c>
      <c r="I1194" t="str">
        <f t="shared" si="754"/>
        <v>JUEGO COJINETES BIELA</v>
      </c>
      <c r="J1194" t="str">
        <f t="shared" si="757"/>
        <v>1</v>
      </c>
      <c r="K1194" t="str">
        <f t="shared" si="781"/>
        <v>0</v>
      </c>
      <c r="L1194" t="str">
        <f>"4,000"</f>
        <v>4,000</v>
      </c>
      <c r="M1194" t="str">
        <f t="shared" si="758"/>
        <v xml:space="preserve"> </v>
      </c>
      <c r="N1194" t="str">
        <f t="shared" si="788"/>
        <v>MPSI</v>
      </c>
      <c r="O1194" t="str">
        <f t="shared" si="789"/>
        <v>COJINETES</v>
      </c>
      <c r="P1194" t="str">
        <f t="shared" si="784"/>
        <v>0</v>
      </c>
      <c r="Q1194" t="str">
        <f t="shared" si="784"/>
        <v>0</v>
      </c>
      <c r="R1194" t="str">
        <f t="shared" si="785"/>
        <v>0,00</v>
      </c>
      <c r="S1194" t="str">
        <f t="shared" si="785"/>
        <v>0,00</v>
      </c>
      <c r="T1194" t="str">
        <f t="shared" si="780"/>
        <v xml:space="preserve"> </v>
      </c>
      <c r="U1194" t="str">
        <f t="shared" si="786"/>
        <v>-</v>
      </c>
      <c r="V1194" t="str">
        <f>"4,000"</f>
        <v>4,000</v>
      </c>
      <c r="W1194" t="str">
        <f t="shared" si="759"/>
        <v>Lista 4</v>
      </c>
      <c r="X1194" t="str">
        <f t="shared" si="760"/>
        <v>Lista 5</v>
      </c>
      <c r="Y1194" t="str">
        <f t="shared" si="761"/>
        <v>Oferta Gral.</v>
      </c>
      <c r="Z1194" t="str">
        <f t="shared" si="762"/>
        <v>Rubro</v>
      </c>
      <c r="AA1194" t="str">
        <f t="shared" si="763"/>
        <v>Cantidad por Bulto</v>
      </c>
      <c r="AB1194" t="str">
        <f t="shared" si="764"/>
        <v>INNER</v>
      </c>
      <c r="AC1194" t="str">
        <f t="shared" si="765"/>
        <v>Stock en Bultos</v>
      </c>
      <c r="AD1194" t="str">
        <f t="shared" si="766"/>
        <v>SubDepósito</v>
      </c>
      <c r="AE1194" t="str">
        <f t="shared" si="767"/>
        <v>Marca</v>
      </c>
      <c r="AF1194" t="str">
        <f t="shared" si="768"/>
        <v>Super Rubro</v>
      </c>
      <c r="AG1194" t="str">
        <f t="shared" si="769"/>
        <v>ComercioExterior</v>
      </c>
      <c r="AH1194" t="str">
        <f t="shared" si="770"/>
        <v>PrecioFOB</v>
      </c>
      <c r="AI1194" t="str">
        <f t="shared" si="771"/>
        <v>Monto II</v>
      </c>
      <c r="AJ1194" t="str">
        <f t="shared" si="772"/>
        <v>Porcentaje II</v>
      </c>
      <c r="AK1194" t="str">
        <f t="shared" si="773"/>
        <v>Foto</v>
      </c>
      <c r="AL1194" t="str">
        <f t="shared" si="790"/>
        <v xml:space="preserve"> </v>
      </c>
      <c r="AM1194" t="str">
        <f t="shared" si="787"/>
        <v xml:space="preserve"> </v>
      </c>
    </row>
    <row r="1195" spans="1:39" x14ac:dyDescent="0.25">
      <c r="A1195" t="str">
        <f>"BI133 30"</f>
        <v>BI133 30</v>
      </c>
      <c r="B1195" t="str">
        <f>"COJINETES BIELA 0,75 FIAT 600 S 133"</f>
        <v>COJINETES BIELA 0,75 FIAT 600 S 133</v>
      </c>
      <c r="C1195" t="str">
        <f>"$ 13908,33"</f>
        <v>$ 13908,33</v>
      </c>
      <c r="D1195" t="str">
        <f>"$ 13908,33"</f>
        <v>$ 13908,33</v>
      </c>
      <c r="E1195" t="str">
        <f>"$ 13908,33"</f>
        <v>$ 13908,33</v>
      </c>
      <c r="F1195" t="str">
        <f>"$ 13908,33"</f>
        <v>$ 13908,33</v>
      </c>
      <c r="G1195" t="str">
        <f>"$ 13908,33"</f>
        <v>$ 13908,33</v>
      </c>
      <c r="H1195" t="str">
        <f t="shared" si="756"/>
        <v>$ 0,00</v>
      </c>
      <c r="I1195" t="str">
        <f t="shared" si="754"/>
        <v>JUEGO COJINETES BIELA</v>
      </c>
      <c r="J1195" t="str">
        <f t="shared" si="757"/>
        <v>1</v>
      </c>
      <c r="K1195" t="str">
        <f t="shared" si="781"/>
        <v>0</v>
      </c>
      <c r="L1195" t="str">
        <f>"4,000"</f>
        <v>4,000</v>
      </c>
      <c r="M1195" t="str">
        <f t="shared" si="758"/>
        <v xml:space="preserve"> </v>
      </c>
      <c r="N1195" t="str">
        <f t="shared" si="788"/>
        <v>MPSI</v>
      </c>
      <c r="O1195" t="str">
        <f t="shared" si="789"/>
        <v>COJINETES</v>
      </c>
      <c r="P1195" t="str">
        <f t="shared" si="784"/>
        <v>0</v>
      </c>
      <c r="Q1195" t="str">
        <f t="shared" si="784"/>
        <v>0</v>
      </c>
      <c r="R1195" t="str">
        <f t="shared" si="785"/>
        <v>0,00</v>
      </c>
      <c r="S1195" t="str">
        <f t="shared" si="785"/>
        <v>0,00</v>
      </c>
      <c r="T1195" t="str">
        <f t="shared" si="780"/>
        <v xml:space="preserve"> </v>
      </c>
      <c r="U1195" t="str">
        <f t="shared" si="786"/>
        <v>-</v>
      </c>
      <c r="V1195" t="str">
        <f>"4,000"</f>
        <v>4,000</v>
      </c>
      <c r="W1195" t="str">
        <f t="shared" si="759"/>
        <v>Lista 4</v>
      </c>
      <c r="X1195" t="str">
        <f t="shared" si="760"/>
        <v>Lista 5</v>
      </c>
      <c r="Y1195" t="str">
        <f t="shared" si="761"/>
        <v>Oferta Gral.</v>
      </c>
      <c r="Z1195" t="str">
        <f t="shared" si="762"/>
        <v>Rubro</v>
      </c>
      <c r="AA1195" t="str">
        <f t="shared" si="763"/>
        <v>Cantidad por Bulto</v>
      </c>
      <c r="AB1195" t="str">
        <f t="shared" si="764"/>
        <v>INNER</v>
      </c>
      <c r="AC1195" t="str">
        <f t="shared" si="765"/>
        <v>Stock en Bultos</v>
      </c>
      <c r="AD1195" t="str">
        <f t="shared" si="766"/>
        <v>SubDepósito</v>
      </c>
      <c r="AE1195" t="str">
        <f t="shared" si="767"/>
        <v>Marca</v>
      </c>
      <c r="AF1195" t="str">
        <f t="shared" si="768"/>
        <v>Super Rubro</v>
      </c>
      <c r="AG1195" t="str">
        <f t="shared" si="769"/>
        <v>ComercioExterior</v>
      </c>
      <c r="AH1195" t="str">
        <f t="shared" si="770"/>
        <v>PrecioFOB</v>
      </c>
      <c r="AI1195" t="str">
        <f t="shared" si="771"/>
        <v>Monto II</v>
      </c>
      <c r="AJ1195" t="str">
        <f t="shared" si="772"/>
        <v>Porcentaje II</v>
      </c>
      <c r="AK1195" t="str">
        <f t="shared" si="773"/>
        <v>Foto</v>
      </c>
      <c r="AL1195" t="str">
        <f t="shared" si="790"/>
        <v xml:space="preserve"> </v>
      </c>
      <c r="AM1195" t="str">
        <f t="shared" si="787"/>
        <v xml:space="preserve"> </v>
      </c>
    </row>
    <row r="1196" spans="1:39" x14ac:dyDescent="0.25">
      <c r="A1196" t="str">
        <f>"BI137 30"</f>
        <v>BI137 30</v>
      </c>
      <c r="B1196" t="str">
        <f>"COJINETES BIELA 0,75 FIAT DUNA DUCATO 1.7 1.9 DIESEL"</f>
        <v>COJINETES BIELA 0,75 FIAT DUNA DUCATO 1.7 1.9 DIESEL</v>
      </c>
      <c r="C1196" t="str">
        <f>"$ 13253,87"</f>
        <v>$ 13253,87</v>
      </c>
      <c r="D1196" t="str">
        <f>"$ 13253,87"</f>
        <v>$ 13253,87</v>
      </c>
      <c r="E1196" t="str">
        <f>"$ 13253,87"</f>
        <v>$ 13253,87</v>
      </c>
      <c r="F1196" t="str">
        <f>"$ 13253,87"</f>
        <v>$ 13253,87</v>
      </c>
      <c r="G1196" t="str">
        <f>"$ 13253,87"</f>
        <v>$ 13253,87</v>
      </c>
      <c r="H1196" t="str">
        <f t="shared" si="756"/>
        <v>$ 0,00</v>
      </c>
      <c r="I1196" t="str">
        <f t="shared" si="754"/>
        <v>JUEGO COJINETES BIELA</v>
      </c>
      <c r="J1196" t="str">
        <f t="shared" si="757"/>
        <v>1</v>
      </c>
      <c r="K1196" t="str">
        <f t="shared" si="781"/>
        <v>0</v>
      </c>
      <c r="L1196" t="str">
        <f>"7,000"</f>
        <v>7,000</v>
      </c>
      <c r="M1196" t="str">
        <f t="shared" si="758"/>
        <v xml:space="preserve"> </v>
      </c>
      <c r="N1196" t="str">
        <f t="shared" si="788"/>
        <v>MPSI</v>
      </c>
      <c r="O1196" t="str">
        <f t="shared" si="789"/>
        <v>COJINETES</v>
      </c>
      <c r="P1196" t="str">
        <f t="shared" si="784"/>
        <v>0</v>
      </c>
      <c r="Q1196" t="str">
        <f t="shared" si="784"/>
        <v>0</v>
      </c>
      <c r="R1196" t="str">
        <f t="shared" si="785"/>
        <v>0,00</v>
      </c>
      <c r="S1196" t="str">
        <f t="shared" si="785"/>
        <v>0,00</v>
      </c>
      <c r="T1196" t="str">
        <f t="shared" si="780"/>
        <v xml:space="preserve"> </v>
      </c>
      <c r="U1196" t="str">
        <f t="shared" si="786"/>
        <v>-</v>
      </c>
      <c r="V1196" t="str">
        <f>"7,000"</f>
        <v>7,000</v>
      </c>
      <c r="W1196" t="str">
        <f t="shared" si="759"/>
        <v>Lista 4</v>
      </c>
      <c r="X1196" t="str">
        <f t="shared" si="760"/>
        <v>Lista 5</v>
      </c>
      <c r="Y1196" t="str">
        <f t="shared" si="761"/>
        <v>Oferta Gral.</v>
      </c>
      <c r="Z1196" t="str">
        <f t="shared" si="762"/>
        <v>Rubro</v>
      </c>
      <c r="AA1196" t="str">
        <f t="shared" si="763"/>
        <v>Cantidad por Bulto</v>
      </c>
      <c r="AB1196" t="str">
        <f t="shared" si="764"/>
        <v>INNER</v>
      </c>
      <c r="AC1196" t="str">
        <f t="shared" si="765"/>
        <v>Stock en Bultos</v>
      </c>
      <c r="AD1196" t="str">
        <f t="shared" si="766"/>
        <v>SubDepósito</v>
      </c>
      <c r="AE1196" t="str">
        <f t="shared" si="767"/>
        <v>Marca</v>
      </c>
      <c r="AF1196" t="str">
        <f t="shared" si="768"/>
        <v>Super Rubro</v>
      </c>
      <c r="AG1196" t="str">
        <f t="shared" si="769"/>
        <v>ComercioExterior</v>
      </c>
      <c r="AH1196" t="str">
        <f t="shared" si="770"/>
        <v>PrecioFOB</v>
      </c>
      <c r="AI1196" t="str">
        <f t="shared" si="771"/>
        <v>Monto II</v>
      </c>
      <c r="AJ1196" t="str">
        <f t="shared" si="772"/>
        <v>Porcentaje II</v>
      </c>
      <c r="AK1196" t="str">
        <f t="shared" si="773"/>
        <v>Foto</v>
      </c>
      <c r="AL1196" t="str">
        <f t="shared" si="790"/>
        <v xml:space="preserve"> </v>
      </c>
      <c r="AM1196" t="str">
        <f t="shared" si="787"/>
        <v xml:space="preserve"> </v>
      </c>
    </row>
    <row r="1197" spans="1:39" x14ac:dyDescent="0.25">
      <c r="A1197" t="str">
        <f>"BI138 30"</f>
        <v>BI138 30</v>
      </c>
      <c r="B1197" t="str">
        <f>"COJINETES BIELA 0,75 FIAT DUNA UNO 1.7 TURBO DIESEL"</f>
        <v>COJINETES BIELA 0,75 FIAT DUNA UNO 1.7 TURBO DIESEL</v>
      </c>
      <c r="C1197" t="str">
        <f>"$ 25244,70"</f>
        <v>$ 25244,70</v>
      </c>
      <c r="D1197" t="str">
        <f>"$ 25244,70"</f>
        <v>$ 25244,70</v>
      </c>
      <c r="E1197" t="str">
        <f>"$ 25244,70"</f>
        <v>$ 25244,70</v>
      </c>
      <c r="F1197" t="str">
        <f>"$ 25244,70"</f>
        <v>$ 25244,70</v>
      </c>
      <c r="G1197" t="str">
        <f>"$ 25244,70"</f>
        <v>$ 25244,70</v>
      </c>
      <c r="H1197" t="str">
        <f t="shared" si="756"/>
        <v>$ 0,00</v>
      </c>
      <c r="I1197" t="str">
        <f t="shared" si="754"/>
        <v>JUEGO COJINETES BIELA</v>
      </c>
      <c r="J1197" t="str">
        <f t="shared" si="757"/>
        <v>1</v>
      </c>
      <c r="K1197" t="str">
        <f t="shared" si="781"/>
        <v>0</v>
      </c>
      <c r="L1197" t="str">
        <f>"4,000"</f>
        <v>4,000</v>
      </c>
      <c r="M1197" t="str">
        <f t="shared" si="758"/>
        <v xml:space="preserve"> </v>
      </c>
      <c r="N1197" t="str">
        <f t="shared" si="788"/>
        <v>MPSI</v>
      </c>
      <c r="O1197" t="str">
        <f t="shared" si="789"/>
        <v>COJINETES</v>
      </c>
      <c r="P1197" t="str">
        <f t="shared" si="784"/>
        <v>0</v>
      </c>
      <c r="Q1197" t="str">
        <f t="shared" si="784"/>
        <v>0</v>
      </c>
      <c r="R1197" t="str">
        <f t="shared" si="785"/>
        <v>0,00</v>
      </c>
      <c r="S1197" t="str">
        <f t="shared" si="785"/>
        <v>0,00</v>
      </c>
      <c r="T1197" t="str">
        <f t="shared" si="780"/>
        <v xml:space="preserve"> </v>
      </c>
      <c r="U1197" t="str">
        <f t="shared" si="786"/>
        <v>-</v>
      </c>
      <c r="V1197" t="str">
        <f>"4,000"</f>
        <v>4,000</v>
      </c>
      <c r="W1197" t="str">
        <f t="shared" si="759"/>
        <v>Lista 4</v>
      </c>
      <c r="X1197" t="str">
        <f t="shared" si="760"/>
        <v>Lista 5</v>
      </c>
      <c r="Y1197" t="str">
        <f t="shared" si="761"/>
        <v>Oferta Gral.</v>
      </c>
      <c r="Z1197" t="str">
        <f t="shared" si="762"/>
        <v>Rubro</v>
      </c>
      <c r="AA1197" t="str">
        <f t="shared" si="763"/>
        <v>Cantidad por Bulto</v>
      </c>
      <c r="AB1197" t="str">
        <f t="shared" si="764"/>
        <v>INNER</v>
      </c>
      <c r="AC1197" t="str">
        <f t="shared" si="765"/>
        <v>Stock en Bultos</v>
      </c>
      <c r="AD1197" t="str">
        <f t="shared" si="766"/>
        <v>SubDepósito</v>
      </c>
      <c r="AE1197" t="str">
        <f t="shared" si="767"/>
        <v>Marca</v>
      </c>
      <c r="AF1197" t="str">
        <f t="shared" si="768"/>
        <v>Super Rubro</v>
      </c>
      <c r="AG1197" t="str">
        <f t="shared" si="769"/>
        <v>ComercioExterior</v>
      </c>
      <c r="AH1197" t="str">
        <f t="shared" si="770"/>
        <v>PrecioFOB</v>
      </c>
      <c r="AI1197" t="str">
        <f t="shared" si="771"/>
        <v>Monto II</v>
      </c>
      <c r="AJ1197" t="str">
        <f t="shared" si="772"/>
        <v>Porcentaje II</v>
      </c>
      <c r="AK1197" t="str">
        <f t="shared" si="773"/>
        <v>Foto</v>
      </c>
      <c r="AL1197" t="str">
        <f t="shared" si="790"/>
        <v xml:space="preserve"> </v>
      </c>
      <c r="AM1197" t="str">
        <f t="shared" si="787"/>
        <v xml:space="preserve"> </v>
      </c>
    </row>
    <row r="1198" spans="1:39" x14ac:dyDescent="0.25">
      <c r="A1198" t="str">
        <f>"BI139 30"</f>
        <v>BI139 30</v>
      </c>
      <c r="B1198" t="str">
        <f>"COJINETES BIELA 0,75 FIAT DUNA UNO 147 MOTOR TIPO 1.4 1.6"</f>
        <v>COJINETES BIELA 0,75 FIAT DUNA UNO 147 MOTOR TIPO 1.4 1.6</v>
      </c>
      <c r="C1198" t="str">
        <f>"$ 12559,78"</f>
        <v>$ 12559,78</v>
      </c>
      <c r="D1198" t="str">
        <f>"$ 12559,78"</f>
        <v>$ 12559,78</v>
      </c>
      <c r="E1198" t="str">
        <f>"$ 12559,78"</f>
        <v>$ 12559,78</v>
      </c>
      <c r="F1198" t="str">
        <f>"$ 12559,78"</f>
        <v>$ 12559,78</v>
      </c>
      <c r="G1198" t="str">
        <f>"$ 12559,78"</f>
        <v>$ 12559,78</v>
      </c>
      <c r="H1198" t="str">
        <f t="shared" si="756"/>
        <v>$ 0,00</v>
      </c>
      <c r="I1198" t="str">
        <f t="shared" si="754"/>
        <v>JUEGO COJINETES BIELA</v>
      </c>
      <c r="J1198" t="str">
        <f t="shared" si="757"/>
        <v>1</v>
      </c>
      <c r="K1198" t="str">
        <f t="shared" si="781"/>
        <v>0</v>
      </c>
      <c r="L1198" t="str">
        <f>"22,000"</f>
        <v>22,000</v>
      </c>
      <c r="M1198" t="str">
        <f t="shared" si="758"/>
        <v xml:space="preserve"> </v>
      </c>
      <c r="N1198" t="str">
        <f t="shared" si="788"/>
        <v>MPSI</v>
      </c>
      <c r="O1198" t="str">
        <f t="shared" si="789"/>
        <v>COJINETES</v>
      </c>
      <c r="P1198" t="str">
        <f t="shared" si="784"/>
        <v>0</v>
      </c>
      <c r="Q1198" t="str">
        <f t="shared" si="784"/>
        <v>0</v>
      </c>
      <c r="R1198" t="str">
        <f t="shared" si="785"/>
        <v>0,00</v>
      </c>
      <c r="S1198" t="str">
        <f t="shared" si="785"/>
        <v>0,00</v>
      </c>
      <c r="T1198" t="str">
        <f t="shared" si="780"/>
        <v xml:space="preserve"> </v>
      </c>
      <c r="U1198" t="str">
        <f t="shared" si="786"/>
        <v>-</v>
      </c>
      <c r="V1198" t="str">
        <f>"22,000"</f>
        <v>22,000</v>
      </c>
      <c r="W1198" t="str">
        <f t="shared" si="759"/>
        <v>Lista 4</v>
      </c>
      <c r="X1198" t="str">
        <f t="shared" si="760"/>
        <v>Lista 5</v>
      </c>
      <c r="Y1198" t="str">
        <f t="shared" si="761"/>
        <v>Oferta Gral.</v>
      </c>
      <c r="Z1198" t="str">
        <f t="shared" si="762"/>
        <v>Rubro</v>
      </c>
      <c r="AA1198" t="str">
        <f t="shared" si="763"/>
        <v>Cantidad por Bulto</v>
      </c>
      <c r="AB1198" t="str">
        <f t="shared" si="764"/>
        <v>INNER</v>
      </c>
      <c r="AC1198" t="str">
        <f t="shared" si="765"/>
        <v>Stock en Bultos</v>
      </c>
      <c r="AD1198" t="str">
        <f t="shared" si="766"/>
        <v>SubDepósito</v>
      </c>
      <c r="AE1198" t="str">
        <f t="shared" si="767"/>
        <v>Marca</v>
      </c>
      <c r="AF1198" t="str">
        <f t="shared" si="768"/>
        <v>Super Rubro</v>
      </c>
      <c r="AG1198" t="str">
        <f t="shared" si="769"/>
        <v>ComercioExterior</v>
      </c>
      <c r="AH1198" t="str">
        <f t="shared" si="770"/>
        <v>PrecioFOB</v>
      </c>
      <c r="AI1198" t="str">
        <f t="shared" si="771"/>
        <v>Monto II</v>
      </c>
      <c r="AJ1198" t="str">
        <f t="shared" si="772"/>
        <v>Porcentaje II</v>
      </c>
      <c r="AK1198" t="str">
        <f t="shared" si="773"/>
        <v>Foto</v>
      </c>
      <c r="AL1198" t="str">
        <f t="shared" si="790"/>
        <v xml:space="preserve"> </v>
      </c>
      <c r="AM1198" t="str">
        <f t="shared" si="787"/>
        <v xml:space="preserve"> </v>
      </c>
    </row>
    <row r="1199" spans="1:39" x14ac:dyDescent="0.25">
      <c r="A1199" t="str">
        <f>"BI172 30"</f>
        <v>BI172 30</v>
      </c>
      <c r="B1199" t="str">
        <f>"COJINETES BIELA 0,75 FIAT PALIO SIENA ETORQ 1.6 16V"</f>
        <v>COJINETES BIELA 0,75 FIAT PALIO SIENA ETORQ 1.6 16V</v>
      </c>
      <c r="C1199" t="str">
        <f>"$ 12879,55"</f>
        <v>$ 12879,55</v>
      </c>
      <c r="D1199" t="str">
        <f>"$ 12879,55"</f>
        <v>$ 12879,55</v>
      </c>
      <c r="E1199" t="str">
        <f>"$ 12879,55"</f>
        <v>$ 12879,55</v>
      </c>
      <c r="F1199" t="str">
        <f>"$ 12879,55"</f>
        <v>$ 12879,55</v>
      </c>
      <c r="G1199" t="str">
        <f>"$ 12879,55"</f>
        <v>$ 12879,55</v>
      </c>
      <c r="H1199" t="str">
        <f t="shared" si="756"/>
        <v>$ 0,00</v>
      </c>
      <c r="I1199" t="str">
        <f t="shared" si="754"/>
        <v>JUEGO COJINETES BIELA</v>
      </c>
      <c r="J1199" t="str">
        <f t="shared" si="757"/>
        <v>1</v>
      </c>
      <c r="K1199" t="str">
        <f t="shared" si="781"/>
        <v>0</v>
      </c>
      <c r="L1199" t="str">
        <f>"3,000"</f>
        <v>3,000</v>
      </c>
      <c r="M1199" t="str">
        <f t="shared" si="758"/>
        <v xml:space="preserve"> </v>
      </c>
      <c r="N1199" t="str">
        <f t="shared" si="788"/>
        <v>MPSI</v>
      </c>
      <c r="O1199" t="str">
        <f t="shared" si="789"/>
        <v>COJINETES</v>
      </c>
      <c r="P1199" t="str">
        <f t="shared" si="784"/>
        <v>0</v>
      </c>
      <c r="Q1199" t="str">
        <f t="shared" si="784"/>
        <v>0</v>
      </c>
      <c r="R1199" t="str">
        <f t="shared" si="785"/>
        <v>0,00</v>
      </c>
      <c r="S1199" t="str">
        <f t="shared" si="785"/>
        <v>0,00</v>
      </c>
      <c r="T1199" t="str">
        <f t="shared" si="780"/>
        <v xml:space="preserve"> </v>
      </c>
      <c r="U1199" t="str">
        <f t="shared" si="786"/>
        <v>-</v>
      </c>
      <c r="V1199" t="str">
        <f>"3,000"</f>
        <v>3,000</v>
      </c>
      <c r="W1199" t="str">
        <f t="shared" si="759"/>
        <v>Lista 4</v>
      </c>
      <c r="X1199" t="str">
        <f t="shared" si="760"/>
        <v>Lista 5</v>
      </c>
      <c r="Y1199" t="str">
        <f t="shared" si="761"/>
        <v>Oferta Gral.</v>
      </c>
      <c r="Z1199" t="str">
        <f t="shared" si="762"/>
        <v>Rubro</v>
      </c>
      <c r="AA1199" t="str">
        <f t="shared" si="763"/>
        <v>Cantidad por Bulto</v>
      </c>
      <c r="AB1199" t="str">
        <f t="shared" si="764"/>
        <v>INNER</v>
      </c>
      <c r="AC1199" t="str">
        <f t="shared" si="765"/>
        <v>Stock en Bultos</v>
      </c>
      <c r="AD1199" t="str">
        <f t="shared" si="766"/>
        <v>SubDepósito</v>
      </c>
      <c r="AE1199" t="str">
        <f t="shared" si="767"/>
        <v>Marca</v>
      </c>
      <c r="AF1199" t="str">
        <f t="shared" si="768"/>
        <v>Super Rubro</v>
      </c>
      <c r="AG1199" t="str">
        <f t="shared" si="769"/>
        <v>ComercioExterior</v>
      </c>
      <c r="AH1199" t="str">
        <f t="shared" si="770"/>
        <v>PrecioFOB</v>
      </c>
      <c r="AI1199" t="str">
        <f t="shared" si="771"/>
        <v>Monto II</v>
      </c>
      <c r="AJ1199" t="str">
        <f t="shared" si="772"/>
        <v>Porcentaje II</v>
      </c>
      <c r="AK1199" t="str">
        <f t="shared" si="773"/>
        <v>Foto</v>
      </c>
      <c r="AL1199" t="str">
        <f t="shared" si="790"/>
        <v xml:space="preserve"> </v>
      </c>
      <c r="AM1199" t="str">
        <f t="shared" si="787"/>
        <v xml:space="preserve"> </v>
      </c>
    </row>
    <row r="1200" spans="1:39" x14ac:dyDescent="0.25">
      <c r="A1200" t="str">
        <f>"BI156 30"</f>
        <v>BI156 30</v>
      </c>
      <c r="B1200" t="str">
        <f>"COJINETES BIELA 0,75 FIAT PALIO SIENA FIRE 1.3 1.4 8V Y 16V"</f>
        <v>COJINETES BIELA 0,75 FIAT PALIO SIENA FIRE 1.3 1.4 8V Y 16V</v>
      </c>
      <c r="C1200" t="str">
        <f>"$ 11287,28"</f>
        <v>$ 11287,28</v>
      </c>
      <c r="D1200" t="str">
        <f>"$ 11287,28"</f>
        <v>$ 11287,28</v>
      </c>
      <c r="E1200" t="str">
        <f>"$ 11287,28"</f>
        <v>$ 11287,28</v>
      </c>
      <c r="F1200" t="str">
        <f>"$ 11287,28"</f>
        <v>$ 11287,28</v>
      </c>
      <c r="G1200" t="str">
        <f>"$ 11287,28"</f>
        <v>$ 11287,28</v>
      </c>
      <c r="H1200" t="str">
        <f t="shared" si="756"/>
        <v>$ 0,00</v>
      </c>
      <c r="I1200" t="str">
        <f t="shared" si="754"/>
        <v>JUEGO COJINETES BIELA</v>
      </c>
      <c r="J1200" t="str">
        <f t="shared" si="757"/>
        <v>1</v>
      </c>
      <c r="K1200" t="str">
        <f t="shared" si="781"/>
        <v>0</v>
      </c>
      <c r="L1200" t="str">
        <f>"0,000"</f>
        <v>0,000</v>
      </c>
      <c r="M1200" t="str">
        <f t="shared" si="758"/>
        <v xml:space="preserve"> </v>
      </c>
      <c r="N1200" t="str">
        <f t="shared" si="788"/>
        <v>MPSI</v>
      </c>
      <c r="O1200" t="str">
        <f t="shared" si="789"/>
        <v>COJINETES</v>
      </c>
      <c r="P1200" t="str">
        <f t="shared" si="784"/>
        <v>0</v>
      </c>
      <c r="Q1200" t="str">
        <f t="shared" si="784"/>
        <v>0</v>
      </c>
      <c r="R1200" t="str">
        <f t="shared" si="785"/>
        <v>0,00</v>
      </c>
      <c r="S1200" t="str">
        <f t="shared" si="785"/>
        <v>0,00</v>
      </c>
      <c r="T1200" t="str">
        <f t="shared" si="780"/>
        <v xml:space="preserve"> </v>
      </c>
      <c r="U1200" t="str">
        <f t="shared" si="786"/>
        <v>-</v>
      </c>
      <c r="V1200" t="str">
        <f>"0,000"</f>
        <v>0,000</v>
      </c>
      <c r="W1200" t="str">
        <f t="shared" si="759"/>
        <v>Lista 4</v>
      </c>
      <c r="X1200" t="str">
        <f t="shared" si="760"/>
        <v>Lista 5</v>
      </c>
      <c r="Y1200" t="str">
        <f t="shared" si="761"/>
        <v>Oferta Gral.</v>
      </c>
      <c r="Z1200" t="str">
        <f t="shared" si="762"/>
        <v>Rubro</v>
      </c>
      <c r="AA1200" t="str">
        <f t="shared" si="763"/>
        <v>Cantidad por Bulto</v>
      </c>
      <c r="AB1200" t="str">
        <f t="shared" si="764"/>
        <v>INNER</v>
      </c>
      <c r="AC1200" t="str">
        <f t="shared" si="765"/>
        <v>Stock en Bultos</v>
      </c>
      <c r="AD1200" t="str">
        <f t="shared" si="766"/>
        <v>SubDepósito</v>
      </c>
      <c r="AE1200" t="str">
        <f t="shared" si="767"/>
        <v>Marca</v>
      </c>
      <c r="AF1200" t="str">
        <f t="shared" si="768"/>
        <v>Super Rubro</v>
      </c>
      <c r="AG1200" t="str">
        <f t="shared" si="769"/>
        <v>ComercioExterior</v>
      </c>
      <c r="AH1200" t="str">
        <f t="shared" si="770"/>
        <v>PrecioFOB</v>
      </c>
      <c r="AI1200" t="str">
        <f t="shared" si="771"/>
        <v>Monto II</v>
      </c>
      <c r="AJ1200" t="str">
        <f t="shared" si="772"/>
        <v>Porcentaje II</v>
      </c>
      <c r="AK1200" t="str">
        <f t="shared" si="773"/>
        <v>Foto</v>
      </c>
      <c r="AL1200" t="str">
        <f>"{\rtf1\ansi\ansicpg1252\deff0\deflang2058{\fonttbl{\f0\fnil\fcharset0 MS Sans Serif}} \viewkind4\uc1\pard\f0\fs16 COJINETES BIELA 0,75 FIAT PALIO SIENA FIRE 1.3 1.4 8V Y 16V\par } "</f>
        <v xml:space="preserve">{\rtf1\ansi\ansicpg1252\deff0\deflang2058{\fonttbl{\f0\fnil\fcharset0 MS Sans Serif}} \viewkind4\uc1\pard\f0\fs16 COJINETES BIELA 0,75 FIAT PALIO SIENA FIRE 1.3 1.4 8V Y 16V\par } </v>
      </c>
      <c r="AM1200" t="str">
        <f t="shared" si="787"/>
        <v xml:space="preserve"> </v>
      </c>
    </row>
    <row r="1201" spans="1:39" x14ac:dyDescent="0.25">
      <c r="A1201" t="str">
        <f>"BI199 30"</f>
        <v>BI199 30</v>
      </c>
      <c r="B1201" t="str">
        <f>"COJINETES BIELA 0,75 FORD FALCON F100 3.0 3.6"</f>
        <v>COJINETES BIELA 0,75 FORD FALCON F100 3.0 3.6</v>
      </c>
      <c r="C1201" t="str">
        <f>"$ 19913,86"</f>
        <v>$ 19913,86</v>
      </c>
      <c r="D1201" t="str">
        <f>"$ 19913,86"</f>
        <v>$ 19913,86</v>
      </c>
      <c r="E1201" t="str">
        <f>"$ 19913,86"</f>
        <v>$ 19913,86</v>
      </c>
      <c r="F1201" t="str">
        <f>"$ 19913,86"</f>
        <v>$ 19913,86</v>
      </c>
      <c r="G1201" t="str">
        <f>"$ 19913,86"</f>
        <v>$ 19913,86</v>
      </c>
      <c r="H1201" t="str">
        <f t="shared" si="756"/>
        <v>$ 0,00</v>
      </c>
      <c r="I1201" t="str">
        <f t="shared" si="754"/>
        <v>JUEGO COJINETES BIELA</v>
      </c>
      <c r="J1201" t="str">
        <f t="shared" si="757"/>
        <v>1</v>
      </c>
      <c r="K1201" t="str">
        <f t="shared" si="781"/>
        <v>0</v>
      </c>
      <c r="L1201" t="str">
        <f>"6,000"</f>
        <v>6,000</v>
      </c>
      <c r="M1201" t="str">
        <f t="shared" si="758"/>
        <v xml:space="preserve"> </v>
      </c>
      <c r="N1201" t="str">
        <f t="shared" si="788"/>
        <v>MPSI</v>
      </c>
      <c r="O1201" t="str">
        <f t="shared" si="789"/>
        <v>COJINETES</v>
      </c>
      <c r="P1201" t="str">
        <f t="shared" si="784"/>
        <v>0</v>
      </c>
      <c r="Q1201" t="str">
        <f t="shared" si="784"/>
        <v>0</v>
      </c>
      <c r="R1201" t="str">
        <f t="shared" si="785"/>
        <v>0,00</v>
      </c>
      <c r="S1201" t="str">
        <f t="shared" si="785"/>
        <v>0,00</v>
      </c>
      <c r="T1201" t="str">
        <f t="shared" si="780"/>
        <v xml:space="preserve"> </v>
      </c>
      <c r="U1201" t="str">
        <f t="shared" si="786"/>
        <v>-</v>
      </c>
      <c r="V1201" t="str">
        <f>"6,000"</f>
        <v>6,000</v>
      </c>
      <c r="W1201" t="str">
        <f t="shared" si="759"/>
        <v>Lista 4</v>
      </c>
      <c r="X1201" t="str">
        <f t="shared" si="760"/>
        <v>Lista 5</v>
      </c>
      <c r="Y1201" t="str">
        <f t="shared" si="761"/>
        <v>Oferta Gral.</v>
      </c>
      <c r="Z1201" t="str">
        <f t="shared" si="762"/>
        <v>Rubro</v>
      </c>
      <c r="AA1201" t="str">
        <f t="shared" si="763"/>
        <v>Cantidad por Bulto</v>
      </c>
      <c r="AB1201" t="str">
        <f t="shared" si="764"/>
        <v>INNER</v>
      </c>
      <c r="AC1201" t="str">
        <f t="shared" si="765"/>
        <v>Stock en Bultos</v>
      </c>
      <c r="AD1201" t="str">
        <f t="shared" si="766"/>
        <v>SubDepósito</v>
      </c>
      <c r="AE1201" t="str">
        <f t="shared" si="767"/>
        <v>Marca</v>
      </c>
      <c r="AF1201" t="str">
        <f t="shared" si="768"/>
        <v>Super Rubro</v>
      </c>
      <c r="AG1201" t="str">
        <f t="shared" si="769"/>
        <v>ComercioExterior</v>
      </c>
      <c r="AH1201" t="str">
        <f t="shared" si="770"/>
        <v>PrecioFOB</v>
      </c>
      <c r="AI1201" t="str">
        <f t="shared" si="771"/>
        <v>Monto II</v>
      </c>
      <c r="AJ1201" t="str">
        <f t="shared" si="772"/>
        <v>Porcentaje II</v>
      </c>
      <c r="AK1201" t="str">
        <f t="shared" si="773"/>
        <v>Foto</v>
      </c>
      <c r="AL1201" t="str">
        <f>"{\rtf1\ansi\ansicpg1252\deff0\deflang2058{\fonttbl{\f0\fnil\fcharset0 MS Sans Serif}} \viewkind4\uc1\pard\f0\fs16 COJINETES BIELA 0,75 FORD FALCON F100 3.0 3.6\par } "</f>
        <v xml:space="preserve">{\rtf1\ansi\ansicpg1252\deff0\deflang2058{\fonttbl{\f0\fnil\fcharset0 MS Sans Serif}} \viewkind4\uc1\pard\f0\fs16 COJINETES BIELA 0,75 FORD FALCON F100 3.0 3.6\par } </v>
      </c>
      <c r="AM1201" t="str">
        <f t="shared" si="787"/>
        <v xml:space="preserve"> </v>
      </c>
    </row>
    <row r="1202" spans="1:39" x14ac:dyDescent="0.25">
      <c r="A1202" t="str">
        <f>"BI775 30"</f>
        <v>BI775 30</v>
      </c>
      <c r="B1202" t="str">
        <f>"COJINETES BIELA 0,75 FORD FIESTA 1.3 ENDURA VARILLERO"</f>
        <v>COJINETES BIELA 0,75 FORD FIESTA 1.3 ENDURA VARILLERO</v>
      </c>
      <c r="C1202" t="str">
        <f>"$ 10973,28"</f>
        <v>$ 10973,28</v>
      </c>
      <c r="D1202" t="str">
        <f>"$ 10973,28"</f>
        <v>$ 10973,28</v>
      </c>
      <c r="E1202" t="str">
        <f>"$ 10973,28"</f>
        <v>$ 10973,28</v>
      </c>
      <c r="F1202" t="str">
        <f>"$ 10973,28"</f>
        <v>$ 10973,28</v>
      </c>
      <c r="G1202" t="str">
        <f>"$ 10973,28"</f>
        <v>$ 10973,28</v>
      </c>
      <c r="H1202" t="str">
        <f t="shared" si="756"/>
        <v>$ 0,00</v>
      </c>
      <c r="I1202" t="str">
        <f t="shared" si="754"/>
        <v>JUEGO COJINETES BIELA</v>
      </c>
      <c r="J1202" t="str">
        <f t="shared" si="757"/>
        <v>1</v>
      </c>
      <c r="K1202" t="str">
        <f t="shared" si="781"/>
        <v>0</v>
      </c>
      <c r="L1202" t="str">
        <f>"6,000"</f>
        <v>6,000</v>
      </c>
      <c r="M1202" t="str">
        <f t="shared" si="758"/>
        <v xml:space="preserve"> </v>
      </c>
      <c r="N1202" t="str">
        <f t="shared" si="788"/>
        <v>MPSI</v>
      </c>
      <c r="O1202" t="str">
        <f t="shared" si="789"/>
        <v>COJINETES</v>
      </c>
      <c r="P1202" t="str">
        <f t="shared" si="784"/>
        <v>0</v>
      </c>
      <c r="Q1202" t="str">
        <f t="shared" si="784"/>
        <v>0</v>
      </c>
      <c r="R1202" t="str">
        <f t="shared" si="785"/>
        <v>0,00</v>
      </c>
      <c r="S1202" t="str">
        <f t="shared" si="785"/>
        <v>0,00</v>
      </c>
      <c r="T1202" t="str">
        <f t="shared" si="780"/>
        <v xml:space="preserve"> </v>
      </c>
      <c r="U1202" t="str">
        <f t="shared" si="786"/>
        <v>-</v>
      </c>
      <c r="V1202" t="str">
        <f>"6,000"</f>
        <v>6,000</v>
      </c>
      <c r="W1202" t="str">
        <f t="shared" si="759"/>
        <v>Lista 4</v>
      </c>
      <c r="X1202" t="str">
        <f t="shared" si="760"/>
        <v>Lista 5</v>
      </c>
      <c r="Y1202" t="str">
        <f t="shared" si="761"/>
        <v>Oferta Gral.</v>
      </c>
      <c r="Z1202" t="str">
        <f t="shared" si="762"/>
        <v>Rubro</v>
      </c>
      <c r="AA1202" t="str">
        <f t="shared" si="763"/>
        <v>Cantidad por Bulto</v>
      </c>
      <c r="AB1202" t="str">
        <f t="shared" si="764"/>
        <v>INNER</v>
      </c>
      <c r="AC1202" t="str">
        <f t="shared" si="765"/>
        <v>Stock en Bultos</v>
      </c>
      <c r="AD1202" t="str">
        <f t="shared" si="766"/>
        <v>SubDepósito</v>
      </c>
      <c r="AE1202" t="str">
        <f t="shared" si="767"/>
        <v>Marca</v>
      </c>
      <c r="AF1202" t="str">
        <f t="shared" si="768"/>
        <v>Super Rubro</v>
      </c>
      <c r="AG1202" t="str">
        <f t="shared" si="769"/>
        <v>ComercioExterior</v>
      </c>
      <c r="AH1202" t="str">
        <f t="shared" si="770"/>
        <v>PrecioFOB</v>
      </c>
      <c r="AI1202" t="str">
        <f t="shared" si="771"/>
        <v>Monto II</v>
      </c>
      <c r="AJ1202" t="str">
        <f t="shared" si="772"/>
        <v>Porcentaje II</v>
      </c>
      <c r="AK1202" t="str">
        <f t="shared" si="773"/>
        <v>Foto</v>
      </c>
      <c r="AL1202" t="str">
        <f>"{\rtf1\ansi\ansicpg1252\deff0\deflang2058{\fonttbl{\f0\fnil\fcharset0 MS Sans Serif}} \viewkind4\uc1\pard\f0\fs16 COJINETES BIELA 0,75 FORD FIESTA 1.3 ENDURA VARILLERO\par } "</f>
        <v xml:space="preserve">{\rtf1\ansi\ansicpg1252\deff0\deflang2058{\fonttbl{\f0\fnil\fcharset0 MS Sans Serif}} \viewkind4\uc1\pard\f0\fs16 COJINETES BIELA 0,75 FORD FIESTA 1.3 ENDURA VARILLERO\par } </v>
      </c>
      <c r="AM1202" t="str">
        <f t="shared" si="787"/>
        <v xml:space="preserve"> </v>
      </c>
    </row>
    <row r="1203" spans="1:39" x14ac:dyDescent="0.25">
      <c r="A1203" t="str">
        <f>"BI679 30"</f>
        <v>BI679 30</v>
      </c>
      <c r="B1203" t="str">
        <f>"COJINETES BIELA 0,75 FORD FIESTA 1.4 TDCI DV4"</f>
        <v>COJINETES BIELA 0,75 FORD FIESTA 1.4 TDCI DV4</v>
      </c>
      <c r="C1203" t="str">
        <f>"$ 17848,11"</f>
        <v>$ 17848,11</v>
      </c>
      <c r="D1203" t="str">
        <f>"$ 17848,11"</f>
        <v>$ 17848,11</v>
      </c>
      <c r="E1203" t="str">
        <f>"$ 17848,11"</f>
        <v>$ 17848,11</v>
      </c>
      <c r="F1203" t="str">
        <f>"$ 17848,11"</f>
        <v>$ 17848,11</v>
      </c>
      <c r="G1203" t="str">
        <f>"$ 17848,11"</f>
        <v>$ 17848,11</v>
      </c>
      <c r="H1203" t="str">
        <f t="shared" si="756"/>
        <v>$ 0,00</v>
      </c>
      <c r="I1203" t="str">
        <f t="shared" si="754"/>
        <v>JUEGO COJINETES BIELA</v>
      </c>
      <c r="J1203" t="str">
        <f t="shared" si="757"/>
        <v>1</v>
      </c>
      <c r="K1203" t="str">
        <f t="shared" si="781"/>
        <v>0</v>
      </c>
      <c r="L1203" t="str">
        <f>"3,000"</f>
        <v>3,000</v>
      </c>
      <c r="M1203" t="str">
        <f t="shared" si="758"/>
        <v xml:space="preserve"> </v>
      </c>
      <c r="N1203" t="str">
        <f t="shared" si="788"/>
        <v>MPSI</v>
      </c>
      <c r="O1203" t="str">
        <f t="shared" si="789"/>
        <v>COJINETES</v>
      </c>
      <c r="P1203" t="str">
        <f t="shared" ref="P1203:Q1222" si="791">"0"</f>
        <v>0</v>
      </c>
      <c r="Q1203" t="str">
        <f t="shared" si="791"/>
        <v>0</v>
      </c>
      <c r="R1203" t="str">
        <f t="shared" ref="R1203:S1222" si="792">"0,00"</f>
        <v>0,00</v>
      </c>
      <c r="S1203" t="str">
        <f t="shared" si="792"/>
        <v>0,00</v>
      </c>
      <c r="T1203" t="str">
        <f t="shared" si="780"/>
        <v xml:space="preserve"> </v>
      </c>
      <c r="U1203" t="str">
        <f t="shared" si="786"/>
        <v>-</v>
      </c>
      <c r="V1203" t="str">
        <f>"3,000"</f>
        <v>3,000</v>
      </c>
      <c r="W1203" t="str">
        <f t="shared" si="759"/>
        <v>Lista 4</v>
      </c>
      <c r="X1203" t="str">
        <f t="shared" si="760"/>
        <v>Lista 5</v>
      </c>
      <c r="Y1203" t="str">
        <f t="shared" si="761"/>
        <v>Oferta Gral.</v>
      </c>
      <c r="Z1203" t="str">
        <f t="shared" si="762"/>
        <v>Rubro</v>
      </c>
      <c r="AA1203" t="str">
        <f t="shared" si="763"/>
        <v>Cantidad por Bulto</v>
      </c>
      <c r="AB1203" t="str">
        <f t="shared" si="764"/>
        <v>INNER</v>
      </c>
      <c r="AC1203" t="str">
        <f t="shared" si="765"/>
        <v>Stock en Bultos</v>
      </c>
      <c r="AD1203" t="str">
        <f t="shared" si="766"/>
        <v>SubDepósito</v>
      </c>
      <c r="AE1203" t="str">
        <f t="shared" si="767"/>
        <v>Marca</v>
      </c>
      <c r="AF1203" t="str">
        <f t="shared" si="768"/>
        <v>Super Rubro</v>
      </c>
      <c r="AG1203" t="str">
        <f t="shared" si="769"/>
        <v>ComercioExterior</v>
      </c>
      <c r="AH1203" t="str">
        <f t="shared" si="770"/>
        <v>PrecioFOB</v>
      </c>
      <c r="AI1203" t="str">
        <f t="shared" si="771"/>
        <v>Monto II</v>
      </c>
      <c r="AJ1203" t="str">
        <f t="shared" si="772"/>
        <v>Porcentaje II</v>
      </c>
      <c r="AK1203" t="str">
        <f t="shared" si="773"/>
        <v>Foto</v>
      </c>
      <c r="AL1203" t="str">
        <f t="shared" ref="AL1203:AL1220" si="793">" "</f>
        <v xml:space="preserve"> </v>
      </c>
      <c r="AM1203" t="str">
        <f t="shared" si="787"/>
        <v xml:space="preserve"> </v>
      </c>
    </row>
    <row r="1204" spans="1:39" x14ac:dyDescent="0.25">
      <c r="A1204" t="str">
        <f>"BI776 30"</f>
        <v>BI776 30</v>
      </c>
      <c r="B1204" t="str">
        <f>"COJINETES BIELA 0,75 FORD FIESTA COURIER FOCUS 1.8 DIESEL"</f>
        <v>COJINETES BIELA 0,75 FORD FIESTA COURIER FOCUS 1.8 DIESEL</v>
      </c>
      <c r="C1204" t="str">
        <f>"$ 15570,20"</f>
        <v>$ 15570,20</v>
      </c>
      <c r="D1204" t="str">
        <f>"$ 15570,20"</f>
        <v>$ 15570,20</v>
      </c>
      <c r="E1204" t="str">
        <f>"$ 15570,20"</f>
        <v>$ 15570,20</v>
      </c>
      <c r="F1204" t="str">
        <f>"$ 15570,20"</f>
        <v>$ 15570,20</v>
      </c>
      <c r="G1204" t="str">
        <f>"$ 15570,20"</f>
        <v>$ 15570,20</v>
      </c>
      <c r="H1204" t="str">
        <f t="shared" si="756"/>
        <v>$ 0,00</v>
      </c>
      <c r="I1204" t="str">
        <f t="shared" si="754"/>
        <v>JUEGO COJINETES BIELA</v>
      </c>
      <c r="J1204" t="str">
        <f t="shared" si="757"/>
        <v>1</v>
      </c>
      <c r="K1204" t="str">
        <f t="shared" si="781"/>
        <v>0</v>
      </c>
      <c r="L1204" t="str">
        <f>"5,000"</f>
        <v>5,000</v>
      </c>
      <c r="M1204" t="str">
        <f t="shared" si="758"/>
        <v xml:space="preserve"> </v>
      </c>
      <c r="N1204" t="str">
        <f t="shared" si="788"/>
        <v>MPSI</v>
      </c>
      <c r="O1204" t="str">
        <f t="shared" si="789"/>
        <v>COJINETES</v>
      </c>
      <c r="P1204" t="str">
        <f t="shared" si="791"/>
        <v>0</v>
      </c>
      <c r="Q1204" t="str">
        <f t="shared" si="791"/>
        <v>0</v>
      </c>
      <c r="R1204" t="str">
        <f t="shared" si="792"/>
        <v>0,00</v>
      </c>
      <c r="S1204" t="str">
        <f t="shared" si="792"/>
        <v>0,00</v>
      </c>
      <c r="T1204" t="str">
        <f t="shared" si="780"/>
        <v xml:space="preserve"> </v>
      </c>
      <c r="U1204" t="str">
        <f t="shared" si="786"/>
        <v>-</v>
      </c>
      <c r="V1204" t="str">
        <f>"5,000"</f>
        <v>5,000</v>
      </c>
      <c r="W1204" t="str">
        <f t="shared" si="759"/>
        <v>Lista 4</v>
      </c>
      <c r="X1204" t="str">
        <f t="shared" si="760"/>
        <v>Lista 5</v>
      </c>
      <c r="Y1204" t="str">
        <f t="shared" si="761"/>
        <v>Oferta Gral.</v>
      </c>
      <c r="Z1204" t="str">
        <f t="shared" si="762"/>
        <v>Rubro</v>
      </c>
      <c r="AA1204" t="str">
        <f t="shared" si="763"/>
        <v>Cantidad por Bulto</v>
      </c>
      <c r="AB1204" t="str">
        <f t="shared" si="764"/>
        <v>INNER</v>
      </c>
      <c r="AC1204" t="str">
        <f t="shared" si="765"/>
        <v>Stock en Bultos</v>
      </c>
      <c r="AD1204" t="str">
        <f t="shared" si="766"/>
        <v>SubDepósito</v>
      </c>
      <c r="AE1204" t="str">
        <f t="shared" si="767"/>
        <v>Marca</v>
      </c>
      <c r="AF1204" t="str">
        <f t="shared" si="768"/>
        <v>Super Rubro</v>
      </c>
      <c r="AG1204" t="str">
        <f t="shared" si="769"/>
        <v>ComercioExterior</v>
      </c>
      <c r="AH1204" t="str">
        <f t="shared" si="770"/>
        <v>PrecioFOB</v>
      </c>
      <c r="AI1204" t="str">
        <f t="shared" si="771"/>
        <v>Monto II</v>
      </c>
      <c r="AJ1204" t="str">
        <f t="shared" si="772"/>
        <v>Porcentaje II</v>
      </c>
      <c r="AK1204" t="str">
        <f t="shared" si="773"/>
        <v>Foto</v>
      </c>
      <c r="AL1204" t="str">
        <f t="shared" si="793"/>
        <v xml:space="preserve"> </v>
      </c>
      <c r="AM1204" t="str">
        <f t="shared" si="787"/>
        <v xml:space="preserve"> </v>
      </c>
    </row>
    <row r="1205" spans="1:39" x14ac:dyDescent="0.25">
      <c r="A1205" t="str">
        <f>"BI773 30"</f>
        <v>BI773 30</v>
      </c>
      <c r="B1205" t="str">
        <f>"COJINETES BIELA 0,75 FORD FIESTA FOCUS 1.8 DIESEL SIN TRABA"</f>
        <v>COJINETES BIELA 0,75 FORD FIESTA FOCUS 1.8 DIESEL SIN TRABA</v>
      </c>
      <c r="C1205" t="str">
        <f>"$ 26787,87"</f>
        <v>$ 26787,87</v>
      </c>
      <c r="D1205" t="str">
        <f>"$ 26787,87"</f>
        <v>$ 26787,87</v>
      </c>
      <c r="E1205" t="str">
        <f>"$ 26787,87"</f>
        <v>$ 26787,87</v>
      </c>
      <c r="F1205" t="str">
        <f>"$ 26787,87"</f>
        <v>$ 26787,87</v>
      </c>
      <c r="G1205" t="str">
        <f>"$ 26787,87"</f>
        <v>$ 26787,87</v>
      </c>
      <c r="H1205" t="str">
        <f t="shared" si="756"/>
        <v>$ 0,00</v>
      </c>
      <c r="I1205" t="str">
        <f t="shared" si="754"/>
        <v>JUEGO COJINETES BIELA</v>
      </c>
      <c r="J1205" t="str">
        <f t="shared" si="757"/>
        <v>1</v>
      </c>
      <c r="K1205" t="str">
        <f t="shared" si="781"/>
        <v>0</v>
      </c>
      <c r="L1205" t="str">
        <f>"4,000"</f>
        <v>4,000</v>
      </c>
      <c r="M1205" t="str">
        <f t="shared" si="758"/>
        <v xml:space="preserve"> </v>
      </c>
      <c r="N1205" t="str">
        <f t="shared" si="788"/>
        <v>MPSI</v>
      </c>
      <c r="O1205" t="str">
        <f t="shared" si="789"/>
        <v>COJINETES</v>
      </c>
      <c r="P1205" t="str">
        <f t="shared" si="791"/>
        <v>0</v>
      </c>
      <c r="Q1205" t="str">
        <f t="shared" si="791"/>
        <v>0</v>
      </c>
      <c r="R1205" t="str">
        <f t="shared" si="792"/>
        <v>0,00</v>
      </c>
      <c r="S1205" t="str">
        <f t="shared" si="792"/>
        <v>0,00</v>
      </c>
      <c r="T1205" t="str">
        <f t="shared" si="780"/>
        <v xml:space="preserve"> </v>
      </c>
      <c r="U1205" t="str">
        <f t="shared" si="786"/>
        <v>-</v>
      </c>
      <c r="V1205" t="str">
        <f>"4,000"</f>
        <v>4,000</v>
      </c>
      <c r="W1205" t="str">
        <f t="shared" si="759"/>
        <v>Lista 4</v>
      </c>
      <c r="X1205" t="str">
        <f t="shared" si="760"/>
        <v>Lista 5</v>
      </c>
      <c r="Y1205" t="str">
        <f t="shared" si="761"/>
        <v>Oferta Gral.</v>
      </c>
      <c r="Z1205" t="str">
        <f t="shared" si="762"/>
        <v>Rubro</v>
      </c>
      <c r="AA1205" t="str">
        <f t="shared" si="763"/>
        <v>Cantidad por Bulto</v>
      </c>
      <c r="AB1205" t="str">
        <f t="shared" si="764"/>
        <v>INNER</v>
      </c>
      <c r="AC1205" t="str">
        <f t="shared" si="765"/>
        <v>Stock en Bultos</v>
      </c>
      <c r="AD1205" t="str">
        <f t="shared" si="766"/>
        <v>SubDepósito</v>
      </c>
      <c r="AE1205" t="str">
        <f t="shared" si="767"/>
        <v>Marca</v>
      </c>
      <c r="AF1205" t="str">
        <f t="shared" si="768"/>
        <v>Super Rubro</v>
      </c>
      <c r="AG1205" t="str">
        <f t="shared" si="769"/>
        <v>ComercioExterior</v>
      </c>
      <c r="AH1205" t="str">
        <f t="shared" si="770"/>
        <v>PrecioFOB</v>
      </c>
      <c r="AI1205" t="str">
        <f t="shared" si="771"/>
        <v>Monto II</v>
      </c>
      <c r="AJ1205" t="str">
        <f t="shared" si="772"/>
        <v>Porcentaje II</v>
      </c>
      <c r="AK1205" t="str">
        <f t="shared" si="773"/>
        <v>Foto</v>
      </c>
      <c r="AL1205" t="str">
        <f t="shared" si="793"/>
        <v xml:space="preserve"> </v>
      </c>
      <c r="AM1205" t="str">
        <f t="shared" si="787"/>
        <v xml:space="preserve"> </v>
      </c>
    </row>
    <row r="1206" spans="1:39" x14ac:dyDescent="0.25">
      <c r="A1206" t="str">
        <f>"BI209 30"</f>
        <v>BI209 30</v>
      </c>
      <c r="B1206" t="str">
        <f>"COJINETES BIELA 0,75 FORD FOCUS FIESTA SIGMA 1.6 16V"</f>
        <v>COJINETES BIELA 0,75 FORD FOCUS FIESTA SIGMA 1.6 16V</v>
      </c>
      <c r="C1206" t="str">
        <f>"$ 20733,89"</f>
        <v>$ 20733,89</v>
      </c>
      <c r="D1206" t="str">
        <f>"$ 20733,89"</f>
        <v>$ 20733,89</v>
      </c>
      <c r="E1206" t="str">
        <f>"$ 20733,89"</f>
        <v>$ 20733,89</v>
      </c>
      <c r="F1206" t="str">
        <f>"$ 20733,89"</f>
        <v>$ 20733,89</v>
      </c>
      <c r="G1206" t="str">
        <f>"$ 20733,89"</f>
        <v>$ 20733,89</v>
      </c>
      <c r="H1206" t="str">
        <f t="shared" si="756"/>
        <v>$ 0,00</v>
      </c>
      <c r="I1206" t="str">
        <f t="shared" si="754"/>
        <v>JUEGO COJINETES BIELA</v>
      </c>
      <c r="J1206" t="str">
        <f t="shared" si="757"/>
        <v>1</v>
      </c>
      <c r="K1206" t="str">
        <f t="shared" si="781"/>
        <v>0</v>
      </c>
      <c r="L1206" t="str">
        <f>"5,000"</f>
        <v>5,000</v>
      </c>
      <c r="M1206" t="str">
        <f t="shared" si="758"/>
        <v xml:space="preserve"> </v>
      </c>
      <c r="N1206" t="str">
        <f t="shared" si="788"/>
        <v>MPSI</v>
      </c>
      <c r="O1206" t="str">
        <f t="shared" si="789"/>
        <v>COJINETES</v>
      </c>
      <c r="P1206" t="str">
        <f t="shared" si="791"/>
        <v>0</v>
      </c>
      <c r="Q1206" t="str">
        <f t="shared" si="791"/>
        <v>0</v>
      </c>
      <c r="R1206" t="str">
        <f t="shared" si="792"/>
        <v>0,00</v>
      </c>
      <c r="S1206" t="str">
        <f t="shared" si="792"/>
        <v>0,00</v>
      </c>
      <c r="T1206" t="str">
        <f t="shared" si="780"/>
        <v xml:space="preserve"> </v>
      </c>
      <c r="U1206" t="str">
        <f t="shared" si="786"/>
        <v>-</v>
      </c>
      <c r="V1206" t="str">
        <f>"5,000"</f>
        <v>5,000</v>
      </c>
      <c r="W1206" t="str">
        <f t="shared" si="759"/>
        <v>Lista 4</v>
      </c>
      <c r="X1206" t="str">
        <f t="shared" si="760"/>
        <v>Lista 5</v>
      </c>
      <c r="Y1206" t="str">
        <f t="shared" si="761"/>
        <v>Oferta Gral.</v>
      </c>
      <c r="Z1206" t="str">
        <f t="shared" si="762"/>
        <v>Rubro</v>
      </c>
      <c r="AA1206" t="str">
        <f t="shared" si="763"/>
        <v>Cantidad por Bulto</v>
      </c>
      <c r="AB1206" t="str">
        <f t="shared" si="764"/>
        <v>INNER</v>
      </c>
      <c r="AC1206" t="str">
        <f t="shared" si="765"/>
        <v>Stock en Bultos</v>
      </c>
      <c r="AD1206" t="str">
        <f t="shared" si="766"/>
        <v>SubDepósito</v>
      </c>
      <c r="AE1206" t="str">
        <f t="shared" si="767"/>
        <v>Marca</v>
      </c>
      <c r="AF1206" t="str">
        <f t="shared" si="768"/>
        <v>Super Rubro</v>
      </c>
      <c r="AG1206" t="str">
        <f t="shared" si="769"/>
        <v>ComercioExterior</v>
      </c>
      <c r="AH1206" t="str">
        <f t="shared" si="770"/>
        <v>PrecioFOB</v>
      </c>
      <c r="AI1206" t="str">
        <f t="shared" si="771"/>
        <v>Monto II</v>
      </c>
      <c r="AJ1206" t="str">
        <f t="shared" si="772"/>
        <v>Porcentaje II</v>
      </c>
      <c r="AK1206" t="str">
        <f t="shared" si="773"/>
        <v>Foto</v>
      </c>
      <c r="AL1206" t="str">
        <f t="shared" si="793"/>
        <v xml:space="preserve"> </v>
      </c>
      <c r="AM1206" t="str">
        <f t="shared" si="787"/>
        <v xml:space="preserve"> </v>
      </c>
    </row>
    <row r="1207" spans="1:39" x14ac:dyDescent="0.25">
      <c r="A1207" t="str">
        <f>"BI777 30"</f>
        <v>BI777 30</v>
      </c>
      <c r="B1207" t="str">
        <f>"COJINETES BIELA 0,75 FORD FOCUS FIESTA ZETEC 1.6 1.8 2.0 16V"</f>
        <v>COJINETES BIELA 0,75 FORD FOCUS FIESTA ZETEC 1.6 1.8 2.0 16V</v>
      </c>
      <c r="C1207" t="str">
        <f>"$ 14739,27"</f>
        <v>$ 14739,27</v>
      </c>
      <c r="D1207" t="str">
        <f>"$ 14739,27"</f>
        <v>$ 14739,27</v>
      </c>
      <c r="E1207" t="str">
        <f>"$ 14739,27"</f>
        <v>$ 14739,27</v>
      </c>
      <c r="F1207" t="str">
        <f>"$ 14739,27"</f>
        <v>$ 14739,27</v>
      </c>
      <c r="G1207" t="str">
        <f>"$ 14739,27"</f>
        <v>$ 14739,27</v>
      </c>
      <c r="H1207" t="str">
        <f t="shared" si="756"/>
        <v>$ 0,00</v>
      </c>
      <c r="I1207" t="str">
        <f t="shared" si="754"/>
        <v>JUEGO COJINETES BIELA</v>
      </c>
      <c r="J1207" t="str">
        <f t="shared" si="757"/>
        <v>1</v>
      </c>
      <c r="K1207" t="str">
        <f t="shared" si="781"/>
        <v>0</v>
      </c>
      <c r="L1207" t="str">
        <f>"7,000"</f>
        <v>7,000</v>
      </c>
      <c r="M1207" t="str">
        <f t="shared" si="758"/>
        <v xml:space="preserve"> </v>
      </c>
      <c r="N1207" t="str">
        <f t="shared" si="788"/>
        <v>MPSI</v>
      </c>
      <c r="O1207" t="str">
        <f t="shared" si="789"/>
        <v>COJINETES</v>
      </c>
      <c r="P1207" t="str">
        <f t="shared" si="791"/>
        <v>0</v>
      </c>
      <c r="Q1207" t="str">
        <f t="shared" si="791"/>
        <v>0</v>
      </c>
      <c r="R1207" t="str">
        <f t="shared" si="792"/>
        <v>0,00</v>
      </c>
      <c r="S1207" t="str">
        <f t="shared" si="792"/>
        <v>0,00</v>
      </c>
      <c r="T1207" t="str">
        <f t="shared" si="780"/>
        <v xml:space="preserve"> </v>
      </c>
      <c r="U1207" t="str">
        <f t="shared" si="786"/>
        <v>-</v>
      </c>
      <c r="V1207" t="str">
        <f>"7,000"</f>
        <v>7,000</v>
      </c>
      <c r="W1207" t="str">
        <f t="shared" si="759"/>
        <v>Lista 4</v>
      </c>
      <c r="X1207" t="str">
        <f t="shared" si="760"/>
        <v>Lista 5</v>
      </c>
      <c r="Y1207" t="str">
        <f t="shared" si="761"/>
        <v>Oferta Gral.</v>
      </c>
      <c r="Z1207" t="str">
        <f t="shared" si="762"/>
        <v>Rubro</v>
      </c>
      <c r="AA1207" t="str">
        <f t="shared" si="763"/>
        <v>Cantidad por Bulto</v>
      </c>
      <c r="AB1207" t="str">
        <f t="shared" si="764"/>
        <v>INNER</v>
      </c>
      <c r="AC1207" t="str">
        <f t="shared" si="765"/>
        <v>Stock en Bultos</v>
      </c>
      <c r="AD1207" t="str">
        <f t="shared" si="766"/>
        <v>SubDepósito</v>
      </c>
      <c r="AE1207" t="str">
        <f t="shared" si="767"/>
        <v>Marca</v>
      </c>
      <c r="AF1207" t="str">
        <f t="shared" si="768"/>
        <v>Super Rubro</v>
      </c>
      <c r="AG1207" t="str">
        <f t="shared" si="769"/>
        <v>ComercioExterior</v>
      </c>
      <c r="AH1207" t="str">
        <f t="shared" si="770"/>
        <v>PrecioFOB</v>
      </c>
      <c r="AI1207" t="str">
        <f t="shared" si="771"/>
        <v>Monto II</v>
      </c>
      <c r="AJ1207" t="str">
        <f t="shared" si="772"/>
        <v>Porcentaje II</v>
      </c>
      <c r="AK1207" t="str">
        <f t="shared" si="773"/>
        <v>Foto</v>
      </c>
      <c r="AL1207" t="str">
        <f t="shared" si="793"/>
        <v xml:space="preserve"> </v>
      </c>
      <c r="AM1207" t="str">
        <f t="shared" si="787"/>
        <v xml:space="preserve"> </v>
      </c>
    </row>
    <row r="1208" spans="1:39" x14ac:dyDescent="0.25">
      <c r="A1208" t="str">
        <f>"BI164647 30"</f>
        <v>BI164647 30</v>
      </c>
      <c r="B1208" t="str">
        <f>"COJINETES BIELA 0,75 FORD FOCUS MONDEO DURATEC 2.0 16V"</f>
        <v>COJINETES BIELA 0,75 FORD FOCUS MONDEO DURATEC 2.0 16V</v>
      </c>
      <c r="C1208" t="str">
        <f>"$ 13018,04"</f>
        <v>$ 13018,04</v>
      </c>
      <c r="D1208" t="str">
        <f>"$ 13018,04"</f>
        <v>$ 13018,04</v>
      </c>
      <c r="E1208" t="str">
        <f>"$ 13018,04"</f>
        <v>$ 13018,04</v>
      </c>
      <c r="F1208" t="str">
        <f>"$ 13018,04"</f>
        <v>$ 13018,04</v>
      </c>
      <c r="G1208" t="str">
        <f>"$ 13018,04"</f>
        <v>$ 13018,04</v>
      </c>
      <c r="H1208" t="str">
        <f t="shared" si="756"/>
        <v>$ 0,00</v>
      </c>
      <c r="I1208" t="str">
        <f t="shared" ref="I1208:I1271" si="794">"JUEGO COJINETES BIELA"</f>
        <v>JUEGO COJINETES BIELA</v>
      </c>
      <c r="J1208" t="str">
        <f t="shared" si="757"/>
        <v>1</v>
      </c>
      <c r="K1208" t="str">
        <f t="shared" si="781"/>
        <v>0</v>
      </c>
      <c r="L1208" t="str">
        <f>"4,000"</f>
        <v>4,000</v>
      </c>
      <c r="M1208" t="str">
        <f t="shared" si="758"/>
        <v xml:space="preserve"> </v>
      </c>
      <c r="N1208" t="str">
        <f t="shared" si="788"/>
        <v>MPSI</v>
      </c>
      <c r="O1208" t="str">
        <f t="shared" si="789"/>
        <v>COJINETES</v>
      </c>
      <c r="P1208" t="str">
        <f t="shared" si="791"/>
        <v>0</v>
      </c>
      <c r="Q1208" t="str">
        <f t="shared" si="791"/>
        <v>0</v>
      </c>
      <c r="R1208" t="str">
        <f t="shared" si="792"/>
        <v>0,00</v>
      </c>
      <c r="S1208" t="str">
        <f t="shared" si="792"/>
        <v>0,00</v>
      </c>
      <c r="T1208" t="str">
        <f t="shared" si="780"/>
        <v xml:space="preserve"> </v>
      </c>
      <c r="U1208" t="str">
        <f t="shared" si="786"/>
        <v>-</v>
      </c>
      <c r="V1208" t="str">
        <f>"4,000"</f>
        <v>4,000</v>
      </c>
      <c r="W1208" t="str">
        <f t="shared" si="759"/>
        <v>Lista 4</v>
      </c>
      <c r="X1208" t="str">
        <f t="shared" si="760"/>
        <v>Lista 5</v>
      </c>
      <c r="Y1208" t="str">
        <f t="shared" si="761"/>
        <v>Oferta Gral.</v>
      </c>
      <c r="Z1208" t="str">
        <f t="shared" si="762"/>
        <v>Rubro</v>
      </c>
      <c r="AA1208" t="str">
        <f t="shared" si="763"/>
        <v>Cantidad por Bulto</v>
      </c>
      <c r="AB1208" t="str">
        <f t="shared" si="764"/>
        <v>INNER</v>
      </c>
      <c r="AC1208" t="str">
        <f t="shared" si="765"/>
        <v>Stock en Bultos</v>
      </c>
      <c r="AD1208" t="str">
        <f t="shared" si="766"/>
        <v>SubDepósito</v>
      </c>
      <c r="AE1208" t="str">
        <f t="shared" si="767"/>
        <v>Marca</v>
      </c>
      <c r="AF1208" t="str">
        <f t="shared" si="768"/>
        <v>Super Rubro</v>
      </c>
      <c r="AG1208" t="str">
        <f t="shared" si="769"/>
        <v>ComercioExterior</v>
      </c>
      <c r="AH1208" t="str">
        <f t="shared" si="770"/>
        <v>PrecioFOB</v>
      </c>
      <c r="AI1208" t="str">
        <f t="shared" si="771"/>
        <v>Monto II</v>
      </c>
      <c r="AJ1208" t="str">
        <f t="shared" si="772"/>
        <v>Porcentaje II</v>
      </c>
      <c r="AK1208" t="str">
        <f t="shared" si="773"/>
        <v>Foto</v>
      </c>
      <c r="AL1208" t="str">
        <f t="shared" si="793"/>
        <v xml:space="preserve"> </v>
      </c>
      <c r="AM1208" t="str">
        <f t="shared" si="787"/>
        <v xml:space="preserve"> </v>
      </c>
    </row>
    <row r="1209" spans="1:39" x14ac:dyDescent="0.25">
      <c r="A1209" t="str">
        <f>"BI164198 30"</f>
        <v>BI164198 30</v>
      </c>
      <c r="B1209" t="str">
        <f>"COJINETES BIELA 0,75 FORD RANGER 2.2 PUMA TDCI 125HP"</f>
        <v>COJINETES BIELA 0,75 FORD RANGER 2.2 PUMA TDCI 125HP</v>
      </c>
      <c r="C1209" t="str">
        <f>"$ 29478,53"</f>
        <v>$ 29478,53</v>
      </c>
      <c r="D1209" t="str">
        <f>"$ 29478,53"</f>
        <v>$ 29478,53</v>
      </c>
      <c r="E1209" t="str">
        <f>"$ 29478,53"</f>
        <v>$ 29478,53</v>
      </c>
      <c r="F1209" t="str">
        <f>"$ 29478,53"</f>
        <v>$ 29478,53</v>
      </c>
      <c r="G1209" t="str">
        <f>"$ 29478,53"</f>
        <v>$ 29478,53</v>
      </c>
      <c r="H1209" t="str">
        <f t="shared" si="756"/>
        <v>$ 0,00</v>
      </c>
      <c r="I1209" t="str">
        <f t="shared" si="794"/>
        <v>JUEGO COJINETES BIELA</v>
      </c>
      <c r="J1209" t="str">
        <f t="shared" si="757"/>
        <v>1</v>
      </c>
      <c r="K1209" t="str">
        <f t="shared" si="781"/>
        <v>0</v>
      </c>
      <c r="L1209" t="str">
        <f>"4,000"</f>
        <v>4,000</v>
      </c>
      <c r="M1209" t="str">
        <f t="shared" si="758"/>
        <v xml:space="preserve"> </v>
      </c>
      <c r="N1209" t="str">
        <f t="shared" si="788"/>
        <v>MPSI</v>
      </c>
      <c r="O1209" t="str">
        <f t="shared" si="789"/>
        <v>COJINETES</v>
      </c>
      <c r="P1209" t="str">
        <f t="shared" si="791"/>
        <v>0</v>
      </c>
      <c r="Q1209" t="str">
        <f t="shared" si="791"/>
        <v>0</v>
      </c>
      <c r="R1209" t="str">
        <f t="shared" si="792"/>
        <v>0,00</v>
      </c>
      <c r="S1209" t="str">
        <f t="shared" si="792"/>
        <v>0,00</v>
      </c>
      <c r="T1209" t="str">
        <f t="shared" si="780"/>
        <v xml:space="preserve"> </v>
      </c>
      <c r="U1209" t="str">
        <f t="shared" si="786"/>
        <v>-</v>
      </c>
      <c r="V1209" t="str">
        <f>"4,000"</f>
        <v>4,000</v>
      </c>
      <c r="W1209" t="str">
        <f t="shared" si="759"/>
        <v>Lista 4</v>
      </c>
      <c r="X1209" t="str">
        <f t="shared" si="760"/>
        <v>Lista 5</v>
      </c>
      <c r="Y1209" t="str">
        <f t="shared" si="761"/>
        <v>Oferta Gral.</v>
      </c>
      <c r="Z1209" t="str">
        <f t="shared" si="762"/>
        <v>Rubro</v>
      </c>
      <c r="AA1209" t="str">
        <f t="shared" si="763"/>
        <v>Cantidad por Bulto</v>
      </c>
      <c r="AB1209" t="str">
        <f t="shared" si="764"/>
        <v>INNER</v>
      </c>
      <c r="AC1209" t="str">
        <f t="shared" si="765"/>
        <v>Stock en Bultos</v>
      </c>
      <c r="AD1209" t="str">
        <f t="shared" si="766"/>
        <v>SubDepósito</v>
      </c>
      <c r="AE1209" t="str">
        <f t="shared" si="767"/>
        <v>Marca</v>
      </c>
      <c r="AF1209" t="str">
        <f t="shared" si="768"/>
        <v>Super Rubro</v>
      </c>
      <c r="AG1209" t="str">
        <f t="shared" si="769"/>
        <v>ComercioExterior</v>
      </c>
      <c r="AH1209" t="str">
        <f t="shared" si="770"/>
        <v>PrecioFOB</v>
      </c>
      <c r="AI1209" t="str">
        <f t="shared" si="771"/>
        <v>Monto II</v>
      </c>
      <c r="AJ1209" t="str">
        <f t="shared" si="772"/>
        <v>Porcentaje II</v>
      </c>
      <c r="AK1209" t="str">
        <f t="shared" si="773"/>
        <v>Foto</v>
      </c>
      <c r="AL1209" t="str">
        <f t="shared" si="793"/>
        <v xml:space="preserve"> </v>
      </c>
      <c r="AM1209" t="str">
        <f t="shared" si="787"/>
        <v xml:space="preserve"> </v>
      </c>
    </row>
    <row r="1210" spans="1:39" x14ac:dyDescent="0.25">
      <c r="A1210" t="str">
        <f>"BI404 30"</f>
        <v>BI404 30</v>
      </c>
      <c r="B1210" t="str">
        <f>"COJINETES BIELA 0,75 FORD RANGER 2.8 3.0 POWER STROKE"</f>
        <v>COJINETES BIELA 0,75 FORD RANGER 2.8 3.0 POWER STROKE</v>
      </c>
      <c r="C1210" t="str">
        <f>"$ 21169,15"</f>
        <v>$ 21169,15</v>
      </c>
      <c r="D1210" t="str">
        <f>"$ 21169,15"</f>
        <v>$ 21169,15</v>
      </c>
      <c r="E1210" t="str">
        <f>"$ 21169,15"</f>
        <v>$ 21169,15</v>
      </c>
      <c r="F1210" t="str">
        <f>"$ 21169,15"</f>
        <v>$ 21169,15</v>
      </c>
      <c r="G1210" t="str">
        <f>"$ 21169,15"</f>
        <v>$ 21169,15</v>
      </c>
      <c r="H1210" t="str">
        <f t="shared" si="756"/>
        <v>$ 0,00</v>
      </c>
      <c r="I1210" t="str">
        <f t="shared" si="794"/>
        <v>JUEGO COJINETES BIELA</v>
      </c>
      <c r="J1210" t="str">
        <f t="shared" si="757"/>
        <v>1</v>
      </c>
      <c r="K1210" t="str">
        <f t="shared" si="781"/>
        <v>0</v>
      </c>
      <c r="L1210" t="str">
        <f>"2,000"</f>
        <v>2,000</v>
      </c>
      <c r="M1210" t="str">
        <f t="shared" si="758"/>
        <v xml:space="preserve"> </v>
      </c>
      <c r="N1210" t="str">
        <f t="shared" si="788"/>
        <v>MPSI</v>
      </c>
      <c r="O1210" t="str">
        <f t="shared" si="789"/>
        <v>COJINETES</v>
      </c>
      <c r="P1210" t="str">
        <f t="shared" si="791"/>
        <v>0</v>
      </c>
      <c r="Q1210" t="str">
        <f t="shared" si="791"/>
        <v>0</v>
      </c>
      <c r="R1210" t="str">
        <f t="shared" si="792"/>
        <v>0,00</v>
      </c>
      <c r="S1210" t="str">
        <f t="shared" si="792"/>
        <v>0,00</v>
      </c>
      <c r="T1210" t="str">
        <f t="shared" si="780"/>
        <v xml:space="preserve"> </v>
      </c>
      <c r="U1210" t="str">
        <f t="shared" si="786"/>
        <v>-</v>
      </c>
      <c r="V1210" t="str">
        <f>"2,000"</f>
        <v>2,000</v>
      </c>
      <c r="W1210" t="str">
        <f t="shared" si="759"/>
        <v>Lista 4</v>
      </c>
      <c r="X1210" t="str">
        <f t="shared" si="760"/>
        <v>Lista 5</v>
      </c>
      <c r="Y1210" t="str">
        <f t="shared" si="761"/>
        <v>Oferta Gral.</v>
      </c>
      <c r="Z1210" t="str">
        <f t="shared" si="762"/>
        <v>Rubro</v>
      </c>
      <c r="AA1210" t="str">
        <f t="shared" si="763"/>
        <v>Cantidad por Bulto</v>
      </c>
      <c r="AB1210" t="str">
        <f t="shared" si="764"/>
        <v>INNER</v>
      </c>
      <c r="AC1210" t="str">
        <f t="shared" si="765"/>
        <v>Stock en Bultos</v>
      </c>
      <c r="AD1210" t="str">
        <f t="shared" si="766"/>
        <v>SubDepósito</v>
      </c>
      <c r="AE1210" t="str">
        <f t="shared" si="767"/>
        <v>Marca</v>
      </c>
      <c r="AF1210" t="str">
        <f t="shared" si="768"/>
        <v>Super Rubro</v>
      </c>
      <c r="AG1210" t="str">
        <f t="shared" si="769"/>
        <v>ComercioExterior</v>
      </c>
      <c r="AH1210" t="str">
        <f t="shared" si="770"/>
        <v>PrecioFOB</v>
      </c>
      <c r="AI1210" t="str">
        <f t="shared" si="771"/>
        <v>Monto II</v>
      </c>
      <c r="AJ1210" t="str">
        <f t="shared" si="772"/>
        <v>Porcentaje II</v>
      </c>
      <c r="AK1210" t="str">
        <f t="shared" si="773"/>
        <v>Foto</v>
      </c>
      <c r="AL1210" t="str">
        <f t="shared" si="793"/>
        <v xml:space="preserve"> </v>
      </c>
      <c r="AM1210" t="str">
        <f t="shared" si="787"/>
        <v xml:space="preserve"> </v>
      </c>
    </row>
    <row r="1211" spans="1:39" x14ac:dyDescent="0.25">
      <c r="A1211" t="str">
        <f>"BI165200 30"</f>
        <v>BI165200 30</v>
      </c>
      <c r="B1211" t="str">
        <f>"COJINETES BIELA 0,75 FORD RANGER 3.2 PUMA TDCI 200HP 5 CIL"</f>
        <v>COJINETES BIELA 0,75 FORD RANGER 3.2 PUMA TDCI 200HP 5 CIL</v>
      </c>
      <c r="C1211" t="str">
        <f>"$ 36462,37"</f>
        <v>$ 36462,37</v>
      </c>
      <c r="D1211" t="str">
        <f>"$ 36462,37"</f>
        <v>$ 36462,37</v>
      </c>
      <c r="E1211" t="str">
        <f>"$ 36462,37"</f>
        <v>$ 36462,37</v>
      </c>
      <c r="F1211" t="str">
        <f>"$ 36462,37"</f>
        <v>$ 36462,37</v>
      </c>
      <c r="G1211" t="str">
        <f>"$ 36462,37"</f>
        <v>$ 36462,37</v>
      </c>
      <c r="H1211" t="str">
        <f t="shared" si="756"/>
        <v>$ 0,00</v>
      </c>
      <c r="I1211" t="str">
        <f t="shared" si="794"/>
        <v>JUEGO COJINETES BIELA</v>
      </c>
      <c r="J1211" t="str">
        <f t="shared" si="757"/>
        <v>1</v>
      </c>
      <c r="K1211" t="str">
        <f t="shared" si="781"/>
        <v>0</v>
      </c>
      <c r="L1211" t="str">
        <f>"7,000"</f>
        <v>7,000</v>
      </c>
      <c r="M1211" t="str">
        <f t="shared" si="758"/>
        <v xml:space="preserve"> </v>
      </c>
      <c r="N1211" t="str">
        <f t="shared" si="788"/>
        <v>MPSI</v>
      </c>
      <c r="O1211" t="str">
        <f t="shared" si="789"/>
        <v>COJINETES</v>
      </c>
      <c r="P1211" t="str">
        <f t="shared" si="791"/>
        <v>0</v>
      </c>
      <c r="Q1211" t="str">
        <f t="shared" si="791"/>
        <v>0</v>
      </c>
      <c r="R1211" t="str">
        <f t="shared" si="792"/>
        <v>0,00</v>
      </c>
      <c r="S1211" t="str">
        <f t="shared" si="792"/>
        <v>0,00</v>
      </c>
      <c r="T1211" t="str">
        <f t="shared" si="780"/>
        <v xml:space="preserve"> </v>
      </c>
      <c r="U1211" t="str">
        <f t="shared" si="786"/>
        <v>-</v>
      </c>
      <c r="V1211" t="str">
        <f>"7,000"</f>
        <v>7,000</v>
      </c>
      <c r="W1211" t="str">
        <f t="shared" si="759"/>
        <v>Lista 4</v>
      </c>
      <c r="X1211" t="str">
        <f t="shared" si="760"/>
        <v>Lista 5</v>
      </c>
      <c r="Y1211" t="str">
        <f t="shared" si="761"/>
        <v>Oferta Gral.</v>
      </c>
      <c r="Z1211" t="str">
        <f t="shared" si="762"/>
        <v>Rubro</v>
      </c>
      <c r="AA1211" t="str">
        <f t="shared" si="763"/>
        <v>Cantidad por Bulto</v>
      </c>
      <c r="AB1211" t="str">
        <f t="shared" si="764"/>
        <v>INNER</v>
      </c>
      <c r="AC1211" t="str">
        <f t="shared" si="765"/>
        <v>Stock en Bultos</v>
      </c>
      <c r="AD1211" t="str">
        <f t="shared" si="766"/>
        <v>SubDepósito</v>
      </c>
      <c r="AE1211" t="str">
        <f t="shared" si="767"/>
        <v>Marca</v>
      </c>
      <c r="AF1211" t="str">
        <f t="shared" si="768"/>
        <v>Super Rubro</v>
      </c>
      <c r="AG1211" t="str">
        <f t="shared" si="769"/>
        <v>ComercioExterior</v>
      </c>
      <c r="AH1211" t="str">
        <f t="shared" si="770"/>
        <v>PrecioFOB</v>
      </c>
      <c r="AI1211" t="str">
        <f t="shared" si="771"/>
        <v>Monto II</v>
      </c>
      <c r="AJ1211" t="str">
        <f t="shared" si="772"/>
        <v>Porcentaje II</v>
      </c>
      <c r="AK1211" t="str">
        <f t="shared" si="773"/>
        <v>Foto</v>
      </c>
      <c r="AL1211" t="str">
        <f t="shared" si="793"/>
        <v xml:space="preserve"> </v>
      </c>
      <c r="AM1211" t="str">
        <f t="shared" si="787"/>
        <v xml:space="preserve"> </v>
      </c>
    </row>
    <row r="1212" spans="1:39" x14ac:dyDescent="0.25">
      <c r="A1212" t="str">
        <f>"BI203 30"</f>
        <v>BI203 30</v>
      </c>
      <c r="B1212" t="str">
        <f>"COJINETES BIELA 0,75 FORD SIERRA 1600"</f>
        <v>COJINETES BIELA 0,75 FORD SIERRA 1600</v>
      </c>
      <c r="C1212" t="str">
        <f>"$ 15174,52"</f>
        <v>$ 15174,52</v>
      </c>
      <c r="D1212" t="str">
        <f>"$ 15174,52"</f>
        <v>$ 15174,52</v>
      </c>
      <c r="E1212" t="str">
        <f>"$ 15174,52"</f>
        <v>$ 15174,52</v>
      </c>
      <c r="F1212" t="str">
        <f>"$ 15174,52"</f>
        <v>$ 15174,52</v>
      </c>
      <c r="G1212" t="str">
        <f>"$ 15174,52"</f>
        <v>$ 15174,52</v>
      </c>
      <c r="H1212" t="str">
        <f t="shared" si="756"/>
        <v>$ 0,00</v>
      </c>
      <c r="I1212" t="str">
        <f t="shared" si="794"/>
        <v>JUEGO COJINETES BIELA</v>
      </c>
      <c r="J1212" t="str">
        <f t="shared" si="757"/>
        <v>1</v>
      </c>
      <c r="K1212" t="str">
        <f t="shared" si="781"/>
        <v>0</v>
      </c>
      <c r="L1212" t="str">
        <f>"2,000"</f>
        <v>2,000</v>
      </c>
      <c r="M1212" t="str">
        <f t="shared" si="758"/>
        <v xml:space="preserve"> </v>
      </c>
      <c r="N1212" t="str">
        <f t="shared" si="788"/>
        <v>MPSI</v>
      </c>
      <c r="O1212" t="str">
        <f t="shared" si="789"/>
        <v>COJINETES</v>
      </c>
      <c r="P1212" t="str">
        <f t="shared" si="791"/>
        <v>0</v>
      </c>
      <c r="Q1212" t="str">
        <f t="shared" si="791"/>
        <v>0</v>
      </c>
      <c r="R1212" t="str">
        <f t="shared" si="792"/>
        <v>0,00</v>
      </c>
      <c r="S1212" t="str">
        <f t="shared" si="792"/>
        <v>0,00</v>
      </c>
      <c r="T1212" t="str">
        <f t="shared" si="780"/>
        <v xml:space="preserve"> </v>
      </c>
      <c r="U1212" t="str">
        <f t="shared" si="786"/>
        <v>-</v>
      </c>
      <c r="V1212" t="str">
        <f>"2,000"</f>
        <v>2,000</v>
      </c>
      <c r="W1212" t="str">
        <f t="shared" si="759"/>
        <v>Lista 4</v>
      </c>
      <c r="X1212" t="str">
        <f t="shared" si="760"/>
        <v>Lista 5</v>
      </c>
      <c r="Y1212" t="str">
        <f t="shared" si="761"/>
        <v>Oferta Gral.</v>
      </c>
      <c r="Z1212" t="str">
        <f t="shared" si="762"/>
        <v>Rubro</v>
      </c>
      <c r="AA1212" t="str">
        <f t="shared" si="763"/>
        <v>Cantidad por Bulto</v>
      </c>
      <c r="AB1212" t="str">
        <f t="shared" si="764"/>
        <v>INNER</v>
      </c>
      <c r="AC1212" t="str">
        <f t="shared" si="765"/>
        <v>Stock en Bultos</v>
      </c>
      <c r="AD1212" t="str">
        <f t="shared" si="766"/>
        <v>SubDepósito</v>
      </c>
      <c r="AE1212" t="str">
        <f t="shared" si="767"/>
        <v>Marca</v>
      </c>
      <c r="AF1212" t="str">
        <f t="shared" si="768"/>
        <v>Super Rubro</v>
      </c>
      <c r="AG1212" t="str">
        <f t="shared" si="769"/>
        <v>ComercioExterior</v>
      </c>
      <c r="AH1212" t="str">
        <f t="shared" si="770"/>
        <v>PrecioFOB</v>
      </c>
      <c r="AI1212" t="str">
        <f t="shared" si="771"/>
        <v>Monto II</v>
      </c>
      <c r="AJ1212" t="str">
        <f t="shared" si="772"/>
        <v>Porcentaje II</v>
      </c>
      <c r="AK1212" t="str">
        <f t="shared" si="773"/>
        <v>Foto</v>
      </c>
      <c r="AL1212" t="str">
        <f t="shared" si="793"/>
        <v xml:space="preserve"> </v>
      </c>
      <c r="AM1212" t="str">
        <f t="shared" si="787"/>
        <v xml:space="preserve"> </v>
      </c>
    </row>
    <row r="1213" spans="1:39" x14ac:dyDescent="0.25">
      <c r="A1213" t="str">
        <f>"BI201 30"</f>
        <v>BI201 30</v>
      </c>
      <c r="B1213" t="str">
        <f>"COJINETES BIELA 0,75 FORD TAUNUS 2.0 2.3"</f>
        <v>COJINETES BIELA 0,75 FORD TAUNUS 2.0 2.3</v>
      </c>
      <c r="C1213" t="str">
        <f>"$ 16124,16"</f>
        <v>$ 16124,16</v>
      </c>
      <c r="D1213" t="str">
        <f>"$ 16124,16"</f>
        <v>$ 16124,16</v>
      </c>
      <c r="E1213" t="str">
        <f>"$ 16124,16"</f>
        <v>$ 16124,16</v>
      </c>
      <c r="F1213" t="str">
        <f>"$ 16124,16"</f>
        <v>$ 16124,16</v>
      </c>
      <c r="G1213" t="str">
        <f>"$ 16124,16"</f>
        <v>$ 16124,16</v>
      </c>
      <c r="H1213" t="str">
        <f t="shared" si="756"/>
        <v>$ 0,00</v>
      </c>
      <c r="I1213" t="str">
        <f t="shared" si="794"/>
        <v>JUEGO COJINETES BIELA</v>
      </c>
      <c r="J1213" t="str">
        <f t="shared" si="757"/>
        <v>1</v>
      </c>
      <c r="K1213" t="str">
        <f t="shared" si="781"/>
        <v>0</v>
      </c>
      <c r="L1213" t="str">
        <f>"3,000"</f>
        <v>3,000</v>
      </c>
      <c r="M1213" t="str">
        <f t="shared" si="758"/>
        <v xml:space="preserve"> </v>
      </c>
      <c r="N1213" t="str">
        <f t="shared" si="788"/>
        <v>MPSI</v>
      </c>
      <c r="O1213" t="str">
        <f t="shared" si="789"/>
        <v>COJINETES</v>
      </c>
      <c r="P1213" t="str">
        <f t="shared" si="791"/>
        <v>0</v>
      </c>
      <c r="Q1213" t="str">
        <f t="shared" si="791"/>
        <v>0</v>
      </c>
      <c r="R1213" t="str">
        <f t="shared" si="792"/>
        <v>0,00</v>
      </c>
      <c r="S1213" t="str">
        <f t="shared" si="792"/>
        <v>0,00</v>
      </c>
      <c r="T1213" t="str">
        <f t="shared" si="780"/>
        <v xml:space="preserve"> </v>
      </c>
      <c r="U1213" t="str">
        <f t="shared" si="786"/>
        <v>-</v>
      </c>
      <c r="V1213" t="str">
        <f>"3,000"</f>
        <v>3,000</v>
      </c>
      <c r="W1213" t="str">
        <f t="shared" si="759"/>
        <v>Lista 4</v>
      </c>
      <c r="X1213" t="str">
        <f t="shared" si="760"/>
        <v>Lista 5</v>
      </c>
      <c r="Y1213" t="str">
        <f t="shared" si="761"/>
        <v>Oferta Gral.</v>
      </c>
      <c r="Z1213" t="str">
        <f t="shared" si="762"/>
        <v>Rubro</v>
      </c>
      <c r="AA1213" t="str">
        <f t="shared" si="763"/>
        <v>Cantidad por Bulto</v>
      </c>
      <c r="AB1213" t="str">
        <f t="shared" si="764"/>
        <v>INNER</v>
      </c>
      <c r="AC1213" t="str">
        <f t="shared" si="765"/>
        <v>Stock en Bultos</v>
      </c>
      <c r="AD1213" t="str">
        <f t="shared" si="766"/>
        <v>SubDepósito</v>
      </c>
      <c r="AE1213" t="str">
        <f t="shared" si="767"/>
        <v>Marca</v>
      </c>
      <c r="AF1213" t="str">
        <f t="shared" si="768"/>
        <v>Super Rubro</v>
      </c>
      <c r="AG1213" t="str">
        <f t="shared" si="769"/>
        <v>ComercioExterior</v>
      </c>
      <c r="AH1213" t="str">
        <f t="shared" si="770"/>
        <v>PrecioFOB</v>
      </c>
      <c r="AI1213" t="str">
        <f t="shared" si="771"/>
        <v>Monto II</v>
      </c>
      <c r="AJ1213" t="str">
        <f t="shared" si="772"/>
        <v>Porcentaje II</v>
      </c>
      <c r="AK1213" t="str">
        <f t="shared" si="773"/>
        <v>Foto</v>
      </c>
      <c r="AL1213" t="str">
        <f t="shared" si="793"/>
        <v xml:space="preserve"> </v>
      </c>
      <c r="AM1213" t="str">
        <f t="shared" si="787"/>
        <v xml:space="preserve"> </v>
      </c>
    </row>
    <row r="1214" spans="1:39" x14ac:dyDescent="0.25">
      <c r="A1214" t="str">
        <f>"BI774 30"</f>
        <v>BI774 30</v>
      </c>
      <c r="B1214" t="str">
        <f>"COJINETES BIELA 0,75 FORD TRANSIT 2,5 DIESEL 2401E"</f>
        <v>COJINETES BIELA 0,75 FORD TRANSIT 2,5 DIESEL 2401E</v>
      </c>
      <c r="C1214" t="str">
        <f>"$ 22751,89"</f>
        <v>$ 22751,89</v>
      </c>
      <c r="D1214" t="str">
        <f>"$ 22751,89"</f>
        <v>$ 22751,89</v>
      </c>
      <c r="E1214" t="str">
        <f>"$ 22751,89"</f>
        <v>$ 22751,89</v>
      </c>
      <c r="F1214" t="str">
        <f>"$ 22751,89"</f>
        <v>$ 22751,89</v>
      </c>
      <c r="G1214" t="str">
        <f>"$ 22751,89"</f>
        <v>$ 22751,89</v>
      </c>
      <c r="H1214" t="str">
        <f t="shared" si="756"/>
        <v>$ 0,00</v>
      </c>
      <c r="I1214" t="str">
        <f t="shared" si="794"/>
        <v>JUEGO COJINETES BIELA</v>
      </c>
      <c r="J1214" t="str">
        <f t="shared" si="757"/>
        <v>1</v>
      </c>
      <c r="K1214" t="str">
        <f t="shared" si="781"/>
        <v>0</v>
      </c>
      <c r="L1214" t="str">
        <f>"2,000"</f>
        <v>2,000</v>
      </c>
      <c r="M1214" t="str">
        <f t="shared" si="758"/>
        <v xml:space="preserve"> </v>
      </c>
      <c r="N1214" t="str">
        <f t="shared" si="788"/>
        <v>MPSI</v>
      </c>
      <c r="O1214" t="str">
        <f t="shared" si="789"/>
        <v>COJINETES</v>
      </c>
      <c r="P1214" t="str">
        <f t="shared" si="791"/>
        <v>0</v>
      </c>
      <c r="Q1214" t="str">
        <f t="shared" si="791"/>
        <v>0</v>
      </c>
      <c r="R1214" t="str">
        <f t="shared" si="792"/>
        <v>0,00</v>
      </c>
      <c r="S1214" t="str">
        <f t="shared" si="792"/>
        <v>0,00</v>
      </c>
      <c r="T1214" t="str">
        <f t="shared" si="780"/>
        <v xml:space="preserve"> </v>
      </c>
      <c r="U1214" t="str">
        <f t="shared" si="786"/>
        <v>-</v>
      </c>
      <c r="V1214" t="str">
        <f>"2,000"</f>
        <v>2,000</v>
      </c>
      <c r="W1214" t="str">
        <f t="shared" si="759"/>
        <v>Lista 4</v>
      </c>
      <c r="X1214" t="str">
        <f t="shared" si="760"/>
        <v>Lista 5</v>
      </c>
      <c r="Y1214" t="str">
        <f t="shared" si="761"/>
        <v>Oferta Gral.</v>
      </c>
      <c r="Z1214" t="str">
        <f t="shared" si="762"/>
        <v>Rubro</v>
      </c>
      <c r="AA1214" t="str">
        <f t="shared" si="763"/>
        <v>Cantidad por Bulto</v>
      </c>
      <c r="AB1214" t="str">
        <f t="shared" si="764"/>
        <v>INNER</v>
      </c>
      <c r="AC1214" t="str">
        <f t="shared" si="765"/>
        <v>Stock en Bultos</v>
      </c>
      <c r="AD1214" t="str">
        <f t="shared" si="766"/>
        <v>SubDepósito</v>
      </c>
      <c r="AE1214" t="str">
        <f t="shared" si="767"/>
        <v>Marca</v>
      </c>
      <c r="AF1214" t="str">
        <f t="shared" si="768"/>
        <v>Super Rubro</v>
      </c>
      <c r="AG1214" t="str">
        <f t="shared" si="769"/>
        <v>ComercioExterior</v>
      </c>
      <c r="AH1214" t="str">
        <f t="shared" si="770"/>
        <v>PrecioFOB</v>
      </c>
      <c r="AI1214" t="str">
        <f t="shared" si="771"/>
        <v>Monto II</v>
      </c>
      <c r="AJ1214" t="str">
        <f t="shared" si="772"/>
        <v>Porcentaje II</v>
      </c>
      <c r="AK1214" t="str">
        <f t="shared" si="773"/>
        <v>Foto</v>
      </c>
      <c r="AL1214" t="str">
        <f t="shared" si="793"/>
        <v xml:space="preserve"> </v>
      </c>
      <c r="AM1214" t="str">
        <f t="shared" si="787"/>
        <v xml:space="preserve"> </v>
      </c>
    </row>
    <row r="1215" spans="1:39" x14ac:dyDescent="0.25">
      <c r="A1215" t="str">
        <f>"BI164211 30"</f>
        <v>BI164211 30</v>
      </c>
      <c r="B1215" t="str">
        <f>"COJINETES BIELA 0,75 FORD TRANSIT 2.4 MONDEO 2.2 TDCI"</f>
        <v>COJINETES BIELA 0,75 FORD TRANSIT 2.4 MONDEO 2.2 TDCI</v>
      </c>
      <c r="C1215" t="str">
        <f>"$ 16777,04"</f>
        <v>$ 16777,04</v>
      </c>
      <c r="D1215" t="str">
        <f>"$ 16777,04"</f>
        <v>$ 16777,04</v>
      </c>
      <c r="E1215" t="str">
        <f>"$ 16777,04"</f>
        <v>$ 16777,04</v>
      </c>
      <c r="F1215" t="str">
        <f>"$ 16777,04"</f>
        <v>$ 16777,04</v>
      </c>
      <c r="G1215" t="str">
        <f>"$ 16777,04"</f>
        <v>$ 16777,04</v>
      </c>
      <c r="H1215" t="str">
        <f t="shared" si="756"/>
        <v>$ 0,00</v>
      </c>
      <c r="I1215" t="str">
        <f t="shared" si="794"/>
        <v>JUEGO COJINETES BIELA</v>
      </c>
      <c r="J1215" t="str">
        <f t="shared" si="757"/>
        <v>1</v>
      </c>
      <c r="K1215" t="str">
        <f t="shared" si="781"/>
        <v>0</v>
      </c>
      <c r="L1215" t="str">
        <f>"2,000"</f>
        <v>2,000</v>
      </c>
      <c r="M1215" t="str">
        <f t="shared" si="758"/>
        <v xml:space="preserve"> </v>
      </c>
      <c r="N1215" t="str">
        <f t="shared" si="788"/>
        <v>MPSI</v>
      </c>
      <c r="O1215" t="str">
        <f t="shared" si="789"/>
        <v>COJINETES</v>
      </c>
      <c r="P1215" t="str">
        <f t="shared" si="791"/>
        <v>0</v>
      </c>
      <c r="Q1215" t="str">
        <f t="shared" si="791"/>
        <v>0</v>
      </c>
      <c r="R1215" t="str">
        <f t="shared" si="792"/>
        <v>0,00</v>
      </c>
      <c r="S1215" t="str">
        <f t="shared" si="792"/>
        <v>0,00</v>
      </c>
      <c r="T1215" t="str">
        <f t="shared" si="780"/>
        <v xml:space="preserve"> </v>
      </c>
      <c r="U1215" t="str">
        <f t="shared" si="786"/>
        <v>-</v>
      </c>
      <c r="V1215" t="str">
        <f>"2,000"</f>
        <v>2,000</v>
      </c>
      <c r="W1215" t="str">
        <f t="shared" si="759"/>
        <v>Lista 4</v>
      </c>
      <c r="X1215" t="str">
        <f t="shared" si="760"/>
        <v>Lista 5</v>
      </c>
      <c r="Y1215" t="str">
        <f t="shared" si="761"/>
        <v>Oferta Gral.</v>
      </c>
      <c r="Z1215" t="str">
        <f t="shared" si="762"/>
        <v>Rubro</v>
      </c>
      <c r="AA1215" t="str">
        <f t="shared" si="763"/>
        <v>Cantidad por Bulto</v>
      </c>
      <c r="AB1215" t="str">
        <f t="shared" si="764"/>
        <v>INNER</v>
      </c>
      <c r="AC1215" t="str">
        <f t="shared" si="765"/>
        <v>Stock en Bultos</v>
      </c>
      <c r="AD1215" t="str">
        <f t="shared" si="766"/>
        <v>SubDepósito</v>
      </c>
      <c r="AE1215" t="str">
        <f t="shared" si="767"/>
        <v>Marca</v>
      </c>
      <c r="AF1215" t="str">
        <f t="shared" si="768"/>
        <v>Super Rubro</v>
      </c>
      <c r="AG1215" t="str">
        <f t="shared" si="769"/>
        <v>ComercioExterior</v>
      </c>
      <c r="AH1215" t="str">
        <f t="shared" si="770"/>
        <v>PrecioFOB</v>
      </c>
      <c r="AI1215" t="str">
        <f t="shared" si="771"/>
        <v>Monto II</v>
      </c>
      <c r="AJ1215" t="str">
        <f t="shared" si="772"/>
        <v>Porcentaje II</v>
      </c>
      <c r="AK1215" t="str">
        <f t="shared" si="773"/>
        <v>Foto</v>
      </c>
      <c r="AL1215" t="str">
        <f t="shared" si="793"/>
        <v xml:space="preserve"> </v>
      </c>
      <c r="AM1215" t="str">
        <f t="shared" si="787"/>
        <v xml:space="preserve"> </v>
      </c>
    </row>
    <row r="1216" spans="1:39" x14ac:dyDescent="0.25">
      <c r="A1216" t="str">
        <f>"BI538 30"</f>
        <v>BI538 30</v>
      </c>
      <c r="B1216" t="str">
        <f>"COJINETES BIELA 0,75 HONDA 1600 MOTOR D16A1 D16A6 D16Y7 D16Y8"</f>
        <v>COJINETES BIELA 0,75 HONDA 1600 MOTOR D16A1 D16A6 D16Y7 D16Y8</v>
      </c>
      <c r="C1216" t="str">
        <f>"$ 14224,88"</f>
        <v>$ 14224,88</v>
      </c>
      <c r="D1216" t="str">
        <f>"$ 14224,88"</f>
        <v>$ 14224,88</v>
      </c>
      <c r="E1216" t="str">
        <f>"$ 14224,88"</f>
        <v>$ 14224,88</v>
      </c>
      <c r="F1216" t="str">
        <f>"$ 14224,88"</f>
        <v>$ 14224,88</v>
      </c>
      <c r="G1216" t="str">
        <f>"$ 14224,88"</f>
        <v>$ 14224,88</v>
      </c>
      <c r="H1216" t="str">
        <f t="shared" si="756"/>
        <v>$ 0,00</v>
      </c>
      <c r="I1216" t="str">
        <f t="shared" si="794"/>
        <v>JUEGO COJINETES BIELA</v>
      </c>
      <c r="J1216" t="str">
        <f t="shared" si="757"/>
        <v>1</v>
      </c>
      <c r="K1216" t="str">
        <f t="shared" si="781"/>
        <v>0</v>
      </c>
      <c r="L1216" t="str">
        <f>"0,000"</f>
        <v>0,000</v>
      </c>
      <c r="M1216" t="str">
        <f t="shared" si="758"/>
        <v xml:space="preserve"> </v>
      </c>
      <c r="N1216" t="str">
        <f t="shared" si="788"/>
        <v>MPSI</v>
      </c>
      <c r="O1216" t="str">
        <f t="shared" si="789"/>
        <v>COJINETES</v>
      </c>
      <c r="P1216" t="str">
        <f t="shared" si="791"/>
        <v>0</v>
      </c>
      <c r="Q1216" t="str">
        <f t="shared" si="791"/>
        <v>0</v>
      </c>
      <c r="R1216" t="str">
        <f t="shared" si="792"/>
        <v>0,00</v>
      </c>
      <c r="S1216" t="str">
        <f t="shared" si="792"/>
        <v>0,00</v>
      </c>
      <c r="T1216" t="str">
        <f t="shared" si="780"/>
        <v xml:space="preserve"> </v>
      </c>
      <c r="U1216" t="str">
        <f t="shared" si="786"/>
        <v>-</v>
      </c>
      <c r="V1216" t="str">
        <f>"0,000"</f>
        <v>0,000</v>
      </c>
      <c r="W1216" t="str">
        <f t="shared" si="759"/>
        <v>Lista 4</v>
      </c>
      <c r="X1216" t="str">
        <f t="shared" si="760"/>
        <v>Lista 5</v>
      </c>
      <c r="Y1216" t="str">
        <f t="shared" si="761"/>
        <v>Oferta Gral.</v>
      </c>
      <c r="Z1216" t="str">
        <f t="shared" si="762"/>
        <v>Rubro</v>
      </c>
      <c r="AA1216" t="str">
        <f t="shared" si="763"/>
        <v>Cantidad por Bulto</v>
      </c>
      <c r="AB1216" t="str">
        <f t="shared" si="764"/>
        <v>INNER</v>
      </c>
      <c r="AC1216" t="str">
        <f t="shared" si="765"/>
        <v>Stock en Bultos</v>
      </c>
      <c r="AD1216" t="str">
        <f t="shared" si="766"/>
        <v>SubDepósito</v>
      </c>
      <c r="AE1216" t="str">
        <f t="shared" si="767"/>
        <v>Marca</v>
      </c>
      <c r="AF1216" t="str">
        <f t="shared" si="768"/>
        <v>Super Rubro</v>
      </c>
      <c r="AG1216" t="str">
        <f t="shared" si="769"/>
        <v>ComercioExterior</v>
      </c>
      <c r="AH1216" t="str">
        <f t="shared" si="770"/>
        <v>PrecioFOB</v>
      </c>
      <c r="AI1216" t="str">
        <f t="shared" si="771"/>
        <v>Monto II</v>
      </c>
      <c r="AJ1216" t="str">
        <f t="shared" si="772"/>
        <v>Porcentaje II</v>
      </c>
      <c r="AK1216" t="str">
        <f t="shared" si="773"/>
        <v>Foto</v>
      </c>
      <c r="AL1216" t="str">
        <f t="shared" si="793"/>
        <v xml:space="preserve"> </v>
      </c>
      <c r="AM1216" t="str">
        <f t="shared" si="787"/>
        <v xml:space="preserve"> </v>
      </c>
    </row>
    <row r="1217" spans="1:39" x14ac:dyDescent="0.25">
      <c r="A1217" t="str">
        <f>"BI235 30"</f>
        <v>BI235 30</v>
      </c>
      <c r="B1217" t="str">
        <f>"COJINETES BIELA 0,75 IKA CONTINENTAL"</f>
        <v>COJINETES BIELA 0,75 IKA CONTINENTAL</v>
      </c>
      <c r="C1217" t="str">
        <f>"$ 31694,37"</f>
        <v>$ 31694,37</v>
      </c>
      <c r="D1217" t="str">
        <f>"$ 31694,37"</f>
        <v>$ 31694,37</v>
      </c>
      <c r="E1217" t="str">
        <f>"$ 31694,37"</f>
        <v>$ 31694,37</v>
      </c>
      <c r="F1217" t="str">
        <f>"$ 31694,37"</f>
        <v>$ 31694,37</v>
      </c>
      <c r="G1217" t="str">
        <f>"$ 31694,37"</f>
        <v>$ 31694,37</v>
      </c>
      <c r="H1217" t="str">
        <f t="shared" si="756"/>
        <v>$ 0,00</v>
      </c>
      <c r="I1217" t="str">
        <f t="shared" si="794"/>
        <v>JUEGO COJINETES BIELA</v>
      </c>
      <c r="J1217" t="str">
        <f t="shared" si="757"/>
        <v>1</v>
      </c>
      <c r="K1217" t="str">
        <f t="shared" si="781"/>
        <v>0</v>
      </c>
      <c r="L1217" t="str">
        <f>"0,000"</f>
        <v>0,000</v>
      </c>
      <c r="M1217" t="str">
        <f t="shared" si="758"/>
        <v xml:space="preserve"> </v>
      </c>
      <c r="N1217" t="str">
        <f t="shared" si="788"/>
        <v>MPSI</v>
      </c>
      <c r="O1217" t="str">
        <f t="shared" si="789"/>
        <v>COJINETES</v>
      </c>
      <c r="P1217" t="str">
        <f t="shared" si="791"/>
        <v>0</v>
      </c>
      <c r="Q1217" t="str">
        <f t="shared" si="791"/>
        <v>0</v>
      </c>
      <c r="R1217" t="str">
        <f t="shared" si="792"/>
        <v>0,00</v>
      </c>
      <c r="S1217" t="str">
        <f t="shared" si="792"/>
        <v>0,00</v>
      </c>
      <c r="T1217" t="str">
        <f t="shared" si="780"/>
        <v xml:space="preserve"> </v>
      </c>
      <c r="U1217" t="str">
        <f t="shared" si="786"/>
        <v>-</v>
      </c>
      <c r="V1217" t="str">
        <f>"0,000"</f>
        <v>0,000</v>
      </c>
      <c r="W1217" t="str">
        <f t="shared" si="759"/>
        <v>Lista 4</v>
      </c>
      <c r="X1217" t="str">
        <f t="shared" si="760"/>
        <v>Lista 5</v>
      </c>
      <c r="Y1217" t="str">
        <f t="shared" si="761"/>
        <v>Oferta Gral.</v>
      </c>
      <c r="Z1217" t="str">
        <f t="shared" si="762"/>
        <v>Rubro</v>
      </c>
      <c r="AA1217" t="str">
        <f t="shared" si="763"/>
        <v>Cantidad por Bulto</v>
      </c>
      <c r="AB1217" t="str">
        <f t="shared" si="764"/>
        <v>INNER</v>
      </c>
      <c r="AC1217" t="str">
        <f t="shared" si="765"/>
        <v>Stock en Bultos</v>
      </c>
      <c r="AD1217" t="str">
        <f t="shared" si="766"/>
        <v>SubDepósito</v>
      </c>
      <c r="AE1217" t="str">
        <f t="shared" si="767"/>
        <v>Marca</v>
      </c>
      <c r="AF1217" t="str">
        <f t="shared" si="768"/>
        <v>Super Rubro</v>
      </c>
      <c r="AG1217" t="str">
        <f t="shared" si="769"/>
        <v>ComercioExterior</v>
      </c>
      <c r="AH1217" t="str">
        <f t="shared" si="770"/>
        <v>PrecioFOB</v>
      </c>
      <c r="AI1217" t="str">
        <f t="shared" si="771"/>
        <v>Monto II</v>
      </c>
      <c r="AJ1217" t="str">
        <f t="shared" si="772"/>
        <v>Porcentaje II</v>
      </c>
      <c r="AK1217" t="str">
        <f t="shared" si="773"/>
        <v>Foto</v>
      </c>
      <c r="AL1217" t="str">
        <f t="shared" si="793"/>
        <v xml:space="preserve"> </v>
      </c>
      <c r="AM1217" t="str">
        <f t="shared" si="787"/>
        <v xml:space="preserve"> </v>
      </c>
    </row>
    <row r="1218" spans="1:39" x14ac:dyDescent="0.25">
      <c r="A1218" t="str">
        <f>"BI141 30"</f>
        <v>BI141 30</v>
      </c>
      <c r="B1218" t="str">
        <f>"COJINETES BIELA 0,75 IVECO DAILY 2.5 2.8"</f>
        <v>COJINETES BIELA 0,75 IVECO DAILY 2.5 2.8</v>
      </c>
      <c r="C1218" t="str">
        <f>"$ 27697,62"</f>
        <v>$ 27697,62</v>
      </c>
      <c r="D1218" t="str">
        <f>"$ 27697,62"</f>
        <v>$ 27697,62</v>
      </c>
      <c r="E1218" t="str">
        <f>"$ 27697,62"</f>
        <v>$ 27697,62</v>
      </c>
      <c r="F1218" t="str">
        <f>"$ 27697,62"</f>
        <v>$ 27697,62</v>
      </c>
      <c r="G1218" t="str">
        <f>"$ 27697,62"</f>
        <v>$ 27697,62</v>
      </c>
      <c r="H1218" t="str">
        <f t="shared" si="756"/>
        <v>$ 0,00</v>
      </c>
      <c r="I1218" t="str">
        <f t="shared" si="794"/>
        <v>JUEGO COJINETES BIELA</v>
      </c>
      <c r="J1218" t="str">
        <f t="shared" si="757"/>
        <v>1</v>
      </c>
      <c r="K1218" t="str">
        <f t="shared" si="781"/>
        <v>0</v>
      </c>
      <c r="L1218" t="str">
        <f>"7,000"</f>
        <v>7,000</v>
      </c>
      <c r="M1218" t="str">
        <f t="shared" si="758"/>
        <v xml:space="preserve"> </v>
      </c>
      <c r="N1218" t="str">
        <f t="shared" si="788"/>
        <v>MPSI</v>
      </c>
      <c r="O1218" t="str">
        <f t="shared" si="789"/>
        <v>COJINETES</v>
      </c>
      <c r="P1218" t="str">
        <f t="shared" si="791"/>
        <v>0</v>
      </c>
      <c r="Q1218" t="str">
        <f t="shared" si="791"/>
        <v>0</v>
      </c>
      <c r="R1218" t="str">
        <f t="shared" si="792"/>
        <v>0,00</v>
      </c>
      <c r="S1218" t="str">
        <f t="shared" si="792"/>
        <v>0,00</v>
      </c>
      <c r="T1218" t="str">
        <f t="shared" si="780"/>
        <v xml:space="preserve"> </v>
      </c>
      <c r="U1218" t="str">
        <f t="shared" si="786"/>
        <v>-</v>
      </c>
      <c r="V1218" t="str">
        <f>"7,000"</f>
        <v>7,000</v>
      </c>
      <c r="W1218" t="str">
        <f t="shared" si="759"/>
        <v>Lista 4</v>
      </c>
      <c r="X1218" t="str">
        <f t="shared" si="760"/>
        <v>Lista 5</v>
      </c>
      <c r="Y1218" t="str">
        <f t="shared" si="761"/>
        <v>Oferta Gral.</v>
      </c>
      <c r="Z1218" t="str">
        <f t="shared" si="762"/>
        <v>Rubro</v>
      </c>
      <c r="AA1218" t="str">
        <f t="shared" si="763"/>
        <v>Cantidad por Bulto</v>
      </c>
      <c r="AB1218" t="str">
        <f t="shared" si="764"/>
        <v>INNER</v>
      </c>
      <c r="AC1218" t="str">
        <f t="shared" si="765"/>
        <v>Stock en Bultos</v>
      </c>
      <c r="AD1218" t="str">
        <f t="shared" si="766"/>
        <v>SubDepósito</v>
      </c>
      <c r="AE1218" t="str">
        <f t="shared" si="767"/>
        <v>Marca</v>
      </c>
      <c r="AF1218" t="str">
        <f t="shared" si="768"/>
        <v>Super Rubro</v>
      </c>
      <c r="AG1218" t="str">
        <f t="shared" si="769"/>
        <v>ComercioExterior</v>
      </c>
      <c r="AH1218" t="str">
        <f t="shared" si="770"/>
        <v>PrecioFOB</v>
      </c>
      <c r="AI1218" t="str">
        <f t="shared" si="771"/>
        <v>Monto II</v>
      </c>
      <c r="AJ1218" t="str">
        <f t="shared" si="772"/>
        <v>Porcentaje II</v>
      </c>
      <c r="AK1218" t="str">
        <f t="shared" si="773"/>
        <v>Foto</v>
      </c>
      <c r="AL1218" t="str">
        <f t="shared" si="793"/>
        <v xml:space="preserve"> </v>
      </c>
      <c r="AM1218" t="str">
        <f t="shared" si="787"/>
        <v xml:space="preserve"> </v>
      </c>
    </row>
    <row r="1219" spans="1:39" x14ac:dyDescent="0.25">
      <c r="A1219" t="str">
        <f>"BI844 30"</f>
        <v>BI844 30</v>
      </c>
      <c r="B1219" t="str">
        <f>"COJINETES BIELA 0,75 MAXION 2.5 SPRINTER FORD F100 CHEVROLET S10"</f>
        <v>COJINETES BIELA 0,75 MAXION 2.5 SPRINTER FORD F100 CHEVROLET S10</v>
      </c>
      <c r="C1219" t="str">
        <f>"$ 25664,92"</f>
        <v>$ 25664,92</v>
      </c>
      <c r="D1219" t="str">
        <f>"$ 25664,92"</f>
        <v>$ 25664,92</v>
      </c>
      <c r="E1219" t="str">
        <f>"$ 25664,92"</f>
        <v>$ 25664,92</v>
      </c>
      <c r="F1219" t="str">
        <f>"$ 25664,92"</f>
        <v>$ 25664,92</v>
      </c>
      <c r="G1219" t="str">
        <f>"$ 25664,92"</f>
        <v>$ 25664,92</v>
      </c>
      <c r="H1219" t="str">
        <f t="shared" ref="H1219:H1282" si="795">"$ 0,00"</f>
        <v>$ 0,00</v>
      </c>
      <c r="I1219" t="str">
        <f t="shared" si="794"/>
        <v>JUEGO COJINETES BIELA</v>
      </c>
      <c r="J1219" t="str">
        <f t="shared" ref="J1219:J1282" si="796">"1"</f>
        <v>1</v>
      </c>
      <c r="K1219" t="str">
        <f t="shared" si="781"/>
        <v>0</v>
      </c>
      <c r="L1219" t="str">
        <f>"7,000"</f>
        <v>7,000</v>
      </c>
      <c r="M1219" t="str">
        <f t="shared" ref="M1219:M1282" si="797">" "</f>
        <v xml:space="preserve"> </v>
      </c>
      <c r="N1219" t="str">
        <f t="shared" si="788"/>
        <v>MPSI</v>
      </c>
      <c r="O1219" t="str">
        <f t="shared" si="789"/>
        <v>COJINETES</v>
      </c>
      <c r="P1219" t="str">
        <f t="shared" si="791"/>
        <v>0</v>
      </c>
      <c r="Q1219" t="str">
        <f t="shared" si="791"/>
        <v>0</v>
      </c>
      <c r="R1219" t="str">
        <f t="shared" si="792"/>
        <v>0,00</v>
      </c>
      <c r="S1219" t="str">
        <f t="shared" si="792"/>
        <v>0,00</v>
      </c>
      <c r="T1219" t="str">
        <f t="shared" si="780"/>
        <v xml:space="preserve"> </v>
      </c>
      <c r="U1219" t="str">
        <f t="shared" ref="U1219:U1243" si="798">"-"</f>
        <v>-</v>
      </c>
      <c r="V1219" t="str">
        <f>"7,000"</f>
        <v>7,000</v>
      </c>
      <c r="W1219" t="str">
        <f t="shared" ref="W1219:W1282" si="799">"Lista 4"</f>
        <v>Lista 4</v>
      </c>
      <c r="X1219" t="str">
        <f t="shared" ref="X1219:X1282" si="800">"Lista 5"</f>
        <v>Lista 5</v>
      </c>
      <c r="Y1219" t="str">
        <f t="shared" ref="Y1219:Y1282" si="801">"Oferta Gral."</f>
        <v>Oferta Gral.</v>
      </c>
      <c r="Z1219" t="str">
        <f t="shared" ref="Z1219:Z1282" si="802">"Rubro"</f>
        <v>Rubro</v>
      </c>
      <c r="AA1219" t="str">
        <f t="shared" ref="AA1219:AA1282" si="803">"Cantidad por Bulto"</f>
        <v>Cantidad por Bulto</v>
      </c>
      <c r="AB1219" t="str">
        <f t="shared" ref="AB1219:AB1282" si="804">"INNER"</f>
        <v>INNER</v>
      </c>
      <c r="AC1219" t="str">
        <f t="shared" ref="AC1219:AC1282" si="805">"Stock en Bultos"</f>
        <v>Stock en Bultos</v>
      </c>
      <c r="AD1219" t="str">
        <f t="shared" ref="AD1219:AD1282" si="806">"SubDepósito"</f>
        <v>SubDepósito</v>
      </c>
      <c r="AE1219" t="str">
        <f t="shared" ref="AE1219:AE1282" si="807">"Marca"</f>
        <v>Marca</v>
      </c>
      <c r="AF1219" t="str">
        <f t="shared" ref="AF1219:AF1282" si="808">"Super Rubro"</f>
        <v>Super Rubro</v>
      </c>
      <c r="AG1219" t="str">
        <f t="shared" ref="AG1219:AG1282" si="809">"ComercioExterior"</f>
        <v>ComercioExterior</v>
      </c>
      <c r="AH1219" t="str">
        <f t="shared" ref="AH1219:AH1282" si="810">"PrecioFOB"</f>
        <v>PrecioFOB</v>
      </c>
      <c r="AI1219" t="str">
        <f t="shared" ref="AI1219:AI1282" si="811">"Monto II"</f>
        <v>Monto II</v>
      </c>
      <c r="AJ1219" t="str">
        <f t="shared" ref="AJ1219:AJ1282" si="812">"Porcentaje II"</f>
        <v>Porcentaje II</v>
      </c>
      <c r="AK1219" t="str">
        <f t="shared" ref="AK1219:AK1282" si="813">"Foto"</f>
        <v>Foto</v>
      </c>
      <c r="AL1219" t="str">
        <f t="shared" si="793"/>
        <v xml:space="preserve"> </v>
      </c>
      <c r="AM1219" t="str">
        <f t="shared" si="787"/>
        <v xml:space="preserve"> </v>
      </c>
    </row>
    <row r="1220" spans="1:39" x14ac:dyDescent="0.25">
      <c r="A1220" t="str">
        <f>"BI556 30"</f>
        <v>BI556 30</v>
      </c>
      <c r="B1220" t="str">
        <f>"COJINETES BIELA 0,75 MERCEDES SPRINTER OM611"</f>
        <v>COJINETES BIELA 0,75 MERCEDES SPRINTER OM611</v>
      </c>
      <c r="C1220" t="str">
        <f>"$ 24492,90"</f>
        <v>$ 24492,90</v>
      </c>
      <c r="D1220" t="str">
        <f>"$ 24492,90"</f>
        <v>$ 24492,90</v>
      </c>
      <c r="E1220" t="str">
        <f>"$ 24492,90"</f>
        <v>$ 24492,90</v>
      </c>
      <c r="F1220" t="str">
        <f>"$ 24492,90"</f>
        <v>$ 24492,90</v>
      </c>
      <c r="G1220" t="str">
        <f>"$ 24492,90"</f>
        <v>$ 24492,90</v>
      </c>
      <c r="H1220" t="str">
        <f t="shared" si="795"/>
        <v>$ 0,00</v>
      </c>
      <c r="I1220" t="str">
        <f t="shared" si="794"/>
        <v>JUEGO COJINETES BIELA</v>
      </c>
      <c r="J1220" t="str">
        <f t="shared" si="796"/>
        <v>1</v>
      </c>
      <c r="K1220" t="str">
        <f t="shared" si="781"/>
        <v>0</v>
      </c>
      <c r="L1220" t="str">
        <f>"4,000"</f>
        <v>4,000</v>
      </c>
      <c r="M1220" t="str">
        <f t="shared" si="797"/>
        <v xml:space="preserve"> </v>
      </c>
      <c r="N1220" t="str">
        <f t="shared" si="788"/>
        <v>MPSI</v>
      </c>
      <c r="O1220" t="str">
        <f t="shared" si="789"/>
        <v>COJINETES</v>
      </c>
      <c r="P1220" t="str">
        <f t="shared" si="791"/>
        <v>0</v>
      </c>
      <c r="Q1220" t="str">
        <f t="shared" si="791"/>
        <v>0</v>
      </c>
      <c r="R1220" t="str">
        <f t="shared" si="792"/>
        <v>0,00</v>
      </c>
      <c r="S1220" t="str">
        <f t="shared" si="792"/>
        <v>0,00</v>
      </c>
      <c r="T1220" t="str">
        <f t="shared" si="780"/>
        <v xml:space="preserve"> </v>
      </c>
      <c r="U1220" t="str">
        <f t="shared" si="798"/>
        <v>-</v>
      </c>
      <c r="V1220" t="str">
        <f>"4,000"</f>
        <v>4,000</v>
      </c>
      <c r="W1220" t="str">
        <f t="shared" si="799"/>
        <v>Lista 4</v>
      </c>
      <c r="X1220" t="str">
        <f t="shared" si="800"/>
        <v>Lista 5</v>
      </c>
      <c r="Y1220" t="str">
        <f t="shared" si="801"/>
        <v>Oferta Gral.</v>
      </c>
      <c r="Z1220" t="str">
        <f t="shared" si="802"/>
        <v>Rubro</v>
      </c>
      <c r="AA1220" t="str">
        <f t="shared" si="803"/>
        <v>Cantidad por Bulto</v>
      </c>
      <c r="AB1220" t="str">
        <f t="shared" si="804"/>
        <v>INNER</v>
      </c>
      <c r="AC1220" t="str">
        <f t="shared" si="805"/>
        <v>Stock en Bultos</v>
      </c>
      <c r="AD1220" t="str">
        <f t="shared" si="806"/>
        <v>SubDepósito</v>
      </c>
      <c r="AE1220" t="str">
        <f t="shared" si="807"/>
        <v>Marca</v>
      </c>
      <c r="AF1220" t="str">
        <f t="shared" si="808"/>
        <v>Super Rubro</v>
      </c>
      <c r="AG1220" t="str">
        <f t="shared" si="809"/>
        <v>ComercioExterior</v>
      </c>
      <c r="AH1220" t="str">
        <f t="shared" si="810"/>
        <v>PrecioFOB</v>
      </c>
      <c r="AI1220" t="str">
        <f t="shared" si="811"/>
        <v>Monto II</v>
      </c>
      <c r="AJ1220" t="str">
        <f t="shared" si="812"/>
        <v>Porcentaje II</v>
      </c>
      <c r="AK1220" t="str">
        <f t="shared" si="813"/>
        <v>Foto</v>
      </c>
      <c r="AL1220" t="str">
        <f t="shared" si="793"/>
        <v xml:space="preserve"> </v>
      </c>
      <c r="AM1220" t="str">
        <f t="shared" ref="AM1220:AM1243" si="814">" "</f>
        <v xml:space="preserve"> </v>
      </c>
    </row>
    <row r="1221" spans="1:39" x14ac:dyDescent="0.25">
      <c r="A1221" t="str">
        <f>"BI388 30"</f>
        <v>BI388 30</v>
      </c>
      <c r="B1221" t="str">
        <f>"COJINETES BIELA 0,75 PERKINS 6-305"</f>
        <v>COJINETES BIELA 0,75 PERKINS 6-305</v>
      </c>
      <c r="C1221" t="str">
        <f>"$ 28656,13"</f>
        <v>$ 28656,13</v>
      </c>
      <c r="D1221" t="str">
        <f>"$ 28656,13"</f>
        <v>$ 28656,13</v>
      </c>
      <c r="E1221" t="str">
        <f>"$ 28656,13"</f>
        <v>$ 28656,13</v>
      </c>
      <c r="F1221" t="str">
        <f>"$ 28656,13"</f>
        <v>$ 28656,13</v>
      </c>
      <c r="G1221" t="str">
        <f>"$ 28656,13"</f>
        <v>$ 28656,13</v>
      </c>
      <c r="H1221" t="str">
        <f t="shared" si="795"/>
        <v>$ 0,00</v>
      </c>
      <c r="I1221" t="str">
        <f t="shared" si="794"/>
        <v>JUEGO COJINETES BIELA</v>
      </c>
      <c r="J1221" t="str">
        <f t="shared" si="796"/>
        <v>1</v>
      </c>
      <c r="K1221" t="str">
        <f t="shared" si="781"/>
        <v>0</v>
      </c>
      <c r="L1221" t="str">
        <f>"7,000"</f>
        <v>7,000</v>
      </c>
      <c r="M1221" t="str">
        <f t="shared" si="797"/>
        <v xml:space="preserve"> </v>
      </c>
      <c r="N1221" t="str">
        <f t="shared" si="788"/>
        <v>MPSI</v>
      </c>
      <c r="O1221" t="str">
        <f t="shared" si="789"/>
        <v>COJINETES</v>
      </c>
      <c r="P1221" t="str">
        <f t="shared" si="791"/>
        <v>0</v>
      </c>
      <c r="Q1221" t="str">
        <f t="shared" si="791"/>
        <v>0</v>
      </c>
      <c r="R1221" t="str">
        <f t="shared" si="792"/>
        <v>0,00</v>
      </c>
      <c r="S1221" t="str">
        <f t="shared" si="792"/>
        <v>0,00</v>
      </c>
      <c r="T1221" t="str">
        <f t="shared" si="780"/>
        <v xml:space="preserve"> </v>
      </c>
      <c r="U1221" t="str">
        <f t="shared" si="798"/>
        <v>-</v>
      </c>
      <c r="V1221" t="str">
        <f>"7,000"</f>
        <v>7,000</v>
      </c>
      <c r="W1221" t="str">
        <f t="shared" si="799"/>
        <v>Lista 4</v>
      </c>
      <c r="X1221" t="str">
        <f t="shared" si="800"/>
        <v>Lista 5</v>
      </c>
      <c r="Y1221" t="str">
        <f t="shared" si="801"/>
        <v>Oferta Gral.</v>
      </c>
      <c r="Z1221" t="str">
        <f t="shared" si="802"/>
        <v>Rubro</v>
      </c>
      <c r="AA1221" t="str">
        <f t="shared" si="803"/>
        <v>Cantidad por Bulto</v>
      </c>
      <c r="AB1221" t="str">
        <f t="shared" si="804"/>
        <v>INNER</v>
      </c>
      <c r="AC1221" t="str">
        <f t="shared" si="805"/>
        <v>Stock en Bultos</v>
      </c>
      <c r="AD1221" t="str">
        <f t="shared" si="806"/>
        <v>SubDepósito</v>
      </c>
      <c r="AE1221" t="str">
        <f t="shared" si="807"/>
        <v>Marca</v>
      </c>
      <c r="AF1221" t="str">
        <f t="shared" si="808"/>
        <v>Super Rubro</v>
      </c>
      <c r="AG1221" t="str">
        <f t="shared" si="809"/>
        <v>ComercioExterior</v>
      </c>
      <c r="AH1221" t="str">
        <f t="shared" si="810"/>
        <v>PrecioFOB</v>
      </c>
      <c r="AI1221" t="str">
        <f t="shared" si="811"/>
        <v>Monto II</v>
      </c>
      <c r="AJ1221" t="str">
        <f t="shared" si="812"/>
        <v>Porcentaje II</v>
      </c>
      <c r="AK1221" t="str">
        <f t="shared" si="813"/>
        <v>Foto</v>
      </c>
      <c r="AL1221" t="str">
        <f>"{\rtf1\ansi\ansicpg1252\deff0\deflang2058{\fonttbl{\f0\fnil\fcharset0 MS Sans Serif}} \viewkind4\uc1\pard\f0\fs16 COJINETES BIELA 0,75 PERKINS 6-305\par } "</f>
        <v xml:space="preserve">{\rtf1\ansi\ansicpg1252\deff0\deflang2058{\fonttbl{\f0\fnil\fcharset0 MS Sans Serif}} \viewkind4\uc1\pard\f0\fs16 COJINETES BIELA 0,75 PERKINS 6-305\par } </v>
      </c>
      <c r="AM1221" t="str">
        <f t="shared" si="814"/>
        <v xml:space="preserve"> </v>
      </c>
    </row>
    <row r="1222" spans="1:39" x14ac:dyDescent="0.25">
      <c r="A1222" t="str">
        <f>"BI392 30"</f>
        <v>BI392 30</v>
      </c>
      <c r="B1222" t="str">
        <f>"COJINETES BIELA 0,75 PERKINS 6-354 FASE 2"</f>
        <v>COJINETES BIELA 0,75 PERKINS 6-354 FASE 2</v>
      </c>
      <c r="C1222" t="str">
        <f>"$ 32804,16"</f>
        <v>$ 32804,16</v>
      </c>
      <c r="D1222" t="str">
        <f>"$ 32804,16"</f>
        <v>$ 32804,16</v>
      </c>
      <c r="E1222" t="str">
        <f>"$ 32804,16"</f>
        <v>$ 32804,16</v>
      </c>
      <c r="F1222" t="str">
        <f>"$ 32804,16"</f>
        <v>$ 32804,16</v>
      </c>
      <c r="G1222" t="str">
        <f>"$ 32804,16"</f>
        <v>$ 32804,16</v>
      </c>
      <c r="H1222" t="str">
        <f t="shared" si="795"/>
        <v>$ 0,00</v>
      </c>
      <c r="I1222" t="str">
        <f t="shared" si="794"/>
        <v>JUEGO COJINETES BIELA</v>
      </c>
      <c r="J1222" t="str">
        <f t="shared" si="796"/>
        <v>1</v>
      </c>
      <c r="K1222" t="str">
        <f t="shared" si="781"/>
        <v>0</v>
      </c>
      <c r="L1222" t="str">
        <f>"4,000"</f>
        <v>4,000</v>
      </c>
      <c r="M1222" t="str">
        <f t="shared" si="797"/>
        <v xml:space="preserve"> </v>
      </c>
      <c r="N1222" t="str">
        <f t="shared" si="788"/>
        <v>MPSI</v>
      </c>
      <c r="O1222" t="str">
        <f t="shared" si="789"/>
        <v>COJINETES</v>
      </c>
      <c r="P1222" t="str">
        <f t="shared" si="791"/>
        <v>0</v>
      </c>
      <c r="Q1222" t="str">
        <f t="shared" si="791"/>
        <v>0</v>
      </c>
      <c r="R1222" t="str">
        <f t="shared" si="792"/>
        <v>0,00</v>
      </c>
      <c r="S1222" t="str">
        <f t="shared" si="792"/>
        <v>0,00</v>
      </c>
      <c r="T1222" t="str">
        <f t="shared" si="780"/>
        <v xml:space="preserve"> </v>
      </c>
      <c r="U1222" t="str">
        <f t="shared" si="798"/>
        <v>-</v>
      </c>
      <c r="V1222" t="str">
        <f>"4,000"</f>
        <v>4,000</v>
      </c>
      <c r="W1222" t="str">
        <f t="shared" si="799"/>
        <v>Lista 4</v>
      </c>
      <c r="X1222" t="str">
        <f t="shared" si="800"/>
        <v>Lista 5</v>
      </c>
      <c r="Y1222" t="str">
        <f t="shared" si="801"/>
        <v>Oferta Gral.</v>
      </c>
      <c r="Z1222" t="str">
        <f t="shared" si="802"/>
        <v>Rubro</v>
      </c>
      <c r="AA1222" t="str">
        <f t="shared" si="803"/>
        <v>Cantidad por Bulto</v>
      </c>
      <c r="AB1222" t="str">
        <f t="shared" si="804"/>
        <v>INNER</v>
      </c>
      <c r="AC1222" t="str">
        <f t="shared" si="805"/>
        <v>Stock en Bultos</v>
      </c>
      <c r="AD1222" t="str">
        <f t="shared" si="806"/>
        <v>SubDepósito</v>
      </c>
      <c r="AE1222" t="str">
        <f t="shared" si="807"/>
        <v>Marca</v>
      </c>
      <c r="AF1222" t="str">
        <f t="shared" si="808"/>
        <v>Super Rubro</v>
      </c>
      <c r="AG1222" t="str">
        <f t="shared" si="809"/>
        <v>ComercioExterior</v>
      </c>
      <c r="AH1222" t="str">
        <f t="shared" si="810"/>
        <v>PrecioFOB</v>
      </c>
      <c r="AI1222" t="str">
        <f t="shared" si="811"/>
        <v>Monto II</v>
      </c>
      <c r="AJ1222" t="str">
        <f t="shared" si="812"/>
        <v>Porcentaje II</v>
      </c>
      <c r="AK1222" t="str">
        <f t="shared" si="813"/>
        <v>Foto</v>
      </c>
      <c r="AL1222" t="str">
        <f t="shared" ref="AL1222:AL1227" si="815">" "</f>
        <v xml:space="preserve"> </v>
      </c>
      <c r="AM1222" t="str">
        <f t="shared" si="814"/>
        <v xml:space="preserve"> </v>
      </c>
    </row>
    <row r="1223" spans="1:39" x14ac:dyDescent="0.25">
      <c r="A1223" t="str">
        <f>"BI364035 30"</f>
        <v>BI364035 30</v>
      </c>
      <c r="B1223" t="str">
        <f>"COJINETES BIELA 0,75 PEUGEOT CITROEN 1.6 16V TURBO THP"</f>
        <v>COJINETES BIELA 0,75 PEUGEOT CITROEN 1.6 16V TURBO THP</v>
      </c>
      <c r="C1223" t="str">
        <f>"$ 13512,64"</f>
        <v>$ 13512,64</v>
      </c>
      <c r="D1223" t="str">
        <f>"$ 13512,64"</f>
        <v>$ 13512,64</v>
      </c>
      <c r="E1223" t="str">
        <f>"$ 13512,64"</f>
        <v>$ 13512,64</v>
      </c>
      <c r="F1223" t="str">
        <f>"$ 13512,64"</f>
        <v>$ 13512,64</v>
      </c>
      <c r="G1223" t="str">
        <f>"$ 13512,64"</f>
        <v>$ 13512,64</v>
      </c>
      <c r="H1223" t="str">
        <f t="shared" si="795"/>
        <v>$ 0,00</v>
      </c>
      <c r="I1223" t="str">
        <f t="shared" si="794"/>
        <v>JUEGO COJINETES BIELA</v>
      </c>
      <c r="J1223" t="str">
        <f t="shared" si="796"/>
        <v>1</v>
      </c>
      <c r="K1223" t="str">
        <f t="shared" si="781"/>
        <v>0</v>
      </c>
      <c r="L1223" t="str">
        <f>"0,000"</f>
        <v>0,000</v>
      </c>
      <c r="M1223" t="str">
        <f t="shared" si="797"/>
        <v xml:space="preserve"> </v>
      </c>
      <c r="N1223" t="str">
        <f t="shared" si="788"/>
        <v>MPSI</v>
      </c>
      <c r="O1223" t="str">
        <f t="shared" si="789"/>
        <v>COJINETES</v>
      </c>
      <c r="P1223" t="str">
        <f t="shared" ref="P1223:Q1242" si="816">"0"</f>
        <v>0</v>
      </c>
      <c r="Q1223" t="str">
        <f t="shared" si="816"/>
        <v>0</v>
      </c>
      <c r="R1223" t="str">
        <f t="shared" ref="R1223:S1242" si="817">"0,00"</f>
        <v>0,00</v>
      </c>
      <c r="S1223" t="str">
        <f t="shared" si="817"/>
        <v>0,00</v>
      </c>
      <c r="T1223" t="str">
        <f t="shared" si="780"/>
        <v xml:space="preserve"> </v>
      </c>
      <c r="U1223" t="str">
        <f t="shared" si="798"/>
        <v>-</v>
      </c>
      <c r="V1223" t="str">
        <f>"0,000"</f>
        <v>0,000</v>
      </c>
      <c r="W1223" t="str">
        <f t="shared" si="799"/>
        <v>Lista 4</v>
      </c>
      <c r="X1223" t="str">
        <f t="shared" si="800"/>
        <v>Lista 5</v>
      </c>
      <c r="Y1223" t="str">
        <f t="shared" si="801"/>
        <v>Oferta Gral.</v>
      </c>
      <c r="Z1223" t="str">
        <f t="shared" si="802"/>
        <v>Rubro</v>
      </c>
      <c r="AA1223" t="str">
        <f t="shared" si="803"/>
        <v>Cantidad por Bulto</v>
      </c>
      <c r="AB1223" t="str">
        <f t="shared" si="804"/>
        <v>INNER</v>
      </c>
      <c r="AC1223" t="str">
        <f t="shared" si="805"/>
        <v>Stock en Bultos</v>
      </c>
      <c r="AD1223" t="str">
        <f t="shared" si="806"/>
        <v>SubDepósito</v>
      </c>
      <c r="AE1223" t="str">
        <f t="shared" si="807"/>
        <v>Marca</v>
      </c>
      <c r="AF1223" t="str">
        <f t="shared" si="808"/>
        <v>Super Rubro</v>
      </c>
      <c r="AG1223" t="str">
        <f t="shared" si="809"/>
        <v>ComercioExterior</v>
      </c>
      <c r="AH1223" t="str">
        <f t="shared" si="810"/>
        <v>PrecioFOB</v>
      </c>
      <c r="AI1223" t="str">
        <f t="shared" si="811"/>
        <v>Monto II</v>
      </c>
      <c r="AJ1223" t="str">
        <f t="shared" si="812"/>
        <v>Porcentaje II</v>
      </c>
      <c r="AK1223" t="str">
        <f t="shared" si="813"/>
        <v>Foto</v>
      </c>
      <c r="AL1223" t="str">
        <f t="shared" si="815"/>
        <v xml:space="preserve"> </v>
      </c>
      <c r="AM1223" t="str">
        <f t="shared" si="814"/>
        <v xml:space="preserve"> </v>
      </c>
    </row>
    <row r="1224" spans="1:39" x14ac:dyDescent="0.25">
      <c r="A1224" t="str">
        <f>"BI241 30"</f>
        <v>BI241 30</v>
      </c>
      <c r="B1224" t="str">
        <f>"COJINETES BIELA 0,75 RENAULT 18 FUEGO TRAFIC 2.0"</f>
        <v>COJINETES BIELA 0,75 RENAULT 18 FUEGO TRAFIC 2.0</v>
      </c>
      <c r="C1224" t="str">
        <f>"$ 16519,85"</f>
        <v>$ 16519,85</v>
      </c>
      <c r="D1224" t="str">
        <f>"$ 16519,85"</f>
        <v>$ 16519,85</v>
      </c>
      <c r="E1224" t="str">
        <f>"$ 16519,85"</f>
        <v>$ 16519,85</v>
      </c>
      <c r="F1224" t="str">
        <f>"$ 16519,85"</f>
        <v>$ 16519,85</v>
      </c>
      <c r="G1224" t="str">
        <f>"$ 16519,85"</f>
        <v>$ 16519,85</v>
      </c>
      <c r="H1224" t="str">
        <f t="shared" si="795"/>
        <v>$ 0,00</v>
      </c>
      <c r="I1224" t="str">
        <f t="shared" si="794"/>
        <v>JUEGO COJINETES BIELA</v>
      </c>
      <c r="J1224" t="str">
        <f t="shared" si="796"/>
        <v>1</v>
      </c>
      <c r="K1224" t="str">
        <f t="shared" si="781"/>
        <v>0</v>
      </c>
      <c r="L1224" t="str">
        <f>"8,000"</f>
        <v>8,000</v>
      </c>
      <c r="M1224" t="str">
        <f t="shared" si="797"/>
        <v xml:space="preserve"> </v>
      </c>
      <c r="N1224" t="str">
        <f t="shared" si="788"/>
        <v>MPSI</v>
      </c>
      <c r="O1224" t="str">
        <f t="shared" si="789"/>
        <v>COJINETES</v>
      </c>
      <c r="P1224" t="str">
        <f t="shared" si="816"/>
        <v>0</v>
      </c>
      <c r="Q1224" t="str">
        <f t="shared" si="816"/>
        <v>0</v>
      </c>
      <c r="R1224" t="str">
        <f t="shared" si="817"/>
        <v>0,00</v>
      </c>
      <c r="S1224" t="str">
        <f t="shared" si="817"/>
        <v>0,00</v>
      </c>
      <c r="T1224" t="str">
        <f t="shared" si="780"/>
        <v xml:space="preserve"> </v>
      </c>
      <c r="U1224" t="str">
        <f t="shared" si="798"/>
        <v>-</v>
      </c>
      <c r="V1224" t="str">
        <f>"8,000"</f>
        <v>8,000</v>
      </c>
      <c r="W1224" t="str">
        <f t="shared" si="799"/>
        <v>Lista 4</v>
      </c>
      <c r="X1224" t="str">
        <f t="shared" si="800"/>
        <v>Lista 5</v>
      </c>
      <c r="Y1224" t="str">
        <f t="shared" si="801"/>
        <v>Oferta Gral.</v>
      </c>
      <c r="Z1224" t="str">
        <f t="shared" si="802"/>
        <v>Rubro</v>
      </c>
      <c r="AA1224" t="str">
        <f t="shared" si="803"/>
        <v>Cantidad por Bulto</v>
      </c>
      <c r="AB1224" t="str">
        <f t="shared" si="804"/>
        <v>INNER</v>
      </c>
      <c r="AC1224" t="str">
        <f t="shared" si="805"/>
        <v>Stock en Bultos</v>
      </c>
      <c r="AD1224" t="str">
        <f t="shared" si="806"/>
        <v>SubDepósito</v>
      </c>
      <c r="AE1224" t="str">
        <f t="shared" si="807"/>
        <v>Marca</v>
      </c>
      <c r="AF1224" t="str">
        <f t="shared" si="808"/>
        <v>Super Rubro</v>
      </c>
      <c r="AG1224" t="str">
        <f t="shared" si="809"/>
        <v>ComercioExterior</v>
      </c>
      <c r="AH1224" t="str">
        <f t="shared" si="810"/>
        <v>PrecioFOB</v>
      </c>
      <c r="AI1224" t="str">
        <f t="shared" si="811"/>
        <v>Monto II</v>
      </c>
      <c r="AJ1224" t="str">
        <f t="shared" si="812"/>
        <v>Porcentaje II</v>
      </c>
      <c r="AK1224" t="str">
        <f t="shared" si="813"/>
        <v>Foto</v>
      </c>
      <c r="AL1224" t="str">
        <f t="shared" si="815"/>
        <v xml:space="preserve"> </v>
      </c>
      <c r="AM1224" t="str">
        <f t="shared" si="814"/>
        <v xml:space="preserve"> </v>
      </c>
    </row>
    <row r="1225" spans="1:39" x14ac:dyDescent="0.25">
      <c r="A1225" t="str">
        <f>"BI244 30"</f>
        <v>BI244 30</v>
      </c>
      <c r="B1225" t="str">
        <f>"COJINETES BIELA 0,75 RENAULT 18 FUEGO TRAFIC 2.D NAFTA Y DIESEL"</f>
        <v>COJINETES BIELA 0,75 RENAULT 18 FUEGO TRAFIC 2.D NAFTA Y DIESEL</v>
      </c>
      <c r="C1225" t="str">
        <f>"$ 18043,24"</f>
        <v>$ 18043,24</v>
      </c>
      <c r="D1225" t="str">
        <f>"$ 18043,24"</f>
        <v>$ 18043,24</v>
      </c>
      <c r="E1225" t="str">
        <f>"$ 18043,24"</f>
        <v>$ 18043,24</v>
      </c>
      <c r="F1225" t="str">
        <f>"$ 18043,24"</f>
        <v>$ 18043,24</v>
      </c>
      <c r="G1225" t="str">
        <f>"$ 18043,24"</f>
        <v>$ 18043,24</v>
      </c>
      <c r="H1225" t="str">
        <f t="shared" si="795"/>
        <v>$ 0,00</v>
      </c>
      <c r="I1225" t="str">
        <f t="shared" si="794"/>
        <v>JUEGO COJINETES BIELA</v>
      </c>
      <c r="J1225" t="str">
        <f t="shared" si="796"/>
        <v>1</v>
      </c>
      <c r="K1225" t="str">
        <f t="shared" si="781"/>
        <v>0</v>
      </c>
      <c r="L1225" t="str">
        <f>"0,000"</f>
        <v>0,000</v>
      </c>
      <c r="M1225" t="str">
        <f t="shared" si="797"/>
        <v xml:space="preserve"> </v>
      </c>
      <c r="N1225" t="str">
        <f t="shared" si="788"/>
        <v>MPSI</v>
      </c>
      <c r="O1225" t="str">
        <f t="shared" si="789"/>
        <v>COJINETES</v>
      </c>
      <c r="P1225" t="str">
        <f t="shared" si="816"/>
        <v>0</v>
      </c>
      <c r="Q1225" t="str">
        <f t="shared" si="816"/>
        <v>0</v>
      </c>
      <c r="R1225" t="str">
        <f t="shared" si="817"/>
        <v>0,00</v>
      </c>
      <c r="S1225" t="str">
        <f t="shared" si="817"/>
        <v>0,00</v>
      </c>
      <c r="T1225" t="str">
        <f t="shared" si="780"/>
        <v xml:space="preserve"> </v>
      </c>
      <c r="U1225" t="str">
        <f t="shared" si="798"/>
        <v>-</v>
      </c>
      <c r="V1225" t="str">
        <f>"0,000"</f>
        <v>0,000</v>
      </c>
      <c r="W1225" t="str">
        <f t="shared" si="799"/>
        <v>Lista 4</v>
      </c>
      <c r="X1225" t="str">
        <f t="shared" si="800"/>
        <v>Lista 5</v>
      </c>
      <c r="Y1225" t="str">
        <f t="shared" si="801"/>
        <v>Oferta Gral.</v>
      </c>
      <c r="Z1225" t="str">
        <f t="shared" si="802"/>
        <v>Rubro</v>
      </c>
      <c r="AA1225" t="str">
        <f t="shared" si="803"/>
        <v>Cantidad por Bulto</v>
      </c>
      <c r="AB1225" t="str">
        <f t="shared" si="804"/>
        <v>INNER</v>
      </c>
      <c r="AC1225" t="str">
        <f t="shared" si="805"/>
        <v>Stock en Bultos</v>
      </c>
      <c r="AD1225" t="str">
        <f t="shared" si="806"/>
        <v>SubDepósito</v>
      </c>
      <c r="AE1225" t="str">
        <f t="shared" si="807"/>
        <v>Marca</v>
      </c>
      <c r="AF1225" t="str">
        <f t="shared" si="808"/>
        <v>Super Rubro</v>
      </c>
      <c r="AG1225" t="str">
        <f t="shared" si="809"/>
        <v>ComercioExterior</v>
      </c>
      <c r="AH1225" t="str">
        <f t="shared" si="810"/>
        <v>PrecioFOB</v>
      </c>
      <c r="AI1225" t="str">
        <f t="shared" si="811"/>
        <v>Monto II</v>
      </c>
      <c r="AJ1225" t="str">
        <f t="shared" si="812"/>
        <v>Porcentaje II</v>
      </c>
      <c r="AK1225" t="str">
        <f t="shared" si="813"/>
        <v>Foto</v>
      </c>
      <c r="AL1225" t="str">
        <f t="shared" si="815"/>
        <v xml:space="preserve"> </v>
      </c>
      <c r="AM1225" t="str">
        <f t="shared" si="814"/>
        <v xml:space="preserve"> </v>
      </c>
    </row>
    <row r="1226" spans="1:39" x14ac:dyDescent="0.25">
      <c r="A1226" t="str">
        <f>"BI247 30"</f>
        <v>BI247 30</v>
      </c>
      <c r="B1226" t="str">
        <f>"COJINETES BIELA 0,75 RENAULT 19 CLIO 1.9 DIESEL F8Q  CON TRABA"</f>
        <v>COJINETES BIELA 0,75 RENAULT 19 CLIO 1.9 DIESEL F8Q  CON TRABA</v>
      </c>
      <c r="C1226" t="str">
        <f>"$ 16064,81"</f>
        <v>$ 16064,81</v>
      </c>
      <c r="D1226" t="str">
        <f>"$ 16064,81"</f>
        <v>$ 16064,81</v>
      </c>
      <c r="E1226" t="str">
        <f>"$ 16064,81"</f>
        <v>$ 16064,81</v>
      </c>
      <c r="F1226" t="str">
        <f>"$ 16064,81"</f>
        <v>$ 16064,81</v>
      </c>
      <c r="G1226" t="str">
        <f>"$ 16064,81"</f>
        <v>$ 16064,81</v>
      </c>
      <c r="H1226" t="str">
        <f t="shared" si="795"/>
        <v>$ 0,00</v>
      </c>
      <c r="I1226" t="str">
        <f t="shared" si="794"/>
        <v>JUEGO COJINETES BIELA</v>
      </c>
      <c r="J1226" t="str">
        <f t="shared" si="796"/>
        <v>1</v>
      </c>
      <c r="K1226" t="str">
        <f t="shared" si="781"/>
        <v>0</v>
      </c>
      <c r="L1226" t="str">
        <f>"7,000"</f>
        <v>7,000</v>
      </c>
      <c r="M1226" t="str">
        <f t="shared" si="797"/>
        <v xml:space="preserve"> </v>
      </c>
      <c r="N1226" t="str">
        <f t="shared" si="788"/>
        <v>MPSI</v>
      </c>
      <c r="O1226" t="str">
        <f t="shared" si="789"/>
        <v>COJINETES</v>
      </c>
      <c r="P1226" t="str">
        <f t="shared" si="816"/>
        <v>0</v>
      </c>
      <c r="Q1226" t="str">
        <f t="shared" si="816"/>
        <v>0</v>
      </c>
      <c r="R1226" t="str">
        <f t="shared" si="817"/>
        <v>0,00</v>
      </c>
      <c r="S1226" t="str">
        <f t="shared" si="817"/>
        <v>0,00</v>
      </c>
      <c r="T1226" t="str">
        <f t="shared" si="780"/>
        <v xml:space="preserve"> </v>
      </c>
      <c r="U1226" t="str">
        <f t="shared" si="798"/>
        <v>-</v>
      </c>
      <c r="V1226" t="str">
        <f>"7,000"</f>
        <v>7,000</v>
      </c>
      <c r="W1226" t="str">
        <f t="shared" si="799"/>
        <v>Lista 4</v>
      </c>
      <c r="X1226" t="str">
        <f t="shared" si="800"/>
        <v>Lista 5</v>
      </c>
      <c r="Y1226" t="str">
        <f t="shared" si="801"/>
        <v>Oferta Gral.</v>
      </c>
      <c r="Z1226" t="str">
        <f t="shared" si="802"/>
        <v>Rubro</v>
      </c>
      <c r="AA1226" t="str">
        <f t="shared" si="803"/>
        <v>Cantidad por Bulto</v>
      </c>
      <c r="AB1226" t="str">
        <f t="shared" si="804"/>
        <v>INNER</v>
      </c>
      <c r="AC1226" t="str">
        <f t="shared" si="805"/>
        <v>Stock en Bultos</v>
      </c>
      <c r="AD1226" t="str">
        <f t="shared" si="806"/>
        <v>SubDepósito</v>
      </c>
      <c r="AE1226" t="str">
        <f t="shared" si="807"/>
        <v>Marca</v>
      </c>
      <c r="AF1226" t="str">
        <f t="shared" si="808"/>
        <v>Super Rubro</v>
      </c>
      <c r="AG1226" t="str">
        <f t="shared" si="809"/>
        <v>ComercioExterior</v>
      </c>
      <c r="AH1226" t="str">
        <f t="shared" si="810"/>
        <v>PrecioFOB</v>
      </c>
      <c r="AI1226" t="str">
        <f t="shared" si="811"/>
        <v>Monto II</v>
      </c>
      <c r="AJ1226" t="str">
        <f t="shared" si="812"/>
        <v>Porcentaje II</v>
      </c>
      <c r="AK1226" t="str">
        <f t="shared" si="813"/>
        <v>Foto</v>
      </c>
      <c r="AL1226" t="str">
        <f t="shared" si="815"/>
        <v xml:space="preserve"> </v>
      </c>
      <c r="AM1226" t="str">
        <f t="shared" si="814"/>
        <v xml:space="preserve"> </v>
      </c>
    </row>
    <row r="1227" spans="1:39" x14ac:dyDescent="0.25">
      <c r="A1227" t="str">
        <f>"BI243 30"</f>
        <v>BI243 30</v>
      </c>
      <c r="B1227" t="str">
        <f>"COJINETES BIELA 0,75 RENAULT 19 KANGOO 1.9 DIESEL F8Q  SIN TRABA"</f>
        <v>COJINETES BIELA 0,75 RENAULT 19 KANGOO 1.9 DIESEL F8Q  SIN TRABA</v>
      </c>
      <c r="C1227" t="str">
        <f>"$ 13005,98"</f>
        <v>$ 13005,98</v>
      </c>
      <c r="D1227" t="str">
        <f>"$ 13005,98"</f>
        <v>$ 13005,98</v>
      </c>
      <c r="E1227" t="str">
        <f>"$ 13005,98"</f>
        <v>$ 13005,98</v>
      </c>
      <c r="F1227" t="str">
        <f>"$ 13005,98"</f>
        <v>$ 13005,98</v>
      </c>
      <c r="G1227" t="str">
        <f>"$ 13005,98"</f>
        <v>$ 13005,98</v>
      </c>
      <c r="H1227" t="str">
        <f t="shared" si="795"/>
        <v>$ 0,00</v>
      </c>
      <c r="I1227" t="str">
        <f t="shared" si="794"/>
        <v>JUEGO COJINETES BIELA</v>
      </c>
      <c r="J1227" t="str">
        <f t="shared" si="796"/>
        <v>1</v>
      </c>
      <c r="K1227" t="str">
        <f t="shared" si="781"/>
        <v>0</v>
      </c>
      <c r="L1227" t="str">
        <f>"7,000"</f>
        <v>7,000</v>
      </c>
      <c r="M1227" t="str">
        <f t="shared" si="797"/>
        <v xml:space="preserve"> </v>
      </c>
      <c r="N1227" t="str">
        <f t="shared" si="788"/>
        <v>MPSI</v>
      </c>
      <c r="O1227" t="str">
        <f t="shared" si="789"/>
        <v>COJINETES</v>
      </c>
      <c r="P1227" t="str">
        <f t="shared" si="816"/>
        <v>0</v>
      </c>
      <c r="Q1227" t="str">
        <f t="shared" si="816"/>
        <v>0</v>
      </c>
      <c r="R1227" t="str">
        <f t="shared" si="817"/>
        <v>0,00</v>
      </c>
      <c r="S1227" t="str">
        <f t="shared" si="817"/>
        <v>0,00</v>
      </c>
      <c r="T1227" t="str">
        <f t="shared" si="780"/>
        <v xml:space="preserve"> </v>
      </c>
      <c r="U1227" t="str">
        <f t="shared" si="798"/>
        <v>-</v>
      </c>
      <c r="V1227" t="str">
        <f>"7,000"</f>
        <v>7,000</v>
      </c>
      <c r="W1227" t="str">
        <f t="shared" si="799"/>
        <v>Lista 4</v>
      </c>
      <c r="X1227" t="str">
        <f t="shared" si="800"/>
        <v>Lista 5</v>
      </c>
      <c r="Y1227" t="str">
        <f t="shared" si="801"/>
        <v>Oferta Gral.</v>
      </c>
      <c r="Z1227" t="str">
        <f t="shared" si="802"/>
        <v>Rubro</v>
      </c>
      <c r="AA1227" t="str">
        <f t="shared" si="803"/>
        <v>Cantidad por Bulto</v>
      </c>
      <c r="AB1227" t="str">
        <f t="shared" si="804"/>
        <v>INNER</v>
      </c>
      <c r="AC1227" t="str">
        <f t="shared" si="805"/>
        <v>Stock en Bultos</v>
      </c>
      <c r="AD1227" t="str">
        <f t="shared" si="806"/>
        <v>SubDepósito</v>
      </c>
      <c r="AE1227" t="str">
        <f t="shared" si="807"/>
        <v>Marca</v>
      </c>
      <c r="AF1227" t="str">
        <f t="shared" si="808"/>
        <v>Super Rubro</v>
      </c>
      <c r="AG1227" t="str">
        <f t="shared" si="809"/>
        <v>ComercioExterior</v>
      </c>
      <c r="AH1227" t="str">
        <f t="shared" si="810"/>
        <v>PrecioFOB</v>
      </c>
      <c r="AI1227" t="str">
        <f t="shared" si="811"/>
        <v>Monto II</v>
      </c>
      <c r="AJ1227" t="str">
        <f t="shared" si="812"/>
        <v>Porcentaje II</v>
      </c>
      <c r="AK1227" t="str">
        <f t="shared" si="813"/>
        <v>Foto</v>
      </c>
      <c r="AL1227" t="str">
        <f t="shared" si="815"/>
        <v xml:space="preserve"> </v>
      </c>
      <c r="AM1227" t="str">
        <f t="shared" si="814"/>
        <v xml:space="preserve"> </v>
      </c>
    </row>
    <row r="1228" spans="1:39" x14ac:dyDescent="0.25">
      <c r="A1228" t="str">
        <f>"BI237 30"</f>
        <v>BI237 30</v>
      </c>
      <c r="B1228" t="str">
        <f>"COJINETES BIELA 0,75 RENAULT 4 6 9 11 18 19 CLIO 1.3 1.4 1.6 8V"</f>
        <v>COJINETES BIELA 0,75 RENAULT 4 6 9 11 18 19 CLIO 1.3 1.4 1.6 8V</v>
      </c>
      <c r="C1228" t="str">
        <f>"$ 11882,21"</f>
        <v>$ 11882,21</v>
      </c>
      <c r="D1228" t="str">
        <f>"$ 11882,21"</f>
        <v>$ 11882,21</v>
      </c>
      <c r="E1228" t="str">
        <f>"$ 11882,21"</f>
        <v>$ 11882,21</v>
      </c>
      <c r="F1228" t="str">
        <f>"$ 11882,21"</f>
        <v>$ 11882,21</v>
      </c>
      <c r="G1228" t="str">
        <f>"$ 11882,21"</f>
        <v>$ 11882,21</v>
      </c>
      <c r="H1228" t="str">
        <f t="shared" si="795"/>
        <v>$ 0,00</v>
      </c>
      <c r="I1228" t="str">
        <f t="shared" si="794"/>
        <v>JUEGO COJINETES BIELA</v>
      </c>
      <c r="J1228" t="str">
        <f t="shared" si="796"/>
        <v>1</v>
      </c>
      <c r="K1228" t="str">
        <f t="shared" si="781"/>
        <v>0</v>
      </c>
      <c r="L1228" t="str">
        <f>"29,000"</f>
        <v>29,000</v>
      </c>
      <c r="M1228" t="str">
        <f t="shared" si="797"/>
        <v xml:space="preserve"> </v>
      </c>
      <c r="N1228" t="str">
        <f t="shared" si="788"/>
        <v>MPSI</v>
      </c>
      <c r="O1228" t="str">
        <f t="shared" si="789"/>
        <v>COJINETES</v>
      </c>
      <c r="P1228" t="str">
        <f t="shared" si="816"/>
        <v>0</v>
      </c>
      <c r="Q1228" t="str">
        <f t="shared" si="816"/>
        <v>0</v>
      </c>
      <c r="R1228" t="str">
        <f t="shared" si="817"/>
        <v>0,00</v>
      </c>
      <c r="S1228" t="str">
        <f t="shared" si="817"/>
        <v>0,00</v>
      </c>
      <c r="T1228" t="str">
        <f t="shared" si="780"/>
        <v xml:space="preserve"> </v>
      </c>
      <c r="U1228" t="str">
        <f t="shared" si="798"/>
        <v>-</v>
      </c>
      <c r="V1228" t="str">
        <f>"29,000"</f>
        <v>29,000</v>
      </c>
      <c r="W1228" t="str">
        <f t="shared" si="799"/>
        <v>Lista 4</v>
      </c>
      <c r="X1228" t="str">
        <f t="shared" si="800"/>
        <v>Lista 5</v>
      </c>
      <c r="Y1228" t="str">
        <f t="shared" si="801"/>
        <v>Oferta Gral.</v>
      </c>
      <c r="Z1228" t="str">
        <f t="shared" si="802"/>
        <v>Rubro</v>
      </c>
      <c r="AA1228" t="str">
        <f t="shared" si="803"/>
        <v>Cantidad por Bulto</v>
      </c>
      <c r="AB1228" t="str">
        <f t="shared" si="804"/>
        <v>INNER</v>
      </c>
      <c r="AC1228" t="str">
        <f t="shared" si="805"/>
        <v>Stock en Bultos</v>
      </c>
      <c r="AD1228" t="str">
        <f t="shared" si="806"/>
        <v>SubDepósito</v>
      </c>
      <c r="AE1228" t="str">
        <f t="shared" si="807"/>
        <v>Marca</v>
      </c>
      <c r="AF1228" t="str">
        <f t="shared" si="808"/>
        <v>Super Rubro</v>
      </c>
      <c r="AG1228" t="str">
        <f t="shared" si="809"/>
        <v>ComercioExterior</v>
      </c>
      <c r="AH1228" t="str">
        <f t="shared" si="810"/>
        <v>PrecioFOB</v>
      </c>
      <c r="AI1228" t="str">
        <f t="shared" si="811"/>
        <v>Monto II</v>
      </c>
      <c r="AJ1228" t="str">
        <f t="shared" si="812"/>
        <v>Porcentaje II</v>
      </c>
      <c r="AK1228" t="str">
        <f t="shared" si="813"/>
        <v>Foto</v>
      </c>
      <c r="AL1228" t="str">
        <f>"{\rtf1\ansi\ansicpg1252\deff0\deflang2058{\fonttbl{\f0\fnil\fcharset0 MS Sans Serif}} \viewkind4\uc1\pard\f0\fs16 COJINETES BIELA 0,75 RENAULT 4 6 9 11 18 19 CLIO 1.3 1.4 1.6 8V\par } "</f>
        <v xml:space="preserve">{\rtf1\ansi\ansicpg1252\deff0\deflang2058{\fonttbl{\f0\fnil\fcharset0 MS Sans Serif}} \viewkind4\uc1\pard\f0\fs16 COJINETES BIELA 0,75 RENAULT 4 6 9 11 18 19 CLIO 1.3 1.4 1.6 8V\par } </v>
      </c>
      <c r="AM1228" t="str">
        <f t="shared" si="814"/>
        <v xml:space="preserve"> </v>
      </c>
    </row>
    <row r="1229" spans="1:39" x14ac:dyDescent="0.25">
      <c r="A1229" t="str">
        <f>"BI384101 30"</f>
        <v>BI384101 30</v>
      </c>
      <c r="B1229" t="str">
        <f>"COJINETES BIELA 0,75 RENAULT CAPTUR NISSAN VERSA 1.6 H4M CADENERO"</f>
        <v>COJINETES BIELA 0,75 RENAULT CAPTUR NISSAN VERSA 1.6 H4M CADENERO</v>
      </c>
      <c r="C1229" t="str">
        <f>"$ 10960,47"</f>
        <v>$ 10960,47</v>
      </c>
      <c r="D1229" t="str">
        <f>"$ 10960,47"</f>
        <v>$ 10960,47</v>
      </c>
      <c r="E1229" t="str">
        <f>"$ 10960,47"</f>
        <v>$ 10960,47</v>
      </c>
      <c r="F1229" t="str">
        <f>"$ 10960,47"</f>
        <v>$ 10960,47</v>
      </c>
      <c r="G1229" t="str">
        <f>"$ 10960,47"</f>
        <v>$ 10960,47</v>
      </c>
      <c r="H1229" t="str">
        <f t="shared" si="795"/>
        <v>$ 0,00</v>
      </c>
      <c r="I1229" t="str">
        <f t="shared" si="794"/>
        <v>JUEGO COJINETES BIELA</v>
      </c>
      <c r="J1229" t="str">
        <f t="shared" si="796"/>
        <v>1</v>
      </c>
      <c r="K1229" t="str">
        <f t="shared" si="781"/>
        <v>0</v>
      </c>
      <c r="L1229" t="str">
        <f>"0,000"</f>
        <v>0,000</v>
      </c>
      <c r="M1229" t="str">
        <f t="shared" si="797"/>
        <v xml:space="preserve"> </v>
      </c>
      <c r="N1229" t="str">
        <f t="shared" si="788"/>
        <v>MPSI</v>
      </c>
      <c r="O1229" t="str">
        <f t="shared" si="789"/>
        <v>COJINETES</v>
      </c>
      <c r="P1229" t="str">
        <f t="shared" si="816"/>
        <v>0</v>
      </c>
      <c r="Q1229" t="str">
        <f t="shared" si="816"/>
        <v>0</v>
      </c>
      <c r="R1229" t="str">
        <f t="shared" si="817"/>
        <v>0,00</v>
      </c>
      <c r="S1229" t="str">
        <f t="shared" si="817"/>
        <v>0,00</v>
      </c>
      <c r="T1229" t="str">
        <f t="shared" si="780"/>
        <v xml:space="preserve"> </v>
      </c>
      <c r="U1229" t="str">
        <f t="shared" si="798"/>
        <v>-</v>
      </c>
      <c r="V1229" t="str">
        <f>"0,000"</f>
        <v>0,000</v>
      </c>
      <c r="W1229" t="str">
        <f t="shared" si="799"/>
        <v>Lista 4</v>
      </c>
      <c r="X1229" t="str">
        <f t="shared" si="800"/>
        <v>Lista 5</v>
      </c>
      <c r="Y1229" t="str">
        <f t="shared" si="801"/>
        <v>Oferta Gral.</v>
      </c>
      <c r="Z1229" t="str">
        <f t="shared" si="802"/>
        <v>Rubro</v>
      </c>
      <c r="AA1229" t="str">
        <f t="shared" si="803"/>
        <v>Cantidad por Bulto</v>
      </c>
      <c r="AB1229" t="str">
        <f t="shared" si="804"/>
        <v>INNER</v>
      </c>
      <c r="AC1229" t="str">
        <f t="shared" si="805"/>
        <v>Stock en Bultos</v>
      </c>
      <c r="AD1229" t="str">
        <f t="shared" si="806"/>
        <v>SubDepósito</v>
      </c>
      <c r="AE1229" t="str">
        <f t="shared" si="807"/>
        <v>Marca</v>
      </c>
      <c r="AF1229" t="str">
        <f t="shared" si="808"/>
        <v>Super Rubro</v>
      </c>
      <c r="AG1229" t="str">
        <f t="shared" si="809"/>
        <v>ComercioExterior</v>
      </c>
      <c r="AH1229" t="str">
        <f t="shared" si="810"/>
        <v>PrecioFOB</v>
      </c>
      <c r="AI1229" t="str">
        <f t="shared" si="811"/>
        <v>Monto II</v>
      </c>
      <c r="AJ1229" t="str">
        <f t="shared" si="812"/>
        <v>Porcentaje II</v>
      </c>
      <c r="AK1229" t="str">
        <f t="shared" si="813"/>
        <v>Foto</v>
      </c>
      <c r="AL1229" t="str">
        <f t="shared" ref="AL1229:AL1237" si="818">" "</f>
        <v xml:space="preserve"> </v>
      </c>
      <c r="AM1229" t="str">
        <f t="shared" si="814"/>
        <v xml:space="preserve"> </v>
      </c>
    </row>
    <row r="1230" spans="1:39" x14ac:dyDescent="0.25">
      <c r="A1230" t="str">
        <f>"BI871 30"</f>
        <v>BI871 30</v>
      </c>
      <c r="B1230" t="str">
        <f>"COJINETES BIELA 0,75 RENAULT CLIO TWINGO 1.2  D7F SIN TRABA"</f>
        <v>COJINETES BIELA 0,75 RENAULT CLIO TWINGO 1.2  D7F SIN TRABA</v>
      </c>
      <c r="C1230" t="str">
        <f>"$ 10708,86"</f>
        <v>$ 10708,86</v>
      </c>
      <c r="D1230" t="str">
        <f>"$ 10708,86"</f>
        <v>$ 10708,86</v>
      </c>
      <c r="E1230" t="str">
        <f>"$ 10708,86"</f>
        <v>$ 10708,86</v>
      </c>
      <c r="F1230" t="str">
        <f>"$ 10708,86"</f>
        <v>$ 10708,86</v>
      </c>
      <c r="G1230" t="str">
        <f>"$ 10708,86"</f>
        <v>$ 10708,86</v>
      </c>
      <c r="H1230" t="str">
        <f t="shared" si="795"/>
        <v>$ 0,00</v>
      </c>
      <c r="I1230" t="str">
        <f t="shared" si="794"/>
        <v>JUEGO COJINETES BIELA</v>
      </c>
      <c r="J1230" t="str">
        <f t="shared" si="796"/>
        <v>1</v>
      </c>
      <c r="K1230" t="str">
        <f t="shared" si="781"/>
        <v>0</v>
      </c>
      <c r="L1230" t="str">
        <f>"7,000"</f>
        <v>7,000</v>
      </c>
      <c r="M1230" t="str">
        <f t="shared" si="797"/>
        <v xml:space="preserve"> </v>
      </c>
      <c r="N1230" t="str">
        <f t="shared" si="788"/>
        <v>MPSI</v>
      </c>
      <c r="O1230" t="str">
        <f t="shared" si="789"/>
        <v>COJINETES</v>
      </c>
      <c r="P1230" t="str">
        <f t="shared" si="816"/>
        <v>0</v>
      </c>
      <c r="Q1230" t="str">
        <f t="shared" si="816"/>
        <v>0</v>
      </c>
      <c r="R1230" t="str">
        <f t="shared" si="817"/>
        <v>0,00</v>
      </c>
      <c r="S1230" t="str">
        <f t="shared" si="817"/>
        <v>0,00</v>
      </c>
      <c r="T1230" t="str">
        <f t="shared" si="780"/>
        <v xml:space="preserve"> </v>
      </c>
      <c r="U1230" t="str">
        <f t="shared" si="798"/>
        <v>-</v>
      </c>
      <c r="V1230" t="str">
        <f>"7,000"</f>
        <v>7,000</v>
      </c>
      <c r="W1230" t="str">
        <f t="shared" si="799"/>
        <v>Lista 4</v>
      </c>
      <c r="X1230" t="str">
        <f t="shared" si="800"/>
        <v>Lista 5</v>
      </c>
      <c r="Y1230" t="str">
        <f t="shared" si="801"/>
        <v>Oferta Gral.</v>
      </c>
      <c r="Z1230" t="str">
        <f t="shared" si="802"/>
        <v>Rubro</v>
      </c>
      <c r="AA1230" t="str">
        <f t="shared" si="803"/>
        <v>Cantidad por Bulto</v>
      </c>
      <c r="AB1230" t="str">
        <f t="shared" si="804"/>
        <v>INNER</v>
      </c>
      <c r="AC1230" t="str">
        <f t="shared" si="805"/>
        <v>Stock en Bultos</v>
      </c>
      <c r="AD1230" t="str">
        <f t="shared" si="806"/>
        <v>SubDepósito</v>
      </c>
      <c r="AE1230" t="str">
        <f t="shared" si="807"/>
        <v>Marca</v>
      </c>
      <c r="AF1230" t="str">
        <f t="shared" si="808"/>
        <v>Super Rubro</v>
      </c>
      <c r="AG1230" t="str">
        <f t="shared" si="809"/>
        <v>ComercioExterior</v>
      </c>
      <c r="AH1230" t="str">
        <f t="shared" si="810"/>
        <v>PrecioFOB</v>
      </c>
      <c r="AI1230" t="str">
        <f t="shared" si="811"/>
        <v>Monto II</v>
      </c>
      <c r="AJ1230" t="str">
        <f t="shared" si="812"/>
        <v>Porcentaje II</v>
      </c>
      <c r="AK1230" t="str">
        <f t="shared" si="813"/>
        <v>Foto</v>
      </c>
      <c r="AL1230" t="str">
        <f t="shared" si="818"/>
        <v xml:space="preserve"> </v>
      </c>
      <c r="AM1230" t="str">
        <f t="shared" si="814"/>
        <v xml:space="preserve"> </v>
      </c>
    </row>
    <row r="1231" spans="1:39" x14ac:dyDescent="0.25">
      <c r="A1231" t="str">
        <f>"BI384613 30"</f>
        <v>BI384613 30</v>
      </c>
      <c r="B1231" t="str">
        <f>"COJINETES BIELA 0,75 RENAULT CLIO TWINGO 1.2 D7F CON TRABA"</f>
        <v>COJINETES BIELA 0,75 RENAULT CLIO TWINGO 1.2 D7F CON TRABA</v>
      </c>
      <c r="C1231" t="str">
        <f>"$ 13255,45"</f>
        <v>$ 13255,45</v>
      </c>
      <c r="D1231" t="str">
        <f>"$ 13255,45"</f>
        <v>$ 13255,45</v>
      </c>
      <c r="E1231" t="str">
        <f>"$ 13255,45"</f>
        <v>$ 13255,45</v>
      </c>
      <c r="F1231" t="str">
        <f>"$ 13255,45"</f>
        <v>$ 13255,45</v>
      </c>
      <c r="G1231" t="str">
        <f>"$ 13255,45"</f>
        <v>$ 13255,45</v>
      </c>
      <c r="H1231" t="str">
        <f t="shared" si="795"/>
        <v>$ 0,00</v>
      </c>
      <c r="I1231" t="str">
        <f t="shared" si="794"/>
        <v>JUEGO COJINETES BIELA</v>
      </c>
      <c r="J1231" t="str">
        <f t="shared" si="796"/>
        <v>1</v>
      </c>
      <c r="K1231" t="str">
        <f t="shared" si="781"/>
        <v>0</v>
      </c>
      <c r="L1231" t="str">
        <f>"3,000"</f>
        <v>3,000</v>
      </c>
      <c r="M1231" t="str">
        <f t="shared" si="797"/>
        <v xml:space="preserve"> </v>
      </c>
      <c r="N1231" t="str">
        <f t="shared" si="788"/>
        <v>MPSI</v>
      </c>
      <c r="O1231" t="str">
        <f t="shared" si="789"/>
        <v>COJINETES</v>
      </c>
      <c r="P1231" t="str">
        <f t="shared" si="816"/>
        <v>0</v>
      </c>
      <c r="Q1231" t="str">
        <f t="shared" si="816"/>
        <v>0</v>
      </c>
      <c r="R1231" t="str">
        <f t="shared" si="817"/>
        <v>0,00</v>
      </c>
      <c r="S1231" t="str">
        <f t="shared" si="817"/>
        <v>0,00</v>
      </c>
      <c r="T1231" t="str">
        <f t="shared" si="780"/>
        <v xml:space="preserve"> </v>
      </c>
      <c r="U1231" t="str">
        <f t="shared" si="798"/>
        <v>-</v>
      </c>
      <c r="V1231" t="str">
        <f>"3,000"</f>
        <v>3,000</v>
      </c>
      <c r="W1231" t="str">
        <f t="shared" si="799"/>
        <v>Lista 4</v>
      </c>
      <c r="X1231" t="str">
        <f t="shared" si="800"/>
        <v>Lista 5</v>
      </c>
      <c r="Y1231" t="str">
        <f t="shared" si="801"/>
        <v>Oferta Gral.</v>
      </c>
      <c r="Z1231" t="str">
        <f t="shared" si="802"/>
        <v>Rubro</v>
      </c>
      <c r="AA1231" t="str">
        <f t="shared" si="803"/>
        <v>Cantidad por Bulto</v>
      </c>
      <c r="AB1231" t="str">
        <f t="shared" si="804"/>
        <v>INNER</v>
      </c>
      <c r="AC1231" t="str">
        <f t="shared" si="805"/>
        <v>Stock en Bultos</v>
      </c>
      <c r="AD1231" t="str">
        <f t="shared" si="806"/>
        <v>SubDepósito</v>
      </c>
      <c r="AE1231" t="str">
        <f t="shared" si="807"/>
        <v>Marca</v>
      </c>
      <c r="AF1231" t="str">
        <f t="shared" si="808"/>
        <v>Super Rubro</v>
      </c>
      <c r="AG1231" t="str">
        <f t="shared" si="809"/>
        <v>ComercioExterior</v>
      </c>
      <c r="AH1231" t="str">
        <f t="shared" si="810"/>
        <v>PrecioFOB</v>
      </c>
      <c r="AI1231" t="str">
        <f t="shared" si="811"/>
        <v>Monto II</v>
      </c>
      <c r="AJ1231" t="str">
        <f t="shared" si="812"/>
        <v>Porcentaje II</v>
      </c>
      <c r="AK1231" t="str">
        <f t="shared" si="813"/>
        <v>Foto</v>
      </c>
      <c r="AL1231" t="str">
        <f t="shared" si="818"/>
        <v xml:space="preserve"> </v>
      </c>
      <c r="AM1231" t="str">
        <f t="shared" si="814"/>
        <v xml:space="preserve"> </v>
      </c>
    </row>
    <row r="1232" spans="1:39" x14ac:dyDescent="0.25">
      <c r="A1232" t="str">
        <f>"BI383069 30"</f>
        <v>BI383069 30</v>
      </c>
      <c r="B1232" t="str">
        <f>"COJINETES BIELA 0,75 RENAULT KWID 1.0 3 CILINDROS"</f>
        <v>COJINETES BIELA 0,75 RENAULT KWID 1.0 3 CILINDROS</v>
      </c>
      <c r="C1232" t="str">
        <f>"$ 8863,34"</f>
        <v>$ 8863,34</v>
      </c>
      <c r="D1232" t="str">
        <f>"$ 8863,34"</f>
        <v>$ 8863,34</v>
      </c>
      <c r="E1232" t="str">
        <f>"$ 8863,34"</f>
        <v>$ 8863,34</v>
      </c>
      <c r="F1232" t="str">
        <f>"$ 8863,34"</f>
        <v>$ 8863,34</v>
      </c>
      <c r="G1232" t="str">
        <f>"$ 8863,34"</f>
        <v>$ 8863,34</v>
      </c>
      <c r="H1232" t="str">
        <f t="shared" si="795"/>
        <v>$ 0,00</v>
      </c>
      <c r="I1232" t="str">
        <f t="shared" si="794"/>
        <v>JUEGO COJINETES BIELA</v>
      </c>
      <c r="J1232" t="str">
        <f t="shared" si="796"/>
        <v>1</v>
      </c>
      <c r="K1232" t="str">
        <f t="shared" si="781"/>
        <v>0</v>
      </c>
      <c r="L1232" t="str">
        <f>"0,000"</f>
        <v>0,000</v>
      </c>
      <c r="M1232" t="str">
        <f t="shared" si="797"/>
        <v xml:space="preserve"> </v>
      </c>
      <c r="N1232" t="str">
        <f t="shared" si="788"/>
        <v>MPSI</v>
      </c>
      <c r="O1232" t="str">
        <f t="shared" si="789"/>
        <v>COJINETES</v>
      </c>
      <c r="P1232" t="str">
        <f t="shared" si="816"/>
        <v>0</v>
      </c>
      <c r="Q1232" t="str">
        <f t="shared" si="816"/>
        <v>0</v>
      </c>
      <c r="R1232" t="str">
        <f t="shared" si="817"/>
        <v>0,00</v>
      </c>
      <c r="S1232" t="str">
        <f t="shared" si="817"/>
        <v>0,00</v>
      </c>
      <c r="T1232" t="str">
        <f t="shared" si="780"/>
        <v xml:space="preserve"> </v>
      </c>
      <c r="U1232" t="str">
        <f t="shared" si="798"/>
        <v>-</v>
      </c>
      <c r="V1232" t="str">
        <f>"0,000"</f>
        <v>0,000</v>
      </c>
      <c r="W1232" t="str">
        <f t="shared" si="799"/>
        <v>Lista 4</v>
      </c>
      <c r="X1232" t="str">
        <f t="shared" si="800"/>
        <v>Lista 5</v>
      </c>
      <c r="Y1232" t="str">
        <f t="shared" si="801"/>
        <v>Oferta Gral.</v>
      </c>
      <c r="Z1232" t="str">
        <f t="shared" si="802"/>
        <v>Rubro</v>
      </c>
      <c r="AA1232" t="str">
        <f t="shared" si="803"/>
        <v>Cantidad por Bulto</v>
      </c>
      <c r="AB1232" t="str">
        <f t="shared" si="804"/>
        <v>INNER</v>
      </c>
      <c r="AC1232" t="str">
        <f t="shared" si="805"/>
        <v>Stock en Bultos</v>
      </c>
      <c r="AD1232" t="str">
        <f t="shared" si="806"/>
        <v>SubDepósito</v>
      </c>
      <c r="AE1232" t="str">
        <f t="shared" si="807"/>
        <v>Marca</v>
      </c>
      <c r="AF1232" t="str">
        <f t="shared" si="808"/>
        <v>Super Rubro</v>
      </c>
      <c r="AG1232" t="str">
        <f t="shared" si="809"/>
        <v>ComercioExterior</v>
      </c>
      <c r="AH1232" t="str">
        <f t="shared" si="810"/>
        <v>PrecioFOB</v>
      </c>
      <c r="AI1232" t="str">
        <f t="shared" si="811"/>
        <v>Monto II</v>
      </c>
      <c r="AJ1232" t="str">
        <f t="shared" si="812"/>
        <v>Porcentaje II</v>
      </c>
      <c r="AK1232" t="str">
        <f t="shared" si="813"/>
        <v>Foto</v>
      </c>
      <c r="AL1232" t="str">
        <f t="shared" si="818"/>
        <v xml:space="preserve"> </v>
      </c>
      <c r="AM1232" t="str">
        <f t="shared" si="814"/>
        <v xml:space="preserve"> </v>
      </c>
    </row>
    <row r="1233" spans="1:39" x14ac:dyDescent="0.25">
      <c r="A1233" t="str">
        <f>"BI869 30"</f>
        <v>BI869 30</v>
      </c>
      <c r="B1233" t="str">
        <f>"COJINETES BIELA 0,75 RENAULT MASTER 2.5 MOTOR G9U"</f>
        <v>COJINETES BIELA 0,75 RENAULT MASTER 2.5 MOTOR G9U</v>
      </c>
      <c r="C1233" t="str">
        <f>"$ 22161,40"</f>
        <v>$ 22161,40</v>
      </c>
      <c r="D1233" t="str">
        <f>"$ 22161,40"</f>
        <v>$ 22161,40</v>
      </c>
      <c r="E1233" t="str">
        <f>"$ 22161,40"</f>
        <v>$ 22161,40</v>
      </c>
      <c r="F1233" t="str">
        <f>"$ 22161,40"</f>
        <v>$ 22161,40</v>
      </c>
      <c r="G1233" t="str">
        <f>"$ 22161,40"</f>
        <v>$ 22161,40</v>
      </c>
      <c r="H1233" t="str">
        <f t="shared" si="795"/>
        <v>$ 0,00</v>
      </c>
      <c r="I1233" t="str">
        <f t="shared" si="794"/>
        <v>JUEGO COJINETES BIELA</v>
      </c>
      <c r="J1233" t="str">
        <f t="shared" si="796"/>
        <v>1</v>
      </c>
      <c r="K1233" t="str">
        <f t="shared" si="781"/>
        <v>0</v>
      </c>
      <c r="L1233" t="str">
        <f>"4,000"</f>
        <v>4,000</v>
      </c>
      <c r="M1233" t="str">
        <f t="shared" si="797"/>
        <v xml:space="preserve"> </v>
      </c>
      <c r="N1233" t="str">
        <f t="shared" si="788"/>
        <v>MPSI</v>
      </c>
      <c r="O1233" t="str">
        <f t="shared" si="789"/>
        <v>COJINETES</v>
      </c>
      <c r="P1233" t="str">
        <f t="shared" si="816"/>
        <v>0</v>
      </c>
      <c r="Q1233" t="str">
        <f t="shared" si="816"/>
        <v>0</v>
      </c>
      <c r="R1233" t="str">
        <f t="shared" si="817"/>
        <v>0,00</v>
      </c>
      <c r="S1233" t="str">
        <f t="shared" si="817"/>
        <v>0,00</v>
      </c>
      <c r="T1233" t="str">
        <f t="shared" ref="T1233:T1296" si="819">" "</f>
        <v xml:space="preserve"> </v>
      </c>
      <c r="U1233" t="str">
        <f t="shared" si="798"/>
        <v>-</v>
      </c>
      <c r="V1233" t="str">
        <f>"4,000"</f>
        <v>4,000</v>
      </c>
      <c r="W1233" t="str">
        <f t="shared" si="799"/>
        <v>Lista 4</v>
      </c>
      <c r="X1233" t="str">
        <f t="shared" si="800"/>
        <v>Lista 5</v>
      </c>
      <c r="Y1233" t="str">
        <f t="shared" si="801"/>
        <v>Oferta Gral.</v>
      </c>
      <c r="Z1233" t="str">
        <f t="shared" si="802"/>
        <v>Rubro</v>
      </c>
      <c r="AA1233" t="str">
        <f t="shared" si="803"/>
        <v>Cantidad por Bulto</v>
      </c>
      <c r="AB1233" t="str">
        <f t="shared" si="804"/>
        <v>INNER</v>
      </c>
      <c r="AC1233" t="str">
        <f t="shared" si="805"/>
        <v>Stock en Bultos</v>
      </c>
      <c r="AD1233" t="str">
        <f t="shared" si="806"/>
        <v>SubDepósito</v>
      </c>
      <c r="AE1233" t="str">
        <f t="shared" si="807"/>
        <v>Marca</v>
      </c>
      <c r="AF1233" t="str">
        <f t="shared" si="808"/>
        <v>Super Rubro</v>
      </c>
      <c r="AG1233" t="str">
        <f t="shared" si="809"/>
        <v>ComercioExterior</v>
      </c>
      <c r="AH1233" t="str">
        <f t="shared" si="810"/>
        <v>PrecioFOB</v>
      </c>
      <c r="AI1233" t="str">
        <f t="shared" si="811"/>
        <v>Monto II</v>
      </c>
      <c r="AJ1233" t="str">
        <f t="shared" si="812"/>
        <v>Porcentaje II</v>
      </c>
      <c r="AK1233" t="str">
        <f t="shared" si="813"/>
        <v>Foto</v>
      </c>
      <c r="AL1233" t="str">
        <f t="shared" si="818"/>
        <v xml:space="preserve"> </v>
      </c>
      <c r="AM1233" t="str">
        <f t="shared" si="814"/>
        <v xml:space="preserve"> </v>
      </c>
    </row>
    <row r="1234" spans="1:39" x14ac:dyDescent="0.25">
      <c r="A1234" t="str">
        <f>"BI384574 30"</f>
        <v>BI384574 30</v>
      </c>
      <c r="B1234" t="str">
        <f>"COJINETES BIELA 0,75 RENAULT MASTER ALASKAN NISSAN FRONTIER 2.3 M9T"</f>
        <v>COJINETES BIELA 0,75 RENAULT MASTER ALASKAN NISSAN FRONTIER 2.3 M9T</v>
      </c>
      <c r="C1234" t="str">
        <f>"$ 26332,84"</f>
        <v>$ 26332,84</v>
      </c>
      <c r="D1234" t="str">
        <f>"$ 26332,84"</f>
        <v>$ 26332,84</v>
      </c>
      <c r="E1234" t="str">
        <f>"$ 26332,84"</f>
        <v>$ 26332,84</v>
      </c>
      <c r="F1234" t="str">
        <f>"$ 26332,84"</f>
        <v>$ 26332,84</v>
      </c>
      <c r="G1234" t="str">
        <f>"$ 26332,84"</f>
        <v>$ 26332,84</v>
      </c>
      <c r="H1234" t="str">
        <f t="shared" si="795"/>
        <v>$ 0,00</v>
      </c>
      <c r="I1234" t="str">
        <f t="shared" si="794"/>
        <v>JUEGO COJINETES BIELA</v>
      </c>
      <c r="J1234" t="str">
        <f t="shared" si="796"/>
        <v>1</v>
      </c>
      <c r="K1234" t="str">
        <f t="shared" si="781"/>
        <v>0</v>
      </c>
      <c r="L1234" t="str">
        <f>"0,000"</f>
        <v>0,000</v>
      </c>
      <c r="M1234" t="str">
        <f t="shared" si="797"/>
        <v xml:space="preserve"> </v>
      </c>
      <c r="N1234" t="str">
        <f t="shared" si="788"/>
        <v>MPSI</v>
      </c>
      <c r="O1234" t="str">
        <f t="shared" si="789"/>
        <v>COJINETES</v>
      </c>
      <c r="P1234" t="str">
        <f t="shared" si="816"/>
        <v>0</v>
      </c>
      <c r="Q1234" t="str">
        <f t="shared" si="816"/>
        <v>0</v>
      </c>
      <c r="R1234" t="str">
        <f t="shared" si="817"/>
        <v>0,00</v>
      </c>
      <c r="S1234" t="str">
        <f t="shared" si="817"/>
        <v>0,00</v>
      </c>
      <c r="T1234" t="str">
        <f t="shared" si="819"/>
        <v xml:space="preserve"> </v>
      </c>
      <c r="U1234" t="str">
        <f t="shared" si="798"/>
        <v>-</v>
      </c>
      <c r="V1234" t="str">
        <f>"0,000"</f>
        <v>0,000</v>
      </c>
      <c r="W1234" t="str">
        <f t="shared" si="799"/>
        <v>Lista 4</v>
      </c>
      <c r="X1234" t="str">
        <f t="shared" si="800"/>
        <v>Lista 5</v>
      </c>
      <c r="Y1234" t="str">
        <f t="shared" si="801"/>
        <v>Oferta Gral.</v>
      </c>
      <c r="Z1234" t="str">
        <f t="shared" si="802"/>
        <v>Rubro</v>
      </c>
      <c r="AA1234" t="str">
        <f t="shared" si="803"/>
        <v>Cantidad por Bulto</v>
      </c>
      <c r="AB1234" t="str">
        <f t="shared" si="804"/>
        <v>INNER</v>
      </c>
      <c r="AC1234" t="str">
        <f t="shared" si="805"/>
        <v>Stock en Bultos</v>
      </c>
      <c r="AD1234" t="str">
        <f t="shared" si="806"/>
        <v>SubDepósito</v>
      </c>
      <c r="AE1234" t="str">
        <f t="shared" si="807"/>
        <v>Marca</v>
      </c>
      <c r="AF1234" t="str">
        <f t="shared" si="808"/>
        <v>Super Rubro</v>
      </c>
      <c r="AG1234" t="str">
        <f t="shared" si="809"/>
        <v>ComercioExterior</v>
      </c>
      <c r="AH1234" t="str">
        <f t="shared" si="810"/>
        <v>PrecioFOB</v>
      </c>
      <c r="AI1234" t="str">
        <f t="shared" si="811"/>
        <v>Monto II</v>
      </c>
      <c r="AJ1234" t="str">
        <f t="shared" si="812"/>
        <v>Porcentaje II</v>
      </c>
      <c r="AK1234" t="str">
        <f t="shared" si="813"/>
        <v>Foto</v>
      </c>
      <c r="AL1234" t="str">
        <f t="shared" si="818"/>
        <v xml:space="preserve"> </v>
      </c>
      <c r="AM1234" t="str">
        <f t="shared" si="814"/>
        <v xml:space="preserve"> </v>
      </c>
    </row>
    <row r="1235" spans="1:39" x14ac:dyDescent="0.25">
      <c r="A1235" t="str">
        <f>"BI242 30"</f>
        <v>BI242 30</v>
      </c>
      <c r="B1235" t="str">
        <f>"COJINETES BIELA 0,75 RENAULT MEGANE 1.9 TURBO DIESEL SIN TRABA"</f>
        <v>COJINETES BIELA 0,75 RENAULT MEGANE 1.9 TURBO DIESEL SIN TRABA</v>
      </c>
      <c r="C1235" t="str">
        <f>"$ 24868,80"</f>
        <v>$ 24868,80</v>
      </c>
      <c r="D1235" t="str">
        <f>"$ 24868,80"</f>
        <v>$ 24868,80</v>
      </c>
      <c r="E1235" t="str">
        <f>"$ 24868,80"</f>
        <v>$ 24868,80</v>
      </c>
      <c r="F1235" t="str">
        <f>"$ 24868,80"</f>
        <v>$ 24868,80</v>
      </c>
      <c r="G1235" t="str">
        <f>"$ 24868,80"</f>
        <v>$ 24868,80</v>
      </c>
      <c r="H1235" t="str">
        <f t="shared" si="795"/>
        <v>$ 0,00</v>
      </c>
      <c r="I1235" t="str">
        <f t="shared" si="794"/>
        <v>JUEGO COJINETES BIELA</v>
      </c>
      <c r="J1235" t="str">
        <f t="shared" si="796"/>
        <v>1</v>
      </c>
      <c r="K1235" t="str">
        <f t="shared" si="781"/>
        <v>0</v>
      </c>
      <c r="L1235" t="str">
        <f>"2,000"</f>
        <v>2,000</v>
      </c>
      <c r="M1235" t="str">
        <f t="shared" si="797"/>
        <v xml:space="preserve"> </v>
      </c>
      <c r="N1235" t="str">
        <f t="shared" si="788"/>
        <v>MPSI</v>
      </c>
      <c r="O1235" t="str">
        <f t="shared" si="789"/>
        <v>COJINETES</v>
      </c>
      <c r="P1235" t="str">
        <f t="shared" si="816"/>
        <v>0</v>
      </c>
      <c r="Q1235" t="str">
        <f t="shared" si="816"/>
        <v>0</v>
      </c>
      <c r="R1235" t="str">
        <f t="shared" si="817"/>
        <v>0,00</v>
      </c>
      <c r="S1235" t="str">
        <f t="shared" si="817"/>
        <v>0,00</v>
      </c>
      <c r="T1235" t="str">
        <f t="shared" si="819"/>
        <v xml:space="preserve"> </v>
      </c>
      <c r="U1235" t="str">
        <f t="shared" si="798"/>
        <v>-</v>
      </c>
      <c r="V1235" t="str">
        <f>"2,000"</f>
        <v>2,000</v>
      </c>
      <c r="W1235" t="str">
        <f t="shared" si="799"/>
        <v>Lista 4</v>
      </c>
      <c r="X1235" t="str">
        <f t="shared" si="800"/>
        <v>Lista 5</v>
      </c>
      <c r="Y1235" t="str">
        <f t="shared" si="801"/>
        <v>Oferta Gral.</v>
      </c>
      <c r="Z1235" t="str">
        <f t="shared" si="802"/>
        <v>Rubro</v>
      </c>
      <c r="AA1235" t="str">
        <f t="shared" si="803"/>
        <v>Cantidad por Bulto</v>
      </c>
      <c r="AB1235" t="str">
        <f t="shared" si="804"/>
        <v>INNER</v>
      </c>
      <c r="AC1235" t="str">
        <f t="shared" si="805"/>
        <v>Stock en Bultos</v>
      </c>
      <c r="AD1235" t="str">
        <f t="shared" si="806"/>
        <v>SubDepósito</v>
      </c>
      <c r="AE1235" t="str">
        <f t="shared" si="807"/>
        <v>Marca</v>
      </c>
      <c r="AF1235" t="str">
        <f t="shared" si="808"/>
        <v>Super Rubro</v>
      </c>
      <c r="AG1235" t="str">
        <f t="shared" si="809"/>
        <v>ComercioExterior</v>
      </c>
      <c r="AH1235" t="str">
        <f t="shared" si="810"/>
        <v>PrecioFOB</v>
      </c>
      <c r="AI1235" t="str">
        <f t="shared" si="811"/>
        <v>Monto II</v>
      </c>
      <c r="AJ1235" t="str">
        <f t="shared" si="812"/>
        <v>Porcentaje II</v>
      </c>
      <c r="AK1235" t="str">
        <f t="shared" si="813"/>
        <v>Foto</v>
      </c>
      <c r="AL1235" t="str">
        <f t="shared" si="818"/>
        <v xml:space="preserve"> </v>
      </c>
      <c r="AM1235" t="str">
        <f t="shared" si="814"/>
        <v xml:space="preserve"> </v>
      </c>
    </row>
    <row r="1236" spans="1:39" x14ac:dyDescent="0.25">
      <c r="A1236" t="str">
        <f>"BI384104 30"</f>
        <v>BI384104 30</v>
      </c>
      <c r="B1236" t="str">
        <f>"COJINETES BIELA 0,75 RENAULT MEGANE 3 FLUENCE NISSAN SENTRA 2.0 M4R"</f>
        <v>COJINETES BIELA 0,75 RENAULT MEGANE 3 FLUENCE NISSAN SENTRA 2.0 M4R</v>
      </c>
      <c r="C1236" t="str">
        <f>"$ 10960,47"</f>
        <v>$ 10960,47</v>
      </c>
      <c r="D1236" t="str">
        <f>"$ 10960,47"</f>
        <v>$ 10960,47</v>
      </c>
      <c r="E1236" t="str">
        <f>"$ 10960,47"</f>
        <v>$ 10960,47</v>
      </c>
      <c r="F1236" t="str">
        <f>"$ 10960,47"</f>
        <v>$ 10960,47</v>
      </c>
      <c r="G1236" t="str">
        <f>"$ 10960,47"</f>
        <v>$ 10960,47</v>
      </c>
      <c r="H1236" t="str">
        <f t="shared" si="795"/>
        <v>$ 0,00</v>
      </c>
      <c r="I1236" t="str">
        <f t="shared" si="794"/>
        <v>JUEGO COJINETES BIELA</v>
      </c>
      <c r="J1236" t="str">
        <f t="shared" si="796"/>
        <v>1</v>
      </c>
      <c r="K1236" t="str">
        <f t="shared" si="781"/>
        <v>0</v>
      </c>
      <c r="L1236" t="str">
        <f>"0,000"</f>
        <v>0,000</v>
      </c>
      <c r="M1236" t="str">
        <f t="shared" si="797"/>
        <v xml:space="preserve"> </v>
      </c>
      <c r="N1236" t="str">
        <f t="shared" si="788"/>
        <v>MPSI</v>
      </c>
      <c r="O1236" t="str">
        <f t="shared" si="789"/>
        <v>COJINETES</v>
      </c>
      <c r="P1236" t="str">
        <f t="shared" si="816"/>
        <v>0</v>
      </c>
      <c r="Q1236" t="str">
        <f t="shared" si="816"/>
        <v>0</v>
      </c>
      <c r="R1236" t="str">
        <f t="shared" si="817"/>
        <v>0,00</v>
      </c>
      <c r="S1236" t="str">
        <f t="shared" si="817"/>
        <v>0,00</v>
      </c>
      <c r="T1236" t="str">
        <f t="shared" si="819"/>
        <v xml:space="preserve"> </v>
      </c>
      <c r="U1236" t="str">
        <f t="shared" si="798"/>
        <v>-</v>
      </c>
      <c r="V1236" t="str">
        <f>"0,000"</f>
        <v>0,000</v>
      </c>
      <c r="W1236" t="str">
        <f t="shared" si="799"/>
        <v>Lista 4</v>
      </c>
      <c r="X1236" t="str">
        <f t="shared" si="800"/>
        <v>Lista 5</v>
      </c>
      <c r="Y1236" t="str">
        <f t="shared" si="801"/>
        <v>Oferta Gral.</v>
      </c>
      <c r="Z1236" t="str">
        <f t="shared" si="802"/>
        <v>Rubro</v>
      </c>
      <c r="AA1236" t="str">
        <f t="shared" si="803"/>
        <v>Cantidad por Bulto</v>
      </c>
      <c r="AB1236" t="str">
        <f t="shared" si="804"/>
        <v>INNER</v>
      </c>
      <c r="AC1236" t="str">
        <f t="shared" si="805"/>
        <v>Stock en Bultos</v>
      </c>
      <c r="AD1236" t="str">
        <f t="shared" si="806"/>
        <v>SubDepósito</v>
      </c>
      <c r="AE1236" t="str">
        <f t="shared" si="807"/>
        <v>Marca</v>
      </c>
      <c r="AF1236" t="str">
        <f t="shared" si="808"/>
        <v>Super Rubro</v>
      </c>
      <c r="AG1236" t="str">
        <f t="shared" si="809"/>
        <v>ComercioExterior</v>
      </c>
      <c r="AH1236" t="str">
        <f t="shared" si="810"/>
        <v>PrecioFOB</v>
      </c>
      <c r="AI1236" t="str">
        <f t="shared" si="811"/>
        <v>Monto II</v>
      </c>
      <c r="AJ1236" t="str">
        <f t="shared" si="812"/>
        <v>Porcentaje II</v>
      </c>
      <c r="AK1236" t="str">
        <f t="shared" si="813"/>
        <v>Foto</v>
      </c>
      <c r="AL1236" t="str">
        <f t="shared" si="818"/>
        <v xml:space="preserve"> </v>
      </c>
      <c r="AM1236" t="str">
        <f t="shared" si="814"/>
        <v xml:space="preserve"> </v>
      </c>
    </row>
    <row r="1237" spans="1:39" x14ac:dyDescent="0.25">
      <c r="A1237" t="str">
        <f>"BI876 30"</f>
        <v>BI876 30</v>
      </c>
      <c r="B1237" t="str">
        <f>"COJINETES BIELA 0,75 RENAULT MEGANE KANGOO LOGAN 1.5 DCI K9K"</f>
        <v>COJINETES BIELA 0,75 RENAULT MEGANE KANGOO LOGAN 1.5 DCI K9K</v>
      </c>
      <c r="C1237" t="str">
        <f>"$ 16988,75"</f>
        <v>$ 16988,75</v>
      </c>
      <c r="D1237" t="str">
        <f>"$ 16988,75"</f>
        <v>$ 16988,75</v>
      </c>
      <c r="E1237" t="str">
        <f>"$ 16988,75"</f>
        <v>$ 16988,75</v>
      </c>
      <c r="F1237" t="str">
        <f>"$ 16988,75"</f>
        <v>$ 16988,75</v>
      </c>
      <c r="G1237" t="str">
        <f>"$ 16988,75"</f>
        <v>$ 16988,75</v>
      </c>
      <c r="H1237" t="str">
        <f t="shared" si="795"/>
        <v>$ 0,00</v>
      </c>
      <c r="I1237" t="str">
        <f t="shared" si="794"/>
        <v>JUEGO COJINETES BIELA</v>
      </c>
      <c r="J1237" t="str">
        <f t="shared" si="796"/>
        <v>1</v>
      </c>
      <c r="K1237" t="str">
        <f t="shared" si="781"/>
        <v>0</v>
      </c>
      <c r="L1237" t="str">
        <f>"6,000"</f>
        <v>6,000</v>
      </c>
      <c r="M1237" t="str">
        <f t="shared" si="797"/>
        <v xml:space="preserve"> </v>
      </c>
      <c r="N1237" t="str">
        <f t="shared" si="788"/>
        <v>MPSI</v>
      </c>
      <c r="O1237" t="str">
        <f t="shared" si="789"/>
        <v>COJINETES</v>
      </c>
      <c r="P1237" t="str">
        <f t="shared" si="816"/>
        <v>0</v>
      </c>
      <c r="Q1237" t="str">
        <f t="shared" si="816"/>
        <v>0</v>
      </c>
      <c r="R1237" t="str">
        <f t="shared" si="817"/>
        <v>0,00</v>
      </c>
      <c r="S1237" t="str">
        <f t="shared" si="817"/>
        <v>0,00</v>
      </c>
      <c r="T1237" t="str">
        <f t="shared" si="819"/>
        <v xml:space="preserve"> </v>
      </c>
      <c r="U1237" t="str">
        <f t="shared" si="798"/>
        <v>-</v>
      </c>
      <c r="V1237" t="str">
        <f>"6,000"</f>
        <v>6,000</v>
      </c>
      <c r="W1237" t="str">
        <f t="shared" si="799"/>
        <v>Lista 4</v>
      </c>
      <c r="X1237" t="str">
        <f t="shared" si="800"/>
        <v>Lista 5</v>
      </c>
      <c r="Y1237" t="str">
        <f t="shared" si="801"/>
        <v>Oferta Gral.</v>
      </c>
      <c r="Z1237" t="str">
        <f t="shared" si="802"/>
        <v>Rubro</v>
      </c>
      <c r="AA1237" t="str">
        <f t="shared" si="803"/>
        <v>Cantidad por Bulto</v>
      </c>
      <c r="AB1237" t="str">
        <f t="shared" si="804"/>
        <v>INNER</v>
      </c>
      <c r="AC1237" t="str">
        <f t="shared" si="805"/>
        <v>Stock en Bultos</v>
      </c>
      <c r="AD1237" t="str">
        <f t="shared" si="806"/>
        <v>SubDepósito</v>
      </c>
      <c r="AE1237" t="str">
        <f t="shared" si="807"/>
        <v>Marca</v>
      </c>
      <c r="AF1237" t="str">
        <f t="shared" si="808"/>
        <v>Super Rubro</v>
      </c>
      <c r="AG1237" t="str">
        <f t="shared" si="809"/>
        <v>ComercioExterior</v>
      </c>
      <c r="AH1237" t="str">
        <f t="shared" si="810"/>
        <v>PrecioFOB</v>
      </c>
      <c r="AI1237" t="str">
        <f t="shared" si="811"/>
        <v>Monto II</v>
      </c>
      <c r="AJ1237" t="str">
        <f t="shared" si="812"/>
        <v>Porcentaje II</v>
      </c>
      <c r="AK1237" t="str">
        <f t="shared" si="813"/>
        <v>Foto</v>
      </c>
      <c r="AL1237" t="str">
        <f t="shared" si="818"/>
        <v xml:space="preserve"> </v>
      </c>
      <c r="AM1237" t="str">
        <f t="shared" si="814"/>
        <v xml:space="preserve"> </v>
      </c>
    </row>
    <row r="1238" spans="1:39" x14ac:dyDescent="0.25">
      <c r="A1238" t="str">
        <f>"BI873 30"</f>
        <v>BI873 30</v>
      </c>
      <c r="B1238" t="str">
        <f>"COJINETES BIELA 0,75 RENAULT MEGANE KANGOO LOGAN 1.6 16V K4M"</f>
        <v>COJINETES BIELA 0,75 RENAULT MEGANE KANGOO LOGAN 1.6 16V K4M</v>
      </c>
      <c r="C1238" t="str">
        <f>"$ 11452,54"</f>
        <v>$ 11452,54</v>
      </c>
      <c r="D1238" t="str">
        <f>"$ 11452,54"</f>
        <v>$ 11452,54</v>
      </c>
      <c r="E1238" t="str">
        <f>"$ 11452,54"</f>
        <v>$ 11452,54</v>
      </c>
      <c r="F1238" t="str">
        <f>"$ 11452,54"</f>
        <v>$ 11452,54</v>
      </c>
      <c r="G1238" t="str">
        <f>"$ 11452,54"</f>
        <v>$ 11452,54</v>
      </c>
      <c r="H1238" t="str">
        <f t="shared" si="795"/>
        <v>$ 0,00</v>
      </c>
      <c r="I1238" t="str">
        <f t="shared" si="794"/>
        <v>JUEGO COJINETES BIELA</v>
      </c>
      <c r="J1238" t="str">
        <f t="shared" si="796"/>
        <v>1</v>
      </c>
      <c r="K1238" t="str">
        <f t="shared" si="781"/>
        <v>0</v>
      </c>
      <c r="L1238" t="str">
        <f>"13,000"</f>
        <v>13,000</v>
      </c>
      <c r="M1238" t="str">
        <f t="shared" si="797"/>
        <v xml:space="preserve"> </v>
      </c>
      <c r="N1238" t="str">
        <f t="shared" si="788"/>
        <v>MPSI</v>
      </c>
      <c r="O1238" t="str">
        <f t="shared" si="789"/>
        <v>COJINETES</v>
      </c>
      <c r="P1238" t="str">
        <f t="shared" si="816"/>
        <v>0</v>
      </c>
      <c r="Q1238" t="str">
        <f t="shared" si="816"/>
        <v>0</v>
      </c>
      <c r="R1238" t="str">
        <f t="shared" si="817"/>
        <v>0,00</v>
      </c>
      <c r="S1238" t="str">
        <f t="shared" si="817"/>
        <v>0,00</v>
      </c>
      <c r="T1238" t="str">
        <f t="shared" si="819"/>
        <v xml:space="preserve"> </v>
      </c>
      <c r="U1238" t="str">
        <f t="shared" si="798"/>
        <v>-</v>
      </c>
      <c r="V1238" t="str">
        <f>"13,000"</f>
        <v>13,000</v>
      </c>
      <c r="W1238" t="str">
        <f t="shared" si="799"/>
        <v>Lista 4</v>
      </c>
      <c r="X1238" t="str">
        <f t="shared" si="800"/>
        <v>Lista 5</v>
      </c>
      <c r="Y1238" t="str">
        <f t="shared" si="801"/>
        <v>Oferta Gral.</v>
      </c>
      <c r="Z1238" t="str">
        <f t="shared" si="802"/>
        <v>Rubro</v>
      </c>
      <c r="AA1238" t="str">
        <f t="shared" si="803"/>
        <v>Cantidad por Bulto</v>
      </c>
      <c r="AB1238" t="str">
        <f t="shared" si="804"/>
        <v>INNER</v>
      </c>
      <c r="AC1238" t="str">
        <f t="shared" si="805"/>
        <v>Stock en Bultos</v>
      </c>
      <c r="AD1238" t="str">
        <f t="shared" si="806"/>
        <v>SubDepósito</v>
      </c>
      <c r="AE1238" t="str">
        <f t="shared" si="807"/>
        <v>Marca</v>
      </c>
      <c r="AF1238" t="str">
        <f t="shared" si="808"/>
        <v>Super Rubro</v>
      </c>
      <c r="AG1238" t="str">
        <f t="shared" si="809"/>
        <v>ComercioExterior</v>
      </c>
      <c r="AH1238" t="str">
        <f t="shared" si="810"/>
        <v>PrecioFOB</v>
      </c>
      <c r="AI1238" t="str">
        <f t="shared" si="811"/>
        <v>Monto II</v>
      </c>
      <c r="AJ1238" t="str">
        <f t="shared" si="812"/>
        <v>Porcentaje II</v>
      </c>
      <c r="AK1238" t="str">
        <f t="shared" si="813"/>
        <v>Foto</v>
      </c>
      <c r="AL1238" t="str">
        <f>"{\rtf1\ansi\ansicpg1252\deff0\deflang2058{\fonttbl{\f0\fnil\fcharset0 MS Sans Serif}} \viewkind4\uc1\pard\f0\fs16 COJINETES BIELA 0,75 RENAULT MEGANE KANGOO LOGAN 1.6 16V K4M\par } "</f>
        <v xml:space="preserve">{\rtf1\ansi\ansicpg1252\deff0\deflang2058{\fonttbl{\f0\fnil\fcharset0 MS Sans Serif}} \viewkind4\uc1\pard\f0\fs16 COJINETES BIELA 0,75 RENAULT MEGANE KANGOO LOGAN 1.6 16V K4M\par } </v>
      </c>
      <c r="AM1238" t="str">
        <f t="shared" si="814"/>
        <v xml:space="preserve"> </v>
      </c>
    </row>
    <row r="1239" spans="1:39" x14ac:dyDescent="0.25">
      <c r="A1239" t="str">
        <f>"BI556SP 30"</f>
        <v>BI556SP 30</v>
      </c>
      <c r="B1239" t="str">
        <f>"COJINETES BIELA 0,75 SPUTTER MERCEDES SPRINTER OM611"</f>
        <v>COJINETES BIELA 0,75 SPUTTER MERCEDES SPRINTER OM611</v>
      </c>
      <c r="C1239" t="str">
        <f>"$ 49361,70"</f>
        <v>$ 49361,70</v>
      </c>
      <c r="D1239" t="str">
        <f>"$ 49361,70"</f>
        <v>$ 49361,70</v>
      </c>
      <c r="E1239" t="str">
        <f>"$ 49361,70"</f>
        <v>$ 49361,70</v>
      </c>
      <c r="F1239" t="str">
        <f>"$ 49361,70"</f>
        <v>$ 49361,70</v>
      </c>
      <c r="G1239" t="str">
        <f>"$ 49361,70"</f>
        <v>$ 49361,70</v>
      </c>
      <c r="H1239" t="str">
        <f t="shared" si="795"/>
        <v>$ 0,00</v>
      </c>
      <c r="I1239" t="str">
        <f t="shared" si="794"/>
        <v>JUEGO COJINETES BIELA</v>
      </c>
      <c r="J1239" t="str">
        <f t="shared" si="796"/>
        <v>1</v>
      </c>
      <c r="K1239" t="str">
        <f t="shared" ref="K1239:K1302" si="820">"0"</f>
        <v>0</v>
      </c>
      <c r="L1239" t="str">
        <f>"0,000"</f>
        <v>0,000</v>
      </c>
      <c r="M1239" t="str">
        <f t="shared" si="797"/>
        <v xml:space="preserve"> </v>
      </c>
      <c r="N1239" t="str">
        <f t="shared" si="788"/>
        <v>MPSI</v>
      </c>
      <c r="O1239" t="str">
        <f t="shared" si="789"/>
        <v>COJINETES</v>
      </c>
      <c r="P1239" t="str">
        <f t="shared" si="816"/>
        <v>0</v>
      </c>
      <c r="Q1239" t="str">
        <f t="shared" si="816"/>
        <v>0</v>
      </c>
      <c r="R1239" t="str">
        <f t="shared" si="817"/>
        <v>0,00</v>
      </c>
      <c r="S1239" t="str">
        <f t="shared" si="817"/>
        <v>0,00</v>
      </c>
      <c r="T1239" t="str">
        <f t="shared" si="819"/>
        <v xml:space="preserve"> </v>
      </c>
      <c r="U1239" t="str">
        <f t="shared" si="798"/>
        <v>-</v>
      </c>
      <c r="V1239" t="str">
        <f>"0,000"</f>
        <v>0,000</v>
      </c>
      <c r="W1239" t="str">
        <f t="shared" si="799"/>
        <v>Lista 4</v>
      </c>
      <c r="X1239" t="str">
        <f t="shared" si="800"/>
        <v>Lista 5</v>
      </c>
      <c r="Y1239" t="str">
        <f t="shared" si="801"/>
        <v>Oferta Gral.</v>
      </c>
      <c r="Z1239" t="str">
        <f t="shared" si="802"/>
        <v>Rubro</v>
      </c>
      <c r="AA1239" t="str">
        <f t="shared" si="803"/>
        <v>Cantidad por Bulto</v>
      </c>
      <c r="AB1239" t="str">
        <f t="shared" si="804"/>
        <v>INNER</v>
      </c>
      <c r="AC1239" t="str">
        <f t="shared" si="805"/>
        <v>Stock en Bultos</v>
      </c>
      <c r="AD1239" t="str">
        <f t="shared" si="806"/>
        <v>SubDepósito</v>
      </c>
      <c r="AE1239" t="str">
        <f t="shared" si="807"/>
        <v>Marca</v>
      </c>
      <c r="AF1239" t="str">
        <f t="shared" si="808"/>
        <v>Super Rubro</v>
      </c>
      <c r="AG1239" t="str">
        <f t="shared" si="809"/>
        <v>ComercioExterior</v>
      </c>
      <c r="AH1239" t="str">
        <f t="shared" si="810"/>
        <v>PrecioFOB</v>
      </c>
      <c r="AI1239" t="str">
        <f t="shared" si="811"/>
        <v>Monto II</v>
      </c>
      <c r="AJ1239" t="str">
        <f t="shared" si="812"/>
        <v>Porcentaje II</v>
      </c>
      <c r="AK1239" t="str">
        <f t="shared" si="813"/>
        <v>Foto</v>
      </c>
      <c r="AL1239" t="str">
        <f>" "</f>
        <v xml:space="preserve"> </v>
      </c>
      <c r="AM1239" t="str">
        <f t="shared" si="814"/>
        <v xml:space="preserve"> </v>
      </c>
    </row>
    <row r="1240" spans="1:39" x14ac:dyDescent="0.25">
      <c r="A1240" t="str">
        <f>"BI444332 30"</f>
        <v>BI444332 30</v>
      </c>
      <c r="B1240" t="str">
        <f>"COJINETES BIELA 0,75 TOYOTA COROLLA YARIS 1.8 16V MOTOR 2ZR-FE"</f>
        <v>COJINETES BIELA 0,75 TOYOTA COROLLA YARIS 1.8 16V MOTOR 2ZR-FE</v>
      </c>
      <c r="C1240" t="str">
        <f>"$ 12444,29"</f>
        <v>$ 12444,29</v>
      </c>
      <c r="D1240" t="str">
        <f>"$ 12444,29"</f>
        <v>$ 12444,29</v>
      </c>
      <c r="E1240" t="str">
        <f>"$ 12444,29"</f>
        <v>$ 12444,29</v>
      </c>
      <c r="F1240" t="str">
        <f>"$ 12444,29"</f>
        <v>$ 12444,29</v>
      </c>
      <c r="G1240" t="str">
        <f>"$ 12444,29"</f>
        <v>$ 12444,29</v>
      </c>
      <c r="H1240" t="str">
        <f t="shared" si="795"/>
        <v>$ 0,00</v>
      </c>
      <c r="I1240" t="str">
        <f t="shared" si="794"/>
        <v>JUEGO COJINETES BIELA</v>
      </c>
      <c r="J1240" t="str">
        <f t="shared" si="796"/>
        <v>1</v>
      </c>
      <c r="K1240" t="str">
        <f t="shared" si="820"/>
        <v>0</v>
      </c>
      <c r="L1240" t="str">
        <f>"0,000"</f>
        <v>0,000</v>
      </c>
      <c r="M1240" t="str">
        <f t="shared" si="797"/>
        <v xml:space="preserve"> </v>
      </c>
      <c r="N1240" t="str">
        <f t="shared" si="788"/>
        <v>MPSI</v>
      </c>
      <c r="O1240" t="str">
        <f t="shared" si="789"/>
        <v>COJINETES</v>
      </c>
      <c r="P1240" t="str">
        <f t="shared" si="816"/>
        <v>0</v>
      </c>
      <c r="Q1240" t="str">
        <f t="shared" si="816"/>
        <v>0</v>
      </c>
      <c r="R1240" t="str">
        <f t="shared" si="817"/>
        <v>0,00</v>
      </c>
      <c r="S1240" t="str">
        <f t="shared" si="817"/>
        <v>0,00</v>
      </c>
      <c r="T1240" t="str">
        <f t="shared" si="819"/>
        <v xml:space="preserve"> </v>
      </c>
      <c r="U1240" t="str">
        <f t="shared" si="798"/>
        <v>-</v>
      </c>
      <c r="V1240" t="str">
        <f>"0,000"</f>
        <v>0,000</v>
      </c>
      <c r="W1240" t="str">
        <f t="shared" si="799"/>
        <v>Lista 4</v>
      </c>
      <c r="X1240" t="str">
        <f t="shared" si="800"/>
        <v>Lista 5</v>
      </c>
      <c r="Y1240" t="str">
        <f t="shared" si="801"/>
        <v>Oferta Gral.</v>
      </c>
      <c r="Z1240" t="str">
        <f t="shared" si="802"/>
        <v>Rubro</v>
      </c>
      <c r="AA1240" t="str">
        <f t="shared" si="803"/>
        <v>Cantidad por Bulto</v>
      </c>
      <c r="AB1240" t="str">
        <f t="shared" si="804"/>
        <v>INNER</v>
      </c>
      <c r="AC1240" t="str">
        <f t="shared" si="805"/>
        <v>Stock en Bultos</v>
      </c>
      <c r="AD1240" t="str">
        <f t="shared" si="806"/>
        <v>SubDepósito</v>
      </c>
      <c r="AE1240" t="str">
        <f t="shared" si="807"/>
        <v>Marca</v>
      </c>
      <c r="AF1240" t="str">
        <f t="shared" si="808"/>
        <v>Super Rubro</v>
      </c>
      <c r="AG1240" t="str">
        <f t="shared" si="809"/>
        <v>ComercioExterior</v>
      </c>
      <c r="AH1240" t="str">
        <f t="shared" si="810"/>
        <v>PrecioFOB</v>
      </c>
      <c r="AI1240" t="str">
        <f t="shared" si="811"/>
        <v>Monto II</v>
      </c>
      <c r="AJ1240" t="str">
        <f t="shared" si="812"/>
        <v>Porcentaje II</v>
      </c>
      <c r="AK1240" t="str">
        <f t="shared" si="813"/>
        <v>Foto</v>
      </c>
      <c r="AL1240" t="str">
        <f>" "</f>
        <v xml:space="preserve"> </v>
      </c>
      <c r="AM1240" t="str">
        <f t="shared" si="814"/>
        <v xml:space="preserve"> </v>
      </c>
    </row>
    <row r="1241" spans="1:39" x14ac:dyDescent="0.25">
      <c r="A1241" t="str">
        <f>"BI444107 30"</f>
        <v>BI444107 30</v>
      </c>
      <c r="B1241" t="str">
        <f>"COJINETES BIELA 0,75 TOYOTA ETIOS 1.5"</f>
        <v>COJINETES BIELA 0,75 TOYOTA ETIOS 1.5</v>
      </c>
      <c r="C1241" t="str">
        <f>"$ 11415,51"</f>
        <v>$ 11415,51</v>
      </c>
      <c r="D1241" t="str">
        <f>"$ 11415,51"</f>
        <v>$ 11415,51</v>
      </c>
      <c r="E1241" t="str">
        <f>"$ 11415,51"</f>
        <v>$ 11415,51</v>
      </c>
      <c r="F1241" t="str">
        <f>"$ 11415,51"</f>
        <v>$ 11415,51</v>
      </c>
      <c r="G1241" t="str">
        <f>"$ 11415,51"</f>
        <v>$ 11415,51</v>
      </c>
      <c r="H1241" t="str">
        <f t="shared" si="795"/>
        <v>$ 0,00</v>
      </c>
      <c r="I1241" t="str">
        <f t="shared" si="794"/>
        <v>JUEGO COJINETES BIELA</v>
      </c>
      <c r="J1241" t="str">
        <f t="shared" si="796"/>
        <v>1</v>
      </c>
      <c r="K1241" t="str">
        <f t="shared" si="820"/>
        <v>0</v>
      </c>
      <c r="L1241" t="str">
        <f>"0,000"</f>
        <v>0,000</v>
      </c>
      <c r="M1241" t="str">
        <f t="shared" si="797"/>
        <v xml:space="preserve"> </v>
      </c>
      <c r="N1241" t="str">
        <f t="shared" si="788"/>
        <v>MPSI</v>
      </c>
      <c r="O1241" t="str">
        <f t="shared" si="789"/>
        <v>COJINETES</v>
      </c>
      <c r="P1241" t="str">
        <f t="shared" si="816"/>
        <v>0</v>
      </c>
      <c r="Q1241" t="str">
        <f t="shared" si="816"/>
        <v>0</v>
      </c>
      <c r="R1241" t="str">
        <f t="shared" si="817"/>
        <v>0,00</v>
      </c>
      <c r="S1241" t="str">
        <f t="shared" si="817"/>
        <v>0,00</v>
      </c>
      <c r="T1241" t="str">
        <f t="shared" si="819"/>
        <v xml:space="preserve"> </v>
      </c>
      <c r="U1241" t="str">
        <f t="shared" si="798"/>
        <v>-</v>
      </c>
      <c r="V1241" t="str">
        <f>"0,000"</f>
        <v>0,000</v>
      </c>
      <c r="W1241" t="str">
        <f t="shared" si="799"/>
        <v>Lista 4</v>
      </c>
      <c r="X1241" t="str">
        <f t="shared" si="800"/>
        <v>Lista 5</v>
      </c>
      <c r="Y1241" t="str">
        <f t="shared" si="801"/>
        <v>Oferta Gral.</v>
      </c>
      <c r="Z1241" t="str">
        <f t="shared" si="802"/>
        <v>Rubro</v>
      </c>
      <c r="AA1241" t="str">
        <f t="shared" si="803"/>
        <v>Cantidad por Bulto</v>
      </c>
      <c r="AB1241" t="str">
        <f t="shared" si="804"/>
        <v>INNER</v>
      </c>
      <c r="AC1241" t="str">
        <f t="shared" si="805"/>
        <v>Stock en Bultos</v>
      </c>
      <c r="AD1241" t="str">
        <f t="shared" si="806"/>
        <v>SubDepósito</v>
      </c>
      <c r="AE1241" t="str">
        <f t="shared" si="807"/>
        <v>Marca</v>
      </c>
      <c r="AF1241" t="str">
        <f t="shared" si="808"/>
        <v>Super Rubro</v>
      </c>
      <c r="AG1241" t="str">
        <f t="shared" si="809"/>
        <v>ComercioExterior</v>
      </c>
      <c r="AH1241" t="str">
        <f t="shared" si="810"/>
        <v>PrecioFOB</v>
      </c>
      <c r="AI1241" t="str">
        <f t="shared" si="811"/>
        <v>Monto II</v>
      </c>
      <c r="AJ1241" t="str">
        <f t="shared" si="812"/>
        <v>Porcentaje II</v>
      </c>
      <c r="AK1241" t="str">
        <f t="shared" si="813"/>
        <v>Foto</v>
      </c>
      <c r="AL1241" t="str">
        <f>" "</f>
        <v xml:space="preserve"> </v>
      </c>
      <c r="AM1241" t="str">
        <f t="shared" si="814"/>
        <v xml:space="preserve"> </v>
      </c>
    </row>
    <row r="1242" spans="1:39" x14ac:dyDescent="0.25">
      <c r="A1242" t="str">
        <f>"BI749 30"</f>
        <v>BI749 30</v>
      </c>
      <c r="B1242" t="str">
        <f>"COJINETES BIELA 0,75 TOYOTA HILUX 2.8 L DIESEL MOTOR 3L"</f>
        <v>COJINETES BIELA 0,75 TOYOTA HILUX 2.8 L DIESEL MOTOR 3L</v>
      </c>
      <c r="C1242" t="str">
        <f>"$ 18359,78"</f>
        <v>$ 18359,78</v>
      </c>
      <c r="D1242" t="str">
        <f>"$ 18359,78"</f>
        <v>$ 18359,78</v>
      </c>
      <c r="E1242" t="str">
        <f>"$ 18359,78"</f>
        <v>$ 18359,78</v>
      </c>
      <c r="F1242" t="str">
        <f>"$ 18359,78"</f>
        <v>$ 18359,78</v>
      </c>
      <c r="G1242" t="str">
        <f>"$ 18359,78"</f>
        <v>$ 18359,78</v>
      </c>
      <c r="H1242" t="str">
        <f t="shared" si="795"/>
        <v>$ 0,00</v>
      </c>
      <c r="I1242" t="str">
        <f t="shared" si="794"/>
        <v>JUEGO COJINETES BIELA</v>
      </c>
      <c r="J1242" t="str">
        <f t="shared" si="796"/>
        <v>1</v>
      </c>
      <c r="K1242" t="str">
        <f t="shared" si="820"/>
        <v>0</v>
      </c>
      <c r="L1242" t="str">
        <f>"2,000"</f>
        <v>2,000</v>
      </c>
      <c r="M1242" t="str">
        <f t="shared" si="797"/>
        <v xml:space="preserve"> </v>
      </c>
      <c r="N1242" t="str">
        <f t="shared" si="788"/>
        <v>MPSI</v>
      </c>
      <c r="O1242" t="str">
        <f t="shared" si="789"/>
        <v>COJINETES</v>
      </c>
      <c r="P1242" t="str">
        <f t="shared" si="816"/>
        <v>0</v>
      </c>
      <c r="Q1242" t="str">
        <f t="shared" si="816"/>
        <v>0</v>
      </c>
      <c r="R1242" t="str">
        <f t="shared" si="817"/>
        <v>0,00</v>
      </c>
      <c r="S1242" t="str">
        <f t="shared" si="817"/>
        <v>0,00</v>
      </c>
      <c r="T1242" t="str">
        <f t="shared" si="819"/>
        <v xml:space="preserve"> </v>
      </c>
      <c r="U1242" t="str">
        <f t="shared" si="798"/>
        <v>-</v>
      </c>
      <c r="V1242" t="str">
        <f>"2,000"</f>
        <v>2,000</v>
      </c>
      <c r="W1242" t="str">
        <f t="shared" si="799"/>
        <v>Lista 4</v>
      </c>
      <c r="X1242" t="str">
        <f t="shared" si="800"/>
        <v>Lista 5</v>
      </c>
      <c r="Y1242" t="str">
        <f t="shared" si="801"/>
        <v>Oferta Gral.</v>
      </c>
      <c r="Z1242" t="str">
        <f t="shared" si="802"/>
        <v>Rubro</v>
      </c>
      <c r="AA1242" t="str">
        <f t="shared" si="803"/>
        <v>Cantidad por Bulto</v>
      </c>
      <c r="AB1242" t="str">
        <f t="shared" si="804"/>
        <v>INNER</v>
      </c>
      <c r="AC1242" t="str">
        <f t="shared" si="805"/>
        <v>Stock en Bultos</v>
      </c>
      <c r="AD1242" t="str">
        <f t="shared" si="806"/>
        <v>SubDepósito</v>
      </c>
      <c r="AE1242" t="str">
        <f t="shared" si="807"/>
        <v>Marca</v>
      </c>
      <c r="AF1242" t="str">
        <f t="shared" si="808"/>
        <v>Super Rubro</v>
      </c>
      <c r="AG1242" t="str">
        <f t="shared" si="809"/>
        <v>ComercioExterior</v>
      </c>
      <c r="AH1242" t="str">
        <f t="shared" si="810"/>
        <v>PrecioFOB</v>
      </c>
      <c r="AI1242" t="str">
        <f t="shared" si="811"/>
        <v>Monto II</v>
      </c>
      <c r="AJ1242" t="str">
        <f t="shared" si="812"/>
        <v>Porcentaje II</v>
      </c>
      <c r="AK1242" t="str">
        <f t="shared" si="813"/>
        <v>Foto</v>
      </c>
      <c r="AL1242" t="str">
        <f>" "</f>
        <v xml:space="preserve"> </v>
      </c>
      <c r="AM1242" t="str">
        <f t="shared" si="814"/>
        <v xml:space="preserve"> </v>
      </c>
    </row>
    <row r="1243" spans="1:39" x14ac:dyDescent="0.25">
      <c r="A1243" t="str">
        <f>"BI837 30"</f>
        <v>BI837 30</v>
      </c>
      <c r="B1243" t="str">
        <f>"COJINETES BIELA 0,75 TOYOTA HILUX 3.0 MOTOR D4D 1KD"</f>
        <v>COJINETES BIELA 0,75 TOYOTA HILUX 3.0 MOTOR D4D 1KD</v>
      </c>
      <c r="C1243" t="str">
        <f>"$ 18874,17"</f>
        <v>$ 18874,17</v>
      </c>
      <c r="D1243" t="str">
        <f>"$ 18874,17"</f>
        <v>$ 18874,17</v>
      </c>
      <c r="E1243" t="str">
        <f>"$ 18874,17"</f>
        <v>$ 18874,17</v>
      </c>
      <c r="F1243" t="str">
        <f>"$ 18874,17"</f>
        <v>$ 18874,17</v>
      </c>
      <c r="G1243" t="str">
        <f>"$ 18874,17"</f>
        <v>$ 18874,17</v>
      </c>
      <c r="H1243" t="str">
        <f t="shared" si="795"/>
        <v>$ 0,00</v>
      </c>
      <c r="I1243" t="str">
        <f t="shared" si="794"/>
        <v>JUEGO COJINETES BIELA</v>
      </c>
      <c r="J1243" t="str">
        <f t="shared" si="796"/>
        <v>1</v>
      </c>
      <c r="K1243" t="str">
        <f t="shared" si="820"/>
        <v>0</v>
      </c>
      <c r="L1243" t="str">
        <f>"0,000"</f>
        <v>0,000</v>
      </c>
      <c r="M1243" t="str">
        <f t="shared" si="797"/>
        <v xml:space="preserve"> </v>
      </c>
      <c r="N1243" t="str">
        <f t="shared" si="788"/>
        <v>MPSI</v>
      </c>
      <c r="O1243" t="str">
        <f t="shared" si="789"/>
        <v>COJINETES</v>
      </c>
      <c r="P1243" t="str">
        <f t="shared" ref="P1243:Q1262" si="821">"0"</f>
        <v>0</v>
      </c>
      <c r="Q1243" t="str">
        <f t="shared" si="821"/>
        <v>0</v>
      </c>
      <c r="R1243" t="str">
        <f t="shared" ref="R1243:S1262" si="822">"0,00"</f>
        <v>0,00</v>
      </c>
      <c r="S1243" t="str">
        <f t="shared" si="822"/>
        <v>0,00</v>
      </c>
      <c r="T1243" t="str">
        <f t="shared" si="819"/>
        <v xml:space="preserve"> </v>
      </c>
      <c r="U1243" t="str">
        <f t="shared" si="798"/>
        <v>-</v>
      </c>
      <c r="V1243" t="str">
        <f>"0,000"</f>
        <v>0,000</v>
      </c>
      <c r="W1243" t="str">
        <f t="shared" si="799"/>
        <v>Lista 4</v>
      </c>
      <c r="X1243" t="str">
        <f t="shared" si="800"/>
        <v>Lista 5</v>
      </c>
      <c r="Y1243" t="str">
        <f t="shared" si="801"/>
        <v>Oferta Gral.</v>
      </c>
      <c r="Z1243" t="str">
        <f t="shared" si="802"/>
        <v>Rubro</v>
      </c>
      <c r="AA1243" t="str">
        <f t="shared" si="803"/>
        <v>Cantidad por Bulto</v>
      </c>
      <c r="AB1243" t="str">
        <f t="shared" si="804"/>
        <v>INNER</v>
      </c>
      <c r="AC1243" t="str">
        <f t="shared" si="805"/>
        <v>Stock en Bultos</v>
      </c>
      <c r="AD1243" t="str">
        <f t="shared" si="806"/>
        <v>SubDepósito</v>
      </c>
      <c r="AE1243" t="str">
        <f t="shared" si="807"/>
        <v>Marca</v>
      </c>
      <c r="AF1243" t="str">
        <f t="shared" si="808"/>
        <v>Super Rubro</v>
      </c>
      <c r="AG1243" t="str">
        <f t="shared" si="809"/>
        <v>ComercioExterior</v>
      </c>
      <c r="AH1243" t="str">
        <f t="shared" si="810"/>
        <v>PrecioFOB</v>
      </c>
      <c r="AI1243" t="str">
        <f t="shared" si="811"/>
        <v>Monto II</v>
      </c>
      <c r="AJ1243" t="str">
        <f t="shared" si="812"/>
        <v>Porcentaje II</v>
      </c>
      <c r="AK1243" t="str">
        <f t="shared" si="813"/>
        <v>Foto</v>
      </c>
      <c r="AL1243" t="str">
        <f>" "</f>
        <v xml:space="preserve"> </v>
      </c>
      <c r="AM1243" t="str">
        <f t="shared" si="814"/>
        <v xml:space="preserve"> </v>
      </c>
    </row>
    <row r="1244" spans="1:39" x14ac:dyDescent="0.25">
      <c r="A1244" t="str">
        <f>"BI481 30"</f>
        <v>BI481 30</v>
      </c>
      <c r="B1244" t="str">
        <f>"COJINETES BIELA 0,75 VW BORA 1.9 TDI"</f>
        <v>COJINETES BIELA 0,75 VW BORA 1.9 TDI</v>
      </c>
      <c r="C1244" t="str">
        <f>"$ 37084,40"</f>
        <v>$ 37084,40</v>
      </c>
      <c r="D1244" t="str">
        <f>"$ 37084,40"</f>
        <v>$ 37084,40</v>
      </c>
      <c r="E1244" t="str">
        <f>"$ 37084,40"</f>
        <v>$ 37084,40</v>
      </c>
      <c r="F1244" t="str">
        <f>"$ 37084,40"</f>
        <v>$ 37084,40</v>
      </c>
      <c r="G1244" t="str">
        <f>"$ 37084,40"</f>
        <v>$ 37084,40</v>
      </c>
      <c r="H1244" t="str">
        <f t="shared" si="795"/>
        <v>$ 0,00</v>
      </c>
      <c r="I1244" t="str">
        <f t="shared" si="794"/>
        <v>JUEGO COJINETES BIELA</v>
      </c>
      <c r="J1244" t="str">
        <f t="shared" si="796"/>
        <v>1</v>
      </c>
      <c r="K1244" t="str">
        <f t="shared" si="820"/>
        <v>0</v>
      </c>
      <c r="L1244" t="str">
        <f>"3,000"</f>
        <v>3,000</v>
      </c>
      <c r="M1244" t="str">
        <f t="shared" si="797"/>
        <v xml:space="preserve"> </v>
      </c>
      <c r="N1244" t="str">
        <f t="shared" si="788"/>
        <v>MPSI</v>
      </c>
      <c r="O1244" t="str">
        <f t="shared" si="789"/>
        <v>COJINETES</v>
      </c>
      <c r="P1244" t="str">
        <f t="shared" si="821"/>
        <v>0</v>
      </c>
      <c r="Q1244" t="str">
        <f t="shared" si="821"/>
        <v>0</v>
      </c>
      <c r="R1244" t="str">
        <f t="shared" si="822"/>
        <v>0,00</v>
      </c>
      <c r="S1244" t="str">
        <f t="shared" si="822"/>
        <v>0,00</v>
      </c>
      <c r="T1244" t="str">
        <f t="shared" si="819"/>
        <v xml:space="preserve"> </v>
      </c>
      <c r="U1244" t="str">
        <f>" "</f>
        <v xml:space="preserve"> </v>
      </c>
      <c r="V1244" t="str">
        <f>"3,000"</f>
        <v>3,000</v>
      </c>
      <c r="W1244" t="str">
        <f t="shared" si="799"/>
        <v>Lista 4</v>
      </c>
      <c r="X1244" t="str">
        <f t="shared" si="800"/>
        <v>Lista 5</v>
      </c>
      <c r="Y1244" t="str">
        <f t="shared" si="801"/>
        <v>Oferta Gral.</v>
      </c>
      <c r="Z1244" t="str">
        <f t="shared" si="802"/>
        <v>Rubro</v>
      </c>
      <c r="AA1244" t="str">
        <f t="shared" si="803"/>
        <v>Cantidad por Bulto</v>
      </c>
      <c r="AB1244" t="str">
        <f t="shared" si="804"/>
        <v>INNER</v>
      </c>
      <c r="AC1244" t="str">
        <f t="shared" si="805"/>
        <v>Stock en Bultos</v>
      </c>
      <c r="AD1244" t="str">
        <f t="shared" si="806"/>
        <v>SubDepósito</v>
      </c>
      <c r="AE1244" t="str">
        <f t="shared" si="807"/>
        <v>Marca</v>
      </c>
      <c r="AF1244" t="str">
        <f t="shared" si="808"/>
        <v>Super Rubro</v>
      </c>
      <c r="AG1244" t="str">
        <f t="shared" si="809"/>
        <v>ComercioExterior</v>
      </c>
      <c r="AH1244" t="str">
        <f t="shared" si="810"/>
        <v>PrecioFOB</v>
      </c>
      <c r="AI1244" t="str">
        <f t="shared" si="811"/>
        <v>Monto II</v>
      </c>
      <c r="AJ1244" t="str">
        <f t="shared" si="812"/>
        <v>Porcentaje II</v>
      </c>
      <c r="AK1244" t="str">
        <f t="shared" si="813"/>
        <v>Foto</v>
      </c>
      <c r="AL1244" t="str">
        <f>"{\rtf1\ansi\ansicpg1252\deff0\deflang11274{\fonttbl{\f0\fnil\fcharset0 MS Sans Serif}} \viewkind4\uc1\pard\f0\fs16 COJINETES BIELA 0,75 VW BORA 1.9 TDI\par } "</f>
        <v xml:space="preserve">{\rtf1\ansi\ansicpg1252\deff0\deflang11274{\fonttbl{\f0\fnil\fcharset0 MS Sans Serif}} \viewkind4\uc1\pard\f0\fs16 COJINETES BIELA 0,75 VW BORA 1.9 TDI\par } </v>
      </c>
      <c r="AM1244" t="str">
        <f>"-"</f>
        <v>-</v>
      </c>
    </row>
    <row r="1245" spans="1:39" x14ac:dyDescent="0.25">
      <c r="A1245" t="str">
        <f>"BI625 30"</f>
        <v>BI625 30</v>
      </c>
      <c r="B1245" t="str">
        <f>"COJINETES BIELA 0,75 VW FOX SURAN GOL TREND GOLF IVI 1.6 8V"</f>
        <v>COJINETES BIELA 0,75 VW FOX SURAN GOL TREND GOLF IVI 1.6 8V</v>
      </c>
      <c r="C1245" t="str">
        <f>"$ 11667,37"</f>
        <v>$ 11667,37</v>
      </c>
      <c r="D1245" t="str">
        <f>"$ 11667,37"</f>
        <v>$ 11667,37</v>
      </c>
      <c r="E1245" t="str">
        <f>"$ 11667,37"</f>
        <v>$ 11667,37</v>
      </c>
      <c r="F1245" t="str">
        <f>"$ 11667,37"</f>
        <v>$ 11667,37</v>
      </c>
      <c r="G1245" t="str">
        <f>"$ 11667,37"</f>
        <v>$ 11667,37</v>
      </c>
      <c r="H1245" t="str">
        <f t="shared" si="795"/>
        <v>$ 0,00</v>
      </c>
      <c r="I1245" t="str">
        <f t="shared" si="794"/>
        <v>JUEGO COJINETES BIELA</v>
      </c>
      <c r="J1245" t="str">
        <f t="shared" si="796"/>
        <v>1</v>
      </c>
      <c r="K1245" t="str">
        <f t="shared" si="820"/>
        <v>0</v>
      </c>
      <c r="L1245" t="str">
        <f>"23,000"</f>
        <v>23,000</v>
      </c>
      <c r="M1245" t="str">
        <f t="shared" si="797"/>
        <v xml:space="preserve"> </v>
      </c>
      <c r="N1245" t="str">
        <f t="shared" si="788"/>
        <v>MPSI</v>
      </c>
      <c r="O1245" t="str">
        <f t="shared" si="789"/>
        <v>COJINETES</v>
      </c>
      <c r="P1245" t="str">
        <f t="shared" si="821"/>
        <v>0</v>
      </c>
      <c r="Q1245" t="str">
        <f t="shared" si="821"/>
        <v>0</v>
      </c>
      <c r="R1245" t="str">
        <f t="shared" si="822"/>
        <v>0,00</v>
      </c>
      <c r="S1245" t="str">
        <f t="shared" si="822"/>
        <v>0,00</v>
      </c>
      <c r="T1245" t="str">
        <f t="shared" si="819"/>
        <v xml:space="preserve"> </v>
      </c>
      <c r="U1245" t="str">
        <f t="shared" ref="U1245:U1260" si="823">"-"</f>
        <v>-</v>
      </c>
      <c r="V1245" t="str">
        <f>"23,000"</f>
        <v>23,000</v>
      </c>
      <c r="W1245" t="str">
        <f t="shared" si="799"/>
        <v>Lista 4</v>
      </c>
      <c r="X1245" t="str">
        <f t="shared" si="800"/>
        <v>Lista 5</v>
      </c>
      <c r="Y1245" t="str">
        <f t="shared" si="801"/>
        <v>Oferta Gral.</v>
      </c>
      <c r="Z1245" t="str">
        <f t="shared" si="802"/>
        <v>Rubro</v>
      </c>
      <c r="AA1245" t="str">
        <f t="shared" si="803"/>
        <v>Cantidad por Bulto</v>
      </c>
      <c r="AB1245" t="str">
        <f t="shared" si="804"/>
        <v>INNER</v>
      </c>
      <c r="AC1245" t="str">
        <f t="shared" si="805"/>
        <v>Stock en Bultos</v>
      </c>
      <c r="AD1245" t="str">
        <f t="shared" si="806"/>
        <v>SubDepósito</v>
      </c>
      <c r="AE1245" t="str">
        <f t="shared" si="807"/>
        <v>Marca</v>
      </c>
      <c r="AF1245" t="str">
        <f t="shared" si="808"/>
        <v>Super Rubro</v>
      </c>
      <c r="AG1245" t="str">
        <f t="shared" si="809"/>
        <v>ComercioExterior</v>
      </c>
      <c r="AH1245" t="str">
        <f t="shared" si="810"/>
        <v>PrecioFOB</v>
      </c>
      <c r="AI1245" t="str">
        <f t="shared" si="811"/>
        <v>Monto II</v>
      </c>
      <c r="AJ1245" t="str">
        <f t="shared" si="812"/>
        <v>Porcentaje II</v>
      </c>
      <c r="AK1245" t="str">
        <f t="shared" si="813"/>
        <v>Foto</v>
      </c>
      <c r="AL1245" t="str">
        <f>"{\rtf1\ansi\ansicpg1252\deff0\deflang2058{\fonttbl{\f0\fnil\fcharset0 MS Sans Serif}} \viewkind4\uc1\pard\f0\fs16 COJINETES BIELA 0,75 VW FOX SURAN GOL TREND GOLF IVI 1.6 8V\par } "</f>
        <v xml:space="preserve">{\rtf1\ansi\ansicpg1252\deff0\deflang2058{\fonttbl{\f0\fnil\fcharset0 MS Sans Serif}} \viewkind4\uc1\pard\f0\fs16 COJINETES BIELA 0,75 VW FOX SURAN GOL TREND GOLF IVI 1.6 8V\par } </v>
      </c>
      <c r="AM1245" t="str">
        <f t="shared" ref="AM1245:AM1265" si="824">" "</f>
        <v xml:space="preserve"> </v>
      </c>
    </row>
    <row r="1246" spans="1:39" x14ac:dyDescent="0.25">
      <c r="A1246" t="str">
        <f>"BI624 30"</f>
        <v>BI624 30</v>
      </c>
      <c r="B1246" t="str">
        <f>"COJINETES BIELA 0,75 VW GOL 1000"</f>
        <v>COJINETES BIELA 0,75 VW GOL 1000</v>
      </c>
      <c r="C1246" t="str">
        <f>"$ 12879,55"</f>
        <v>$ 12879,55</v>
      </c>
      <c r="D1246" t="str">
        <f>"$ 12879,55"</f>
        <v>$ 12879,55</v>
      </c>
      <c r="E1246" t="str">
        <f>"$ 12879,55"</f>
        <v>$ 12879,55</v>
      </c>
      <c r="F1246" t="str">
        <f>"$ 12879,55"</f>
        <v>$ 12879,55</v>
      </c>
      <c r="G1246" t="str">
        <f>"$ 12879,55"</f>
        <v>$ 12879,55</v>
      </c>
      <c r="H1246" t="str">
        <f t="shared" si="795"/>
        <v>$ 0,00</v>
      </c>
      <c r="I1246" t="str">
        <f t="shared" si="794"/>
        <v>JUEGO COJINETES BIELA</v>
      </c>
      <c r="J1246" t="str">
        <f t="shared" si="796"/>
        <v>1</v>
      </c>
      <c r="K1246" t="str">
        <f t="shared" si="820"/>
        <v>0</v>
      </c>
      <c r="L1246" t="str">
        <f>"3,000"</f>
        <v>3,000</v>
      </c>
      <c r="M1246" t="str">
        <f t="shared" si="797"/>
        <v xml:space="preserve"> </v>
      </c>
      <c r="N1246" t="str">
        <f t="shared" si="788"/>
        <v>MPSI</v>
      </c>
      <c r="O1246" t="str">
        <f t="shared" si="789"/>
        <v>COJINETES</v>
      </c>
      <c r="P1246" t="str">
        <f t="shared" si="821"/>
        <v>0</v>
      </c>
      <c r="Q1246" t="str">
        <f t="shared" si="821"/>
        <v>0</v>
      </c>
      <c r="R1246" t="str">
        <f t="shared" si="822"/>
        <v>0,00</v>
      </c>
      <c r="S1246" t="str">
        <f t="shared" si="822"/>
        <v>0,00</v>
      </c>
      <c r="T1246" t="str">
        <f t="shared" si="819"/>
        <v xml:space="preserve"> </v>
      </c>
      <c r="U1246" t="str">
        <f t="shared" si="823"/>
        <v>-</v>
      </c>
      <c r="V1246" t="str">
        <f>"3,000"</f>
        <v>3,000</v>
      </c>
      <c r="W1246" t="str">
        <f t="shared" si="799"/>
        <v>Lista 4</v>
      </c>
      <c r="X1246" t="str">
        <f t="shared" si="800"/>
        <v>Lista 5</v>
      </c>
      <c r="Y1246" t="str">
        <f t="shared" si="801"/>
        <v>Oferta Gral.</v>
      </c>
      <c r="Z1246" t="str">
        <f t="shared" si="802"/>
        <v>Rubro</v>
      </c>
      <c r="AA1246" t="str">
        <f t="shared" si="803"/>
        <v>Cantidad por Bulto</v>
      </c>
      <c r="AB1246" t="str">
        <f t="shared" si="804"/>
        <v>INNER</v>
      </c>
      <c r="AC1246" t="str">
        <f t="shared" si="805"/>
        <v>Stock en Bultos</v>
      </c>
      <c r="AD1246" t="str">
        <f t="shared" si="806"/>
        <v>SubDepósito</v>
      </c>
      <c r="AE1246" t="str">
        <f t="shared" si="807"/>
        <v>Marca</v>
      </c>
      <c r="AF1246" t="str">
        <f t="shared" si="808"/>
        <v>Super Rubro</v>
      </c>
      <c r="AG1246" t="str">
        <f t="shared" si="809"/>
        <v>ComercioExterior</v>
      </c>
      <c r="AH1246" t="str">
        <f t="shared" si="810"/>
        <v>PrecioFOB</v>
      </c>
      <c r="AI1246" t="str">
        <f t="shared" si="811"/>
        <v>Monto II</v>
      </c>
      <c r="AJ1246" t="str">
        <f t="shared" si="812"/>
        <v>Porcentaje II</v>
      </c>
      <c r="AK1246" t="str">
        <f t="shared" si="813"/>
        <v>Foto</v>
      </c>
      <c r="AL1246" t="str">
        <f>"{\rtf1\ansi\ansicpg1252\deff0\deflang11274{\fonttbl{\f0\fnil\fcharset0 MS Sans Serif}} \viewkind4\uc1\pard\f0\fs16 COJINETES BIELA 0,75 VW GOL 1000\par } "</f>
        <v xml:space="preserve">{\rtf1\ansi\ansicpg1252\deff0\deflang11274{\fonttbl{\f0\fnil\fcharset0 MS Sans Serif}} \viewkind4\uc1\pard\f0\fs16 COJINETES BIELA 0,75 VW GOL 1000\par } </v>
      </c>
      <c r="AM1246" t="str">
        <f t="shared" si="824"/>
        <v xml:space="preserve"> </v>
      </c>
    </row>
    <row r="1247" spans="1:39" x14ac:dyDescent="0.25">
      <c r="A1247" t="str">
        <f>"BI628 30"</f>
        <v>BI628 30</v>
      </c>
      <c r="B1247" t="str">
        <f>"COJINETES BIELA 0,75 VW GOL POLO SAVEIRO MOTOR AUDI 1.6 8V"</f>
        <v>COJINETES BIELA 0,75 VW GOL POLO SAVEIRO MOTOR AUDI 1.6 8V</v>
      </c>
      <c r="C1247" t="str">
        <f>"$ 12196,21"</f>
        <v>$ 12196,21</v>
      </c>
      <c r="D1247" t="str">
        <f>"$ 12196,21"</f>
        <v>$ 12196,21</v>
      </c>
      <c r="E1247" t="str">
        <f>"$ 12196,21"</f>
        <v>$ 12196,21</v>
      </c>
      <c r="F1247" t="str">
        <f>"$ 12196,21"</f>
        <v>$ 12196,21</v>
      </c>
      <c r="G1247" t="str">
        <f>"$ 12196,21"</f>
        <v>$ 12196,21</v>
      </c>
      <c r="H1247" t="str">
        <f t="shared" si="795"/>
        <v>$ 0,00</v>
      </c>
      <c r="I1247" t="str">
        <f t="shared" si="794"/>
        <v>JUEGO COJINETES BIELA</v>
      </c>
      <c r="J1247" t="str">
        <f t="shared" si="796"/>
        <v>1</v>
      </c>
      <c r="K1247" t="str">
        <f t="shared" si="820"/>
        <v>0</v>
      </c>
      <c r="L1247" t="str">
        <f>"21,000"</f>
        <v>21,000</v>
      </c>
      <c r="M1247" t="str">
        <f t="shared" si="797"/>
        <v xml:space="preserve"> </v>
      </c>
      <c r="N1247" t="str">
        <f t="shared" si="788"/>
        <v>MPSI</v>
      </c>
      <c r="O1247" t="str">
        <f t="shared" si="789"/>
        <v>COJINETES</v>
      </c>
      <c r="P1247" t="str">
        <f t="shared" si="821"/>
        <v>0</v>
      </c>
      <c r="Q1247" t="str">
        <f t="shared" si="821"/>
        <v>0</v>
      </c>
      <c r="R1247" t="str">
        <f t="shared" si="822"/>
        <v>0,00</v>
      </c>
      <c r="S1247" t="str">
        <f t="shared" si="822"/>
        <v>0,00</v>
      </c>
      <c r="T1247" t="str">
        <f t="shared" si="819"/>
        <v xml:space="preserve"> </v>
      </c>
      <c r="U1247" t="str">
        <f t="shared" si="823"/>
        <v>-</v>
      </c>
      <c r="V1247" t="str">
        <f>"21,000"</f>
        <v>21,000</v>
      </c>
      <c r="W1247" t="str">
        <f t="shared" si="799"/>
        <v>Lista 4</v>
      </c>
      <c r="X1247" t="str">
        <f t="shared" si="800"/>
        <v>Lista 5</v>
      </c>
      <c r="Y1247" t="str">
        <f t="shared" si="801"/>
        <v>Oferta Gral.</v>
      </c>
      <c r="Z1247" t="str">
        <f t="shared" si="802"/>
        <v>Rubro</v>
      </c>
      <c r="AA1247" t="str">
        <f t="shared" si="803"/>
        <v>Cantidad por Bulto</v>
      </c>
      <c r="AB1247" t="str">
        <f t="shared" si="804"/>
        <v>INNER</v>
      </c>
      <c r="AC1247" t="str">
        <f t="shared" si="805"/>
        <v>Stock en Bultos</v>
      </c>
      <c r="AD1247" t="str">
        <f t="shared" si="806"/>
        <v>SubDepósito</v>
      </c>
      <c r="AE1247" t="str">
        <f t="shared" si="807"/>
        <v>Marca</v>
      </c>
      <c r="AF1247" t="str">
        <f t="shared" si="808"/>
        <v>Super Rubro</v>
      </c>
      <c r="AG1247" t="str">
        <f t="shared" si="809"/>
        <v>ComercioExterior</v>
      </c>
      <c r="AH1247" t="str">
        <f t="shared" si="810"/>
        <v>PrecioFOB</v>
      </c>
      <c r="AI1247" t="str">
        <f t="shared" si="811"/>
        <v>Monto II</v>
      </c>
      <c r="AJ1247" t="str">
        <f t="shared" si="812"/>
        <v>Porcentaje II</v>
      </c>
      <c r="AK1247" t="str">
        <f t="shared" si="813"/>
        <v>Foto</v>
      </c>
      <c r="AL1247" t="str">
        <f>"{\rtf1\ansi\ansicpg1252\deff0\deflang2058{\fonttbl{\f0\fnil\fcharset0 MS Sans Serif}} \viewkind4\uc1\pard\f0\fs16 COJINETES BIELA 0,75 VW GOL POLO SAVEIRO MOTOR AUDI 1.6 8V\par } "</f>
        <v xml:space="preserve">{\rtf1\ansi\ansicpg1252\deff0\deflang2058{\fonttbl{\f0\fnil\fcharset0 MS Sans Serif}} \viewkind4\uc1\pard\f0\fs16 COJINETES BIELA 0,75 VW GOL POLO SAVEIRO MOTOR AUDI 1.6 8V\par } </v>
      </c>
      <c r="AM1247" t="str">
        <f t="shared" si="824"/>
        <v xml:space="preserve"> </v>
      </c>
    </row>
    <row r="1248" spans="1:39" x14ac:dyDescent="0.25">
      <c r="A1248" t="str">
        <f>"BI483 30"</f>
        <v>BI483 30</v>
      </c>
      <c r="B1248" t="str">
        <f>"COJINETES BIELA 0,75 VW POLO 1.9 TDI"</f>
        <v>COJINETES BIELA 0,75 VW POLO 1.9 TDI</v>
      </c>
      <c r="C1248" t="str">
        <f>"$ 24354,41"</f>
        <v>$ 24354,41</v>
      </c>
      <c r="D1248" t="str">
        <f>"$ 24354,41"</f>
        <v>$ 24354,41</v>
      </c>
      <c r="E1248" t="str">
        <f>"$ 24354,41"</f>
        <v>$ 24354,41</v>
      </c>
      <c r="F1248" t="str">
        <f>"$ 24354,41"</f>
        <v>$ 24354,41</v>
      </c>
      <c r="G1248" t="str">
        <f>"$ 24354,41"</f>
        <v>$ 24354,41</v>
      </c>
      <c r="H1248" t="str">
        <f t="shared" si="795"/>
        <v>$ 0,00</v>
      </c>
      <c r="I1248" t="str">
        <f t="shared" si="794"/>
        <v>JUEGO COJINETES BIELA</v>
      </c>
      <c r="J1248" t="str">
        <f t="shared" si="796"/>
        <v>1</v>
      </c>
      <c r="K1248" t="str">
        <f t="shared" si="820"/>
        <v>0</v>
      </c>
      <c r="L1248" t="str">
        <f>"4,000"</f>
        <v>4,000</v>
      </c>
      <c r="M1248" t="str">
        <f t="shared" si="797"/>
        <v xml:space="preserve"> </v>
      </c>
      <c r="N1248" t="str">
        <f t="shared" si="788"/>
        <v>MPSI</v>
      </c>
      <c r="O1248" t="str">
        <f t="shared" si="789"/>
        <v>COJINETES</v>
      </c>
      <c r="P1248" t="str">
        <f t="shared" si="821"/>
        <v>0</v>
      </c>
      <c r="Q1248" t="str">
        <f t="shared" si="821"/>
        <v>0</v>
      </c>
      <c r="R1248" t="str">
        <f t="shared" si="822"/>
        <v>0,00</v>
      </c>
      <c r="S1248" t="str">
        <f t="shared" si="822"/>
        <v>0,00</v>
      </c>
      <c r="T1248" t="str">
        <f t="shared" si="819"/>
        <v xml:space="preserve"> </v>
      </c>
      <c r="U1248" t="str">
        <f t="shared" si="823"/>
        <v>-</v>
      </c>
      <c r="V1248" t="str">
        <f>"4,000"</f>
        <v>4,000</v>
      </c>
      <c r="W1248" t="str">
        <f t="shared" si="799"/>
        <v>Lista 4</v>
      </c>
      <c r="X1248" t="str">
        <f t="shared" si="800"/>
        <v>Lista 5</v>
      </c>
      <c r="Y1248" t="str">
        <f t="shared" si="801"/>
        <v>Oferta Gral.</v>
      </c>
      <c r="Z1248" t="str">
        <f t="shared" si="802"/>
        <v>Rubro</v>
      </c>
      <c r="AA1248" t="str">
        <f t="shared" si="803"/>
        <v>Cantidad por Bulto</v>
      </c>
      <c r="AB1248" t="str">
        <f t="shared" si="804"/>
        <v>INNER</v>
      </c>
      <c r="AC1248" t="str">
        <f t="shared" si="805"/>
        <v>Stock en Bultos</v>
      </c>
      <c r="AD1248" t="str">
        <f t="shared" si="806"/>
        <v>SubDepósito</v>
      </c>
      <c r="AE1248" t="str">
        <f t="shared" si="807"/>
        <v>Marca</v>
      </c>
      <c r="AF1248" t="str">
        <f t="shared" si="808"/>
        <v>Super Rubro</v>
      </c>
      <c r="AG1248" t="str">
        <f t="shared" si="809"/>
        <v>ComercioExterior</v>
      </c>
      <c r="AH1248" t="str">
        <f t="shared" si="810"/>
        <v>PrecioFOB</v>
      </c>
      <c r="AI1248" t="str">
        <f t="shared" si="811"/>
        <v>Monto II</v>
      </c>
      <c r="AJ1248" t="str">
        <f t="shared" si="812"/>
        <v>Porcentaje II</v>
      </c>
      <c r="AK1248" t="str">
        <f t="shared" si="813"/>
        <v>Foto</v>
      </c>
      <c r="AL1248" t="str">
        <f>"{\rtf1\ansi\ansicpg1252\deff0\deflang11274{\fonttbl{\f0\fnil\fcharset0 MS Sans Serif}} \viewkind4\uc1\pard\f0\fs16 COJINETES BIELA 0,75 VW POLO 1.9 TDI\par } "</f>
        <v xml:space="preserve">{\rtf1\ansi\ansicpg1252\deff0\deflang11274{\fonttbl{\f0\fnil\fcharset0 MS Sans Serif}} \viewkind4\uc1\pard\f0\fs16 COJINETES BIELA 0,75 VW POLO 1.9 TDI\par } </v>
      </c>
      <c r="AM1248" t="str">
        <f t="shared" si="824"/>
        <v xml:space="preserve"> </v>
      </c>
    </row>
    <row r="1249" spans="1:39" x14ac:dyDescent="0.25">
      <c r="A1249" t="str">
        <f>"BI480 30"</f>
        <v>BI480 30</v>
      </c>
      <c r="B1249" t="str">
        <f>"COJINETES BIELA 0,75 VW SENDA GOL DIESEL 1600"</f>
        <v>COJINETES BIELA 0,75 VW SENDA GOL DIESEL 1600</v>
      </c>
      <c r="C1249" t="str">
        <f>"$ 14482,07"</f>
        <v>$ 14482,07</v>
      </c>
      <c r="D1249" t="str">
        <f>"$ 14482,07"</f>
        <v>$ 14482,07</v>
      </c>
      <c r="E1249" t="str">
        <f>"$ 14482,07"</f>
        <v>$ 14482,07</v>
      </c>
      <c r="F1249" t="str">
        <f>"$ 14482,07"</f>
        <v>$ 14482,07</v>
      </c>
      <c r="G1249" t="str">
        <f>"$ 14482,07"</f>
        <v>$ 14482,07</v>
      </c>
      <c r="H1249" t="str">
        <f t="shared" si="795"/>
        <v>$ 0,00</v>
      </c>
      <c r="I1249" t="str">
        <f t="shared" si="794"/>
        <v>JUEGO COJINETES BIELA</v>
      </c>
      <c r="J1249" t="str">
        <f t="shared" si="796"/>
        <v>1</v>
      </c>
      <c r="K1249" t="str">
        <f t="shared" si="820"/>
        <v>0</v>
      </c>
      <c r="L1249" t="str">
        <f>"4,000"</f>
        <v>4,000</v>
      </c>
      <c r="M1249" t="str">
        <f t="shared" si="797"/>
        <v xml:space="preserve"> </v>
      </c>
      <c r="N1249" t="str">
        <f t="shared" si="788"/>
        <v>MPSI</v>
      </c>
      <c r="O1249" t="str">
        <f t="shared" si="789"/>
        <v>COJINETES</v>
      </c>
      <c r="P1249" t="str">
        <f t="shared" si="821"/>
        <v>0</v>
      </c>
      <c r="Q1249" t="str">
        <f t="shared" si="821"/>
        <v>0</v>
      </c>
      <c r="R1249" t="str">
        <f t="shared" si="822"/>
        <v>0,00</v>
      </c>
      <c r="S1249" t="str">
        <f t="shared" si="822"/>
        <v>0,00</v>
      </c>
      <c r="T1249" t="str">
        <f t="shared" si="819"/>
        <v xml:space="preserve"> </v>
      </c>
      <c r="U1249" t="str">
        <f t="shared" si="823"/>
        <v>-</v>
      </c>
      <c r="V1249" t="str">
        <f>"4,000"</f>
        <v>4,000</v>
      </c>
      <c r="W1249" t="str">
        <f t="shared" si="799"/>
        <v>Lista 4</v>
      </c>
      <c r="X1249" t="str">
        <f t="shared" si="800"/>
        <v>Lista 5</v>
      </c>
      <c r="Y1249" t="str">
        <f t="shared" si="801"/>
        <v>Oferta Gral.</v>
      </c>
      <c r="Z1249" t="str">
        <f t="shared" si="802"/>
        <v>Rubro</v>
      </c>
      <c r="AA1249" t="str">
        <f t="shared" si="803"/>
        <v>Cantidad por Bulto</v>
      </c>
      <c r="AB1249" t="str">
        <f t="shared" si="804"/>
        <v>INNER</v>
      </c>
      <c r="AC1249" t="str">
        <f t="shared" si="805"/>
        <v>Stock en Bultos</v>
      </c>
      <c r="AD1249" t="str">
        <f t="shared" si="806"/>
        <v>SubDepósito</v>
      </c>
      <c r="AE1249" t="str">
        <f t="shared" si="807"/>
        <v>Marca</v>
      </c>
      <c r="AF1249" t="str">
        <f t="shared" si="808"/>
        <v>Super Rubro</v>
      </c>
      <c r="AG1249" t="str">
        <f t="shared" si="809"/>
        <v>ComercioExterior</v>
      </c>
      <c r="AH1249" t="str">
        <f t="shared" si="810"/>
        <v>PrecioFOB</v>
      </c>
      <c r="AI1249" t="str">
        <f t="shared" si="811"/>
        <v>Monto II</v>
      </c>
      <c r="AJ1249" t="str">
        <f t="shared" si="812"/>
        <v>Porcentaje II</v>
      </c>
      <c r="AK1249" t="str">
        <f t="shared" si="813"/>
        <v>Foto</v>
      </c>
      <c r="AL1249" t="str">
        <f t="shared" ref="AL1249:AL1260" si="825">" "</f>
        <v xml:space="preserve"> </v>
      </c>
      <c r="AM1249" t="str">
        <f t="shared" si="824"/>
        <v xml:space="preserve"> </v>
      </c>
    </row>
    <row r="1250" spans="1:39" x14ac:dyDescent="0.25">
      <c r="A1250" t="str">
        <f>"BI677 30"</f>
        <v>BI677 30</v>
      </c>
      <c r="B1250" t="str">
        <f>"COJINETES BIELA 0,80 PEUGEOT 205 206 1.4 TU3"</f>
        <v>COJINETES BIELA 0,80 PEUGEOT 205 206 1.4 TU3</v>
      </c>
      <c r="C1250" t="str">
        <f>"$ 15293,23"</f>
        <v>$ 15293,23</v>
      </c>
      <c r="D1250" t="str">
        <f>"$ 15293,23"</f>
        <v>$ 15293,23</v>
      </c>
      <c r="E1250" t="str">
        <f>"$ 15293,23"</f>
        <v>$ 15293,23</v>
      </c>
      <c r="F1250" t="str">
        <f>"$ 15293,23"</f>
        <v>$ 15293,23</v>
      </c>
      <c r="G1250" t="str">
        <f>"$ 15293,23"</f>
        <v>$ 15293,23</v>
      </c>
      <c r="H1250" t="str">
        <f t="shared" si="795"/>
        <v>$ 0,00</v>
      </c>
      <c r="I1250" t="str">
        <f t="shared" si="794"/>
        <v>JUEGO COJINETES BIELA</v>
      </c>
      <c r="J1250" t="str">
        <f t="shared" si="796"/>
        <v>1</v>
      </c>
      <c r="K1250" t="str">
        <f t="shared" si="820"/>
        <v>0</v>
      </c>
      <c r="L1250" t="str">
        <f>"6,000"</f>
        <v>6,000</v>
      </c>
      <c r="M1250" t="str">
        <f t="shared" si="797"/>
        <v xml:space="preserve"> </v>
      </c>
      <c r="N1250" t="str">
        <f t="shared" si="788"/>
        <v>MPSI</v>
      </c>
      <c r="O1250" t="str">
        <f t="shared" si="789"/>
        <v>COJINETES</v>
      </c>
      <c r="P1250" t="str">
        <f t="shared" si="821"/>
        <v>0</v>
      </c>
      <c r="Q1250" t="str">
        <f t="shared" si="821"/>
        <v>0</v>
      </c>
      <c r="R1250" t="str">
        <f t="shared" si="822"/>
        <v>0,00</v>
      </c>
      <c r="S1250" t="str">
        <f t="shared" si="822"/>
        <v>0,00</v>
      </c>
      <c r="T1250" t="str">
        <f t="shared" si="819"/>
        <v xml:space="preserve"> </v>
      </c>
      <c r="U1250" t="str">
        <f t="shared" si="823"/>
        <v>-</v>
      </c>
      <c r="V1250" t="str">
        <f>"6,000"</f>
        <v>6,000</v>
      </c>
      <c r="W1250" t="str">
        <f t="shared" si="799"/>
        <v>Lista 4</v>
      </c>
      <c r="X1250" t="str">
        <f t="shared" si="800"/>
        <v>Lista 5</v>
      </c>
      <c r="Y1250" t="str">
        <f t="shared" si="801"/>
        <v>Oferta Gral.</v>
      </c>
      <c r="Z1250" t="str">
        <f t="shared" si="802"/>
        <v>Rubro</v>
      </c>
      <c r="AA1250" t="str">
        <f t="shared" si="803"/>
        <v>Cantidad por Bulto</v>
      </c>
      <c r="AB1250" t="str">
        <f t="shared" si="804"/>
        <v>INNER</v>
      </c>
      <c r="AC1250" t="str">
        <f t="shared" si="805"/>
        <v>Stock en Bultos</v>
      </c>
      <c r="AD1250" t="str">
        <f t="shared" si="806"/>
        <v>SubDepósito</v>
      </c>
      <c r="AE1250" t="str">
        <f t="shared" si="807"/>
        <v>Marca</v>
      </c>
      <c r="AF1250" t="str">
        <f t="shared" si="808"/>
        <v>Super Rubro</v>
      </c>
      <c r="AG1250" t="str">
        <f t="shared" si="809"/>
        <v>ComercioExterior</v>
      </c>
      <c r="AH1250" t="str">
        <f t="shared" si="810"/>
        <v>PrecioFOB</v>
      </c>
      <c r="AI1250" t="str">
        <f t="shared" si="811"/>
        <v>Monto II</v>
      </c>
      <c r="AJ1250" t="str">
        <f t="shared" si="812"/>
        <v>Porcentaje II</v>
      </c>
      <c r="AK1250" t="str">
        <f t="shared" si="813"/>
        <v>Foto</v>
      </c>
      <c r="AL1250" t="str">
        <f t="shared" si="825"/>
        <v xml:space="preserve"> </v>
      </c>
      <c r="AM1250" t="str">
        <f t="shared" si="824"/>
        <v xml:space="preserve"> </v>
      </c>
    </row>
    <row r="1251" spans="1:39" x14ac:dyDescent="0.25">
      <c r="A1251" t="str">
        <f>"BI422 30"</f>
        <v>BI422 30</v>
      </c>
      <c r="B1251" t="str">
        <f>"COJINETES BIELA 0,80 PEUGEOT 306 1.9 TURBO DIESEL XUD9T"</f>
        <v>COJINETES BIELA 0,80 PEUGEOT 306 1.9 TURBO DIESEL XUD9T</v>
      </c>
      <c r="C1251" t="str">
        <f>"$ 25442,55"</f>
        <v>$ 25442,55</v>
      </c>
      <c r="D1251" t="str">
        <f>"$ 25442,55"</f>
        <v>$ 25442,55</v>
      </c>
      <c r="E1251" t="str">
        <f>"$ 25442,55"</f>
        <v>$ 25442,55</v>
      </c>
      <c r="F1251" t="str">
        <f>"$ 25442,55"</f>
        <v>$ 25442,55</v>
      </c>
      <c r="G1251" t="str">
        <f>"$ 25442,55"</f>
        <v>$ 25442,55</v>
      </c>
      <c r="H1251" t="str">
        <f t="shared" si="795"/>
        <v>$ 0,00</v>
      </c>
      <c r="I1251" t="str">
        <f t="shared" si="794"/>
        <v>JUEGO COJINETES BIELA</v>
      </c>
      <c r="J1251" t="str">
        <f t="shared" si="796"/>
        <v>1</v>
      </c>
      <c r="K1251" t="str">
        <f t="shared" si="820"/>
        <v>0</v>
      </c>
      <c r="L1251" t="str">
        <f>"2,000"</f>
        <v>2,000</v>
      </c>
      <c r="M1251" t="str">
        <f t="shared" si="797"/>
        <v xml:space="preserve"> </v>
      </c>
      <c r="N1251" t="str">
        <f t="shared" si="788"/>
        <v>MPSI</v>
      </c>
      <c r="O1251" t="str">
        <f t="shared" si="789"/>
        <v>COJINETES</v>
      </c>
      <c r="P1251" t="str">
        <f t="shared" si="821"/>
        <v>0</v>
      </c>
      <c r="Q1251" t="str">
        <f t="shared" si="821"/>
        <v>0</v>
      </c>
      <c r="R1251" t="str">
        <f t="shared" si="822"/>
        <v>0,00</v>
      </c>
      <c r="S1251" t="str">
        <f t="shared" si="822"/>
        <v>0,00</v>
      </c>
      <c r="T1251" t="str">
        <f t="shared" si="819"/>
        <v xml:space="preserve"> </v>
      </c>
      <c r="U1251" t="str">
        <f t="shared" si="823"/>
        <v>-</v>
      </c>
      <c r="V1251" t="str">
        <f>"2,000"</f>
        <v>2,000</v>
      </c>
      <c r="W1251" t="str">
        <f t="shared" si="799"/>
        <v>Lista 4</v>
      </c>
      <c r="X1251" t="str">
        <f t="shared" si="800"/>
        <v>Lista 5</v>
      </c>
      <c r="Y1251" t="str">
        <f t="shared" si="801"/>
        <v>Oferta Gral.</v>
      </c>
      <c r="Z1251" t="str">
        <f t="shared" si="802"/>
        <v>Rubro</v>
      </c>
      <c r="AA1251" t="str">
        <f t="shared" si="803"/>
        <v>Cantidad por Bulto</v>
      </c>
      <c r="AB1251" t="str">
        <f t="shared" si="804"/>
        <v>INNER</v>
      </c>
      <c r="AC1251" t="str">
        <f t="shared" si="805"/>
        <v>Stock en Bultos</v>
      </c>
      <c r="AD1251" t="str">
        <f t="shared" si="806"/>
        <v>SubDepósito</v>
      </c>
      <c r="AE1251" t="str">
        <f t="shared" si="807"/>
        <v>Marca</v>
      </c>
      <c r="AF1251" t="str">
        <f t="shared" si="808"/>
        <v>Super Rubro</v>
      </c>
      <c r="AG1251" t="str">
        <f t="shared" si="809"/>
        <v>ComercioExterior</v>
      </c>
      <c r="AH1251" t="str">
        <f t="shared" si="810"/>
        <v>PrecioFOB</v>
      </c>
      <c r="AI1251" t="str">
        <f t="shared" si="811"/>
        <v>Monto II</v>
      </c>
      <c r="AJ1251" t="str">
        <f t="shared" si="812"/>
        <v>Porcentaje II</v>
      </c>
      <c r="AK1251" t="str">
        <f t="shared" si="813"/>
        <v>Foto</v>
      </c>
      <c r="AL1251" t="str">
        <f t="shared" si="825"/>
        <v xml:space="preserve"> </v>
      </c>
      <c r="AM1251" t="str">
        <f t="shared" si="824"/>
        <v xml:space="preserve"> </v>
      </c>
    </row>
    <row r="1252" spans="1:39" x14ac:dyDescent="0.25">
      <c r="A1252" t="str">
        <f>"BI734 30"</f>
        <v>BI734 30</v>
      </c>
      <c r="B1252" t="str">
        <f>"COJINETES BIELA 0,80 PEUGEOT 306 405 PARTNER 1.9D MOTOR XUD9"</f>
        <v>COJINETES BIELA 0,80 PEUGEOT 306 405 PARTNER 1.9D MOTOR XUD9</v>
      </c>
      <c r="C1252" t="str">
        <f>"$ 13584,39"</f>
        <v>$ 13584,39</v>
      </c>
      <c r="D1252" t="str">
        <f>"$ 13584,39"</f>
        <v>$ 13584,39</v>
      </c>
      <c r="E1252" t="str">
        <f>"$ 13584,39"</f>
        <v>$ 13584,39</v>
      </c>
      <c r="F1252" t="str">
        <f>"$ 13584,39"</f>
        <v>$ 13584,39</v>
      </c>
      <c r="G1252" t="str">
        <f>"$ 13584,39"</f>
        <v>$ 13584,39</v>
      </c>
      <c r="H1252" t="str">
        <f t="shared" si="795"/>
        <v>$ 0,00</v>
      </c>
      <c r="I1252" t="str">
        <f t="shared" si="794"/>
        <v>JUEGO COJINETES BIELA</v>
      </c>
      <c r="J1252" t="str">
        <f t="shared" si="796"/>
        <v>1</v>
      </c>
      <c r="K1252" t="str">
        <f t="shared" si="820"/>
        <v>0</v>
      </c>
      <c r="L1252" t="str">
        <f>"8,000"</f>
        <v>8,000</v>
      </c>
      <c r="M1252" t="str">
        <f t="shared" si="797"/>
        <v xml:space="preserve"> </v>
      </c>
      <c r="N1252" t="str">
        <f t="shared" si="788"/>
        <v>MPSI</v>
      </c>
      <c r="O1252" t="str">
        <f t="shared" si="789"/>
        <v>COJINETES</v>
      </c>
      <c r="P1252" t="str">
        <f t="shared" si="821"/>
        <v>0</v>
      </c>
      <c r="Q1252" t="str">
        <f t="shared" si="821"/>
        <v>0</v>
      </c>
      <c r="R1252" t="str">
        <f t="shared" si="822"/>
        <v>0,00</v>
      </c>
      <c r="S1252" t="str">
        <f t="shared" si="822"/>
        <v>0,00</v>
      </c>
      <c r="T1252" t="str">
        <f t="shared" si="819"/>
        <v xml:space="preserve"> </v>
      </c>
      <c r="U1252" t="str">
        <f t="shared" si="823"/>
        <v>-</v>
      </c>
      <c r="V1252" t="str">
        <f>"8,000"</f>
        <v>8,000</v>
      </c>
      <c r="W1252" t="str">
        <f t="shared" si="799"/>
        <v>Lista 4</v>
      </c>
      <c r="X1252" t="str">
        <f t="shared" si="800"/>
        <v>Lista 5</v>
      </c>
      <c r="Y1252" t="str">
        <f t="shared" si="801"/>
        <v>Oferta Gral.</v>
      </c>
      <c r="Z1252" t="str">
        <f t="shared" si="802"/>
        <v>Rubro</v>
      </c>
      <c r="AA1252" t="str">
        <f t="shared" si="803"/>
        <v>Cantidad por Bulto</v>
      </c>
      <c r="AB1252" t="str">
        <f t="shared" si="804"/>
        <v>INNER</v>
      </c>
      <c r="AC1252" t="str">
        <f t="shared" si="805"/>
        <v>Stock en Bultos</v>
      </c>
      <c r="AD1252" t="str">
        <f t="shared" si="806"/>
        <v>SubDepósito</v>
      </c>
      <c r="AE1252" t="str">
        <f t="shared" si="807"/>
        <v>Marca</v>
      </c>
      <c r="AF1252" t="str">
        <f t="shared" si="808"/>
        <v>Super Rubro</v>
      </c>
      <c r="AG1252" t="str">
        <f t="shared" si="809"/>
        <v>ComercioExterior</v>
      </c>
      <c r="AH1252" t="str">
        <f t="shared" si="810"/>
        <v>PrecioFOB</v>
      </c>
      <c r="AI1252" t="str">
        <f t="shared" si="811"/>
        <v>Monto II</v>
      </c>
      <c r="AJ1252" t="str">
        <f t="shared" si="812"/>
        <v>Porcentaje II</v>
      </c>
      <c r="AK1252" t="str">
        <f t="shared" si="813"/>
        <v>Foto</v>
      </c>
      <c r="AL1252" t="str">
        <f t="shared" si="825"/>
        <v xml:space="preserve"> </v>
      </c>
      <c r="AM1252" t="str">
        <f t="shared" si="824"/>
        <v xml:space="preserve"> </v>
      </c>
    </row>
    <row r="1253" spans="1:39" x14ac:dyDescent="0.25">
      <c r="A1253" t="str">
        <f>"BI421 30"</f>
        <v>BI421 30</v>
      </c>
      <c r="B1253" t="str">
        <f>"COJINETES BIELA 0,80 PEUGEOT 306 406 DW10 4 TRABAS DER Y 4 IZQ"</f>
        <v>COJINETES BIELA 0,80 PEUGEOT 306 406 DW10 4 TRABAS DER Y 4 IZQ</v>
      </c>
      <c r="C1253" t="str">
        <f>"$ 25699,74"</f>
        <v>$ 25699,74</v>
      </c>
      <c r="D1253" t="str">
        <f>"$ 25699,74"</f>
        <v>$ 25699,74</v>
      </c>
      <c r="E1253" t="str">
        <f>"$ 25699,74"</f>
        <v>$ 25699,74</v>
      </c>
      <c r="F1253" t="str">
        <f>"$ 25699,74"</f>
        <v>$ 25699,74</v>
      </c>
      <c r="G1253" t="str">
        <f>"$ 25699,74"</f>
        <v>$ 25699,74</v>
      </c>
      <c r="H1253" t="str">
        <f t="shared" si="795"/>
        <v>$ 0,00</v>
      </c>
      <c r="I1253" t="str">
        <f t="shared" si="794"/>
        <v>JUEGO COJINETES BIELA</v>
      </c>
      <c r="J1253" t="str">
        <f t="shared" si="796"/>
        <v>1</v>
      </c>
      <c r="K1253" t="str">
        <f t="shared" si="820"/>
        <v>0</v>
      </c>
      <c r="L1253" t="str">
        <f>"2,000"</f>
        <v>2,000</v>
      </c>
      <c r="M1253" t="str">
        <f t="shared" si="797"/>
        <v xml:space="preserve"> </v>
      </c>
      <c r="N1253" t="str">
        <f t="shared" ref="N1253:N1316" si="826">"MPSI"</f>
        <v>MPSI</v>
      </c>
      <c r="O1253" t="str">
        <f t="shared" ref="O1253:O1316" si="827">"COJINETES"</f>
        <v>COJINETES</v>
      </c>
      <c r="P1253" t="str">
        <f t="shared" si="821"/>
        <v>0</v>
      </c>
      <c r="Q1253" t="str">
        <f t="shared" si="821"/>
        <v>0</v>
      </c>
      <c r="R1253" t="str">
        <f t="shared" si="822"/>
        <v>0,00</v>
      </c>
      <c r="S1253" t="str">
        <f t="shared" si="822"/>
        <v>0,00</v>
      </c>
      <c r="T1253" t="str">
        <f t="shared" si="819"/>
        <v xml:space="preserve"> </v>
      </c>
      <c r="U1253" t="str">
        <f t="shared" si="823"/>
        <v>-</v>
      </c>
      <c r="V1253" t="str">
        <f>"2,000"</f>
        <v>2,000</v>
      </c>
      <c r="W1253" t="str">
        <f t="shared" si="799"/>
        <v>Lista 4</v>
      </c>
      <c r="X1253" t="str">
        <f t="shared" si="800"/>
        <v>Lista 5</v>
      </c>
      <c r="Y1253" t="str">
        <f t="shared" si="801"/>
        <v>Oferta Gral.</v>
      </c>
      <c r="Z1253" t="str">
        <f t="shared" si="802"/>
        <v>Rubro</v>
      </c>
      <c r="AA1253" t="str">
        <f t="shared" si="803"/>
        <v>Cantidad por Bulto</v>
      </c>
      <c r="AB1253" t="str">
        <f t="shared" si="804"/>
        <v>INNER</v>
      </c>
      <c r="AC1253" t="str">
        <f t="shared" si="805"/>
        <v>Stock en Bultos</v>
      </c>
      <c r="AD1253" t="str">
        <f t="shared" si="806"/>
        <v>SubDepósito</v>
      </c>
      <c r="AE1253" t="str">
        <f t="shared" si="807"/>
        <v>Marca</v>
      </c>
      <c r="AF1253" t="str">
        <f t="shared" si="808"/>
        <v>Super Rubro</v>
      </c>
      <c r="AG1253" t="str">
        <f t="shared" si="809"/>
        <v>ComercioExterior</v>
      </c>
      <c r="AH1253" t="str">
        <f t="shared" si="810"/>
        <v>PrecioFOB</v>
      </c>
      <c r="AI1253" t="str">
        <f t="shared" si="811"/>
        <v>Monto II</v>
      </c>
      <c r="AJ1253" t="str">
        <f t="shared" si="812"/>
        <v>Porcentaje II</v>
      </c>
      <c r="AK1253" t="str">
        <f t="shared" si="813"/>
        <v>Foto</v>
      </c>
      <c r="AL1253" t="str">
        <f t="shared" si="825"/>
        <v xml:space="preserve"> </v>
      </c>
      <c r="AM1253" t="str">
        <f t="shared" si="824"/>
        <v xml:space="preserve"> </v>
      </c>
    </row>
    <row r="1254" spans="1:39" x14ac:dyDescent="0.25">
      <c r="A1254" t="str">
        <f>"BI732 30"</f>
        <v>BI732 30</v>
      </c>
      <c r="B1254" t="str">
        <f>"COJINETES BIELA 0,80 PEUGEOT 307 406 MOTOR 2.0 EW10J4 XU7"</f>
        <v>COJINETES BIELA 0,80 PEUGEOT 307 406 MOTOR 2.0 EW10J4 XU7</v>
      </c>
      <c r="C1254" t="str">
        <f>"$ 16519,85"</f>
        <v>$ 16519,85</v>
      </c>
      <c r="D1254" t="str">
        <f>"$ 16519,85"</f>
        <v>$ 16519,85</v>
      </c>
      <c r="E1254" t="str">
        <f>"$ 16519,85"</f>
        <v>$ 16519,85</v>
      </c>
      <c r="F1254" t="str">
        <f>"$ 16519,85"</f>
        <v>$ 16519,85</v>
      </c>
      <c r="G1254" t="str">
        <f>"$ 16519,85"</f>
        <v>$ 16519,85</v>
      </c>
      <c r="H1254" t="str">
        <f t="shared" si="795"/>
        <v>$ 0,00</v>
      </c>
      <c r="I1254" t="str">
        <f t="shared" si="794"/>
        <v>JUEGO COJINETES BIELA</v>
      </c>
      <c r="J1254" t="str">
        <f t="shared" si="796"/>
        <v>1</v>
      </c>
      <c r="K1254" t="str">
        <f t="shared" si="820"/>
        <v>0</v>
      </c>
      <c r="L1254" t="str">
        <f>"4,000"</f>
        <v>4,000</v>
      </c>
      <c r="M1254" t="str">
        <f t="shared" si="797"/>
        <v xml:space="preserve"> </v>
      </c>
      <c r="N1254" t="str">
        <f t="shared" si="826"/>
        <v>MPSI</v>
      </c>
      <c r="O1254" t="str">
        <f t="shared" si="827"/>
        <v>COJINETES</v>
      </c>
      <c r="P1254" t="str">
        <f t="shared" si="821"/>
        <v>0</v>
      </c>
      <c r="Q1254" t="str">
        <f t="shared" si="821"/>
        <v>0</v>
      </c>
      <c r="R1254" t="str">
        <f t="shared" si="822"/>
        <v>0,00</v>
      </c>
      <c r="S1254" t="str">
        <f t="shared" si="822"/>
        <v>0,00</v>
      </c>
      <c r="T1254" t="str">
        <f t="shared" si="819"/>
        <v xml:space="preserve"> </v>
      </c>
      <c r="U1254" t="str">
        <f t="shared" si="823"/>
        <v>-</v>
      </c>
      <c r="V1254" t="str">
        <f>"4,000"</f>
        <v>4,000</v>
      </c>
      <c r="W1254" t="str">
        <f t="shared" si="799"/>
        <v>Lista 4</v>
      </c>
      <c r="X1254" t="str">
        <f t="shared" si="800"/>
        <v>Lista 5</v>
      </c>
      <c r="Y1254" t="str">
        <f t="shared" si="801"/>
        <v>Oferta Gral.</v>
      </c>
      <c r="Z1254" t="str">
        <f t="shared" si="802"/>
        <v>Rubro</v>
      </c>
      <c r="AA1254" t="str">
        <f t="shared" si="803"/>
        <v>Cantidad por Bulto</v>
      </c>
      <c r="AB1254" t="str">
        <f t="shared" si="804"/>
        <v>INNER</v>
      </c>
      <c r="AC1254" t="str">
        <f t="shared" si="805"/>
        <v>Stock en Bultos</v>
      </c>
      <c r="AD1254" t="str">
        <f t="shared" si="806"/>
        <v>SubDepósito</v>
      </c>
      <c r="AE1254" t="str">
        <f t="shared" si="807"/>
        <v>Marca</v>
      </c>
      <c r="AF1254" t="str">
        <f t="shared" si="808"/>
        <v>Super Rubro</v>
      </c>
      <c r="AG1254" t="str">
        <f t="shared" si="809"/>
        <v>ComercioExterior</v>
      </c>
      <c r="AH1254" t="str">
        <f t="shared" si="810"/>
        <v>PrecioFOB</v>
      </c>
      <c r="AI1254" t="str">
        <f t="shared" si="811"/>
        <v>Monto II</v>
      </c>
      <c r="AJ1254" t="str">
        <f t="shared" si="812"/>
        <v>Porcentaje II</v>
      </c>
      <c r="AK1254" t="str">
        <f t="shared" si="813"/>
        <v>Foto</v>
      </c>
      <c r="AL1254" t="str">
        <f t="shared" si="825"/>
        <v xml:space="preserve"> </v>
      </c>
      <c r="AM1254" t="str">
        <f t="shared" si="824"/>
        <v xml:space="preserve"> </v>
      </c>
    </row>
    <row r="1255" spans="1:39" x14ac:dyDescent="0.25">
      <c r="A1255" t="str">
        <f>"BI731 30"</f>
        <v>BI731 30</v>
      </c>
      <c r="B1255" t="str">
        <f>"COJINETES BIELA 0,80 PEUGEOT 307 CITROEN C4 1.6 16V TU5JP4"</f>
        <v>COJINETES BIELA 0,80 PEUGEOT 307 CITROEN C4 1.6 16V TU5JP4</v>
      </c>
      <c r="C1255" t="str">
        <f>"$ 12559,78"</f>
        <v>$ 12559,78</v>
      </c>
      <c r="D1255" t="str">
        <f>"$ 12559,78"</f>
        <v>$ 12559,78</v>
      </c>
      <c r="E1255" t="str">
        <f>"$ 12559,78"</f>
        <v>$ 12559,78</v>
      </c>
      <c r="F1255" t="str">
        <f>"$ 12559,78"</f>
        <v>$ 12559,78</v>
      </c>
      <c r="G1255" t="str">
        <f>"$ 12559,78"</f>
        <v>$ 12559,78</v>
      </c>
      <c r="H1255" t="str">
        <f t="shared" si="795"/>
        <v>$ 0,00</v>
      </c>
      <c r="I1255" t="str">
        <f t="shared" si="794"/>
        <v>JUEGO COJINETES BIELA</v>
      </c>
      <c r="J1255" t="str">
        <f t="shared" si="796"/>
        <v>1</v>
      </c>
      <c r="K1255" t="str">
        <f t="shared" si="820"/>
        <v>0</v>
      </c>
      <c r="L1255" t="str">
        <f>"8,000"</f>
        <v>8,000</v>
      </c>
      <c r="M1255" t="str">
        <f t="shared" si="797"/>
        <v xml:space="preserve"> </v>
      </c>
      <c r="N1255" t="str">
        <f t="shared" si="826"/>
        <v>MPSI</v>
      </c>
      <c r="O1255" t="str">
        <f t="shared" si="827"/>
        <v>COJINETES</v>
      </c>
      <c r="P1255" t="str">
        <f t="shared" si="821"/>
        <v>0</v>
      </c>
      <c r="Q1255" t="str">
        <f t="shared" si="821"/>
        <v>0</v>
      </c>
      <c r="R1255" t="str">
        <f t="shared" si="822"/>
        <v>0,00</v>
      </c>
      <c r="S1255" t="str">
        <f t="shared" si="822"/>
        <v>0,00</v>
      </c>
      <c r="T1255" t="str">
        <f t="shared" si="819"/>
        <v xml:space="preserve"> </v>
      </c>
      <c r="U1255" t="str">
        <f t="shared" si="823"/>
        <v>-</v>
      </c>
      <c r="V1255" t="str">
        <f>"8,000"</f>
        <v>8,000</v>
      </c>
      <c r="W1255" t="str">
        <f t="shared" si="799"/>
        <v>Lista 4</v>
      </c>
      <c r="X1255" t="str">
        <f t="shared" si="800"/>
        <v>Lista 5</v>
      </c>
      <c r="Y1255" t="str">
        <f t="shared" si="801"/>
        <v>Oferta Gral.</v>
      </c>
      <c r="Z1255" t="str">
        <f t="shared" si="802"/>
        <v>Rubro</v>
      </c>
      <c r="AA1255" t="str">
        <f t="shared" si="803"/>
        <v>Cantidad por Bulto</v>
      </c>
      <c r="AB1255" t="str">
        <f t="shared" si="804"/>
        <v>INNER</v>
      </c>
      <c r="AC1255" t="str">
        <f t="shared" si="805"/>
        <v>Stock en Bultos</v>
      </c>
      <c r="AD1255" t="str">
        <f t="shared" si="806"/>
        <v>SubDepósito</v>
      </c>
      <c r="AE1255" t="str">
        <f t="shared" si="807"/>
        <v>Marca</v>
      </c>
      <c r="AF1255" t="str">
        <f t="shared" si="808"/>
        <v>Super Rubro</v>
      </c>
      <c r="AG1255" t="str">
        <f t="shared" si="809"/>
        <v>ComercioExterior</v>
      </c>
      <c r="AH1255" t="str">
        <f t="shared" si="810"/>
        <v>PrecioFOB</v>
      </c>
      <c r="AI1255" t="str">
        <f t="shared" si="811"/>
        <v>Monto II</v>
      </c>
      <c r="AJ1255" t="str">
        <f t="shared" si="812"/>
        <v>Porcentaje II</v>
      </c>
      <c r="AK1255" t="str">
        <f t="shared" si="813"/>
        <v>Foto</v>
      </c>
      <c r="AL1255" t="str">
        <f t="shared" si="825"/>
        <v xml:space="preserve"> </v>
      </c>
      <c r="AM1255" t="str">
        <f t="shared" si="824"/>
        <v xml:space="preserve"> </v>
      </c>
    </row>
    <row r="1256" spans="1:39" x14ac:dyDescent="0.25">
      <c r="A1256" t="str">
        <f>"BI728 30"</f>
        <v>BI728 30</v>
      </c>
      <c r="B1256" t="str">
        <f>"COJINETES BIELA 0,80 PEUGEOT 307 CITROEN C4 HDI 1.6 DV6TED"</f>
        <v>COJINETES BIELA 0,80 PEUGEOT 307 CITROEN C4 HDI 1.6 DV6TED</v>
      </c>
      <c r="C1256" t="str">
        <f>"$ 24097,22"</f>
        <v>$ 24097,22</v>
      </c>
      <c r="D1256" t="str">
        <f>"$ 24097,22"</f>
        <v>$ 24097,22</v>
      </c>
      <c r="E1256" t="str">
        <f>"$ 24097,22"</f>
        <v>$ 24097,22</v>
      </c>
      <c r="F1256" t="str">
        <f>"$ 24097,22"</f>
        <v>$ 24097,22</v>
      </c>
      <c r="G1256" t="str">
        <f>"$ 24097,22"</f>
        <v>$ 24097,22</v>
      </c>
      <c r="H1256" t="str">
        <f t="shared" si="795"/>
        <v>$ 0,00</v>
      </c>
      <c r="I1256" t="str">
        <f t="shared" si="794"/>
        <v>JUEGO COJINETES BIELA</v>
      </c>
      <c r="J1256" t="str">
        <f t="shared" si="796"/>
        <v>1</v>
      </c>
      <c r="K1256" t="str">
        <f t="shared" si="820"/>
        <v>0</v>
      </c>
      <c r="L1256" t="str">
        <f>"6,000"</f>
        <v>6,000</v>
      </c>
      <c r="M1256" t="str">
        <f t="shared" si="797"/>
        <v xml:space="preserve"> </v>
      </c>
      <c r="N1256" t="str">
        <f t="shared" si="826"/>
        <v>MPSI</v>
      </c>
      <c r="O1256" t="str">
        <f t="shared" si="827"/>
        <v>COJINETES</v>
      </c>
      <c r="P1256" t="str">
        <f t="shared" si="821"/>
        <v>0</v>
      </c>
      <c r="Q1256" t="str">
        <f t="shared" si="821"/>
        <v>0</v>
      </c>
      <c r="R1256" t="str">
        <f t="shared" si="822"/>
        <v>0,00</v>
      </c>
      <c r="S1256" t="str">
        <f t="shared" si="822"/>
        <v>0,00</v>
      </c>
      <c r="T1256" t="str">
        <f t="shared" si="819"/>
        <v xml:space="preserve"> </v>
      </c>
      <c r="U1256" t="str">
        <f t="shared" si="823"/>
        <v>-</v>
      </c>
      <c r="V1256" t="str">
        <f>"6,000"</f>
        <v>6,000</v>
      </c>
      <c r="W1256" t="str">
        <f t="shared" si="799"/>
        <v>Lista 4</v>
      </c>
      <c r="X1256" t="str">
        <f t="shared" si="800"/>
        <v>Lista 5</v>
      </c>
      <c r="Y1256" t="str">
        <f t="shared" si="801"/>
        <v>Oferta Gral.</v>
      </c>
      <c r="Z1256" t="str">
        <f t="shared" si="802"/>
        <v>Rubro</v>
      </c>
      <c r="AA1256" t="str">
        <f t="shared" si="803"/>
        <v>Cantidad por Bulto</v>
      </c>
      <c r="AB1256" t="str">
        <f t="shared" si="804"/>
        <v>INNER</v>
      </c>
      <c r="AC1256" t="str">
        <f t="shared" si="805"/>
        <v>Stock en Bultos</v>
      </c>
      <c r="AD1256" t="str">
        <f t="shared" si="806"/>
        <v>SubDepósito</v>
      </c>
      <c r="AE1256" t="str">
        <f t="shared" si="807"/>
        <v>Marca</v>
      </c>
      <c r="AF1256" t="str">
        <f t="shared" si="808"/>
        <v>Super Rubro</v>
      </c>
      <c r="AG1256" t="str">
        <f t="shared" si="809"/>
        <v>ComercioExterior</v>
      </c>
      <c r="AH1256" t="str">
        <f t="shared" si="810"/>
        <v>PrecioFOB</v>
      </c>
      <c r="AI1256" t="str">
        <f t="shared" si="811"/>
        <v>Monto II</v>
      </c>
      <c r="AJ1256" t="str">
        <f t="shared" si="812"/>
        <v>Porcentaje II</v>
      </c>
      <c r="AK1256" t="str">
        <f t="shared" si="813"/>
        <v>Foto</v>
      </c>
      <c r="AL1256" t="str">
        <f t="shared" si="825"/>
        <v xml:space="preserve"> </v>
      </c>
      <c r="AM1256" t="str">
        <f t="shared" si="824"/>
        <v xml:space="preserve"> </v>
      </c>
    </row>
    <row r="1257" spans="1:39" x14ac:dyDescent="0.25">
      <c r="A1257" t="str">
        <f>"BI413 30"</f>
        <v>BI413 30</v>
      </c>
      <c r="B1257" t="str">
        <f>"COJINETES BIELA 0,80 PEUGEOT 404 504 DIESEL XD 4.88"</f>
        <v>COJINETES BIELA 0,80 PEUGEOT 404 504 DIESEL XD 4.88</v>
      </c>
      <c r="C1257" t="str">
        <f>"$ 20278,86"</f>
        <v>$ 20278,86</v>
      </c>
      <c r="D1257" t="str">
        <f>"$ 20278,86"</f>
        <v>$ 20278,86</v>
      </c>
      <c r="E1257" t="str">
        <f>"$ 20278,86"</f>
        <v>$ 20278,86</v>
      </c>
      <c r="F1257" t="str">
        <f>"$ 20278,86"</f>
        <v>$ 20278,86</v>
      </c>
      <c r="G1257" t="str">
        <f>"$ 20278,86"</f>
        <v>$ 20278,86</v>
      </c>
      <c r="H1257" t="str">
        <f t="shared" si="795"/>
        <v>$ 0,00</v>
      </c>
      <c r="I1257" t="str">
        <f t="shared" si="794"/>
        <v>JUEGO COJINETES BIELA</v>
      </c>
      <c r="J1257" t="str">
        <f t="shared" si="796"/>
        <v>1</v>
      </c>
      <c r="K1257" t="str">
        <f t="shared" si="820"/>
        <v>0</v>
      </c>
      <c r="L1257" t="str">
        <f>"2,000"</f>
        <v>2,000</v>
      </c>
      <c r="M1257" t="str">
        <f t="shared" si="797"/>
        <v xml:space="preserve"> </v>
      </c>
      <c r="N1257" t="str">
        <f t="shared" si="826"/>
        <v>MPSI</v>
      </c>
      <c r="O1257" t="str">
        <f t="shared" si="827"/>
        <v>COJINETES</v>
      </c>
      <c r="P1257" t="str">
        <f t="shared" si="821"/>
        <v>0</v>
      </c>
      <c r="Q1257" t="str">
        <f t="shared" si="821"/>
        <v>0</v>
      </c>
      <c r="R1257" t="str">
        <f t="shared" si="822"/>
        <v>0,00</v>
      </c>
      <c r="S1257" t="str">
        <f t="shared" si="822"/>
        <v>0,00</v>
      </c>
      <c r="T1257" t="str">
        <f t="shared" si="819"/>
        <v xml:space="preserve"> </v>
      </c>
      <c r="U1257" t="str">
        <f t="shared" si="823"/>
        <v>-</v>
      </c>
      <c r="V1257" t="str">
        <f>"2,000"</f>
        <v>2,000</v>
      </c>
      <c r="W1257" t="str">
        <f t="shared" si="799"/>
        <v>Lista 4</v>
      </c>
      <c r="X1257" t="str">
        <f t="shared" si="800"/>
        <v>Lista 5</v>
      </c>
      <c r="Y1257" t="str">
        <f t="shared" si="801"/>
        <v>Oferta Gral.</v>
      </c>
      <c r="Z1257" t="str">
        <f t="shared" si="802"/>
        <v>Rubro</v>
      </c>
      <c r="AA1257" t="str">
        <f t="shared" si="803"/>
        <v>Cantidad por Bulto</v>
      </c>
      <c r="AB1257" t="str">
        <f t="shared" si="804"/>
        <v>INNER</v>
      </c>
      <c r="AC1257" t="str">
        <f t="shared" si="805"/>
        <v>Stock en Bultos</v>
      </c>
      <c r="AD1257" t="str">
        <f t="shared" si="806"/>
        <v>SubDepósito</v>
      </c>
      <c r="AE1257" t="str">
        <f t="shared" si="807"/>
        <v>Marca</v>
      </c>
      <c r="AF1257" t="str">
        <f t="shared" si="808"/>
        <v>Super Rubro</v>
      </c>
      <c r="AG1257" t="str">
        <f t="shared" si="809"/>
        <v>ComercioExterior</v>
      </c>
      <c r="AH1257" t="str">
        <f t="shared" si="810"/>
        <v>PrecioFOB</v>
      </c>
      <c r="AI1257" t="str">
        <f t="shared" si="811"/>
        <v>Monto II</v>
      </c>
      <c r="AJ1257" t="str">
        <f t="shared" si="812"/>
        <v>Porcentaje II</v>
      </c>
      <c r="AK1257" t="str">
        <f t="shared" si="813"/>
        <v>Foto</v>
      </c>
      <c r="AL1257" t="str">
        <f t="shared" si="825"/>
        <v xml:space="preserve"> </v>
      </c>
      <c r="AM1257" t="str">
        <f t="shared" si="824"/>
        <v xml:space="preserve"> </v>
      </c>
    </row>
    <row r="1258" spans="1:39" x14ac:dyDescent="0.25">
      <c r="A1258" t="str">
        <f>"BI410 30"</f>
        <v>BI410 30</v>
      </c>
      <c r="B1258" t="str">
        <f>"COJINETES BIELA 0,80 PEUGEOT 404 504 NAFTA 1.6 1.8 2.0"</f>
        <v>COJINETES BIELA 0,80 PEUGEOT 404 504 NAFTA 1.6 1.8 2.0</v>
      </c>
      <c r="C1258" t="str">
        <f>"$ 14972,58"</f>
        <v>$ 14972,58</v>
      </c>
      <c r="D1258" t="str">
        <f>"$ 14972,58"</f>
        <v>$ 14972,58</v>
      </c>
      <c r="E1258" t="str">
        <f>"$ 14972,58"</f>
        <v>$ 14972,58</v>
      </c>
      <c r="F1258" t="str">
        <f>"$ 14972,58"</f>
        <v>$ 14972,58</v>
      </c>
      <c r="G1258" t="str">
        <f>"$ 14972,58"</f>
        <v>$ 14972,58</v>
      </c>
      <c r="H1258" t="str">
        <f t="shared" si="795"/>
        <v>$ 0,00</v>
      </c>
      <c r="I1258" t="str">
        <f t="shared" si="794"/>
        <v>JUEGO COJINETES BIELA</v>
      </c>
      <c r="J1258" t="str">
        <f t="shared" si="796"/>
        <v>1</v>
      </c>
      <c r="K1258" t="str">
        <f t="shared" si="820"/>
        <v>0</v>
      </c>
      <c r="L1258" t="str">
        <f>"7,000"</f>
        <v>7,000</v>
      </c>
      <c r="M1258" t="str">
        <f t="shared" si="797"/>
        <v xml:space="preserve"> </v>
      </c>
      <c r="N1258" t="str">
        <f t="shared" si="826"/>
        <v>MPSI</v>
      </c>
      <c r="O1258" t="str">
        <f t="shared" si="827"/>
        <v>COJINETES</v>
      </c>
      <c r="P1258" t="str">
        <f t="shared" si="821"/>
        <v>0</v>
      </c>
      <c r="Q1258" t="str">
        <f t="shared" si="821"/>
        <v>0</v>
      </c>
      <c r="R1258" t="str">
        <f t="shared" si="822"/>
        <v>0,00</v>
      </c>
      <c r="S1258" t="str">
        <f t="shared" si="822"/>
        <v>0,00</v>
      </c>
      <c r="T1258" t="str">
        <f t="shared" si="819"/>
        <v xml:space="preserve"> </v>
      </c>
      <c r="U1258" t="str">
        <f t="shared" si="823"/>
        <v>-</v>
      </c>
      <c r="V1258" t="str">
        <f>"7,000"</f>
        <v>7,000</v>
      </c>
      <c r="W1258" t="str">
        <f t="shared" si="799"/>
        <v>Lista 4</v>
      </c>
      <c r="X1258" t="str">
        <f t="shared" si="800"/>
        <v>Lista 5</v>
      </c>
      <c r="Y1258" t="str">
        <f t="shared" si="801"/>
        <v>Oferta Gral.</v>
      </c>
      <c r="Z1258" t="str">
        <f t="shared" si="802"/>
        <v>Rubro</v>
      </c>
      <c r="AA1258" t="str">
        <f t="shared" si="803"/>
        <v>Cantidad por Bulto</v>
      </c>
      <c r="AB1258" t="str">
        <f t="shared" si="804"/>
        <v>INNER</v>
      </c>
      <c r="AC1258" t="str">
        <f t="shared" si="805"/>
        <v>Stock en Bultos</v>
      </c>
      <c r="AD1258" t="str">
        <f t="shared" si="806"/>
        <v>SubDepósito</v>
      </c>
      <c r="AE1258" t="str">
        <f t="shared" si="807"/>
        <v>Marca</v>
      </c>
      <c r="AF1258" t="str">
        <f t="shared" si="808"/>
        <v>Super Rubro</v>
      </c>
      <c r="AG1258" t="str">
        <f t="shared" si="809"/>
        <v>ComercioExterior</v>
      </c>
      <c r="AH1258" t="str">
        <f t="shared" si="810"/>
        <v>PrecioFOB</v>
      </c>
      <c r="AI1258" t="str">
        <f t="shared" si="811"/>
        <v>Monto II</v>
      </c>
      <c r="AJ1258" t="str">
        <f t="shared" si="812"/>
        <v>Porcentaje II</v>
      </c>
      <c r="AK1258" t="str">
        <f t="shared" si="813"/>
        <v>Foto</v>
      </c>
      <c r="AL1258" t="str">
        <f t="shared" si="825"/>
        <v xml:space="preserve"> </v>
      </c>
      <c r="AM1258" t="str">
        <f t="shared" si="824"/>
        <v xml:space="preserve"> </v>
      </c>
    </row>
    <row r="1259" spans="1:39" x14ac:dyDescent="0.25">
      <c r="A1259" t="str">
        <f>"BI415 30"</f>
        <v>BI415 30</v>
      </c>
      <c r="B1259" t="str">
        <f>"COJINETES BIELA 0,80 PEUGEOT 504 505 DIESEL XD2 XD3"</f>
        <v>COJINETES BIELA 0,80 PEUGEOT 504 505 DIESEL XD2 XD3</v>
      </c>
      <c r="C1259" t="str">
        <f>"$ 18376,94"</f>
        <v>$ 18376,94</v>
      </c>
      <c r="D1259" t="str">
        <f>"$ 18376,94"</f>
        <v>$ 18376,94</v>
      </c>
      <c r="E1259" t="str">
        <f>"$ 18376,94"</f>
        <v>$ 18376,94</v>
      </c>
      <c r="F1259" t="str">
        <f>"$ 18376,94"</f>
        <v>$ 18376,94</v>
      </c>
      <c r="G1259" t="str">
        <f>"$ 18376,94"</f>
        <v>$ 18376,94</v>
      </c>
      <c r="H1259" t="str">
        <f t="shared" si="795"/>
        <v>$ 0,00</v>
      </c>
      <c r="I1259" t="str">
        <f t="shared" si="794"/>
        <v>JUEGO COJINETES BIELA</v>
      </c>
      <c r="J1259" t="str">
        <f t="shared" si="796"/>
        <v>1</v>
      </c>
      <c r="K1259" t="str">
        <f t="shared" si="820"/>
        <v>0</v>
      </c>
      <c r="L1259" t="str">
        <f>"0,000"</f>
        <v>0,000</v>
      </c>
      <c r="M1259" t="str">
        <f t="shared" si="797"/>
        <v xml:space="preserve"> </v>
      </c>
      <c r="N1259" t="str">
        <f t="shared" si="826"/>
        <v>MPSI</v>
      </c>
      <c r="O1259" t="str">
        <f t="shared" si="827"/>
        <v>COJINETES</v>
      </c>
      <c r="P1259" t="str">
        <f t="shared" si="821"/>
        <v>0</v>
      </c>
      <c r="Q1259" t="str">
        <f t="shared" si="821"/>
        <v>0</v>
      </c>
      <c r="R1259" t="str">
        <f t="shared" si="822"/>
        <v>0,00</v>
      </c>
      <c r="S1259" t="str">
        <f t="shared" si="822"/>
        <v>0,00</v>
      </c>
      <c r="T1259" t="str">
        <f t="shared" si="819"/>
        <v xml:space="preserve"> </v>
      </c>
      <c r="U1259" t="str">
        <f t="shared" si="823"/>
        <v>-</v>
      </c>
      <c r="V1259" t="str">
        <f>"0,000"</f>
        <v>0,000</v>
      </c>
      <c r="W1259" t="str">
        <f t="shared" si="799"/>
        <v>Lista 4</v>
      </c>
      <c r="X1259" t="str">
        <f t="shared" si="800"/>
        <v>Lista 5</v>
      </c>
      <c r="Y1259" t="str">
        <f t="shared" si="801"/>
        <v>Oferta Gral.</v>
      </c>
      <c r="Z1259" t="str">
        <f t="shared" si="802"/>
        <v>Rubro</v>
      </c>
      <c r="AA1259" t="str">
        <f t="shared" si="803"/>
        <v>Cantidad por Bulto</v>
      </c>
      <c r="AB1259" t="str">
        <f t="shared" si="804"/>
        <v>INNER</v>
      </c>
      <c r="AC1259" t="str">
        <f t="shared" si="805"/>
        <v>Stock en Bultos</v>
      </c>
      <c r="AD1259" t="str">
        <f t="shared" si="806"/>
        <v>SubDepósito</v>
      </c>
      <c r="AE1259" t="str">
        <f t="shared" si="807"/>
        <v>Marca</v>
      </c>
      <c r="AF1259" t="str">
        <f t="shared" si="808"/>
        <v>Super Rubro</v>
      </c>
      <c r="AG1259" t="str">
        <f t="shared" si="809"/>
        <v>ComercioExterior</v>
      </c>
      <c r="AH1259" t="str">
        <f t="shared" si="810"/>
        <v>PrecioFOB</v>
      </c>
      <c r="AI1259" t="str">
        <f t="shared" si="811"/>
        <v>Monto II</v>
      </c>
      <c r="AJ1259" t="str">
        <f t="shared" si="812"/>
        <v>Porcentaje II</v>
      </c>
      <c r="AK1259" t="str">
        <f t="shared" si="813"/>
        <v>Foto</v>
      </c>
      <c r="AL1259" t="str">
        <f t="shared" si="825"/>
        <v xml:space="preserve"> </v>
      </c>
      <c r="AM1259" t="str">
        <f t="shared" si="824"/>
        <v xml:space="preserve"> </v>
      </c>
    </row>
    <row r="1260" spans="1:39" x14ac:dyDescent="0.25">
      <c r="A1260" t="str">
        <f>"BI733 30"</f>
        <v>BI733 30</v>
      </c>
      <c r="B1260" t="str">
        <f>"COJINETES BIELA 0,80 PEUGEOT BOXER 2,5 DJ5"</f>
        <v>COJINETES BIELA 0,80 PEUGEOT BOXER 2,5 DJ5</v>
      </c>
      <c r="C1260" t="str">
        <f>"$ 31001,92"</f>
        <v>$ 31001,92</v>
      </c>
      <c r="D1260" t="str">
        <f>"$ 31001,92"</f>
        <v>$ 31001,92</v>
      </c>
      <c r="E1260" t="str">
        <f>"$ 31001,92"</f>
        <v>$ 31001,92</v>
      </c>
      <c r="F1260" t="str">
        <f>"$ 31001,92"</f>
        <v>$ 31001,92</v>
      </c>
      <c r="G1260" t="str">
        <f>"$ 31001,92"</f>
        <v>$ 31001,92</v>
      </c>
      <c r="H1260" t="str">
        <f t="shared" si="795"/>
        <v>$ 0,00</v>
      </c>
      <c r="I1260" t="str">
        <f t="shared" si="794"/>
        <v>JUEGO COJINETES BIELA</v>
      </c>
      <c r="J1260" t="str">
        <f t="shared" si="796"/>
        <v>1</v>
      </c>
      <c r="K1260" t="str">
        <f t="shared" si="820"/>
        <v>0</v>
      </c>
      <c r="L1260" t="str">
        <f>"2,000"</f>
        <v>2,000</v>
      </c>
      <c r="M1260" t="str">
        <f t="shared" si="797"/>
        <v xml:space="preserve"> </v>
      </c>
      <c r="N1260" t="str">
        <f t="shared" si="826"/>
        <v>MPSI</v>
      </c>
      <c r="O1260" t="str">
        <f t="shared" si="827"/>
        <v>COJINETES</v>
      </c>
      <c r="P1260" t="str">
        <f t="shared" si="821"/>
        <v>0</v>
      </c>
      <c r="Q1260" t="str">
        <f t="shared" si="821"/>
        <v>0</v>
      </c>
      <c r="R1260" t="str">
        <f t="shared" si="822"/>
        <v>0,00</v>
      </c>
      <c r="S1260" t="str">
        <f t="shared" si="822"/>
        <v>0,00</v>
      </c>
      <c r="T1260" t="str">
        <f t="shared" si="819"/>
        <v xml:space="preserve"> </v>
      </c>
      <c r="U1260" t="str">
        <f t="shared" si="823"/>
        <v>-</v>
      </c>
      <c r="V1260" t="str">
        <f>"2,000"</f>
        <v>2,000</v>
      </c>
      <c r="W1260" t="str">
        <f t="shared" si="799"/>
        <v>Lista 4</v>
      </c>
      <c r="X1260" t="str">
        <f t="shared" si="800"/>
        <v>Lista 5</v>
      </c>
      <c r="Y1260" t="str">
        <f t="shared" si="801"/>
        <v>Oferta Gral.</v>
      </c>
      <c r="Z1260" t="str">
        <f t="shared" si="802"/>
        <v>Rubro</v>
      </c>
      <c r="AA1260" t="str">
        <f t="shared" si="803"/>
        <v>Cantidad por Bulto</v>
      </c>
      <c r="AB1260" t="str">
        <f t="shared" si="804"/>
        <v>INNER</v>
      </c>
      <c r="AC1260" t="str">
        <f t="shared" si="805"/>
        <v>Stock en Bultos</v>
      </c>
      <c r="AD1260" t="str">
        <f t="shared" si="806"/>
        <v>SubDepósito</v>
      </c>
      <c r="AE1260" t="str">
        <f t="shared" si="807"/>
        <v>Marca</v>
      </c>
      <c r="AF1260" t="str">
        <f t="shared" si="808"/>
        <v>Super Rubro</v>
      </c>
      <c r="AG1260" t="str">
        <f t="shared" si="809"/>
        <v>ComercioExterior</v>
      </c>
      <c r="AH1260" t="str">
        <f t="shared" si="810"/>
        <v>PrecioFOB</v>
      </c>
      <c r="AI1260" t="str">
        <f t="shared" si="811"/>
        <v>Monto II</v>
      </c>
      <c r="AJ1260" t="str">
        <f t="shared" si="812"/>
        <v>Porcentaje II</v>
      </c>
      <c r="AK1260" t="str">
        <f t="shared" si="813"/>
        <v>Foto</v>
      </c>
      <c r="AL1260" t="str">
        <f t="shared" si="825"/>
        <v xml:space="preserve"> </v>
      </c>
      <c r="AM1260" t="str">
        <f t="shared" si="824"/>
        <v xml:space="preserve"> </v>
      </c>
    </row>
    <row r="1261" spans="1:39" x14ac:dyDescent="0.25">
      <c r="A1261" t="str">
        <f>"BI131 10"</f>
        <v>BI131 10</v>
      </c>
      <c r="B1261" t="str">
        <f>"COJINETES BIELA 0.25 FIAT 128 1100 1300 1500   "</f>
        <v xml:space="preserve">COJINETES BIELA 0.25 FIAT 128 1100 1300 1500   </v>
      </c>
      <c r="C1261" t="str">
        <f>"$ 16120,50"</f>
        <v>$ 16120,50</v>
      </c>
      <c r="D1261" t="str">
        <f>"$ 16120,50"</f>
        <v>$ 16120,50</v>
      </c>
      <c r="E1261" t="str">
        <f>"$ 16120,50"</f>
        <v>$ 16120,50</v>
      </c>
      <c r="F1261" t="str">
        <f>"$ 16120,50"</f>
        <v>$ 16120,50</v>
      </c>
      <c r="G1261" t="str">
        <f>"$ 16120,50"</f>
        <v>$ 16120,50</v>
      </c>
      <c r="H1261" t="str">
        <f t="shared" si="795"/>
        <v>$ 0,00</v>
      </c>
      <c r="I1261" t="str">
        <f t="shared" si="794"/>
        <v>JUEGO COJINETES BIELA</v>
      </c>
      <c r="J1261" t="str">
        <f t="shared" si="796"/>
        <v>1</v>
      </c>
      <c r="K1261" t="str">
        <f t="shared" si="820"/>
        <v>0</v>
      </c>
      <c r="L1261" t="str">
        <f>"-2,000"</f>
        <v>-2,000</v>
      </c>
      <c r="M1261" t="str">
        <f t="shared" si="797"/>
        <v xml:space="preserve"> </v>
      </c>
      <c r="N1261" t="str">
        <f t="shared" si="826"/>
        <v>MPSI</v>
      </c>
      <c r="O1261" t="str">
        <f t="shared" si="827"/>
        <v>COJINETES</v>
      </c>
      <c r="P1261" t="str">
        <f t="shared" si="821"/>
        <v>0</v>
      </c>
      <c r="Q1261" t="str">
        <f t="shared" si="821"/>
        <v>0</v>
      </c>
      <c r="R1261" t="str">
        <f t="shared" si="822"/>
        <v>0,00</v>
      </c>
      <c r="S1261" t="str">
        <f t="shared" si="822"/>
        <v>0,00</v>
      </c>
      <c r="T1261" t="str">
        <f t="shared" si="819"/>
        <v xml:space="preserve"> </v>
      </c>
      <c r="U1261" t="str">
        <f t="shared" ref="U1261:U1266" si="828">" "</f>
        <v xml:space="preserve"> </v>
      </c>
      <c r="V1261" t="str">
        <f>"-2,000"</f>
        <v>-2,000</v>
      </c>
      <c r="W1261" t="str">
        <f t="shared" si="799"/>
        <v>Lista 4</v>
      </c>
      <c r="X1261" t="str">
        <f t="shared" si="800"/>
        <v>Lista 5</v>
      </c>
      <c r="Y1261" t="str">
        <f t="shared" si="801"/>
        <v>Oferta Gral.</v>
      </c>
      <c r="Z1261" t="str">
        <f t="shared" si="802"/>
        <v>Rubro</v>
      </c>
      <c r="AA1261" t="str">
        <f t="shared" si="803"/>
        <v>Cantidad por Bulto</v>
      </c>
      <c r="AB1261" t="str">
        <f t="shared" si="804"/>
        <v>INNER</v>
      </c>
      <c r="AC1261" t="str">
        <f t="shared" si="805"/>
        <v>Stock en Bultos</v>
      </c>
      <c r="AD1261" t="str">
        <f t="shared" si="806"/>
        <v>SubDepósito</v>
      </c>
      <c r="AE1261" t="str">
        <f t="shared" si="807"/>
        <v>Marca</v>
      </c>
      <c r="AF1261" t="str">
        <f t="shared" si="808"/>
        <v>Super Rubro</v>
      </c>
      <c r="AG1261" t="str">
        <f t="shared" si="809"/>
        <v>ComercioExterior</v>
      </c>
      <c r="AH1261" t="str">
        <f t="shared" si="810"/>
        <v>PrecioFOB</v>
      </c>
      <c r="AI1261" t="str">
        <f t="shared" si="811"/>
        <v>Monto II</v>
      </c>
      <c r="AJ1261" t="str">
        <f t="shared" si="812"/>
        <v>Porcentaje II</v>
      </c>
      <c r="AK1261" t="str">
        <f t="shared" si="813"/>
        <v>Foto</v>
      </c>
      <c r="AL126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261" t="str">
        <f t="shared" si="824"/>
        <v xml:space="preserve"> </v>
      </c>
    </row>
    <row r="1262" spans="1:39" x14ac:dyDescent="0.25">
      <c r="A1262" t="str">
        <f>"BI656 20"</f>
        <v>BI656 20</v>
      </c>
      <c r="B1262" t="str">
        <f>"COJINETES BIELA 0.50 MM MOTOR MWM 4.07"</f>
        <v>COJINETES BIELA 0.50 MM MOTOR MWM 4.07</v>
      </c>
      <c r="C1262" t="str">
        <f>"$ 19083,35"</f>
        <v>$ 19083,35</v>
      </c>
      <c r="D1262" t="str">
        <f>"$ 19083,35"</f>
        <v>$ 19083,35</v>
      </c>
      <c r="E1262" t="str">
        <f>"$ 19083,35"</f>
        <v>$ 19083,35</v>
      </c>
      <c r="F1262" t="str">
        <f>"$ 19083,35"</f>
        <v>$ 19083,35</v>
      </c>
      <c r="G1262" t="str">
        <f>"$ 19083,35"</f>
        <v>$ 19083,35</v>
      </c>
      <c r="H1262" t="str">
        <f t="shared" si="795"/>
        <v>$ 0,00</v>
      </c>
      <c r="I1262" t="str">
        <f t="shared" si="794"/>
        <v>JUEGO COJINETES BIELA</v>
      </c>
      <c r="J1262" t="str">
        <f t="shared" si="796"/>
        <v>1</v>
      </c>
      <c r="K1262" t="str">
        <f t="shared" si="820"/>
        <v>0</v>
      </c>
      <c r="L1262" t="str">
        <f>"12,000"</f>
        <v>12,000</v>
      </c>
      <c r="M1262" t="str">
        <f t="shared" si="797"/>
        <v xml:space="preserve"> </v>
      </c>
      <c r="N1262" t="str">
        <f t="shared" si="826"/>
        <v>MPSI</v>
      </c>
      <c r="O1262" t="str">
        <f t="shared" si="827"/>
        <v>COJINETES</v>
      </c>
      <c r="P1262" t="str">
        <f t="shared" si="821"/>
        <v>0</v>
      </c>
      <c r="Q1262" t="str">
        <f t="shared" si="821"/>
        <v>0</v>
      </c>
      <c r="R1262" t="str">
        <f t="shared" si="822"/>
        <v>0,00</v>
      </c>
      <c r="S1262" t="str">
        <f t="shared" si="822"/>
        <v>0,00</v>
      </c>
      <c r="T1262" t="str">
        <f t="shared" si="819"/>
        <v xml:space="preserve"> </v>
      </c>
      <c r="U1262" t="str">
        <f t="shared" si="828"/>
        <v xml:space="preserve"> </v>
      </c>
      <c r="V1262" t="str">
        <f>"12,000"</f>
        <v>12,000</v>
      </c>
      <c r="W1262" t="str">
        <f t="shared" si="799"/>
        <v>Lista 4</v>
      </c>
      <c r="X1262" t="str">
        <f t="shared" si="800"/>
        <v>Lista 5</v>
      </c>
      <c r="Y1262" t="str">
        <f t="shared" si="801"/>
        <v>Oferta Gral.</v>
      </c>
      <c r="Z1262" t="str">
        <f t="shared" si="802"/>
        <v>Rubro</v>
      </c>
      <c r="AA1262" t="str">
        <f t="shared" si="803"/>
        <v>Cantidad por Bulto</v>
      </c>
      <c r="AB1262" t="str">
        <f t="shared" si="804"/>
        <v>INNER</v>
      </c>
      <c r="AC1262" t="str">
        <f t="shared" si="805"/>
        <v>Stock en Bultos</v>
      </c>
      <c r="AD1262" t="str">
        <f t="shared" si="806"/>
        <v>SubDepósito</v>
      </c>
      <c r="AE1262" t="str">
        <f t="shared" si="807"/>
        <v>Marca</v>
      </c>
      <c r="AF1262" t="str">
        <f t="shared" si="808"/>
        <v>Super Rubro</v>
      </c>
      <c r="AG1262" t="str">
        <f t="shared" si="809"/>
        <v>ComercioExterior</v>
      </c>
      <c r="AH1262" t="str">
        <f t="shared" si="810"/>
        <v>PrecioFOB</v>
      </c>
      <c r="AI1262" t="str">
        <f t="shared" si="811"/>
        <v>Monto II</v>
      </c>
      <c r="AJ1262" t="str">
        <f t="shared" si="812"/>
        <v>Porcentaje II</v>
      </c>
      <c r="AK1262" t="str">
        <f t="shared" si="813"/>
        <v>Foto</v>
      </c>
      <c r="AL1262" t="str">
        <f>"{\rtf1\ansi\ansicpg1252\deff0\deflang11274{\fonttbl{\f0\fnil\fcharset0 MS Sans Serif}} \viewkind4\uc1\pard\f0\fs16 COJINETES BIELA 0.50 MM MOTOR MWM 4.07\par } "</f>
        <v xml:space="preserve">{\rtf1\ansi\ansicpg1252\deff0\deflang11274{\fonttbl{\f0\fnil\fcharset0 MS Sans Serif}} \viewkind4\uc1\pard\f0\fs16 COJINETES BIELA 0.50 MM MOTOR MWM 4.07\par } </v>
      </c>
      <c r="AM1262" t="str">
        <f t="shared" si="824"/>
        <v xml:space="preserve"> </v>
      </c>
    </row>
    <row r="1263" spans="1:39" x14ac:dyDescent="0.25">
      <c r="A1263" t="str">
        <f>"BI479 20"</f>
        <v>BI479 20</v>
      </c>
      <c r="B1263" t="str">
        <f>"COJINETES BIELA 0.50 MM VOLKSWAGEN GACEL SENDA    10479/4"</f>
        <v>COJINETES BIELA 0.50 MM VOLKSWAGEN GACEL SENDA    10479/4</v>
      </c>
      <c r="C1263" t="str">
        <f>"$ 26741,07"</f>
        <v>$ 26741,07</v>
      </c>
      <c r="D1263" t="str">
        <f>"$ 26741,07"</f>
        <v>$ 26741,07</v>
      </c>
      <c r="E1263" t="str">
        <f>"$ 26741,07"</f>
        <v>$ 26741,07</v>
      </c>
      <c r="F1263" t="str">
        <f>"$ 26741,07"</f>
        <v>$ 26741,07</v>
      </c>
      <c r="G1263" t="str">
        <f>"$ 26741,07"</f>
        <v>$ 26741,07</v>
      </c>
      <c r="H1263" t="str">
        <f t="shared" si="795"/>
        <v>$ 0,00</v>
      </c>
      <c r="I1263" t="str">
        <f t="shared" si="794"/>
        <v>JUEGO COJINETES BIELA</v>
      </c>
      <c r="J1263" t="str">
        <f t="shared" si="796"/>
        <v>1</v>
      </c>
      <c r="K1263" t="str">
        <f t="shared" si="820"/>
        <v>0</v>
      </c>
      <c r="L1263" t="str">
        <f>"1,000"</f>
        <v>1,000</v>
      </c>
      <c r="M1263" t="str">
        <f t="shared" si="797"/>
        <v xml:space="preserve"> </v>
      </c>
      <c r="N1263" t="str">
        <f t="shared" si="826"/>
        <v>MPSI</v>
      </c>
      <c r="O1263" t="str">
        <f t="shared" si="827"/>
        <v>COJINETES</v>
      </c>
      <c r="P1263" t="str">
        <f t="shared" ref="P1263:Q1282" si="829">"0"</f>
        <v>0</v>
      </c>
      <c r="Q1263" t="str">
        <f t="shared" si="829"/>
        <v>0</v>
      </c>
      <c r="R1263" t="str">
        <f t="shared" ref="R1263:S1282" si="830">"0,00"</f>
        <v>0,00</v>
      </c>
      <c r="S1263" t="str">
        <f t="shared" si="830"/>
        <v>0,00</v>
      </c>
      <c r="T1263" t="str">
        <f t="shared" si="819"/>
        <v xml:space="preserve"> </v>
      </c>
      <c r="U1263" t="str">
        <f t="shared" si="828"/>
        <v xml:space="preserve"> </v>
      </c>
      <c r="V1263" t="str">
        <f>"1,000"</f>
        <v>1,000</v>
      </c>
      <c r="W1263" t="str">
        <f t="shared" si="799"/>
        <v>Lista 4</v>
      </c>
      <c r="X1263" t="str">
        <f t="shared" si="800"/>
        <v>Lista 5</v>
      </c>
      <c r="Y1263" t="str">
        <f t="shared" si="801"/>
        <v>Oferta Gral.</v>
      </c>
      <c r="Z1263" t="str">
        <f t="shared" si="802"/>
        <v>Rubro</v>
      </c>
      <c r="AA1263" t="str">
        <f t="shared" si="803"/>
        <v>Cantidad por Bulto</v>
      </c>
      <c r="AB1263" t="str">
        <f t="shared" si="804"/>
        <v>INNER</v>
      </c>
      <c r="AC1263" t="str">
        <f t="shared" si="805"/>
        <v>Stock en Bultos</v>
      </c>
      <c r="AD1263" t="str">
        <f t="shared" si="806"/>
        <v>SubDepósito</v>
      </c>
      <c r="AE1263" t="str">
        <f t="shared" si="807"/>
        <v>Marca</v>
      </c>
      <c r="AF1263" t="str">
        <f t="shared" si="808"/>
        <v>Super Rubro</v>
      </c>
      <c r="AG1263" t="str">
        <f t="shared" si="809"/>
        <v>ComercioExterior</v>
      </c>
      <c r="AH1263" t="str">
        <f t="shared" si="810"/>
        <v>PrecioFOB</v>
      </c>
      <c r="AI1263" t="str">
        <f t="shared" si="811"/>
        <v>Monto II</v>
      </c>
      <c r="AJ1263" t="str">
        <f t="shared" si="812"/>
        <v>Porcentaje II</v>
      </c>
      <c r="AK1263" t="str">
        <f t="shared" si="813"/>
        <v>Foto</v>
      </c>
      <c r="AL1263" t="str">
        <f>"{\rtf1\ansi\ansicpg1252\deff0\deflang11274{\fonttbl{\f0\fnil\fcharset0 MS Sans Serif}} \viewkind4\uc1\pard\f0\fs16 COJINETES BIELA 0.50 MM VOLKSWAGEN GACEL SENDA    10479/4\par } "</f>
        <v xml:space="preserve">{\rtf1\ansi\ansicpg1252\deff0\deflang11274{\fonttbl{\f0\fnil\fcharset0 MS Sans Serif}} \viewkind4\uc1\pard\f0\fs16 COJINETES BIELA 0.50 MM VOLKSWAGEN GACEL SENDA    10479/4\par } </v>
      </c>
      <c r="AM1263" t="str">
        <f t="shared" si="824"/>
        <v xml:space="preserve"> </v>
      </c>
    </row>
    <row r="1264" spans="1:39" x14ac:dyDescent="0.25">
      <c r="A1264" t="str">
        <f>"BI656 30"</f>
        <v>BI656 30</v>
      </c>
      <c r="B1264" t="str">
        <f>"COJINETES BIELA 0.75 MM MOTOR MWM 4.07"</f>
        <v>COJINETES BIELA 0.75 MM MOTOR MWM 4.07</v>
      </c>
      <c r="C1264" t="str">
        <f>"$ 19083,35"</f>
        <v>$ 19083,35</v>
      </c>
      <c r="D1264" t="str">
        <f>"$ 19083,35"</f>
        <v>$ 19083,35</v>
      </c>
      <c r="E1264" t="str">
        <f>"$ 19083,35"</f>
        <v>$ 19083,35</v>
      </c>
      <c r="F1264" t="str">
        <f>"$ 19083,35"</f>
        <v>$ 19083,35</v>
      </c>
      <c r="G1264" t="str">
        <f>"$ 19083,35"</f>
        <v>$ 19083,35</v>
      </c>
      <c r="H1264" t="str">
        <f t="shared" si="795"/>
        <v>$ 0,00</v>
      </c>
      <c r="I1264" t="str">
        <f t="shared" si="794"/>
        <v>JUEGO COJINETES BIELA</v>
      </c>
      <c r="J1264" t="str">
        <f t="shared" si="796"/>
        <v>1</v>
      </c>
      <c r="K1264" t="str">
        <f t="shared" si="820"/>
        <v>0</v>
      </c>
      <c r="L1264" t="str">
        <f>"6,000"</f>
        <v>6,000</v>
      </c>
      <c r="M1264" t="str">
        <f t="shared" si="797"/>
        <v xml:space="preserve"> </v>
      </c>
      <c r="N1264" t="str">
        <f t="shared" si="826"/>
        <v>MPSI</v>
      </c>
      <c r="O1264" t="str">
        <f t="shared" si="827"/>
        <v>COJINETES</v>
      </c>
      <c r="P1264" t="str">
        <f t="shared" si="829"/>
        <v>0</v>
      </c>
      <c r="Q1264" t="str">
        <f t="shared" si="829"/>
        <v>0</v>
      </c>
      <c r="R1264" t="str">
        <f t="shared" si="830"/>
        <v>0,00</v>
      </c>
      <c r="S1264" t="str">
        <f t="shared" si="830"/>
        <v>0,00</v>
      </c>
      <c r="T1264" t="str">
        <f t="shared" si="819"/>
        <v xml:space="preserve"> </v>
      </c>
      <c r="U1264" t="str">
        <f t="shared" si="828"/>
        <v xml:space="preserve"> </v>
      </c>
      <c r="V1264" t="str">
        <f>"6,000"</f>
        <v>6,000</v>
      </c>
      <c r="W1264" t="str">
        <f t="shared" si="799"/>
        <v>Lista 4</v>
      </c>
      <c r="X1264" t="str">
        <f t="shared" si="800"/>
        <v>Lista 5</v>
      </c>
      <c r="Y1264" t="str">
        <f t="shared" si="801"/>
        <v>Oferta Gral.</v>
      </c>
      <c r="Z1264" t="str">
        <f t="shared" si="802"/>
        <v>Rubro</v>
      </c>
      <c r="AA1264" t="str">
        <f t="shared" si="803"/>
        <v>Cantidad por Bulto</v>
      </c>
      <c r="AB1264" t="str">
        <f t="shared" si="804"/>
        <v>INNER</v>
      </c>
      <c r="AC1264" t="str">
        <f t="shared" si="805"/>
        <v>Stock en Bultos</v>
      </c>
      <c r="AD1264" t="str">
        <f t="shared" si="806"/>
        <v>SubDepósito</v>
      </c>
      <c r="AE1264" t="str">
        <f t="shared" si="807"/>
        <v>Marca</v>
      </c>
      <c r="AF1264" t="str">
        <f t="shared" si="808"/>
        <v>Super Rubro</v>
      </c>
      <c r="AG1264" t="str">
        <f t="shared" si="809"/>
        <v>ComercioExterior</v>
      </c>
      <c r="AH1264" t="str">
        <f t="shared" si="810"/>
        <v>PrecioFOB</v>
      </c>
      <c r="AI1264" t="str">
        <f t="shared" si="811"/>
        <v>Monto II</v>
      </c>
      <c r="AJ1264" t="str">
        <f t="shared" si="812"/>
        <v>Porcentaje II</v>
      </c>
      <c r="AK1264" t="str">
        <f t="shared" si="813"/>
        <v>Foto</v>
      </c>
      <c r="AL1264" t="str">
        <f>"{\rtf1\ansi\ansicpg1252\deff0\deflang11274{\fonttbl{\f0\fnil\fcharset0 MS Sans Serif}} \viewkind4\uc1\pard\f0\fs16 COJINETES BIELA 0.75 MM MOTOR MWM 4.07\par } "</f>
        <v xml:space="preserve">{\rtf1\ansi\ansicpg1252\deff0\deflang11274{\fonttbl{\f0\fnil\fcharset0 MS Sans Serif}} \viewkind4\uc1\pard\f0\fs16 COJINETES BIELA 0.75 MM MOTOR MWM 4.07\par } </v>
      </c>
      <c r="AM1264" t="str">
        <f t="shared" si="824"/>
        <v xml:space="preserve"> </v>
      </c>
    </row>
    <row r="1265" spans="1:39" x14ac:dyDescent="0.25">
      <c r="A1265" t="str">
        <f>"BI479 30"</f>
        <v>BI479 30</v>
      </c>
      <c r="B1265" t="str">
        <f>"COJINETES BIELA 0.75 MM VOLKSWAGEN GACEL SENDA 1600     10-479/4"</f>
        <v>COJINETES BIELA 0.75 MM VOLKSWAGEN GACEL SENDA 1600     10-479/4</v>
      </c>
      <c r="C1265" t="str">
        <f>"$ 26741,07"</f>
        <v>$ 26741,07</v>
      </c>
      <c r="D1265" t="str">
        <f>"$ 26741,07"</f>
        <v>$ 26741,07</v>
      </c>
      <c r="E1265" t="str">
        <f>"$ 26741,07"</f>
        <v>$ 26741,07</v>
      </c>
      <c r="F1265" t="str">
        <f>"$ 26741,07"</f>
        <v>$ 26741,07</v>
      </c>
      <c r="G1265" t="str">
        <f>"$ 26741,07"</f>
        <v>$ 26741,07</v>
      </c>
      <c r="H1265" t="str">
        <f t="shared" si="795"/>
        <v>$ 0,00</v>
      </c>
      <c r="I1265" t="str">
        <f t="shared" si="794"/>
        <v>JUEGO COJINETES BIELA</v>
      </c>
      <c r="J1265" t="str">
        <f t="shared" si="796"/>
        <v>1</v>
      </c>
      <c r="K1265" t="str">
        <f t="shared" si="820"/>
        <v>0</v>
      </c>
      <c r="L1265" t="str">
        <f>"2,000"</f>
        <v>2,000</v>
      </c>
      <c r="M1265" t="str">
        <f t="shared" si="797"/>
        <v xml:space="preserve"> </v>
      </c>
      <c r="N1265" t="str">
        <f t="shared" si="826"/>
        <v>MPSI</v>
      </c>
      <c r="O1265" t="str">
        <f t="shared" si="827"/>
        <v>COJINETES</v>
      </c>
      <c r="P1265" t="str">
        <f t="shared" si="829"/>
        <v>0</v>
      </c>
      <c r="Q1265" t="str">
        <f t="shared" si="829"/>
        <v>0</v>
      </c>
      <c r="R1265" t="str">
        <f t="shared" si="830"/>
        <v>0,00</v>
      </c>
      <c r="S1265" t="str">
        <f t="shared" si="830"/>
        <v>0,00</v>
      </c>
      <c r="T1265" t="str">
        <f t="shared" si="819"/>
        <v xml:space="preserve"> </v>
      </c>
      <c r="U1265" t="str">
        <f t="shared" si="828"/>
        <v xml:space="preserve"> </v>
      </c>
      <c r="V1265" t="str">
        <f>"2,000"</f>
        <v>2,000</v>
      </c>
      <c r="W1265" t="str">
        <f t="shared" si="799"/>
        <v>Lista 4</v>
      </c>
      <c r="X1265" t="str">
        <f t="shared" si="800"/>
        <v>Lista 5</v>
      </c>
      <c r="Y1265" t="str">
        <f t="shared" si="801"/>
        <v>Oferta Gral.</v>
      </c>
      <c r="Z1265" t="str">
        <f t="shared" si="802"/>
        <v>Rubro</v>
      </c>
      <c r="AA1265" t="str">
        <f t="shared" si="803"/>
        <v>Cantidad por Bulto</v>
      </c>
      <c r="AB1265" t="str">
        <f t="shared" si="804"/>
        <v>INNER</v>
      </c>
      <c r="AC1265" t="str">
        <f t="shared" si="805"/>
        <v>Stock en Bultos</v>
      </c>
      <c r="AD1265" t="str">
        <f t="shared" si="806"/>
        <v>SubDepósito</v>
      </c>
      <c r="AE1265" t="str">
        <f t="shared" si="807"/>
        <v>Marca</v>
      </c>
      <c r="AF1265" t="str">
        <f t="shared" si="808"/>
        <v>Super Rubro</v>
      </c>
      <c r="AG1265" t="str">
        <f t="shared" si="809"/>
        <v>ComercioExterior</v>
      </c>
      <c r="AH1265" t="str">
        <f t="shared" si="810"/>
        <v>PrecioFOB</v>
      </c>
      <c r="AI1265" t="str">
        <f t="shared" si="811"/>
        <v>Monto II</v>
      </c>
      <c r="AJ1265" t="str">
        <f t="shared" si="812"/>
        <v>Porcentaje II</v>
      </c>
      <c r="AK1265" t="str">
        <f t="shared" si="813"/>
        <v>Foto</v>
      </c>
      <c r="AL1265" t="str">
        <f>"{\rtf1\ansi\ansicpg1252\deff0\deflang11274{\fonttbl{\f0\fnil\fcharset0 MS Sans Serif}} \viewkind4\uc1\pard\f0\fs16 COJINETES BIELA 0.75 MM VOLKSWAGEN GACEL SENDA 1600     10-479/4\par \par } "</f>
        <v xml:space="preserve">{\rtf1\ansi\ansicpg1252\deff0\deflang11274{\fonttbl{\f0\fnil\fcharset0 MS Sans Serif}} \viewkind4\uc1\pard\f0\fs16 COJINETES BIELA 0.75 MM VOLKSWAGEN GACEL SENDA 1600     10-479/4\par \par } </v>
      </c>
      <c r="AM1265" t="str">
        <f t="shared" si="824"/>
        <v xml:space="preserve"> </v>
      </c>
    </row>
    <row r="1266" spans="1:39" x14ac:dyDescent="0.25">
      <c r="A1266" t="str">
        <f>"BI481 10"</f>
        <v>BI481 10</v>
      </c>
      <c r="B1266" t="str">
        <f>"COJINETES BIELA 025 VW BORA 1.9 TDI"</f>
        <v>COJINETES BIELA 025 VW BORA 1.9 TDI</v>
      </c>
      <c r="C1266" t="str">
        <f>"$ 37084,40"</f>
        <v>$ 37084,40</v>
      </c>
      <c r="D1266" t="str">
        <f>"$ 37084,40"</f>
        <v>$ 37084,40</v>
      </c>
      <c r="E1266" t="str">
        <f>"$ 37084,40"</f>
        <v>$ 37084,40</v>
      </c>
      <c r="F1266" t="str">
        <f>"$ 37084,40"</f>
        <v>$ 37084,40</v>
      </c>
      <c r="G1266" t="str">
        <f>"$ 37084,40"</f>
        <v>$ 37084,40</v>
      </c>
      <c r="H1266" t="str">
        <f t="shared" si="795"/>
        <v>$ 0,00</v>
      </c>
      <c r="I1266" t="str">
        <f t="shared" si="794"/>
        <v>JUEGO COJINETES BIELA</v>
      </c>
      <c r="J1266" t="str">
        <f t="shared" si="796"/>
        <v>1</v>
      </c>
      <c r="K1266" t="str">
        <f t="shared" si="820"/>
        <v>0</v>
      </c>
      <c r="L1266" t="str">
        <f>"0,000"</f>
        <v>0,000</v>
      </c>
      <c r="M1266" t="str">
        <f t="shared" si="797"/>
        <v xml:space="preserve"> </v>
      </c>
      <c r="N1266" t="str">
        <f t="shared" si="826"/>
        <v>MPSI</v>
      </c>
      <c r="O1266" t="str">
        <f t="shared" si="827"/>
        <v>COJINETES</v>
      </c>
      <c r="P1266" t="str">
        <f t="shared" si="829"/>
        <v>0</v>
      </c>
      <c r="Q1266" t="str">
        <f t="shared" si="829"/>
        <v>0</v>
      </c>
      <c r="R1266" t="str">
        <f t="shared" si="830"/>
        <v>0,00</v>
      </c>
      <c r="S1266" t="str">
        <f t="shared" si="830"/>
        <v>0,00</v>
      </c>
      <c r="T1266" t="str">
        <f t="shared" si="819"/>
        <v xml:space="preserve"> </v>
      </c>
      <c r="U1266" t="str">
        <f t="shared" si="828"/>
        <v xml:space="preserve"> </v>
      </c>
      <c r="V1266" t="str">
        <f>"0,000"</f>
        <v>0,000</v>
      </c>
      <c r="W1266" t="str">
        <f t="shared" si="799"/>
        <v>Lista 4</v>
      </c>
      <c r="X1266" t="str">
        <f t="shared" si="800"/>
        <v>Lista 5</v>
      </c>
      <c r="Y1266" t="str">
        <f t="shared" si="801"/>
        <v>Oferta Gral.</v>
      </c>
      <c r="Z1266" t="str">
        <f t="shared" si="802"/>
        <v>Rubro</v>
      </c>
      <c r="AA1266" t="str">
        <f t="shared" si="803"/>
        <v>Cantidad por Bulto</v>
      </c>
      <c r="AB1266" t="str">
        <f t="shared" si="804"/>
        <v>INNER</v>
      </c>
      <c r="AC1266" t="str">
        <f t="shared" si="805"/>
        <v>Stock en Bultos</v>
      </c>
      <c r="AD1266" t="str">
        <f t="shared" si="806"/>
        <v>SubDepósito</v>
      </c>
      <c r="AE1266" t="str">
        <f t="shared" si="807"/>
        <v>Marca</v>
      </c>
      <c r="AF1266" t="str">
        <f t="shared" si="808"/>
        <v>Super Rubro</v>
      </c>
      <c r="AG1266" t="str">
        <f t="shared" si="809"/>
        <v>ComercioExterior</v>
      </c>
      <c r="AH1266" t="str">
        <f t="shared" si="810"/>
        <v>PrecioFOB</v>
      </c>
      <c r="AI1266" t="str">
        <f t="shared" si="811"/>
        <v>Monto II</v>
      </c>
      <c r="AJ1266" t="str">
        <f t="shared" si="812"/>
        <v>Porcentaje II</v>
      </c>
      <c r="AK1266" t="str">
        <f t="shared" si="813"/>
        <v>Foto</v>
      </c>
      <c r="AL1266" t="str">
        <f>"{\rtf1\ansi\ansicpg1252\deff0\deflang11274{\fonttbl{\f0\fnil\fcharset0 MS Sans Serif}} \viewkind4\uc1\pard\f0\fs16 COJINETES BIELA 025 VW BORA 1.9 TDI\par } "</f>
        <v xml:space="preserve">{\rtf1\ansi\ansicpg1252\deff0\deflang11274{\fonttbl{\f0\fnil\fcharset0 MS Sans Serif}} \viewkind4\uc1\pard\f0\fs16 COJINETES BIELA 025 VW BORA 1.9 TDI\par } </v>
      </c>
      <c r="AM1266" t="str">
        <f>"-"</f>
        <v>-</v>
      </c>
    </row>
    <row r="1267" spans="1:39" x14ac:dyDescent="0.25">
      <c r="A1267" t="str">
        <f>"BI062 40"</f>
        <v>BI062 40</v>
      </c>
      <c r="B1267" t="str">
        <f>"COJINETES BIELA 1,00 CHEVROLET 400 CHEVY C10"</f>
        <v>COJINETES BIELA 1,00 CHEVROLET 400 CHEVY C10</v>
      </c>
      <c r="C1267" t="str">
        <f>"$ 22210,98"</f>
        <v>$ 22210,98</v>
      </c>
      <c r="D1267" t="str">
        <f>"$ 22210,98"</f>
        <v>$ 22210,98</v>
      </c>
      <c r="E1267" t="str">
        <f>"$ 22210,98"</f>
        <v>$ 22210,98</v>
      </c>
      <c r="F1267" t="str">
        <f>"$ 22210,98"</f>
        <v>$ 22210,98</v>
      </c>
      <c r="G1267" t="str">
        <f>"$ 22210,98"</f>
        <v>$ 22210,98</v>
      </c>
      <c r="H1267" t="str">
        <f t="shared" si="795"/>
        <v>$ 0,00</v>
      </c>
      <c r="I1267" t="str">
        <f t="shared" si="794"/>
        <v>JUEGO COJINETES BIELA</v>
      </c>
      <c r="J1267" t="str">
        <f t="shared" si="796"/>
        <v>1</v>
      </c>
      <c r="K1267" t="str">
        <f t="shared" si="820"/>
        <v>0</v>
      </c>
      <c r="L1267" t="str">
        <f>"5,000"</f>
        <v>5,000</v>
      </c>
      <c r="M1267" t="str">
        <f t="shared" si="797"/>
        <v xml:space="preserve"> </v>
      </c>
      <c r="N1267" t="str">
        <f t="shared" si="826"/>
        <v>MPSI</v>
      </c>
      <c r="O1267" t="str">
        <f t="shared" si="827"/>
        <v>COJINETES</v>
      </c>
      <c r="P1267" t="str">
        <f t="shared" si="829"/>
        <v>0</v>
      </c>
      <c r="Q1267" t="str">
        <f t="shared" si="829"/>
        <v>0</v>
      </c>
      <c r="R1267" t="str">
        <f t="shared" si="830"/>
        <v>0,00</v>
      </c>
      <c r="S1267" t="str">
        <f t="shared" si="830"/>
        <v>0,00</v>
      </c>
      <c r="T1267" t="str">
        <f t="shared" si="819"/>
        <v xml:space="preserve"> </v>
      </c>
      <c r="U1267" t="str">
        <f t="shared" ref="U1267:U1298" si="831">"-"</f>
        <v>-</v>
      </c>
      <c r="V1267" t="str">
        <f>"5,000"</f>
        <v>5,000</v>
      </c>
      <c r="W1267" t="str">
        <f t="shared" si="799"/>
        <v>Lista 4</v>
      </c>
      <c r="X1267" t="str">
        <f t="shared" si="800"/>
        <v>Lista 5</v>
      </c>
      <c r="Y1267" t="str">
        <f t="shared" si="801"/>
        <v>Oferta Gral.</v>
      </c>
      <c r="Z1267" t="str">
        <f t="shared" si="802"/>
        <v>Rubro</v>
      </c>
      <c r="AA1267" t="str">
        <f t="shared" si="803"/>
        <v>Cantidad por Bulto</v>
      </c>
      <c r="AB1267" t="str">
        <f t="shared" si="804"/>
        <v>INNER</v>
      </c>
      <c r="AC1267" t="str">
        <f t="shared" si="805"/>
        <v>Stock en Bultos</v>
      </c>
      <c r="AD1267" t="str">
        <f t="shared" si="806"/>
        <v>SubDepósito</v>
      </c>
      <c r="AE1267" t="str">
        <f t="shared" si="807"/>
        <v>Marca</v>
      </c>
      <c r="AF1267" t="str">
        <f t="shared" si="808"/>
        <v>Super Rubro</v>
      </c>
      <c r="AG1267" t="str">
        <f t="shared" si="809"/>
        <v>ComercioExterior</v>
      </c>
      <c r="AH1267" t="str">
        <f t="shared" si="810"/>
        <v>PrecioFOB</v>
      </c>
      <c r="AI1267" t="str">
        <f t="shared" si="811"/>
        <v>Monto II</v>
      </c>
      <c r="AJ1267" t="str">
        <f t="shared" si="812"/>
        <v>Porcentaje II</v>
      </c>
      <c r="AK1267" t="str">
        <f t="shared" si="813"/>
        <v>Foto</v>
      </c>
      <c r="AL1267" t="str">
        <f>" "</f>
        <v xml:space="preserve"> </v>
      </c>
      <c r="AM1267" t="str">
        <f>" "</f>
        <v xml:space="preserve"> </v>
      </c>
    </row>
    <row r="1268" spans="1:39" x14ac:dyDescent="0.25">
      <c r="A1268" t="str">
        <f>"BI372 40"</f>
        <v>BI372 40</v>
      </c>
      <c r="B1268" t="str">
        <f>"COJINETES BIELA 1,00 CHEVROLET CORSA 1.4 1.6 1.8 FIAT PALIO 1.8 8V"</f>
        <v>COJINETES BIELA 1,00 CHEVROLET CORSA 1.4 1.6 1.8 FIAT PALIO 1.8 8V</v>
      </c>
      <c r="C1268" t="str">
        <f>"$ 10874,12"</f>
        <v>$ 10874,12</v>
      </c>
      <c r="D1268" t="str">
        <f>"$ 10874,12"</f>
        <v>$ 10874,12</v>
      </c>
      <c r="E1268" t="str">
        <f>"$ 10874,12"</f>
        <v>$ 10874,12</v>
      </c>
      <c r="F1268" t="str">
        <f>"$ 10874,12"</f>
        <v>$ 10874,12</v>
      </c>
      <c r="G1268" t="str">
        <f>"$ 10874,12"</f>
        <v>$ 10874,12</v>
      </c>
      <c r="H1268" t="str">
        <f t="shared" si="795"/>
        <v>$ 0,00</v>
      </c>
      <c r="I1268" t="str">
        <f t="shared" si="794"/>
        <v>JUEGO COJINETES BIELA</v>
      </c>
      <c r="J1268" t="str">
        <f t="shared" si="796"/>
        <v>1</v>
      </c>
      <c r="K1268" t="str">
        <f t="shared" si="820"/>
        <v>0</v>
      </c>
      <c r="L1268" t="str">
        <f>"0,000"</f>
        <v>0,000</v>
      </c>
      <c r="M1268" t="str">
        <f t="shared" si="797"/>
        <v xml:space="preserve"> </v>
      </c>
      <c r="N1268" t="str">
        <f t="shared" si="826"/>
        <v>MPSI</v>
      </c>
      <c r="O1268" t="str">
        <f t="shared" si="827"/>
        <v>COJINETES</v>
      </c>
      <c r="P1268" t="str">
        <f t="shared" si="829"/>
        <v>0</v>
      </c>
      <c r="Q1268" t="str">
        <f t="shared" si="829"/>
        <v>0</v>
      </c>
      <c r="R1268" t="str">
        <f t="shared" si="830"/>
        <v>0,00</v>
      </c>
      <c r="S1268" t="str">
        <f t="shared" si="830"/>
        <v>0,00</v>
      </c>
      <c r="T1268" t="str">
        <f t="shared" si="819"/>
        <v xml:space="preserve"> </v>
      </c>
      <c r="U1268" t="str">
        <f t="shared" si="831"/>
        <v>-</v>
      </c>
      <c r="V1268" t="str">
        <f>"0,000"</f>
        <v>0,000</v>
      </c>
      <c r="W1268" t="str">
        <f t="shared" si="799"/>
        <v>Lista 4</v>
      </c>
      <c r="X1268" t="str">
        <f t="shared" si="800"/>
        <v>Lista 5</v>
      </c>
      <c r="Y1268" t="str">
        <f t="shared" si="801"/>
        <v>Oferta Gral.</v>
      </c>
      <c r="Z1268" t="str">
        <f t="shared" si="802"/>
        <v>Rubro</v>
      </c>
      <c r="AA1268" t="str">
        <f t="shared" si="803"/>
        <v>Cantidad por Bulto</v>
      </c>
      <c r="AB1268" t="str">
        <f t="shared" si="804"/>
        <v>INNER</v>
      </c>
      <c r="AC1268" t="str">
        <f t="shared" si="805"/>
        <v>Stock en Bultos</v>
      </c>
      <c r="AD1268" t="str">
        <f t="shared" si="806"/>
        <v>SubDepósito</v>
      </c>
      <c r="AE1268" t="str">
        <f t="shared" si="807"/>
        <v>Marca</v>
      </c>
      <c r="AF1268" t="str">
        <f t="shared" si="808"/>
        <v>Super Rubro</v>
      </c>
      <c r="AG1268" t="str">
        <f t="shared" si="809"/>
        <v>ComercioExterior</v>
      </c>
      <c r="AH1268" t="str">
        <f t="shared" si="810"/>
        <v>PrecioFOB</v>
      </c>
      <c r="AI1268" t="str">
        <f t="shared" si="811"/>
        <v>Monto II</v>
      </c>
      <c r="AJ1268" t="str">
        <f t="shared" si="812"/>
        <v>Porcentaje II</v>
      </c>
      <c r="AK1268" t="str">
        <f t="shared" si="813"/>
        <v>Foto</v>
      </c>
      <c r="AL1268" t="str">
        <f>"{\rtf1\ansi\ansicpg1252\deff0\deflang2058{\fonttbl{\f0\fnil\fcharset0 MS Sans Serif}} \viewkind4\uc1\pard\f0\fs16 COJINETES BIELA 1,00 CHEVROLET CORSA 1.4 1.6 1.8 FIAT PALIO 1.8 8V\par } "</f>
        <v xml:space="preserve">{\rtf1\ansi\ansicpg1252\deff0\deflang2058{\fonttbl{\f0\fnil\fcharset0 MS Sans Serif}} \viewkind4\uc1\pard\f0\fs16 COJINETES BIELA 1,00 CHEVROLET CORSA 1.4 1.6 1.8 FIAT PALIO 1.8 8V\par } </v>
      </c>
      <c r="AM1268" t="str">
        <f t="shared" ref="AM1268:AM1299" si="832">" "</f>
        <v xml:space="preserve"> </v>
      </c>
    </row>
    <row r="1269" spans="1:39" x14ac:dyDescent="0.25">
      <c r="A1269" t="str">
        <f>"BI810 40"</f>
        <v>BI810 40</v>
      </c>
      <c r="B1269" t="str">
        <f>"COJINETES BIELA 1,00 CHEVROLET CORSA 1.7 ISUZU 1,7 DIESEL"</f>
        <v>COJINETES BIELA 1,00 CHEVROLET CORSA 1.7 ISUZU 1,7 DIESEL</v>
      </c>
      <c r="C1269" t="str">
        <f>"$ 17897,69"</f>
        <v>$ 17897,69</v>
      </c>
      <c r="D1269" t="str">
        <f>"$ 17897,69"</f>
        <v>$ 17897,69</v>
      </c>
      <c r="E1269" t="str">
        <f>"$ 17897,69"</f>
        <v>$ 17897,69</v>
      </c>
      <c r="F1269" t="str">
        <f>"$ 17897,69"</f>
        <v>$ 17897,69</v>
      </c>
      <c r="G1269" t="str">
        <f>"$ 17897,69"</f>
        <v>$ 17897,69</v>
      </c>
      <c r="H1269" t="str">
        <f t="shared" si="795"/>
        <v>$ 0,00</v>
      </c>
      <c r="I1269" t="str">
        <f t="shared" si="794"/>
        <v>JUEGO COJINETES BIELA</v>
      </c>
      <c r="J1269" t="str">
        <f t="shared" si="796"/>
        <v>1</v>
      </c>
      <c r="K1269" t="str">
        <f t="shared" si="820"/>
        <v>0</v>
      </c>
      <c r="L1269" t="str">
        <f>"3,000"</f>
        <v>3,000</v>
      </c>
      <c r="M1269" t="str">
        <f t="shared" si="797"/>
        <v xml:space="preserve"> </v>
      </c>
      <c r="N1269" t="str">
        <f t="shared" si="826"/>
        <v>MPSI</v>
      </c>
      <c r="O1269" t="str">
        <f t="shared" si="827"/>
        <v>COJINETES</v>
      </c>
      <c r="P1269" t="str">
        <f t="shared" si="829"/>
        <v>0</v>
      </c>
      <c r="Q1269" t="str">
        <f t="shared" si="829"/>
        <v>0</v>
      </c>
      <c r="R1269" t="str">
        <f t="shared" si="830"/>
        <v>0,00</v>
      </c>
      <c r="S1269" t="str">
        <f t="shared" si="830"/>
        <v>0,00</v>
      </c>
      <c r="T1269" t="str">
        <f t="shared" si="819"/>
        <v xml:space="preserve"> </v>
      </c>
      <c r="U1269" t="str">
        <f t="shared" si="831"/>
        <v>-</v>
      </c>
      <c r="V1269" t="str">
        <f>"3,000"</f>
        <v>3,000</v>
      </c>
      <c r="W1269" t="str">
        <f t="shared" si="799"/>
        <v>Lista 4</v>
      </c>
      <c r="X1269" t="str">
        <f t="shared" si="800"/>
        <v>Lista 5</v>
      </c>
      <c r="Y1269" t="str">
        <f t="shared" si="801"/>
        <v>Oferta Gral.</v>
      </c>
      <c r="Z1269" t="str">
        <f t="shared" si="802"/>
        <v>Rubro</v>
      </c>
      <c r="AA1269" t="str">
        <f t="shared" si="803"/>
        <v>Cantidad por Bulto</v>
      </c>
      <c r="AB1269" t="str">
        <f t="shared" si="804"/>
        <v>INNER</v>
      </c>
      <c r="AC1269" t="str">
        <f t="shared" si="805"/>
        <v>Stock en Bultos</v>
      </c>
      <c r="AD1269" t="str">
        <f t="shared" si="806"/>
        <v>SubDepósito</v>
      </c>
      <c r="AE1269" t="str">
        <f t="shared" si="807"/>
        <v>Marca</v>
      </c>
      <c r="AF1269" t="str">
        <f t="shared" si="808"/>
        <v>Super Rubro</v>
      </c>
      <c r="AG1269" t="str">
        <f t="shared" si="809"/>
        <v>ComercioExterior</v>
      </c>
      <c r="AH1269" t="str">
        <f t="shared" si="810"/>
        <v>PrecioFOB</v>
      </c>
      <c r="AI1269" t="str">
        <f t="shared" si="811"/>
        <v>Monto II</v>
      </c>
      <c r="AJ1269" t="str">
        <f t="shared" si="812"/>
        <v>Porcentaje II</v>
      </c>
      <c r="AK1269" t="str">
        <f t="shared" si="813"/>
        <v>Foto</v>
      </c>
      <c r="AL1269" t="str">
        <f t="shared" ref="AL1269:AL1278" si="833">" "</f>
        <v xml:space="preserve"> </v>
      </c>
      <c r="AM1269" t="str">
        <f t="shared" si="832"/>
        <v xml:space="preserve"> </v>
      </c>
    </row>
    <row r="1270" spans="1:39" x14ac:dyDescent="0.25">
      <c r="A1270" t="str">
        <f>"BI070 40"</f>
        <v>BI070 40</v>
      </c>
      <c r="B1270" t="str">
        <f>"COJINETES BIELA 1,00 CHEVROLET MONZA ASTRA 1.8 2.0 8V"</f>
        <v>COJINETES BIELA 1,00 CHEVROLET MONZA ASTRA 1.8 2.0 8V</v>
      </c>
      <c r="C1270" t="str">
        <f>"$ 15174,52"</f>
        <v>$ 15174,52</v>
      </c>
      <c r="D1270" t="str">
        <f>"$ 15174,52"</f>
        <v>$ 15174,52</v>
      </c>
      <c r="E1270" t="str">
        <f>"$ 15174,52"</f>
        <v>$ 15174,52</v>
      </c>
      <c r="F1270" t="str">
        <f>"$ 15174,52"</f>
        <v>$ 15174,52</v>
      </c>
      <c r="G1270" t="str">
        <f>"$ 15174,52"</f>
        <v>$ 15174,52</v>
      </c>
      <c r="H1270" t="str">
        <f t="shared" si="795"/>
        <v>$ 0,00</v>
      </c>
      <c r="I1270" t="str">
        <f t="shared" si="794"/>
        <v>JUEGO COJINETES BIELA</v>
      </c>
      <c r="J1270" t="str">
        <f t="shared" si="796"/>
        <v>1</v>
      </c>
      <c r="K1270" t="str">
        <f t="shared" si="820"/>
        <v>0</v>
      </c>
      <c r="L1270" t="str">
        <f>"14,000"</f>
        <v>14,000</v>
      </c>
      <c r="M1270" t="str">
        <f t="shared" si="797"/>
        <v xml:space="preserve"> </v>
      </c>
      <c r="N1270" t="str">
        <f t="shared" si="826"/>
        <v>MPSI</v>
      </c>
      <c r="O1270" t="str">
        <f t="shared" si="827"/>
        <v>COJINETES</v>
      </c>
      <c r="P1270" t="str">
        <f t="shared" si="829"/>
        <v>0</v>
      </c>
      <c r="Q1270" t="str">
        <f t="shared" si="829"/>
        <v>0</v>
      </c>
      <c r="R1270" t="str">
        <f t="shared" si="830"/>
        <v>0,00</v>
      </c>
      <c r="S1270" t="str">
        <f t="shared" si="830"/>
        <v>0,00</v>
      </c>
      <c r="T1270" t="str">
        <f t="shared" si="819"/>
        <v xml:space="preserve"> </v>
      </c>
      <c r="U1270" t="str">
        <f t="shared" si="831"/>
        <v>-</v>
      </c>
      <c r="V1270" t="str">
        <f>"14,000"</f>
        <v>14,000</v>
      </c>
      <c r="W1270" t="str">
        <f t="shared" si="799"/>
        <v>Lista 4</v>
      </c>
      <c r="X1270" t="str">
        <f t="shared" si="800"/>
        <v>Lista 5</v>
      </c>
      <c r="Y1270" t="str">
        <f t="shared" si="801"/>
        <v>Oferta Gral.</v>
      </c>
      <c r="Z1270" t="str">
        <f t="shared" si="802"/>
        <v>Rubro</v>
      </c>
      <c r="AA1270" t="str">
        <f t="shared" si="803"/>
        <v>Cantidad por Bulto</v>
      </c>
      <c r="AB1270" t="str">
        <f t="shared" si="804"/>
        <v>INNER</v>
      </c>
      <c r="AC1270" t="str">
        <f t="shared" si="805"/>
        <v>Stock en Bultos</v>
      </c>
      <c r="AD1270" t="str">
        <f t="shared" si="806"/>
        <v>SubDepósito</v>
      </c>
      <c r="AE1270" t="str">
        <f t="shared" si="807"/>
        <v>Marca</v>
      </c>
      <c r="AF1270" t="str">
        <f t="shared" si="808"/>
        <v>Super Rubro</v>
      </c>
      <c r="AG1270" t="str">
        <f t="shared" si="809"/>
        <v>ComercioExterior</v>
      </c>
      <c r="AH1270" t="str">
        <f t="shared" si="810"/>
        <v>PrecioFOB</v>
      </c>
      <c r="AI1270" t="str">
        <f t="shared" si="811"/>
        <v>Monto II</v>
      </c>
      <c r="AJ1270" t="str">
        <f t="shared" si="812"/>
        <v>Porcentaje II</v>
      </c>
      <c r="AK1270" t="str">
        <f t="shared" si="813"/>
        <v>Foto</v>
      </c>
      <c r="AL1270" t="str">
        <f t="shared" si="833"/>
        <v xml:space="preserve"> </v>
      </c>
      <c r="AM1270" t="str">
        <f t="shared" si="832"/>
        <v xml:space="preserve"> </v>
      </c>
    </row>
    <row r="1271" spans="1:39" x14ac:dyDescent="0.25">
      <c r="A1271" t="str">
        <f>"BI082 40"</f>
        <v>BI082 40</v>
      </c>
      <c r="B1271" t="str">
        <f>"COJINETES BIELA 1,00 DODGE 1500"</f>
        <v>COJINETES BIELA 1,00 DODGE 1500</v>
      </c>
      <c r="C1271" t="str">
        <f>"$ 17350,79"</f>
        <v>$ 17350,79</v>
      </c>
      <c r="D1271" t="str">
        <f>"$ 17350,79"</f>
        <v>$ 17350,79</v>
      </c>
      <c r="E1271" t="str">
        <f>"$ 17350,79"</f>
        <v>$ 17350,79</v>
      </c>
      <c r="F1271" t="str">
        <f>"$ 17350,79"</f>
        <v>$ 17350,79</v>
      </c>
      <c r="G1271" t="str">
        <f>"$ 17350,79"</f>
        <v>$ 17350,79</v>
      </c>
      <c r="H1271" t="str">
        <f t="shared" si="795"/>
        <v>$ 0,00</v>
      </c>
      <c r="I1271" t="str">
        <f t="shared" si="794"/>
        <v>JUEGO COJINETES BIELA</v>
      </c>
      <c r="J1271" t="str">
        <f t="shared" si="796"/>
        <v>1</v>
      </c>
      <c r="K1271" t="str">
        <f t="shared" si="820"/>
        <v>0</v>
      </c>
      <c r="L1271" t="str">
        <f>"3,000"</f>
        <v>3,000</v>
      </c>
      <c r="M1271" t="str">
        <f t="shared" si="797"/>
        <v xml:space="preserve"> </v>
      </c>
      <c r="N1271" t="str">
        <f t="shared" si="826"/>
        <v>MPSI</v>
      </c>
      <c r="O1271" t="str">
        <f t="shared" si="827"/>
        <v>COJINETES</v>
      </c>
      <c r="P1271" t="str">
        <f t="shared" si="829"/>
        <v>0</v>
      </c>
      <c r="Q1271" t="str">
        <f t="shared" si="829"/>
        <v>0</v>
      </c>
      <c r="R1271" t="str">
        <f t="shared" si="830"/>
        <v>0,00</v>
      </c>
      <c r="S1271" t="str">
        <f t="shared" si="830"/>
        <v>0,00</v>
      </c>
      <c r="T1271" t="str">
        <f t="shared" si="819"/>
        <v xml:space="preserve"> </v>
      </c>
      <c r="U1271" t="str">
        <f t="shared" si="831"/>
        <v>-</v>
      </c>
      <c r="V1271" t="str">
        <f>"3,000"</f>
        <v>3,000</v>
      </c>
      <c r="W1271" t="str">
        <f t="shared" si="799"/>
        <v>Lista 4</v>
      </c>
      <c r="X1271" t="str">
        <f t="shared" si="800"/>
        <v>Lista 5</v>
      </c>
      <c r="Y1271" t="str">
        <f t="shared" si="801"/>
        <v>Oferta Gral.</v>
      </c>
      <c r="Z1271" t="str">
        <f t="shared" si="802"/>
        <v>Rubro</v>
      </c>
      <c r="AA1271" t="str">
        <f t="shared" si="803"/>
        <v>Cantidad por Bulto</v>
      </c>
      <c r="AB1271" t="str">
        <f t="shared" si="804"/>
        <v>INNER</v>
      </c>
      <c r="AC1271" t="str">
        <f t="shared" si="805"/>
        <v>Stock en Bultos</v>
      </c>
      <c r="AD1271" t="str">
        <f t="shared" si="806"/>
        <v>SubDepósito</v>
      </c>
      <c r="AE1271" t="str">
        <f t="shared" si="807"/>
        <v>Marca</v>
      </c>
      <c r="AF1271" t="str">
        <f t="shared" si="808"/>
        <v>Super Rubro</v>
      </c>
      <c r="AG1271" t="str">
        <f t="shared" si="809"/>
        <v>ComercioExterior</v>
      </c>
      <c r="AH1271" t="str">
        <f t="shared" si="810"/>
        <v>PrecioFOB</v>
      </c>
      <c r="AI1271" t="str">
        <f t="shared" si="811"/>
        <v>Monto II</v>
      </c>
      <c r="AJ1271" t="str">
        <f t="shared" si="812"/>
        <v>Porcentaje II</v>
      </c>
      <c r="AK1271" t="str">
        <f t="shared" si="813"/>
        <v>Foto</v>
      </c>
      <c r="AL1271" t="str">
        <f t="shared" si="833"/>
        <v xml:space="preserve"> </v>
      </c>
      <c r="AM1271" t="str">
        <f t="shared" si="832"/>
        <v xml:space="preserve"> </v>
      </c>
    </row>
    <row r="1272" spans="1:39" x14ac:dyDescent="0.25">
      <c r="A1272" t="str">
        <f>"BI080 40"</f>
        <v>BI080 40</v>
      </c>
      <c r="B1272" t="str">
        <f>"COJINETES BIELA 1,00 DODGE VALIANT"</f>
        <v>COJINETES BIELA 1,00 DODGE VALIANT</v>
      </c>
      <c r="C1272" t="str">
        <f>"$ 29518,10"</f>
        <v>$ 29518,10</v>
      </c>
      <c r="D1272" t="str">
        <f>"$ 29518,10"</f>
        <v>$ 29518,10</v>
      </c>
      <c r="E1272" t="str">
        <f>"$ 29518,10"</f>
        <v>$ 29518,10</v>
      </c>
      <c r="F1272" t="str">
        <f>"$ 29518,10"</f>
        <v>$ 29518,10</v>
      </c>
      <c r="G1272" t="str">
        <f>"$ 29518,10"</f>
        <v>$ 29518,10</v>
      </c>
      <c r="H1272" t="str">
        <f t="shared" si="795"/>
        <v>$ 0,00</v>
      </c>
      <c r="I1272" t="str">
        <f t="shared" ref="I1272:I1335" si="834">"JUEGO COJINETES BIELA"</f>
        <v>JUEGO COJINETES BIELA</v>
      </c>
      <c r="J1272" t="str">
        <f t="shared" si="796"/>
        <v>1</v>
      </c>
      <c r="K1272" t="str">
        <f t="shared" si="820"/>
        <v>0</v>
      </c>
      <c r="L1272" t="str">
        <f>"2,000"</f>
        <v>2,000</v>
      </c>
      <c r="M1272" t="str">
        <f t="shared" si="797"/>
        <v xml:space="preserve"> </v>
      </c>
      <c r="N1272" t="str">
        <f t="shared" si="826"/>
        <v>MPSI</v>
      </c>
      <c r="O1272" t="str">
        <f t="shared" si="827"/>
        <v>COJINETES</v>
      </c>
      <c r="P1272" t="str">
        <f t="shared" si="829"/>
        <v>0</v>
      </c>
      <c r="Q1272" t="str">
        <f t="shared" si="829"/>
        <v>0</v>
      </c>
      <c r="R1272" t="str">
        <f t="shared" si="830"/>
        <v>0,00</v>
      </c>
      <c r="S1272" t="str">
        <f t="shared" si="830"/>
        <v>0,00</v>
      </c>
      <c r="T1272" t="str">
        <f t="shared" si="819"/>
        <v xml:space="preserve"> </v>
      </c>
      <c r="U1272" t="str">
        <f t="shared" si="831"/>
        <v>-</v>
      </c>
      <c r="V1272" t="str">
        <f>"2,000"</f>
        <v>2,000</v>
      </c>
      <c r="W1272" t="str">
        <f t="shared" si="799"/>
        <v>Lista 4</v>
      </c>
      <c r="X1272" t="str">
        <f t="shared" si="800"/>
        <v>Lista 5</v>
      </c>
      <c r="Y1272" t="str">
        <f t="shared" si="801"/>
        <v>Oferta Gral.</v>
      </c>
      <c r="Z1272" t="str">
        <f t="shared" si="802"/>
        <v>Rubro</v>
      </c>
      <c r="AA1272" t="str">
        <f t="shared" si="803"/>
        <v>Cantidad por Bulto</v>
      </c>
      <c r="AB1272" t="str">
        <f t="shared" si="804"/>
        <v>INNER</v>
      </c>
      <c r="AC1272" t="str">
        <f t="shared" si="805"/>
        <v>Stock en Bultos</v>
      </c>
      <c r="AD1272" t="str">
        <f t="shared" si="806"/>
        <v>SubDepósito</v>
      </c>
      <c r="AE1272" t="str">
        <f t="shared" si="807"/>
        <v>Marca</v>
      </c>
      <c r="AF1272" t="str">
        <f t="shared" si="808"/>
        <v>Super Rubro</v>
      </c>
      <c r="AG1272" t="str">
        <f t="shared" si="809"/>
        <v>ComercioExterior</v>
      </c>
      <c r="AH1272" t="str">
        <f t="shared" si="810"/>
        <v>PrecioFOB</v>
      </c>
      <c r="AI1272" t="str">
        <f t="shared" si="811"/>
        <v>Monto II</v>
      </c>
      <c r="AJ1272" t="str">
        <f t="shared" si="812"/>
        <v>Porcentaje II</v>
      </c>
      <c r="AK1272" t="str">
        <f t="shared" si="813"/>
        <v>Foto</v>
      </c>
      <c r="AL1272" t="str">
        <f t="shared" si="833"/>
        <v xml:space="preserve"> </v>
      </c>
      <c r="AM1272" t="str">
        <f t="shared" si="832"/>
        <v xml:space="preserve"> </v>
      </c>
    </row>
    <row r="1273" spans="1:39" x14ac:dyDescent="0.25">
      <c r="A1273" t="str">
        <f>"BI136 40"</f>
        <v>BI136 40</v>
      </c>
      <c r="B1273" t="str">
        <f>"COJINETES BIELA 1,00 FIAT 147 DUNA 1300 DIESEL"</f>
        <v>COJINETES BIELA 1,00 FIAT 147 DUNA 1300 DIESEL</v>
      </c>
      <c r="C1273" t="str">
        <f>"$ 12196,21"</f>
        <v>$ 12196,21</v>
      </c>
      <c r="D1273" t="str">
        <f>"$ 12196,21"</f>
        <v>$ 12196,21</v>
      </c>
      <c r="E1273" t="str">
        <f>"$ 12196,21"</f>
        <v>$ 12196,21</v>
      </c>
      <c r="F1273" t="str">
        <f>"$ 12196,21"</f>
        <v>$ 12196,21</v>
      </c>
      <c r="G1273" t="str">
        <f>"$ 12196,21"</f>
        <v>$ 12196,21</v>
      </c>
      <c r="H1273" t="str">
        <f t="shared" si="795"/>
        <v>$ 0,00</v>
      </c>
      <c r="I1273" t="str">
        <f t="shared" si="834"/>
        <v>JUEGO COJINETES BIELA</v>
      </c>
      <c r="J1273" t="str">
        <f t="shared" si="796"/>
        <v>1</v>
      </c>
      <c r="K1273" t="str">
        <f t="shared" si="820"/>
        <v>0</v>
      </c>
      <c r="L1273" t="str">
        <f>"4,000"</f>
        <v>4,000</v>
      </c>
      <c r="M1273" t="str">
        <f t="shared" si="797"/>
        <v xml:space="preserve"> </v>
      </c>
      <c r="N1273" t="str">
        <f t="shared" si="826"/>
        <v>MPSI</v>
      </c>
      <c r="O1273" t="str">
        <f t="shared" si="827"/>
        <v>COJINETES</v>
      </c>
      <c r="P1273" t="str">
        <f t="shared" si="829"/>
        <v>0</v>
      </c>
      <c r="Q1273" t="str">
        <f t="shared" si="829"/>
        <v>0</v>
      </c>
      <c r="R1273" t="str">
        <f t="shared" si="830"/>
        <v>0,00</v>
      </c>
      <c r="S1273" t="str">
        <f t="shared" si="830"/>
        <v>0,00</v>
      </c>
      <c r="T1273" t="str">
        <f t="shared" si="819"/>
        <v xml:space="preserve"> </v>
      </c>
      <c r="U1273" t="str">
        <f t="shared" si="831"/>
        <v>-</v>
      </c>
      <c r="V1273" t="str">
        <f>"4,000"</f>
        <v>4,000</v>
      </c>
      <c r="W1273" t="str">
        <f t="shared" si="799"/>
        <v>Lista 4</v>
      </c>
      <c r="X1273" t="str">
        <f t="shared" si="800"/>
        <v>Lista 5</v>
      </c>
      <c r="Y1273" t="str">
        <f t="shared" si="801"/>
        <v>Oferta Gral.</v>
      </c>
      <c r="Z1273" t="str">
        <f t="shared" si="802"/>
        <v>Rubro</v>
      </c>
      <c r="AA1273" t="str">
        <f t="shared" si="803"/>
        <v>Cantidad por Bulto</v>
      </c>
      <c r="AB1273" t="str">
        <f t="shared" si="804"/>
        <v>INNER</v>
      </c>
      <c r="AC1273" t="str">
        <f t="shared" si="805"/>
        <v>Stock en Bultos</v>
      </c>
      <c r="AD1273" t="str">
        <f t="shared" si="806"/>
        <v>SubDepósito</v>
      </c>
      <c r="AE1273" t="str">
        <f t="shared" si="807"/>
        <v>Marca</v>
      </c>
      <c r="AF1273" t="str">
        <f t="shared" si="808"/>
        <v>Super Rubro</v>
      </c>
      <c r="AG1273" t="str">
        <f t="shared" si="809"/>
        <v>ComercioExterior</v>
      </c>
      <c r="AH1273" t="str">
        <f t="shared" si="810"/>
        <v>PrecioFOB</v>
      </c>
      <c r="AI1273" t="str">
        <f t="shared" si="811"/>
        <v>Monto II</v>
      </c>
      <c r="AJ1273" t="str">
        <f t="shared" si="812"/>
        <v>Porcentaje II</v>
      </c>
      <c r="AK1273" t="str">
        <f t="shared" si="813"/>
        <v>Foto</v>
      </c>
      <c r="AL1273" t="str">
        <f t="shared" si="833"/>
        <v xml:space="preserve"> </v>
      </c>
      <c r="AM1273" t="str">
        <f t="shared" si="832"/>
        <v xml:space="preserve"> </v>
      </c>
    </row>
    <row r="1274" spans="1:39" x14ac:dyDescent="0.25">
      <c r="A1274" t="str">
        <f>"BI133 40"</f>
        <v>BI133 40</v>
      </c>
      <c r="B1274" t="str">
        <f>"COJINETES BIELA 1,00 FIAT 600 S 133"</f>
        <v>COJINETES BIELA 1,00 FIAT 600 S 133</v>
      </c>
      <c r="C1274" t="str">
        <f>"$ 13908,33"</f>
        <v>$ 13908,33</v>
      </c>
      <c r="D1274" t="str">
        <f>"$ 13908,33"</f>
        <v>$ 13908,33</v>
      </c>
      <c r="E1274" t="str">
        <f>"$ 13908,33"</f>
        <v>$ 13908,33</v>
      </c>
      <c r="F1274" t="str">
        <f>"$ 13908,33"</f>
        <v>$ 13908,33</v>
      </c>
      <c r="G1274" t="str">
        <f>"$ 13908,33"</f>
        <v>$ 13908,33</v>
      </c>
      <c r="H1274" t="str">
        <f t="shared" si="795"/>
        <v>$ 0,00</v>
      </c>
      <c r="I1274" t="str">
        <f t="shared" si="834"/>
        <v>JUEGO COJINETES BIELA</v>
      </c>
      <c r="J1274" t="str">
        <f t="shared" si="796"/>
        <v>1</v>
      </c>
      <c r="K1274" t="str">
        <f t="shared" si="820"/>
        <v>0</v>
      </c>
      <c r="L1274" t="str">
        <f>"2,000"</f>
        <v>2,000</v>
      </c>
      <c r="M1274" t="str">
        <f t="shared" si="797"/>
        <v xml:space="preserve"> </v>
      </c>
      <c r="N1274" t="str">
        <f t="shared" si="826"/>
        <v>MPSI</v>
      </c>
      <c r="O1274" t="str">
        <f t="shared" si="827"/>
        <v>COJINETES</v>
      </c>
      <c r="P1274" t="str">
        <f t="shared" si="829"/>
        <v>0</v>
      </c>
      <c r="Q1274" t="str">
        <f t="shared" si="829"/>
        <v>0</v>
      </c>
      <c r="R1274" t="str">
        <f t="shared" si="830"/>
        <v>0,00</v>
      </c>
      <c r="S1274" t="str">
        <f t="shared" si="830"/>
        <v>0,00</v>
      </c>
      <c r="T1274" t="str">
        <f t="shared" si="819"/>
        <v xml:space="preserve"> </v>
      </c>
      <c r="U1274" t="str">
        <f t="shared" si="831"/>
        <v>-</v>
      </c>
      <c r="V1274" t="str">
        <f>"2,000"</f>
        <v>2,000</v>
      </c>
      <c r="W1274" t="str">
        <f t="shared" si="799"/>
        <v>Lista 4</v>
      </c>
      <c r="X1274" t="str">
        <f t="shared" si="800"/>
        <v>Lista 5</v>
      </c>
      <c r="Y1274" t="str">
        <f t="shared" si="801"/>
        <v>Oferta Gral.</v>
      </c>
      <c r="Z1274" t="str">
        <f t="shared" si="802"/>
        <v>Rubro</v>
      </c>
      <c r="AA1274" t="str">
        <f t="shared" si="803"/>
        <v>Cantidad por Bulto</v>
      </c>
      <c r="AB1274" t="str">
        <f t="shared" si="804"/>
        <v>INNER</v>
      </c>
      <c r="AC1274" t="str">
        <f t="shared" si="805"/>
        <v>Stock en Bultos</v>
      </c>
      <c r="AD1274" t="str">
        <f t="shared" si="806"/>
        <v>SubDepósito</v>
      </c>
      <c r="AE1274" t="str">
        <f t="shared" si="807"/>
        <v>Marca</v>
      </c>
      <c r="AF1274" t="str">
        <f t="shared" si="808"/>
        <v>Super Rubro</v>
      </c>
      <c r="AG1274" t="str">
        <f t="shared" si="809"/>
        <v>ComercioExterior</v>
      </c>
      <c r="AH1274" t="str">
        <f t="shared" si="810"/>
        <v>PrecioFOB</v>
      </c>
      <c r="AI1274" t="str">
        <f t="shared" si="811"/>
        <v>Monto II</v>
      </c>
      <c r="AJ1274" t="str">
        <f t="shared" si="812"/>
        <v>Porcentaje II</v>
      </c>
      <c r="AK1274" t="str">
        <f t="shared" si="813"/>
        <v>Foto</v>
      </c>
      <c r="AL1274" t="str">
        <f t="shared" si="833"/>
        <v xml:space="preserve"> </v>
      </c>
      <c r="AM1274" t="str">
        <f t="shared" si="832"/>
        <v xml:space="preserve"> </v>
      </c>
    </row>
    <row r="1275" spans="1:39" x14ac:dyDescent="0.25">
      <c r="A1275" t="str">
        <f>"BI137 40"</f>
        <v>BI137 40</v>
      </c>
      <c r="B1275" t="str">
        <f>"COJINETES BIELA 1,00 FIAT DUNA DUCATO 1.7 1.9 DIESEL"</f>
        <v>COJINETES BIELA 1,00 FIAT DUNA DUCATO 1.7 1.9 DIESEL</v>
      </c>
      <c r="C1275" t="str">
        <f>"$ 13253,87"</f>
        <v>$ 13253,87</v>
      </c>
      <c r="D1275" t="str">
        <f>"$ 13253,87"</f>
        <v>$ 13253,87</v>
      </c>
      <c r="E1275" t="str">
        <f>"$ 13253,87"</f>
        <v>$ 13253,87</v>
      </c>
      <c r="F1275" t="str">
        <f>"$ 13253,87"</f>
        <v>$ 13253,87</v>
      </c>
      <c r="G1275" t="str">
        <f>"$ 13253,87"</f>
        <v>$ 13253,87</v>
      </c>
      <c r="H1275" t="str">
        <f t="shared" si="795"/>
        <v>$ 0,00</v>
      </c>
      <c r="I1275" t="str">
        <f t="shared" si="834"/>
        <v>JUEGO COJINETES BIELA</v>
      </c>
      <c r="J1275" t="str">
        <f t="shared" si="796"/>
        <v>1</v>
      </c>
      <c r="K1275" t="str">
        <f t="shared" si="820"/>
        <v>0</v>
      </c>
      <c r="L1275" t="str">
        <f>"5,000"</f>
        <v>5,000</v>
      </c>
      <c r="M1275" t="str">
        <f t="shared" si="797"/>
        <v xml:space="preserve"> </v>
      </c>
      <c r="N1275" t="str">
        <f t="shared" si="826"/>
        <v>MPSI</v>
      </c>
      <c r="O1275" t="str">
        <f t="shared" si="827"/>
        <v>COJINETES</v>
      </c>
      <c r="P1275" t="str">
        <f t="shared" si="829"/>
        <v>0</v>
      </c>
      <c r="Q1275" t="str">
        <f t="shared" si="829"/>
        <v>0</v>
      </c>
      <c r="R1275" t="str">
        <f t="shared" si="830"/>
        <v>0,00</v>
      </c>
      <c r="S1275" t="str">
        <f t="shared" si="830"/>
        <v>0,00</v>
      </c>
      <c r="T1275" t="str">
        <f t="shared" si="819"/>
        <v xml:space="preserve"> </v>
      </c>
      <c r="U1275" t="str">
        <f t="shared" si="831"/>
        <v>-</v>
      </c>
      <c r="V1275" t="str">
        <f>"5,000"</f>
        <v>5,000</v>
      </c>
      <c r="W1275" t="str">
        <f t="shared" si="799"/>
        <v>Lista 4</v>
      </c>
      <c r="X1275" t="str">
        <f t="shared" si="800"/>
        <v>Lista 5</v>
      </c>
      <c r="Y1275" t="str">
        <f t="shared" si="801"/>
        <v>Oferta Gral.</v>
      </c>
      <c r="Z1275" t="str">
        <f t="shared" si="802"/>
        <v>Rubro</v>
      </c>
      <c r="AA1275" t="str">
        <f t="shared" si="803"/>
        <v>Cantidad por Bulto</v>
      </c>
      <c r="AB1275" t="str">
        <f t="shared" si="804"/>
        <v>INNER</v>
      </c>
      <c r="AC1275" t="str">
        <f t="shared" si="805"/>
        <v>Stock en Bultos</v>
      </c>
      <c r="AD1275" t="str">
        <f t="shared" si="806"/>
        <v>SubDepósito</v>
      </c>
      <c r="AE1275" t="str">
        <f t="shared" si="807"/>
        <v>Marca</v>
      </c>
      <c r="AF1275" t="str">
        <f t="shared" si="808"/>
        <v>Super Rubro</v>
      </c>
      <c r="AG1275" t="str">
        <f t="shared" si="809"/>
        <v>ComercioExterior</v>
      </c>
      <c r="AH1275" t="str">
        <f t="shared" si="810"/>
        <v>PrecioFOB</v>
      </c>
      <c r="AI1275" t="str">
        <f t="shared" si="811"/>
        <v>Monto II</v>
      </c>
      <c r="AJ1275" t="str">
        <f t="shared" si="812"/>
        <v>Porcentaje II</v>
      </c>
      <c r="AK1275" t="str">
        <f t="shared" si="813"/>
        <v>Foto</v>
      </c>
      <c r="AL1275" t="str">
        <f t="shared" si="833"/>
        <v xml:space="preserve"> </v>
      </c>
      <c r="AM1275" t="str">
        <f t="shared" si="832"/>
        <v xml:space="preserve"> </v>
      </c>
    </row>
    <row r="1276" spans="1:39" x14ac:dyDescent="0.25">
      <c r="A1276" t="str">
        <f>"BI138 40"</f>
        <v>BI138 40</v>
      </c>
      <c r="B1276" t="str">
        <f>"COJINETES BIELA 1,00 FIAT DUNA UNO 1.7 TURBO DIESEL"</f>
        <v>COJINETES BIELA 1,00 FIAT DUNA UNO 1.7 TURBO DIESEL</v>
      </c>
      <c r="C1276" t="str">
        <f>"$ 25244,70"</f>
        <v>$ 25244,70</v>
      </c>
      <c r="D1276" t="str">
        <f>"$ 25244,70"</f>
        <v>$ 25244,70</v>
      </c>
      <c r="E1276" t="str">
        <f>"$ 25244,70"</f>
        <v>$ 25244,70</v>
      </c>
      <c r="F1276" t="str">
        <f>"$ 25244,70"</f>
        <v>$ 25244,70</v>
      </c>
      <c r="G1276" t="str">
        <f>"$ 25244,70"</f>
        <v>$ 25244,70</v>
      </c>
      <c r="H1276" t="str">
        <f t="shared" si="795"/>
        <v>$ 0,00</v>
      </c>
      <c r="I1276" t="str">
        <f t="shared" si="834"/>
        <v>JUEGO COJINETES BIELA</v>
      </c>
      <c r="J1276" t="str">
        <f t="shared" si="796"/>
        <v>1</v>
      </c>
      <c r="K1276" t="str">
        <f t="shared" si="820"/>
        <v>0</v>
      </c>
      <c r="L1276" t="str">
        <f>"0,000"</f>
        <v>0,000</v>
      </c>
      <c r="M1276" t="str">
        <f t="shared" si="797"/>
        <v xml:space="preserve"> </v>
      </c>
      <c r="N1276" t="str">
        <f t="shared" si="826"/>
        <v>MPSI</v>
      </c>
      <c r="O1276" t="str">
        <f t="shared" si="827"/>
        <v>COJINETES</v>
      </c>
      <c r="P1276" t="str">
        <f t="shared" si="829"/>
        <v>0</v>
      </c>
      <c r="Q1276" t="str">
        <f t="shared" si="829"/>
        <v>0</v>
      </c>
      <c r="R1276" t="str">
        <f t="shared" si="830"/>
        <v>0,00</v>
      </c>
      <c r="S1276" t="str">
        <f t="shared" si="830"/>
        <v>0,00</v>
      </c>
      <c r="T1276" t="str">
        <f t="shared" si="819"/>
        <v xml:space="preserve"> </v>
      </c>
      <c r="U1276" t="str">
        <f t="shared" si="831"/>
        <v>-</v>
      </c>
      <c r="V1276" t="str">
        <f>"0,000"</f>
        <v>0,000</v>
      </c>
      <c r="W1276" t="str">
        <f t="shared" si="799"/>
        <v>Lista 4</v>
      </c>
      <c r="X1276" t="str">
        <f t="shared" si="800"/>
        <v>Lista 5</v>
      </c>
      <c r="Y1276" t="str">
        <f t="shared" si="801"/>
        <v>Oferta Gral.</v>
      </c>
      <c r="Z1276" t="str">
        <f t="shared" si="802"/>
        <v>Rubro</v>
      </c>
      <c r="AA1276" t="str">
        <f t="shared" si="803"/>
        <v>Cantidad por Bulto</v>
      </c>
      <c r="AB1276" t="str">
        <f t="shared" si="804"/>
        <v>INNER</v>
      </c>
      <c r="AC1276" t="str">
        <f t="shared" si="805"/>
        <v>Stock en Bultos</v>
      </c>
      <c r="AD1276" t="str">
        <f t="shared" si="806"/>
        <v>SubDepósito</v>
      </c>
      <c r="AE1276" t="str">
        <f t="shared" si="807"/>
        <v>Marca</v>
      </c>
      <c r="AF1276" t="str">
        <f t="shared" si="808"/>
        <v>Super Rubro</v>
      </c>
      <c r="AG1276" t="str">
        <f t="shared" si="809"/>
        <v>ComercioExterior</v>
      </c>
      <c r="AH1276" t="str">
        <f t="shared" si="810"/>
        <v>PrecioFOB</v>
      </c>
      <c r="AI1276" t="str">
        <f t="shared" si="811"/>
        <v>Monto II</v>
      </c>
      <c r="AJ1276" t="str">
        <f t="shared" si="812"/>
        <v>Porcentaje II</v>
      </c>
      <c r="AK1276" t="str">
        <f t="shared" si="813"/>
        <v>Foto</v>
      </c>
      <c r="AL1276" t="str">
        <f t="shared" si="833"/>
        <v xml:space="preserve"> </v>
      </c>
      <c r="AM1276" t="str">
        <f t="shared" si="832"/>
        <v xml:space="preserve"> </v>
      </c>
    </row>
    <row r="1277" spans="1:39" x14ac:dyDescent="0.25">
      <c r="A1277" t="str">
        <f>"BI139 40"</f>
        <v>BI139 40</v>
      </c>
      <c r="B1277" t="str">
        <f>"COJINETES BIELA 1,00 FIAT DUNA UNO 147 MOTOR TIPO 1.4 1.6"</f>
        <v>COJINETES BIELA 1,00 FIAT DUNA UNO 147 MOTOR TIPO 1.4 1.6</v>
      </c>
      <c r="C1277" t="str">
        <f>"$ 12559,78"</f>
        <v>$ 12559,78</v>
      </c>
      <c r="D1277" t="str">
        <f>"$ 12559,78"</f>
        <v>$ 12559,78</v>
      </c>
      <c r="E1277" t="str">
        <f>"$ 12559,78"</f>
        <v>$ 12559,78</v>
      </c>
      <c r="F1277" t="str">
        <f>"$ 12559,78"</f>
        <v>$ 12559,78</v>
      </c>
      <c r="G1277" t="str">
        <f>"$ 12559,78"</f>
        <v>$ 12559,78</v>
      </c>
      <c r="H1277" t="str">
        <f t="shared" si="795"/>
        <v>$ 0,00</v>
      </c>
      <c r="I1277" t="str">
        <f t="shared" si="834"/>
        <v>JUEGO COJINETES BIELA</v>
      </c>
      <c r="J1277" t="str">
        <f t="shared" si="796"/>
        <v>1</v>
      </c>
      <c r="K1277" t="str">
        <f t="shared" si="820"/>
        <v>0</v>
      </c>
      <c r="L1277" t="str">
        <f>"10,000"</f>
        <v>10,000</v>
      </c>
      <c r="M1277" t="str">
        <f t="shared" si="797"/>
        <v xml:space="preserve"> </v>
      </c>
      <c r="N1277" t="str">
        <f t="shared" si="826"/>
        <v>MPSI</v>
      </c>
      <c r="O1277" t="str">
        <f t="shared" si="827"/>
        <v>COJINETES</v>
      </c>
      <c r="P1277" t="str">
        <f t="shared" si="829"/>
        <v>0</v>
      </c>
      <c r="Q1277" t="str">
        <f t="shared" si="829"/>
        <v>0</v>
      </c>
      <c r="R1277" t="str">
        <f t="shared" si="830"/>
        <v>0,00</v>
      </c>
      <c r="S1277" t="str">
        <f t="shared" si="830"/>
        <v>0,00</v>
      </c>
      <c r="T1277" t="str">
        <f t="shared" si="819"/>
        <v xml:space="preserve"> </v>
      </c>
      <c r="U1277" t="str">
        <f t="shared" si="831"/>
        <v>-</v>
      </c>
      <c r="V1277" t="str">
        <f>"10,000"</f>
        <v>10,000</v>
      </c>
      <c r="W1277" t="str">
        <f t="shared" si="799"/>
        <v>Lista 4</v>
      </c>
      <c r="X1277" t="str">
        <f t="shared" si="800"/>
        <v>Lista 5</v>
      </c>
      <c r="Y1277" t="str">
        <f t="shared" si="801"/>
        <v>Oferta Gral.</v>
      </c>
      <c r="Z1277" t="str">
        <f t="shared" si="802"/>
        <v>Rubro</v>
      </c>
      <c r="AA1277" t="str">
        <f t="shared" si="803"/>
        <v>Cantidad por Bulto</v>
      </c>
      <c r="AB1277" t="str">
        <f t="shared" si="804"/>
        <v>INNER</v>
      </c>
      <c r="AC1277" t="str">
        <f t="shared" si="805"/>
        <v>Stock en Bultos</v>
      </c>
      <c r="AD1277" t="str">
        <f t="shared" si="806"/>
        <v>SubDepósito</v>
      </c>
      <c r="AE1277" t="str">
        <f t="shared" si="807"/>
        <v>Marca</v>
      </c>
      <c r="AF1277" t="str">
        <f t="shared" si="808"/>
        <v>Super Rubro</v>
      </c>
      <c r="AG1277" t="str">
        <f t="shared" si="809"/>
        <v>ComercioExterior</v>
      </c>
      <c r="AH1277" t="str">
        <f t="shared" si="810"/>
        <v>PrecioFOB</v>
      </c>
      <c r="AI1277" t="str">
        <f t="shared" si="811"/>
        <v>Monto II</v>
      </c>
      <c r="AJ1277" t="str">
        <f t="shared" si="812"/>
        <v>Porcentaje II</v>
      </c>
      <c r="AK1277" t="str">
        <f t="shared" si="813"/>
        <v>Foto</v>
      </c>
      <c r="AL1277" t="str">
        <f t="shared" si="833"/>
        <v xml:space="preserve"> </v>
      </c>
      <c r="AM1277" t="str">
        <f t="shared" si="832"/>
        <v xml:space="preserve"> </v>
      </c>
    </row>
    <row r="1278" spans="1:39" x14ac:dyDescent="0.25">
      <c r="A1278" t="str">
        <f>"BI172 40"</f>
        <v>BI172 40</v>
      </c>
      <c r="B1278" t="str">
        <f>"COJINETES BIELA 1,00 FIAT PALIO SIENA ETORQ 1.6 16V"</f>
        <v>COJINETES BIELA 1,00 FIAT PALIO SIENA ETORQ 1.6 16V</v>
      </c>
      <c r="C1278" t="str">
        <f>"$ 12879,55"</f>
        <v>$ 12879,55</v>
      </c>
      <c r="D1278" t="str">
        <f>"$ 12879,55"</f>
        <v>$ 12879,55</v>
      </c>
      <c r="E1278" t="str">
        <f>"$ 12879,55"</f>
        <v>$ 12879,55</v>
      </c>
      <c r="F1278" t="str">
        <f>"$ 12879,55"</f>
        <v>$ 12879,55</v>
      </c>
      <c r="G1278" t="str">
        <f>"$ 12879,55"</f>
        <v>$ 12879,55</v>
      </c>
      <c r="H1278" t="str">
        <f t="shared" si="795"/>
        <v>$ 0,00</v>
      </c>
      <c r="I1278" t="str">
        <f t="shared" si="834"/>
        <v>JUEGO COJINETES BIELA</v>
      </c>
      <c r="J1278" t="str">
        <f t="shared" si="796"/>
        <v>1</v>
      </c>
      <c r="K1278" t="str">
        <f t="shared" si="820"/>
        <v>0</v>
      </c>
      <c r="L1278" t="str">
        <f>"5,000"</f>
        <v>5,000</v>
      </c>
      <c r="M1278" t="str">
        <f t="shared" si="797"/>
        <v xml:space="preserve"> </v>
      </c>
      <c r="N1278" t="str">
        <f t="shared" si="826"/>
        <v>MPSI</v>
      </c>
      <c r="O1278" t="str">
        <f t="shared" si="827"/>
        <v>COJINETES</v>
      </c>
      <c r="P1278" t="str">
        <f t="shared" si="829"/>
        <v>0</v>
      </c>
      <c r="Q1278" t="str">
        <f t="shared" si="829"/>
        <v>0</v>
      </c>
      <c r="R1278" t="str">
        <f t="shared" si="830"/>
        <v>0,00</v>
      </c>
      <c r="S1278" t="str">
        <f t="shared" si="830"/>
        <v>0,00</v>
      </c>
      <c r="T1278" t="str">
        <f t="shared" si="819"/>
        <v xml:space="preserve"> </v>
      </c>
      <c r="U1278" t="str">
        <f t="shared" si="831"/>
        <v>-</v>
      </c>
      <c r="V1278" t="str">
        <f>"5,000"</f>
        <v>5,000</v>
      </c>
      <c r="W1278" t="str">
        <f t="shared" si="799"/>
        <v>Lista 4</v>
      </c>
      <c r="X1278" t="str">
        <f t="shared" si="800"/>
        <v>Lista 5</v>
      </c>
      <c r="Y1278" t="str">
        <f t="shared" si="801"/>
        <v>Oferta Gral.</v>
      </c>
      <c r="Z1278" t="str">
        <f t="shared" si="802"/>
        <v>Rubro</v>
      </c>
      <c r="AA1278" t="str">
        <f t="shared" si="803"/>
        <v>Cantidad por Bulto</v>
      </c>
      <c r="AB1278" t="str">
        <f t="shared" si="804"/>
        <v>INNER</v>
      </c>
      <c r="AC1278" t="str">
        <f t="shared" si="805"/>
        <v>Stock en Bultos</v>
      </c>
      <c r="AD1278" t="str">
        <f t="shared" si="806"/>
        <v>SubDepósito</v>
      </c>
      <c r="AE1278" t="str">
        <f t="shared" si="807"/>
        <v>Marca</v>
      </c>
      <c r="AF1278" t="str">
        <f t="shared" si="808"/>
        <v>Super Rubro</v>
      </c>
      <c r="AG1278" t="str">
        <f t="shared" si="809"/>
        <v>ComercioExterior</v>
      </c>
      <c r="AH1278" t="str">
        <f t="shared" si="810"/>
        <v>PrecioFOB</v>
      </c>
      <c r="AI1278" t="str">
        <f t="shared" si="811"/>
        <v>Monto II</v>
      </c>
      <c r="AJ1278" t="str">
        <f t="shared" si="812"/>
        <v>Porcentaje II</v>
      </c>
      <c r="AK1278" t="str">
        <f t="shared" si="813"/>
        <v>Foto</v>
      </c>
      <c r="AL1278" t="str">
        <f t="shared" si="833"/>
        <v xml:space="preserve"> </v>
      </c>
      <c r="AM1278" t="str">
        <f t="shared" si="832"/>
        <v xml:space="preserve"> </v>
      </c>
    </row>
    <row r="1279" spans="1:39" x14ac:dyDescent="0.25">
      <c r="A1279" t="str">
        <f>"BI156 40"</f>
        <v>BI156 40</v>
      </c>
      <c r="B1279" t="str">
        <f>"COJINETES BIELA 1,00 FIAT PALIO SIENA FIRE 1.3 1.4 8V Y 16V"</f>
        <v>COJINETES BIELA 1,00 FIAT PALIO SIENA FIRE 1.3 1.4 8V Y 16V</v>
      </c>
      <c r="C1279" t="str">
        <f>"$ 11287,28"</f>
        <v>$ 11287,28</v>
      </c>
      <c r="D1279" t="str">
        <f>"$ 11287,28"</f>
        <v>$ 11287,28</v>
      </c>
      <c r="E1279" t="str">
        <f>"$ 11287,28"</f>
        <v>$ 11287,28</v>
      </c>
      <c r="F1279" t="str">
        <f>"$ 11287,28"</f>
        <v>$ 11287,28</v>
      </c>
      <c r="G1279" t="str">
        <f>"$ 11287,28"</f>
        <v>$ 11287,28</v>
      </c>
      <c r="H1279" t="str">
        <f t="shared" si="795"/>
        <v>$ 0,00</v>
      </c>
      <c r="I1279" t="str">
        <f t="shared" si="834"/>
        <v>JUEGO COJINETES BIELA</v>
      </c>
      <c r="J1279" t="str">
        <f t="shared" si="796"/>
        <v>1</v>
      </c>
      <c r="K1279" t="str">
        <f t="shared" si="820"/>
        <v>0</v>
      </c>
      <c r="L1279" t="str">
        <f>"17,000"</f>
        <v>17,000</v>
      </c>
      <c r="M1279" t="str">
        <f t="shared" si="797"/>
        <v xml:space="preserve"> </v>
      </c>
      <c r="N1279" t="str">
        <f t="shared" si="826"/>
        <v>MPSI</v>
      </c>
      <c r="O1279" t="str">
        <f t="shared" si="827"/>
        <v>COJINETES</v>
      </c>
      <c r="P1279" t="str">
        <f t="shared" si="829"/>
        <v>0</v>
      </c>
      <c r="Q1279" t="str">
        <f t="shared" si="829"/>
        <v>0</v>
      </c>
      <c r="R1279" t="str">
        <f t="shared" si="830"/>
        <v>0,00</v>
      </c>
      <c r="S1279" t="str">
        <f t="shared" si="830"/>
        <v>0,00</v>
      </c>
      <c r="T1279" t="str">
        <f t="shared" si="819"/>
        <v xml:space="preserve"> </v>
      </c>
      <c r="U1279" t="str">
        <f t="shared" si="831"/>
        <v>-</v>
      </c>
      <c r="V1279" t="str">
        <f>"17,000"</f>
        <v>17,000</v>
      </c>
      <c r="W1279" t="str">
        <f t="shared" si="799"/>
        <v>Lista 4</v>
      </c>
      <c r="X1279" t="str">
        <f t="shared" si="800"/>
        <v>Lista 5</v>
      </c>
      <c r="Y1279" t="str">
        <f t="shared" si="801"/>
        <v>Oferta Gral.</v>
      </c>
      <c r="Z1279" t="str">
        <f t="shared" si="802"/>
        <v>Rubro</v>
      </c>
      <c r="AA1279" t="str">
        <f t="shared" si="803"/>
        <v>Cantidad por Bulto</v>
      </c>
      <c r="AB1279" t="str">
        <f t="shared" si="804"/>
        <v>INNER</v>
      </c>
      <c r="AC1279" t="str">
        <f t="shared" si="805"/>
        <v>Stock en Bultos</v>
      </c>
      <c r="AD1279" t="str">
        <f t="shared" si="806"/>
        <v>SubDepósito</v>
      </c>
      <c r="AE1279" t="str">
        <f t="shared" si="807"/>
        <v>Marca</v>
      </c>
      <c r="AF1279" t="str">
        <f t="shared" si="808"/>
        <v>Super Rubro</v>
      </c>
      <c r="AG1279" t="str">
        <f t="shared" si="809"/>
        <v>ComercioExterior</v>
      </c>
      <c r="AH1279" t="str">
        <f t="shared" si="810"/>
        <v>PrecioFOB</v>
      </c>
      <c r="AI1279" t="str">
        <f t="shared" si="811"/>
        <v>Monto II</v>
      </c>
      <c r="AJ1279" t="str">
        <f t="shared" si="812"/>
        <v>Porcentaje II</v>
      </c>
      <c r="AK1279" t="str">
        <f t="shared" si="813"/>
        <v>Foto</v>
      </c>
      <c r="AL1279" t="str">
        <f>"{\rtf1\ansi\ansicpg1252\deff0\deflang2058{\fonttbl{\f0\fnil\fcharset0 MS Sans Serif}} \viewkind4\uc1\pard\f0\fs16 COJINETES BIELA 1,00 FIAT PALIO SIENA FIRE 1.3 1.4 8V Y 16V\par } "</f>
        <v xml:space="preserve">{\rtf1\ansi\ansicpg1252\deff0\deflang2058{\fonttbl{\f0\fnil\fcharset0 MS Sans Serif}} \viewkind4\uc1\pard\f0\fs16 COJINETES BIELA 1,00 FIAT PALIO SIENA FIRE 1.3 1.4 8V Y 16V\par } </v>
      </c>
      <c r="AM1279" t="str">
        <f t="shared" si="832"/>
        <v xml:space="preserve"> </v>
      </c>
    </row>
    <row r="1280" spans="1:39" x14ac:dyDescent="0.25">
      <c r="A1280" t="str">
        <f>"BI199 40"</f>
        <v>BI199 40</v>
      </c>
      <c r="B1280" t="str">
        <f>"COJINETES BIELA 1,00 FORD FALCON F100 3.0 3.6"</f>
        <v>COJINETES BIELA 1,00 FORD FALCON F100 3.0 3.6</v>
      </c>
      <c r="C1280" t="str">
        <f>"$ 19913,86"</f>
        <v>$ 19913,86</v>
      </c>
      <c r="D1280" t="str">
        <f>"$ 19913,86"</f>
        <v>$ 19913,86</v>
      </c>
      <c r="E1280" t="str">
        <f>"$ 19913,86"</f>
        <v>$ 19913,86</v>
      </c>
      <c r="F1280" t="str">
        <f>"$ 19913,86"</f>
        <v>$ 19913,86</v>
      </c>
      <c r="G1280" t="str">
        <f>"$ 19913,86"</f>
        <v>$ 19913,86</v>
      </c>
      <c r="H1280" t="str">
        <f t="shared" si="795"/>
        <v>$ 0,00</v>
      </c>
      <c r="I1280" t="str">
        <f t="shared" si="834"/>
        <v>JUEGO COJINETES BIELA</v>
      </c>
      <c r="J1280" t="str">
        <f t="shared" si="796"/>
        <v>1</v>
      </c>
      <c r="K1280" t="str">
        <f t="shared" si="820"/>
        <v>0</v>
      </c>
      <c r="L1280" t="str">
        <f>"5,000"</f>
        <v>5,000</v>
      </c>
      <c r="M1280" t="str">
        <f t="shared" si="797"/>
        <v xml:space="preserve"> </v>
      </c>
      <c r="N1280" t="str">
        <f t="shared" si="826"/>
        <v>MPSI</v>
      </c>
      <c r="O1280" t="str">
        <f t="shared" si="827"/>
        <v>COJINETES</v>
      </c>
      <c r="P1280" t="str">
        <f t="shared" si="829"/>
        <v>0</v>
      </c>
      <c r="Q1280" t="str">
        <f t="shared" si="829"/>
        <v>0</v>
      </c>
      <c r="R1280" t="str">
        <f t="shared" si="830"/>
        <v>0,00</v>
      </c>
      <c r="S1280" t="str">
        <f t="shared" si="830"/>
        <v>0,00</v>
      </c>
      <c r="T1280" t="str">
        <f t="shared" si="819"/>
        <v xml:space="preserve"> </v>
      </c>
      <c r="U1280" t="str">
        <f t="shared" si="831"/>
        <v>-</v>
      </c>
      <c r="V1280" t="str">
        <f>"5,000"</f>
        <v>5,000</v>
      </c>
      <c r="W1280" t="str">
        <f t="shared" si="799"/>
        <v>Lista 4</v>
      </c>
      <c r="X1280" t="str">
        <f t="shared" si="800"/>
        <v>Lista 5</v>
      </c>
      <c r="Y1280" t="str">
        <f t="shared" si="801"/>
        <v>Oferta Gral.</v>
      </c>
      <c r="Z1280" t="str">
        <f t="shared" si="802"/>
        <v>Rubro</v>
      </c>
      <c r="AA1280" t="str">
        <f t="shared" si="803"/>
        <v>Cantidad por Bulto</v>
      </c>
      <c r="AB1280" t="str">
        <f t="shared" si="804"/>
        <v>INNER</v>
      </c>
      <c r="AC1280" t="str">
        <f t="shared" si="805"/>
        <v>Stock en Bultos</v>
      </c>
      <c r="AD1280" t="str">
        <f t="shared" si="806"/>
        <v>SubDepósito</v>
      </c>
      <c r="AE1280" t="str">
        <f t="shared" si="807"/>
        <v>Marca</v>
      </c>
      <c r="AF1280" t="str">
        <f t="shared" si="808"/>
        <v>Super Rubro</v>
      </c>
      <c r="AG1280" t="str">
        <f t="shared" si="809"/>
        <v>ComercioExterior</v>
      </c>
      <c r="AH1280" t="str">
        <f t="shared" si="810"/>
        <v>PrecioFOB</v>
      </c>
      <c r="AI1280" t="str">
        <f t="shared" si="811"/>
        <v>Monto II</v>
      </c>
      <c r="AJ1280" t="str">
        <f t="shared" si="812"/>
        <v>Porcentaje II</v>
      </c>
      <c r="AK1280" t="str">
        <f t="shared" si="813"/>
        <v>Foto</v>
      </c>
      <c r="AL1280" t="str">
        <f>"{\rtf1\ansi\ansicpg1252\deff0\deflang2058{\fonttbl{\f0\fnil\fcharset0 MS Sans Serif}} \viewkind4\uc1\pard\f0\fs16 COJINETES BIELA 1,00 FORD FALCON F100 3.0 3.6\par } "</f>
        <v xml:space="preserve">{\rtf1\ansi\ansicpg1252\deff0\deflang2058{\fonttbl{\f0\fnil\fcharset0 MS Sans Serif}} \viewkind4\uc1\pard\f0\fs16 COJINETES BIELA 1,00 FORD FALCON F100 3.0 3.6\par } </v>
      </c>
      <c r="AM1280" t="str">
        <f t="shared" si="832"/>
        <v xml:space="preserve"> </v>
      </c>
    </row>
    <row r="1281" spans="1:39" x14ac:dyDescent="0.25">
      <c r="A1281" t="str">
        <f>"BI775 40"</f>
        <v>BI775 40</v>
      </c>
      <c r="B1281" t="str">
        <f>"COJINETES BIELA 1,00 FORD FIESTA 1.3 ENDURA VARILLERO"</f>
        <v>COJINETES BIELA 1,00 FORD FIESTA 1.3 ENDURA VARILLERO</v>
      </c>
      <c r="C1281" t="str">
        <f>"$ 10973,28"</f>
        <v>$ 10973,28</v>
      </c>
      <c r="D1281" t="str">
        <f>"$ 10973,28"</f>
        <v>$ 10973,28</v>
      </c>
      <c r="E1281" t="str">
        <f>"$ 10973,28"</f>
        <v>$ 10973,28</v>
      </c>
      <c r="F1281" t="str">
        <f>"$ 10973,28"</f>
        <v>$ 10973,28</v>
      </c>
      <c r="G1281" t="str">
        <f>"$ 10973,28"</f>
        <v>$ 10973,28</v>
      </c>
      <c r="H1281" t="str">
        <f t="shared" si="795"/>
        <v>$ 0,00</v>
      </c>
      <c r="I1281" t="str">
        <f t="shared" si="834"/>
        <v>JUEGO COJINETES BIELA</v>
      </c>
      <c r="J1281" t="str">
        <f t="shared" si="796"/>
        <v>1</v>
      </c>
      <c r="K1281" t="str">
        <f t="shared" si="820"/>
        <v>0</v>
      </c>
      <c r="L1281" t="str">
        <f>"7,000"</f>
        <v>7,000</v>
      </c>
      <c r="M1281" t="str">
        <f t="shared" si="797"/>
        <v xml:space="preserve"> </v>
      </c>
      <c r="N1281" t="str">
        <f t="shared" si="826"/>
        <v>MPSI</v>
      </c>
      <c r="O1281" t="str">
        <f t="shared" si="827"/>
        <v>COJINETES</v>
      </c>
      <c r="P1281" t="str">
        <f t="shared" si="829"/>
        <v>0</v>
      </c>
      <c r="Q1281" t="str">
        <f t="shared" si="829"/>
        <v>0</v>
      </c>
      <c r="R1281" t="str">
        <f t="shared" si="830"/>
        <v>0,00</v>
      </c>
      <c r="S1281" t="str">
        <f t="shared" si="830"/>
        <v>0,00</v>
      </c>
      <c r="T1281" t="str">
        <f t="shared" si="819"/>
        <v xml:space="preserve"> </v>
      </c>
      <c r="U1281" t="str">
        <f t="shared" si="831"/>
        <v>-</v>
      </c>
      <c r="V1281" t="str">
        <f>"7,000"</f>
        <v>7,000</v>
      </c>
      <c r="W1281" t="str">
        <f t="shared" si="799"/>
        <v>Lista 4</v>
      </c>
      <c r="X1281" t="str">
        <f t="shared" si="800"/>
        <v>Lista 5</v>
      </c>
      <c r="Y1281" t="str">
        <f t="shared" si="801"/>
        <v>Oferta Gral.</v>
      </c>
      <c r="Z1281" t="str">
        <f t="shared" si="802"/>
        <v>Rubro</v>
      </c>
      <c r="AA1281" t="str">
        <f t="shared" si="803"/>
        <v>Cantidad por Bulto</v>
      </c>
      <c r="AB1281" t="str">
        <f t="shared" si="804"/>
        <v>INNER</v>
      </c>
      <c r="AC1281" t="str">
        <f t="shared" si="805"/>
        <v>Stock en Bultos</v>
      </c>
      <c r="AD1281" t="str">
        <f t="shared" si="806"/>
        <v>SubDepósito</v>
      </c>
      <c r="AE1281" t="str">
        <f t="shared" si="807"/>
        <v>Marca</v>
      </c>
      <c r="AF1281" t="str">
        <f t="shared" si="808"/>
        <v>Super Rubro</v>
      </c>
      <c r="AG1281" t="str">
        <f t="shared" si="809"/>
        <v>ComercioExterior</v>
      </c>
      <c r="AH1281" t="str">
        <f t="shared" si="810"/>
        <v>PrecioFOB</v>
      </c>
      <c r="AI1281" t="str">
        <f t="shared" si="811"/>
        <v>Monto II</v>
      </c>
      <c r="AJ1281" t="str">
        <f t="shared" si="812"/>
        <v>Porcentaje II</v>
      </c>
      <c r="AK1281" t="str">
        <f t="shared" si="813"/>
        <v>Foto</v>
      </c>
      <c r="AL1281" t="str">
        <f>"{\rtf1\ansi\ansicpg1252\deff0\deflang2058{\fonttbl{\f0\fnil\fcharset0 MS Sans Serif}} \viewkind4\uc1\pard\f0\fs16 COJINETES BIELA 1,00 FORD FIESTA 1.3 ENDURA VARILLERO\par } "</f>
        <v xml:space="preserve">{\rtf1\ansi\ansicpg1252\deff0\deflang2058{\fonttbl{\f0\fnil\fcharset0 MS Sans Serif}} \viewkind4\uc1\pard\f0\fs16 COJINETES BIELA 1,00 FORD FIESTA 1.3 ENDURA VARILLERO\par } </v>
      </c>
      <c r="AM1281" t="str">
        <f t="shared" si="832"/>
        <v xml:space="preserve"> </v>
      </c>
    </row>
    <row r="1282" spans="1:39" x14ac:dyDescent="0.25">
      <c r="A1282" t="str">
        <f>"BI679 40"</f>
        <v>BI679 40</v>
      </c>
      <c r="B1282" t="str">
        <f>"COJINETES BIELA 1,00 FORD FIESTA 1.4 TDCI DV4"</f>
        <v>COJINETES BIELA 1,00 FORD FIESTA 1.4 TDCI DV4</v>
      </c>
      <c r="C1282" t="str">
        <f>"$ 17848,11"</f>
        <v>$ 17848,11</v>
      </c>
      <c r="D1282" t="str">
        <f>"$ 17848,11"</f>
        <v>$ 17848,11</v>
      </c>
      <c r="E1282" t="str">
        <f>"$ 17848,11"</f>
        <v>$ 17848,11</v>
      </c>
      <c r="F1282" t="str">
        <f>"$ 17848,11"</f>
        <v>$ 17848,11</v>
      </c>
      <c r="G1282" t="str">
        <f>"$ 17848,11"</f>
        <v>$ 17848,11</v>
      </c>
      <c r="H1282" t="str">
        <f t="shared" si="795"/>
        <v>$ 0,00</v>
      </c>
      <c r="I1282" t="str">
        <f t="shared" si="834"/>
        <v>JUEGO COJINETES BIELA</v>
      </c>
      <c r="J1282" t="str">
        <f t="shared" si="796"/>
        <v>1</v>
      </c>
      <c r="K1282" t="str">
        <f t="shared" si="820"/>
        <v>0</v>
      </c>
      <c r="L1282" t="str">
        <f>"4,000"</f>
        <v>4,000</v>
      </c>
      <c r="M1282" t="str">
        <f t="shared" si="797"/>
        <v xml:space="preserve"> </v>
      </c>
      <c r="N1282" t="str">
        <f t="shared" si="826"/>
        <v>MPSI</v>
      </c>
      <c r="O1282" t="str">
        <f t="shared" si="827"/>
        <v>COJINETES</v>
      </c>
      <c r="P1282" t="str">
        <f t="shared" si="829"/>
        <v>0</v>
      </c>
      <c r="Q1282" t="str">
        <f t="shared" si="829"/>
        <v>0</v>
      </c>
      <c r="R1282" t="str">
        <f t="shared" si="830"/>
        <v>0,00</v>
      </c>
      <c r="S1282" t="str">
        <f t="shared" si="830"/>
        <v>0,00</v>
      </c>
      <c r="T1282" t="str">
        <f t="shared" si="819"/>
        <v xml:space="preserve"> </v>
      </c>
      <c r="U1282" t="str">
        <f t="shared" si="831"/>
        <v>-</v>
      </c>
      <c r="V1282" t="str">
        <f>"4,000"</f>
        <v>4,000</v>
      </c>
      <c r="W1282" t="str">
        <f t="shared" si="799"/>
        <v>Lista 4</v>
      </c>
      <c r="X1282" t="str">
        <f t="shared" si="800"/>
        <v>Lista 5</v>
      </c>
      <c r="Y1282" t="str">
        <f t="shared" si="801"/>
        <v>Oferta Gral.</v>
      </c>
      <c r="Z1282" t="str">
        <f t="shared" si="802"/>
        <v>Rubro</v>
      </c>
      <c r="AA1282" t="str">
        <f t="shared" si="803"/>
        <v>Cantidad por Bulto</v>
      </c>
      <c r="AB1282" t="str">
        <f t="shared" si="804"/>
        <v>INNER</v>
      </c>
      <c r="AC1282" t="str">
        <f t="shared" si="805"/>
        <v>Stock en Bultos</v>
      </c>
      <c r="AD1282" t="str">
        <f t="shared" si="806"/>
        <v>SubDepósito</v>
      </c>
      <c r="AE1282" t="str">
        <f t="shared" si="807"/>
        <v>Marca</v>
      </c>
      <c r="AF1282" t="str">
        <f t="shared" si="808"/>
        <v>Super Rubro</v>
      </c>
      <c r="AG1282" t="str">
        <f t="shared" si="809"/>
        <v>ComercioExterior</v>
      </c>
      <c r="AH1282" t="str">
        <f t="shared" si="810"/>
        <v>PrecioFOB</v>
      </c>
      <c r="AI1282" t="str">
        <f t="shared" si="811"/>
        <v>Monto II</v>
      </c>
      <c r="AJ1282" t="str">
        <f t="shared" si="812"/>
        <v>Porcentaje II</v>
      </c>
      <c r="AK1282" t="str">
        <f t="shared" si="813"/>
        <v>Foto</v>
      </c>
      <c r="AL1282" t="str">
        <f t="shared" ref="AL1282:AL1293" si="835">" "</f>
        <v xml:space="preserve"> </v>
      </c>
      <c r="AM1282" t="str">
        <f t="shared" si="832"/>
        <v xml:space="preserve"> </v>
      </c>
    </row>
    <row r="1283" spans="1:39" x14ac:dyDescent="0.25">
      <c r="A1283" t="str">
        <f>"BI776 40"</f>
        <v>BI776 40</v>
      </c>
      <c r="B1283" t="str">
        <f>"COJINETES BIELA 1,00 FORD FIESTA COURIER FOCUS 1.8 DIESEL"</f>
        <v>COJINETES BIELA 1,00 FORD FIESTA COURIER FOCUS 1.8 DIESEL</v>
      </c>
      <c r="C1283" t="str">
        <f>"$ 15570,20"</f>
        <v>$ 15570,20</v>
      </c>
      <c r="D1283" t="str">
        <f>"$ 15570,20"</f>
        <v>$ 15570,20</v>
      </c>
      <c r="E1283" t="str">
        <f>"$ 15570,20"</f>
        <v>$ 15570,20</v>
      </c>
      <c r="F1283" t="str">
        <f>"$ 15570,20"</f>
        <v>$ 15570,20</v>
      </c>
      <c r="G1283" t="str">
        <f>"$ 15570,20"</f>
        <v>$ 15570,20</v>
      </c>
      <c r="H1283" t="str">
        <f t="shared" ref="H1283:H1346" si="836">"$ 0,00"</f>
        <v>$ 0,00</v>
      </c>
      <c r="I1283" t="str">
        <f t="shared" si="834"/>
        <v>JUEGO COJINETES BIELA</v>
      </c>
      <c r="J1283" t="str">
        <f t="shared" ref="J1283:J1346" si="837">"1"</f>
        <v>1</v>
      </c>
      <c r="K1283" t="str">
        <f t="shared" si="820"/>
        <v>0</v>
      </c>
      <c r="L1283" t="str">
        <f>"3,000"</f>
        <v>3,000</v>
      </c>
      <c r="M1283" t="str">
        <f t="shared" ref="M1283:M1346" si="838">" "</f>
        <v xml:space="preserve"> </v>
      </c>
      <c r="N1283" t="str">
        <f t="shared" si="826"/>
        <v>MPSI</v>
      </c>
      <c r="O1283" t="str">
        <f t="shared" si="827"/>
        <v>COJINETES</v>
      </c>
      <c r="P1283" t="str">
        <f t="shared" ref="P1283:Q1302" si="839">"0"</f>
        <v>0</v>
      </c>
      <c r="Q1283" t="str">
        <f t="shared" si="839"/>
        <v>0</v>
      </c>
      <c r="R1283" t="str">
        <f t="shared" ref="R1283:S1302" si="840">"0,00"</f>
        <v>0,00</v>
      </c>
      <c r="S1283" t="str">
        <f t="shared" si="840"/>
        <v>0,00</v>
      </c>
      <c r="T1283" t="str">
        <f t="shared" si="819"/>
        <v xml:space="preserve"> </v>
      </c>
      <c r="U1283" t="str">
        <f t="shared" si="831"/>
        <v>-</v>
      </c>
      <c r="V1283" t="str">
        <f>"3,000"</f>
        <v>3,000</v>
      </c>
      <c r="W1283" t="str">
        <f t="shared" ref="W1283:W1346" si="841">"Lista 4"</f>
        <v>Lista 4</v>
      </c>
      <c r="X1283" t="str">
        <f t="shared" ref="X1283:X1346" si="842">"Lista 5"</f>
        <v>Lista 5</v>
      </c>
      <c r="Y1283" t="str">
        <f t="shared" ref="Y1283:Y1346" si="843">"Oferta Gral."</f>
        <v>Oferta Gral.</v>
      </c>
      <c r="Z1283" t="str">
        <f t="shared" ref="Z1283:Z1346" si="844">"Rubro"</f>
        <v>Rubro</v>
      </c>
      <c r="AA1283" t="str">
        <f t="shared" ref="AA1283:AA1346" si="845">"Cantidad por Bulto"</f>
        <v>Cantidad por Bulto</v>
      </c>
      <c r="AB1283" t="str">
        <f t="shared" ref="AB1283:AB1346" si="846">"INNER"</f>
        <v>INNER</v>
      </c>
      <c r="AC1283" t="str">
        <f t="shared" ref="AC1283:AC1346" si="847">"Stock en Bultos"</f>
        <v>Stock en Bultos</v>
      </c>
      <c r="AD1283" t="str">
        <f t="shared" ref="AD1283:AD1346" si="848">"SubDepósito"</f>
        <v>SubDepósito</v>
      </c>
      <c r="AE1283" t="str">
        <f t="shared" ref="AE1283:AE1346" si="849">"Marca"</f>
        <v>Marca</v>
      </c>
      <c r="AF1283" t="str">
        <f t="shared" ref="AF1283:AF1346" si="850">"Super Rubro"</f>
        <v>Super Rubro</v>
      </c>
      <c r="AG1283" t="str">
        <f t="shared" ref="AG1283:AG1346" si="851">"ComercioExterior"</f>
        <v>ComercioExterior</v>
      </c>
      <c r="AH1283" t="str">
        <f t="shared" ref="AH1283:AH1346" si="852">"PrecioFOB"</f>
        <v>PrecioFOB</v>
      </c>
      <c r="AI1283" t="str">
        <f t="shared" ref="AI1283:AI1346" si="853">"Monto II"</f>
        <v>Monto II</v>
      </c>
      <c r="AJ1283" t="str">
        <f t="shared" ref="AJ1283:AJ1346" si="854">"Porcentaje II"</f>
        <v>Porcentaje II</v>
      </c>
      <c r="AK1283" t="str">
        <f t="shared" ref="AK1283:AK1346" si="855">"Foto"</f>
        <v>Foto</v>
      </c>
      <c r="AL1283" t="str">
        <f t="shared" si="835"/>
        <v xml:space="preserve"> </v>
      </c>
      <c r="AM1283" t="str">
        <f t="shared" si="832"/>
        <v xml:space="preserve"> </v>
      </c>
    </row>
    <row r="1284" spans="1:39" x14ac:dyDescent="0.25">
      <c r="A1284" t="str">
        <f>"BI773 40"</f>
        <v>BI773 40</v>
      </c>
      <c r="B1284" t="str">
        <f>"COJINETES BIELA 1,00 FORD FIESTA FOCUS 1.8 DIESEL SIN TRABA"</f>
        <v>COJINETES BIELA 1,00 FORD FIESTA FOCUS 1.8 DIESEL SIN TRABA</v>
      </c>
      <c r="C1284" t="str">
        <f>"$ 26787,87"</f>
        <v>$ 26787,87</v>
      </c>
      <c r="D1284" t="str">
        <f>"$ 26787,87"</f>
        <v>$ 26787,87</v>
      </c>
      <c r="E1284" t="str">
        <f>"$ 26787,87"</f>
        <v>$ 26787,87</v>
      </c>
      <c r="F1284" t="str">
        <f>"$ 26787,87"</f>
        <v>$ 26787,87</v>
      </c>
      <c r="G1284" t="str">
        <f>"$ 26787,87"</f>
        <v>$ 26787,87</v>
      </c>
      <c r="H1284" t="str">
        <f t="shared" si="836"/>
        <v>$ 0,00</v>
      </c>
      <c r="I1284" t="str">
        <f t="shared" si="834"/>
        <v>JUEGO COJINETES BIELA</v>
      </c>
      <c r="J1284" t="str">
        <f t="shared" si="837"/>
        <v>1</v>
      </c>
      <c r="K1284" t="str">
        <f t="shared" si="820"/>
        <v>0</v>
      </c>
      <c r="L1284" t="str">
        <f>"4,000"</f>
        <v>4,000</v>
      </c>
      <c r="M1284" t="str">
        <f t="shared" si="838"/>
        <v xml:space="preserve"> </v>
      </c>
      <c r="N1284" t="str">
        <f t="shared" si="826"/>
        <v>MPSI</v>
      </c>
      <c r="O1284" t="str">
        <f t="shared" si="827"/>
        <v>COJINETES</v>
      </c>
      <c r="P1284" t="str">
        <f t="shared" si="839"/>
        <v>0</v>
      </c>
      <c r="Q1284" t="str">
        <f t="shared" si="839"/>
        <v>0</v>
      </c>
      <c r="R1284" t="str">
        <f t="shared" si="840"/>
        <v>0,00</v>
      </c>
      <c r="S1284" t="str">
        <f t="shared" si="840"/>
        <v>0,00</v>
      </c>
      <c r="T1284" t="str">
        <f t="shared" si="819"/>
        <v xml:space="preserve"> </v>
      </c>
      <c r="U1284" t="str">
        <f t="shared" si="831"/>
        <v>-</v>
      </c>
      <c r="V1284" t="str">
        <f>"4,000"</f>
        <v>4,000</v>
      </c>
      <c r="W1284" t="str">
        <f t="shared" si="841"/>
        <v>Lista 4</v>
      </c>
      <c r="X1284" t="str">
        <f t="shared" si="842"/>
        <v>Lista 5</v>
      </c>
      <c r="Y1284" t="str">
        <f t="shared" si="843"/>
        <v>Oferta Gral.</v>
      </c>
      <c r="Z1284" t="str">
        <f t="shared" si="844"/>
        <v>Rubro</v>
      </c>
      <c r="AA1284" t="str">
        <f t="shared" si="845"/>
        <v>Cantidad por Bulto</v>
      </c>
      <c r="AB1284" t="str">
        <f t="shared" si="846"/>
        <v>INNER</v>
      </c>
      <c r="AC1284" t="str">
        <f t="shared" si="847"/>
        <v>Stock en Bultos</v>
      </c>
      <c r="AD1284" t="str">
        <f t="shared" si="848"/>
        <v>SubDepósito</v>
      </c>
      <c r="AE1284" t="str">
        <f t="shared" si="849"/>
        <v>Marca</v>
      </c>
      <c r="AF1284" t="str">
        <f t="shared" si="850"/>
        <v>Super Rubro</v>
      </c>
      <c r="AG1284" t="str">
        <f t="shared" si="851"/>
        <v>ComercioExterior</v>
      </c>
      <c r="AH1284" t="str">
        <f t="shared" si="852"/>
        <v>PrecioFOB</v>
      </c>
      <c r="AI1284" t="str">
        <f t="shared" si="853"/>
        <v>Monto II</v>
      </c>
      <c r="AJ1284" t="str">
        <f t="shared" si="854"/>
        <v>Porcentaje II</v>
      </c>
      <c r="AK1284" t="str">
        <f t="shared" si="855"/>
        <v>Foto</v>
      </c>
      <c r="AL1284" t="str">
        <f t="shared" si="835"/>
        <v xml:space="preserve"> </v>
      </c>
      <c r="AM1284" t="str">
        <f t="shared" si="832"/>
        <v xml:space="preserve"> </v>
      </c>
    </row>
    <row r="1285" spans="1:39" x14ac:dyDescent="0.25">
      <c r="A1285" t="str">
        <f>"BI209 40"</f>
        <v>BI209 40</v>
      </c>
      <c r="B1285" t="str">
        <f>"COJINETES BIELA 1,00 FORD FOCUS FIESTA SIGMA 1.6 16V"</f>
        <v>COJINETES BIELA 1,00 FORD FOCUS FIESTA SIGMA 1.6 16V</v>
      </c>
      <c r="C1285" t="str">
        <f>"$ 20733,89"</f>
        <v>$ 20733,89</v>
      </c>
      <c r="D1285" t="str">
        <f>"$ 20733,89"</f>
        <v>$ 20733,89</v>
      </c>
      <c r="E1285" t="str">
        <f>"$ 20733,89"</f>
        <v>$ 20733,89</v>
      </c>
      <c r="F1285" t="str">
        <f>"$ 20733,89"</f>
        <v>$ 20733,89</v>
      </c>
      <c r="G1285" t="str">
        <f>"$ 20733,89"</f>
        <v>$ 20733,89</v>
      </c>
      <c r="H1285" t="str">
        <f t="shared" si="836"/>
        <v>$ 0,00</v>
      </c>
      <c r="I1285" t="str">
        <f t="shared" si="834"/>
        <v>JUEGO COJINETES BIELA</v>
      </c>
      <c r="J1285" t="str">
        <f t="shared" si="837"/>
        <v>1</v>
      </c>
      <c r="K1285" t="str">
        <f t="shared" si="820"/>
        <v>0</v>
      </c>
      <c r="L1285" t="str">
        <f>"5,000"</f>
        <v>5,000</v>
      </c>
      <c r="M1285" t="str">
        <f t="shared" si="838"/>
        <v xml:space="preserve"> </v>
      </c>
      <c r="N1285" t="str">
        <f t="shared" si="826"/>
        <v>MPSI</v>
      </c>
      <c r="O1285" t="str">
        <f t="shared" si="827"/>
        <v>COJINETES</v>
      </c>
      <c r="P1285" t="str">
        <f t="shared" si="839"/>
        <v>0</v>
      </c>
      <c r="Q1285" t="str">
        <f t="shared" si="839"/>
        <v>0</v>
      </c>
      <c r="R1285" t="str">
        <f t="shared" si="840"/>
        <v>0,00</v>
      </c>
      <c r="S1285" t="str">
        <f t="shared" si="840"/>
        <v>0,00</v>
      </c>
      <c r="T1285" t="str">
        <f t="shared" si="819"/>
        <v xml:space="preserve"> </v>
      </c>
      <c r="U1285" t="str">
        <f t="shared" si="831"/>
        <v>-</v>
      </c>
      <c r="V1285" t="str">
        <f>"5,000"</f>
        <v>5,000</v>
      </c>
      <c r="W1285" t="str">
        <f t="shared" si="841"/>
        <v>Lista 4</v>
      </c>
      <c r="X1285" t="str">
        <f t="shared" si="842"/>
        <v>Lista 5</v>
      </c>
      <c r="Y1285" t="str">
        <f t="shared" si="843"/>
        <v>Oferta Gral.</v>
      </c>
      <c r="Z1285" t="str">
        <f t="shared" si="844"/>
        <v>Rubro</v>
      </c>
      <c r="AA1285" t="str">
        <f t="shared" si="845"/>
        <v>Cantidad por Bulto</v>
      </c>
      <c r="AB1285" t="str">
        <f t="shared" si="846"/>
        <v>INNER</v>
      </c>
      <c r="AC1285" t="str">
        <f t="shared" si="847"/>
        <v>Stock en Bultos</v>
      </c>
      <c r="AD1285" t="str">
        <f t="shared" si="848"/>
        <v>SubDepósito</v>
      </c>
      <c r="AE1285" t="str">
        <f t="shared" si="849"/>
        <v>Marca</v>
      </c>
      <c r="AF1285" t="str">
        <f t="shared" si="850"/>
        <v>Super Rubro</v>
      </c>
      <c r="AG1285" t="str">
        <f t="shared" si="851"/>
        <v>ComercioExterior</v>
      </c>
      <c r="AH1285" t="str">
        <f t="shared" si="852"/>
        <v>PrecioFOB</v>
      </c>
      <c r="AI1285" t="str">
        <f t="shared" si="853"/>
        <v>Monto II</v>
      </c>
      <c r="AJ1285" t="str">
        <f t="shared" si="854"/>
        <v>Porcentaje II</v>
      </c>
      <c r="AK1285" t="str">
        <f t="shared" si="855"/>
        <v>Foto</v>
      </c>
      <c r="AL1285" t="str">
        <f t="shared" si="835"/>
        <v xml:space="preserve"> </v>
      </c>
      <c r="AM1285" t="str">
        <f t="shared" si="832"/>
        <v xml:space="preserve"> </v>
      </c>
    </row>
    <row r="1286" spans="1:39" x14ac:dyDescent="0.25">
      <c r="A1286" t="str">
        <f>"BI777 40"</f>
        <v>BI777 40</v>
      </c>
      <c r="B1286" t="str">
        <f>"COJINETES BIELA 1,00 FORD FOCUS FIESTA ZETEC 1.6 1.8 2.0 16V"</f>
        <v>COJINETES BIELA 1,00 FORD FOCUS FIESTA ZETEC 1.6 1.8 2.0 16V</v>
      </c>
      <c r="C1286" t="str">
        <f>"$ 14739,27"</f>
        <v>$ 14739,27</v>
      </c>
      <c r="D1286" t="str">
        <f>"$ 14739,27"</f>
        <v>$ 14739,27</v>
      </c>
      <c r="E1286" t="str">
        <f>"$ 14739,27"</f>
        <v>$ 14739,27</v>
      </c>
      <c r="F1286" t="str">
        <f>"$ 14739,27"</f>
        <v>$ 14739,27</v>
      </c>
      <c r="G1286" t="str">
        <f>"$ 14739,27"</f>
        <v>$ 14739,27</v>
      </c>
      <c r="H1286" t="str">
        <f t="shared" si="836"/>
        <v>$ 0,00</v>
      </c>
      <c r="I1286" t="str">
        <f t="shared" si="834"/>
        <v>JUEGO COJINETES BIELA</v>
      </c>
      <c r="J1286" t="str">
        <f t="shared" si="837"/>
        <v>1</v>
      </c>
      <c r="K1286" t="str">
        <f t="shared" si="820"/>
        <v>0</v>
      </c>
      <c r="L1286" t="str">
        <f>"0,000"</f>
        <v>0,000</v>
      </c>
      <c r="M1286" t="str">
        <f t="shared" si="838"/>
        <v xml:space="preserve"> </v>
      </c>
      <c r="N1286" t="str">
        <f t="shared" si="826"/>
        <v>MPSI</v>
      </c>
      <c r="O1286" t="str">
        <f t="shared" si="827"/>
        <v>COJINETES</v>
      </c>
      <c r="P1286" t="str">
        <f t="shared" si="839"/>
        <v>0</v>
      </c>
      <c r="Q1286" t="str">
        <f t="shared" si="839"/>
        <v>0</v>
      </c>
      <c r="R1286" t="str">
        <f t="shared" si="840"/>
        <v>0,00</v>
      </c>
      <c r="S1286" t="str">
        <f t="shared" si="840"/>
        <v>0,00</v>
      </c>
      <c r="T1286" t="str">
        <f t="shared" si="819"/>
        <v xml:space="preserve"> </v>
      </c>
      <c r="U1286" t="str">
        <f t="shared" si="831"/>
        <v>-</v>
      </c>
      <c r="V1286" t="str">
        <f>"0,000"</f>
        <v>0,000</v>
      </c>
      <c r="W1286" t="str">
        <f t="shared" si="841"/>
        <v>Lista 4</v>
      </c>
      <c r="X1286" t="str">
        <f t="shared" si="842"/>
        <v>Lista 5</v>
      </c>
      <c r="Y1286" t="str">
        <f t="shared" si="843"/>
        <v>Oferta Gral.</v>
      </c>
      <c r="Z1286" t="str">
        <f t="shared" si="844"/>
        <v>Rubro</v>
      </c>
      <c r="AA1286" t="str">
        <f t="shared" si="845"/>
        <v>Cantidad por Bulto</v>
      </c>
      <c r="AB1286" t="str">
        <f t="shared" si="846"/>
        <v>INNER</v>
      </c>
      <c r="AC1286" t="str">
        <f t="shared" si="847"/>
        <v>Stock en Bultos</v>
      </c>
      <c r="AD1286" t="str">
        <f t="shared" si="848"/>
        <v>SubDepósito</v>
      </c>
      <c r="AE1286" t="str">
        <f t="shared" si="849"/>
        <v>Marca</v>
      </c>
      <c r="AF1286" t="str">
        <f t="shared" si="850"/>
        <v>Super Rubro</v>
      </c>
      <c r="AG1286" t="str">
        <f t="shared" si="851"/>
        <v>ComercioExterior</v>
      </c>
      <c r="AH1286" t="str">
        <f t="shared" si="852"/>
        <v>PrecioFOB</v>
      </c>
      <c r="AI1286" t="str">
        <f t="shared" si="853"/>
        <v>Monto II</v>
      </c>
      <c r="AJ1286" t="str">
        <f t="shared" si="854"/>
        <v>Porcentaje II</v>
      </c>
      <c r="AK1286" t="str">
        <f t="shared" si="855"/>
        <v>Foto</v>
      </c>
      <c r="AL1286" t="str">
        <f t="shared" si="835"/>
        <v xml:space="preserve"> </v>
      </c>
      <c r="AM1286" t="str">
        <f t="shared" si="832"/>
        <v xml:space="preserve"> </v>
      </c>
    </row>
    <row r="1287" spans="1:39" x14ac:dyDescent="0.25">
      <c r="A1287" t="str">
        <f>"BI404 40"</f>
        <v>BI404 40</v>
      </c>
      <c r="B1287" t="str">
        <f>"COJINETES BIELA 1,00 FORD RANGER 2.8 3.0 POWER STROKE"</f>
        <v>COJINETES BIELA 1,00 FORD RANGER 2.8 3.0 POWER STROKE</v>
      </c>
      <c r="C1287" t="str">
        <f>"$ 21169,15"</f>
        <v>$ 21169,15</v>
      </c>
      <c r="D1287" t="str">
        <f>"$ 21169,15"</f>
        <v>$ 21169,15</v>
      </c>
      <c r="E1287" t="str">
        <f>"$ 21169,15"</f>
        <v>$ 21169,15</v>
      </c>
      <c r="F1287" t="str">
        <f>"$ 21169,15"</f>
        <v>$ 21169,15</v>
      </c>
      <c r="G1287" t="str">
        <f>"$ 21169,15"</f>
        <v>$ 21169,15</v>
      </c>
      <c r="H1287" t="str">
        <f t="shared" si="836"/>
        <v>$ 0,00</v>
      </c>
      <c r="I1287" t="str">
        <f t="shared" si="834"/>
        <v>JUEGO COJINETES BIELA</v>
      </c>
      <c r="J1287" t="str">
        <f t="shared" si="837"/>
        <v>1</v>
      </c>
      <c r="K1287" t="str">
        <f t="shared" si="820"/>
        <v>0</v>
      </c>
      <c r="L1287" t="str">
        <f>"2,000"</f>
        <v>2,000</v>
      </c>
      <c r="M1287" t="str">
        <f t="shared" si="838"/>
        <v xml:space="preserve"> </v>
      </c>
      <c r="N1287" t="str">
        <f t="shared" si="826"/>
        <v>MPSI</v>
      </c>
      <c r="O1287" t="str">
        <f t="shared" si="827"/>
        <v>COJINETES</v>
      </c>
      <c r="P1287" t="str">
        <f t="shared" si="839"/>
        <v>0</v>
      </c>
      <c r="Q1287" t="str">
        <f t="shared" si="839"/>
        <v>0</v>
      </c>
      <c r="R1287" t="str">
        <f t="shared" si="840"/>
        <v>0,00</v>
      </c>
      <c r="S1287" t="str">
        <f t="shared" si="840"/>
        <v>0,00</v>
      </c>
      <c r="T1287" t="str">
        <f t="shared" si="819"/>
        <v xml:space="preserve"> </v>
      </c>
      <c r="U1287" t="str">
        <f t="shared" si="831"/>
        <v>-</v>
      </c>
      <c r="V1287" t="str">
        <f>"2,000"</f>
        <v>2,000</v>
      </c>
      <c r="W1287" t="str">
        <f t="shared" si="841"/>
        <v>Lista 4</v>
      </c>
      <c r="X1287" t="str">
        <f t="shared" si="842"/>
        <v>Lista 5</v>
      </c>
      <c r="Y1287" t="str">
        <f t="shared" si="843"/>
        <v>Oferta Gral.</v>
      </c>
      <c r="Z1287" t="str">
        <f t="shared" si="844"/>
        <v>Rubro</v>
      </c>
      <c r="AA1287" t="str">
        <f t="shared" si="845"/>
        <v>Cantidad por Bulto</v>
      </c>
      <c r="AB1287" t="str">
        <f t="shared" si="846"/>
        <v>INNER</v>
      </c>
      <c r="AC1287" t="str">
        <f t="shared" si="847"/>
        <v>Stock en Bultos</v>
      </c>
      <c r="AD1287" t="str">
        <f t="shared" si="848"/>
        <v>SubDepósito</v>
      </c>
      <c r="AE1287" t="str">
        <f t="shared" si="849"/>
        <v>Marca</v>
      </c>
      <c r="AF1287" t="str">
        <f t="shared" si="850"/>
        <v>Super Rubro</v>
      </c>
      <c r="AG1287" t="str">
        <f t="shared" si="851"/>
        <v>ComercioExterior</v>
      </c>
      <c r="AH1287" t="str">
        <f t="shared" si="852"/>
        <v>PrecioFOB</v>
      </c>
      <c r="AI1287" t="str">
        <f t="shared" si="853"/>
        <v>Monto II</v>
      </c>
      <c r="AJ1287" t="str">
        <f t="shared" si="854"/>
        <v>Porcentaje II</v>
      </c>
      <c r="AK1287" t="str">
        <f t="shared" si="855"/>
        <v>Foto</v>
      </c>
      <c r="AL1287" t="str">
        <f t="shared" si="835"/>
        <v xml:space="preserve"> </v>
      </c>
      <c r="AM1287" t="str">
        <f t="shared" si="832"/>
        <v xml:space="preserve"> </v>
      </c>
    </row>
    <row r="1288" spans="1:39" x14ac:dyDescent="0.25">
      <c r="A1288" t="str">
        <f>"BI203 40"</f>
        <v>BI203 40</v>
      </c>
      <c r="B1288" t="str">
        <f>"COJINETES BIELA 1,00 FORD SIERRA 1600"</f>
        <v>COJINETES BIELA 1,00 FORD SIERRA 1600</v>
      </c>
      <c r="C1288" t="str">
        <f>"$ 15174,52"</f>
        <v>$ 15174,52</v>
      </c>
      <c r="D1288" t="str">
        <f>"$ 15174,52"</f>
        <v>$ 15174,52</v>
      </c>
      <c r="E1288" t="str">
        <f>"$ 15174,52"</f>
        <v>$ 15174,52</v>
      </c>
      <c r="F1288" t="str">
        <f>"$ 15174,52"</f>
        <v>$ 15174,52</v>
      </c>
      <c r="G1288" t="str">
        <f>"$ 15174,52"</f>
        <v>$ 15174,52</v>
      </c>
      <c r="H1288" t="str">
        <f t="shared" si="836"/>
        <v>$ 0,00</v>
      </c>
      <c r="I1288" t="str">
        <f t="shared" si="834"/>
        <v>JUEGO COJINETES BIELA</v>
      </c>
      <c r="J1288" t="str">
        <f t="shared" si="837"/>
        <v>1</v>
      </c>
      <c r="K1288" t="str">
        <f t="shared" si="820"/>
        <v>0</v>
      </c>
      <c r="L1288" t="str">
        <f>"3,000"</f>
        <v>3,000</v>
      </c>
      <c r="M1288" t="str">
        <f t="shared" si="838"/>
        <v xml:space="preserve"> </v>
      </c>
      <c r="N1288" t="str">
        <f t="shared" si="826"/>
        <v>MPSI</v>
      </c>
      <c r="O1288" t="str">
        <f t="shared" si="827"/>
        <v>COJINETES</v>
      </c>
      <c r="P1288" t="str">
        <f t="shared" si="839"/>
        <v>0</v>
      </c>
      <c r="Q1288" t="str">
        <f t="shared" si="839"/>
        <v>0</v>
      </c>
      <c r="R1288" t="str">
        <f t="shared" si="840"/>
        <v>0,00</v>
      </c>
      <c r="S1288" t="str">
        <f t="shared" si="840"/>
        <v>0,00</v>
      </c>
      <c r="T1288" t="str">
        <f t="shared" si="819"/>
        <v xml:space="preserve"> </v>
      </c>
      <c r="U1288" t="str">
        <f t="shared" si="831"/>
        <v>-</v>
      </c>
      <c r="V1288" t="str">
        <f>"3,000"</f>
        <v>3,000</v>
      </c>
      <c r="W1288" t="str">
        <f t="shared" si="841"/>
        <v>Lista 4</v>
      </c>
      <c r="X1288" t="str">
        <f t="shared" si="842"/>
        <v>Lista 5</v>
      </c>
      <c r="Y1288" t="str">
        <f t="shared" si="843"/>
        <v>Oferta Gral.</v>
      </c>
      <c r="Z1288" t="str">
        <f t="shared" si="844"/>
        <v>Rubro</v>
      </c>
      <c r="AA1288" t="str">
        <f t="shared" si="845"/>
        <v>Cantidad por Bulto</v>
      </c>
      <c r="AB1288" t="str">
        <f t="shared" si="846"/>
        <v>INNER</v>
      </c>
      <c r="AC1288" t="str">
        <f t="shared" si="847"/>
        <v>Stock en Bultos</v>
      </c>
      <c r="AD1288" t="str">
        <f t="shared" si="848"/>
        <v>SubDepósito</v>
      </c>
      <c r="AE1288" t="str">
        <f t="shared" si="849"/>
        <v>Marca</v>
      </c>
      <c r="AF1288" t="str">
        <f t="shared" si="850"/>
        <v>Super Rubro</v>
      </c>
      <c r="AG1288" t="str">
        <f t="shared" si="851"/>
        <v>ComercioExterior</v>
      </c>
      <c r="AH1288" t="str">
        <f t="shared" si="852"/>
        <v>PrecioFOB</v>
      </c>
      <c r="AI1288" t="str">
        <f t="shared" si="853"/>
        <v>Monto II</v>
      </c>
      <c r="AJ1288" t="str">
        <f t="shared" si="854"/>
        <v>Porcentaje II</v>
      </c>
      <c r="AK1288" t="str">
        <f t="shared" si="855"/>
        <v>Foto</v>
      </c>
      <c r="AL1288" t="str">
        <f t="shared" si="835"/>
        <v xml:space="preserve"> </v>
      </c>
      <c r="AM1288" t="str">
        <f t="shared" si="832"/>
        <v xml:space="preserve"> </v>
      </c>
    </row>
    <row r="1289" spans="1:39" x14ac:dyDescent="0.25">
      <c r="A1289" t="str">
        <f>"BI201 40"</f>
        <v>BI201 40</v>
      </c>
      <c r="B1289" t="str">
        <f>"COJINETES BIELA 1,00 FORD TAUNUS 2.0 2.3"</f>
        <v>COJINETES BIELA 1,00 FORD TAUNUS 2.0 2.3</v>
      </c>
      <c r="C1289" t="str">
        <f>"$ 16124,16"</f>
        <v>$ 16124,16</v>
      </c>
      <c r="D1289" t="str">
        <f>"$ 16124,16"</f>
        <v>$ 16124,16</v>
      </c>
      <c r="E1289" t="str">
        <f>"$ 16124,16"</f>
        <v>$ 16124,16</v>
      </c>
      <c r="F1289" t="str">
        <f>"$ 16124,16"</f>
        <v>$ 16124,16</v>
      </c>
      <c r="G1289" t="str">
        <f>"$ 16124,16"</f>
        <v>$ 16124,16</v>
      </c>
      <c r="H1289" t="str">
        <f t="shared" si="836"/>
        <v>$ 0,00</v>
      </c>
      <c r="I1289" t="str">
        <f t="shared" si="834"/>
        <v>JUEGO COJINETES BIELA</v>
      </c>
      <c r="J1289" t="str">
        <f t="shared" si="837"/>
        <v>1</v>
      </c>
      <c r="K1289" t="str">
        <f t="shared" si="820"/>
        <v>0</v>
      </c>
      <c r="L1289" t="str">
        <f>"7,000"</f>
        <v>7,000</v>
      </c>
      <c r="M1289" t="str">
        <f t="shared" si="838"/>
        <v xml:space="preserve"> </v>
      </c>
      <c r="N1289" t="str">
        <f t="shared" si="826"/>
        <v>MPSI</v>
      </c>
      <c r="O1289" t="str">
        <f t="shared" si="827"/>
        <v>COJINETES</v>
      </c>
      <c r="P1289" t="str">
        <f t="shared" si="839"/>
        <v>0</v>
      </c>
      <c r="Q1289" t="str">
        <f t="shared" si="839"/>
        <v>0</v>
      </c>
      <c r="R1289" t="str">
        <f t="shared" si="840"/>
        <v>0,00</v>
      </c>
      <c r="S1289" t="str">
        <f t="shared" si="840"/>
        <v>0,00</v>
      </c>
      <c r="T1289" t="str">
        <f t="shared" si="819"/>
        <v xml:space="preserve"> </v>
      </c>
      <c r="U1289" t="str">
        <f t="shared" si="831"/>
        <v>-</v>
      </c>
      <c r="V1289" t="str">
        <f>"7,000"</f>
        <v>7,000</v>
      </c>
      <c r="W1289" t="str">
        <f t="shared" si="841"/>
        <v>Lista 4</v>
      </c>
      <c r="X1289" t="str">
        <f t="shared" si="842"/>
        <v>Lista 5</v>
      </c>
      <c r="Y1289" t="str">
        <f t="shared" si="843"/>
        <v>Oferta Gral.</v>
      </c>
      <c r="Z1289" t="str">
        <f t="shared" si="844"/>
        <v>Rubro</v>
      </c>
      <c r="AA1289" t="str">
        <f t="shared" si="845"/>
        <v>Cantidad por Bulto</v>
      </c>
      <c r="AB1289" t="str">
        <f t="shared" si="846"/>
        <v>INNER</v>
      </c>
      <c r="AC1289" t="str">
        <f t="shared" si="847"/>
        <v>Stock en Bultos</v>
      </c>
      <c r="AD1289" t="str">
        <f t="shared" si="848"/>
        <v>SubDepósito</v>
      </c>
      <c r="AE1289" t="str">
        <f t="shared" si="849"/>
        <v>Marca</v>
      </c>
      <c r="AF1289" t="str">
        <f t="shared" si="850"/>
        <v>Super Rubro</v>
      </c>
      <c r="AG1289" t="str">
        <f t="shared" si="851"/>
        <v>ComercioExterior</v>
      </c>
      <c r="AH1289" t="str">
        <f t="shared" si="852"/>
        <v>PrecioFOB</v>
      </c>
      <c r="AI1289" t="str">
        <f t="shared" si="853"/>
        <v>Monto II</v>
      </c>
      <c r="AJ1289" t="str">
        <f t="shared" si="854"/>
        <v>Porcentaje II</v>
      </c>
      <c r="AK1289" t="str">
        <f t="shared" si="855"/>
        <v>Foto</v>
      </c>
      <c r="AL1289" t="str">
        <f t="shared" si="835"/>
        <v xml:space="preserve"> </v>
      </c>
      <c r="AM1289" t="str">
        <f t="shared" si="832"/>
        <v xml:space="preserve"> </v>
      </c>
    </row>
    <row r="1290" spans="1:39" x14ac:dyDescent="0.25">
      <c r="A1290" t="str">
        <f>"BI774 40"</f>
        <v>BI774 40</v>
      </c>
      <c r="B1290" t="str">
        <f>"COJINETES BIELA 1,00 FORD TRANSIT 2,5 DIESEL 2401E"</f>
        <v>COJINETES BIELA 1,00 FORD TRANSIT 2,5 DIESEL 2401E</v>
      </c>
      <c r="C1290" t="str">
        <f>"$ 22751,89"</f>
        <v>$ 22751,89</v>
      </c>
      <c r="D1290" t="str">
        <f>"$ 22751,89"</f>
        <v>$ 22751,89</v>
      </c>
      <c r="E1290" t="str">
        <f>"$ 22751,89"</f>
        <v>$ 22751,89</v>
      </c>
      <c r="F1290" t="str">
        <f>"$ 22751,89"</f>
        <v>$ 22751,89</v>
      </c>
      <c r="G1290" t="str">
        <f>"$ 22751,89"</f>
        <v>$ 22751,89</v>
      </c>
      <c r="H1290" t="str">
        <f t="shared" si="836"/>
        <v>$ 0,00</v>
      </c>
      <c r="I1290" t="str">
        <f t="shared" si="834"/>
        <v>JUEGO COJINETES BIELA</v>
      </c>
      <c r="J1290" t="str">
        <f t="shared" si="837"/>
        <v>1</v>
      </c>
      <c r="K1290" t="str">
        <f t="shared" si="820"/>
        <v>0</v>
      </c>
      <c r="L1290" t="str">
        <f>"0,000"</f>
        <v>0,000</v>
      </c>
      <c r="M1290" t="str">
        <f t="shared" si="838"/>
        <v xml:space="preserve"> </v>
      </c>
      <c r="N1290" t="str">
        <f t="shared" si="826"/>
        <v>MPSI</v>
      </c>
      <c r="O1290" t="str">
        <f t="shared" si="827"/>
        <v>COJINETES</v>
      </c>
      <c r="P1290" t="str">
        <f t="shared" si="839"/>
        <v>0</v>
      </c>
      <c r="Q1290" t="str">
        <f t="shared" si="839"/>
        <v>0</v>
      </c>
      <c r="R1290" t="str">
        <f t="shared" si="840"/>
        <v>0,00</v>
      </c>
      <c r="S1290" t="str">
        <f t="shared" si="840"/>
        <v>0,00</v>
      </c>
      <c r="T1290" t="str">
        <f t="shared" si="819"/>
        <v xml:space="preserve"> </v>
      </c>
      <c r="U1290" t="str">
        <f t="shared" si="831"/>
        <v>-</v>
      </c>
      <c r="V1290" t="str">
        <f>"0,000"</f>
        <v>0,000</v>
      </c>
      <c r="W1290" t="str">
        <f t="shared" si="841"/>
        <v>Lista 4</v>
      </c>
      <c r="X1290" t="str">
        <f t="shared" si="842"/>
        <v>Lista 5</v>
      </c>
      <c r="Y1290" t="str">
        <f t="shared" si="843"/>
        <v>Oferta Gral.</v>
      </c>
      <c r="Z1290" t="str">
        <f t="shared" si="844"/>
        <v>Rubro</v>
      </c>
      <c r="AA1290" t="str">
        <f t="shared" si="845"/>
        <v>Cantidad por Bulto</v>
      </c>
      <c r="AB1290" t="str">
        <f t="shared" si="846"/>
        <v>INNER</v>
      </c>
      <c r="AC1290" t="str">
        <f t="shared" si="847"/>
        <v>Stock en Bultos</v>
      </c>
      <c r="AD1290" t="str">
        <f t="shared" si="848"/>
        <v>SubDepósito</v>
      </c>
      <c r="AE1290" t="str">
        <f t="shared" si="849"/>
        <v>Marca</v>
      </c>
      <c r="AF1290" t="str">
        <f t="shared" si="850"/>
        <v>Super Rubro</v>
      </c>
      <c r="AG1290" t="str">
        <f t="shared" si="851"/>
        <v>ComercioExterior</v>
      </c>
      <c r="AH1290" t="str">
        <f t="shared" si="852"/>
        <v>PrecioFOB</v>
      </c>
      <c r="AI1290" t="str">
        <f t="shared" si="853"/>
        <v>Monto II</v>
      </c>
      <c r="AJ1290" t="str">
        <f t="shared" si="854"/>
        <v>Porcentaje II</v>
      </c>
      <c r="AK1290" t="str">
        <f t="shared" si="855"/>
        <v>Foto</v>
      </c>
      <c r="AL1290" t="str">
        <f t="shared" si="835"/>
        <v xml:space="preserve"> </v>
      </c>
      <c r="AM1290" t="str">
        <f t="shared" si="832"/>
        <v xml:space="preserve"> </v>
      </c>
    </row>
    <row r="1291" spans="1:39" x14ac:dyDescent="0.25">
      <c r="A1291" t="str">
        <f>"BI235 40"</f>
        <v>BI235 40</v>
      </c>
      <c r="B1291" t="str">
        <f>"COJINETES BIELA 1,00 IKA CONTINENTAL"</f>
        <v>COJINETES BIELA 1,00 IKA CONTINENTAL</v>
      </c>
      <c r="C1291" t="str">
        <f>"$ 31694,37"</f>
        <v>$ 31694,37</v>
      </c>
      <c r="D1291" t="str">
        <f>"$ 31694,37"</f>
        <v>$ 31694,37</v>
      </c>
      <c r="E1291" t="str">
        <f>"$ 31694,37"</f>
        <v>$ 31694,37</v>
      </c>
      <c r="F1291" t="str">
        <f>"$ 31694,37"</f>
        <v>$ 31694,37</v>
      </c>
      <c r="G1291" t="str">
        <f>"$ 31694,37"</f>
        <v>$ 31694,37</v>
      </c>
      <c r="H1291" t="str">
        <f t="shared" si="836"/>
        <v>$ 0,00</v>
      </c>
      <c r="I1291" t="str">
        <f t="shared" si="834"/>
        <v>JUEGO COJINETES BIELA</v>
      </c>
      <c r="J1291" t="str">
        <f t="shared" si="837"/>
        <v>1</v>
      </c>
      <c r="K1291" t="str">
        <f t="shared" si="820"/>
        <v>0</v>
      </c>
      <c r="L1291" t="str">
        <f>"0,000"</f>
        <v>0,000</v>
      </c>
      <c r="M1291" t="str">
        <f t="shared" si="838"/>
        <v xml:space="preserve"> </v>
      </c>
      <c r="N1291" t="str">
        <f t="shared" si="826"/>
        <v>MPSI</v>
      </c>
      <c r="O1291" t="str">
        <f t="shared" si="827"/>
        <v>COJINETES</v>
      </c>
      <c r="P1291" t="str">
        <f t="shared" si="839"/>
        <v>0</v>
      </c>
      <c r="Q1291" t="str">
        <f t="shared" si="839"/>
        <v>0</v>
      </c>
      <c r="R1291" t="str">
        <f t="shared" si="840"/>
        <v>0,00</v>
      </c>
      <c r="S1291" t="str">
        <f t="shared" si="840"/>
        <v>0,00</v>
      </c>
      <c r="T1291" t="str">
        <f t="shared" si="819"/>
        <v xml:space="preserve"> </v>
      </c>
      <c r="U1291" t="str">
        <f t="shared" si="831"/>
        <v>-</v>
      </c>
      <c r="V1291" t="str">
        <f>"0,000"</f>
        <v>0,000</v>
      </c>
      <c r="W1291" t="str">
        <f t="shared" si="841"/>
        <v>Lista 4</v>
      </c>
      <c r="X1291" t="str">
        <f t="shared" si="842"/>
        <v>Lista 5</v>
      </c>
      <c r="Y1291" t="str">
        <f t="shared" si="843"/>
        <v>Oferta Gral.</v>
      </c>
      <c r="Z1291" t="str">
        <f t="shared" si="844"/>
        <v>Rubro</v>
      </c>
      <c r="AA1291" t="str">
        <f t="shared" si="845"/>
        <v>Cantidad por Bulto</v>
      </c>
      <c r="AB1291" t="str">
        <f t="shared" si="846"/>
        <v>INNER</v>
      </c>
      <c r="AC1291" t="str">
        <f t="shared" si="847"/>
        <v>Stock en Bultos</v>
      </c>
      <c r="AD1291" t="str">
        <f t="shared" si="848"/>
        <v>SubDepósito</v>
      </c>
      <c r="AE1291" t="str">
        <f t="shared" si="849"/>
        <v>Marca</v>
      </c>
      <c r="AF1291" t="str">
        <f t="shared" si="850"/>
        <v>Super Rubro</v>
      </c>
      <c r="AG1291" t="str">
        <f t="shared" si="851"/>
        <v>ComercioExterior</v>
      </c>
      <c r="AH1291" t="str">
        <f t="shared" si="852"/>
        <v>PrecioFOB</v>
      </c>
      <c r="AI1291" t="str">
        <f t="shared" si="853"/>
        <v>Monto II</v>
      </c>
      <c r="AJ1291" t="str">
        <f t="shared" si="854"/>
        <v>Porcentaje II</v>
      </c>
      <c r="AK1291" t="str">
        <f t="shared" si="855"/>
        <v>Foto</v>
      </c>
      <c r="AL1291" t="str">
        <f t="shared" si="835"/>
        <v xml:space="preserve"> </v>
      </c>
      <c r="AM1291" t="str">
        <f t="shared" si="832"/>
        <v xml:space="preserve"> </v>
      </c>
    </row>
    <row r="1292" spans="1:39" x14ac:dyDescent="0.25">
      <c r="A1292" t="str">
        <f>"BI141 40"</f>
        <v>BI141 40</v>
      </c>
      <c r="B1292" t="str">
        <f>"COJINETES BIELA 1,00 IVECO DAILY 2.5 2.8"</f>
        <v>COJINETES BIELA 1,00 IVECO DAILY 2.5 2.8</v>
      </c>
      <c r="C1292" t="str">
        <f>"$ 27697,62"</f>
        <v>$ 27697,62</v>
      </c>
      <c r="D1292" t="str">
        <f>"$ 27697,62"</f>
        <v>$ 27697,62</v>
      </c>
      <c r="E1292" t="str">
        <f>"$ 27697,62"</f>
        <v>$ 27697,62</v>
      </c>
      <c r="F1292" t="str">
        <f>"$ 27697,62"</f>
        <v>$ 27697,62</v>
      </c>
      <c r="G1292" t="str">
        <f>"$ 27697,62"</f>
        <v>$ 27697,62</v>
      </c>
      <c r="H1292" t="str">
        <f t="shared" si="836"/>
        <v>$ 0,00</v>
      </c>
      <c r="I1292" t="str">
        <f t="shared" si="834"/>
        <v>JUEGO COJINETES BIELA</v>
      </c>
      <c r="J1292" t="str">
        <f t="shared" si="837"/>
        <v>1</v>
      </c>
      <c r="K1292" t="str">
        <f t="shared" si="820"/>
        <v>0</v>
      </c>
      <c r="L1292" t="str">
        <f>"0,000"</f>
        <v>0,000</v>
      </c>
      <c r="M1292" t="str">
        <f t="shared" si="838"/>
        <v xml:space="preserve"> </v>
      </c>
      <c r="N1292" t="str">
        <f t="shared" si="826"/>
        <v>MPSI</v>
      </c>
      <c r="O1292" t="str">
        <f t="shared" si="827"/>
        <v>COJINETES</v>
      </c>
      <c r="P1292" t="str">
        <f t="shared" si="839"/>
        <v>0</v>
      </c>
      <c r="Q1292" t="str">
        <f t="shared" si="839"/>
        <v>0</v>
      </c>
      <c r="R1292" t="str">
        <f t="shared" si="840"/>
        <v>0,00</v>
      </c>
      <c r="S1292" t="str">
        <f t="shared" si="840"/>
        <v>0,00</v>
      </c>
      <c r="T1292" t="str">
        <f t="shared" si="819"/>
        <v xml:space="preserve"> </v>
      </c>
      <c r="U1292" t="str">
        <f t="shared" si="831"/>
        <v>-</v>
      </c>
      <c r="V1292" t="str">
        <f>"0,000"</f>
        <v>0,000</v>
      </c>
      <c r="W1292" t="str">
        <f t="shared" si="841"/>
        <v>Lista 4</v>
      </c>
      <c r="X1292" t="str">
        <f t="shared" si="842"/>
        <v>Lista 5</v>
      </c>
      <c r="Y1292" t="str">
        <f t="shared" si="843"/>
        <v>Oferta Gral.</v>
      </c>
      <c r="Z1292" t="str">
        <f t="shared" si="844"/>
        <v>Rubro</v>
      </c>
      <c r="AA1292" t="str">
        <f t="shared" si="845"/>
        <v>Cantidad por Bulto</v>
      </c>
      <c r="AB1292" t="str">
        <f t="shared" si="846"/>
        <v>INNER</v>
      </c>
      <c r="AC1292" t="str">
        <f t="shared" si="847"/>
        <v>Stock en Bultos</v>
      </c>
      <c r="AD1292" t="str">
        <f t="shared" si="848"/>
        <v>SubDepósito</v>
      </c>
      <c r="AE1292" t="str">
        <f t="shared" si="849"/>
        <v>Marca</v>
      </c>
      <c r="AF1292" t="str">
        <f t="shared" si="850"/>
        <v>Super Rubro</v>
      </c>
      <c r="AG1292" t="str">
        <f t="shared" si="851"/>
        <v>ComercioExterior</v>
      </c>
      <c r="AH1292" t="str">
        <f t="shared" si="852"/>
        <v>PrecioFOB</v>
      </c>
      <c r="AI1292" t="str">
        <f t="shared" si="853"/>
        <v>Monto II</v>
      </c>
      <c r="AJ1292" t="str">
        <f t="shared" si="854"/>
        <v>Porcentaje II</v>
      </c>
      <c r="AK1292" t="str">
        <f t="shared" si="855"/>
        <v>Foto</v>
      </c>
      <c r="AL1292" t="str">
        <f t="shared" si="835"/>
        <v xml:space="preserve"> </v>
      </c>
      <c r="AM1292" t="str">
        <f t="shared" si="832"/>
        <v xml:space="preserve"> </v>
      </c>
    </row>
    <row r="1293" spans="1:39" x14ac:dyDescent="0.25">
      <c r="A1293" t="str">
        <f>"BI844 40"</f>
        <v>BI844 40</v>
      </c>
      <c r="B1293" t="str">
        <f>"COJINETES BIELA 1,00 MAXION 2.5 SPRINTER FORD F100 CHEVROLET S10"</f>
        <v>COJINETES BIELA 1,00 MAXION 2.5 SPRINTER FORD F100 CHEVROLET S10</v>
      </c>
      <c r="C1293" t="str">
        <f>"$ 25664,92"</f>
        <v>$ 25664,92</v>
      </c>
      <c r="D1293" t="str">
        <f>"$ 25664,92"</f>
        <v>$ 25664,92</v>
      </c>
      <c r="E1293" t="str">
        <f>"$ 25664,92"</f>
        <v>$ 25664,92</v>
      </c>
      <c r="F1293" t="str">
        <f>"$ 25664,92"</f>
        <v>$ 25664,92</v>
      </c>
      <c r="G1293" t="str">
        <f>"$ 25664,92"</f>
        <v>$ 25664,92</v>
      </c>
      <c r="H1293" t="str">
        <f t="shared" si="836"/>
        <v>$ 0,00</v>
      </c>
      <c r="I1293" t="str">
        <f t="shared" si="834"/>
        <v>JUEGO COJINETES BIELA</v>
      </c>
      <c r="J1293" t="str">
        <f t="shared" si="837"/>
        <v>1</v>
      </c>
      <c r="K1293" t="str">
        <f t="shared" si="820"/>
        <v>0</v>
      </c>
      <c r="L1293" t="str">
        <f>"5,000"</f>
        <v>5,000</v>
      </c>
      <c r="M1293" t="str">
        <f t="shared" si="838"/>
        <v xml:space="preserve"> </v>
      </c>
      <c r="N1293" t="str">
        <f t="shared" si="826"/>
        <v>MPSI</v>
      </c>
      <c r="O1293" t="str">
        <f t="shared" si="827"/>
        <v>COJINETES</v>
      </c>
      <c r="P1293" t="str">
        <f t="shared" si="839"/>
        <v>0</v>
      </c>
      <c r="Q1293" t="str">
        <f t="shared" si="839"/>
        <v>0</v>
      </c>
      <c r="R1293" t="str">
        <f t="shared" si="840"/>
        <v>0,00</v>
      </c>
      <c r="S1293" t="str">
        <f t="shared" si="840"/>
        <v>0,00</v>
      </c>
      <c r="T1293" t="str">
        <f t="shared" si="819"/>
        <v xml:space="preserve"> </v>
      </c>
      <c r="U1293" t="str">
        <f t="shared" si="831"/>
        <v>-</v>
      </c>
      <c r="V1293" t="str">
        <f>"5,000"</f>
        <v>5,000</v>
      </c>
      <c r="W1293" t="str">
        <f t="shared" si="841"/>
        <v>Lista 4</v>
      </c>
      <c r="X1293" t="str">
        <f t="shared" si="842"/>
        <v>Lista 5</v>
      </c>
      <c r="Y1293" t="str">
        <f t="shared" si="843"/>
        <v>Oferta Gral.</v>
      </c>
      <c r="Z1293" t="str">
        <f t="shared" si="844"/>
        <v>Rubro</v>
      </c>
      <c r="AA1293" t="str">
        <f t="shared" si="845"/>
        <v>Cantidad por Bulto</v>
      </c>
      <c r="AB1293" t="str">
        <f t="shared" si="846"/>
        <v>INNER</v>
      </c>
      <c r="AC1293" t="str">
        <f t="shared" si="847"/>
        <v>Stock en Bultos</v>
      </c>
      <c r="AD1293" t="str">
        <f t="shared" si="848"/>
        <v>SubDepósito</v>
      </c>
      <c r="AE1293" t="str">
        <f t="shared" si="849"/>
        <v>Marca</v>
      </c>
      <c r="AF1293" t="str">
        <f t="shared" si="850"/>
        <v>Super Rubro</v>
      </c>
      <c r="AG1293" t="str">
        <f t="shared" si="851"/>
        <v>ComercioExterior</v>
      </c>
      <c r="AH1293" t="str">
        <f t="shared" si="852"/>
        <v>PrecioFOB</v>
      </c>
      <c r="AI1293" t="str">
        <f t="shared" si="853"/>
        <v>Monto II</v>
      </c>
      <c r="AJ1293" t="str">
        <f t="shared" si="854"/>
        <v>Porcentaje II</v>
      </c>
      <c r="AK1293" t="str">
        <f t="shared" si="855"/>
        <v>Foto</v>
      </c>
      <c r="AL1293" t="str">
        <f t="shared" si="835"/>
        <v xml:space="preserve"> </v>
      </c>
      <c r="AM1293" t="str">
        <f t="shared" si="832"/>
        <v xml:space="preserve"> </v>
      </c>
    </row>
    <row r="1294" spans="1:39" x14ac:dyDescent="0.25">
      <c r="A1294" t="str">
        <f>"BI388 40"</f>
        <v>BI388 40</v>
      </c>
      <c r="B1294" t="str">
        <f>"COJINETES BIELA 1,00 PERKINS 6-305"</f>
        <v>COJINETES BIELA 1,00 PERKINS 6-305</v>
      </c>
      <c r="C1294" t="str">
        <f>"$ 28656,13"</f>
        <v>$ 28656,13</v>
      </c>
      <c r="D1294" t="str">
        <f>"$ 28656,13"</f>
        <v>$ 28656,13</v>
      </c>
      <c r="E1294" t="str">
        <f>"$ 28656,13"</f>
        <v>$ 28656,13</v>
      </c>
      <c r="F1294" t="str">
        <f>"$ 28656,13"</f>
        <v>$ 28656,13</v>
      </c>
      <c r="G1294" t="str">
        <f>"$ 28656,13"</f>
        <v>$ 28656,13</v>
      </c>
      <c r="H1294" t="str">
        <f t="shared" si="836"/>
        <v>$ 0,00</v>
      </c>
      <c r="I1294" t="str">
        <f t="shared" si="834"/>
        <v>JUEGO COJINETES BIELA</v>
      </c>
      <c r="J1294" t="str">
        <f t="shared" si="837"/>
        <v>1</v>
      </c>
      <c r="K1294" t="str">
        <f t="shared" si="820"/>
        <v>0</v>
      </c>
      <c r="L1294" t="str">
        <f>"3,000"</f>
        <v>3,000</v>
      </c>
      <c r="M1294" t="str">
        <f t="shared" si="838"/>
        <v xml:space="preserve"> </v>
      </c>
      <c r="N1294" t="str">
        <f t="shared" si="826"/>
        <v>MPSI</v>
      </c>
      <c r="O1294" t="str">
        <f t="shared" si="827"/>
        <v>COJINETES</v>
      </c>
      <c r="P1294" t="str">
        <f t="shared" si="839"/>
        <v>0</v>
      </c>
      <c r="Q1294" t="str">
        <f t="shared" si="839"/>
        <v>0</v>
      </c>
      <c r="R1294" t="str">
        <f t="shared" si="840"/>
        <v>0,00</v>
      </c>
      <c r="S1294" t="str">
        <f t="shared" si="840"/>
        <v>0,00</v>
      </c>
      <c r="T1294" t="str">
        <f t="shared" si="819"/>
        <v xml:space="preserve"> </v>
      </c>
      <c r="U1294" t="str">
        <f t="shared" si="831"/>
        <v>-</v>
      </c>
      <c r="V1294" t="str">
        <f>"3,000"</f>
        <v>3,000</v>
      </c>
      <c r="W1294" t="str">
        <f t="shared" si="841"/>
        <v>Lista 4</v>
      </c>
      <c r="X1294" t="str">
        <f t="shared" si="842"/>
        <v>Lista 5</v>
      </c>
      <c r="Y1294" t="str">
        <f t="shared" si="843"/>
        <v>Oferta Gral.</v>
      </c>
      <c r="Z1294" t="str">
        <f t="shared" si="844"/>
        <v>Rubro</v>
      </c>
      <c r="AA1294" t="str">
        <f t="shared" si="845"/>
        <v>Cantidad por Bulto</v>
      </c>
      <c r="AB1294" t="str">
        <f t="shared" si="846"/>
        <v>INNER</v>
      </c>
      <c r="AC1294" t="str">
        <f t="shared" si="847"/>
        <v>Stock en Bultos</v>
      </c>
      <c r="AD1294" t="str">
        <f t="shared" si="848"/>
        <v>SubDepósito</v>
      </c>
      <c r="AE1294" t="str">
        <f t="shared" si="849"/>
        <v>Marca</v>
      </c>
      <c r="AF1294" t="str">
        <f t="shared" si="850"/>
        <v>Super Rubro</v>
      </c>
      <c r="AG1294" t="str">
        <f t="shared" si="851"/>
        <v>ComercioExterior</v>
      </c>
      <c r="AH1294" t="str">
        <f t="shared" si="852"/>
        <v>PrecioFOB</v>
      </c>
      <c r="AI1294" t="str">
        <f t="shared" si="853"/>
        <v>Monto II</v>
      </c>
      <c r="AJ1294" t="str">
        <f t="shared" si="854"/>
        <v>Porcentaje II</v>
      </c>
      <c r="AK1294" t="str">
        <f t="shared" si="855"/>
        <v>Foto</v>
      </c>
      <c r="AL1294" t="str">
        <f>"{\rtf1\ansi\ansicpg1252\deff0\deflang2058{\fonttbl{\f0\fnil\fcharset0 MS Sans Serif}} \viewkind4\uc1\pard\f0\fs16 COJINETES BIELA 1,00 PERKINS 6-305\par } "</f>
        <v xml:space="preserve">{\rtf1\ansi\ansicpg1252\deff0\deflang2058{\fonttbl{\f0\fnil\fcharset0 MS Sans Serif}} \viewkind4\uc1\pard\f0\fs16 COJINETES BIELA 1,00 PERKINS 6-305\par } </v>
      </c>
      <c r="AM1294" t="str">
        <f t="shared" si="832"/>
        <v xml:space="preserve"> </v>
      </c>
    </row>
    <row r="1295" spans="1:39" x14ac:dyDescent="0.25">
      <c r="A1295" t="str">
        <f>"BI392 40"</f>
        <v>BI392 40</v>
      </c>
      <c r="B1295" t="str">
        <f>"COJINETES BIELA 1,00 PERKINS 6-354 FASE 2"</f>
        <v>COJINETES BIELA 1,00 PERKINS 6-354 FASE 2</v>
      </c>
      <c r="C1295" t="str">
        <f>"$ 32804,16"</f>
        <v>$ 32804,16</v>
      </c>
      <c r="D1295" t="str">
        <f>"$ 32804,16"</f>
        <v>$ 32804,16</v>
      </c>
      <c r="E1295" t="str">
        <f>"$ 32804,16"</f>
        <v>$ 32804,16</v>
      </c>
      <c r="F1295" t="str">
        <f>"$ 32804,16"</f>
        <v>$ 32804,16</v>
      </c>
      <c r="G1295" t="str">
        <f>"$ 32804,16"</f>
        <v>$ 32804,16</v>
      </c>
      <c r="H1295" t="str">
        <f t="shared" si="836"/>
        <v>$ 0,00</v>
      </c>
      <c r="I1295" t="str">
        <f t="shared" si="834"/>
        <v>JUEGO COJINETES BIELA</v>
      </c>
      <c r="J1295" t="str">
        <f t="shared" si="837"/>
        <v>1</v>
      </c>
      <c r="K1295" t="str">
        <f t="shared" si="820"/>
        <v>0</v>
      </c>
      <c r="L1295" t="str">
        <f>"2,000"</f>
        <v>2,000</v>
      </c>
      <c r="M1295" t="str">
        <f t="shared" si="838"/>
        <v xml:space="preserve"> </v>
      </c>
      <c r="N1295" t="str">
        <f t="shared" si="826"/>
        <v>MPSI</v>
      </c>
      <c r="O1295" t="str">
        <f t="shared" si="827"/>
        <v>COJINETES</v>
      </c>
      <c r="P1295" t="str">
        <f t="shared" si="839"/>
        <v>0</v>
      </c>
      <c r="Q1295" t="str">
        <f t="shared" si="839"/>
        <v>0</v>
      </c>
      <c r="R1295" t="str">
        <f t="shared" si="840"/>
        <v>0,00</v>
      </c>
      <c r="S1295" t="str">
        <f t="shared" si="840"/>
        <v>0,00</v>
      </c>
      <c r="T1295" t="str">
        <f t="shared" si="819"/>
        <v xml:space="preserve"> </v>
      </c>
      <c r="U1295" t="str">
        <f t="shared" si="831"/>
        <v>-</v>
      </c>
      <c r="V1295" t="str">
        <f>"2,000"</f>
        <v>2,000</v>
      </c>
      <c r="W1295" t="str">
        <f t="shared" si="841"/>
        <v>Lista 4</v>
      </c>
      <c r="X1295" t="str">
        <f t="shared" si="842"/>
        <v>Lista 5</v>
      </c>
      <c r="Y1295" t="str">
        <f t="shared" si="843"/>
        <v>Oferta Gral.</v>
      </c>
      <c r="Z1295" t="str">
        <f t="shared" si="844"/>
        <v>Rubro</v>
      </c>
      <c r="AA1295" t="str">
        <f t="shared" si="845"/>
        <v>Cantidad por Bulto</v>
      </c>
      <c r="AB1295" t="str">
        <f t="shared" si="846"/>
        <v>INNER</v>
      </c>
      <c r="AC1295" t="str">
        <f t="shared" si="847"/>
        <v>Stock en Bultos</v>
      </c>
      <c r="AD1295" t="str">
        <f t="shared" si="848"/>
        <v>SubDepósito</v>
      </c>
      <c r="AE1295" t="str">
        <f t="shared" si="849"/>
        <v>Marca</v>
      </c>
      <c r="AF1295" t="str">
        <f t="shared" si="850"/>
        <v>Super Rubro</v>
      </c>
      <c r="AG1295" t="str">
        <f t="shared" si="851"/>
        <v>ComercioExterior</v>
      </c>
      <c r="AH1295" t="str">
        <f t="shared" si="852"/>
        <v>PrecioFOB</v>
      </c>
      <c r="AI1295" t="str">
        <f t="shared" si="853"/>
        <v>Monto II</v>
      </c>
      <c r="AJ1295" t="str">
        <f t="shared" si="854"/>
        <v>Porcentaje II</v>
      </c>
      <c r="AK1295" t="str">
        <f t="shared" si="855"/>
        <v>Foto</v>
      </c>
      <c r="AL1295" t="str">
        <f t="shared" ref="AL1295:AL1310" si="856">" "</f>
        <v xml:space="preserve"> </v>
      </c>
      <c r="AM1295" t="str">
        <f t="shared" si="832"/>
        <v xml:space="preserve"> </v>
      </c>
    </row>
    <row r="1296" spans="1:39" x14ac:dyDescent="0.25">
      <c r="A1296" t="str">
        <f>"BI677 40"</f>
        <v>BI677 40</v>
      </c>
      <c r="B1296" t="str">
        <f>"COJINETES BIELA 1,00 PEUGEOT 205 206 1.4 TU3"</f>
        <v>COJINETES BIELA 1,00 PEUGEOT 205 206 1.4 TU3</v>
      </c>
      <c r="C1296" t="str">
        <f>"$ 15293,23"</f>
        <v>$ 15293,23</v>
      </c>
      <c r="D1296" t="str">
        <f>"$ 15293,23"</f>
        <v>$ 15293,23</v>
      </c>
      <c r="E1296" t="str">
        <f>"$ 15293,23"</f>
        <v>$ 15293,23</v>
      </c>
      <c r="F1296" t="str">
        <f>"$ 15293,23"</f>
        <v>$ 15293,23</v>
      </c>
      <c r="G1296" t="str">
        <f>"$ 15293,23"</f>
        <v>$ 15293,23</v>
      </c>
      <c r="H1296" t="str">
        <f t="shared" si="836"/>
        <v>$ 0,00</v>
      </c>
      <c r="I1296" t="str">
        <f t="shared" si="834"/>
        <v>JUEGO COJINETES BIELA</v>
      </c>
      <c r="J1296" t="str">
        <f t="shared" si="837"/>
        <v>1</v>
      </c>
      <c r="K1296" t="str">
        <f t="shared" si="820"/>
        <v>0</v>
      </c>
      <c r="L1296" t="str">
        <f>"7,000"</f>
        <v>7,000</v>
      </c>
      <c r="M1296" t="str">
        <f t="shared" si="838"/>
        <v xml:space="preserve"> </v>
      </c>
      <c r="N1296" t="str">
        <f t="shared" si="826"/>
        <v>MPSI</v>
      </c>
      <c r="O1296" t="str">
        <f t="shared" si="827"/>
        <v>COJINETES</v>
      </c>
      <c r="P1296" t="str">
        <f t="shared" si="839"/>
        <v>0</v>
      </c>
      <c r="Q1296" t="str">
        <f t="shared" si="839"/>
        <v>0</v>
      </c>
      <c r="R1296" t="str">
        <f t="shared" si="840"/>
        <v>0,00</v>
      </c>
      <c r="S1296" t="str">
        <f t="shared" si="840"/>
        <v>0,00</v>
      </c>
      <c r="T1296" t="str">
        <f t="shared" si="819"/>
        <v xml:space="preserve"> </v>
      </c>
      <c r="U1296" t="str">
        <f t="shared" si="831"/>
        <v>-</v>
      </c>
      <c r="V1296" t="str">
        <f>"7,000"</f>
        <v>7,000</v>
      </c>
      <c r="W1296" t="str">
        <f t="shared" si="841"/>
        <v>Lista 4</v>
      </c>
      <c r="X1296" t="str">
        <f t="shared" si="842"/>
        <v>Lista 5</v>
      </c>
      <c r="Y1296" t="str">
        <f t="shared" si="843"/>
        <v>Oferta Gral.</v>
      </c>
      <c r="Z1296" t="str">
        <f t="shared" si="844"/>
        <v>Rubro</v>
      </c>
      <c r="AA1296" t="str">
        <f t="shared" si="845"/>
        <v>Cantidad por Bulto</v>
      </c>
      <c r="AB1296" t="str">
        <f t="shared" si="846"/>
        <v>INNER</v>
      </c>
      <c r="AC1296" t="str">
        <f t="shared" si="847"/>
        <v>Stock en Bultos</v>
      </c>
      <c r="AD1296" t="str">
        <f t="shared" si="848"/>
        <v>SubDepósito</v>
      </c>
      <c r="AE1296" t="str">
        <f t="shared" si="849"/>
        <v>Marca</v>
      </c>
      <c r="AF1296" t="str">
        <f t="shared" si="850"/>
        <v>Super Rubro</v>
      </c>
      <c r="AG1296" t="str">
        <f t="shared" si="851"/>
        <v>ComercioExterior</v>
      </c>
      <c r="AH1296" t="str">
        <f t="shared" si="852"/>
        <v>PrecioFOB</v>
      </c>
      <c r="AI1296" t="str">
        <f t="shared" si="853"/>
        <v>Monto II</v>
      </c>
      <c r="AJ1296" t="str">
        <f t="shared" si="854"/>
        <v>Porcentaje II</v>
      </c>
      <c r="AK1296" t="str">
        <f t="shared" si="855"/>
        <v>Foto</v>
      </c>
      <c r="AL1296" t="str">
        <f t="shared" si="856"/>
        <v xml:space="preserve"> </v>
      </c>
      <c r="AM1296" t="str">
        <f t="shared" si="832"/>
        <v xml:space="preserve"> </v>
      </c>
    </row>
    <row r="1297" spans="1:39" x14ac:dyDescent="0.25">
      <c r="A1297" t="str">
        <f>"BI422 40"</f>
        <v>BI422 40</v>
      </c>
      <c r="B1297" t="str">
        <f>"COJINETES BIELA 1,00 PEUGEOT 306 1.9 TURBO DIESEL XUD9T"</f>
        <v>COJINETES BIELA 1,00 PEUGEOT 306 1.9 TURBO DIESEL XUD9T</v>
      </c>
      <c r="C1297" t="str">
        <f>"$ 25442,55"</f>
        <v>$ 25442,55</v>
      </c>
      <c r="D1297" t="str">
        <f>"$ 25442,55"</f>
        <v>$ 25442,55</v>
      </c>
      <c r="E1297" t="str">
        <f>"$ 25442,55"</f>
        <v>$ 25442,55</v>
      </c>
      <c r="F1297" t="str">
        <f>"$ 25442,55"</f>
        <v>$ 25442,55</v>
      </c>
      <c r="G1297" t="str">
        <f>"$ 25442,55"</f>
        <v>$ 25442,55</v>
      </c>
      <c r="H1297" t="str">
        <f t="shared" si="836"/>
        <v>$ 0,00</v>
      </c>
      <c r="I1297" t="str">
        <f t="shared" si="834"/>
        <v>JUEGO COJINETES BIELA</v>
      </c>
      <c r="J1297" t="str">
        <f t="shared" si="837"/>
        <v>1</v>
      </c>
      <c r="K1297" t="str">
        <f t="shared" si="820"/>
        <v>0</v>
      </c>
      <c r="L1297" t="str">
        <f>"1,000"</f>
        <v>1,000</v>
      </c>
      <c r="M1297" t="str">
        <f t="shared" si="838"/>
        <v xml:space="preserve"> </v>
      </c>
      <c r="N1297" t="str">
        <f t="shared" si="826"/>
        <v>MPSI</v>
      </c>
      <c r="O1297" t="str">
        <f t="shared" si="827"/>
        <v>COJINETES</v>
      </c>
      <c r="P1297" t="str">
        <f t="shared" si="839"/>
        <v>0</v>
      </c>
      <c r="Q1297" t="str">
        <f t="shared" si="839"/>
        <v>0</v>
      </c>
      <c r="R1297" t="str">
        <f t="shared" si="840"/>
        <v>0,00</v>
      </c>
      <c r="S1297" t="str">
        <f t="shared" si="840"/>
        <v>0,00</v>
      </c>
      <c r="T1297" t="str">
        <f t="shared" ref="T1297:T1360" si="857">" "</f>
        <v xml:space="preserve"> </v>
      </c>
      <c r="U1297" t="str">
        <f t="shared" si="831"/>
        <v>-</v>
      </c>
      <c r="V1297" t="str">
        <f>"1,000"</f>
        <v>1,000</v>
      </c>
      <c r="W1297" t="str">
        <f t="shared" si="841"/>
        <v>Lista 4</v>
      </c>
      <c r="X1297" t="str">
        <f t="shared" si="842"/>
        <v>Lista 5</v>
      </c>
      <c r="Y1297" t="str">
        <f t="shared" si="843"/>
        <v>Oferta Gral.</v>
      </c>
      <c r="Z1297" t="str">
        <f t="shared" si="844"/>
        <v>Rubro</v>
      </c>
      <c r="AA1297" t="str">
        <f t="shared" si="845"/>
        <v>Cantidad por Bulto</v>
      </c>
      <c r="AB1297" t="str">
        <f t="shared" si="846"/>
        <v>INNER</v>
      </c>
      <c r="AC1297" t="str">
        <f t="shared" si="847"/>
        <v>Stock en Bultos</v>
      </c>
      <c r="AD1297" t="str">
        <f t="shared" si="848"/>
        <v>SubDepósito</v>
      </c>
      <c r="AE1297" t="str">
        <f t="shared" si="849"/>
        <v>Marca</v>
      </c>
      <c r="AF1297" t="str">
        <f t="shared" si="850"/>
        <v>Super Rubro</v>
      </c>
      <c r="AG1297" t="str">
        <f t="shared" si="851"/>
        <v>ComercioExterior</v>
      </c>
      <c r="AH1297" t="str">
        <f t="shared" si="852"/>
        <v>PrecioFOB</v>
      </c>
      <c r="AI1297" t="str">
        <f t="shared" si="853"/>
        <v>Monto II</v>
      </c>
      <c r="AJ1297" t="str">
        <f t="shared" si="854"/>
        <v>Porcentaje II</v>
      </c>
      <c r="AK1297" t="str">
        <f t="shared" si="855"/>
        <v>Foto</v>
      </c>
      <c r="AL1297" t="str">
        <f t="shared" si="856"/>
        <v xml:space="preserve"> </v>
      </c>
      <c r="AM1297" t="str">
        <f t="shared" si="832"/>
        <v xml:space="preserve"> </v>
      </c>
    </row>
    <row r="1298" spans="1:39" x14ac:dyDescent="0.25">
      <c r="A1298" t="str">
        <f>"BI734 40"</f>
        <v>BI734 40</v>
      </c>
      <c r="B1298" t="str">
        <f>"COJINETES BIELA 1,00 PEUGEOT 306 405 PARTNER 1.9D MOTOR XUD9"</f>
        <v>COJINETES BIELA 1,00 PEUGEOT 306 405 PARTNER 1.9D MOTOR XUD9</v>
      </c>
      <c r="C1298" t="str">
        <f>"$ 13584,39"</f>
        <v>$ 13584,39</v>
      </c>
      <c r="D1298" t="str">
        <f>"$ 13584,39"</f>
        <v>$ 13584,39</v>
      </c>
      <c r="E1298" t="str">
        <f>"$ 13584,39"</f>
        <v>$ 13584,39</v>
      </c>
      <c r="F1298" t="str">
        <f>"$ 13584,39"</f>
        <v>$ 13584,39</v>
      </c>
      <c r="G1298" t="str">
        <f>"$ 13584,39"</f>
        <v>$ 13584,39</v>
      </c>
      <c r="H1298" t="str">
        <f t="shared" si="836"/>
        <v>$ 0,00</v>
      </c>
      <c r="I1298" t="str">
        <f t="shared" si="834"/>
        <v>JUEGO COJINETES BIELA</v>
      </c>
      <c r="J1298" t="str">
        <f t="shared" si="837"/>
        <v>1</v>
      </c>
      <c r="K1298" t="str">
        <f t="shared" si="820"/>
        <v>0</v>
      </c>
      <c r="L1298" t="str">
        <f>"6,000"</f>
        <v>6,000</v>
      </c>
      <c r="M1298" t="str">
        <f t="shared" si="838"/>
        <v xml:space="preserve"> </v>
      </c>
      <c r="N1298" t="str">
        <f t="shared" si="826"/>
        <v>MPSI</v>
      </c>
      <c r="O1298" t="str">
        <f t="shared" si="827"/>
        <v>COJINETES</v>
      </c>
      <c r="P1298" t="str">
        <f t="shared" si="839"/>
        <v>0</v>
      </c>
      <c r="Q1298" t="str">
        <f t="shared" si="839"/>
        <v>0</v>
      </c>
      <c r="R1298" t="str">
        <f t="shared" si="840"/>
        <v>0,00</v>
      </c>
      <c r="S1298" t="str">
        <f t="shared" si="840"/>
        <v>0,00</v>
      </c>
      <c r="T1298" t="str">
        <f t="shared" si="857"/>
        <v xml:space="preserve"> </v>
      </c>
      <c r="U1298" t="str">
        <f t="shared" si="831"/>
        <v>-</v>
      </c>
      <c r="V1298" t="str">
        <f>"6,000"</f>
        <v>6,000</v>
      </c>
      <c r="W1298" t="str">
        <f t="shared" si="841"/>
        <v>Lista 4</v>
      </c>
      <c r="X1298" t="str">
        <f t="shared" si="842"/>
        <v>Lista 5</v>
      </c>
      <c r="Y1298" t="str">
        <f t="shared" si="843"/>
        <v>Oferta Gral.</v>
      </c>
      <c r="Z1298" t="str">
        <f t="shared" si="844"/>
        <v>Rubro</v>
      </c>
      <c r="AA1298" t="str">
        <f t="shared" si="845"/>
        <v>Cantidad por Bulto</v>
      </c>
      <c r="AB1298" t="str">
        <f t="shared" si="846"/>
        <v>INNER</v>
      </c>
      <c r="AC1298" t="str">
        <f t="shared" si="847"/>
        <v>Stock en Bultos</v>
      </c>
      <c r="AD1298" t="str">
        <f t="shared" si="848"/>
        <v>SubDepósito</v>
      </c>
      <c r="AE1298" t="str">
        <f t="shared" si="849"/>
        <v>Marca</v>
      </c>
      <c r="AF1298" t="str">
        <f t="shared" si="850"/>
        <v>Super Rubro</v>
      </c>
      <c r="AG1298" t="str">
        <f t="shared" si="851"/>
        <v>ComercioExterior</v>
      </c>
      <c r="AH1298" t="str">
        <f t="shared" si="852"/>
        <v>PrecioFOB</v>
      </c>
      <c r="AI1298" t="str">
        <f t="shared" si="853"/>
        <v>Monto II</v>
      </c>
      <c r="AJ1298" t="str">
        <f t="shared" si="854"/>
        <v>Porcentaje II</v>
      </c>
      <c r="AK1298" t="str">
        <f t="shared" si="855"/>
        <v>Foto</v>
      </c>
      <c r="AL1298" t="str">
        <f t="shared" si="856"/>
        <v xml:space="preserve"> </v>
      </c>
      <c r="AM1298" t="str">
        <f t="shared" si="832"/>
        <v xml:space="preserve"> </v>
      </c>
    </row>
    <row r="1299" spans="1:39" x14ac:dyDescent="0.25">
      <c r="A1299" t="str">
        <f>"BI421 40"</f>
        <v>BI421 40</v>
      </c>
      <c r="B1299" t="str">
        <f>"COJINETES BIELA 1,00 PEUGEOT 306 406 DW10 4 TRABAS DER Y 4 IZQ"</f>
        <v>COJINETES BIELA 1,00 PEUGEOT 306 406 DW10 4 TRABAS DER Y 4 IZQ</v>
      </c>
      <c r="C1299" t="str">
        <f>"$ 25699,74"</f>
        <v>$ 25699,74</v>
      </c>
      <c r="D1299" t="str">
        <f>"$ 25699,74"</f>
        <v>$ 25699,74</v>
      </c>
      <c r="E1299" t="str">
        <f>"$ 25699,74"</f>
        <v>$ 25699,74</v>
      </c>
      <c r="F1299" t="str">
        <f>"$ 25699,74"</f>
        <v>$ 25699,74</v>
      </c>
      <c r="G1299" t="str">
        <f>"$ 25699,74"</f>
        <v>$ 25699,74</v>
      </c>
      <c r="H1299" t="str">
        <f t="shared" si="836"/>
        <v>$ 0,00</v>
      </c>
      <c r="I1299" t="str">
        <f t="shared" si="834"/>
        <v>JUEGO COJINETES BIELA</v>
      </c>
      <c r="J1299" t="str">
        <f t="shared" si="837"/>
        <v>1</v>
      </c>
      <c r="K1299" t="str">
        <f t="shared" si="820"/>
        <v>0</v>
      </c>
      <c r="L1299" t="str">
        <f>"2,000"</f>
        <v>2,000</v>
      </c>
      <c r="M1299" t="str">
        <f t="shared" si="838"/>
        <v xml:space="preserve"> </v>
      </c>
      <c r="N1299" t="str">
        <f t="shared" si="826"/>
        <v>MPSI</v>
      </c>
      <c r="O1299" t="str">
        <f t="shared" si="827"/>
        <v>COJINETES</v>
      </c>
      <c r="P1299" t="str">
        <f t="shared" si="839"/>
        <v>0</v>
      </c>
      <c r="Q1299" t="str">
        <f t="shared" si="839"/>
        <v>0</v>
      </c>
      <c r="R1299" t="str">
        <f t="shared" si="840"/>
        <v>0,00</v>
      </c>
      <c r="S1299" t="str">
        <f t="shared" si="840"/>
        <v>0,00</v>
      </c>
      <c r="T1299" t="str">
        <f t="shared" si="857"/>
        <v xml:space="preserve"> </v>
      </c>
      <c r="U1299" t="str">
        <f t="shared" ref="U1299:U1323" si="858">"-"</f>
        <v>-</v>
      </c>
      <c r="V1299" t="str">
        <f>"2,000"</f>
        <v>2,000</v>
      </c>
      <c r="W1299" t="str">
        <f t="shared" si="841"/>
        <v>Lista 4</v>
      </c>
      <c r="X1299" t="str">
        <f t="shared" si="842"/>
        <v>Lista 5</v>
      </c>
      <c r="Y1299" t="str">
        <f t="shared" si="843"/>
        <v>Oferta Gral.</v>
      </c>
      <c r="Z1299" t="str">
        <f t="shared" si="844"/>
        <v>Rubro</v>
      </c>
      <c r="AA1299" t="str">
        <f t="shared" si="845"/>
        <v>Cantidad por Bulto</v>
      </c>
      <c r="AB1299" t="str">
        <f t="shared" si="846"/>
        <v>INNER</v>
      </c>
      <c r="AC1299" t="str">
        <f t="shared" si="847"/>
        <v>Stock en Bultos</v>
      </c>
      <c r="AD1299" t="str">
        <f t="shared" si="848"/>
        <v>SubDepósito</v>
      </c>
      <c r="AE1299" t="str">
        <f t="shared" si="849"/>
        <v>Marca</v>
      </c>
      <c r="AF1299" t="str">
        <f t="shared" si="850"/>
        <v>Super Rubro</v>
      </c>
      <c r="AG1299" t="str">
        <f t="shared" si="851"/>
        <v>ComercioExterior</v>
      </c>
      <c r="AH1299" t="str">
        <f t="shared" si="852"/>
        <v>PrecioFOB</v>
      </c>
      <c r="AI1299" t="str">
        <f t="shared" si="853"/>
        <v>Monto II</v>
      </c>
      <c r="AJ1299" t="str">
        <f t="shared" si="854"/>
        <v>Porcentaje II</v>
      </c>
      <c r="AK1299" t="str">
        <f t="shared" si="855"/>
        <v>Foto</v>
      </c>
      <c r="AL1299" t="str">
        <f t="shared" si="856"/>
        <v xml:space="preserve"> </v>
      </c>
      <c r="AM1299" t="str">
        <f t="shared" si="832"/>
        <v xml:space="preserve"> </v>
      </c>
    </row>
    <row r="1300" spans="1:39" x14ac:dyDescent="0.25">
      <c r="A1300" t="str">
        <f>"BI732 40"</f>
        <v>BI732 40</v>
      </c>
      <c r="B1300" t="str">
        <f>"COJINETES BIELA 1,00 PEUGEOT 307 406 MOTOR 2.0 EW10J4 XU7"</f>
        <v>COJINETES BIELA 1,00 PEUGEOT 307 406 MOTOR 2.0 EW10J4 XU7</v>
      </c>
      <c r="C1300" t="str">
        <f>"$ 16519,85"</f>
        <v>$ 16519,85</v>
      </c>
      <c r="D1300" t="str">
        <f>"$ 16519,85"</f>
        <v>$ 16519,85</v>
      </c>
      <c r="E1300" t="str">
        <f>"$ 16519,85"</f>
        <v>$ 16519,85</v>
      </c>
      <c r="F1300" t="str">
        <f>"$ 16519,85"</f>
        <v>$ 16519,85</v>
      </c>
      <c r="G1300" t="str">
        <f>"$ 16519,85"</f>
        <v>$ 16519,85</v>
      </c>
      <c r="H1300" t="str">
        <f t="shared" si="836"/>
        <v>$ 0,00</v>
      </c>
      <c r="I1300" t="str">
        <f t="shared" si="834"/>
        <v>JUEGO COJINETES BIELA</v>
      </c>
      <c r="J1300" t="str">
        <f t="shared" si="837"/>
        <v>1</v>
      </c>
      <c r="K1300" t="str">
        <f t="shared" si="820"/>
        <v>0</v>
      </c>
      <c r="L1300" t="str">
        <f>"0,000"</f>
        <v>0,000</v>
      </c>
      <c r="M1300" t="str">
        <f t="shared" si="838"/>
        <v xml:space="preserve"> </v>
      </c>
      <c r="N1300" t="str">
        <f t="shared" si="826"/>
        <v>MPSI</v>
      </c>
      <c r="O1300" t="str">
        <f t="shared" si="827"/>
        <v>COJINETES</v>
      </c>
      <c r="P1300" t="str">
        <f t="shared" si="839"/>
        <v>0</v>
      </c>
      <c r="Q1300" t="str">
        <f t="shared" si="839"/>
        <v>0</v>
      </c>
      <c r="R1300" t="str">
        <f t="shared" si="840"/>
        <v>0,00</v>
      </c>
      <c r="S1300" t="str">
        <f t="shared" si="840"/>
        <v>0,00</v>
      </c>
      <c r="T1300" t="str">
        <f t="shared" si="857"/>
        <v xml:space="preserve"> </v>
      </c>
      <c r="U1300" t="str">
        <f t="shared" si="858"/>
        <v>-</v>
      </c>
      <c r="V1300" t="str">
        <f>"0,000"</f>
        <v>0,000</v>
      </c>
      <c r="W1300" t="str">
        <f t="shared" si="841"/>
        <v>Lista 4</v>
      </c>
      <c r="X1300" t="str">
        <f t="shared" si="842"/>
        <v>Lista 5</v>
      </c>
      <c r="Y1300" t="str">
        <f t="shared" si="843"/>
        <v>Oferta Gral.</v>
      </c>
      <c r="Z1300" t="str">
        <f t="shared" si="844"/>
        <v>Rubro</v>
      </c>
      <c r="AA1300" t="str">
        <f t="shared" si="845"/>
        <v>Cantidad por Bulto</v>
      </c>
      <c r="AB1300" t="str">
        <f t="shared" si="846"/>
        <v>INNER</v>
      </c>
      <c r="AC1300" t="str">
        <f t="shared" si="847"/>
        <v>Stock en Bultos</v>
      </c>
      <c r="AD1300" t="str">
        <f t="shared" si="848"/>
        <v>SubDepósito</v>
      </c>
      <c r="AE1300" t="str">
        <f t="shared" si="849"/>
        <v>Marca</v>
      </c>
      <c r="AF1300" t="str">
        <f t="shared" si="850"/>
        <v>Super Rubro</v>
      </c>
      <c r="AG1300" t="str">
        <f t="shared" si="851"/>
        <v>ComercioExterior</v>
      </c>
      <c r="AH1300" t="str">
        <f t="shared" si="852"/>
        <v>PrecioFOB</v>
      </c>
      <c r="AI1300" t="str">
        <f t="shared" si="853"/>
        <v>Monto II</v>
      </c>
      <c r="AJ1300" t="str">
        <f t="shared" si="854"/>
        <v>Porcentaje II</v>
      </c>
      <c r="AK1300" t="str">
        <f t="shared" si="855"/>
        <v>Foto</v>
      </c>
      <c r="AL1300" t="str">
        <f t="shared" si="856"/>
        <v xml:space="preserve"> </v>
      </c>
      <c r="AM1300" t="str">
        <f t="shared" ref="AM1300:AM1329" si="859">" "</f>
        <v xml:space="preserve"> </v>
      </c>
    </row>
    <row r="1301" spans="1:39" x14ac:dyDescent="0.25">
      <c r="A1301" t="str">
        <f>"BI731 40"</f>
        <v>BI731 40</v>
      </c>
      <c r="B1301" t="str">
        <f>"COJINETES BIELA 1,00 PEUGEOT 307 CITROEN C4 1.6 16V TU5JP4"</f>
        <v>COJINETES BIELA 1,00 PEUGEOT 307 CITROEN C4 1.6 16V TU5JP4</v>
      </c>
      <c r="C1301" t="str">
        <f>"$ 12559,78"</f>
        <v>$ 12559,78</v>
      </c>
      <c r="D1301" t="str">
        <f>"$ 12559,78"</f>
        <v>$ 12559,78</v>
      </c>
      <c r="E1301" t="str">
        <f>"$ 12559,78"</f>
        <v>$ 12559,78</v>
      </c>
      <c r="F1301" t="str">
        <f>"$ 12559,78"</f>
        <v>$ 12559,78</v>
      </c>
      <c r="G1301" t="str">
        <f>"$ 12559,78"</f>
        <v>$ 12559,78</v>
      </c>
      <c r="H1301" t="str">
        <f t="shared" si="836"/>
        <v>$ 0,00</v>
      </c>
      <c r="I1301" t="str">
        <f t="shared" si="834"/>
        <v>JUEGO COJINETES BIELA</v>
      </c>
      <c r="J1301" t="str">
        <f t="shared" si="837"/>
        <v>1</v>
      </c>
      <c r="K1301" t="str">
        <f t="shared" si="820"/>
        <v>0</v>
      </c>
      <c r="L1301" t="str">
        <f>"9,000"</f>
        <v>9,000</v>
      </c>
      <c r="M1301" t="str">
        <f t="shared" si="838"/>
        <v xml:space="preserve"> </v>
      </c>
      <c r="N1301" t="str">
        <f t="shared" si="826"/>
        <v>MPSI</v>
      </c>
      <c r="O1301" t="str">
        <f t="shared" si="827"/>
        <v>COJINETES</v>
      </c>
      <c r="P1301" t="str">
        <f t="shared" si="839"/>
        <v>0</v>
      </c>
      <c r="Q1301" t="str">
        <f t="shared" si="839"/>
        <v>0</v>
      </c>
      <c r="R1301" t="str">
        <f t="shared" si="840"/>
        <v>0,00</v>
      </c>
      <c r="S1301" t="str">
        <f t="shared" si="840"/>
        <v>0,00</v>
      </c>
      <c r="T1301" t="str">
        <f t="shared" si="857"/>
        <v xml:space="preserve"> </v>
      </c>
      <c r="U1301" t="str">
        <f t="shared" si="858"/>
        <v>-</v>
      </c>
      <c r="V1301" t="str">
        <f>"9,000"</f>
        <v>9,000</v>
      </c>
      <c r="W1301" t="str">
        <f t="shared" si="841"/>
        <v>Lista 4</v>
      </c>
      <c r="X1301" t="str">
        <f t="shared" si="842"/>
        <v>Lista 5</v>
      </c>
      <c r="Y1301" t="str">
        <f t="shared" si="843"/>
        <v>Oferta Gral.</v>
      </c>
      <c r="Z1301" t="str">
        <f t="shared" si="844"/>
        <v>Rubro</v>
      </c>
      <c r="AA1301" t="str">
        <f t="shared" si="845"/>
        <v>Cantidad por Bulto</v>
      </c>
      <c r="AB1301" t="str">
        <f t="shared" si="846"/>
        <v>INNER</v>
      </c>
      <c r="AC1301" t="str">
        <f t="shared" si="847"/>
        <v>Stock en Bultos</v>
      </c>
      <c r="AD1301" t="str">
        <f t="shared" si="848"/>
        <v>SubDepósito</v>
      </c>
      <c r="AE1301" t="str">
        <f t="shared" si="849"/>
        <v>Marca</v>
      </c>
      <c r="AF1301" t="str">
        <f t="shared" si="850"/>
        <v>Super Rubro</v>
      </c>
      <c r="AG1301" t="str">
        <f t="shared" si="851"/>
        <v>ComercioExterior</v>
      </c>
      <c r="AH1301" t="str">
        <f t="shared" si="852"/>
        <v>PrecioFOB</v>
      </c>
      <c r="AI1301" t="str">
        <f t="shared" si="853"/>
        <v>Monto II</v>
      </c>
      <c r="AJ1301" t="str">
        <f t="shared" si="854"/>
        <v>Porcentaje II</v>
      </c>
      <c r="AK1301" t="str">
        <f t="shared" si="855"/>
        <v>Foto</v>
      </c>
      <c r="AL1301" t="str">
        <f t="shared" si="856"/>
        <v xml:space="preserve"> </v>
      </c>
      <c r="AM1301" t="str">
        <f t="shared" si="859"/>
        <v xml:space="preserve"> </v>
      </c>
    </row>
    <row r="1302" spans="1:39" x14ac:dyDescent="0.25">
      <c r="A1302" t="str">
        <f>"BI728 40"</f>
        <v>BI728 40</v>
      </c>
      <c r="B1302" t="str">
        <f>"COJINETES BIELA 1,00 PEUGEOT 307 CITROEN C4 HDI 1.6 DV6TED"</f>
        <v>COJINETES BIELA 1,00 PEUGEOT 307 CITROEN C4 HDI 1.6 DV6TED</v>
      </c>
      <c r="C1302" t="str">
        <f>"$ 24097,22"</f>
        <v>$ 24097,22</v>
      </c>
      <c r="D1302" t="str">
        <f>"$ 24097,22"</f>
        <v>$ 24097,22</v>
      </c>
      <c r="E1302" t="str">
        <f>"$ 24097,22"</f>
        <v>$ 24097,22</v>
      </c>
      <c r="F1302" t="str">
        <f>"$ 24097,22"</f>
        <v>$ 24097,22</v>
      </c>
      <c r="G1302" t="str">
        <f>"$ 24097,22"</f>
        <v>$ 24097,22</v>
      </c>
      <c r="H1302" t="str">
        <f t="shared" si="836"/>
        <v>$ 0,00</v>
      </c>
      <c r="I1302" t="str">
        <f t="shared" si="834"/>
        <v>JUEGO COJINETES BIELA</v>
      </c>
      <c r="J1302" t="str">
        <f t="shared" si="837"/>
        <v>1</v>
      </c>
      <c r="K1302" t="str">
        <f t="shared" si="820"/>
        <v>0</v>
      </c>
      <c r="L1302" t="str">
        <f>"5,000"</f>
        <v>5,000</v>
      </c>
      <c r="M1302" t="str">
        <f t="shared" si="838"/>
        <v xml:space="preserve"> </v>
      </c>
      <c r="N1302" t="str">
        <f t="shared" si="826"/>
        <v>MPSI</v>
      </c>
      <c r="O1302" t="str">
        <f t="shared" si="827"/>
        <v>COJINETES</v>
      </c>
      <c r="P1302" t="str">
        <f t="shared" si="839"/>
        <v>0</v>
      </c>
      <c r="Q1302" t="str">
        <f t="shared" si="839"/>
        <v>0</v>
      </c>
      <c r="R1302" t="str">
        <f t="shared" si="840"/>
        <v>0,00</v>
      </c>
      <c r="S1302" t="str">
        <f t="shared" si="840"/>
        <v>0,00</v>
      </c>
      <c r="T1302" t="str">
        <f t="shared" si="857"/>
        <v xml:space="preserve"> </v>
      </c>
      <c r="U1302" t="str">
        <f t="shared" si="858"/>
        <v>-</v>
      </c>
      <c r="V1302" t="str">
        <f>"5,000"</f>
        <v>5,000</v>
      </c>
      <c r="W1302" t="str">
        <f t="shared" si="841"/>
        <v>Lista 4</v>
      </c>
      <c r="X1302" t="str">
        <f t="shared" si="842"/>
        <v>Lista 5</v>
      </c>
      <c r="Y1302" t="str">
        <f t="shared" si="843"/>
        <v>Oferta Gral.</v>
      </c>
      <c r="Z1302" t="str">
        <f t="shared" si="844"/>
        <v>Rubro</v>
      </c>
      <c r="AA1302" t="str">
        <f t="shared" si="845"/>
        <v>Cantidad por Bulto</v>
      </c>
      <c r="AB1302" t="str">
        <f t="shared" si="846"/>
        <v>INNER</v>
      </c>
      <c r="AC1302" t="str">
        <f t="shared" si="847"/>
        <v>Stock en Bultos</v>
      </c>
      <c r="AD1302" t="str">
        <f t="shared" si="848"/>
        <v>SubDepósito</v>
      </c>
      <c r="AE1302" t="str">
        <f t="shared" si="849"/>
        <v>Marca</v>
      </c>
      <c r="AF1302" t="str">
        <f t="shared" si="850"/>
        <v>Super Rubro</v>
      </c>
      <c r="AG1302" t="str">
        <f t="shared" si="851"/>
        <v>ComercioExterior</v>
      </c>
      <c r="AH1302" t="str">
        <f t="shared" si="852"/>
        <v>PrecioFOB</v>
      </c>
      <c r="AI1302" t="str">
        <f t="shared" si="853"/>
        <v>Monto II</v>
      </c>
      <c r="AJ1302" t="str">
        <f t="shared" si="854"/>
        <v>Porcentaje II</v>
      </c>
      <c r="AK1302" t="str">
        <f t="shared" si="855"/>
        <v>Foto</v>
      </c>
      <c r="AL1302" t="str">
        <f t="shared" si="856"/>
        <v xml:space="preserve"> </v>
      </c>
      <c r="AM1302" t="str">
        <f t="shared" si="859"/>
        <v xml:space="preserve"> </v>
      </c>
    </row>
    <row r="1303" spans="1:39" x14ac:dyDescent="0.25">
      <c r="A1303" t="str">
        <f>"BI413 40"</f>
        <v>BI413 40</v>
      </c>
      <c r="B1303" t="str">
        <f>"COJINETES BIELA 1,00 PEUGEOT 404 504 DIESEL XD 4.88"</f>
        <v>COJINETES BIELA 1,00 PEUGEOT 404 504 DIESEL XD 4.88</v>
      </c>
      <c r="C1303" t="str">
        <f>"$ 20278,86"</f>
        <v>$ 20278,86</v>
      </c>
      <c r="D1303" t="str">
        <f>"$ 20278,86"</f>
        <v>$ 20278,86</v>
      </c>
      <c r="E1303" t="str">
        <f>"$ 20278,86"</f>
        <v>$ 20278,86</v>
      </c>
      <c r="F1303" t="str">
        <f>"$ 20278,86"</f>
        <v>$ 20278,86</v>
      </c>
      <c r="G1303" t="str">
        <f>"$ 20278,86"</f>
        <v>$ 20278,86</v>
      </c>
      <c r="H1303" t="str">
        <f t="shared" si="836"/>
        <v>$ 0,00</v>
      </c>
      <c r="I1303" t="str">
        <f t="shared" si="834"/>
        <v>JUEGO COJINETES BIELA</v>
      </c>
      <c r="J1303" t="str">
        <f t="shared" si="837"/>
        <v>1</v>
      </c>
      <c r="K1303" t="str">
        <f t="shared" ref="K1303:K1330" si="860">"0"</f>
        <v>0</v>
      </c>
      <c r="L1303" t="str">
        <f>"0,000"</f>
        <v>0,000</v>
      </c>
      <c r="M1303" t="str">
        <f t="shared" si="838"/>
        <v xml:space="preserve"> </v>
      </c>
      <c r="N1303" t="str">
        <f t="shared" si="826"/>
        <v>MPSI</v>
      </c>
      <c r="O1303" t="str">
        <f t="shared" si="827"/>
        <v>COJINETES</v>
      </c>
      <c r="P1303" t="str">
        <f t="shared" ref="P1303:Q1322" si="861">"0"</f>
        <v>0</v>
      </c>
      <c r="Q1303" t="str">
        <f t="shared" si="861"/>
        <v>0</v>
      </c>
      <c r="R1303" t="str">
        <f t="shared" ref="R1303:S1322" si="862">"0,00"</f>
        <v>0,00</v>
      </c>
      <c r="S1303" t="str">
        <f t="shared" si="862"/>
        <v>0,00</v>
      </c>
      <c r="T1303" t="str">
        <f t="shared" si="857"/>
        <v xml:space="preserve"> </v>
      </c>
      <c r="U1303" t="str">
        <f t="shared" si="858"/>
        <v>-</v>
      </c>
      <c r="V1303" t="str">
        <f>"0,000"</f>
        <v>0,000</v>
      </c>
      <c r="W1303" t="str">
        <f t="shared" si="841"/>
        <v>Lista 4</v>
      </c>
      <c r="X1303" t="str">
        <f t="shared" si="842"/>
        <v>Lista 5</v>
      </c>
      <c r="Y1303" t="str">
        <f t="shared" si="843"/>
        <v>Oferta Gral.</v>
      </c>
      <c r="Z1303" t="str">
        <f t="shared" si="844"/>
        <v>Rubro</v>
      </c>
      <c r="AA1303" t="str">
        <f t="shared" si="845"/>
        <v>Cantidad por Bulto</v>
      </c>
      <c r="AB1303" t="str">
        <f t="shared" si="846"/>
        <v>INNER</v>
      </c>
      <c r="AC1303" t="str">
        <f t="shared" si="847"/>
        <v>Stock en Bultos</v>
      </c>
      <c r="AD1303" t="str">
        <f t="shared" si="848"/>
        <v>SubDepósito</v>
      </c>
      <c r="AE1303" t="str">
        <f t="shared" si="849"/>
        <v>Marca</v>
      </c>
      <c r="AF1303" t="str">
        <f t="shared" si="850"/>
        <v>Super Rubro</v>
      </c>
      <c r="AG1303" t="str">
        <f t="shared" si="851"/>
        <v>ComercioExterior</v>
      </c>
      <c r="AH1303" t="str">
        <f t="shared" si="852"/>
        <v>PrecioFOB</v>
      </c>
      <c r="AI1303" t="str">
        <f t="shared" si="853"/>
        <v>Monto II</v>
      </c>
      <c r="AJ1303" t="str">
        <f t="shared" si="854"/>
        <v>Porcentaje II</v>
      </c>
      <c r="AK1303" t="str">
        <f t="shared" si="855"/>
        <v>Foto</v>
      </c>
      <c r="AL1303" t="str">
        <f t="shared" si="856"/>
        <v xml:space="preserve"> </v>
      </c>
      <c r="AM1303" t="str">
        <f t="shared" si="859"/>
        <v xml:space="preserve"> </v>
      </c>
    </row>
    <row r="1304" spans="1:39" x14ac:dyDescent="0.25">
      <c r="A1304" t="str">
        <f>"BI410 40"</f>
        <v>BI410 40</v>
      </c>
      <c r="B1304" t="str">
        <f>"COJINETES BIELA 1,00 PEUGEOT 404 504 NAFTA 1.6 1.8 2.0"</f>
        <v>COJINETES BIELA 1,00 PEUGEOT 404 504 NAFTA 1.6 1.8 2.0</v>
      </c>
      <c r="C1304" t="str">
        <f>"$ 14972,58"</f>
        <v>$ 14972,58</v>
      </c>
      <c r="D1304" t="str">
        <f>"$ 14972,58"</f>
        <v>$ 14972,58</v>
      </c>
      <c r="E1304" t="str">
        <f>"$ 14972,58"</f>
        <v>$ 14972,58</v>
      </c>
      <c r="F1304" t="str">
        <f>"$ 14972,58"</f>
        <v>$ 14972,58</v>
      </c>
      <c r="G1304" t="str">
        <f>"$ 14972,58"</f>
        <v>$ 14972,58</v>
      </c>
      <c r="H1304" t="str">
        <f t="shared" si="836"/>
        <v>$ 0,00</v>
      </c>
      <c r="I1304" t="str">
        <f t="shared" si="834"/>
        <v>JUEGO COJINETES BIELA</v>
      </c>
      <c r="J1304" t="str">
        <f t="shared" si="837"/>
        <v>1</v>
      </c>
      <c r="K1304" t="str">
        <f t="shared" si="860"/>
        <v>0</v>
      </c>
      <c r="L1304" t="str">
        <f>"8,000"</f>
        <v>8,000</v>
      </c>
      <c r="M1304" t="str">
        <f t="shared" si="838"/>
        <v xml:space="preserve"> </v>
      </c>
      <c r="N1304" t="str">
        <f t="shared" si="826"/>
        <v>MPSI</v>
      </c>
      <c r="O1304" t="str">
        <f t="shared" si="827"/>
        <v>COJINETES</v>
      </c>
      <c r="P1304" t="str">
        <f t="shared" si="861"/>
        <v>0</v>
      </c>
      <c r="Q1304" t="str">
        <f t="shared" si="861"/>
        <v>0</v>
      </c>
      <c r="R1304" t="str">
        <f t="shared" si="862"/>
        <v>0,00</v>
      </c>
      <c r="S1304" t="str">
        <f t="shared" si="862"/>
        <v>0,00</v>
      </c>
      <c r="T1304" t="str">
        <f t="shared" si="857"/>
        <v xml:space="preserve"> </v>
      </c>
      <c r="U1304" t="str">
        <f t="shared" si="858"/>
        <v>-</v>
      </c>
      <c r="V1304" t="str">
        <f>"8,000"</f>
        <v>8,000</v>
      </c>
      <c r="W1304" t="str">
        <f t="shared" si="841"/>
        <v>Lista 4</v>
      </c>
      <c r="X1304" t="str">
        <f t="shared" si="842"/>
        <v>Lista 5</v>
      </c>
      <c r="Y1304" t="str">
        <f t="shared" si="843"/>
        <v>Oferta Gral.</v>
      </c>
      <c r="Z1304" t="str">
        <f t="shared" si="844"/>
        <v>Rubro</v>
      </c>
      <c r="AA1304" t="str">
        <f t="shared" si="845"/>
        <v>Cantidad por Bulto</v>
      </c>
      <c r="AB1304" t="str">
        <f t="shared" si="846"/>
        <v>INNER</v>
      </c>
      <c r="AC1304" t="str">
        <f t="shared" si="847"/>
        <v>Stock en Bultos</v>
      </c>
      <c r="AD1304" t="str">
        <f t="shared" si="848"/>
        <v>SubDepósito</v>
      </c>
      <c r="AE1304" t="str">
        <f t="shared" si="849"/>
        <v>Marca</v>
      </c>
      <c r="AF1304" t="str">
        <f t="shared" si="850"/>
        <v>Super Rubro</v>
      </c>
      <c r="AG1304" t="str">
        <f t="shared" si="851"/>
        <v>ComercioExterior</v>
      </c>
      <c r="AH1304" t="str">
        <f t="shared" si="852"/>
        <v>PrecioFOB</v>
      </c>
      <c r="AI1304" t="str">
        <f t="shared" si="853"/>
        <v>Monto II</v>
      </c>
      <c r="AJ1304" t="str">
        <f t="shared" si="854"/>
        <v>Porcentaje II</v>
      </c>
      <c r="AK1304" t="str">
        <f t="shared" si="855"/>
        <v>Foto</v>
      </c>
      <c r="AL1304" t="str">
        <f t="shared" si="856"/>
        <v xml:space="preserve"> </v>
      </c>
      <c r="AM1304" t="str">
        <f t="shared" si="859"/>
        <v xml:space="preserve"> </v>
      </c>
    </row>
    <row r="1305" spans="1:39" x14ac:dyDescent="0.25">
      <c r="A1305" t="str">
        <f>"BI415 40"</f>
        <v>BI415 40</v>
      </c>
      <c r="B1305" t="str">
        <f>"COJINETES BIELA 1,00 PEUGEOT 504 505 DIESEL XD2 XD3"</f>
        <v>COJINETES BIELA 1,00 PEUGEOT 504 505 DIESEL XD2 XD3</v>
      </c>
      <c r="C1305" t="str">
        <f>"$ 18376,94"</f>
        <v>$ 18376,94</v>
      </c>
      <c r="D1305" t="str">
        <f>"$ 18376,94"</f>
        <v>$ 18376,94</v>
      </c>
      <c r="E1305" t="str">
        <f>"$ 18376,94"</f>
        <v>$ 18376,94</v>
      </c>
      <c r="F1305" t="str">
        <f>"$ 18376,94"</f>
        <v>$ 18376,94</v>
      </c>
      <c r="G1305" t="str">
        <f>"$ 18376,94"</f>
        <v>$ 18376,94</v>
      </c>
      <c r="H1305" t="str">
        <f t="shared" si="836"/>
        <v>$ 0,00</v>
      </c>
      <c r="I1305" t="str">
        <f t="shared" si="834"/>
        <v>JUEGO COJINETES BIELA</v>
      </c>
      <c r="J1305" t="str">
        <f t="shared" si="837"/>
        <v>1</v>
      </c>
      <c r="K1305" t="str">
        <f t="shared" si="860"/>
        <v>0</v>
      </c>
      <c r="L1305" t="str">
        <f>"6,000"</f>
        <v>6,000</v>
      </c>
      <c r="M1305" t="str">
        <f t="shared" si="838"/>
        <v xml:space="preserve"> </v>
      </c>
      <c r="N1305" t="str">
        <f t="shared" si="826"/>
        <v>MPSI</v>
      </c>
      <c r="O1305" t="str">
        <f t="shared" si="827"/>
        <v>COJINETES</v>
      </c>
      <c r="P1305" t="str">
        <f t="shared" si="861"/>
        <v>0</v>
      </c>
      <c r="Q1305" t="str">
        <f t="shared" si="861"/>
        <v>0</v>
      </c>
      <c r="R1305" t="str">
        <f t="shared" si="862"/>
        <v>0,00</v>
      </c>
      <c r="S1305" t="str">
        <f t="shared" si="862"/>
        <v>0,00</v>
      </c>
      <c r="T1305" t="str">
        <f t="shared" si="857"/>
        <v xml:space="preserve"> </v>
      </c>
      <c r="U1305" t="str">
        <f t="shared" si="858"/>
        <v>-</v>
      </c>
      <c r="V1305" t="str">
        <f>"6,000"</f>
        <v>6,000</v>
      </c>
      <c r="W1305" t="str">
        <f t="shared" si="841"/>
        <v>Lista 4</v>
      </c>
      <c r="X1305" t="str">
        <f t="shared" si="842"/>
        <v>Lista 5</v>
      </c>
      <c r="Y1305" t="str">
        <f t="shared" si="843"/>
        <v>Oferta Gral.</v>
      </c>
      <c r="Z1305" t="str">
        <f t="shared" si="844"/>
        <v>Rubro</v>
      </c>
      <c r="AA1305" t="str">
        <f t="shared" si="845"/>
        <v>Cantidad por Bulto</v>
      </c>
      <c r="AB1305" t="str">
        <f t="shared" si="846"/>
        <v>INNER</v>
      </c>
      <c r="AC1305" t="str">
        <f t="shared" si="847"/>
        <v>Stock en Bultos</v>
      </c>
      <c r="AD1305" t="str">
        <f t="shared" si="848"/>
        <v>SubDepósito</v>
      </c>
      <c r="AE1305" t="str">
        <f t="shared" si="849"/>
        <v>Marca</v>
      </c>
      <c r="AF1305" t="str">
        <f t="shared" si="850"/>
        <v>Super Rubro</v>
      </c>
      <c r="AG1305" t="str">
        <f t="shared" si="851"/>
        <v>ComercioExterior</v>
      </c>
      <c r="AH1305" t="str">
        <f t="shared" si="852"/>
        <v>PrecioFOB</v>
      </c>
      <c r="AI1305" t="str">
        <f t="shared" si="853"/>
        <v>Monto II</v>
      </c>
      <c r="AJ1305" t="str">
        <f t="shared" si="854"/>
        <v>Porcentaje II</v>
      </c>
      <c r="AK1305" t="str">
        <f t="shared" si="855"/>
        <v>Foto</v>
      </c>
      <c r="AL1305" t="str">
        <f t="shared" si="856"/>
        <v xml:space="preserve"> </v>
      </c>
      <c r="AM1305" t="str">
        <f t="shared" si="859"/>
        <v xml:space="preserve"> </v>
      </c>
    </row>
    <row r="1306" spans="1:39" x14ac:dyDescent="0.25">
      <c r="A1306" t="str">
        <f>"BI733 40"</f>
        <v>BI733 40</v>
      </c>
      <c r="B1306" t="str">
        <f>"COJINETES BIELA 1,00 PEUGEOT BOXER 2,5 DJ5"</f>
        <v>COJINETES BIELA 1,00 PEUGEOT BOXER 2,5 DJ5</v>
      </c>
      <c r="C1306" t="str">
        <f>"$ 31001,92"</f>
        <v>$ 31001,92</v>
      </c>
      <c r="D1306" t="str">
        <f>"$ 31001,92"</f>
        <v>$ 31001,92</v>
      </c>
      <c r="E1306" t="str">
        <f>"$ 31001,92"</f>
        <v>$ 31001,92</v>
      </c>
      <c r="F1306" t="str">
        <f>"$ 31001,92"</f>
        <v>$ 31001,92</v>
      </c>
      <c r="G1306" t="str">
        <f>"$ 31001,92"</f>
        <v>$ 31001,92</v>
      </c>
      <c r="H1306" t="str">
        <f t="shared" si="836"/>
        <v>$ 0,00</v>
      </c>
      <c r="I1306" t="str">
        <f t="shared" si="834"/>
        <v>JUEGO COJINETES BIELA</v>
      </c>
      <c r="J1306" t="str">
        <f t="shared" si="837"/>
        <v>1</v>
      </c>
      <c r="K1306" t="str">
        <f t="shared" si="860"/>
        <v>0</v>
      </c>
      <c r="L1306" t="str">
        <f>"0,000"</f>
        <v>0,000</v>
      </c>
      <c r="M1306" t="str">
        <f t="shared" si="838"/>
        <v xml:space="preserve"> </v>
      </c>
      <c r="N1306" t="str">
        <f t="shared" si="826"/>
        <v>MPSI</v>
      </c>
      <c r="O1306" t="str">
        <f t="shared" si="827"/>
        <v>COJINETES</v>
      </c>
      <c r="P1306" t="str">
        <f t="shared" si="861"/>
        <v>0</v>
      </c>
      <c r="Q1306" t="str">
        <f t="shared" si="861"/>
        <v>0</v>
      </c>
      <c r="R1306" t="str">
        <f t="shared" si="862"/>
        <v>0,00</v>
      </c>
      <c r="S1306" t="str">
        <f t="shared" si="862"/>
        <v>0,00</v>
      </c>
      <c r="T1306" t="str">
        <f t="shared" si="857"/>
        <v xml:space="preserve"> </v>
      </c>
      <c r="U1306" t="str">
        <f t="shared" si="858"/>
        <v>-</v>
      </c>
      <c r="V1306" t="str">
        <f>"0,000"</f>
        <v>0,000</v>
      </c>
      <c r="W1306" t="str">
        <f t="shared" si="841"/>
        <v>Lista 4</v>
      </c>
      <c r="X1306" t="str">
        <f t="shared" si="842"/>
        <v>Lista 5</v>
      </c>
      <c r="Y1306" t="str">
        <f t="shared" si="843"/>
        <v>Oferta Gral.</v>
      </c>
      <c r="Z1306" t="str">
        <f t="shared" si="844"/>
        <v>Rubro</v>
      </c>
      <c r="AA1306" t="str">
        <f t="shared" si="845"/>
        <v>Cantidad por Bulto</v>
      </c>
      <c r="AB1306" t="str">
        <f t="shared" si="846"/>
        <v>INNER</v>
      </c>
      <c r="AC1306" t="str">
        <f t="shared" si="847"/>
        <v>Stock en Bultos</v>
      </c>
      <c r="AD1306" t="str">
        <f t="shared" si="848"/>
        <v>SubDepósito</v>
      </c>
      <c r="AE1306" t="str">
        <f t="shared" si="849"/>
        <v>Marca</v>
      </c>
      <c r="AF1306" t="str">
        <f t="shared" si="850"/>
        <v>Super Rubro</v>
      </c>
      <c r="AG1306" t="str">
        <f t="shared" si="851"/>
        <v>ComercioExterior</v>
      </c>
      <c r="AH1306" t="str">
        <f t="shared" si="852"/>
        <v>PrecioFOB</v>
      </c>
      <c r="AI1306" t="str">
        <f t="shared" si="853"/>
        <v>Monto II</v>
      </c>
      <c r="AJ1306" t="str">
        <f t="shared" si="854"/>
        <v>Porcentaje II</v>
      </c>
      <c r="AK1306" t="str">
        <f t="shared" si="855"/>
        <v>Foto</v>
      </c>
      <c r="AL1306" t="str">
        <f t="shared" si="856"/>
        <v xml:space="preserve"> </v>
      </c>
      <c r="AM1306" t="str">
        <f t="shared" si="859"/>
        <v xml:space="preserve"> </v>
      </c>
    </row>
    <row r="1307" spans="1:39" x14ac:dyDescent="0.25">
      <c r="A1307" t="str">
        <f>"BI241 40"</f>
        <v>BI241 40</v>
      </c>
      <c r="B1307" t="str">
        <f>"COJINETES BIELA 1,00 RENAULT 18 FUEGO TRAFIC 2.0"</f>
        <v>COJINETES BIELA 1,00 RENAULT 18 FUEGO TRAFIC 2.0</v>
      </c>
      <c r="C1307" t="str">
        <f>"$ 16519,85"</f>
        <v>$ 16519,85</v>
      </c>
      <c r="D1307" t="str">
        <f>"$ 16519,85"</f>
        <v>$ 16519,85</v>
      </c>
      <c r="E1307" t="str">
        <f>"$ 16519,85"</f>
        <v>$ 16519,85</v>
      </c>
      <c r="F1307" t="str">
        <f>"$ 16519,85"</f>
        <v>$ 16519,85</v>
      </c>
      <c r="G1307" t="str">
        <f>"$ 16519,85"</f>
        <v>$ 16519,85</v>
      </c>
      <c r="H1307" t="str">
        <f t="shared" si="836"/>
        <v>$ 0,00</v>
      </c>
      <c r="I1307" t="str">
        <f t="shared" si="834"/>
        <v>JUEGO COJINETES BIELA</v>
      </c>
      <c r="J1307" t="str">
        <f t="shared" si="837"/>
        <v>1</v>
      </c>
      <c r="K1307" t="str">
        <f t="shared" si="860"/>
        <v>0</v>
      </c>
      <c r="L1307" t="str">
        <f>"7,000"</f>
        <v>7,000</v>
      </c>
      <c r="M1307" t="str">
        <f t="shared" si="838"/>
        <v xml:space="preserve"> </v>
      </c>
      <c r="N1307" t="str">
        <f t="shared" si="826"/>
        <v>MPSI</v>
      </c>
      <c r="O1307" t="str">
        <f t="shared" si="827"/>
        <v>COJINETES</v>
      </c>
      <c r="P1307" t="str">
        <f t="shared" si="861"/>
        <v>0</v>
      </c>
      <c r="Q1307" t="str">
        <f t="shared" si="861"/>
        <v>0</v>
      </c>
      <c r="R1307" t="str">
        <f t="shared" si="862"/>
        <v>0,00</v>
      </c>
      <c r="S1307" t="str">
        <f t="shared" si="862"/>
        <v>0,00</v>
      </c>
      <c r="T1307" t="str">
        <f t="shared" si="857"/>
        <v xml:space="preserve"> </v>
      </c>
      <c r="U1307" t="str">
        <f t="shared" si="858"/>
        <v>-</v>
      </c>
      <c r="V1307" t="str">
        <f>"7,000"</f>
        <v>7,000</v>
      </c>
      <c r="W1307" t="str">
        <f t="shared" si="841"/>
        <v>Lista 4</v>
      </c>
      <c r="X1307" t="str">
        <f t="shared" si="842"/>
        <v>Lista 5</v>
      </c>
      <c r="Y1307" t="str">
        <f t="shared" si="843"/>
        <v>Oferta Gral.</v>
      </c>
      <c r="Z1307" t="str">
        <f t="shared" si="844"/>
        <v>Rubro</v>
      </c>
      <c r="AA1307" t="str">
        <f t="shared" si="845"/>
        <v>Cantidad por Bulto</v>
      </c>
      <c r="AB1307" t="str">
        <f t="shared" si="846"/>
        <v>INNER</v>
      </c>
      <c r="AC1307" t="str">
        <f t="shared" si="847"/>
        <v>Stock en Bultos</v>
      </c>
      <c r="AD1307" t="str">
        <f t="shared" si="848"/>
        <v>SubDepósito</v>
      </c>
      <c r="AE1307" t="str">
        <f t="shared" si="849"/>
        <v>Marca</v>
      </c>
      <c r="AF1307" t="str">
        <f t="shared" si="850"/>
        <v>Super Rubro</v>
      </c>
      <c r="AG1307" t="str">
        <f t="shared" si="851"/>
        <v>ComercioExterior</v>
      </c>
      <c r="AH1307" t="str">
        <f t="shared" si="852"/>
        <v>PrecioFOB</v>
      </c>
      <c r="AI1307" t="str">
        <f t="shared" si="853"/>
        <v>Monto II</v>
      </c>
      <c r="AJ1307" t="str">
        <f t="shared" si="854"/>
        <v>Porcentaje II</v>
      </c>
      <c r="AK1307" t="str">
        <f t="shared" si="855"/>
        <v>Foto</v>
      </c>
      <c r="AL1307" t="str">
        <f t="shared" si="856"/>
        <v xml:space="preserve"> </v>
      </c>
      <c r="AM1307" t="str">
        <f t="shared" si="859"/>
        <v xml:space="preserve"> </v>
      </c>
    </row>
    <row r="1308" spans="1:39" x14ac:dyDescent="0.25">
      <c r="A1308" t="str">
        <f>"BI244 40"</f>
        <v>BI244 40</v>
      </c>
      <c r="B1308" t="str">
        <f>"COJINETES BIELA 1,00 RENAULT 18 FUEGO TRAFIC 2.D NAFTA Y DIESEL"</f>
        <v>COJINETES BIELA 1,00 RENAULT 18 FUEGO TRAFIC 2.D NAFTA Y DIESEL</v>
      </c>
      <c r="C1308" t="str">
        <f>"$ 18043,24"</f>
        <v>$ 18043,24</v>
      </c>
      <c r="D1308" t="str">
        <f>"$ 18043,24"</f>
        <v>$ 18043,24</v>
      </c>
      <c r="E1308" t="str">
        <f>"$ 18043,24"</f>
        <v>$ 18043,24</v>
      </c>
      <c r="F1308" t="str">
        <f>"$ 18043,24"</f>
        <v>$ 18043,24</v>
      </c>
      <c r="G1308" t="str">
        <f>"$ 18043,24"</f>
        <v>$ 18043,24</v>
      </c>
      <c r="H1308" t="str">
        <f t="shared" si="836"/>
        <v>$ 0,00</v>
      </c>
      <c r="I1308" t="str">
        <f t="shared" si="834"/>
        <v>JUEGO COJINETES BIELA</v>
      </c>
      <c r="J1308" t="str">
        <f t="shared" si="837"/>
        <v>1</v>
      </c>
      <c r="K1308" t="str">
        <f t="shared" si="860"/>
        <v>0</v>
      </c>
      <c r="L1308" t="str">
        <f>"6,000"</f>
        <v>6,000</v>
      </c>
      <c r="M1308" t="str">
        <f t="shared" si="838"/>
        <v xml:space="preserve"> </v>
      </c>
      <c r="N1308" t="str">
        <f t="shared" si="826"/>
        <v>MPSI</v>
      </c>
      <c r="O1308" t="str">
        <f t="shared" si="827"/>
        <v>COJINETES</v>
      </c>
      <c r="P1308" t="str">
        <f t="shared" si="861"/>
        <v>0</v>
      </c>
      <c r="Q1308" t="str">
        <f t="shared" si="861"/>
        <v>0</v>
      </c>
      <c r="R1308" t="str">
        <f t="shared" si="862"/>
        <v>0,00</v>
      </c>
      <c r="S1308" t="str">
        <f t="shared" si="862"/>
        <v>0,00</v>
      </c>
      <c r="T1308" t="str">
        <f t="shared" si="857"/>
        <v xml:space="preserve"> </v>
      </c>
      <c r="U1308" t="str">
        <f t="shared" si="858"/>
        <v>-</v>
      </c>
      <c r="V1308" t="str">
        <f>"6,000"</f>
        <v>6,000</v>
      </c>
      <c r="W1308" t="str">
        <f t="shared" si="841"/>
        <v>Lista 4</v>
      </c>
      <c r="X1308" t="str">
        <f t="shared" si="842"/>
        <v>Lista 5</v>
      </c>
      <c r="Y1308" t="str">
        <f t="shared" si="843"/>
        <v>Oferta Gral.</v>
      </c>
      <c r="Z1308" t="str">
        <f t="shared" si="844"/>
        <v>Rubro</v>
      </c>
      <c r="AA1308" t="str">
        <f t="shared" si="845"/>
        <v>Cantidad por Bulto</v>
      </c>
      <c r="AB1308" t="str">
        <f t="shared" si="846"/>
        <v>INNER</v>
      </c>
      <c r="AC1308" t="str">
        <f t="shared" si="847"/>
        <v>Stock en Bultos</v>
      </c>
      <c r="AD1308" t="str">
        <f t="shared" si="848"/>
        <v>SubDepósito</v>
      </c>
      <c r="AE1308" t="str">
        <f t="shared" si="849"/>
        <v>Marca</v>
      </c>
      <c r="AF1308" t="str">
        <f t="shared" si="850"/>
        <v>Super Rubro</v>
      </c>
      <c r="AG1308" t="str">
        <f t="shared" si="851"/>
        <v>ComercioExterior</v>
      </c>
      <c r="AH1308" t="str">
        <f t="shared" si="852"/>
        <v>PrecioFOB</v>
      </c>
      <c r="AI1308" t="str">
        <f t="shared" si="853"/>
        <v>Monto II</v>
      </c>
      <c r="AJ1308" t="str">
        <f t="shared" si="854"/>
        <v>Porcentaje II</v>
      </c>
      <c r="AK1308" t="str">
        <f t="shared" si="855"/>
        <v>Foto</v>
      </c>
      <c r="AL1308" t="str">
        <f t="shared" si="856"/>
        <v xml:space="preserve"> </v>
      </c>
      <c r="AM1308" t="str">
        <f t="shared" si="859"/>
        <v xml:space="preserve"> </v>
      </c>
    </row>
    <row r="1309" spans="1:39" x14ac:dyDescent="0.25">
      <c r="A1309" t="str">
        <f>"BI247 40"</f>
        <v>BI247 40</v>
      </c>
      <c r="B1309" t="str">
        <f>"COJINETES BIELA 1,00 RENAULT 19 CLIO 1.9 DIESEL F8Q  CON TRABA"</f>
        <v>COJINETES BIELA 1,00 RENAULT 19 CLIO 1.9 DIESEL F8Q  CON TRABA</v>
      </c>
      <c r="C1309" t="str">
        <f>"$ 16064,81"</f>
        <v>$ 16064,81</v>
      </c>
      <c r="D1309" t="str">
        <f>"$ 16064,81"</f>
        <v>$ 16064,81</v>
      </c>
      <c r="E1309" t="str">
        <f>"$ 16064,81"</f>
        <v>$ 16064,81</v>
      </c>
      <c r="F1309" t="str">
        <f>"$ 16064,81"</f>
        <v>$ 16064,81</v>
      </c>
      <c r="G1309" t="str">
        <f>"$ 16064,81"</f>
        <v>$ 16064,81</v>
      </c>
      <c r="H1309" t="str">
        <f t="shared" si="836"/>
        <v>$ 0,00</v>
      </c>
      <c r="I1309" t="str">
        <f t="shared" si="834"/>
        <v>JUEGO COJINETES BIELA</v>
      </c>
      <c r="J1309" t="str">
        <f t="shared" si="837"/>
        <v>1</v>
      </c>
      <c r="K1309" t="str">
        <f t="shared" si="860"/>
        <v>0</v>
      </c>
      <c r="L1309" t="str">
        <f>"7,000"</f>
        <v>7,000</v>
      </c>
      <c r="M1309" t="str">
        <f t="shared" si="838"/>
        <v xml:space="preserve"> </v>
      </c>
      <c r="N1309" t="str">
        <f t="shared" si="826"/>
        <v>MPSI</v>
      </c>
      <c r="O1309" t="str">
        <f t="shared" si="827"/>
        <v>COJINETES</v>
      </c>
      <c r="P1309" t="str">
        <f t="shared" si="861"/>
        <v>0</v>
      </c>
      <c r="Q1309" t="str">
        <f t="shared" si="861"/>
        <v>0</v>
      </c>
      <c r="R1309" t="str">
        <f t="shared" si="862"/>
        <v>0,00</v>
      </c>
      <c r="S1309" t="str">
        <f t="shared" si="862"/>
        <v>0,00</v>
      </c>
      <c r="T1309" t="str">
        <f t="shared" si="857"/>
        <v xml:space="preserve"> </v>
      </c>
      <c r="U1309" t="str">
        <f t="shared" si="858"/>
        <v>-</v>
      </c>
      <c r="V1309" t="str">
        <f>"7,000"</f>
        <v>7,000</v>
      </c>
      <c r="W1309" t="str">
        <f t="shared" si="841"/>
        <v>Lista 4</v>
      </c>
      <c r="X1309" t="str">
        <f t="shared" si="842"/>
        <v>Lista 5</v>
      </c>
      <c r="Y1309" t="str">
        <f t="shared" si="843"/>
        <v>Oferta Gral.</v>
      </c>
      <c r="Z1309" t="str">
        <f t="shared" si="844"/>
        <v>Rubro</v>
      </c>
      <c r="AA1309" t="str">
        <f t="shared" si="845"/>
        <v>Cantidad por Bulto</v>
      </c>
      <c r="AB1309" t="str">
        <f t="shared" si="846"/>
        <v>INNER</v>
      </c>
      <c r="AC1309" t="str">
        <f t="shared" si="847"/>
        <v>Stock en Bultos</v>
      </c>
      <c r="AD1309" t="str">
        <f t="shared" si="848"/>
        <v>SubDepósito</v>
      </c>
      <c r="AE1309" t="str">
        <f t="shared" si="849"/>
        <v>Marca</v>
      </c>
      <c r="AF1309" t="str">
        <f t="shared" si="850"/>
        <v>Super Rubro</v>
      </c>
      <c r="AG1309" t="str">
        <f t="shared" si="851"/>
        <v>ComercioExterior</v>
      </c>
      <c r="AH1309" t="str">
        <f t="shared" si="852"/>
        <v>PrecioFOB</v>
      </c>
      <c r="AI1309" t="str">
        <f t="shared" si="853"/>
        <v>Monto II</v>
      </c>
      <c r="AJ1309" t="str">
        <f t="shared" si="854"/>
        <v>Porcentaje II</v>
      </c>
      <c r="AK1309" t="str">
        <f t="shared" si="855"/>
        <v>Foto</v>
      </c>
      <c r="AL1309" t="str">
        <f t="shared" si="856"/>
        <v xml:space="preserve"> </v>
      </c>
      <c r="AM1309" t="str">
        <f t="shared" si="859"/>
        <v xml:space="preserve"> </v>
      </c>
    </row>
    <row r="1310" spans="1:39" x14ac:dyDescent="0.25">
      <c r="A1310" t="str">
        <f>"BI243 40"</f>
        <v>BI243 40</v>
      </c>
      <c r="B1310" t="str">
        <f>"COJINETES BIELA 1,00 RENAULT 19 KANGOO 1.9 DIESEL F8Q  SIN TRABA"</f>
        <v>COJINETES BIELA 1,00 RENAULT 19 KANGOO 1.9 DIESEL F8Q  SIN TRABA</v>
      </c>
      <c r="C1310" t="str">
        <f>"$ 13005,98"</f>
        <v>$ 13005,98</v>
      </c>
      <c r="D1310" t="str">
        <f>"$ 13005,98"</f>
        <v>$ 13005,98</v>
      </c>
      <c r="E1310" t="str">
        <f>"$ 13005,98"</f>
        <v>$ 13005,98</v>
      </c>
      <c r="F1310" t="str">
        <f>"$ 13005,98"</f>
        <v>$ 13005,98</v>
      </c>
      <c r="G1310" t="str">
        <f>"$ 13005,98"</f>
        <v>$ 13005,98</v>
      </c>
      <c r="H1310" t="str">
        <f t="shared" si="836"/>
        <v>$ 0,00</v>
      </c>
      <c r="I1310" t="str">
        <f t="shared" si="834"/>
        <v>JUEGO COJINETES BIELA</v>
      </c>
      <c r="J1310" t="str">
        <f t="shared" si="837"/>
        <v>1</v>
      </c>
      <c r="K1310" t="str">
        <f t="shared" si="860"/>
        <v>0</v>
      </c>
      <c r="L1310" t="str">
        <f>"8,000"</f>
        <v>8,000</v>
      </c>
      <c r="M1310" t="str">
        <f t="shared" si="838"/>
        <v xml:space="preserve"> </v>
      </c>
      <c r="N1310" t="str">
        <f t="shared" si="826"/>
        <v>MPSI</v>
      </c>
      <c r="O1310" t="str">
        <f t="shared" si="827"/>
        <v>COJINETES</v>
      </c>
      <c r="P1310" t="str">
        <f t="shared" si="861"/>
        <v>0</v>
      </c>
      <c r="Q1310" t="str">
        <f t="shared" si="861"/>
        <v>0</v>
      </c>
      <c r="R1310" t="str">
        <f t="shared" si="862"/>
        <v>0,00</v>
      </c>
      <c r="S1310" t="str">
        <f t="shared" si="862"/>
        <v>0,00</v>
      </c>
      <c r="T1310" t="str">
        <f t="shared" si="857"/>
        <v xml:space="preserve"> </v>
      </c>
      <c r="U1310" t="str">
        <f t="shared" si="858"/>
        <v>-</v>
      </c>
      <c r="V1310" t="str">
        <f>"8,000"</f>
        <v>8,000</v>
      </c>
      <c r="W1310" t="str">
        <f t="shared" si="841"/>
        <v>Lista 4</v>
      </c>
      <c r="X1310" t="str">
        <f t="shared" si="842"/>
        <v>Lista 5</v>
      </c>
      <c r="Y1310" t="str">
        <f t="shared" si="843"/>
        <v>Oferta Gral.</v>
      </c>
      <c r="Z1310" t="str">
        <f t="shared" si="844"/>
        <v>Rubro</v>
      </c>
      <c r="AA1310" t="str">
        <f t="shared" si="845"/>
        <v>Cantidad por Bulto</v>
      </c>
      <c r="AB1310" t="str">
        <f t="shared" si="846"/>
        <v>INNER</v>
      </c>
      <c r="AC1310" t="str">
        <f t="shared" si="847"/>
        <v>Stock en Bultos</v>
      </c>
      <c r="AD1310" t="str">
        <f t="shared" si="848"/>
        <v>SubDepósito</v>
      </c>
      <c r="AE1310" t="str">
        <f t="shared" si="849"/>
        <v>Marca</v>
      </c>
      <c r="AF1310" t="str">
        <f t="shared" si="850"/>
        <v>Super Rubro</v>
      </c>
      <c r="AG1310" t="str">
        <f t="shared" si="851"/>
        <v>ComercioExterior</v>
      </c>
      <c r="AH1310" t="str">
        <f t="shared" si="852"/>
        <v>PrecioFOB</v>
      </c>
      <c r="AI1310" t="str">
        <f t="shared" si="853"/>
        <v>Monto II</v>
      </c>
      <c r="AJ1310" t="str">
        <f t="shared" si="854"/>
        <v>Porcentaje II</v>
      </c>
      <c r="AK1310" t="str">
        <f t="shared" si="855"/>
        <v>Foto</v>
      </c>
      <c r="AL1310" t="str">
        <f t="shared" si="856"/>
        <v xml:space="preserve"> </v>
      </c>
      <c r="AM1310" t="str">
        <f t="shared" si="859"/>
        <v xml:space="preserve"> </v>
      </c>
    </row>
    <row r="1311" spans="1:39" x14ac:dyDescent="0.25">
      <c r="A1311" t="str">
        <f>"BI237 40"</f>
        <v>BI237 40</v>
      </c>
      <c r="B1311" t="str">
        <f>"COJINETES BIELA 1,00 RENAULT 4 6 9 11 18 19 CLIO 1.3 1.4 1.6 8V"</f>
        <v>COJINETES BIELA 1,00 RENAULT 4 6 9 11 18 19 CLIO 1.3 1.4 1.6 8V</v>
      </c>
      <c r="C1311" t="str">
        <f>"$ 11882,21"</f>
        <v>$ 11882,21</v>
      </c>
      <c r="D1311" t="str">
        <f>"$ 11882,21"</f>
        <v>$ 11882,21</v>
      </c>
      <c r="E1311" t="str">
        <f>"$ 11882,21"</f>
        <v>$ 11882,21</v>
      </c>
      <c r="F1311" t="str">
        <f>"$ 11882,21"</f>
        <v>$ 11882,21</v>
      </c>
      <c r="G1311" t="str">
        <f>"$ 11882,21"</f>
        <v>$ 11882,21</v>
      </c>
      <c r="H1311" t="str">
        <f t="shared" si="836"/>
        <v>$ 0,00</v>
      </c>
      <c r="I1311" t="str">
        <f t="shared" si="834"/>
        <v>JUEGO COJINETES BIELA</v>
      </c>
      <c r="J1311" t="str">
        <f t="shared" si="837"/>
        <v>1</v>
      </c>
      <c r="K1311" t="str">
        <f t="shared" si="860"/>
        <v>0</v>
      </c>
      <c r="L1311" t="str">
        <f>"15,000"</f>
        <v>15,000</v>
      </c>
      <c r="M1311" t="str">
        <f t="shared" si="838"/>
        <v xml:space="preserve"> </v>
      </c>
      <c r="N1311" t="str">
        <f t="shared" si="826"/>
        <v>MPSI</v>
      </c>
      <c r="O1311" t="str">
        <f t="shared" si="827"/>
        <v>COJINETES</v>
      </c>
      <c r="P1311" t="str">
        <f t="shared" si="861"/>
        <v>0</v>
      </c>
      <c r="Q1311" t="str">
        <f t="shared" si="861"/>
        <v>0</v>
      </c>
      <c r="R1311" t="str">
        <f t="shared" si="862"/>
        <v>0,00</v>
      </c>
      <c r="S1311" t="str">
        <f t="shared" si="862"/>
        <v>0,00</v>
      </c>
      <c r="T1311" t="str">
        <f t="shared" si="857"/>
        <v xml:space="preserve"> </v>
      </c>
      <c r="U1311" t="str">
        <f t="shared" si="858"/>
        <v>-</v>
      </c>
      <c r="V1311" t="str">
        <f>"15,000"</f>
        <v>15,000</v>
      </c>
      <c r="W1311" t="str">
        <f t="shared" si="841"/>
        <v>Lista 4</v>
      </c>
      <c r="X1311" t="str">
        <f t="shared" si="842"/>
        <v>Lista 5</v>
      </c>
      <c r="Y1311" t="str">
        <f t="shared" si="843"/>
        <v>Oferta Gral.</v>
      </c>
      <c r="Z1311" t="str">
        <f t="shared" si="844"/>
        <v>Rubro</v>
      </c>
      <c r="AA1311" t="str">
        <f t="shared" si="845"/>
        <v>Cantidad por Bulto</v>
      </c>
      <c r="AB1311" t="str">
        <f t="shared" si="846"/>
        <v>INNER</v>
      </c>
      <c r="AC1311" t="str">
        <f t="shared" si="847"/>
        <v>Stock en Bultos</v>
      </c>
      <c r="AD1311" t="str">
        <f t="shared" si="848"/>
        <v>SubDepósito</v>
      </c>
      <c r="AE1311" t="str">
        <f t="shared" si="849"/>
        <v>Marca</v>
      </c>
      <c r="AF1311" t="str">
        <f t="shared" si="850"/>
        <v>Super Rubro</v>
      </c>
      <c r="AG1311" t="str">
        <f t="shared" si="851"/>
        <v>ComercioExterior</v>
      </c>
      <c r="AH1311" t="str">
        <f t="shared" si="852"/>
        <v>PrecioFOB</v>
      </c>
      <c r="AI1311" t="str">
        <f t="shared" si="853"/>
        <v>Monto II</v>
      </c>
      <c r="AJ1311" t="str">
        <f t="shared" si="854"/>
        <v>Porcentaje II</v>
      </c>
      <c r="AK1311" t="str">
        <f t="shared" si="855"/>
        <v>Foto</v>
      </c>
      <c r="AL1311" t="str">
        <f>"{\rtf1\ansi\ansicpg1252\deff0\deflang2058{\fonttbl{\f0\fnil\fcharset0 MS Sans Serif}} \viewkind4\uc1\pard\f0\fs16 COJINETES BIELA 1,00 RENAULT 4 6 9 11 18 19 CLIO 1.3 1.4 1.6 8V\par } "</f>
        <v xml:space="preserve">{\rtf1\ansi\ansicpg1252\deff0\deflang2058{\fonttbl{\f0\fnil\fcharset0 MS Sans Serif}} \viewkind4\uc1\pard\f0\fs16 COJINETES BIELA 1,00 RENAULT 4 6 9 11 18 19 CLIO 1.3 1.4 1.6 8V\par } </v>
      </c>
      <c r="AM1311" t="str">
        <f t="shared" si="859"/>
        <v xml:space="preserve"> </v>
      </c>
    </row>
    <row r="1312" spans="1:39" x14ac:dyDescent="0.25">
      <c r="A1312" t="str">
        <f>"BI871 40"</f>
        <v>BI871 40</v>
      </c>
      <c r="B1312" t="str">
        <f>"COJINETES BIELA 1,00 RENAULT CLIO TWINGO 1.2  D7F SIN TRABA"</f>
        <v>COJINETES BIELA 1,00 RENAULT CLIO TWINGO 1.2  D7F SIN TRABA</v>
      </c>
      <c r="C1312" t="str">
        <f>"$ 10708,86"</f>
        <v>$ 10708,86</v>
      </c>
      <c r="D1312" t="str">
        <f>"$ 10708,86"</f>
        <v>$ 10708,86</v>
      </c>
      <c r="E1312" t="str">
        <f>"$ 10708,86"</f>
        <v>$ 10708,86</v>
      </c>
      <c r="F1312" t="str">
        <f>"$ 10708,86"</f>
        <v>$ 10708,86</v>
      </c>
      <c r="G1312" t="str">
        <f>"$ 10708,86"</f>
        <v>$ 10708,86</v>
      </c>
      <c r="H1312" t="str">
        <f t="shared" si="836"/>
        <v>$ 0,00</v>
      </c>
      <c r="I1312" t="str">
        <f t="shared" si="834"/>
        <v>JUEGO COJINETES BIELA</v>
      </c>
      <c r="J1312" t="str">
        <f t="shared" si="837"/>
        <v>1</v>
      </c>
      <c r="K1312" t="str">
        <f t="shared" si="860"/>
        <v>0</v>
      </c>
      <c r="L1312" t="str">
        <f>"0,000"</f>
        <v>0,000</v>
      </c>
      <c r="M1312" t="str">
        <f t="shared" si="838"/>
        <v xml:space="preserve"> </v>
      </c>
      <c r="N1312" t="str">
        <f t="shared" si="826"/>
        <v>MPSI</v>
      </c>
      <c r="O1312" t="str">
        <f t="shared" si="827"/>
        <v>COJINETES</v>
      </c>
      <c r="P1312" t="str">
        <f t="shared" si="861"/>
        <v>0</v>
      </c>
      <c r="Q1312" t="str">
        <f t="shared" si="861"/>
        <v>0</v>
      </c>
      <c r="R1312" t="str">
        <f t="shared" si="862"/>
        <v>0,00</v>
      </c>
      <c r="S1312" t="str">
        <f t="shared" si="862"/>
        <v>0,00</v>
      </c>
      <c r="T1312" t="str">
        <f t="shared" si="857"/>
        <v xml:space="preserve"> </v>
      </c>
      <c r="U1312" t="str">
        <f t="shared" si="858"/>
        <v>-</v>
      </c>
      <c r="V1312" t="str">
        <f>"0,000"</f>
        <v>0,000</v>
      </c>
      <c r="W1312" t="str">
        <f t="shared" si="841"/>
        <v>Lista 4</v>
      </c>
      <c r="X1312" t="str">
        <f t="shared" si="842"/>
        <v>Lista 5</v>
      </c>
      <c r="Y1312" t="str">
        <f t="shared" si="843"/>
        <v>Oferta Gral.</v>
      </c>
      <c r="Z1312" t="str">
        <f t="shared" si="844"/>
        <v>Rubro</v>
      </c>
      <c r="AA1312" t="str">
        <f t="shared" si="845"/>
        <v>Cantidad por Bulto</v>
      </c>
      <c r="AB1312" t="str">
        <f t="shared" si="846"/>
        <v>INNER</v>
      </c>
      <c r="AC1312" t="str">
        <f t="shared" si="847"/>
        <v>Stock en Bultos</v>
      </c>
      <c r="AD1312" t="str">
        <f t="shared" si="848"/>
        <v>SubDepósito</v>
      </c>
      <c r="AE1312" t="str">
        <f t="shared" si="849"/>
        <v>Marca</v>
      </c>
      <c r="AF1312" t="str">
        <f t="shared" si="850"/>
        <v>Super Rubro</v>
      </c>
      <c r="AG1312" t="str">
        <f t="shared" si="851"/>
        <v>ComercioExterior</v>
      </c>
      <c r="AH1312" t="str">
        <f t="shared" si="852"/>
        <v>PrecioFOB</v>
      </c>
      <c r="AI1312" t="str">
        <f t="shared" si="853"/>
        <v>Monto II</v>
      </c>
      <c r="AJ1312" t="str">
        <f t="shared" si="854"/>
        <v>Porcentaje II</v>
      </c>
      <c r="AK1312" t="str">
        <f t="shared" si="855"/>
        <v>Foto</v>
      </c>
      <c r="AL1312" t="str">
        <f>" "</f>
        <v xml:space="preserve"> </v>
      </c>
      <c r="AM1312" t="str">
        <f t="shared" si="859"/>
        <v xml:space="preserve"> </v>
      </c>
    </row>
    <row r="1313" spans="1:39" x14ac:dyDescent="0.25">
      <c r="A1313" t="str">
        <f>"BI384613 40"</f>
        <v>BI384613 40</v>
      </c>
      <c r="B1313" t="str">
        <f>"COJINETES BIELA 1,00 RENAULT CLIO TWINGO 1.2 D7F CON TRABA"</f>
        <v>COJINETES BIELA 1,00 RENAULT CLIO TWINGO 1.2 D7F CON TRABA</v>
      </c>
      <c r="C1313" t="str">
        <f>"$ 13255,45"</f>
        <v>$ 13255,45</v>
      </c>
      <c r="D1313" t="str">
        <f>"$ 13255,45"</f>
        <v>$ 13255,45</v>
      </c>
      <c r="E1313" t="str">
        <f>"$ 13255,45"</f>
        <v>$ 13255,45</v>
      </c>
      <c r="F1313" t="str">
        <f>"$ 13255,45"</f>
        <v>$ 13255,45</v>
      </c>
      <c r="G1313" t="str">
        <f>"$ 13255,45"</f>
        <v>$ 13255,45</v>
      </c>
      <c r="H1313" t="str">
        <f t="shared" si="836"/>
        <v>$ 0,00</v>
      </c>
      <c r="I1313" t="str">
        <f t="shared" si="834"/>
        <v>JUEGO COJINETES BIELA</v>
      </c>
      <c r="J1313" t="str">
        <f t="shared" si="837"/>
        <v>1</v>
      </c>
      <c r="K1313" t="str">
        <f t="shared" si="860"/>
        <v>0</v>
      </c>
      <c r="L1313" t="str">
        <f>"0,000"</f>
        <v>0,000</v>
      </c>
      <c r="M1313" t="str">
        <f t="shared" si="838"/>
        <v xml:space="preserve"> </v>
      </c>
      <c r="N1313" t="str">
        <f t="shared" si="826"/>
        <v>MPSI</v>
      </c>
      <c r="O1313" t="str">
        <f t="shared" si="827"/>
        <v>COJINETES</v>
      </c>
      <c r="P1313" t="str">
        <f t="shared" si="861"/>
        <v>0</v>
      </c>
      <c r="Q1313" t="str">
        <f t="shared" si="861"/>
        <v>0</v>
      </c>
      <c r="R1313" t="str">
        <f t="shared" si="862"/>
        <v>0,00</v>
      </c>
      <c r="S1313" t="str">
        <f t="shared" si="862"/>
        <v>0,00</v>
      </c>
      <c r="T1313" t="str">
        <f t="shared" si="857"/>
        <v xml:space="preserve"> </v>
      </c>
      <c r="U1313" t="str">
        <f t="shared" si="858"/>
        <v>-</v>
      </c>
      <c r="V1313" t="str">
        <f>"0,000"</f>
        <v>0,000</v>
      </c>
      <c r="W1313" t="str">
        <f t="shared" si="841"/>
        <v>Lista 4</v>
      </c>
      <c r="X1313" t="str">
        <f t="shared" si="842"/>
        <v>Lista 5</v>
      </c>
      <c r="Y1313" t="str">
        <f t="shared" si="843"/>
        <v>Oferta Gral.</v>
      </c>
      <c r="Z1313" t="str">
        <f t="shared" si="844"/>
        <v>Rubro</v>
      </c>
      <c r="AA1313" t="str">
        <f t="shared" si="845"/>
        <v>Cantidad por Bulto</v>
      </c>
      <c r="AB1313" t="str">
        <f t="shared" si="846"/>
        <v>INNER</v>
      </c>
      <c r="AC1313" t="str">
        <f t="shared" si="847"/>
        <v>Stock en Bultos</v>
      </c>
      <c r="AD1313" t="str">
        <f t="shared" si="848"/>
        <v>SubDepósito</v>
      </c>
      <c r="AE1313" t="str">
        <f t="shared" si="849"/>
        <v>Marca</v>
      </c>
      <c r="AF1313" t="str">
        <f t="shared" si="850"/>
        <v>Super Rubro</v>
      </c>
      <c r="AG1313" t="str">
        <f t="shared" si="851"/>
        <v>ComercioExterior</v>
      </c>
      <c r="AH1313" t="str">
        <f t="shared" si="852"/>
        <v>PrecioFOB</v>
      </c>
      <c r="AI1313" t="str">
        <f t="shared" si="853"/>
        <v>Monto II</v>
      </c>
      <c r="AJ1313" t="str">
        <f t="shared" si="854"/>
        <v>Porcentaje II</v>
      </c>
      <c r="AK1313" t="str">
        <f t="shared" si="855"/>
        <v>Foto</v>
      </c>
      <c r="AL1313" t="str">
        <f>" "</f>
        <v xml:space="preserve"> </v>
      </c>
      <c r="AM1313" t="str">
        <f t="shared" si="859"/>
        <v xml:space="preserve"> </v>
      </c>
    </row>
    <row r="1314" spans="1:39" x14ac:dyDescent="0.25">
      <c r="A1314" t="str">
        <f>"BI869 40"</f>
        <v>BI869 40</v>
      </c>
      <c r="B1314" t="str">
        <f>"COJINETES BIELA 1,00 RENAULT MASTER 2.5 MOTOR G9U"</f>
        <v>COJINETES BIELA 1,00 RENAULT MASTER 2.5 MOTOR G9U</v>
      </c>
      <c r="C1314" t="str">
        <f>"$ 22161,40"</f>
        <v>$ 22161,40</v>
      </c>
      <c r="D1314" t="str">
        <f>"$ 22161,40"</f>
        <v>$ 22161,40</v>
      </c>
      <c r="E1314" t="str">
        <f>"$ 22161,40"</f>
        <v>$ 22161,40</v>
      </c>
      <c r="F1314" t="str">
        <f>"$ 22161,40"</f>
        <v>$ 22161,40</v>
      </c>
      <c r="G1314" t="str">
        <f>"$ 22161,40"</f>
        <v>$ 22161,40</v>
      </c>
      <c r="H1314" t="str">
        <f t="shared" si="836"/>
        <v>$ 0,00</v>
      </c>
      <c r="I1314" t="str">
        <f t="shared" si="834"/>
        <v>JUEGO COJINETES BIELA</v>
      </c>
      <c r="J1314" t="str">
        <f t="shared" si="837"/>
        <v>1</v>
      </c>
      <c r="K1314" t="str">
        <f t="shared" si="860"/>
        <v>0</v>
      </c>
      <c r="L1314" t="str">
        <f>"0,000"</f>
        <v>0,000</v>
      </c>
      <c r="M1314" t="str">
        <f t="shared" si="838"/>
        <v xml:space="preserve"> </v>
      </c>
      <c r="N1314" t="str">
        <f t="shared" si="826"/>
        <v>MPSI</v>
      </c>
      <c r="O1314" t="str">
        <f t="shared" si="827"/>
        <v>COJINETES</v>
      </c>
      <c r="P1314" t="str">
        <f t="shared" si="861"/>
        <v>0</v>
      </c>
      <c r="Q1314" t="str">
        <f t="shared" si="861"/>
        <v>0</v>
      </c>
      <c r="R1314" t="str">
        <f t="shared" si="862"/>
        <v>0,00</v>
      </c>
      <c r="S1314" t="str">
        <f t="shared" si="862"/>
        <v>0,00</v>
      </c>
      <c r="T1314" t="str">
        <f t="shared" si="857"/>
        <v xml:space="preserve"> </v>
      </c>
      <c r="U1314" t="str">
        <f t="shared" si="858"/>
        <v>-</v>
      </c>
      <c r="V1314" t="str">
        <f>"0,000"</f>
        <v>0,000</v>
      </c>
      <c r="W1314" t="str">
        <f t="shared" si="841"/>
        <v>Lista 4</v>
      </c>
      <c r="X1314" t="str">
        <f t="shared" si="842"/>
        <v>Lista 5</v>
      </c>
      <c r="Y1314" t="str">
        <f t="shared" si="843"/>
        <v>Oferta Gral.</v>
      </c>
      <c r="Z1314" t="str">
        <f t="shared" si="844"/>
        <v>Rubro</v>
      </c>
      <c r="AA1314" t="str">
        <f t="shared" si="845"/>
        <v>Cantidad por Bulto</v>
      </c>
      <c r="AB1314" t="str">
        <f t="shared" si="846"/>
        <v>INNER</v>
      </c>
      <c r="AC1314" t="str">
        <f t="shared" si="847"/>
        <v>Stock en Bultos</v>
      </c>
      <c r="AD1314" t="str">
        <f t="shared" si="848"/>
        <v>SubDepósito</v>
      </c>
      <c r="AE1314" t="str">
        <f t="shared" si="849"/>
        <v>Marca</v>
      </c>
      <c r="AF1314" t="str">
        <f t="shared" si="850"/>
        <v>Super Rubro</v>
      </c>
      <c r="AG1314" t="str">
        <f t="shared" si="851"/>
        <v>ComercioExterior</v>
      </c>
      <c r="AH1314" t="str">
        <f t="shared" si="852"/>
        <v>PrecioFOB</v>
      </c>
      <c r="AI1314" t="str">
        <f t="shared" si="853"/>
        <v>Monto II</v>
      </c>
      <c r="AJ1314" t="str">
        <f t="shared" si="854"/>
        <v>Porcentaje II</v>
      </c>
      <c r="AK1314" t="str">
        <f t="shared" si="855"/>
        <v>Foto</v>
      </c>
      <c r="AL1314" t="str">
        <f>" "</f>
        <v xml:space="preserve"> </v>
      </c>
      <c r="AM1314" t="str">
        <f t="shared" si="859"/>
        <v xml:space="preserve"> </v>
      </c>
    </row>
    <row r="1315" spans="1:39" x14ac:dyDescent="0.25">
      <c r="A1315" t="str">
        <f>"BI242 40"</f>
        <v>BI242 40</v>
      </c>
      <c r="B1315" t="str">
        <f>"COJINETES BIELA 1,00 RENAULT MEGANE 1.9 TURBO DIESEL SIN TRABA"</f>
        <v>COJINETES BIELA 1,00 RENAULT MEGANE 1.9 TURBO DIESEL SIN TRABA</v>
      </c>
      <c r="C1315" t="str">
        <f>"$ 24868,80"</f>
        <v>$ 24868,80</v>
      </c>
      <c r="D1315" t="str">
        <f>"$ 24868,80"</f>
        <v>$ 24868,80</v>
      </c>
      <c r="E1315" t="str">
        <f>"$ 24868,80"</f>
        <v>$ 24868,80</v>
      </c>
      <c r="F1315" t="str">
        <f>"$ 24868,80"</f>
        <v>$ 24868,80</v>
      </c>
      <c r="G1315" t="str">
        <f>"$ 24868,80"</f>
        <v>$ 24868,80</v>
      </c>
      <c r="H1315" t="str">
        <f t="shared" si="836"/>
        <v>$ 0,00</v>
      </c>
      <c r="I1315" t="str">
        <f t="shared" si="834"/>
        <v>JUEGO COJINETES BIELA</v>
      </c>
      <c r="J1315" t="str">
        <f t="shared" si="837"/>
        <v>1</v>
      </c>
      <c r="K1315" t="str">
        <f t="shared" si="860"/>
        <v>0</v>
      </c>
      <c r="L1315" t="str">
        <f>"0,000"</f>
        <v>0,000</v>
      </c>
      <c r="M1315" t="str">
        <f t="shared" si="838"/>
        <v xml:space="preserve"> </v>
      </c>
      <c r="N1315" t="str">
        <f t="shared" si="826"/>
        <v>MPSI</v>
      </c>
      <c r="O1315" t="str">
        <f t="shared" si="827"/>
        <v>COJINETES</v>
      </c>
      <c r="P1315" t="str">
        <f t="shared" si="861"/>
        <v>0</v>
      </c>
      <c r="Q1315" t="str">
        <f t="shared" si="861"/>
        <v>0</v>
      </c>
      <c r="R1315" t="str">
        <f t="shared" si="862"/>
        <v>0,00</v>
      </c>
      <c r="S1315" t="str">
        <f t="shared" si="862"/>
        <v>0,00</v>
      </c>
      <c r="T1315" t="str">
        <f t="shared" si="857"/>
        <v xml:space="preserve"> </v>
      </c>
      <c r="U1315" t="str">
        <f t="shared" si="858"/>
        <v>-</v>
      </c>
      <c r="V1315" t="str">
        <f>"0,000"</f>
        <v>0,000</v>
      </c>
      <c r="W1315" t="str">
        <f t="shared" si="841"/>
        <v>Lista 4</v>
      </c>
      <c r="X1315" t="str">
        <f t="shared" si="842"/>
        <v>Lista 5</v>
      </c>
      <c r="Y1315" t="str">
        <f t="shared" si="843"/>
        <v>Oferta Gral.</v>
      </c>
      <c r="Z1315" t="str">
        <f t="shared" si="844"/>
        <v>Rubro</v>
      </c>
      <c r="AA1315" t="str">
        <f t="shared" si="845"/>
        <v>Cantidad por Bulto</v>
      </c>
      <c r="AB1315" t="str">
        <f t="shared" si="846"/>
        <v>INNER</v>
      </c>
      <c r="AC1315" t="str">
        <f t="shared" si="847"/>
        <v>Stock en Bultos</v>
      </c>
      <c r="AD1315" t="str">
        <f t="shared" si="848"/>
        <v>SubDepósito</v>
      </c>
      <c r="AE1315" t="str">
        <f t="shared" si="849"/>
        <v>Marca</v>
      </c>
      <c r="AF1315" t="str">
        <f t="shared" si="850"/>
        <v>Super Rubro</v>
      </c>
      <c r="AG1315" t="str">
        <f t="shared" si="851"/>
        <v>ComercioExterior</v>
      </c>
      <c r="AH1315" t="str">
        <f t="shared" si="852"/>
        <v>PrecioFOB</v>
      </c>
      <c r="AI1315" t="str">
        <f t="shared" si="853"/>
        <v>Monto II</v>
      </c>
      <c r="AJ1315" t="str">
        <f t="shared" si="854"/>
        <v>Porcentaje II</v>
      </c>
      <c r="AK1315" t="str">
        <f t="shared" si="855"/>
        <v>Foto</v>
      </c>
      <c r="AL1315" t="str">
        <f>" "</f>
        <v xml:space="preserve"> </v>
      </c>
      <c r="AM1315" t="str">
        <f t="shared" si="859"/>
        <v xml:space="preserve"> </v>
      </c>
    </row>
    <row r="1316" spans="1:39" x14ac:dyDescent="0.25">
      <c r="A1316" t="str">
        <f>"BI876 40"</f>
        <v>BI876 40</v>
      </c>
      <c r="B1316" t="str">
        <f>"COJINETES BIELA 1,00 RENAULT MEGANE KANGOO LOGAN 1.5 DCI K9K"</f>
        <v>COJINETES BIELA 1,00 RENAULT MEGANE KANGOO LOGAN 1.5 DCI K9K</v>
      </c>
      <c r="C1316" t="str">
        <f>"$ 16988,75"</f>
        <v>$ 16988,75</v>
      </c>
      <c r="D1316" t="str">
        <f>"$ 16988,75"</f>
        <v>$ 16988,75</v>
      </c>
      <c r="E1316" t="str">
        <f>"$ 16988,75"</f>
        <v>$ 16988,75</v>
      </c>
      <c r="F1316" t="str">
        <f>"$ 16988,75"</f>
        <v>$ 16988,75</v>
      </c>
      <c r="G1316" t="str">
        <f>"$ 16988,75"</f>
        <v>$ 16988,75</v>
      </c>
      <c r="H1316" t="str">
        <f t="shared" si="836"/>
        <v>$ 0,00</v>
      </c>
      <c r="I1316" t="str">
        <f t="shared" si="834"/>
        <v>JUEGO COJINETES BIELA</v>
      </c>
      <c r="J1316" t="str">
        <f t="shared" si="837"/>
        <v>1</v>
      </c>
      <c r="K1316" t="str">
        <f t="shared" si="860"/>
        <v>0</v>
      </c>
      <c r="L1316" t="str">
        <f>"6,000"</f>
        <v>6,000</v>
      </c>
      <c r="M1316" t="str">
        <f t="shared" si="838"/>
        <v xml:space="preserve"> </v>
      </c>
      <c r="N1316" t="str">
        <f t="shared" si="826"/>
        <v>MPSI</v>
      </c>
      <c r="O1316" t="str">
        <f t="shared" si="827"/>
        <v>COJINETES</v>
      </c>
      <c r="P1316" t="str">
        <f t="shared" si="861"/>
        <v>0</v>
      </c>
      <c r="Q1316" t="str">
        <f t="shared" si="861"/>
        <v>0</v>
      </c>
      <c r="R1316" t="str">
        <f t="shared" si="862"/>
        <v>0,00</v>
      </c>
      <c r="S1316" t="str">
        <f t="shared" si="862"/>
        <v>0,00</v>
      </c>
      <c r="T1316" t="str">
        <f t="shared" si="857"/>
        <v xml:space="preserve"> </v>
      </c>
      <c r="U1316" t="str">
        <f t="shared" si="858"/>
        <v>-</v>
      </c>
      <c r="V1316" t="str">
        <f>"6,000"</f>
        <v>6,000</v>
      </c>
      <c r="W1316" t="str">
        <f t="shared" si="841"/>
        <v>Lista 4</v>
      </c>
      <c r="X1316" t="str">
        <f t="shared" si="842"/>
        <v>Lista 5</v>
      </c>
      <c r="Y1316" t="str">
        <f t="shared" si="843"/>
        <v>Oferta Gral.</v>
      </c>
      <c r="Z1316" t="str">
        <f t="shared" si="844"/>
        <v>Rubro</v>
      </c>
      <c r="AA1316" t="str">
        <f t="shared" si="845"/>
        <v>Cantidad por Bulto</v>
      </c>
      <c r="AB1316" t="str">
        <f t="shared" si="846"/>
        <v>INNER</v>
      </c>
      <c r="AC1316" t="str">
        <f t="shared" si="847"/>
        <v>Stock en Bultos</v>
      </c>
      <c r="AD1316" t="str">
        <f t="shared" si="848"/>
        <v>SubDepósito</v>
      </c>
      <c r="AE1316" t="str">
        <f t="shared" si="849"/>
        <v>Marca</v>
      </c>
      <c r="AF1316" t="str">
        <f t="shared" si="850"/>
        <v>Super Rubro</v>
      </c>
      <c r="AG1316" t="str">
        <f t="shared" si="851"/>
        <v>ComercioExterior</v>
      </c>
      <c r="AH1316" t="str">
        <f t="shared" si="852"/>
        <v>PrecioFOB</v>
      </c>
      <c r="AI1316" t="str">
        <f t="shared" si="853"/>
        <v>Monto II</v>
      </c>
      <c r="AJ1316" t="str">
        <f t="shared" si="854"/>
        <v>Porcentaje II</v>
      </c>
      <c r="AK1316" t="str">
        <f t="shared" si="855"/>
        <v>Foto</v>
      </c>
      <c r="AL1316" t="str">
        <f>" "</f>
        <v xml:space="preserve"> </v>
      </c>
      <c r="AM1316" t="str">
        <f t="shared" si="859"/>
        <v xml:space="preserve"> </v>
      </c>
    </row>
    <row r="1317" spans="1:39" x14ac:dyDescent="0.25">
      <c r="A1317" t="str">
        <f>"BI873 40"</f>
        <v>BI873 40</v>
      </c>
      <c r="B1317" t="str">
        <f>"COJINETES BIELA 1,00 RENAULT MEGANE KANGOO LOGAN 1.6 16V K4M"</f>
        <v>COJINETES BIELA 1,00 RENAULT MEGANE KANGOO LOGAN 1.6 16V K4M</v>
      </c>
      <c r="C1317" t="str">
        <f>"$ 11452,54"</f>
        <v>$ 11452,54</v>
      </c>
      <c r="D1317" t="str">
        <f>"$ 11452,54"</f>
        <v>$ 11452,54</v>
      </c>
      <c r="E1317" t="str">
        <f>"$ 11452,54"</f>
        <v>$ 11452,54</v>
      </c>
      <c r="F1317" t="str">
        <f>"$ 11452,54"</f>
        <v>$ 11452,54</v>
      </c>
      <c r="G1317" t="str">
        <f>"$ 11452,54"</f>
        <v>$ 11452,54</v>
      </c>
      <c r="H1317" t="str">
        <f t="shared" si="836"/>
        <v>$ 0,00</v>
      </c>
      <c r="I1317" t="str">
        <f t="shared" si="834"/>
        <v>JUEGO COJINETES BIELA</v>
      </c>
      <c r="J1317" t="str">
        <f t="shared" si="837"/>
        <v>1</v>
      </c>
      <c r="K1317" t="str">
        <f t="shared" si="860"/>
        <v>0</v>
      </c>
      <c r="L1317" t="str">
        <f>"1,000"</f>
        <v>1,000</v>
      </c>
      <c r="M1317" t="str">
        <f t="shared" si="838"/>
        <v xml:space="preserve"> </v>
      </c>
      <c r="N1317" t="str">
        <f t="shared" ref="N1317:N1380" si="863">"MPSI"</f>
        <v>MPSI</v>
      </c>
      <c r="O1317" t="str">
        <f t="shared" ref="O1317:O1380" si="864">"COJINETES"</f>
        <v>COJINETES</v>
      </c>
      <c r="P1317" t="str">
        <f t="shared" si="861"/>
        <v>0</v>
      </c>
      <c r="Q1317" t="str">
        <f t="shared" si="861"/>
        <v>0</v>
      </c>
      <c r="R1317" t="str">
        <f t="shared" si="862"/>
        <v>0,00</v>
      </c>
      <c r="S1317" t="str">
        <f t="shared" si="862"/>
        <v>0,00</v>
      </c>
      <c r="T1317" t="str">
        <f t="shared" si="857"/>
        <v xml:space="preserve"> </v>
      </c>
      <c r="U1317" t="str">
        <f t="shared" si="858"/>
        <v>-</v>
      </c>
      <c r="V1317" t="str">
        <f>"1,000"</f>
        <v>1,000</v>
      </c>
      <c r="W1317" t="str">
        <f t="shared" si="841"/>
        <v>Lista 4</v>
      </c>
      <c r="X1317" t="str">
        <f t="shared" si="842"/>
        <v>Lista 5</v>
      </c>
      <c r="Y1317" t="str">
        <f t="shared" si="843"/>
        <v>Oferta Gral.</v>
      </c>
      <c r="Z1317" t="str">
        <f t="shared" si="844"/>
        <v>Rubro</v>
      </c>
      <c r="AA1317" t="str">
        <f t="shared" si="845"/>
        <v>Cantidad por Bulto</v>
      </c>
      <c r="AB1317" t="str">
        <f t="shared" si="846"/>
        <v>INNER</v>
      </c>
      <c r="AC1317" t="str">
        <f t="shared" si="847"/>
        <v>Stock en Bultos</v>
      </c>
      <c r="AD1317" t="str">
        <f t="shared" si="848"/>
        <v>SubDepósito</v>
      </c>
      <c r="AE1317" t="str">
        <f t="shared" si="849"/>
        <v>Marca</v>
      </c>
      <c r="AF1317" t="str">
        <f t="shared" si="850"/>
        <v>Super Rubro</v>
      </c>
      <c r="AG1317" t="str">
        <f t="shared" si="851"/>
        <v>ComercioExterior</v>
      </c>
      <c r="AH1317" t="str">
        <f t="shared" si="852"/>
        <v>PrecioFOB</v>
      </c>
      <c r="AI1317" t="str">
        <f t="shared" si="853"/>
        <v>Monto II</v>
      </c>
      <c r="AJ1317" t="str">
        <f t="shared" si="854"/>
        <v>Porcentaje II</v>
      </c>
      <c r="AK1317" t="str">
        <f t="shared" si="855"/>
        <v>Foto</v>
      </c>
      <c r="AL1317" t="str">
        <f>"{\rtf1\ansi\ansicpg1252\deff0\deflang2058{\fonttbl{\f0\fnil\fcharset0 MS Sans Serif}} \viewkind4\uc1\pard\f0\fs16 COJINETES BIELA 1,00 RENAULT MEGANE KANGOO LOGAN 1.6 16V K4M\par } "</f>
        <v xml:space="preserve">{\rtf1\ansi\ansicpg1252\deff0\deflang2058{\fonttbl{\f0\fnil\fcharset0 MS Sans Serif}} \viewkind4\uc1\pard\f0\fs16 COJINETES BIELA 1,00 RENAULT MEGANE KANGOO LOGAN 1.6 16V K4M\par } </v>
      </c>
      <c r="AM1317" t="str">
        <f t="shared" si="859"/>
        <v xml:space="preserve"> </v>
      </c>
    </row>
    <row r="1318" spans="1:39" x14ac:dyDescent="0.25">
      <c r="A1318" t="str">
        <f>"BI948 40"</f>
        <v>BI948 40</v>
      </c>
      <c r="B1318" t="str">
        <f>"COJINETES BIELA 1,00 VW AMAROK 2.0 TDI"</f>
        <v>COJINETES BIELA 1,00 VW AMAROK 2.0 TDI</v>
      </c>
      <c r="C1318" t="str">
        <f>"$ 20888,90"</f>
        <v>$ 20888,90</v>
      </c>
      <c r="D1318" t="str">
        <f>"$ 20888,90"</f>
        <v>$ 20888,90</v>
      </c>
      <c r="E1318" t="str">
        <f>"$ 20888,90"</f>
        <v>$ 20888,90</v>
      </c>
      <c r="F1318" t="str">
        <f>"$ 20888,90"</f>
        <v>$ 20888,90</v>
      </c>
      <c r="G1318" t="str">
        <f>"$ 20888,90"</f>
        <v>$ 20888,90</v>
      </c>
      <c r="H1318" t="str">
        <f t="shared" si="836"/>
        <v>$ 0,00</v>
      </c>
      <c r="I1318" t="str">
        <f t="shared" si="834"/>
        <v>JUEGO COJINETES BIELA</v>
      </c>
      <c r="J1318" t="str">
        <f t="shared" si="837"/>
        <v>1</v>
      </c>
      <c r="K1318" t="str">
        <f t="shared" si="860"/>
        <v>0</v>
      </c>
      <c r="L1318" t="str">
        <f>"0,000"</f>
        <v>0,000</v>
      </c>
      <c r="M1318" t="str">
        <f t="shared" si="838"/>
        <v xml:space="preserve"> </v>
      </c>
      <c r="N1318" t="str">
        <f t="shared" si="863"/>
        <v>MPSI</v>
      </c>
      <c r="O1318" t="str">
        <f t="shared" si="864"/>
        <v>COJINETES</v>
      </c>
      <c r="P1318" t="str">
        <f t="shared" si="861"/>
        <v>0</v>
      </c>
      <c r="Q1318" t="str">
        <f t="shared" si="861"/>
        <v>0</v>
      </c>
      <c r="R1318" t="str">
        <f t="shared" si="862"/>
        <v>0,00</v>
      </c>
      <c r="S1318" t="str">
        <f t="shared" si="862"/>
        <v>0,00</v>
      </c>
      <c r="T1318" t="str">
        <f t="shared" si="857"/>
        <v xml:space="preserve"> </v>
      </c>
      <c r="U1318" t="str">
        <f t="shared" si="858"/>
        <v>-</v>
      </c>
      <c r="V1318" t="str">
        <f>"0,000"</f>
        <v>0,000</v>
      </c>
      <c r="W1318" t="str">
        <f t="shared" si="841"/>
        <v>Lista 4</v>
      </c>
      <c r="X1318" t="str">
        <f t="shared" si="842"/>
        <v>Lista 5</v>
      </c>
      <c r="Y1318" t="str">
        <f t="shared" si="843"/>
        <v>Oferta Gral.</v>
      </c>
      <c r="Z1318" t="str">
        <f t="shared" si="844"/>
        <v>Rubro</v>
      </c>
      <c r="AA1318" t="str">
        <f t="shared" si="845"/>
        <v>Cantidad por Bulto</v>
      </c>
      <c r="AB1318" t="str">
        <f t="shared" si="846"/>
        <v>INNER</v>
      </c>
      <c r="AC1318" t="str">
        <f t="shared" si="847"/>
        <v>Stock en Bultos</v>
      </c>
      <c r="AD1318" t="str">
        <f t="shared" si="848"/>
        <v>SubDepósito</v>
      </c>
      <c r="AE1318" t="str">
        <f t="shared" si="849"/>
        <v>Marca</v>
      </c>
      <c r="AF1318" t="str">
        <f t="shared" si="850"/>
        <v>Super Rubro</v>
      </c>
      <c r="AG1318" t="str">
        <f t="shared" si="851"/>
        <v>ComercioExterior</v>
      </c>
      <c r="AH1318" t="str">
        <f t="shared" si="852"/>
        <v>PrecioFOB</v>
      </c>
      <c r="AI1318" t="str">
        <f t="shared" si="853"/>
        <v>Monto II</v>
      </c>
      <c r="AJ1318" t="str">
        <f t="shared" si="854"/>
        <v>Porcentaje II</v>
      </c>
      <c r="AK1318" t="str">
        <f t="shared" si="855"/>
        <v>Foto</v>
      </c>
      <c r="AL1318" t="str">
        <f>" "</f>
        <v xml:space="preserve"> </v>
      </c>
      <c r="AM1318" t="str">
        <f t="shared" si="859"/>
        <v xml:space="preserve"> </v>
      </c>
    </row>
    <row r="1319" spans="1:39" x14ac:dyDescent="0.25">
      <c r="A1319" t="str">
        <f>"BI625 40"</f>
        <v>BI625 40</v>
      </c>
      <c r="B1319" t="str">
        <f>"COJINETES BIELA 1,00 VW FOX SURAN GOL TREND GOLF IVI 1.6 8V"</f>
        <v>COJINETES BIELA 1,00 VW FOX SURAN GOL TREND GOLF IVI 1.6 8V</v>
      </c>
      <c r="C1319" t="str">
        <f>"$ 11667,37"</f>
        <v>$ 11667,37</v>
      </c>
      <c r="D1319" t="str">
        <f>"$ 11667,37"</f>
        <v>$ 11667,37</v>
      </c>
      <c r="E1319" t="str">
        <f>"$ 11667,37"</f>
        <v>$ 11667,37</v>
      </c>
      <c r="F1319" t="str">
        <f>"$ 11667,37"</f>
        <v>$ 11667,37</v>
      </c>
      <c r="G1319" t="str">
        <f>"$ 11667,37"</f>
        <v>$ 11667,37</v>
      </c>
      <c r="H1319" t="str">
        <f t="shared" si="836"/>
        <v>$ 0,00</v>
      </c>
      <c r="I1319" t="str">
        <f t="shared" si="834"/>
        <v>JUEGO COJINETES BIELA</v>
      </c>
      <c r="J1319" t="str">
        <f t="shared" si="837"/>
        <v>1</v>
      </c>
      <c r="K1319" t="str">
        <f t="shared" si="860"/>
        <v>0</v>
      </c>
      <c r="L1319" t="str">
        <f>"17,000"</f>
        <v>17,000</v>
      </c>
      <c r="M1319" t="str">
        <f t="shared" si="838"/>
        <v xml:space="preserve"> </v>
      </c>
      <c r="N1319" t="str">
        <f t="shared" si="863"/>
        <v>MPSI</v>
      </c>
      <c r="O1319" t="str">
        <f t="shared" si="864"/>
        <v>COJINETES</v>
      </c>
      <c r="P1319" t="str">
        <f t="shared" si="861"/>
        <v>0</v>
      </c>
      <c r="Q1319" t="str">
        <f t="shared" si="861"/>
        <v>0</v>
      </c>
      <c r="R1319" t="str">
        <f t="shared" si="862"/>
        <v>0,00</v>
      </c>
      <c r="S1319" t="str">
        <f t="shared" si="862"/>
        <v>0,00</v>
      </c>
      <c r="T1319" t="str">
        <f t="shared" si="857"/>
        <v xml:space="preserve"> </v>
      </c>
      <c r="U1319" t="str">
        <f t="shared" si="858"/>
        <v>-</v>
      </c>
      <c r="V1319" t="str">
        <f>"17,000"</f>
        <v>17,000</v>
      </c>
      <c r="W1319" t="str">
        <f t="shared" si="841"/>
        <v>Lista 4</v>
      </c>
      <c r="X1319" t="str">
        <f t="shared" si="842"/>
        <v>Lista 5</v>
      </c>
      <c r="Y1319" t="str">
        <f t="shared" si="843"/>
        <v>Oferta Gral.</v>
      </c>
      <c r="Z1319" t="str">
        <f t="shared" si="844"/>
        <v>Rubro</v>
      </c>
      <c r="AA1319" t="str">
        <f t="shared" si="845"/>
        <v>Cantidad por Bulto</v>
      </c>
      <c r="AB1319" t="str">
        <f t="shared" si="846"/>
        <v>INNER</v>
      </c>
      <c r="AC1319" t="str">
        <f t="shared" si="847"/>
        <v>Stock en Bultos</v>
      </c>
      <c r="AD1319" t="str">
        <f t="shared" si="848"/>
        <v>SubDepósito</v>
      </c>
      <c r="AE1319" t="str">
        <f t="shared" si="849"/>
        <v>Marca</v>
      </c>
      <c r="AF1319" t="str">
        <f t="shared" si="850"/>
        <v>Super Rubro</v>
      </c>
      <c r="AG1319" t="str">
        <f t="shared" si="851"/>
        <v>ComercioExterior</v>
      </c>
      <c r="AH1319" t="str">
        <f t="shared" si="852"/>
        <v>PrecioFOB</v>
      </c>
      <c r="AI1319" t="str">
        <f t="shared" si="853"/>
        <v>Monto II</v>
      </c>
      <c r="AJ1319" t="str">
        <f t="shared" si="854"/>
        <v>Porcentaje II</v>
      </c>
      <c r="AK1319" t="str">
        <f t="shared" si="855"/>
        <v>Foto</v>
      </c>
      <c r="AL1319" t="str">
        <f>"{\rtf1\ansi\ansicpg1252\deff0\deflang2058{\fonttbl{\f0\fnil\fcharset0 MS Sans Serif}} \viewkind4\uc1\pard\f0\fs16 COJINETES BIELA 1,00 VW FOX SURAN GOL TREND GOLF IVI 1.6 8V\par } "</f>
        <v xml:space="preserve">{\rtf1\ansi\ansicpg1252\deff0\deflang2058{\fonttbl{\f0\fnil\fcharset0 MS Sans Serif}} \viewkind4\uc1\pard\f0\fs16 COJINETES BIELA 1,00 VW FOX SURAN GOL TREND GOLF IVI 1.6 8V\par } </v>
      </c>
      <c r="AM1319" t="str">
        <f t="shared" si="859"/>
        <v xml:space="preserve"> </v>
      </c>
    </row>
    <row r="1320" spans="1:39" x14ac:dyDescent="0.25">
      <c r="A1320" t="str">
        <f>"BI624 40"</f>
        <v>BI624 40</v>
      </c>
      <c r="B1320" t="str">
        <f>"COJINETES BIELA 1,00 VW GOL 1000"</f>
        <v>COJINETES BIELA 1,00 VW GOL 1000</v>
      </c>
      <c r="C1320" t="str">
        <f>"$ 12879,55"</f>
        <v>$ 12879,55</v>
      </c>
      <c r="D1320" t="str">
        <f>"$ 12879,55"</f>
        <v>$ 12879,55</v>
      </c>
      <c r="E1320" t="str">
        <f>"$ 12879,55"</f>
        <v>$ 12879,55</v>
      </c>
      <c r="F1320" t="str">
        <f>"$ 12879,55"</f>
        <v>$ 12879,55</v>
      </c>
      <c r="G1320" t="str">
        <f>"$ 12879,55"</f>
        <v>$ 12879,55</v>
      </c>
      <c r="H1320" t="str">
        <f t="shared" si="836"/>
        <v>$ 0,00</v>
      </c>
      <c r="I1320" t="str">
        <f t="shared" si="834"/>
        <v>JUEGO COJINETES BIELA</v>
      </c>
      <c r="J1320" t="str">
        <f t="shared" si="837"/>
        <v>1</v>
      </c>
      <c r="K1320" t="str">
        <f t="shared" si="860"/>
        <v>0</v>
      </c>
      <c r="L1320" t="str">
        <f>"0,000"</f>
        <v>0,000</v>
      </c>
      <c r="M1320" t="str">
        <f t="shared" si="838"/>
        <v xml:space="preserve"> </v>
      </c>
      <c r="N1320" t="str">
        <f t="shared" si="863"/>
        <v>MPSI</v>
      </c>
      <c r="O1320" t="str">
        <f t="shared" si="864"/>
        <v>COJINETES</v>
      </c>
      <c r="P1320" t="str">
        <f t="shared" si="861"/>
        <v>0</v>
      </c>
      <c r="Q1320" t="str">
        <f t="shared" si="861"/>
        <v>0</v>
      </c>
      <c r="R1320" t="str">
        <f t="shared" si="862"/>
        <v>0,00</v>
      </c>
      <c r="S1320" t="str">
        <f t="shared" si="862"/>
        <v>0,00</v>
      </c>
      <c r="T1320" t="str">
        <f t="shared" si="857"/>
        <v xml:space="preserve"> </v>
      </c>
      <c r="U1320" t="str">
        <f t="shared" si="858"/>
        <v>-</v>
      </c>
      <c r="V1320" t="str">
        <f>"0,000"</f>
        <v>0,000</v>
      </c>
      <c r="W1320" t="str">
        <f t="shared" si="841"/>
        <v>Lista 4</v>
      </c>
      <c r="X1320" t="str">
        <f t="shared" si="842"/>
        <v>Lista 5</v>
      </c>
      <c r="Y1320" t="str">
        <f t="shared" si="843"/>
        <v>Oferta Gral.</v>
      </c>
      <c r="Z1320" t="str">
        <f t="shared" si="844"/>
        <v>Rubro</v>
      </c>
      <c r="AA1320" t="str">
        <f t="shared" si="845"/>
        <v>Cantidad por Bulto</v>
      </c>
      <c r="AB1320" t="str">
        <f t="shared" si="846"/>
        <v>INNER</v>
      </c>
      <c r="AC1320" t="str">
        <f t="shared" si="847"/>
        <v>Stock en Bultos</v>
      </c>
      <c r="AD1320" t="str">
        <f t="shared" si="848"/>
        <v>SubDepósito</v>
      </c>
      <c r="AE1320" t="str">
        <f t="shared" si="849"/>
        <v>Marca</v>
      </c>
      <c r="AF1320" t="str">
        <f t="shared" si="850"/>
        <v>Super Rubro</v>
      </c>
      <c r="AG1320" t="str">
        <f t="shared" si="851"/>
        <v>ComercioExterior</v>
      </c>
      <c r="AH1320" t="str">
        <f t="shared" si="852"/>
        <v>PrecioFOB</v>
      </c>
      <c r="AI1320" t="str">
        <f t="shared" si="853"/>
        <v>Monto II</v>
      </c>
      <c r="AJ1320" t="str">
        <f t="shared" si="854"/>
        <v>Porcentaje II</v>
      </c>
      <c r="AK1320" t="str">
        <f t="shared" si="855"/>
        <v>Foto</v>
      </c>
      <c r="AL1320" t="str">
        <f>" "</f>
        <v xml:space="preserve"> </v>
      </c>
      <c r="AM1320" t="str">
        <f t="shared" si="859"/>
        <v xml:space="preserve"> </v>
      </c>
    </row>
    <row r="1321" spans="1:39" x14ac:dyDescent="0.25">
      <c r="A1321" t="str">
        <f>"BI628 40"</f>
        <v>BI628 40</v>
      </c>
      <c r="B1321" t="str">
        <f>"COJINETES BIELA 1,00 VW GOL POLO SAVEIRO MOTOR AUDI 1.6 8V"</f>
        <v>COJINETES BIELA 1,00 VW GOL POLO SAVEIRO MOTOR AUDI 1.6 8V</v>
      </c>
      <c r="C1321" t="str">
        <f>"$ 12196,21"</f>
        <v>$ 12196,21</v>
      </c>
      <c r="D1321" t="str">
        <f>"$ 12196,21"</f>
        <v>$ 12196,21</v>
      </c>
      <c r="E1321" t="str">
        <f>"$ 12196,21"</f>
        <v>$ 12196,21</v>
      </c>
      <c r="F1321" t="str">
        <f>"$ 12196,21"</f>
        <v>$ 12196,21</v>
      </c>
      <c r="G1321" t="str">
        <f>"$ 12196,21"</f>
        <v>$ 12196,21</v>
      </c>
      <c r="H1321" t="str">
        <f t="shared" si="836"/>
        <v>$ 0,00</v>
      </c>
      <c r="I1321" t="str">
        <f t="shared" si="834"/>
        <v>JUEGO COJINETES BIELA</v>
      </c>
      <c r="J1321" t="str">
        <f t="shared" si="837"/>
        <v>1</v>
      </c>
      <c r="K1321" t="str">
        <f t="shared" si="860"/>
        <v>0</v>
      </c>
      <c r="L1321" t="str">
        <f>"15,000"</f>
        <v>15,000</v>
      </c>
      <c r="M1321" t="str">
        <f t="shared" si="838"/>
        <v xml:space="preserve"> </v>
      </c>
      <c r="N1321" t="str">
        <f t="shared" si="863"/>
        <v>MPSI</v>
      </c>
      <c r="O1321" t="str">
        <f t="shared" si="864"/>
        <v>COJINETES</v>
      </c>
      <c r="P1321" t="str">
        <f t="shared" si="861"/>
        <v>0</v>
      </c>
      <c r="Q1321" t="str">
        <f t="shared" si="861"/>
        <v>0</v>
      </c>
      <c r="R1321" t="str">
        <f t="shared" si="862"/>
        <v>0,00</v>
      </c>
      <c r="S1321" t="str">
        <f t="shared" si="862"/>
        <v>0,00</v>
      </c>
      <c r="T1321" t="str">
        <f t="shared" si="857"/>
        <v xml:space="preserve"> </v>
      </c>
      <c r="U1321" t="str">
        <f t="shared" si="858"/>
        <v>-</v>
      </c>
      <c r="V1321" t="str">
        <f>"15,000"</f>
        <v>15,000</v>
      </c>
      <c r="W1321" t="str">
        <f t="shared" si="841"/>
        <v>Lista 4</v>
      </c>
      <c r="X1321" t="str">
        <f t="shared" si="842"/>
        <v>Lista 5</v>
      </c>
      <c r="Y1321" t="str">
        <f t="shared" si="843"/>
        <v>Oferta Gral.</v>
      </c>
      <c r="Z1321" t="str">
        <f t="shared" si="844"/>
        <v>Rubro</v>
      </c>
      <c r="AA1321" t="str">
        <f t="shared" si="845"/>
        <v>Cantidad por Bulto</v>
      </c>
      <c r="AB1321" t="str">
        <f t="shared" si="846"/>
        <v>INNER</v>
      </c>
      <c r="AC1321" t="str">
        <f t="shared" si="847"/>
        <v>Stock en Bultos</v>
      </c>
      <c r="AD1321" t="str">
        <f t="shared" si="848"/>
        <v>SubDepósito</v>
      </c>
      <c r="AE1321" t="str">
        <f t="shared" si="849"/>
        <v>Marca</v>
      </c>
      <c r="AF1321" t="str">
        <f t="shared" si="850"/>
        <v>Super Rubro</v>
      </c>
      <c r="AG1321" t="str">
        <f t="shared" si="851"/>
        <v>ComercioExterior</v>
      </c>
      <c r="AH1321" t="str">
        <f t="shared" si="852"/>
        <v>PrecioFOB</v>
      </c>
      <c r="AI1321" t="str">
        <f t="shared" si="853"/>
        <v>Monto II</v>
      </c>
      <c r="AJ1321" t="str">
        <f t="shared" si="854"/>
        <v>Porcentaje II</v>
      </c>
      <c r="AK1321" t="str">
        <f t="shared" si="855"/>
        <v>Foto</v>
      </c>
      <c r="AL1321" t="str">
        <f>"{\rtf1\ansi\ansicpg1252\deff0\deflang11274{\fonttbl{\f0\fnil\fcharset0 MS Sans Serif}} \viewkind4\uc1\pard\f0\fs16 COJINETES BIELA 1,00 VW GOL POLO SAVEIRO MOTOR AUDI 1.6 8V\par } "</f>
        <v xml:space="preserve">{\rtf1\ansi\ansicpg1252\deff0\deflang11274{\fonttbl{\f0\fnil\fcharset0 MS Sans Serif}} \viewkind4\uc1\pard\f0\fs16 COJINETES BIELA 1,00 VW GOL POLO SAVEIRO MOTOR AUDI 1.6 8V\par } </v>
      </c>
      <c r="AM1321" t="str">
        <f t="shared" si="859"/>
        <v xml:space="preserve"> </v>
      </c>
    </row>
    <row r="1322" spans="1:39" x14ac:dyDescent="0.25">
      <c r="A1322" t="str">
        <f>"BI483 40"</f>
        <v>BI483 40</v>
      </c>
      <c r="B1322" t="str">
        <f>"COJINETES BIELA 1,00 VW POLO 1.9 TDI"</f>
        <v>COJINETES BIELA 1,00 VW POLO 1.9 TDI</v>
      </c>
      <c r="C1322" t="str">
        <f>"$ 24354,41"</f>
        <v>$ 24354,41</v>
      </c>
      <c r="D1322" t="str">
        <f>"$ 24354,41"</f>
        <v>$ 24354,41</v>
      </c>
      <c r="E1322" t="str">
        <f>"$ 24354,41"</f>
        <v>$ 24354,41</v>
      </c>
      <c r="F1322" t="str">
        <f>"$ 24354,41"</f>
        <v>$ 24354,41</v>
      </c>
      <c r="G1322" t="str">
        <f>"$ 24354,41"</f>
        <v>$ 24354,41</v>
      </c>
      <c r="H1322" t="str">
        <f t="shared" si="836"/>
        <v>$ 0,00</v>
      </c>
      <c r="I1322" t="str">
        <f t="shared" si="834"/>
        <v>JUEGO COJINETES BIELA</v>
      </c>
      <c r="J1322" t="str">
        <f t="shared" si="837"/>
        <v>1</v>
      </c>
      <c r="K1322" t="str">
        <f t="shared" si="860"/>
        <v>0</v>
      </c>
      <c r="L1322" t="str">
        <f>"0,000"</f>
        <v>0,000</v>
      </c>
      <c r="M1322" t="str">
        <f t="shared" si="838"/>
        <v xml:space="preserve"> </v>
      </c>
      <c r="N1322" t="str">
        <f t="shared" si="863"/>
        <v>MPSI</v>
      </c>
      <c r="O1322" t="str">
        <f t="shared" si="864"/>
        <v>COJINETES</v>
      </c>
      <c r="P1322" t="str">
        <f t="shared" si="861"/>
        <v>0</v>
      </c>
      <c r="Q1322" t="str">
        <f t="shared" si="861"/>
        <v>0</v>
      </c>
      <c r="R1322" t="str">
        <f t="shared" si="862"/>
        <v>0,00</v>
      </c>
      <c r="S1322" t="str">
        <f t="shared" si="862"/>
        <v>0,00</v>
      </c>
      <c r="T1322" t="str">
        <f t="shared" si="857"/>
        <v xml:space="preserve"> </v>
      </c>
      <c r="U1322" t="str">
        <f t="shared" si="858"/>
        <v>-</v>
      </c>
      <c r="V1322" t="str">
        <f>"0,000"</f>
        <v>0,000</v>
      </c>
      <c r="W1322" t="str">
        <f t="shared" si="841"/>
        <v>Lista 4</v>
      </c>
      <c r="X1322" t="str">
        <f t="shared" si="842"/>
        <v>Lista 5</v>
      </c>
      <c r="Y1322" t="str">
        <f t="shared" si="843"/>
        <v>Oferta Gral.</v>
      </c>
      <c r="Z1322" t="str">
        <f t="shared" si="844"/>
        <v>Rubro</v>
      </c>
      <c r="AA1322" t="str">
        <f t="shared" si="845"/>
        <v>Cantidad por Bulto</v>
      </c>
      <c r="AB1322" t="str">
        <f t="shared" si="846"/>
        <v>INNER</v>
      </c>
      <c r="AC1322" t="str">
        <f t="shared" si="847"/>
        <v>Stock en Bultos</v>
      </c>
      <c r="AD1322" t="str">
        <f t="shared" si="848"/>
        <v>SubDepósito</v>
      </c>
      <c r="AE1322" t="str">
        <f t="shared" si="849"/>
        <v>Marca</v>
      </c>
      <c r="AF1322" t="str">
        <f t="shared" si="850"/>
        <v>Super Rubro</v>
      </c>
      <c r="AG1322" t="str">
        <f t="shared" si="851"/>
        <v>ComercioExterior</v>
      </c>
      <c r="AH1322" t="str">
        <f t="shared" si="852"/>
        <v>PrecioFOB</v>
      </c>
      <c r="AI1322" t="str">
        <f t="shared" si="853"/>
        <v>Monto II</v>
      </c>
      <c r="AJ1322" t="str">
        <f t="shared" si="854"/>
        <v>Porcentaje II</v>
      </c>
      <c r="AK1322" t="str">
        <f t="shared" si="855"/>
        <v>Foto</v>
      </c>
      <c r="AL1322" t="str">
        <f>" "</f>
        <v xml:space="preserve"> </v>
      </c>
      <c r="AM1322" t="str">
        <f t="shared" si="859"/>
        <v xml:space="preserve"> </v>
      </c>
    </row>
    <row r="1323" spans="1:39" x14ac:dyDescent="0.25">
      <c r="A1323" t="str">
        <f>"BI480 40"</f>
        <v>BI480 40</v>
      </c>
      <c r="B1323" t="str">
        <f>"COJINETES BIELA 1,00 VW SENDA GOL DIESEL 1600"</f>
        <v>COJINETES BIELA 1,00 VW SENDA GOL DIESEL 1600</v>
      </c>
      <c r="C1323" t="str">
        <f>"$ 14482,07"</f>
        <v>$ 14482,07</v>
      </c>
      <c r="D1323" t="str">
        <f>"$ 14482,07"</f>
        <v>$ 14482,07</v>
      </c>
      <c r="E1323" t="str">
        <f>"$ 14482,07"</f>
        <v>$ 14482,07</v>
      </c>
      <c r="F1323" t="str">
        <f>"$ 14482,07"</f>
        <v>$ 14482,07</v>
      </c>
      <c r="G1323" t="str">
        <f>"$ 14482,07"</f>
        <v>$ 14482,07</v>
      </c>
      <c r="H1323" t="str">
        <f t="shared" si="836"/>
        <v>$ 0,00</v>
      </c>
      <c r="I1323" t="str">
        <f t="shared" si="834"/>
        <v>JUEGO COJINETES BIELA</v>
      </c>
      <c r="J1323" t="str">
        <f t="shared" si="837"/>
        <v>1</v>
      </c>
      <c r="K1323" t="str">
        <f t="shared" si="860"/>
        <v>0</v>
      </c>
      <c r="L1323" t="str">
        <f>"0,000"</f>
        <v>0,000</v>
      </c>
      <c r="M1323" t="str">
        <f t="shared" si="838"/>
        <v xml:space="preserve"> </v>
      </c>
      <c r="N1323" t="str">
        <f t="shared" si="863"/>
        <v>MPSI</v>
      </c>
      <c r="O1323" t="str">
        <f t="shared" si="864"/>
        <v>COJINETES</v>
      </c>
      <c r="P1323" t="str">
        <f t="shared" ref="P1323:Q1342" si="865">"0"</f>
        <v>0</v>
      </c>
      <c r="Q1323" t="str">
        <f t="shared" si="865"/>
        <v>0</v>
      </c>
      <c r="R1323" t="str">
        <f t="shared" ref="R1323:S1342" si="866">"0,00"</f>
        <v>0,00</v>
      </c>
      <c r="S1323" t="str">
        <f t="shared" si="866"/>
        <v>0,00</v>
      </c>
      <c r="T1323" t="str">
        <f t="shared" si="857"/>
        <v xml:space="preserve"> </v>
      </c>
      <c r="U1323" t="str">
        <f t="shared" si="858"/>
        <v>-</v>
      </c>
      <c r="V1323" t="str">
        <f>"0,000"</f>
        <v>0,000</v>
      </c>
      <c r="W1323" t="str">
        <f t="shared" si="841"/>
        <v>Lista 4</v>
      </c>
      <c r="X1323" t="str">
        <f t="shared" si="842"/>
        <v>Lista 5</v>
      </c>
      <c r="Y1323" t="str">
        <f t="shared" si="843"/>
        <v>Oferta Gral.</v>
      </c>
      <c r="Z1323" t="str">
        <f t="shared" si="844"/>
        <v>Rubro</v>
      </c>
      <c r="AA1323" t="str">
        <f t="shared" si="845"/>
        <v>Cantidad por Bulto</v>
      </c>
      <c r="AB1323" t="str">
        <f t="shared" si="846"/>
        <v>INNER</v>
      </c>
      <c r="AC1323" t="str">
        <f t="shared" si="847"/>
        <v>Stock en Bultos</v>
      </c>
      <c r="AD1323" t="str">
        <f t="shared" si="848"/>
        <v>SubDepósito</v>
      </c>
      <c r="AE1323" t="str">
        <f t="shared" si="849"/>
        <v>Marca</v>
      </c>
      <c r="AF1323" t="str">
        <f t="shared" si="850"/>
        <v>Super Rubro</v>
      </c>
      <c r="AG1323" t="str">
        <f t="shared" si="851"/>
        <v>ComercioExterior</v>
      </c>
      <c r="AH1323" t="str">
        <f t="shared" si="852"/>
        <v>PrecioFOB</v>
      </c>
      <c r="AI1323" t="str">
        <f t="shared" si="853"/>
        <v>Monto II</v>
      </c>
      <c r="AJ1323" t="str">
        <f t="shared" si="854"/>
        <v>Porcentaje II</v>
      </c>
      <c r="AK1323" t="str">
        <f t="shared" si="855"/>
        <v>Foto</v>
      </c>
      <c r="AL1323" t="str">
        <f>" "</f>
        <v xml:space="preserve"> </v>
      </c>
      <c r="AM1323" t="str">
        <f t="shared" si="859"/>
        <v xml:space="preserve"> </v>
      </c>
    </row>
    <row r="1324" spans="1:39" x14ac:dyDescent="0.25">
      <c r="A1324" t="str">
        <f>"BI062 50"</f>
        <v>BI062 50</v>
      </c>
      <c r="B1324" t="str">
        <f>"COJINETES BIELA 1,25 CHEVROLET 400 CHEVY C10"</f>
        <v>COJINETES BIELA 1,25 CHEVROLET 400 CHEVY C10</v>
      </c>
      <c r="C1324" t="str">
        <f>"$ 22210,98"</f>
        <v>$ 22210,98</v>
      </c>
      <c r="D1324" t="str">
        <f>"$ 22210,98"</f>
        <v>$ 22210,98</v>
      </c>
      <c r="E1324" t="str">
        <f>"$ 22210,98"</f>
        <v>$ 22210,98</v>
      </c>
      <c r="F1324" t="str">
        <f>"$ 22210,98"</f>
        <v>$ 22210,98</v>
      </c>
      <c r="G1324" t="str">
        <f>"$ 22210,98"</f>
        <v>$ 22210,98</v>
      </c>
      <c r="H1324" t="str">
        <f t="shared" si="836"/>
        <v>$ 0,00</v>
      </c>
      <c r="I1324" t="str">
        <f t="shared" si="834"/>
        <v>JUEGO COJINETES BIELA</v>
      </c>
      <c r="J1324" t="str">
        <f t="shared" si="837"/>
        <v>1</v>
      </c>
      <c r="K1324" t="str">
        <f t="shared" si="860"/>
        <v>0</v>
      </c>
      <c r="L1324" t="str">
        <f>"2,000"</f>
        <v>2,000</v>
      </c>
      <c r="M1324" t="str">
        <f t="shared" si="838"/>
        <v xml:space="preserve"> </v>
      </c>
      <c r="N1324" t="str">
        <f t="shared" si="863"/>
        <v>MPSI</v>
      </c>
      <c r="O1324" t="str">
        <f t="shared" si="864"/>
        <v>COJINETES</v>
      </c>
      <c r="P1324" t="str">
        <f t="shared" si="865"/>
        <v>0</v>
      </c>
      <c r="Q1324" t="str">
        <f t="shared" si="865"/>
        <v>0</v>
      </c>
      <c r="R1324" t="str">
        <f t="shared" si="866"/>
        <v>0,00</v>
      </c>
      <c r="S1324" t="str">
        <f t="shared" si="866"/>
        <v>0,00</v>
      </c>
      <c r="T1324" t="str">
        <f t="shared" si="857"/>
        <v xml:space="preserve"> </v>
      </c>
      <c r="U1324" t="str">
        <f>" "</f>
        <v xml:space="preserve"> </v>
      </c>
      <c r="V1324" t="str">
        <f>"2,000"</f>
        <v>2,000</v>
      </c>
      <c r="W1324" t="str">
        <f t="shared" si="841"/>
        <v>Lista 4</v>
      </c>
      <c r="X1324" t="str">
        <f t="shared" si="842"/>
        <v>Lista 5</v>
      </c>
      <c r="Y1324" t="str">
        <f t="shared" si="843"/>
        <v>Oferta Gral.</v>
      </c>
      <c r="Z1324" t="str">
        <f t="shared" si="844"/>
        <v>Rubro</v>
      </c>
      <c r="AA1324" t="str">
        <f t="shared" si="845"/>
        <v>Cantidad por Bulto</v>
      </c>
      <c r="AB1324" t="str">
        <f t="shared" si="846"/>
        <v>INNER</v>
      </c>
      <c r="AC1324" t="str">
        <f t="shared" si="847"/>
        <v>Stock en Bultos</v>
      </c>
      <c r="AD1324" t="str">
        <f t="shared" si="848"/>
        <v>SubDepósito</v>
      </c>
      <c r="AE1324" t="str">
        <f t="shared" si="849"/>
        <v>Marca</v>
      </c>
      <c r="AF1324" t="str">
        <f t="shared" si="850"/>
        <v>Super Rubro</v>
      </c>
      <c r="AG1324" t="str">
        <f t="shared" si="851"/>
        <v>ComercioExterior</v>
      </c>
      <c r="AH1324" t="str">
        <f t="shared" si="852"/>
        <v>PrecioFOB</v>
      </c>
      <c r="AI1324" t="str">
        <f t="shared" si="853"/>
        <v>Monto II</v>
      </c>
      <c r="AJ1324" t="str">
        <f t="shared" si="854"/>
        <v>Porcentaje II</v>
      </c>
      <c r="AK1324" t="str">
        <f t="shared" si="855"/>
        <v>Foto</v>
      </c>
      <c r="AL1324" t="str">
        <f>"{\rtf1\ansi\ansicpg1252\deff0\deflang11274{\fonttbl{\f0\fnil\fcharset0 MS Sans Serif}} \viewkind4\uc1\pard\f0\fs16 COJINETES BIELA 1,25 CHEVROLET 400 CHEVY C10\par } "</f>
        <v xml:space="preserve">{\rtf1\ansi\ansicpg1252\deff0\deflang11274{\fonttbl{\f0\fnil\fcharset0 MS Sans Serif}} \viewkind4\uc1\pard\f0\fs16 COJINETES BIELA 1,25 CHEVROLET 400 CHEVY C10\par } </v>
      </c>
      <c r="AM1324" t="str">
        <f t="shared" si="859"/>
        <v xml:space="preserve"> </v>
      </c>
    </row>
    <row r="1325" spans="1:39" x14ac:dyDescent="0.25">
      <c r="A1325" t="str">
        <f>"BI372 50"</f>
        <v>BI372 50</v>
      </c>
      <c r="B1325" t="str">
        <f>"COJINETES BIELA 1,25 CHEVROLET CORSA 1.4 1.6 1.8 FIAT PALIO 1.8 8V"</f>
        <v>COJINETES BIELA 1,25 CHEVROLET CORSA 1.4 1.6 1.8 FIAT PALIO 1.8 8V</v>
      </c>
      <c r="C1325" t="str">
        <f>"$ 10874,12"</f>
        <v>$ 10874,12</v>
      </c>
      <c r="D1325" t="str">
        <f>"$ 10874,12"</f>
        <v>$ 10874,12</v>
      </c>
      <c r="E1325" t="str">
        <f>"$ 10874,12"</f>
        <v>$ 10874,12</v>
      </c>
      <c r="F1325" t="str">
        <f>"$ 10874,12"</f>
        <v>$ 10874,12</v>
      </c>
      <c r="G1325" t="str">
        <f>"$ 10874,12"</f>
        <v>$ 10874,12</v>
      </c>
      <c r="H1325" t="str">
        <f t="shared" si="836"/>
        <v>$ 0,00</v>
      </c>
      <c r="I1325" t="str">
        <f t="shared" si="834"/>
        <v>JUEGO COJINETES BIELA</v>
      </c>
      <c r="J1325" t="str">
        <f t="shared" si="837"/>
        <v>1</v>
      </c>
      <c r="K1325" t="str">
        <f t="shared" si="860"/>
        <v>0</v>
      </c>
      <c r="L1325" t="str">
        <f>"0,000"</f>
        <v>0,000</v>
      </c>
      <c r="M1325" t="str">
        <f t="shared" si="838"/>
        <v xml:space="preserve"> </v>
      </c>
      <c r="N1325" t="str">
        <f t="shared" si="863"/>
        <v>MPSI</v>
      </c>
      <c r="O1325" t="str">
        <f t="shared" si="864"/>
        <v>COJINETES</v>
      </c>
      <c r="P1325" t="str">
        <f t="shared" si="865"/>
        <v>0</v>
      </c>
      <c r="Q1325" t="str">
        <f t="shared" si="865"/>
        <v>0</v>
      </c>
      <c r="R1325" t="str">
        <f t="shared" si="866"/>
        <v>0,00</v>
      </c>
      <c r="S1325" t="str">
        <f t="shared" si="866"/>
        <v>0,00</v>
      </c>
      <c r="T1325" t="str">
        <f t="shared" si="857"/>
        <v xml:space="preserve"> </v>
      </c>
      <c r="U1325" t="str">
        <f>"-"</f>
        <v>-</v>
      </c>
      <c r="V1325" t="str">
        <f>"0,000"</f>
        <v>0,000</v>
      </c>
      <c r="W1325" t="str">
        <f t="shared" si="841"/>
        <v>Lista 4</v>
      </c>
      <c r="X1325" t="str">
        <f t="shared" si="842"/>
        <v>Lista 5</v>
      </c>
      <c r="Y1325" t="str">
        <f t="shared" si="843"/>
        <v>Oferta Gral.</v>
      </c>
      <c r="Z1325" t="str">
        <f t="shared" si="844"/>
        <v>Rubro</v>
      </c>
      <c r="AA1325" t="str">
        <f t="shared" si="845"/>
        <v>Cantidad por Bulto</v>
      </c>
      <c r="AB1325" t="str">
        <f t="shared" si="846"/>
        <v>INNER</v>
      </c>
      <c r="AC1325" t="str">
        <f t="shared" si="847"/>
        <v>Stock en Bultos</v>
      </c>
      <c r="AD1325" t="str">
        <f t="shared" si="848"/>
        <v>SubDepósito</v>
      </c>
      <c r="AE1325" t="str">
        <f t="shared" si="849"/>
        <v>Marca</v>
      </c>
      <c r="AF1325" t="str">
        <f t="shared" si="850"/>
        <v>Super Rubro</v>
      </c>
      <c r="AG1325" t="str">
        <f t="shared" si="851"/>
        <v>ComercioExterior</v>
      </c>
      <c r="AH1325" t="str">
        <f t="shared" si="852"/>
        <v>PrecioFOB</v>
      </c>
      <c r="AI1325" t="str">
        <f t="shared" si="853"/>
        <v>Monto II</v>
      </c>
      <c r="AJ1325" t="str">
        <f t="shared" si="854"/>
        <v>Porcentaje II</v>
      </c>
      <c r="AK1325" t="str">
        <f t="shared" si="855"/>
        <v>Foto</v>
      </c>
      <c r="AL1325" t="str">
        <f>"{\rtf1\ansi\ansicpg1252\deff0\deflang2058{\fonttbl{\f0\fnil\fcharset0 MS Sans Serif}} \viewkind4\uc1\pard\f0\fs16 COJINETES BIELA 1,25 CHEVROLET CORSA 1.4 1.6 1.8 FIAT PALIO 1.8 8V\par } "</f>
        <v xml:space="preserve">{\rtf1\ansi\ansicpg1252\deff0\deflang2058{\fonttbl{\f0\fnil\fcharset0 MS Sans Serif}} \viewkind4\uc1\pard\f0\fs16 COJINETES BIELA 1,25 CHEVROLET CORSA 1.4 1.6 1.8 FIAT PALIO 1.8 8V\par } </v>
      </c>
      <c r="AM1325" t="str">
        <f t="shared" si="859"/>
        <v xml:space="preserve"> </v>
      </c>
    </row>
    <row r="1326" spans="1:39" x14ac:dyDescent="0.25">
      <c r="A1326" t="str">
        <f>"BI199 50"</f>
        <v>BI199 50</v>
      </c>
      <c r="B1326" t="str">
        <f>"COJINETES BIELA 1,25 FORD FALCON F100 3.0 3.6"</f>
        <v>COJINETES BIELA 1,25 FORD FALCON F100 3.0 3.6</v>
      </c>
      <c r="C1326" t="str">
        <f>"$ 19913,86"</f>
        <v>$ 19913,86</v>
      </c>
      <c r="D1326" t="str">
        <f>"$ 19913,86"</f>
        <v>$ 19913,86</v>
      </c>
      <c r="E1326" t="str">
        <f>"$ 19913,86"</f>
        <v>$ 19913,86</v>
      </c>
      <c r="F1326" t="str">
        <f>"$ 19913,86"</f>
        <v>$ 19913,86</v>
      </c>
      <c r="G1326" t="str">
        <f>"$ 19913,86"</f>
        <v>$ 19913,86</v>
      </c>
      <c r="H1326" t="str">
        <f t="shared" si="836"/>
        <v>$ 0,00</v>
      </c>
      <c r="I1326" t="str">
        <f t="shared" si="834"/>
        <v>JUEGO COJINETES BIELA</v>
      </c>
      <c r="J1326" t="str">
        <f t="shared" si="837"/>
        <v>1</v>
      </c>
      <c r="K1326" t="str">
        <f t="shared" si="860"/>
        <v>0</v>
      </c>
      <c r="L1326" t="str">
        <f>"4,000"</f>
        <v>4,000</v>
      </c>
      <c r="M1326" t="str">
        <f t="shared" si="838"/>
        <v xml:space="preserve"> </v>
      </c>
      <c r="N1326" t="str">
        <f t="shared" si="863"/>
        <v>MPSI</v>
      </c>
      <c r="O1326" t="str">
        <f t="shared" si="864"/>
        <v>COJINETES</v>
      </c>
      <c r="P1326" t="str">
        <f t="shared" si="865"/>
        <v>0</v>
      </c>
      <c r="Q1326" t="str">
        <f t="shared" si="865"/>
        <v>0</v>
      </c>
      <c r="R1326" t="str">
        <f t="shared" si="866"/>
        <v>0,00</v>
      </c>
      <c r="S1326" t="str">
        <f t="shared" si="866"/>
        <v>0,00</v>
      </c>
      <c r="T1326" t="str">
        <f t="shared" si="857"/>
        <v xml:space="preserve"> </v>
      </c>
      <c r="U1326" t="str">
        <f>"-"</f>
        <v>-</v>
      </c>
      <c r="V1326" t="str">
        <f>"4,000"</f>
        <v>4,000</v>
      </c>
      <c r="W1326" t="str">
        <f t="shared" si="841"/>
        <v>Lista 4</v>
      </c>
      <c r="X1326" t="str">
        <f t="shared" si="842"/>
        <v>Lista 5</v>
      </c>
      <c r="Y1326" t="str">
        <f t="shared" si="843"/>
        <v>Oferta Gral.</v>
      </c>
      <c r="Z1326" t="str">
        <f t="shared" si="844"/>
        <v>Rubro</v>
      </c>
      <c r="AA1326" t="str">
        <f t="shared" si="845"/>
        <v>Cantidad por Bulto</v>
      </c>
      <c r="AB1326" t="str">
        <f t="shared" si="846"/>
        <v>INNER</v>
      </c>
      <c r="AC1326" t="str">
        <f t="shared" si="847"/>
        <v>Stock en Bultos</v>
      </c>
      <c r="AD1326" t="str">
        <f t="shared" si="848"/>
        <v>SubDepósito</v>
      </c>
      <c r="AE1326" t="str">
        <f t="shared" si="849"/>
        <v>Marca</v>
      </c>
      <c r="AF1326" t="str">
        <f t="shared" si="850"/>
        <v>Super Rubro</v>
      </c>
      <c r="AG1326" t="str">
        <f t="shared" si="851"/>
        <v>ComercioExterior</v>
      </c>
      <c r="AH1326" t="str">
        <f t="shared" si="852"/>
        <v>PrecioFOB</v>
      </c>
      <c r="AI1326" t="str">
        <f t="shared" si="853"/>
        <v>Monto II</v>
      </c>
      <c r="AJ1326" t="str">
        <f t="shared" si="854"/>
        <v>Porcentaje II</v>
      </c>
      <c r="AK1326" t="str">
        <f t="shared" si="855"/>
        <v>Foto</v>
      </c>
      <c r="AL1326" t="str">
        <f>"{\rtf1\ansi\ansicpg1252\deff0\deflang2058{\fonttbl{\f0\fnil\fcharset0 MS Sans Serif}} \viewkind4\uc1\pard\f0\fs16 COJINETES BIELA 1,25 FORD FALCON F100 3.0 3.6\par } "</f>
        <v xml:space="preserve">{\rtf1\ansi\ansicpg1252\deff0\deflang2058{\fonttbl{\f0\fnil\fcharset0 MS Sans Serif}} \viewkind4\uc1\pard\f0\fs16 COJINETES BIELA 1,25 FORD FALCON F100 3.0 3.6\par } </v>
      </c>
      <c r="AM1326" t="str">
        <f t="shared" si="859"/>
        <v xml:space="preserve"> </v>
      </c>
    </row>
    <row r="1327" spans="1:39" x14ac:dyDescent="0.25">
      <c r="A1327" t="str">
        <f>"BI237 50"</f>
        <v>BI237 50</v>
      </c>
      <c r="B1327" t="str">
        <f>"COJINETES BIELA 1,25 RENAULT 4 6 9 11 18 19 CLIO 1.3 1.4 1.6 8V"</f>
        <v>COJINETES BIELA 1,25 RENAULT 4 6 9 11 18 19 CLIO 1.3 1.4 1.6 8V</v>
      </c>
      <c r="C1327" t="str">
        <f>"$ 11882,21"</f>
        <v>$ 11882,21</v>
      </c>
      <c r="D1327" t="str">
        <f>"$ 11882,21"</f>
        <v>$ 11882,21</v>
      </c>
      <c r="E1327" t="str">
        <f>"$ 11882,21"</f>
        <v>$ 11882,21</v>
      </c>
      <c r="F1327" t="str">
        <f>"$ 11882,21"</f>
        <v>$ 11882,21</v>
      </c>
      <c r="G1327" t="str">
        <f>"$ 11882,21"</f>
        <v>$ 11882,21</v>
      </c>
      <c r="H1327" t="str">
        <f t="shared" si="836"/>
        <v>$ 0,00</v>
      </c>
      <c r="I1327" t="str">
        <f t="shared" si="834"/>
        <v>JUEGO COJINETES BIELA</v>
      </c>
      <c r="J1327" t="str">
        <f t="shared" si="837"/>
        <v>1</v>
      </c>
      <c r="K1327" t="str">
        <f t="shared" si="860"/>
        <v>0</v>
      </c>
      <c r="L1327" t="str">
        <f>"8,000"</f>
        <v>8,000</v>
      </c>
      <c r="M1327" t="str">
        <f t="shared" si="838"/>
        <v xml:space="preserve"> </v>
      </c>
      <c r="N1327" t="str">
        <f t="shared" si="863"/>
        <v>MPSI</v>
      </c>
      <c r="O1327" t="str">
        <f t="shared" si="864"/>
        <v>COJINETES</v>
      </c>
      <c r="P1327" t="str">
        <f t="shared" si="865"/>
        <v>0</v>
      </c>
      <c r="Q1327" t="str">
        <f t="shared" si="865"/>
        <v>0</v>
      </c>
      <c r="R1327" t="str">
        <f t="shared" si="866"/>
        <v>0,00</v>
      </c>
      <c r="S1327" t="str">
        <f t="shared" si="866"/>
        <v>0,00</v>
      </c>
      <c r="T1327" t="str">
        <f t="shared" si="857"/>
        <v xml:space="preserve"> </v>
      </c>
      <c r="U1327" t="str">
        <f>"-"</f>
        <v>-</v>
      </c>
      <c r="V1327" t="str">
        <f>"8,000"</f>
        <v>8,000</v>
      </c>
      <c r="W1327" t="str">
        <f t="shared" si="841"/>
        <v>Lista 4</v>
      </c>
      <c r="X1327" t="str">
        <f t="shared" si="842"/>
        <v>Lista 5</v>
      </c>
      <c r="Y1327" t="str">
        <f t="shared" si="843"/>
        <v>Oferta Gral.</v>
      </c>
      <c r="Z1327" t="str">
        <f t="shared" si="844"/>
        <v>Rubro</v>
      </c>
      <c r="AA1327" t="str">
        <f t="shared" si="845"/>
        <v>Cantidad por Bulto</v>
      </c>
      <c r="AB1327" t="str">
        <f t="shared" si="846"/>
        <v>INNER</v>
      </c>
      <c r="AC1327" t="str">
        <f t="shared" si="847"/>
        <v>Stock en Bultos</v>
      </c>
      <c r="AD1327" t="str">
        <f t="shared" si="848"/>
        <v>SubDepósito</v>
      </c>
      <c r="AE1327" t="str">
        <f t="shared" si="849"/>
        <v>Marca</v>
      </c>
      <c r="AF1327" t="str">
        <f t="shared" si="850"/>
        <v>Super Rubro</v>
      </c>
      <c r="AG1327" t="str">
        <f t="shared" si="851"/>
        <v>ComercioExterior</v>
      </c>
      <c r="AH1327" t="str">
        <f t="shared" si="852"/>
        <v>PrecioFOB</v>
      </c>
      <c r="AI1327" t="str">
        <f t="shared" si="853"/>
        <v>Monto II</v>
      </c>
      <c r="AJ1327" t="str">
        <f t="shared" si="854"/>
        <v>Porcentaje II</v>
      </c>
      <c r="AK1327" t="str">
        <f t="shared" si="855"/>
        <v>Foto</v>
      </c>
      <c r="AL1327" t="str">
        <f>"{\rtf1\ansi\ansicpg1252\deff0\deflang2058{\fonttbl{\f0\fnil\fcharset0 MS Sans Serif}} \viewkind4\uc1\pard\f0\fs16 COJINETES BIELA 1,25 RENAULT 4 6 9 11 18 19 CLIO 1.3 1.4 1.6 8V\par } "</f>
        <v xml:space="preserve">{\rtf1\ansi\ansicpg1252\deff0\deflang2058{\fonttbl{\f0\fnil\fcharset0 MS Sans Serif}} \viewkind4\uc1\pard\f0\fs16 COJINETES BIELA 1,25 RENAULT 4 6 9 11 18 19 CLIO 1.3 1.4 1.6 8V\par } </v>
      </c>
      <c r="AM1327" t="str">
        <f t="shared" si="859"/>
        <v xml:space="preserve"> </v>
      </c>
    </row>
    <row r="1328" spans="1:39" x14ac:dyDescent="0.25">
      <c r="A1328" t="str">
        <f>"BI199 60"</f>
        <v>BI199 60</v>
      </c>
      <c r="B1328" t="str">
        <f>"COJINETES BIELA 1,50 FORD FALCON F100 3.0 3.6"</f>
        <v>COJINETES BIELA 1,50 FORD FALCON F100 3.0 3.6</v>
      </c>
      <c r="C1328" t="str">
        <f>"$ 19913,86"</f>
        <v>$ 19913,86</v>
      </c>
      <c r="D1328" t="str">
        <f>"$ 19913,86"</f>
        <v>$ 19913,86</v>
      </c>
      <c r="E1328" t="str">
        <f>"$ 19913,86"</f>
        <v>$ 19913,86</v>
      </c>
      <c r="F1328" t="str">
        <f>"$ 19913,86"</f>
        <v>$ 19913,86</v>
      </c>
      <c r="G1328" t="str">
        <f>"$ 19913,86"</f>
        <v>$ 19913,86</v>
      </c>
      <c r="H1328" t="str">
        <f t="shared" si="836"/>
        <v>$ 0,00</v>
      </c>
      <c r="I1328" t="str">
        <f t="shared" si="834"/>
        <v>JUEGO COJINETES BIELA</v>
      </c>
      <c r="J1328" t="str">
        <f t="shared" si="837"/>
        <v>1</v>
      </c>
      <c r="K1328" t="str">
        <f t="shared" si="860"/>
        <v>0</v>
      </c>
      <c r="L1328" t="str">
        <f>"3,000"</f>
        <v>3,000</v>
      </c>
      <c r="M1328" t="str">
        <f t="shared" si="838"/>
        <v xml:space="preserve"> </v>
      </c>
      <c r="N1328" t="str">
        <f t="shared" si="863"/>
        <v>MPSI</v>
      </c>
      <c r="O1328" t="str">
        <f t="shared" si="864"/>
        <v>COJINETES</v>
      </c>
      <c r="P1328" t="str">
        <f t="shared" si="865"/>
        <v>0</v>
      </c>
      <c r="Q1328" t="str">
        <f t="shared" si="865"/>
        <v>0</v>
      </c>
      <c r="R1328" t="str">
        <f t="shared" si="866"/>
        <v>0,00</v>
      </c>
      <c r="S1328" t="str">
        <f t="shared" si="866"/>
        <v>0,00</v>
      </c>
      <c r="T1328" t="str">
        <f t="shared" si="857"/>
        <v xml:space="preserve"> </v>
      </c>
      <c r="U1328" t="str">
        <f>"-"</f>
        <v>-</v>
      </c>
      <c r="V1328" t="str">
        <f>"3,000"</f>
        <v>3,000</v>
      </c>
      <c r="W1328" t="str">
        <f t="shared" si="841"/>
        <v>Lista 4</v>
      </c>
      <c r="X1328" t="str">
        <f t="shared" si="842"/>
        <v>Lista 5</v>
      </c>
      <c r="Y1328" t="str">
        <f t="shared" si="843"/>
        <v>Oferta Gral.</v>
      </c>
      <c r="Z1328" t="str">
        <f t="shared" si="844"/>
        <v>Rubro</v>
      </c>
      <c r="AA1328" t="str">
        <f t="shared" si="845"/>
        <v>Cantidad por Bulto</v>
      </c>
      <c r="AB1328" t="str">
        <f t="shared" si="846"/>
        <v>INNER</v>
      </c>
      <c r="AC1328" t="str">
        <f t="shared" si="847"/>
        <v>Stock en Bultos</v>
      </c>
      <c r="AD1328" t="str">
        <f t="shared" si="848"/>
        <v>SubDepósito</v>
      </c>
      <c r="AE1328" t="str">
        <f t="shared" si="849"/>
        <v>Marca</v>
      </c>
      <c r="AF1328" t="str">
        <f t="shared" si="850"/>
        <v>Super Rubro</v>
      </c>
      <c r="AG1328" t="str">
        <f t="shared" si="851"/>
        <v>ComercioExterior</v>
      </c>
      <c r="AH1328" t="str">
        <f t="shared" si="852"/>
        <v>PrecioFOB</v>
      </c>
      <c r="AI1328" t="str">
        <f t="shared" si="853"/>
        <v>Monto II</v>
      </c>
      <c r="AJ1328" t="str">
        <f t="shared" si="854"/>
        <v>Porcentaje II</v>
      </c>
      <c r="AK1328" t="str">
        <f t="shared" si="855"/>
        <v>Foto</v>
      </c>
      <c r="AL1328" t="str">
        <f>"{\rtf1\ansi\ansicpg1252\deff0\deflang2058{\fonttbl{\f0\fnil\fcharset0 MS Sans Serif}} \viewkind4\uc1\pard\f0\fs16 COJINETES BIELA 1,50 FORD FALCON F100 3.0 3.6\par } "</f>
        <v xml:space="preserve">{\rtf1\ansi\ansicpg1252\deff0\deflang2058{\fonttbl{\f0\fnil\fcharset0 MS Sans Serif}} \viewkind4\uc1\pard\f0\fs16 COJINETES BIELA 1,50 FORD FALCON F100 3.0 3.6\par } </v>
      </c>
      <c r="AM1328" t="str">
        <f t="shared" si="859"/>
        <v xml:space="preserve"> </v>
      </c>
    </row>
    <row r="1329" spans="1:39" x14ac:dyDescent="0.25">
      <c r="A1329" t="str">
        <f>"BI237 60"</f>
        <v>BI237 60</v>
      </c>
      <c r="B1329" t="str">
        <f>"COJINETES BIELA 1,50 RENAULT 4 6 9 11 18 19 CLIO 1.3 1.4 1.6 8V"</f>
        <v>COJINETES BIELA 1,50 RENAULT 4 6 9 11 18 19 CLIO 1.3 1.4 1.6 8V</v>
      </c>
      <c r="C1329" t="str">
        <f>"$ 11882,21"</f>
        <v>$ 11882,21</v>
      </c>
      <c r="D1329" t="str">
        <f>"$ 11882,21"</f>
        <v>$ 11882,21</v>
      </c>
      <c r="E1329" t="str">
        <f>"$ 11882,21"</f>
        <v>$ 11882,21</v>
      </c>
      <c r="F1329" t="str">
        <f>"$ 11882,21"</f>
        <v>$ 11882,21</v>
      </c>
      <c r="G1329" t="str">
        <f>"$ 11882,21"</f>
        <v>$ 11882,21</v>
      </c>
      <c r="H1329" t="str">
        <f t="shared" si="836"/>
        <v>$ 0,00</v>
      </c>
      <c r="I1329" t="str">
        <f t="shared" si="834"/>
        <v>JUEGO COJINETES BIELA</v>
      </c>
      <c r="J1329" t="str">
        <f t="shared" si="837"/>
        <v>1</v>
      </c>
      <c r="K1329" t="str">
        <f t="shared" si="860"/>
        <v>0</v>
      </c>
      <c r="L1329" t="str">
        <f>"13,000"</f>
        <v>13,000</v>
      </c>
      <c r="M1329" t="str">
        <f t="shared" si="838"/>
        <v xml:space="preserve"> </v>
      </c>
      <c r="N1329" t="str">
        <f t="shared" si="863"/>
        <v>MPSI</v>
      </c>
      <c r="O1329" t="str">
        <f t="shared" si="864"/>
        <v>COJINETES</v>
      </c>
      <c r="P1329" t="str">
        <f t="shared" si="865"/>
        <v>0</v>
      </c>
      <c r="Q1329" t="str">
        <f t="shared" si="865"/>
        <v>0</v>
      </c>
      <c r="R1329" t="str">
        <f t="shared" si="866"/>
        <v>0,00</v>
      </c>
      <c r="S1329" t="str">
        <f t="shared" si="866"/>
        <v>0,00</v>
      </c>
      <c r="T1329" t="str">
        <f t="shared" si="857"/>
        <v xml:space="preserve"> </v>
      </c>
      <c r="U1329" t="str">
        <f>"-"</f>
        <v>-</v>
      </c>
      <c r="V1329" t="str">
        <f>"13,000"</f>
        <v>13,000</v>
      </c>
      <c r="W1329" t="str">
        <f t="shared" si="841"/>
        <v>Lista 4</v>
      </c>
      <c r="X1329" t="str">
        <f t="shared" si="842"/>
        <v>Lista 5</v>
      </c>
      <c r="Y1329" t="str">
        <f t="shared" si="843"/>
        <v>Oferta Gral.</v>
      </c>
      <c r="Z1329" t="str">
        <f t="shared" si="844"/>
        <v>Rubro</v>
      </c>
      <c r="AA1329" t="str">
        <f t="shared" si="845"/>
        <v>Cantidad por Bulto</v>
      </c>
      <c r="AB1329" t="str">
        <f t="shared" si="846"/>
        <v>INNER</v>
      </c>
      <c r="AC1329" t="str">
        <f t="shared" si="847"/>
        <v>Stock en Bultos</v>
      </c>
      <c r="AD1329" t="str">
        <f t="shared" si="848"/>
        <v>SubDepósito</v>
      </c>
      <c r="AE1329" t="str">
        <f t="shared" si="849"/>
        <v>Marca</v>
      </c>
      <c r="AF1329" t="str">
        <f t="shared" si="850"/>
        <v>Super Rubro</v>
      </c>
      <c r="AG1329" t="str">
        <f t="shared" si="851"/>
        <v>ComercioExterior</v>
      </c>
      <c r="AH1329" t="str">
        <f t="shared" si="852"/>
        <v>PrecioFOB</v>
      </c>
      <c r="AI1329" t="str">
        <f t="shared" si="853"/>
        <v>Monto II</v>
      </c>
      <c r="AJ1329" t="str">
        <f t="shared" si="854"/>
        <v>Porcentaje II</v>
      </c>
      <c r="AK1329" t="str">
        <f t="shared" si="855"/>
        <v>Foto</v>
      </c>
      <c r="AL1329" t="str">
        <f>"{\rtf1\ansi\ansicpg1252\deff0\deflang2058{\fonttbl{\f0\fnil\fcharset0 MS Sans Serif}} \viewkind4\uc1\pard\f0\fs16 COJINETES BIELA 1,50 RENAULT 4 6 9 11 18 19 CLIO 1.3 1.4 1.6 8V\par } "</f>
        <v xml:space="preserve">{\rtf1\ansi\ansicpg1252\deff0\deflang2058{\fonttbl{\f0\fnil\fcharset0 MS Sans Serif}} \viewkind4\uc1\pard\f0\fs16 COJINETES BIELA 1,50 RENAULT 4 6 9 11 18 19 CLIO 1.3 1.4 1.6 8V\par } </v>
      </c>
      <c r="AM1329" t="str">
        <f t="shared" si="859"/>
        <v xml:space="preserve"> </v>
      </c>
    </row>
    <row r="1330" spans="1:39" x14ac:dyDescent="0.25">
      <c r="A1330" t="str">
        <f>"BI388/4 40"</f>
        <v>BI388/4 40</v>
      </c>
      <c r="B1330" t="str">
        <f>"COJINETES BIELA 1.00 MM PERKINS 4-203   10388/4"</f>
        <v>COJINETES BIELA 1.00 MM PERKINS 4-203   10388/4</v>
      </c>
      <c r="C1330" t="str">
        <f>"$ 22739,81"</f>
        <v>$ 22739,81</v>
      </c>
      <c r="D1330" t="str">
        <f>"$ 22739,81"</f>
        <v>$ 22739,81</v>
      </c>
      <c r="E1330" t="str">
        <f>"$ 22739,81"</f>
        <v>$ 22739,81</v>
      </c>
      <c r="F1330" t="str">
        <f>"$ 22739,81"</f>
        <v>$ 22739,81</v>
      </c>
      <c r="G1330" t="str">
        <f>"$ 22739,81"</f>
        <v>$ 22739,81</v>
      </c>
      <c r="H1330" t="str">
        <f t="shared" si="836"/>
        <v>$ 0,00</v>
      </c>
      <c r="I1330" t="str">
        <f t="shared" si="834"/>
        <v>JUEGO COJINETES BIELA</v>
      </c>
      <c r="J1330" t="str">
        <f t="shared" si="837"/>
        <v>1</v>
      </c>
      <c r="K1330" t="str">
        <f t="shared" si="860"/>
        <v>0</v>
      </c>
      <c r="L1330" t="str">
        <f>"1,000"</f>
        <v>1,000</v>
      </c>
      <c r="M1330" t="str">
        <f t="shared" si="838"/>
        <v xml:space="preserve"> </v>
      </c>
      <c r="N1330" t="str">
        <f t="shared" si="863"/>
        <v>MPSI</v>
      </c>
      <c r="O1330" t="str">
        <f t="shared" si="864"/>
        <v>COJINETES</v>
      </c>
      <c r="P1330" t="str">
        <f t="shared" si="865"/>
        <v>0</v>
      </c>
      <c r="Q1330" t="str">
        <f t="shared" si="865"/>
        <v>0</v>
      </c>
      <c r="R1330" t="str">
        <f t="shared" si="866"/>
        <v>0,00</v>
      </c>
      <c r="S1330" t="str">
        <f t="shared" si="866"/>
        <v>0,00</v>
      </c>
      <c r="T1330" t="str">
        <f t="shared" si="857"/>
        <v xml:space="preserve"> </v>
      </c>
      <c r="U1330" t="str">
        <f>" "</f>
        <v xml:space="preserve"> </v>
      </c>
      <c r="V1330" t="str">
        <f>"1,000"</f>
        <v>1,000</v>
      </c>
      <c r="W1330" t="str">
        <f t="shared" si="841"/>
        <v>Lista 4</v>
      </c>
      <c r="X1330" t="str">
        <f t="shared" si="842"/>
        <v>Lista 5</v>
      </c>
      <c r="Y1330" t="str">
        <f t="shared" si="843"/>
        <v>Oferta Gral.</v>
      </c>
      <c r="Z1330" t="str">
        <f t="shared" si="844"/>
        <v>Rubro</v>
      </c>
      <c r="AA1330" t="str">
        <f t="shared" si="845"/>
        <v>Cantidad por Bulto</v>
      </c>
      <c r="AB1330" t="str">
        <f t="shared" si="846"/>
        <v>INNER</v>
      </c>
      <c r="AC1330" t="str">
        <f t="shared" si="847"/>
        <v>Stock en Bultos</v>
      </c>
      <c r="AD1330" t="str">
        <f t="shared" si="848"/>
        <v>SubDepósito</v>
      </c>
      <c r="AE1330" t="str">
        <f t="shared" si="849"/>
        <v>Marca</v>
      </c>
      <c r="AF1330" t="str">
        <f t="shared" si="850"/>
        <v>Super Rubro</v>
      </c>
      <c r="AG1330" t="str">
        <f t="shared" si="851"/>
        <v>ComercioExterior</v>
      </c>
      <c r="AH1330" t="str">
        <f t="shared" si="852"/>
        <v>PrecioFOB</v>
      </c>
      <c r="AI1330" t="str">
        <f t="shared" si="853"/>
        <v>Monto II</v>
      </c>
      <c r="AJ1330" t="str">
        <f t="shared" si="854"/>
        <v>Porcentaje II</v>
      </c>
      <c r="AK1330" t="str">
        <f t="shared" si="855"/>
        <v>Foto</v>
      </c>
      <c r="AL1330" t="str">
        <f>"{\rtf1\ansi\ansicpg1252\deff0\deflang11274{\fonttbl{\f0\fnil\fcharset0 MS Sans Serif}} \viewkind4\uc1\pard\f0\fs16 COJINETES BIELA 1.00 MM PERKINS 4-203   10388/4\par } "</f>
        <v xml:space="preserve">{\rtf1\ansi\ansicpg1252\deff0\deflang11274{\fonttbl{\f0\fnil\fcharset0 MS Sans Serif}} \viewkind4\uc1\pard\f0\fs16 COJINETES BIELA 1.00 MM PERKINS 4-203   10388/4\par } </v>
      </c>
      <c r="AM1330" t="str">
        <f>"-"</f>
        <v>-</v>
      </c>
    </row>
    <row r="1331" spans="1:39" x14ac:dyDescent="0.25">
      <c r="A1331" t="str">
        <f>"BI479 40"</f>
        <v>BI479 40</v>
      </c>
      <c r="B1331" t="str">
        <f>"COJINETES BIELA 1.00 MM VOLKSWAGEN GACEL SENDA 1600    10479/4"</f>
        <v>COJINETES BIELA 1.00 MM VOLKSWAGEN GACEL SENDA 1600    10479/4</v>
      </c>
      <c r="C1331" t="str">
        <f>"$ 26741,07"</f>
        <v>$ 26741,07</v>
      </c>
      <c r="D1331" t="str">
        <f>"$ 26741,07"</f>
        <v>$ 26741,07</v>
      </c>
      <c r="E1331" t="str">
        <f>"$ 26741,07"</f>
        <v>$ 26741,07</v>
      </c>
      <c r="F1331" t="str">
        <f>"$ 26741,07"</f>
        <v>$ 26741,07</v>
      </c>
      <c r="G1331" t="str">
        <f>"$ 26741,07"</f>
        <v>$ 26741,07</v>
      </c>
      <c r="H1331" t="str">
        <f t="shared" si="836"/>
        <v>$ 0,00</v>
      </c>
      <c r="I1331" t="str">
        <f t="shared" si="834"/>
        <v>JUEGO COJINETES BIELA</v>
      </c>
      <c r="J1331" t="str">
        <f t="shared" si="837"/>
        <v>1</v>
      </c>
      <c r="K1331" t="str">
        <f>"1"</f>
        <v>1</v>
      </c>
      <c r="L1331" t="str">
        <f>"2,000"</f>
        <v>2,000</v>
      </c>
      <c r="M1331" t="str">
        <f t="shared" si="838"/>
        <v xml:space="preserve"> </v>
      </c>
      <c r="N1331" t="str">
        <f t="shared" si="863"/>
        <v>MPSI</v>
      </c>
      <c r="O1331" t="str">
        <f t="shared" si="864"/>
        <v>COJINETES</v>
      </c>
      <c r="P1331" t="str">
        <f t="shared" si="865"/>
        <v>0</v>
      </c>
      <c r="Q1331" t="str">
        <f t="shared" si="865"/>
        <v>0</v>
      </c>
      <c r="R1331" t="str">
        <f t="shared" si="866"/>
        <v>0,00</v>
      </c>
      <c r="S1331" t="str">
        <f t="shared" si="866"/>
        <v>0,00</v>
      </c>
      <c r="T1331" t="str">
        <f t="shared" si="857"/>
        <v xml:space="preserve"> </v>
      </c>
      <c r="U1331" t="str">
        <f>" "</f>
        <v xml:space="preserve"> </v>
      </c>
      <c r="V1331" t="str">
        <f>"2,000"</f>
        <v>2,000</v>
      </c>
      <c r="W1331" t="str">
        <f t="shared" si="841"/>
        <v>Lista 4</v>
      </c>
      <c r="X1331" t="str">
        <f t="shared" si="842"/>
        <v>Lista 5</v>
      </c>
      <c r="Y1331" t="str">
        <f t="shared" si="843"/>
        <v>Oferta Gral.</v>
      </c>
      <c r="Z1331" t="str">
        <f t="shared" si="844"/>
        <v>Rubro</v>
      </c>
      <c r="AA1331" t="str">
        <f t="shared" si="845"/>
        <v>Cantidad por Bulto</v>
      </c>
      <c r="AB1331" t="str">
        <f t="shared" si="846"/>
        <v>INNER</v>
      </c>
      <c r="AC1331" t="str">
        <f t="shared" si="847"/>
        <v>Stock en Bultos</v>
      </c>
      <c r="AD1331" t="str">
        <f t="shared" si="848"/>
        <v>SubDepósito</v>
      </c>
      <c r="AE1331" t="str">
        <f t="shared" si="849"/>
        <v>Marca</v>
      </c>
      <c r="AF1331" t="str">
        <f t="shared" si="850"/>
        <v>Super Rubro</v>
      </c>
      <c r="AG1331" t="str">
        <f t="shared" si="851"/>
        <v>ComercioExterior</v>
      </c>
      <c r="AH1331" t="str">
        <f t="shared" si="852"/>
        <v>PrecioFOB</v>
      </c>
      <c r="AI1331" t="str">
        <f t="shared" si="853"/>
        <v>Monto II</v>
      </c>
      <c r="AJ1331" t="str">
        <f t="shared" si="854"/>
        <v>Porcentaje II</v>
      </c>
      <c r="AK1331" t="str">
        <f t="shared" si="855"/>
        <v>Foto</v>
      </c>
      <c r="AL1331" t="str">
        <f>"{\rtf1\ansi\ansicpg1252\deff0\deflang11274{\fonttbl{\f0\fnil\fcharset0 MS Sans Serif}} \viewkind4\uc1\pard\f0\fs16 COJINETES BIELA 1.00 MM VOLKSWAGEN GACEL SENDA 1600    10479/4\par } "</f>
        <v xml:space="preserve">{\rtf1\ansi\ansicpg1252\deff0\deflang11274{\fonttbl{\f0\fnil\fcharset0 MS Sans Serif}} \viewkind4\uc1\pard\f0\fs16 COJINETES BIELA 1.00 MM VOLKSWAGEN GACEL SENDA 1600    10479/4\par } </v>
      </c>
      <c r="AM1331" t="str">
        <f>" "</f>
        <v xml:space="preserve"> </v>
      </c>
    </row>
    <row r="1332" spans="1:39" x14ac:dyDescent="0.25">
      <c r="A1332" t="str">
        <f>"BI948"</f>
        <v>BI948</v>
      </c>
      <c r="B1332" t="str">
        <f>"COJINETES BIELA STD AMAROK 2.0 TDI"</f>
        <v>COJINETES BIELA STD AMAROK 2.0 TDI</v>
      </c>
      <c r="C1332" t="str">
        <f>"$ 20888,90"</f>
        <v>$ 20888,90</v>
      </c>
      <c r="D1332" t="str">
        <f>"$ 20888,90"</f>
        <v>$ 20888,90</v>
      </c>
      <c r="E1332" t="str">
        <f>"$ 20888,90"</f>
        <v>$ 20888,90</v>
      </c>
      <c r="F1332" t="str">
        <f>"$ 20888,90"</f>
        <v>$ 20888,90</v>
      </c>
      <c r="G1332" t="str">
        <f>"$ 20888,90"</f>
        <v>$ 20888,90</v>
      </c>
      <c r="H1332" t="str">
        <f t="shared" si="836"/>
        <v>$ 0,00</v>
      </c>
      <c r="I1332" t="str">
        <f t="shared" si="834"/>
        <v>JUEGO COJINETES BIELA</v>
      </c>
      <c r="J1332" t="str">
        <f t="shared" si="837"/>
        <v>1</v>
      </c>
      <c r="K1332" t="str">
        <f t="shared" ref="K1332:K1395" si="867">"0"</f>
        <v>0</v>
      </c>
      <c r="L1332" t="str">
        <f>"11,000"</f>
        <v>11,000</v>
      </c>
      <c r="M1332" t="str">
        <f t="shared" si="838"/>
        <v xml:space="preserve"> </v>
      </c>
      <c r="N1332" t="str">
        <f t="shared" si="863"/>
        <v>MPSI</v>
      </c>
      <c r="O1332" t="str">
        <f t="shared" si="864"/>
        <v>COJINETES</v>
      </c>
      <c r="P1332" t="str">
        <f t="shared" si="865"/>
        <v>0</v>
      </c>
      <c r="Q1332" t="str">
        <f t="shared" si="865"/>
        <v>0</v>
      </c>
      <c r="R1332" t="str">
        <f t="shared" si="866"/>
        <v>0,00</v>
      </c>
      <c r="S1332" t="str">
        <f t="shared" si="866"/>
        <v>0,00</v>
      </c>
      <c r="T1332" t="str">
        <f t="shared" si="857"/>
        <v xml:space="preserve"> </v>
      </c>
      <c r="U1332" t="str">
        <f>"-"</f>
        <v>-</v>
      </c>
      <c r="V1332" t="str">
        <f>"11,000"</f>
        <v>11,000</v>
      </c>
      <c r="W1332" t="str">
        <f t="shared" si="841"/>
        <v>Lista 4</v>
      </c>
      <c r="X1332" t="str">
        <f t="shared" si="842"/>
        <v>Lista 5</v>
      </c>
      <c r="Y1332" t="str">
        <f t="shared" si="843"/>
        <v>Oferta Gral.</v>
      </c>
      <c r="Z1332" t="str">
        <f t="shared" si="844"/>
        <v>Rubro</v>
      </c>
      <c r="AA1332" t="str">
        <f t="shared" si="845"/>
        <v>Cantidad por Bulto</v>
      </c>
      <c r="AB1332" t="str">
        <f t="shared" si="846"/>
        <v>INNER</v>
      </c>
      <c r="AC1332" t="str">
        <f t="shared" si="847"/>
        <v>Stock en Bultos</v>
      </c>
      <c r="AD1332" t="str">
        <f t="shared" si="848"/>
        <v>SubDepósito</v>
      </c>
      <c r="AE1332" t="str">
        <f t="shared" si="849"/>
        <v>Marca</v>
      </c>
      <c r="AF1332" t="str">
        <f t="shared" si="850"/>
        <v>Super Rubro</v>
      </c>
      <c r="AG1332" t="str">
        <f t="shared" si="851"/>
        <v>ComercioExterior</v>
      </c>
      <c r="AH1332" t="str">
        <f t="shared" si="852"/>
        <v>PrecioFOB</v>
      </c>
      <c r="AI1332" t="str">
        <f t="shared" si="853"/>
        <v>Monto II</v>
      </c>
      <c r="AJ1332" t="str">
        <f t="shared" si="854"/>
        <v>Porcentaje II</v>
      </c>
      <c r="AK1332" t="str">
        <f t="shared" si="855"/>
        <v>Foto</v>
      </c>
      <c r="AL1332" t="str">
        <f>" "</f>
        <v xml:space="preserve"> </v>
      </c>
      <c r="AM1332" t="str">
        <f>" "</f>
        <v xml:space="preserve"> </v>
      </c>
    </row>
    <row r="1333" spans="1:39" x14ac:dyDescent="0.25">
      <c r="A1333" t="str">
        <f>"BI044481"</f>
        <v>BI044481</v>
      </c>
      <c r="B1333" t="str">
        <f>"COJINETES BIELA STD CHERY SQR484F/SQR481FC"</f>
        <v>COJINETES BIELA STD CHERY SQR484F/SQR481FC</v>
      </c>
      <c r="C1333" t="str">
        <f>"$ 14818,40"</f>
        <v>$ 14818,40</v>
      </c>
      <c r="D1333" t="str">
        <f>"$ 14818,40"</f>
        <v>$ 14818,40</v>
      </c>
      <c r="E1333" t="str">
        <f>"$ 14818,40"</f>
        <v>$ 14818,40</v>
      </c>
      <c r="F1333" t="str">
        <f>"$ 14818,40"</f>
        <v>$ 14818,40</v>
      </c>
      <c r="G1333" t="str">
        <f>"$ 14818,40"</f>
        <v>$ 14818,40</v>
      </c>
      <c r="H1333" t="str">
        <f t="shared" si="836"/>
        <v>$ 0,00</v>
      </c>
      <c r="I1333" t="str">
        <f t="shared" si="834"/>
        <v>JUEGO COJINETES BIELA</v>
      </c>
      <c r="J1333" t="str">
        <f t="shared" si="837"/>
        <v>1</v>
      </c>
      <c r="K1333" t="str">
        <f t="shared" si="867"/>
        <v>0</v>
      </c>
      <c r="L1333" t="str">
        <f>"6,000"</f>
        <v>6,000</v>
      </c>
      <c r="M1333" t="str">
        <f t="shared" si="838"/>
        <v xml:space="preserve"> </v>
      </c>
      <c r="N1333" t="str">
        <f t="shared" si="863"/>
        <v>MPSI</v>
      </c>
      <c r="O1333" t="str">
        <f t="shared" si="864"/>
        <v>COJINETES</v>
      </c>
      <c r="P1333" t="str">
        <f t="shared" si="865"/>
        <v>0</v>
      </c>
      <c r="Q1333" t="str">
        <f t="shared" si="865"/>
        <v>0</v>
      </c>
      <c r="R1333" t="str">
        <f t="shared" si="866"/>
        <v>0,00</v>
      </c>
      <c r="S1333" t="str">
        <f t="shared" si="866"/>
        <v>0,00</v>
      </c>
      <c r="T1333" t="str">
        <f t="shared" si="857"/>
        <v xml:space="preserve"> </v>
      </c>
      <c r="U1333" t="str">
        <f>"-"</f>
        <v>-</v>
      </c>
      <c r="V1333" t="str">
        <f>"6,000"</f>
        <v>6,000</v>
      </c>
      <c r="W1333" t="str">
        <f t="shared" si="841"/>
        <v>Lista 4</v>
      </c>
      <c r="X1333" t="str">
        <f t="shared" si="842"/>
        <v>Lista 5</v>
      </c>
      <c r="Y1333" t="str">
        <f t="shared" si="843"/>
        <v>Oferta Gral.</v>
      </c>
      <c r="Z1333" t="str">
        <f t="shared" si="844"/>
        <v>Rubro</v>
      </c>
      <c r="AA1333" t="str">
        <f t="shared" si="845"/>
        <v>Cantidad por Bulto</v>
      </c>
      <c r="AB1333" t="str">
        <f t="shared" si="846"/>
        <v>INNER</v>
      </c>
      <c r="AC1333" t="str">
        <f t="shared" si="847"/>
        <v>Stock en Bultos</v>
      </c>
      <c r="AD1333" t="str">
        <f t="shared" si="848"/>
        <v>SubDepósito</v>
      </c>
      <c r="AE1333" t="str">
        <f t="shared" si="849"/>
        <v>Marca</v>
      </c>
      <c r="AF1333" t="str">
        <f t="shared" si="850"/>
        <v>Super Rubro</v>
      </c>
      <c r="AG1333" t="str">
        <f t="shared" si="851"/>
        <v>ComercioExterior</v>
      </c>
      <c r="AH1333" t="str">
        <f t="shared" si="852"/>
        <v>PrecioFOB</v>
      </c>
      <c r="AI1333" t="str">
        <f t="shared" si="853"/>
        <v>Monto II</v>
      </c>
      <c r="AJ1333" t="str">
        <f t="shared" si="854"/>
        <v>Porcentaje II</v>
      </c>
      <c r="AK1333" t="str">
        <f t="shared" si="855"/>
        <v>Foto</v>
      </c>
      <c r="AL1333" t="str">
        <f>" "</f>
        <v xml:space="preserve"> </v>
      </c>
      <c r="AM1333" t="str">
        <f>" "</f>
        <v xml:space="preserve"> </v>
      </c>
    </row>
    <row r="1334" spans="1:39" x14ac:dyDescent="0.25">
      <c r="A1334" t="str">
        <f>"BI067"</f>
        <v>BI067</v>
      </c>
      <c r="B1334" t="str">
        <f>"COJINETES BIELA STD CHEVETTE 1400/1600     SINTER 10067/4"</f>
        <v>COJINETES BIELA STD CHEVETTE 1400/1600     SINTER 10067/4</v>
      </c>
      <c r="C1334" t="str">
        <f>"$ 27777,09"</f>
        <v>$ 27777,09</v>
      </c>
      <c r="D1334" t="str">
        <f>"$ 27777,09"</f>
        <v>$ 27777,09</v>
      </c>
      <c r="E1334" t="str">
        <f>"$ 27777,09"</f>
        <v>$ 27777,09</v>
      </c>
      <c r="F1334" t="str">
        <f>"$ 27777,09"</f>
        <v>$ 27777,09</v>
      </c>
      <c r="G1334" t="str">
        <f>"$ 27777,09"</f>
        <v>$ 27777,09</v>
      </c>
      <c r="H1334" t="str">
        <f t="shared" si="836"/>
        <v>$ 0,00</v>
      </c>
      <c r="I1334" t="str">
        <f t="shared" si="834"/>
        <v>JUEGO COJINETES BIELA</v>
      </c>
      <c r="J1334" t="str">
        <f t="shared" si="837"/>
        <v>1</v>
      </c>
      <c r="K1334" t="str">
        <f t="shared" si="867"/>
        <v>0</v>
      </c>
      <c r="L1334" t="str">
        <f>"0,000"</f>
        <v>0,000</v>
      </c>
      <c r="M1334" t="str">
        <f t="shared" si="838"/>
        <v xml:space="preserve"> </v>
      </c>
      <c r="N1334" t="str">
        <f t="shared" si="863"/>
        <v>MPSI</v>
      </c>
      <c r="O1334" t="str">
        <f t="shared" si="864"/>
        <v>COJINETES</v>
      </c>
      <c r="P1334" t="str">
        <f t="shared" si="865"/>
        <v>0</v>
      </c>
      <c r="Q1334" t="str">
        <f t="shared" si="865"/>
        <v>0</v>
      </c>
      <c r="R1334" t="str">
        <f t="shared" si="866"/>
        <v>0,00</v>
      </c>
      <c r="S1334" t="str">
        <f t="shared" si="866"/>
        <v>0,00</v>
      </c>
      <c r="T1334" t="str">
        <f t="shared" si="857"/>
        <v xml:space="preserve"> </v>
      </c>
      <c r="U1334" t="str">
        <f>" "</f>
        <v xml:space="preserve"> </v>
      </c>
      <c r="V1334" t="str">
        <f>"0,000"</f>
        <v>0,000</v>
      </c>
      <c r="W1334" t="str">
        <f t="shared" si="841"/>
        <v>Lista 4</v>
      </c>
      <c r="X1334" t="str">
        <f t="shared" si="842"/>
        <v>Lista 5</v>
      </c>
      <c r="Y1334" t="str">
        <f t="shared" si="843"/>
        <v>Oferta Gral.</v>
      </c>
      <c r="Z1334" t="str">
        <f t="shared" si="844"/>
        <v>Rubro</v>
      </c>
      <c r="AA1334" t="str">
        <f t="shared" si="845"/>
        <v>Cantidad por Bulto</v>
      </c>
      <c r="AB1334" t="str">
        <f t="shared" si="846"/>
        <v>INNER</v>
      </c>
      <c r="AC1334" t="str">
        <f t="shared" si="847"/>
        <v>Stock en Bultos</v>
      </c>
      <c r="AD1334" t="str">
        <f t="shared" si="848"/>
        <v>SubDepósito</v>
      </c>
      <c r="AE1334" t="str">
        <f t="shared" si="849"/>
        <v>Marca</v>
      </c>
      <c r="AF1334" t="str">
        <f t="shared" si="850"/>
        <v>Super Rubro</v>
      </c>
      <c r="AG1334" t="str">
        <f t="shared" si="851"/>
        <v>ComercioExterior</v>
      </c>
      <c r="AH1334" t="str">
        <f t="shared" si="852"/>
        <v>PrecioFOB</v>
      </c>
      <c r="AI1334" t="str">
        <f t="shared" si="853"/>
        <v>Monto II</v>
      </c>
      <c r="AJ1334" t="str">
        <f t="shared" si="854"/>
        <v>Porcentaje II</v>
      </c>
      <c r="AK1334" t="str">
        <f t="shared" si="855"/>
        <v>Foto</v>
      </c>
      <c r="AL1334" t="str">
        <f>"{\rtf1\ansi\ansicpg1252\deff0\deflang11274{\fonttbl{\f0\fnil\fcharset0 MS Sans Serif}} \viewkind4\uc1\pard\f0\fs16 COJINETES BIELA STD CHEVETTE 1400/1600     SINTER 10067/4\par } "</f>
        <v xml:space="preserve">{\rtf1\ansi\ansicpg1252\deff0\deflang11274{\fonttbl{\f0\fnil\fcharset0 MS Sans Serif}} \viewkind4\uc1\pard\f0\fs16 COJINETES BIELA STD CHEVETTE 1400/1600     SINTER 10067/4\par } </v>
      </c>
      <c r="AM1334" t="str">
        <f>"-"</f>
        <v>-</v>
      </c>
    </row>
    <row r="1335" spans="1:39" x14ac:dyDescent="0.25">
      <c r="A1335" t="str">
        <f>"BI062"</f>
        <v>BI062</v>
      </c>
      <c r="B1335" t="str">
        <f>"COJINETES BIELA STD CHEVROLET 400 CHEVY C10"</f>
        <v>COJINETES BIELA STD CHEVROLET 400 CHEVY C10</v>
      </c>
      <c r="C1335" t="str">
        <f>"$ 22210,98"</f>
        <v>$ 22210,98</v>
      </c>
      <c r="D1335" t="str">
        <f>"$ 22210,98"</f>
        <v>$ 22210,98</v>
      </c>
      <c r="E1335" t="str">
        <f>"$ 22210,98"</f>
        <v>$ 22210,98</v>
      </c>
      <c r="F1335" t="str">
        <f>"$ 22210,98"</f>
        <v>$ 22210,98</v>
      </c>
      <c r="G1335" t="str">
        <f>"$ 22210,98"</f>
        <v>$ 22210,98</v>
      </c>
      <c r="H1335" t="str">
        <f t="shared" si="836"/>
        <v>$ 0,00</v>
      </c>
      <c r="I1335" t="str">
        <f t="shared" si="834"/>
        <v>JUEGO COJINETES BIELA</v>
      </c>
      <c r="J1335" t="str">
        <f t="shared" si="837"/>
        <v>1</v>
      </c>
      <c r="K1335" t="str">
        <f t="shared" si="867"/>
        <v>0</v>
      </c>
      <c r="L1335" t="str">
        <f>"3,000"</f>
        <v>3,000</v>
      </c>
      <c r="M1335" t="str">
        <f t="shared" si="838"/>
        <v xml:space="preserve"> </v>
      </c>
      <c r="N1335" t="str">
        <f t="shared" si="863"/>
        <v>MPSI</v>
      </c>
      <c r="O1335" t="str">
        <f t="shared" si="864"/>
        <v>COJINETES</v>
      </c>
      <c r="P1335" t="str">
        <f t="shared" si="865"/>
        <v>0</v>
      </c>
      <c r="Q1335" t="str">
        <f t="shared" si="865"/>
        <v>0</v>
      </c>
      <c r="R1335" t="str">
        <f t="shared" si="866"/>
        <v>0,00</v>
      </c>
      <c r="S1335" t="str">
        <f t="shared" si="866"/>
        <v>0,00</v>
      </c>
      <c r="T1335" t="str">
        <f t="shared" si="857"/>
        <v xml:space="preserve"> </v>
      </c>
      <c r="U1335" t="str">
        <f t="shared" ref="U1335:U1351" si="868">"-"</f>
        <v>-</v>
      </c>
      <c r="V1335" t="str">
        <f>"3,000"</f>
        <v>3,000</v>
      </c>
      <c r="W1335" t="str">
        <f t="shared" si="841"/>
        <v>Lista 4</v>
      </c>
      <c r="X1335" t="str">
        <f t="shared" si="842"/>
        <v>Lista 5</v>
      </c>
      <c r="Y1335" t="str">
        <f t="shared" si="843"/>
        <v>Oferta Gral.</v>
      </c>
      <c r="Z1335" t="str">
        <f t="shared" si="844"/>
        <v>Rubro</v>
      </c>
      <c r="AA1335" t="str">
        <f t="shared" si="845"/>
        <v>Cantidad por Bulto</v>
      </c>
      <c r="AB1335" t="str">
        <f t="shared" si="846"/>
        <v>INNER</v>
      </c>
      <c r="AC1335" t="str">
        <f t="shared" si="847"/>
        <v>Stock en Bultos</v>
      </c>
      <c r="AD1335" t="str">
        <f t="shared" si="848"/>
        <v>SubDepósito</v>
      </c>
      <c r="AE1335" t="str">
        <f t="shared" si="849"/>
        <v>Marca</v>
      </c>
      <c r="AF1335" t="str">
        <f t="shared" si="850"/>
        <v>Super Rubro</v>
      </c>
      <c r="AG1335" t="str">
        <f t="shared" si="851"/>
        <v>ComercioExterior</v>
      </c>
      <c r="AH1335" t="str">
        <f t="shared" si="852"/>
        <v>PrecioFOB</v>
      </c>
      <c r="AI1335" t="str">
        <f t="shared" si="853"/>
        <v>Monto II</v>
      </c>
      <c r="AJ1335" t="str">
        <f t="shared" si="854"/>
        <v>Porcentaje II</v>
      </c>
      <c r="AK1335" t="str">
        <f t="shared" si="855"/>
        <v>Foto</v>
      </c>
      <c r="AL1335" t="str">
        <f>" "</f>
        <v xml:space="preserve"> </v>
      </c>
      <c r="AM1335" t="str">
        <f>" "</f>
        <v xml:space="preserve"> </v>
      </c>
    </row>
    <row r="1336" spans="1:39" x14ac:dyDescent="0.25">
      <c r="A1336" t="str">
        <f>"BI372"</f>
        <v>BI372</v>
      </c>
      <c r="B1336" t="str">
        <f>"COJINETES BIELA STD CHEVROLET CORSA 1.4 1.6 1.8 FIAT PALIO 1.8 8V"</f>
        <v>COJINETES BIELA STD CHEVROLET CORSA 1.4 1.6 1.8 FIAT PALIO 1.8 8V</v>
      </c>
      <c r="C1336" t="str">
        <f>"$ 10874,12"</f>
        <v>$ 10874,12</v>
      </c>
      <c r="D1336" t="str">
        <f>"$ 10874,12"</f>
        <v>$ 10874,12</v>
      </c>
      <c r="E1336" t="str">
        <f>"$ 10874,12"</f>
        <v>$ 10874,12</v>
      </c>
      <c r="F1336" t="str">
        <f>"$ 10874,12"</f>
        <v>$ 10874,12</v>
      </c>
      <c r="G1336" t="str">
        <f>"$ 10874,12"</f>
        <v>$ 10874,12</v>
      </c>
      <c r="H1336" t="str">
        <f t="shared" si="836"/>
        <v>$ 0,00</v>
      </c>
      <c r="I1336" t="str">
        <f t="shared" ref="I1336:I1399" si="869">"JUEGO COJINETES BIELA"</f>
        <v>JUEGO COJINETES BIELA</v>
      </c>
      <c r="J1336" t="str">
        <f t="shared" si="837"/>
        <v>1</v>
      </c>
      <c r="K1336" t="str">
        <f t="shared" si="867"/>
        <v>0</v>
      </c>
      <c r="L1336" t="str">
        <f>"0,000"</f>
        <v>0,000</v>
      </c>
      <c r="M1336" t="str">
        <f t="shared" si="838"/>
        <v xml:space="preserve"> </v>
      </c>
      <c r="N1336" t="str">
        <f t="shared" si="863"/>
        <v>MPSI</v>
      </c>
      <c r="O1336" t="str">
        <f t="shared" si="864"/>
        <v>COJINETES</v>
      </c>
      <c r="P1336" t="str">
        <f t="shared" si="865"/>
        <v>0</v>
      </c>
      <c r="Q1336" t="str">
        <f t="shared" si="865"/>
        <v>0</v>
      </c>
      <c r="R1336" t="str">
        <f t="shared" si="866"/>
        <v>0,00</v>
      </c>
      <c r="S1336" t="str">
        <f t="shared" si="866"/>
        <v>0,00</v>
      </c>
      <c r="T1336" t="str">
        <f t="shared" si="857"/>
        <v xml:space="preserve"> </v>
      </c>
      <c r="U1336" t="str">
        <f t="shared" si="868"/>
        <v>-</v>
      </c>
      <c r="V1336" t="str">
        <f>"0,000"</f>
        <v>0,000</v>
      </c>
      <c r="W1336" t="str">
        <f t="shared" si="841"/>
        <v>Lista 4</v>
      </c>
      <c r="X1336" t="str">
        <f t="shared" si="842"/>
        <v>Lista 5</v>
      </c>
      <c r="Y1336" t="str">
        <f t="shared" si="843"/>
        <v>Oferta Gral.</v>
      </c>
      <c r="Z1336" t="str">
        <f t="shared" si="844"/>
        <v>Rubro</v>
      </c>
      <c r="AA1336" t="str">
        <f t="shared" si="845"/>
        <v>Cantidad por Bulto</v>
      </c>
      <c r="AB1336" t="str">
        <f t="shared" si="846"/>
        <v>INNER</v>
      </c>
      <c r="AC1336" t="str">
        <f t="shared" si="847"/>
        <v>Stock en Bultos</v>
      </c>
      <c r="AD1336" t="str">
        <f t="shared" si="848"/>
        <v>SubDepósito</v>
      </c>
      <c r="AE1336" t="str">
        <f t="shared" si="849"/>
        <v>Marca</v>
      </c>
      <c r="AF1336" t="str">
        <f t="shared" si="850"/>
        <v>Super Rubro</v>
      </c>
      <c r="AG1336" t="str">
        <f t="shared" si="851"/>
        <v>ComercioExterior</v>
      </c>
      <c r="AH1336" t="str">
        <f t="shared" si="852"/>
        <v>PrecioFOB</v>
      </c>
      <c r="AI1336" t="str">
        <f t="shared" si="853"/>
        <v>Monto II</v>
      </c>
      <c r="AJ1336" t="str">
        <f t="shared" si="854"/>
        <v>Porcentaje II</v>
      </c>
      <c r="AK1336" t="str">
        <f t="shared" si="855"/>
        <v>Foto</v>
      </c>
      <c r="AL1336" t="str">
        <f>"{\rtf1\ansi\ansicpg1252\deff0\deflang2058{\fonttbl{\f0\fnil\fcharset0 MS Sans Serif}} \viewkind4\uc1\pard\f0\fs16 COJINETES BIELA STD CHEVROLET CORSA 1.4 1.6 1.8 FIAT PALIO 1.8 8V\par } "</f>
        <v xml:space="preserve">{\rtf1\ansi\ansicpg1252\deff0\deflang2058{\fonttbl{\f0\fnil\fcharset0 MS Sans Serif}} \viewkind4\uc1\pard\f0\fs16 COJINETES BIELA STD CHEVROLET CORSA 1.4 1.6 1.8 FIAT PALIO 1.8 8V\par } </v>
      </c>
      <c r="AM1336" t="str">
        <f t="shared" ref="AM1336:AM1351" si="870">" "</f>
        <v xml:space="preserve"> </v>
      </c>
    </row>
    <row r="1337" spans="1:39" x14ac:dyDescent="0.25">
      <c r="A1337" t="str">
        <f>"BI810"</f>
        <v>BI810</v>
      </c>
      <c r="B1337" t="str">
        <f>"COJINETES BIELA STD CHEVROLET CORSA 1.7 ISUZU 1,7 DIESEL"</f>
        <v>COJINETES BIELA STD CHEVROLET CORSA 1.7 ISUZU 1,7 DIESEL</v>
      </c>
      <c r="C1337" t="str">
        <f>"$ 17897,69"</f>
        <v>$ 17897,69</v>
      </c>
      <c r="D1337" t="str">
        <f>"$ 17897,69"</f>
        <v>$ 17897,69</v>
      </c>
      <c r="E1337" t="str">
        <f>"$ 17897,69"</f>
        <v>$ 17897,69</v>
      </c>
      <c r="F1337" t="str">
        <f>"$ 17897,69"</f>
        <v>$ 17897,69</v>
      </c>
      <c r="G1337" t="str">
        <f>"$ 17897,69"</f>
        <v>$ 17897,69</v>
      </c>
      <c r="H1337" t="str">
        <f t="shared" si="836"/>
        <v>$ 0,00</v>
      </c>
      <c r="I1337" t="str">
        <f t="shared" si="869"/>
        <v>JUEGO COJINETES BIELA</v>
      </c>
      <c r="J1337" t="str">
        <f t="shared" si="837"/>
        <v>1</v>
      </c>
      <c r="K1337" t="str">
        <f t="shared" si="867"/>
        <v>0</v>
      </c>
      <c r="L1337" t="str">
        <f>"10,000"</f>
        <v>10,000</v>
      </c>
      <c r="M1337" t="str">
        <f t="shared" si="838"/>
        <v xml:space="preserve"> </v>
      </c>
      <c r="N1337" t="str">
        <f t="shared" si="863"/>
        <v>MPSI</v>
      </c>
      <c r="O1337" t="str">
        <f t="shared" si="864"/>
        <v>COJINETES</v>
      </c>
      <c r="P1337" t="str">
        <f t="shared" si="865"/>
        <v>0</v>
      </c>
      <c r="Q1337" t="str">
        <f t="shared" si="865"/>
        <v>0</v>
      </c>
      <c r="R1337" t="str">
        <f t="shared" si="866"/>
        <v>0,00</v>
      </c>
      <c r="S1337" t="str">
        <f t="shared" si="866"/>
        <v>0,00</v>
      </c>
      <c r="T1337" t="str">
        <f t="shared" si="857"/>
        <v xml:space="preserve"> </v>
      </c>
      <c r="U1337" t="str">
        <f t="shared" si="868"/>
        <v>-</v>
      </c>
      <c r="V1337" t="str">
        <f>"10,000"</f>
        <v>10,000</v>
      </c>
      <c r="W1337" t="str">
        <f t="shared" si="841"/>
        <v>Lista 4</v>
      </c>
      <c r="X1337" t="str">
        <f t="shared" si="842"/>
        <v>Lista 5</v>
      </c>
      <c r="Y1337" t="str">
        <f t="shared" si="843"/>
        <v>Oferta Gral.</v>
      </c>
      <c r="Z1337" t="str">
        <f t="shared" si="844"/>
        <v>Rubro</v>
      </c>
      <c r="AA1337" t="str">
        <f t="shared" si="845"/>
        <v>Cantidad por Bulto</v>
      </c>
      <c r="AB1337" t="str">
        <f t="shared" si="846"/>
        <v>INNER</v>
      </c>
      <c r="AC1337" t="str">
        <f t="shared" si="847"/>
        <v>Stock en Bultos</v>
      </c>
      <c r="AD1337" t="str">
        <f t="shared" si="848"/>
        <v>SubDepósito</v>
      </c>
      <c r="AE1337" t="str">
        <f t="shared" si="849"/>
        <v>Marca</v>
      </c>
      <c r="AF1337" t="str">
        <f t="shared" si="850"/>
        <v>Super Rubro</v>
      </c>
      <c r="AG1337" t="str">
        <f t="shared" si="851"/>
        <v>ComercioExterior</v>
      </c>
      <c r="AH1337" t="str">
        <f t="shared" si="852"/>
        <v>PrecioFOB</v>
      </c>
      <c r="AI1337" t="str">
        <f t="shared" si="853"/>
        <v>Monto II</v>
      </c>
      <c r="AJ1337" t="str">
        <f t="shared" si="854"/>
        <v>Porcentaje II</v>
      </c>
      <c r="AK1337" t="str">
        <f t="shared" si="855"/>
        <v>Foto</v>
      </c>
      <c r="AL1337" t="str">
        <f t="shared" ref="AL1337:AL1344" si="871">" "</f>
        <v xml:space="preserve"> </v>
      </c>
      <c r="AM1337" t="str">
        <f t="shared" si="870"/>
        <v xml:space="preserve"> </v>
      </c>
    </row>
    <row r="1338" spans="1:39" x14ac:dyDescent="0.25">
      <c r="A1338" t="str">
        <f>"BI054915"</f>
        <v>BI054915</v>
      </c>
      <c r="B1338" t="str">
        <f>"COJINETES BIELA STD CHEVROLET CRUZE TRACKER 1.8 16V Z18XE 6 N18XFF"</f>
        <v>COJINETES BIELA STD CHEVROLET CRUZE TRACKER 1.8 16V Z18XE 6 N18XFF</v>
      </c>
      <c r="C1338" t="str">
        <f>"$ 12622,35"</f>
        <v>$ 12622,35</v>
      </c>
      <c r="D1338" t="str">
        <f>"$ 12622,35"</f>
        <v>$ 12622,35</v>
      </c>
      <c r="E1338" t="str">
        <f>"$ 12622,35"</f>
        <v>$ 12622,35</v>
      </c>
      <c r="F1338" t="str">
        <f>"$ 12622,35"</f>
        <v>$ 12622,35</v>
      </c>
      <c r="G1338" t="str">
        <f>"$ 12622,35"</f>
        <v>$ 12622,35</v>
      </c>
      <c r="H1338" t="str">
        <f t="shared" si="836"/>
        <v>$ 0,00</v>
      </c>
      <c r="I1338" t="str">
        <f t="shared" si="869"/>
        <v>JUEGO COJINETES BIELA</v>
      </c>
      <c r="J1338" t="str">
        <f t="shared" si="837"/>
        <v>1</v>
      </c>
      <c r="K1338" t="str">
        <f t="shared" si="867"/>
        <v>0</v>
      </c>
      <c r="L1338" t="str">
        <f>"10,000"</f>
        <v>10,000</v>
      </c>
      <c r="M1338" t="str">
        <f t="shared" si="838"/>
        <v xml:space="preserve"> </v>
      </c>
      <c r="N1338" t="str">
        <f t="shared" si="863"/>
        <v>MPSI</v>
      </c>
      <c r="O1338" t="str">
        <f t="shared" si="864"/>
        <v>COJINETES</v>
      </c>
      <c r="P1338" t="str">
        <f t="shared" si="865"/>
        <v>0</v>
      </c>
      <c r="Q1338" t="str">
        <f t="shared" si="865"/>
        <v>0</v>
      </c>
      <c r="R1338" t="str">
        <f t="shared" si="866"/>
        <v>0,00</v>
      </c>
      <c r="S1338" t="str">
        <f t="shared" si="866"/>
        <v>0,00</v>
      </c>
      <c r="T1338" t="str">
        <f t="shared" si="857"/>
        <v xml:space="preserve"> </v>
      </c>
      <c r="U1338" t="str">
        <f t="shared" si="868"/>
        <v>-</v>
      </c>
      <c r="V1338" t="str">
        <f>"10,000"</f>
        <v>10,000</v>
      </c>
      <c r="W1338" t="str">
        <f t="shared" si="841"/>
        <v>Lista 4</v>
      </c>
      <c r="X1338" t="str">
        <f t="shared" si="842"/>
        <v>Lista 5</v>
      </c>
      <c r="Y1338" t="str">
        <f t="shared" si="843"/>
        <v>Oferta Gral.</v>
      </c>
      <c r="Z1338" t="str">
        <f t="shared" si="844"/>
        <v>Rubro</v>
      </c>
      <c r="AA1338" t="str">
        <f t="shared" si="845"/>
        <v>Cantidad por Bulto</v>
      </c>
      <c r="AB1338" t="str">
        <f t="shared" si="846"/>
        <v>INNER</v>
      </c>
      <c r="AC1338" t="str">
        <f t="shared" si="847"/>
        <v>Stock en Bultos</v>
      </c>
      <c r="AD1338" t="str">
        <f t="shared" si="848"/>
        <v>SubDepósito</v>
      </c>
      <c r="AE1338" t="str">
        <f t="shared" si="849"/>
        <v>Marca</v>
      </c>
      <c r="AF1338" t="str">
        <f t="shared" si="850"/>
        <v>Super Rubro</v>
      </c>
      <c r="AG1338" t="str">
        <f t="shared" si="851"/>
        <v>ComercioExterior</v>
      </c>
      <c r="AH1338" t="str">
        <f t="shared" si="852"/>
        <v>PrecioFOB</v>
      </c>
      <c r="AI1338" t="str">
        <f t="shared" si="853"/>
        <v>Monto II</v>
      </c>
      <c r="AJ1338" t="str">
        <f t="shared" si="854"/>
        <v>Porcentaje II</v>
      </c>
      <c r="AK1338" t="str">
        <f t="shared" si="855"/>
        <v>Foto</v>
      </c>
      <c r="AL1338" t="str">
        <f t="shared" si="871"/>
        <v xml:space="preserve"> </v>
      </c>
      <c r="AM1338" t="str">
        <f t="shared" si="870"/>
        <v xml:space="preserve"> </v>
      </c>
    </row>
    <row r="1339" spans="1:39" x14ac:dyDescent="0.25">
      <c r="A1339" t="str">
        <f>"BI054928"</f>
        <v>BI054928</v>
      </c>
      <c r="B1339" t="str">
        <f>"COJINETES BIELA STD CHEVROLET CRUZE X12XE 1.4 TURBO"</f>
        <v>COJINETES BIELA STD CHEVROLET CRUZE X12XE 1.4 TURBO</v>
      </c>
      <c r="C1339" t="str">
        <f>"$ 11593,57"</f>
        <v>$ 11593,57</v>
      </c>
      <c r="D1339" t="str">
        <f>"$ 11593,57"</f>
        <v>$ 11593,57</v>
      </c>
      <c r="E1339" t="str">
        <f>"$ 11593,57"</f>
        <v>$ 11593,57</v>
      </c>
      <c r="F1339" t="str">
        <f>"$ 11593,57"</f>
        <v>$ 11593,57</v>
      </c>
      <c r="G1339" t="str">
        <f>"$ 11593,57"</f>
        <v>$ 11593,57</v>
      </c>
      <c r="H1339" t="str">
        <f t="shared" si="836"/>
        <v>$ 0,00</v>
      </c>
      <c r="I1339" t="str">
        <f t="shared" si="869"/>
        <v>JUEGO COJINETES BIELA</v>
      </c>
      <c r="J1339" t="str">
        <f t="shared" si="837"/>
        <v>1</v>
      </c>
      <c r="K1339" t="str">
        <f t="shared" si="867"/>
        <v>0</v>
      </c>
      <c r="L1339" t="str">
        <f>"6,000"</f>
        <v>6,000</v>
      </c>
      <c r="M1339" t="str">
        <f t="shared" si="838"/>
        <v xml:space="preserve"> </v>
      </c>
      <c r="N1339" t="str">
        <f t="shared" si="863"/>
        <v>MPSI</v>
      </c>
      <c r="O1339" t="str">
        <f t="shared" si="864"/>
        <v>COJINETES</v>
      </c>
      <c r="P1339" t="str">
        <f t="shared" si="865"/>
        <v>0</v>
      </c>
      <c r="Q1339" t="str">
        <f t="shared" si="865"/>
        <v>0</v>
      </c>
      <c r="R1339" t="str">
        <f t="shared" si="866"/>
        <v>0,00</v>
      </c>
      <c r="S1339" t="str">
        <f t="shared" si="866"/>
        <v>0,00</v>
      </c>
      <c r="T1339" t="str">
        <f t="shared" si="857"/>
        <v xml:space="preserve"> </v>
      </c>
      <c r="U1339" t="str">
        <f t="shared" si="868"/>
        <v>-</v>
      </c>
      <c r="V1339" t="str">
        <f>"6,000"</f>
        <v>6,000</v>
      </c>
      <c r="W1339" t="str">
        <f t="shared" si="841"/>
        <v>Lista 4</v>
      </c>
      <c r="X1339" t="str">
        <f t="shared" si="842"/>
        <v>Lista 5</v>
      </c>
      <c r="Y1339" t="str">
        <f t="shared" si="843"/>
        <v>Oferta Gral.</v>
      </c>
      <c r="Z1339" t="str">
        <f t="shared" si="844"/>
        <v>Rubro</v>
      </c>
      <c r="AA1339" t="str">
        <f t="shared" si="845"/>
        <v>Cantidad por Bulto</v>
      </c>
      <c r="AB1339" t="str">
        <f t="shared" si="846"/>
        <v>INNER</v>
      </c>
      <c r="AC1339" t="str">
        <f t="shared" si="847"/>
        <v>Stock en Bultos</v>
      </c>
      <c r="AD1339" t="str">
        <f t="shared" si="848"/>
        <v>SubDepósito</v>
      </c>
      <c r="AE1339" t="str">
        <f t="shared" si="849"/>
        <v>Marca</v>
      </c>
      <c r="AF1339" t="str">
        <f t="shared" si="850"/>
        <v>Super Rubro</v>
      </c>
      <c r="AG1339" t="str">
        <f t="shared" si="851"/>
        <v>ComercioExterior</v>
      </c>
      <c r="AH1339" t="str">
        <f t="shared" si="852"/>
        <v>PrecioFOB</v>
      </c>
      <c r="AI1339" t="str">
        <f t="shared" si="853"/>
        <v>Monto II</v>
      </c>
      <c r="AJ1339" t="str">
        <f t="shared" si="854"/>
        <v>Porcentaje II</v>
      </c>
      <c r="AK1339" t="str">
        <f t="shared" si="855"/>
        <v>Foto</v>
      </c>
      <c r="AL1339" t="str">
        <f t="shared" si="871"/>
        <v xml:space="preserve"> </v>
      </c>
      <c r="AM1339" t="str">
        <f t="shared" si="870"/>
        <v xml:space="preserve"> </v>
      </c>
    </row>
    <row r="1340" spans="1:39" x14ac:dyDescent="0.25">
      <c r="A1340" t="str">
        <f>"BI070"</f>
        <v>BI070</v>
      </c>
      <c r="B1340" t="str">
        <f>"COJINETES BIELA STD CHEVROLET MONZA ASTRA 1.8 2.0 8V"</f>
        <v>COJINETES BIELA STD CHEVROLET MONZA ASTRA 1.8 2.0 8V</v>
      </c>
      <c r="C1340" t="str">
        <f>"$ 15174,52"</f>
        <v>$ 15174,52</v>
      </c>
      <c r="D1340" t="str">
        <f>"$ 15174,52"</f>
        <v>$ 15174,52</v>
      </c>
      <c r="E1340" t="str">
        <f>"$ 15174,52"</f>
        <v>$ 15174,52</v>
      </c>
      <c r="F1340" t="str">
        <f>"$ 15174,52"</f>
        <v>$ 15174,52</v>
      </c>
      <c r="G1340" t="str">
        <f>"$ 15174,52"</f>
        <v>$ 15174,52</v>
      </c>
      <c r="H1340" t="str">
        <f t="shared" si="836"/>
        <v>$ 0,00</v>
      </c>
      <c r="I1340" t="str">
        <f t="shared" si="869"/>
        <v>JUEGO COJINETES BIELA</v>
      </c>
      <c r="J1340" t="str">
        <f t="shared" si="837"/>
        <v>1</v>
      </c>
      <c r="K1340" t="str">
        <f t="shared" si="867"/>
        <v>0</v>
      </c>
      <c r="L1340" t="str">
        <f>"2,000"</f>
        <v>2,000</v>
      </c>
      <c r="M1340" t="str">
        <f t="shared" si="838"/>
        <v xml:space="preserve"> </v>
      </c>
      <c r="N1340" t="str">
        <f t="shared" si="863"/>
        <v>MPSI</v>
      </c>
      <c r="O1340" t="str">
        <f t="shared" si="864"/>
        <v>COJINETES</v>
      </c>
      <c r="P1340" t="str">
        <f t="shared" si="865"/>
        <v>0</v>
      </c>
      <c r="Q1340" t="str">
        <f t="shared" si="865"/>
        <v>0</v>
      </c>
      <c r="R1340" t="str">
        <f t="shared" si="866"/>
        <v>0,00</v>
      </c>
      <c r="S1340" t="str">
        <f t="shared" si="866"/>
        <v>0,00</v>
      </c>
      <c r="T1340" t="str">
        <f t="shared" si="857"/>
        <v xml:space="preserve"> </v>
      </c>
      <c r="U1340" t="str">
        <f t="shared" si="868"/>
        <v>-</v>
      </c>
      <c r="V1340" t="str">
        <f>"2,000"</f>
        <v>2,000</v>
      </c>
      <c r="W1340" t="str">
        <f t="shared" si="841"/>
        <v>Lista 4</v>
      </c>
      <c r="X1340" t="str">
        <f t="shared" si="842"/>
        <v>Lista 5</v>
      </c>
      <c r="Y1340" t="str">
        <f t="shared" si="843"/>
        <v>Oferta Gral.</v>
      </c>
      <c r="Z1340" t="str">
        <f t="shared" si="844"/>
        <v>Rubro</v>
      </c>
      <c r="AA1340" t="str">
        <f t="shared" si="845"/>
        <v>Cantidad por Bulto</v>
      </c>
      <c r="AB1340" t="str">
        <f t="shared" si="846"/>
        <v>INNER</v>
      </c>
      <c r="AC1340" t="str">
        <f t="shared" si="847"/>
        <v>Stock en Bultos</v>
      </c>
      <c r="AD1340" t="str">
        <f t="shared" si="848"/>
        <v>SubDepósito</v>
      </c>
      <c r="AE1340" t="str">
        <f t="shared" si="849"/>
        <v>Marca</v>
      </c>
      <c r="AF1340" t="str">
        <f t="shared" si="850"/>
        <v>Super Rubro</v>
      </c>
      <c r="AG1340" t="str">
        <f t="shared" si="851"/>
        <v>ComercioExterior</v>
      </c>
      <c r="AH1340" t="str">
        <f t="shared" si="852"/>
        <v>PrecioFOB</v>
      </c>
      <c r="AI1340" t="str">
        <f t="shared" si="853"/>
        <v>Monto II</v>
      </c>
      <c r="AJ1340" t="str">
        <f t="shared" si="854"/>
        <v>Porcentaje II</v>
      </c>
      <c r="AK1340" t="str">
        <f t="shared" si="855"/>
        <v>Foto</v>
      </c>
      <c r="AL1340" t="str">
        <f t="shared" si="871"/>
        <v xml:space="preserve"> </v>
      </c>
      <c r="AM1340" t="str">
        <f t="shared" si="870"/>
        <v xml:space="preserve"> </v>
      </c>
    </row>
    <row r="1341" spans="1:39" x14ac:dyDescent="0.25">
      <c r="A1341" t="str">
        <f>"BI054420"</f>
        <v>BI054420</v>
      </c>
      <c r="B1341" t="str">
        <f>"COJINETES BIELA STD CHEVROLET S10 DURAMAX 2,8 16V"</f>
        <v>COJINETES BIELA STD CHEVROLET S10 DURAMAX 2,8 16V</v>
      </c>
      <c r="C1341" t="str">
        <f>"$ 28627,81"</f>
        <v>$ 28627,81</v>
      </c>
      <c r="D1341" t="str">
        <f>"$ 28627,81"</f>
        <v>$ 28627,81</v>
      </c>
      <c r="E1341" t="str">
        <f>"$ 28627,81"</f>
        <v>$ 28627,81</v>
      </c>
      <c r="F1341" t="str">
        <f>"$ 28627,81"</f>
        <v>$ 28627,81</v>
      </c>
      <c r="G1341" t="str">
        <f>"$ 28627,81"</f>
        <v>$ 28627,81</v>
      </c>
      <c r="H1341" t="str">
        <f t="shared" si="836"/>
        <v>$ 0,00</v>
      </c>
      <c r="I1341" t="str">
        <f t="shared" si="869"/>
        <v>JUEGO COJINETES BIELA</v>
      </c>
      <c r="J1341" t="str">
        <f t="shared" si="837"/>
        <v>1</v>
      </c>
      <c r="K1341" t="str">
        <f t="shared" si="867"/>
        <v>0</v>
      </c>
      <c r="L1341" t="str">
        <f>"0,000"</f>
        <v>0,000</v>
      </c>
      <c r="M1341" t="str">
        <f t="shared" si="838"/>
        <v xml:space="preserve"> </v>
      </c>
      <c r="N1341" t="str">
        <f t="shared" si="863"/>
        <v>MPSI</v>
      </c>
      <c r="O1341" t="str">
        <f t="shared" si="864"/>
        <v>COJINETES</v>
      </c>
      <c r="P1341" t="str">
        <f t="shared" si="865"/>
        <v>0</v>
      </c>
      <c r="Q1341" t="str">
        <f t="shared" si="865"/>
        <v>0</v>
      </c>
      <c r="R1341" t="str">
        <f t="shared" si="866"/>
        <v>0,00</v>
      </c>
      <c r="S1341" t="str">
        <f t="shared" si="866"/>
        <v>0,00</v>
      </c>
      <c r="T1341" t="str">
        <f t="shared" si="857"/>
        <v xml:space="preserve"> </v>
      </c>
      <c r="U1341" t="str">
        <f t="shared" si="868"/>
        <v>-</v>
      </c>
      <c r="V1341" t="str">
        <f>"0,000"</f>
        <v>0,000</v>
      </c>
      <c r="W1341" t="str">
        <f t="shared" si="841"/>
        <v>Lista 4</v>
      </c>
      <c r="X1341" t="str">
        <f t="shared" si="842"/>
        <v>Lista 5</v>
      </c>
      <c r="Y1341" t="str">
        <f t="shared" si="843"/>
        <v>Oferta Gral.</v>
      </c>
      <c r="Z1341" t="str">
        <f t="shared" si="844"/>
        <v>Rubro</v>
      </c>
      <c r="AA1341" t="str">
        <f t="shared" si="845"/>
        <v>Cantidad por Bulto</v>
      </c>
      <c r="AB1341" t="str">
        <f t="shared" si="846"/>
        <v>INNER</v>
      </c>
      <c r="AC1341" t="str">
        <f t="shared" si="847"/>
        <v>Stock en Bultos</v>
      </c>
      <c r="AD1341" t="str">
        <f t="shared" si="848"/>
        <v>SubDepósito</v>
      </c>
      <c r="AE1341" t="str">
        <f t="shared" si="849"/>
        <v>Marca</v>
      </c>
      <c r="AF1341" t="str">
        <f t="shared" si="850"/>
        <v>Super Rubro</v>
      </c>
      <c r="AG1341" t="str">
        <f t="shared" si="851"/>
        <v>ComercioExterior</v>
      </c>
      <c r="AH1341" t="str">
        <f t="shared" si="852"/>
        <v>PrecioFOB</v>
      </c>
      <c r="AI1341" t="str">
        <f t="shared" si="853"/>
        <v>Monto II</v>
      </c>
      <c r="AJ1341" t="str">
        <f t="shared" si="854"/>
        <v>Porcentaje II</v>
      </c>
      <c r="AK1341" t="str">
        <f t="shared" si="855"/>
        <v>Foto</v>
      </c>
      <c r="AL1341" t="str">
        <f t="shared" si="871"/>
        <v xml:space="preserve"> </v>
      </c>
      <c r="AM1341" t="str">
        <f t="shared" si="870"/>
        <v xml:space="preserve"> </v>
      </c>
    </row>
    <row r="1342" spans="1:39" x14ac:dyDescent="0.25">
      <c r="A1342" t="str">
        <f>"BI580"</f>
        <v>BI580</v>
      </c>
      <c r="B1342" t="str">
        <f>"COJINETES BIELA STD DAEWOO TICO MATIZ MOTOR 3 CILINDROS F8CB F8CV"</f>
        <v>COJINETES BIELA STD DAEWOO TICO MATIZ MOTOR 3 CILINDROS F8CB F8CV</v>
      </c>
      <c r="C1342" t="str">
        <f>"$ 10010,83"</f>
        <v>$ 10010,83</v>
      </c>
      <c r="D1342" t="str">
        <f>"$ 10010,83"</f>
        <v>$ 10010,83</v>
      </c>
      <c r="E1342" t="str">
        <f>"$ 10010,83"</f>
        <v>$ 10010,83</v>
      </c>
      <c r="F1342" t="str">
        <f>"$ 10010,83"</f>
        <v>$ 10010,83</v>
      </c>
      <c r="G1342" t="str">
        <f>"$ 10010,83"</f>
        <v>$ 10010,83</v>
      </c>
      <c r="H1342" t="str">
        <f t="shared" si="836"/>
        <v>$ 0,00</v>
      </c>
      <c r="I1342" t="str">
        <f t="shared" si="869"/>
        <v>JUEGO COJINETES BIELA</v>
      </c>
      <c r="J1342" t="str">
        <f t="shared" si="837"/>
        <v>1</v>
      </c>
      <c r="K1342" t="str">
        <f t="shared" si="867"/>
        <v>0</v>
      </c>
      <c r="L1342" t="str">
        <f>"3,000"</f>
        <v>3,000</v>
      </c>
      <c r="M1342" t="str">
        <f t="shared" si="838"/>
        <v xml:space="preserve"> </v>
      </c>
      <c r="N1342" t="str">
        <f t="shared" si="863"/>
        <v>MPSI</v>
      </c>
      <c r="O1342" t="str">
        <f t="shared" si="864"/>
        <v>COJINETES</v>
      </c>
      <c r="P1342" t="str">
        <f t="shared" si="865"/>
        <v>0</v>
      </c>
      <c r="Q1342" t="str">
        <f t="shared" si="865"/>
        <v>0</v>
      </c>
      <c r="R1342" t="str">
        <f t="shared" si="866"/>
        <v>0,00</v>
      </c>
      <c r="S1342" t="str">
        <f t="shared" si="866"/>
        <v>0,00</v>
      </c>
      <c r="T1342" t="str">
        <f t="shared" si="857"/>
        <v xml:space="preserve"> </v>
      </c>
      <c r="U1342" t="str">
        <f t="shared" si="868"/>
        <v>-</v>
      </c>
      <c r="V1342" t="str">
        <f>"3,000"</f>
        <v>3,000</v>
      </c>
      <c r="W1342" t="str">
        <f t="shared" si="841"/>
        <v>Lista 4</v>
      </c>
      <c r="X1342" t="str">
        <f t="shared" si="842"/>
        <v>Lista 5</v>
      </c>
      <c r="Y1342" t="str">
        <f t="shared" si="843"/>
        <v>Oferta Gral.</v>
      </c>
      <c r="Z1342" t="str">
        <f t="shared" si="844"/>
        <v>Rubro</v>
      </c>
      <c r="AA1342" t="str">
        <f t="shared" si="845"/>
        <v>Cantidad por Bulto</v>
      </c>
      <c r="AB1342" t="str">
        <f t="shared" si="846"/>
        <v>INNER</v>
      </c>
      <c r="AC1342" t="str">
        <f t="shared" si="847"/>
        <v>Stock en Bultos</v>
      </c>
      <c r="AD1342" t="str">
        <f t="shared" si="848"/>
        <v>SubDepósito</v>
      </c>
      <c r="AE1342" t="str">
        <f t="shared" si="849"/>
        <v>Marca</v>
      </c>
      <c r="AF1342" t="str">
        <f t="shared" si="850"/>
        <v>Super Rubro</v>
      </c>
      <c r="AG1342" t="str">
        <f t="shared" si="851"/>
        <v>ComercioExterior</v>
      </c>
      <c r="AH1342" t="str">
        <f t="shared" si="852"/>
        <v>PrecioFOB</v>
      </c>
      <c r="AI1342" t="str">
        <f t="shared" si="853"/>
        <v>Monto II</v>
      </c>
      <c r="AJ1342" t="str">
        <f t="shared" si="854"/>
        <v>Porcentaje II</v>
      </c>
      <c r="AK1342" t="str">
        <f t="shared" si="855"/>
        <v>Foto</v>
      </c>
      <c r="AL1342" t="str">
        <f t="shared" si="871"/>
        <v xml:space="preserve"> </v>
      </c>
      <c r="AM1342" t="str">
        <f t="shared" si="870"/>
        <v xml:space="preserve"> </v>
      </c>
    </row>
    <row r="1343" spans="1:39" x14ac:dyDescent="0.25">
      <c r="A1343" t="str">
        <f>"BI082"</f>
        <v>BI082</v>
      </c>
      <c r="B1343" t="str">
        <f>"COJINETES BIELA STD DODGE 1500"</f>
        <v>COJINETES BIELA STD DODGE 1500</v>
      </c>
      <c r="C1343" t="str">
        <f>"$ 17350,79"</f>
        <v>$ 17350,79</v>
      </c>
      <c r="D1343" t="str">
        <f>"$ 17350,79"</f>
        <v>$ 17350,79</v>
      </c>
      <c r="E1343" t="str">
        <f>"$ 17350,79"</f>
        <v>$ 17350,79</v>
      </c>
      <c r="F1343" t="str">
        <f>"$ 17350,79"</f>
        <v>$ 17350,79</v>
      </c>
      <c r="G1343" t="str">
        <f>"$ 17350,79"</f>
        <v>$ 17350,79</v>
      </c>
      <c r="H1343" t="str">
        <f t="shared" si="836"/>
        <v>$ 0,00</v>
      </c>
      <c r="I1343" t="str">
        <f t="shared" si="869"/>
        <v>JUEGO COJINETES BIELA</v>
      </c>
      <c r="J1343" t="str">
        <f t="shared" si="837"/>
        <v>1</v>
      </c>
      <c r="K1343" t="str">
        <f t="shared" si="867"/>
        <v>0</v>
      </c>
      <c r="L1343" t="str">
        <f>"3,000"</f>
        <v>3,000</v>
      </c>
      <c r="M1343" t="str">
        <f t="shared" si="838"/>
        <v xml:space="preserve"> </v>
      </c>
      <c r="N1343" t="str">
        <f t="shared" si="863"/>
        <v>MPSI</v>
      </c>
      <c r="O1343" t="str">
        <f t="shared" si="864"/>
        <v>COJINETES</v>
      </c>
      <c r="P1343" t="str">
        <f t="shared" ref="P1343:Q1362" si="872">"0"</f>
        <v>0</v>
      </c>
      <c r="Q1343" t="str">
        <f t="shared" si="872"/>
        <v>0</v>
      </c>
      <c r="R1343" t="str">
        <f t="shared" ref="R1343:S1362" si="873">"0,00"</f>
        <v>0,00</v>
      </c>
      <c r="S1343" t="str">
        <f t="shared" si="873"/>
        <v>0,00</v>
      </c>
      <c r="T1343" t="str">
        <f t="shared" si="857"/>
        <v xml:space="preserve"> </v>
      </c>
      <c r="U1343" t="str">
        <f t="shared" si="868"/>
        <v>-</v>
      </c>
      <c r="V1343" t="str">
        <f>"3,000"</f>
        <v>3,000</v>
      </c>
      <c r="W1343" t="str">
        <f t="shared" si="841"/>
        <v>Lista 4</v>
      </c>
      <c r="X1343" t="str">
        <f t="shared" si="842"/>
        <v>Lista 5</v>
      </c>
      <c r="Y1343" t="str">
        <f t="shared" si="843"/>
        <v>Oferta Gral.</v>
      </c>
      <c r="Z1343" t="str">
        <f t="shared" si="844"/>
        <v>Rubro</v>
      </c>
      <c r="AA1343" t="str">
        <f t="shared" si="845"/>
        <v>Cantidad por Bulto</v>
      </c>
      <c r="AB1343" t="str">
        <f t="shared" si="846"/>
        <v>INNER</v>
      </c>
      <c r="AC1343" t="str">
        <f t="shared" si="847"/>
        <v>Stock en Bultos</v>
      </c>
      <c r="AD1343" t="str">
        <f t="shared" si="848"/>
        <v>SubDepósito</v>
      </c>
      <c r="AE1343" t="str">
        <f t="shared" si="849"/>
        <v>Marca</v>
      </c>
      <c r="AF1343" t="str">
        <f t="shared" si="850"/>
        <v>Super Rubro</v>
      </c>
      <c r="AG1343" t="str">
        <f t="shared" si="851"/>
        <v>ComercioExterior</v>
      </c>
      <c r="AH1343" t="str">
        <f t="shared" si="852"/>
        <v>PrecioFOB</v>
      </c>
      <c r="AI1343" t="str">
        <f t="shared" si="853"/>
        <v>Monto II</v>
      </c>
      <c r="AJ1343" t="str">
        <f t="shared" si="854"/>
        <v>Porcentaje II</v>
      </c>
      <c r="AK1343" t="str">
        <f t="shared" si="855"/>
        <v>Foto</v>
      </c>
      <c r="AL1343" t="str">
        <f t="shared" si="871"/>
        <v xml:space="preserve"> </v>
      </c>
      <c r="AM1343" t="str">
        <f t="shared" si="870"/>
        <v xml:space="preserve"> </v>
      </c>
    </row>
    <row r="1344" spans="1:39" x14ac:dyDescent="0.25">
      <c r="A1344" t="str">
        <f>"BI080"</f>
        <v>BI080</v>
      </c>
      <c r="B1344" t="str">
        <f>"COJINETES BIELA STD DODGE VALIANT"</f>
        <v>COJINETES BIELA STD DODGE VALIANT</v>
      </c>
      <c r="C1344" t="str">
        <f>"$ 29518,10"</f>
        <v>$ 29518,10</v>
      </c>
      <c r="D1344" t="str">
        <f>"$ 29518,10"</f>
        <v>$ 29518,10</v>
      </c>
      <c r="E1344" t="str">
        <f>"$ 29518,10"</f>
        <v>$ 29518,10</v>
      </c>
      <c r="F1344" t="str">
        <f>"$ 29518,10"</f>
        <v>$ 29518,10</v>
      </c>
      <c r="G1344" t="str">
        <f>"$ 29518,10"</f>
        <v>$ 29518,10</v>
      </c>
      <c r="H1344" t="str">
        <f t="shared" si="836"/>
        <v>$ 0,00</v>
      </c>
      <c r="I1344" t="str">
        <f t="shared" si="869"/>
        <v>JUEGO COJINETES BIELA</v>
      </c>
      <c r="J1344" t="str">
        <f t="shared" si="837"/>
        <v>1</v>
      </c>
      <c r="K1344" t="str">
        <f t="shared" si="867"/>
        <v>0</v>
      </c>
      <c r="L1344" t="str">
        <f>"0,000"</f>
        <v>0,000</v>
      </c>
      <c r="M1344" t="str">
        <f t="shared" si="838"/>
        <v xml:space="preserve"> </v>
      </c>
      <c r="N1344" t="str">
        <f t="shared" si="863"/>
        <v>MPSI</v>
      </c>
      <c r="O1344" t="str">
        <f t="shared" si="864"/>
        <v>COJINETES</v>
      </c>
      <c r="P1344" t="str">
        <f t="shared" si="872"/>
        <v>0</v>
      </c>
      <c r="Q1344" t="str">
        <f t="shared" si="872"/>
        <v>0</v>
      </c>
      <c r="R1344" t="str">
        <f t="shared" si="873"/>
        <v>0,00</v>
      </c>
      <c r="S1344" t="str">
        <f t="shared" si="873"/>
        <v>0,00</v>
      </c>
      <c r="T1344" t="str">
        <f t="shared" si="857"/>
        <v xml:space="preserve"> </v>
      </c>
      <c r="U1344" t="str">
        <f t="shared" si="868"/>
        <v>-</v>
      </c>
      <c r="V1344" t="str">
        <f>"0,000"</f>
        <v>0,000</v>
      </c>
      <c r="W1344" t="str">
        <f t="shared" si="841"/>
        <v>Lista 4</v>
      </c>
      <c r="X1344" t="str">
        <f t="shared" si="842"/>
        <v>Lista 5</v>
      </c>
      <c r="Y1344" t="str">
        <f t="shared" si="843"/>
        <v>Oferta Gral.</v>
      </c>
      <c r="Z1344" t="str">
        <f t="shared" si="844"/>
        <v>Rubro</v>
      </c>
      <c r="AA1344" t="str">
        <f t="shared" si="845"/>
        <v>Cantidad por Bulto</v>
      </c>
      <c r="AB1344" t="str">
        <f t="shared" si="846"/>
        <v>INNER</v>
      </c>
      <c r="AC1344" t="str">
        <f t="shared" si="847"/>
        <v>Stock en Bultos</v>
      </c>
      <c r="AD1344" t="str">
        <f t="shared" si="848"/>
        <v>SubDepósito</v>
      </c>
      <c r="AE1344" t="str">
        <f t="shared" si="849"/>
        <v>Marca</v>
      </c>
      <c r="AF1344" t="str">
        <f t="shared" si="850"/>
        <v>Super Rubro</v>
      </c>
      <c r="AG1344" t="str">
        <f t="shared" si="851"/>
        <v>ComercioExterior</v>
      </c>
      <c r="AH1344" t="str">
        <f t="shared" si="852"/>
        <v>PrecioFOB</v>
      </c>
      <c r="AI1344" t="str">
        <f t="shared" si="853"/>
        <v>Monto II</v>
      </c>
      <c r="AJ1344" t="str">
        <f t="shared" si="854"/>
        <v>Porcentaje II</v>
      </c>
      <c r="AK1344" t="str">
        <f t="shared" si="855"/>
        <v>Foto</v>
      </c>
      <c r="AL1344" t="str">
        <f t="shared" si="871"/>
        <v xml:space="preserve"> </v>
      </c>
      <c r="AM1344" t="str">
        <f t="shared" si="870"/>
        <v xml:space="preserve"> </v>
      </c>
    </row>
    <row r="1345" spans="1:39" x14ac:dyDescent="0.25">
      <c r="A1345" t="str">
        <f>"BI144405"</f>
        <v>BI144405</v>
      </c>
      <c r="B1345" t="str">
        <f>"COJINETES BIELA STD DUCATO DAILY BOXER JUMPER 2.3 MULTIJET"</f>
        <v>COJINETES BIELA STD DUCATO DAILY BOXER JUMPER 2.3 MULTIJET</v>
      </c>
      <c r="C1345" t="str">
        <f>"$ 29913,79"</f>
        <v>$ 29913,79</v>
      </c>
      <c r="D1345" t="str">
        <f>"$ 29913,79"</f>
        <v>$ 29913,79</v>
      </c>
      <c r="E1345" t="str">
        <f>"$ 29913,79"</f>
        <v>$ 29913,79</v>
      </c>
      <c r="F1345" t="str">
        <f>"$ 29913,79"</f>
        <v>$ 29913,79</v>
      </c>
      <c r="G1345" t="str">
        <f>"$ 29913,79"</f>
        <v>$ 29913,79</v>
      </c>
      <c r="H1345" t="str">
        <f t="shared" si="836"/>
        <v>$ 0,00</v>
      </c>
      <c r="I1345" t="str">
        <f t="shared" si="869"/>
        <v>JUEGO COJINETES BIELA</v>
      </c>
      <c r="J1345" t="str">
        <f t="shared" si="837"/>
        <v>1</v>
      </c>
      <c r="K1345" t="str">
        <f t="shared" si="867"/>
        <v>0</v>
      </c>
      <c r="L1345" t="str">
        <f>"1,000"</f>
        <v>1,000</v>
      </c>
      <c r="M1345" t="str">
        <f t="shared" si="838"/>
        <v xml:space="preserve"> </v>
      </c>
      <c r="N1345" t="str">
        <f t="shared" si="863"/>
        <v>MPSI</v>
      </c>
      <c r="O1345" t="str">
        <f t="shared" si="864"/>
        <v>COJINETES</v>
      </c>
      <c r="P1345" t="str">
        <f t="shared" si="872"/>
        <v>0</v>
      </c>
      <c r="Q1345" t="str">
        <f t="shared" si="872"/>
        <v>0</v>
      </c>
      <c r="R1345" t="str">
        <f t="shared" si="873"/>
        <v>0,00</v>
      </c>
      <c r="S1345" t="str">
        <f t="shared" si="873"/>
        <v>0,00</v>
      </c>
      <c r="T1345" t="str">
        <f t="shared" si="857"/>
        <v xml:space="preserve"> </v>
      </c>
      <c r="U1345" t="str">
        <f t="shared" si="868"/>
        <v>-</v>
      </c>
      <c r="V1345" t="str">
        <f>"1,000"</f>
        <v>1,000</v>
      </c>
      <c r="W1345" t="str">
        <f t="shared" si="841"/>
        <v>Lista 4</v>
      </c>
      <c r="X1345" t="str">
        <f t="shared" si="842"/>
        <v>Lista 5</v>
      </c>
      <c r="Y1345" t="str">
        <f t="shared" si="843"/>
        <v>Oferta Gral.</v>
      </c>
      <c r="Z1345" t="str">
        <f t="shared" si="844"/>
        <v>Rubro</v>
      </c>
      <c r="AA1345" t="str">
        <f t="shared" si="845"/>
        <v>Cantidad por Bulto</v>
      </c>
      <c r="AB1345" t="str">
        <f t="shared" si="846"/>
        <v>INNER</v>
      </c>
      <c r="AC1345" t="str">
        <f t="shared" si="847"/>
        <v>Stock en Bultos</v>
      </c>
      <c r="AD1345" t="str">
        <f t="shared" si="848"/>
        <v>SubDepósito</v>
      </c>
      <c r="AE1345" t="str">
        <f t="shared" si="849"/>
        <v>Marca</v>
      </c>
      <c r="AF1345" t="str">
        <f t="shared" si="850"/>
        <v>Super Rubro</v>
      </c>
      <c r="AG1345" t="str">
        <f t="shared" si="851"/>
        <v>ComercioExterior</v>
      </c>
      <c r="AH1345" t="str">
        <f t="shared" si="852"/>
        <v>PrecioFOB</v>
      </c>
      <c r="AI1345" t="str">
        <f t="shared" si="853"/>
        <v>Monto II</v>
      </c>
      <c r="AJ1345" t="str">
        <f t="shared" si="854"/>
        <v>Porcentaje II</v>
      </c>
      <c r="AK1345" t="str">
        <f t="shared" si="855"/>
        <v>Foto</v>
      </c>
      <c r="AL1345" t="str">
        <f>"{\rtf1\ansi\ansicpg1252\deff0\deflang11274{\fonttbl{\f0\fnil\fcharset0 MS Sans Serif}} \viewkind4\uc1\pard\f0\fs16 COJINETES BIELA STD DUCATO DAILY BOXER JUMPER 2.3 MULTIJET\par } "</f>
        <v xml:space="preserve">{\rtf1\ansi\ansicpg1252\deff0\deflang11274{\fonttbl{\f0\fnil\fcharset0 MS Sans Serif}} \viewkind4\uc1\pard\f0\fs16 COJINETES BIELA STD DUCATO DAILY BOXER JUMPER 2.3 MULTIJET\par } </v>
      </c>
      <c r="AM1345" t="str">
        <f t="shared" si="870"/>
        <v xml:space="preserve"> </v>
      </c>
    </row>
    <row r="1346" spans="1:39" x14ac:dyDescent="0.25">
      <c r="A1346" t="str">
        <f>"BI136"</f>
        <v>BI136</v>
      </c>
      <c r="B1346" t="str">
        <f>"COJINETES BIELA STD FIAT 147 DUNA 1300 DIESEL"</f>
        <v>COJINETES BIELA STD FIAT 147 DUNA 1300 DIESEL</v>
      </c>
      <c r="C1346" t="str">
        <f>"$ 12196,21"</f>
        <v>$ 12196,21</v>
      </c>
      <c r="D1346" t="str">
        <f>"$ 12196,21"</f>
        <v>$ 12196,21</v>
      </c>
      <c r="E1346" t="str">
        <f>"$ 12196,21"</f>
        <v>$ 12196,21</v>
      </c>
      <c r="F1346" t="str">
        <f>"$ 12196,21"</f>
        <v>$ 12196,21</v>
      </c>
      <c r="G1346" t="str">
        <f>"$ 12196,21"</f>
        <v>$ 12196,21</v>
      </c>
      <c r="H1346" t="str">
        <f t="shared" si="836"/>
        <v>$ 0,00</v>
      </c>
      <c r="I1346" t="str">
        <f t="shared" si="869"/>
        <v>JUEGO COJINETES BIELA</v>
      </c>
      <c r="J1346" t="str">
        <f t="shared" si="837"/>
        <v>1</v>
      </c>
      <c r="K1346" t="str">
        <f t="shared" si="867"/>
        <v>0</v>
      </c>
      <c r="L1346" t="str">
        <f>"6,000"</f>
        <v>6,000</v>
      </c>
      <c r="M1346" t="str">
        <f t="shared" si="838"/>
        <v xml:space="preserve"> </v>
      </c>
      <c r="N1346" t="str">
        <f t="shared" si="863"/>
        <v>MPSI</v>
      </c>
      <c r="O1346" t="str">
        <f t="shared" si="864"/>
        <v>COJINETES</v>
      </c>
      <c r="P1346" t="str">
        <f t="shared" si="872"/>
        <v>0</v>
      </c>
      <c r="Q1346" t="str">
        <f t="shared" si="872"/>
        <v>0</v>
      </c>
      <c r="R1346" t="str">
        <f t="shared" si="873"/>
        <v>0,00</v>
      </c>
      <c r="S1346" t="str">
        <f t="shared" si="873"/>
        <v>0,00</v>
      </c>
      <c r="T1346" t="str">
        <f t="shared" si="857"/>
        <v xml:space="preserve"> </v>
      </c>
      <c r="U1346" t="str">
        <f t="shared" si="868"/>
        <v>-</v>
      </c>
      <c r="V1346" t="str">
        <f>"6,000"</f>
        <v>6,000</v>
      </c>
      <c r="W1346" t="str">
        <f t="shared" si="841"/>
        <v>Lista 4</v>
      </c>
      <c r="X1346" t="str">
        <f t="shared" si="842"/>
        <v>Lista 5</v>
      </c>
      <c r="Y1346" t="str">
        <f t="shared" si="843"/>
        <v>Oferta Gral.</v>
      </c>
      <c r="Z1346" t="str">
        <f t="shared" si="844"/>
        <v>Rubro</v>
      </c>
      <c r="AA1346" t="str">
        <f t="shared" si="845"/>
        <v>Cantidad por Bulto</v>
      </c>
      <c r="AB1346" t="str">
        <f t="shared" si="846"/>
        <v>INNER</v>
      </c>
      <c r="AC1346" t="str">
        <f t="shared" si="847"/>
        <v>Stock en Bultos</v>
      </c>
      <c r="AD1346" t="str">
        <f t="shared" si="848"/>
        <v>SubDepósito</v>
      </c>
      <c r="AE1346" t="str">
        <f t="shared" si="849"/>
        <v>Marca</v>
      </c>
      <c r="AF1346" t="str">
        <f t="shared" si="850"/>
        <v>Super Rubro</v>
      </c>
      <c r="AG1346" t="str">
        <f t="shared" si="851"/>
        <v>ComercioExterior</v>
      </c>
      <c r="AH1346" t="str">
        <f t="shared" si="852"/>
        <v>PrecioFOB</v>
      </c>
      <c r="AI1346" t="str">
        <f t="shared" si="853"/>
        <v>Monto II</v>
      </c>
      <c r="AJ1346" t="str">
        <f t="shared" si="854"/>
        <v>Porcentaje II</v>
      </c>
      <c r="AK1346" t="str">
        <f t="shared" si="855"/>
        <v>Foto</v>
      </c>
      <c r="AL1346" t="str">
        <f t="shared" ref="AL1346:AL1351" si="874">" "</f>
        <v xml:space="preserve"> </v>
      </c>
      <c r="AM1346" t="str">
        <f t="shared" si="870"/>
        <v xml:space="preserve"> </v>
      </c>
    </row>
    <row r="1347" spans="1:39" x14ac:dyDescent="0.25">
      <c r="A1347" t="str">
        <f>"BI133"</f>
        <v>BI133</v>
      </c>
      <c r="B1347" t="str">
        <f>"COJINETES BIELA STD FIAT 600 S 133"</f>
        <v>COJINETES BIELA STD FIAT 600 S 133</v>
      </c>
      <c r="C1347" t="str">
        <f>"$ 13908,33"</f>
        <v>$ 13908,33</v>
      </c>
      <c r="D1347" t="str">
        <f>"$ 13908,33"</f>
        <v>$ 13908,33</v>
      </c>
      <c r="E1347" t="str">
        <f>"$ 13908,33"</f>
        <v>$ 13908,33</v>
      </c>
      <c r="F1347" t="str">
        <f>"$ 13908,33"</f>
        <v>$ 13908,33</v>
      </c>
      <c r="G1347" t="str">
        <f>"$ 13908,33"</f>
        <v>$ 13908,33</v>
      </c>
      <c r="H1347" t="str">
        <f t="shared" ref="H1347:H1410" si="875">"$ 0,00"</f>
        <v>$ 0,00</v>
      </c>
      <c r="I1347" t="str">
        <f t="shared" si="869"/>
        <v>JUEGO COJINETES BIELA</v>
      </c>
      <c r="J1347" t="str">
        <f t="shared" ref="J1347:J1410" si="876">"1"</f>
        <v>1</v>
      </c>
      <c r="K1347" t="str">
        <f t="shared" si="867"/>
        <v>0</v>
      </c>
      <c r="L1347" t="str">
        <f>"0,000"</f>
        <v>0,000</v>
      </c>
      <c r="M1347" t="str">
        <f t="shared" ref="M1347:M1410" si="877">" "</f>
        <v xml:space="preserve"> </v>
      </c>
      <c r="N1347" t="str">
        <f t="shared" si="863"/>
        <v>MPSI</v>
      </c>
      <c r="O1347" t="str">
        <f t="shared" si="864"/>
        <v>COJINETES</v>
      </c>
      <c r="P1347" t="str">
        <f t="shared" si="872"/>
        <v>0</v>
      </c>
      <c r="Q1347" t="str">
        <f t="shared" si="872"/>
        <v>0</v>
      </c>
      <c r="R1347" t="str">
        <f t="shared" si="873"/>
        <v>0,00</v>
      </c>
      <c r="S1347" t="str">
        <f t="shared" si="873"/>
        <v>0,00</v>
      </c>
      <c r="T1347" t="str">
        <f t="shared" si="857"/>
        <v xml:space="preserve"> </v>
      </c>
      <c r="U1347" t="str">
        <f t="shared" si="868"/>
        <v>-</v>
      </c>
      <c r="V1347" t="str">
        <f>"0,000"</f>
        <v>0,000</v>
      </c>
      <c r="W1347" t="str">
        <f t="shared" ref="W1347:W1410" si="878">"Lista 4"</f>
        <v>Lista 4</v>
      </c>
      <c r="X1347" t="str">
        <f t="shared" ref="X1347:X1410" si="879">"Lista 5"</f>
        <v>Lista 5</v>
      </c>
      <c r="Y1347" t="str">
        <f t="shared" ref="Y1347:Y1410" si="880">"Oferta Gral."</f>
        <v>Oferta Gral.</v>
      </c>
      <c r="Z1347" t="str">
        <f t="shared" ref="Z1347:Z1410" si="881">"Rubro"</f>
        <v>Rubro</v>
      </c>
      <c r="AA1347" t="str">
        <f t="shared" ref="AA1347:AA1410" si="882">"Cantidad por Bulto"</f>
        <v>Cantidad por Bulto</v>
      </c>
      <c r="AB1347" t="str">
        <f t="shared" ref="AB1347:AB1410" si="883">"INNER"</f>
        <v>INNER</v>
      </c>
      <c r="AC1347" t="str">
        <f t="shared" ref="AC1347:AC1410" si="884">"Stock en Bultos"</f>
        <v>Stock en Bultos</v>
      </c>
      <c r="AD1347" t="str">
        <f t="shared" ref="AD1347:AD1410" si="885">"SubDepósito"</f>
        <v>SubDepósito</v>
      </c>
      <c r="AE1347" t="str">
        <f t="shared" ref="AE1347:AE1410" si="886">"Marca"</f>
        <v>Marca</v>
      </c>
      <c r="AF1347" t="str">
        <f t="shared" ref="AF1347:AF1410" si="887">"Super Rubro"</f>
        <v>Super Rubro</v>
      </c>
      <c r="AG1347" t="str">
        <f t="shared" ref="AG1347:AG1410" si="888">"ComercioExterior"</f>
        <v>ComercioExterior</v>
      </c>
      <c r="AH1347" t="str">
        <f t="shared" ref="AH1347:AH1410" si="889">"PrecioFOB"</f>
        <v>PrecioFOB</v>
      </c>
      <c r="AI1347" t="str">
        <f t="shared" ref="AI1347:AI1410" si="890">"Monto II"</f>
        <v>Monto II</v>
      </c>
      <c r="AJ1347" t="str">
        <f t="shared" ref="AJ1347:AJ1410" si="891">"Porcentaje II"</f>
        <v>Porcentaje II</v>
      </c>
      <c r="AK1347" t="str">
        <f t="shared" ref="AK1347:AK1410" si="892">"Foto"</f>
        <v>Foto</v>
      </c>
      <c r="AL1347" t="str">
        <f t="shared" si="874"/>
        <v xml:space="preserve"> </v>
      </c>
      <c r="AM1347" t="str">
        <f t="shared" si="870"/>
        <v xml:space="preserve"> </v>
      </c>
    </row>
    <row r="1348" spans="1:39" x14ac:dyDescent="0.25">
      <c r="A1348" t="str">
        <f>"BI134358"</f>
        <v>BI134358</v>
      </c>
      <c r="B1348" t="str">
        <f>"COJINETES BIELA STD FIAT ARGO CRONOS 1.3 FIREFLY 8V"</f>
        <v>COJINETES BIELA STD FIAT ARGO CRONOS 1.3 FIREFLY 8V</v>
      </c>
      <c r="C1348" t="str">
        <f>"$ 10268,03"</f>
        <v>$ 10268,03</v>
      </c>
      <c r="D1348" t="str">
        <f>"$ 10268,03"</f>
        <v>$ 10268,03</v>
      </c>
      <c r="E1348" t="str">
        <f>"$ 10268,03"</f>
        <v>$ 10268,03</v>
      </c>
      <c r="F1348" t="str">
        <f>"$ 10268,03"</f>
        <v>$ 10268,03</v>
      </c>
      <c r="G1348" t="str">
        <f>"$ 10268,03"</f>
        <v>$ 10268,03</v>
      </c>
      <c r="H1348" t="str">
        <f t="shared" si="875"/>
        <v>$ 0,00</v>
      </c>
      <c r="I1348" t="str">
        <f t="shared" si="869"/>
        <v>JUEGO COJINETES BIELA</v>
      </c>
      <c r="J1348" t="str">
        <f t="shared" si="876"/>
        <v>1</v>
      </c>
      <c r="K1348" t="str">
        <f t="shared" si="867"/>
        <v>0</v>
      </c>
      <c r="L1348" t="str">
        <f>"7,000"</f>
        <v>7,000</v>
      </c>
      <c r="M1348" t="str">
        <f t="shared" si="877"/>
        <v xml:space="preserve"> </v>
      </c>
      <c r="N1348" t="str">
        <f t="shared" si="863"/>
        <v>MPSI</v>
      </c>
      <c r="O1348" t="str">
        <f t="shared" si="864"/>
        <v>COJINETES</v>
      </c>
      <c r="P1348" t="str">
        <f t="shared" si="872"/>
        <v>0</v>
      </c>
      <c r="Q1348" t="str">
        <f t="shared" si="872"/>
        <v>0</v>
      </c>
      <c r="R1348" t="str">
        <f t="shared" si="873"/>
        <v>0,00</v>
      </c>
      <c r="S1348" t="str">
        <f t="shared" si="873"/>
        <v>0,00</v>
      </c>
      <c r="T1348" t="str">
        <f t="shared" si="857"/>
        <v xml:space="preserve"> </v>
      </c>
      <c r="U1348" t="str">
        <f t="shared" si="868"/>
        <v>-</v>
      </c>
      <c r="V1348" t="str">
        <f>"7,000"</f>
        <v>7,000</v>
      </c>
      <c r="W1348" t="str">
        <f t="shared" si="878"/>
        <v>Lista 4</v>
      </c>
      <c r="X1348" t="str">
        <f t="shared" si="879"/>
        <v>Lista 5</v>
      </c>
      <c r="Y1348" t="str">
        <f t="shared" si="880"/>
        <v>Oferta Gral.</v>
      </c>
      <c r="Z1348" t="str">
        <f t="shared" si="881"/>
        <v>Rubro</v>
      </c>
      <c r="AA1348" t="str">
        <f t="shared" si="882"/>
        <v>Cantidad por Bulto</v>
      </c>
      <c r="AB1348" t="str">
        <f t="shared" si="883"/>
        <v>INNER</v>
      </c>
      <c r="AC1348" t="str">
        <f t="shared" si="884"/>
        <v>Stock en Bultos</v>
      </c>
      <c r="AD1348" t="str">
        <f t="shared" si="885"/>
        <v>SubDepósito</v>
      </c>
      <c r="AE1348" t="str">
        <f t="shared" si="886"/>
        <v>Marca</v>
      </c>
      <c r="AF1348" t="str">
        <f t="shared" si="887"/>
        <v>Super Rubro</v>
      </c>
      <c r="AG1348" t="str">
        <f t="shared" si="888"/>
        <v>ComercioExterior</v>
      </c>
      <c r="AH1348" t="str">
        <f t="shared" si="889"/>
        <v>PrecioFOB</v>
      </c>
      <c r="AI1348" t="str">
        <f t="shared" si="890"/>
        <v>Monto II</v>
      </c>
      <c r="AJ1348" t="str">
        <f t="shared" si="891"/>
        <v>Porcentaje II</v>
      </c>
      <c r="AK1348" t="str">
        <f t="shared" si="892"/>
        <v>Foto</v>
      </c>
      <c r="AL1348" t="str">
        <f t="shared" si="874"/>
        <v xml:space="preserve"> </v>
      </c>
      <c r="AM1348" t="str">
        <f t="shared" si="870"/>
        <v xml:space="preserve"> </v>
      </c>
    </row>
    <row r="1349" spans="1:39" x14ac:dyDescent="0.25">
      <c r="A1349" t="str">
        <f>"BI137"</f>
        <v>BI137</v>
      </c>
      <c r="B1349" t="str">
        <f>"COJINETES BIELA STD FIAT DUNA DUCATO 1.7 1.9 DIESEL"</f>
        <v>COJINETES BIELA STD FIAT DUNA DUCATO 1.7 1.9 DIESEL</v>
      </c>
      <c r="C1349" t="str">
        <f>"$ 13253,87"</f>
        <v>$ 13253,87</v>
      </c>
      <c r="D1349" t="str">
        <f>"$ 13253,87"</f>
        <v>$ 13253,87</v>
      </c>
      <c r="E1349" t="str">
        <f>"$ 13253,87"</f>
        <v>$ 13253,87</v>
      </c>
      <c r="F1349" t="str">
        <f>"$ 13253,87"</f>
        <v>$ 13253,87</v>
      </c>
      <c r="G1349" t="str">
        <f>"$ 13253,87"</f>
        <v>$ 13253,87</v>
      </c>
      <c r="H1349" t="str">
        <f t="shared" si="875"/>
        <v>$ 0,00</v>
      </c>
      <c r="I1349" t="str">
        <f t="shared" si="869"/>
        <v>JUEGO COJINETES BIELA</v>
      </c>
      <c r="J1349" t="str">
        <f t="shared" si="876"/>
        <v>1</v>
      </c>
      <c r="K1349" t="str">
        <f t="shared" si="867"/>
        <v>0</v>
      </c>
      <c r="L1349" t="str">
        <f>"11,000"</f>
        <v>11,000</v>
      </c>
      <c r="M1349" t="str">
        <f t="shared" si="877"/>
        <v xml:space="preserve"> </v>
      </c>
      <c r="N1349" t="str">
        <f t="shared" si="863"/>
        <v>MPSI</v>
      </c>
      <c r="O1349" t="str">
        <f t="shared" si="864"/>
        <v>COJINETES</v>
      </c>
      <c r="P1349" t="str">
        <f t="shared" si="872"/>
        <v>0</v>
      </c>
      <c r="Q1349" t="str">
        <f t="shared" si="872"/>
        <v>0</v>
      </c>
      <c r="R1349" t="str">
        <f t="shared" si="873"/>
        <v>0,00</v>
      </c>
      <c r="S1349" t="str">
        <f t="shared" si="873"/>
        <v>0,00</v>
      </c>
      <c r="T1349" t="str">
        <f t="shared" si="857"/>
        <v xml:space="preserve"> </v>
      </c>
      <c r="U1349" t="str">
        <f t="shared" si="868"/>
        <v>-</v>
      </c>
      <c r="V1349" t="str">
        <f>"11,000"</f>
        <v>11,000</v>
      </c>
      <c r="W1349" t="str">
        <f t="shared" si="878"/>
        <v>Lista 4</v>
      </c>
      <c r="X1349" t="str">
        <f t="shared" si="879"/>
        <v>Lista 5</v>
      </c>
      <c r="Y1349" t="str">
        <f t="shared" si="880"/>
        <v>Oferta Gral.</v>
      </c>
      <c r="Z1349" t="str">
        <f t="shared" si="881"/>
        <v>Rubro</v>
      </c>
      <c r="AA1349" t="str">
        <f t="shared" si="882"/>
        <v>Cantidad por Bulto</v>
      </c>
      <c r="AB1349" t="str">
        <f t="shared" si="883"/>
        <v>INNER</v>
      </c>
      <c r="AC1349" t="str">
        <f t="shared" si="884"/>
        <v>Stock en Bultos</v>
      </c>
      <c r="AD1349" t="str">
        <f t="shared" si="885"/>
        <v>SubDepósito</v>
      </c>
      <c r="AE1349" t="str">
        <f t="shared" si="886"/>
        <v>Marca</v>
      </c>
      <c r="AF1349" t="str">
        <f t="shared" si="887"/>
        <v>Super Rubro</v>
      </c>
      <c r="AG1349" t="str">
        <f t="shared" si="888"/>
        <v>ComercioExterior</v>
      </c>
      <c r="AH1349" t="str">
        <f t="shared" si="889"/>
        <v>PrecioFOB</v>
      </c>
      <c r="AI1349" t="str">
        <f t="shared" si="890"/>
        <v>Monto II</v>
      </c>
      <c r="AJ1349" t="str">
        <f t="shared" si="891"/>
        <v>Porcentaje II</v>
      </c>
      <c r="AK1349" t="str">
        <f t="shared" si="892"/>
        <v>Foto</v>
      </c>
      <c r="AL1349" t="str">
        <f t="shared" si="874"/>
        <v xml:space="preserve"> </v>
      </c>
      <c r="AM1349" t="str">
        <f t="shared" si="870"/>
        <v xml:space="preserve"> </v>
      </c>
    </row>
    <row r="1350" spans="1:39" x14ac:dyDescent="0.25">
      <c r="A1350" t="str">
        <f>"BI138"</f>
        <v>BI138</v>
      </c>
      <c r="B1350" t="str">
        <f>"COJINETES BIELA STD FIAT DUNA UNO 1.7 TURBO DIESEL"</f>
        <v>COJINETES BIELA STD FIAT DUNA UNO 1.7 TURBO DIESEL</v>
      </c>
      <c r="C1350" t="str">
        <f>"$ 25244,70"</f>
        <v>$ 25244,70</v>
      </c>
      <c r="D1350" t="str">
        <f>"$ 25244,70"</f>
        <v>$ 25244,70</v>
      </c>
      <c r="E1350" t="str">
        <f>"$ 25244,70"</f>
        <v>$ 25244,70</v>
      </c>
      <c r="F1350" t="str">
        <f>"$ 25244,70"</f>
        <v>$ 25244,70</v>
      </c>
      <c r="G1350" t="str">
        <f>"$ 25244,70"</f>
        <v>$ 25244,70</v>
      </c>
      <c r="H1350" t="str">
        <f t="shared" si="875"/>
        <v>$ 0,00</v>
      </c>
      <c r="I1350" t="str">
        <f t="shared" si="869"/>
        <v>JUEGO COJINETES BIELA</v>
      </c>
      <c r="J1350" t="str">
        <f t="shared" si="876"/>
        <v>1</v>
      </c>
      <c r="K1350" t="str">
        <f t="shared" si="867"/>
        <v>0</v>
      </c>
      <c r="L1350" t="str">
        <f>"5,000"</f>
        <v>5,000</v>
      </c>
      <c r="M1350" t="str">
        <f t="shared" si="877"/>
        <v xml:space="preserve"> </v>
      </c>
      <c r="N1350" t="str">
        <f t="shared" si="863"/>
        <v>MPSI</v>
      </c>
      <c r="O1350" t="str">
        <f t="shared" si="864"/>
        <v>COJINETES</v>
      </c>
      <c r="P1350" t="str">
        <f t="shared" si="872"/>
        <v>0</v>
      </c>
      <c r="Q1350" t="str">
        <f t="shared" si="872"/>
        <v>0</v>
      </c>
      <c r="R1350" t="str">
        <f t="shared" si="873"/>
        <v>0,00</v>
      </c>
      <c r="S1350" t="str">
        <f t="shared" si="873"/>
        <v>0,00</v>
      </c>
      <c r="T1350" t="str">
        <f t="shared" si="857"/>
        <v xml:space="preserve"> </v>
      </c>
      <c r="U1350" t="str">
        <f t="shared" si="868"/>
        <v>-</v>
      </c>
      <c r="V1350" t="str">
        <f>"5,000"</f>
        <v>5,000</v>
      </c>
      <c r="W1350" t="str">
        <f t="shared" si="878"/>
        <v>Lista 4</v>
      </c>
      <c r="X1350" t="str">
        <f t="shared" si="879"/>
        <v>Lista 5</v>
      </c>
      <c r="Y1350" t="str">
        <f t="shared" si="880"/>
        <v>Oferta Gral.</v>
      </c>
      <c r="Z1350" t="str">
        <f t="shared" si="881"/>
        <v>Rubro</v>
      </c>
      <c r="AA1350" t="str">
        <f t="shared" si="882"/>
        <v>Cantidad por Bulto</v>
      </c>
      <c r="AB1350" t="str">
        <f t="shared" si="883"/>
        <v>INNER</v>
      </c>
      <c r="AC1350" t="str">
        <f t="shared" si="884"/>
        <v>Stock en Bultos</v>
      </c>
      <c r="AD1350" t="str">
        <f t="shared" si="885"/>
        <v>SubDepósito</v>
      </c>
      <c r="AE1350" t="str">
        <f t="shared" si="886"/>
        <v>Marca</v>
      </c>
      <c r="AF1350" t="str">
        <f t="shared" si="887"/>
        <v>Super Rubro</v>
      </c>
      <c r="AG1350" t="str">
        <f t="shared" si="888"/>
        <v>ComercioExterior</v>
      </c>
      <c r="AH1350" t="str">
        <f t="shared" si="889"/>
        <v>PrecioFOB</v>
      </c>
      <c r="AI1350" t="str">
        <f t="shared" si="890"/>
        <v>Monto II</v>
      </c>
      <c r="AJ1350" t="str">
        <f t="shared" si="891"/>
        <v>Porcentaje II</v>
      </c>
      <c r="AK1350" t="str">
        <f t="shared" si="892"/>
        <v>Foto</v>
      </c>
      <c r="AL1350" t="str">
        <f t="shared" si="874"/>
        <v xml:space="preserve"> </v>
      </c>
      <c r="AM1350" t="str">
        <f t="shared" si="870"/>
        <v xml:space="preserve"> </v>
      </c>
    </row>
    <row r="1351" spans="1:39" x14ac:dyDescent="0.25">
      <c r="A1351" t="str">
        <f>"BI139"</f>
        <v>BI139</v>
      </c>
      <c r="B1351" t="str">
        <f>"COJINETES BIELA STD FIAT DUNA UNO 147 MOTOR TIPO 1.4 1.6"</f>
        <v>COJINETES BIELA STD FIAT DUNA UNO 147 MOTOR TIPO 1.4 1.6</v>
      </c>
      <c r="C1351" t="str">
        <f>"$ 12559,78"</f>
        <v>$ 12559,78</v>
      </c>
      <c r="D1351" t="str">
        <f>"$ 12559,78"</f>
        <v>$ 12559,78</v>
      </c>
      <c r="E1351" t="str">
        <f>"$ 12559,78"</f>
        <v>$ 12559,78</v>
      </c>
      <c r="F1351" t="str">
        <f>"$ 12559,78"</f>
        <v>$ 12559,78</v>
      </c>
      <c r="G1351" t="str">
        <f>"$ 12559,78"</f>
        <v>$ 12559,78</v>
      </c>
      <c r="H1351" t="str">
        <f t="shared" si="875"/>
        <v>$ 0,00</v>
      </c>
      <c r="I1351" t="str">
        <f t="shared" si="869"/>
        <v>JUEGO COJINETES BIELA</v>
      </c>
      <c r="J1351" t="str">
        <f t="shared" si="876"/>
        <v>1</v>
      </c>
      <c r="K1351" t="str">
        <f t="shared" si="867"/>
        <v>0</v>
      </c>
      <c r="L1351" t="str">
        <f>"62,000"</f>
        <v>62,000</v>
      </c>
      <c r="M1351" t="str">
        <f t="shared" si="877"/>
        <v xml:space="preserve"> </v>
      </c>
      <c r="N1351" t="str">
        <f t="shared" si="863"/>
        <v>MPSI</v>
      </c>
      <c r="O1351" t="str">
        <f t="shared" si="864"/>
        <v>COJINETES</v>
      </c>
      <c r="P1351" t="str">
        <f t="shared" si="872"/>
        <v>0</v>
      </c>
      <c r="Q1351" t="str">
        <f t="shared" si="872"/>
        <v>0</v>
      </c>
      <c r="R1351" t="str">
        <f t="shared" si="873"/>
        <v>0,00</v>
      </c>
      <c r="S1351" t="str">
        <f t="shared" si="873"/>
        <v>0,00</v>
      </c>
      <c r="T1351" t="str">
        <f t="shared" si="857"/>
        <v xml:space="preserve"> </v>
      </c>
      <c r="U1351" t="str">
        <f t="shared" si="868"/>
        <v>-</v>
      </c>
      <c r="V1351" t="str">
        <f>"62,000"</f>
        <v>62,000</v>
      </c>
      <c r="W1351" t="str">
        <f t="shared" si="878"/>
        <v>Lista 4</v>
      </c>
      <c r="X1351" t="str">
        <f t="shared" si="879"/>
        <v>Lista 5</v>
      </c>
      <c r="Y1351" t="str">
        <f t="shared" si="880"/>
        <v>Oferta Gral.</v>
      </c>
      <c r="Z1351" t="str">
        <f t="shared" si="881"/>
        <v>Rubro</v>
      </c>
      <c r="AA1351" t="str">
        <f t="shared" si="882"/>
        <v>Cantidad por Bulto</v>
      </c>
      <c r="AB1351" t="str">
        <f t="shared" si="883"/>
        <v>INNER</v>
      </c>
      <c r="AC1351" t="str">
        <f t="shared" si="884"/>
        <v>Stock en Bultos</v>
      </c>
      <c r="AD1351" t="str">
        <f t="shared" si="885"/>
        <v>SubDepósito</v>
      </c>
      <c r="AE1351" t="str">
        <f t="shared" si="886"/>
        <v>Marca</v>
      </c>
      <c r="AF1351" t="str">
        <f t="shared" si="887"/>
        <v>Super Rubro</v>
      </c>
      <c r="AG1351" t="str">
        <f t="shared" si="888"/>
        <v>ComercioExterior</v>
      </c>
      <c r="AH1351" t="str">
        <f t="shared" si="889"/>
        <v>PrecioFOB</v>
      </c>
      <c r="AI1351" t="str">
        <f t="shared" si="890"/>
        <v>Monto II</v>
      </c>
      <c r="AJ1351" t="str">
        <f t="shared" si="891"/>
        <v>Porcentaje II</v>
      </c>
      <c r="AK1351" t="str">
        <f t="shared" si="892"/>
        <v>Foto</v>
      </c>
      <c r="AL1351" t="str">
        <f t="shared" si="874"/>
        <v xml:space="preserve"> </v>
      </c>
      <c r="AM1351" t="str">
        <f t="shared" si="870"/>
        <v xml:space="preserve"> </v>
      </c>
    </row>
    <row r="1352" spans="1:39" x14ac:dyDescent="0.25">
      <c r="A1352" t="str">
        <f>"BI155"</f>
        <v>BI155</v>
      </c>
      <c r="B1352" t="str">
        <f>"COJINETES BIELA STD FIAT MOBI MOTOR 1000 CC "</f>
        <v xml:space="preserve">COJINETES BIELA STD FIAT MOBI MOTOR 1000 CC </v>
      </c>
      <c r="C1352" t="str">
        <f>"$ 45266,36"</f>
        <v>$ 45266,36</v>
      </c>
      <c r="D1352" t="str">
        <f>"$ 45266,36"</f>
        <v>$ 45266,36</v>
      </c>
      <c r="E1352" t="str">
        <f>"$ 45266,36"</f>
        <v>$ 45266,36</v>
      </c>
      <c r="F1352" t="str">
        <f>"$ 45266,36"</f>
        <v>$ 45266,36</v>
      </c>
      <c r="G1352" t="str">
        <f>"$ 45266,36"</f>
        <v>$ 45266,36</v>
      </c>
      <c r="H1352" t="str">
        <f t="shared" si="875"/>
        <v>$ 0,00</v>
      </c>
      <c r="I1352" t="str">
        <f t="shared" si="869"/>
        <v>JUEGO COJINETES BIELA</v>
      </c>
      <c r="J1352" t="str">
        <f t="shared" si="876"/>
        <v>1</v>
      </c>
      <c r="K1352" t="str">
        <f t="shared" si="867"/>
        <v>0</v>
      </c>
      <c r="L1352" t="str">
        <f>"2,000"</f>
        <v>2,000</v>
      </c>
      <c r="M1352" t="str">
        <f t="shared" si="877"/>
        <v xml:space="preserve"> </v>
      </c>
      <c r="N1352" t="str">
        <f t="shared" si="863"/>
        <v>MPSI</v>
      </c>
      <c r="O1352" t="str">
        <f t="shared" si="864"/>
        <v>COJINETES</v>
      </c>
      <c r="P1352" t="str">
        <f t="shared" si="872"/>
        <v>0</v>
      </c>
      <c r="Q1352" t="str">
        <f t="shared" si="872"/>
        <v>0</v>
      </c>
      <c r="R1352" t="str">
        <f t="shared" si="873"/>
        <v>0,00</v>
      </c>
      <c r="S1352" t="str">
        <f t="shared" si="873"/>
        <v>0,00</v>
      </c>
      <c r="T1352" t="str">
        <f t="shared" si="857"/>
        <v xml:space="preserve"> </v>
      </c>
      <c r="U1352" t="str">
        <f>" "</f>
        <v xml:space="preserve"> </v>
      </c>
      <c r="V1352" t="str">
        <f>"2,000"</f>
        <v>2,000</v>
      </c>
      <c r="W1352" t="str">
        <f t="shared" si="878"/>
        <v>Lista 4</v>
      </c>
      <c r="X1352" t="str">
        <f t="shared" si="879"/>
        <v>Lista 5</v>
      </c>
      <c r="Y1352" t="str">
        <f t="shared" si="880"/>
        <v>Oferta Gral.</v>
      </c>
      <c r="Z1352" t="str">
        <f t="shared" si="881"/>
        <v>Rubro</v>
      </c>
      <c r="AA1352" t="str">
        <f t="shared" si="882"/>
        <v>Cantidad por Bulto</v>
      </c>
      <c r="AB1352" t="str">
        <f t="shared" si="883"/>
        <v>INNER</v>
      </c>
      <c r="AC1352" t="str">
        <f t="shared" si="884"/>
        <v>Stock en Bultos</v>
      </c>
      <c r="AD1352" t="str">
        <f t="shared" si="885"/>
        <v>SubDepósito</v>
      </c>
      <c r="AE1352" t="str">
        <f t="shared" si="886"/>
        <v>Marca</v>
      </c>
      <c r="AF1352" t="str">
        <f t="shared" si="887"/>
        <v>Super Rubro</v>
      </c>
      <c r="AG1352" t="str">
        <f t="shared" si="888"/>
        <v>ComercioExterior</v>
      </c>
      <c r="AH1352" t="str">
        <f t="shared" si="889"/>
        <v>PrecioFOB</v>
      </c>
      <c r="AI1352" t="str">
        <f t="shared" si="890"/>
        <v>Monto II</v>
      </c>
      <c r="AJ1352" t="str">
        <f t="shared" si="891"/>
        <v>Porcentaje II</v>
      </c>
      <c r="AK1352" t="str">
        <f t="shared" si="892"/>
        <v>Foto</v>
      </c>
      <c r="AL1352" t="str">
        <f>"{\rtf1\ansi\ansicpg1252\deff0\deflang11274{\fonttbl{\f0\fnil\fcharset0 MS Sans Serif}} \viewkind4\uc1\pard\f0\fs16 COJINETES BIELA STD FIAT MOBI MOTOR 1000 CC \par } "</f>
        <v xml:space="preserve">{\rtf1\ansi\ansicpg1252\deff0\deflang11274{\fonttbl{\f0\fnil\fcharset0 MS Sans Serif}} \viewkind4\uc1\pard\f0\fs16 COJINETES BIELA STD FIAT MOBI MOTOR 1000 CC \par } </v>
      </c>
      <c r="AM1352" t="str">
        <f>"-"</f>
        <v>-</v>
      </c>
    </row>
    <row r="1353" spans="1:39" x14ac:dyDescent="0.25">
      <c r="A1353" t="str">
        <f>"BI172"</f>
        <v>BI172</v>
      </c>
      <c r="B1353" t="str">
        <f>"COJINETES BIELA STD FIAT PALIO SIENA ETORQ 1.6 16V"</f>
        <v>COJINETES BIELA STD FIAT PALIO SIENA ETORQ 1.6 16V</v>
      </c>
      <c r="C1353" t="str">
        <f>"$ 12879,55"</f>
        <v>$ 12879,55</v>
      </c>
      <c r="D1353" t="str">
        <f>"$ 12879,55"</f>
        <v>$ 12879,55</v>
      </c>
      <c r="E1353" t="str">
        <f>"$ 12879,55"</f>
        <v>$ 12879,55</v>
      </c>
      <c r="F1353" t="str">
        <f>"$ 12879,55"</f>
        <v>$ 12879,55</v>
      </c>
      <c r="G1353" t="str">
        <f>"$ 12879,55"</f>
        <v>$ 12879,55</v>
      </c>
      <c r="H1353" t="str">
        <f t="shared" si="875"/>
        <v>$ 0,00</v>
      </c>
      <c r="I1353" t="str">
        <f t="shared" si="869"/>
        <v>JUEGO COJINETES BIELA</v>
      </c>
      <c r="J1353" t="str">
        <f t="shared" si="876"/>
        <v>1</v>
      </c>
      <c r="K1353" t="str">
        <f t="shared" si="867"/>
        <v>0</v>
      </c>
      <c r="L1353" t="str">
        <f>"0,000"</f>
        <v>0,000</v>
      </c>
      <c r="M1353" t="str">
        <f t="shared" si="877"/>
        <v xml:space="preserve"> </v>
      </c>
      <c r="N1353" t="str">
        <f t="shared" si="863"/>
        <v>MPSI</v>
      </c>
      <c r="O1353" t="str">
        <f t="shared" si="864"/>
        <v>COJINETES</v>
      </c>
      <c r="P1353" t="str">
        <f t="shared" si="872"/>
        <v>0</v>
      </c>
      <c r="Q1353" t="str">
        <f t="shared" si="872"/>
        <v>0</v>
      </c>
      <c r="R1353" t="str">
        <f t="shared" si="873"/>
        <v>0,00</v>
      </c>
      <c r="S1353" t="str">
        <f t="shared" si="873"/>
        <v>0,00</v>
      </c>
      <c r="T1353" t="str">
        <f t="shared" si="857"/>
        <v xml:space="preserve"> </v>
      </c>
      <c r="U1353" t="str">
        <f t="shared" ref="U1353:U1362" si="893">"-"</f>
        <v>-</v>
      </c>
      <c r="V1353" t="str">
        <f>"0,000"</f>
        <v>0,000</v>
      </c>
      <c r="W1353" t="str">
        <f t="shared" si="878"/>
        <v>Lista 4</v>
      </c>
      <c r="X1353" t="str">
        <f t="shared" si="879"/>
        <v>Lista 5</v>
      </c>
      <c r="Y1353" t="str">
        <f t="shared" si="880"/>
        <v>Oferta Gral.</v>
      </c>
      <c r="Z1353" t="str">
        <f t="shared" si="881"/>
        <v>Rubro</v>
      </c>
      <c r="AA1353" t="str">
        <f t="shared" si="882"/>
        <v>Cantidad por Bulto</v>
      </c>
      <c r="AB1353" t="str">
        <f t="shared" si="883"/>
        <v>INNER</v>
      </c>
      <c r="AC1353" t="str">
        <f t="shared" si="884"/>
        <v>Stock en Bultos</v>
      </c>
      <c r="AD1353" t="str">
        <f t="shared" si="885"/>
        <v>SubDepósito</v>
      </c>
      <c r="AE1353" t="str">
        <f t="shared" si="886"/>
        <v>Marca</v>
      </c>
      <c r="AF1353" t="str">
        <f t="shared" si="887"/>
        <v>Super Rubro</v>
      </c>
      <c r="AG1353" t="str">
        <f t="shared" si="888"/>
        <v>ComercioExterior</v>
      </c>
      <c r="AH1353" t="str">
        <f t="shared" si="889"/>
        <v>PrecioFOB</v>
      </c>
      <c r="AI1353" t="str">
        <f t="shared" si="890"/>
        <v>Monto II</v>
      </c>
      <c r="AJ1353" t="str">
        <f t="shared" si="891"/>
        <v>Porcentaje II</v>
      </c>
      <c r="AK1353" t="str">
        <f t="shared" si="892"/>
        <v>Foto</v>
      </c>
      <c r="AL1353" t="str">
        <f>" "</f>
        <v xml:space="preserve"> </v>
      </c>
      <c r="AM1353" t="str">
        <f>" "</f>
        <v xml:space="preserve"> </v>
      </c>
    </row>
    <row r="1354" spans="1:39" x14ac:dyDescent="0.25">
      <c r="A1354" t="str">
        <f>"BI156"</f>
        <v>BI156</v>
      </c>
      <c r="B1354" t="str">
        <f>"COJINETES BIELA STD FIAT PALIO SIENA FIRE 1.3 1.4 8V Y 16V"</f>
        <v>COJINETES BIELA STD FIAT PALIO SIENA FIRE 1.3 1.4 8V Y 16V</v>
      </c>
      <c r="C1354" t="str">
        <f>"$ 11287,28"</f>
        <v>$ 11287,28</v>
      </c>
      <c r="D1354" t="str">
        <f>"$ 11287,28"</f>
        <v>$ 11287,28</v>
      </c>
      <c r="E1354" t="str">
        <f>"$ 11287,28"</f>
        <v>$ 11287,28</v>
      </c>
      <c r="F1354" t="str">
        <f>"$ 11287,28"</f>
        <v>$ 11287,28</v>
      </c>
      <c r="G1354" t="str">
        <f>"$ 11287,28"</f>
        <v>$ 11287,28</v>
      </c>
      <c r="H1354" t="str">
        <f t="shared" si="875"/>
        <v>$ 0,00</v>
      </c>
      <c r="I1354" t="str">
        <f t="shared" si="869"/>
        <v>JUEGO COJINETES BIELA</v>
      </c>
      <c r="J1354" t="str">
        <f t="shared" si="876"/>
        <v>1</v>
      </c>
      <c r="K1354" t="str">
        <f t="shared" si="867"/>
        <v>0</v>
      </c>
      <c r="L1354" t="str">
        <f>"54,000"</f>
        <v>54,000</v>
      </c>
      <c r="M1354" t="str">
        <f t="shared" si="877"/>
        <v xml:space="preserve"> </v>
      </c>
      <c r="N1354" t="str">
        <f t="shared" si="863"/>
        <v>MPSI</v>
      </c>
      <c r="O1354" t="str">
        <f t="shared" si="864"/>
        <v>COJINETES</v>
      </c>
      <c r="P1354" t="str">
        <f t="shared" si="872"/>
        <v>0</v>
      </c>
      <c r="Q1354" t="str">
        <f t="shared" si="872"/>
        <v>0</v>
      </c>
      <c r="R1354" t="str">
        <f t="shared" si="873"/>
        <v>0,00</v>
      </c>
      <c r="S1354" t="str">
        <f t="shared" si="873"/>
        <v>0,00</v>
      </c>
      <c r="T1354" t="str">
        <f t="shared" si="857"/>
        <v xml:space="preserve"> </v>
      </c>
      <c r="U1354" t="str">
        <f t="shared" si="893"/>
        <v>-</v>
      </c>
      <c r="V1354" t="str">
        <f>"54,000"</f>
        <v>54,000</v>
      </c>
      <c r="W1354" t="str">
        <f t="shared" si="878"/>
        <v>Lista 4</v>
      </c>
      <c r="X1354" t="str">
        <f t="shared" si="879"/>
        <v>Lista 5</v>
      </c>
      <c r="Y1354" t="str">
        <f t="shared" si="880"/>
        <v>Oferta Gral.</v>
      </c>
      <c r="Z1354" t="str">
        <f t="shared" si="881"/>
        <v>Rubro</v>
      </c>
      <c r="AA1354" t="str">
        <f t="shared" si="882"/>
        <v>Cantidad por Bulto</v>
      </c>
      <c r="AB1354" t="str">
        <f t="shared" si="883"/>
        <v>INNER</v>
      </c>
      <c r="AC1354" t="str">
        <f t="shared" si="884"/>
        <v>Stock en Bultos</v>
      </c>
      <c r="AD1354" t="str">
        <f t="shared" si="885"/>
        <v>SubDepósito</v>
      </c>
      <c r="AE1354" t="str">
        <f t="shared" si="886"/>
        <v>Marca</v>
      </c>
      <c r="AF1354" t="str">
        <f t="shared" si="887"/>
        <v>Super Rubro</v>
      </c>
      <c r="AG1354" t="str">
        <f t="shared" si="888"/>
        <v>ComercioExterior</v>
      </c>
      <c r="AH1354" t="str">
        <f t="shared" si="889"/>
        <v>PrecioFOB</v>
      </c>
      <c r="AI1354" t="str">
        <f t="shared" si="890"/>
        <v>Monto II</v>
      </c>
      <c r="AJ1354" t="str">
        <f t="shared" si="891"/>
        <v>Porcentaje II</v>
      </c>
      <c r="AK1354" t="str">
        <f t="shared" si="892"/>
        <v>Foto</v>
      </c>
      <c r="AL1354" t="str">
        <f>"{\rtf1\ansi\ansicpg1252\deff0\deflang2058{\fonttbl{\f0\fnil\fcharset0 MS Sans Serif}} \viewkind4\uc1\pard\f0\fs16 COJINETES BIELA STD FIAT PALIO SIENA FIRE 1.3 1.4 8V Y 16V\par } "</f>
        <v xml:space="preserve">{\rtf1\ansi\ansicpg1252\deff0\deflang2058{\fonttbl{\f0\fnil\fcharset0 MS Sans Serif}} \viewkind4\uc1\pard\f0\fs16 COJINETES BIELA STD FIAT PALIO SIENA FIRE 1.3 1.4 8V Y 16V\par } </v>
      </c>
      <c r="AM1354" t="str">
        <f t="shared" ref="AM1354:AM1389" si="894">" "</f>
        <v xml:space="preserve"> </v>
      </c>
    </row>
    <row r="1355" spans="1:39" x14ac:dyDescent="0.25">
      <c r="A1355" t="str">
        <f>"BI199"</f>
        <v>BI199</v>
      </c>
      <c r="B1355" t="str">
        <f>"COJINETES BIELA STD FORD FALCON F100 3.0 3.6"</f>
        <v>COJINETES BIELA STD FORD FALCON F100 3.0 3.6</v>
      </c>
      <c r="C1355" t="str">
        <f>"$ 19913,86"</f>
        <v>$ 19913,86</v>
      </c>
      <c r="D1355" t="str">
        <f>"$ 19913,86"</f>
        <v>$ 19913,86</v>
      </c>
      <c r="E1355" t="str">
        <f>"$ 19913,86"</f>
        <v>$ 19913,86</v>
      </c>
      <c r="F1355" t="str">
        <f>"$ 19913,86"</f>
        <v>$ 19913,86</v>
      </c>
      <c r="G1355" t="str">
        <f>"$ 19913,86"</f>
        <v>$ 19913,86</v>
      </c>
      <c r="H1355" t="str">
        <f t="shared" si="875"/>
        <v>$ 0,00</v>
      </c>
      <c r="I1355" t="str">
        <f t="shared" si="869"/>
        <v>JUEGO COJINETES BIELA</v>
      </c>
      <c r="J1355" t="str">
        <f t="shared" si="876"/>
        <v>1</v>
      </c>
      <c r="K1355" t="str">
        <f t="shared" si="867"/>
        <v>0</v>
      </c>
      <c r="L1355" t="str">
        <f>"11,000"</f>
        <v>11,000</v>
      </c>
      <c r="M1355" t="str">
        <f t="shared" si="877"/>
        <v xml:space="preserve"> </v>
      </c>
      <c r="N1355" t="str">
        <f t="shared" si="863"/>
        <v>MPSI</v>
      </c>
      <c r="O1355" t="str">
        <f t="shared" si="864"/>
        <v>COJINETES</v>
      </c>
      <c r="P1355" t="str">
        <f t="shared" si="872"/>
        <v>0</v>
      </c>
      <c r="Q1355" t="str">
        <f t="shared" si="872"/>
        <v>0</v>
      </c>
      <c r="R1355" t="str">
        <f t="shared" si="873"/>
        <v>0,00</v>
      </c>
      <c r="S1355" t="str">
        <f t="shared" si="873"/>
        <v>0,00</v>
      </c>
      <c r="T1355" t="str">
        <f t="shared" si="857"/>
        <v xml:space="preserve"> </v>
      </c>
      <c r="U1355" t="str">
        <f t="shared" si="893"/>
        <v>-</v>
      </c>
      <c r="V1355" t="str">
        <f>"11,000"</f>
        <v>11,000</v>
      </c>
      <c r="W1355" t="str">
        <f t="shared" si="878"/>
        <v>Lista 4</v>
      </c>
      <c r="X1355" t="str">
        <f t="shared" si="879"/>
        <v>Lista 5</v>
      </c>
      <c r="Y1355" t="str">
        <f t="shared" si="880"/>
        <v>Oferta Gral.</v>
      </c>
      <c r="Z1355" t="str">
        <f t="shared" si="881"/>
        <v>Rubro</v>
      </c>
      <c r="AA1355" t="str">
        <f t="shared" si="882"/>
        <v>Cantidad por Bulto</v>
      </c>
      <c r="AB1355" t="str">
        <f t="shared" si="883"/>
        <v>INNER</v>
      </c>
      <c r="AC1355" t="str">
        <f t="shared" si="884"/>
        <v>Stock en Bultos</v>
      </c>
      <c r="AD1355" t="str">
        <f t="shared" si="885"/>
        <v>SubDepósito</v>
      </c>
      <c r="AE1355" t="str">
        <f t="shared" si="886"/>
        <v>Marca</v>
      </c>
      <c r="AF1355" t="str">
        <f t="shared" si="887"/>
        <v>Super Rubro</v>
      </c>
      <c r="AG1355" t="str">
        <f t="shared" si="888"/>
        <v>ComercioExterior</v>
      </c>
      <c r="AH1355" t="str">
        <f t="shared" si="889"/>
        <v>PrecioFOB</v>
      </c>
      <c r="AI1355" t="str">
        <f t="shared" si="890"/>
        <v>Monto II</v>
      </c>
      <c r="AJ1355" t="str">
        <f t="shared" si="891"/>
        <v>Porcentaje II</v>
      </c>
      <c r="AK1355" t="str">
        <f t="shared" si="892"/>
        <v>Foto</v>
      </c>
      <c r="AL1355" t="str">
        <f>"{\rtf1\ansi\ansicpg1252\deff0\deflang2058{\fonttbl{\f0\fnil\fcharset0 MS Sans Serif}} \viewkind4\uc1\pard\f0\fs16 COJINETES BIELA STD FORD FALCON F100 3.0 3.6\par } "</f>
        <v xml:space="preserve">{\rtf1\ansi\ansicpg1252\deff0\deflang2058{\fonttbl{\f0\fnil\fcharset0 MS Sans Serif}} \viewkind4\uc1\pard\f0\fs16 COJINETES BIELA STD FORD FALCON F100 3.0 3.6\par } </v>
      </c>
      <c r="AM1355" t="str">
        <f t="shared" si="894"/>
        <v xml:space="preserve"> </v>
      </c>
    </row>
    <row r="1356" spans="1:39" x14ac:dyDescent="0.25">
      <c r="A1356" t="str">
        <f>"BI775"</f>
        <v>BI775</v>
      </c>
      <c r="B1356" t="str">
        <f>"COJINETES BIELA STD FORD FIESTA 1.3 ENDURA VARILLERO"</f>
        <v>COJINETES BIELA STD FORD FIESTA 1.3 ENDURA VARILLERO</v>
      </c>
      <c r="C1356" t="str">
        <f>"$ 10973,28"</f>
        <v>$ 10973,28</v>
      </c>
      <c r="D1356" t="str">
        <f>"$ 10973,28"</f>
        <v>$ 10973,28</v>
      </c>
      <c r="E1356" t="str">
        <f>"$ 10973,28"</f>
        <v>$ 10973,28</v>
      </c>
      <c r="F1356" t="str">
        <f>"$ 10973,28"</f>
        <v>$ 10973,28</v>
      </c>
      <c r="G1356" t="str">
        <f>"$ 10973,28"</f>
        <v>$ 10973,28</v>
      </c>
      <c r="H1356" t="str">
        <f t="shared" si="875"/>
        <v>$ 0,00</v>
      </c>
      <c r="I1356" t="str">
        <f t="shared" si="869"/>
        <v>JUEGO COJINETES BIELA</v>
      </c>
      <c r="J1356" t="str">
        <f t="shared" si="876"/>
        <v>1</v>
      </c>
      <c r="K1356" t="str">
        <f t="shared" si="867"/>
        <v>0</v>
      </c>
      <c r="L1356" t="str">
        <f>"15,000"</f>
        <v>15,000</v>
      </c>
      <c r="M1356" t="str">
        <f t="shared" si="877"/>
        <v xml:space="preserve"> </v>
      </c>
      <c r="N1356" t="str">
        <f t="shared" si="863"/>
        <v>MPSI</v>
      </c>
      <c r="O1356" t="str">
        <f t="shared" si="864"/>
        <v>COJINETES</v>
      </c>
      <c r="P1356" t="str">
        <f t="shared" si="872"/>
        <v>0</v>
      </c>
      <c r="Q1356" t="str">
        <f t="shared" si="872"/>
        <v>0</v>
      </c>
      <c r="R1356" t="str">
        <f t="shared" si="873"/>
        <v>0,00</v>
      </c>
      <c r="S1356" t="str">
        <f t="shared" si="873"/>
        <v>0,00</v>
      </c>
      <c r="T1356" t="str">
        <f t="shared" si="857"/>
        <v xml:space="preserve"> </v>
      </c>
      <c r="U1356" t="str">
        <f t="shared" si="893"/>
        <v>-</v>
      </c>
      <c r="V1356" t="str">
        <f>"15,000"</f>
        <v>15,000</v>
      </c>
      <c r="W1356" t="str">
        <f t="shared" si="878"/>
        <v>Lista 4</v>
      </c>
      <c r="X1356" t="str">
        <f t="shared" si="879"/>
        <v>Lista 5</v>
      </c>
      <c r="Y1356" t="str">
        <f t="shared" si="880"/>
        <v>Oferta Gral.</v>
      </c>
      <c r="Z1356" t="str">
        <f t="shared" si="881"/>
        <v>Rubro</v>
      </c>
      <c r="AA1356" t="str">
        <f t="shared" si="882"/>
        <v>Cantidad por Bulto</v>
      </c>
      <c r="AB1356" t="str">
        <f t="shared" si="883"/>
        <v>INNER</v>
      </c>
      <c r="AC1356" t="str">
        <f t="shared" si="884"/>
        <v>Stock en Bultos</v>
      </c>
      <c r="AD1356" t="str">
        <f t="shared" si="885"/>
        <v>SubDepósito</v>
      </c>
      <c r="AE1356" t="str">
        <f t="shared" si="886"/>
        <v>Marca</v>
      </c>
      <c r="AF1356" t="str">
        <f t="shared" si="887"/>
        <v>Super Rubro</v>
      </c>
      <c r="AG1356" t="str">
        <f t="shared" si="888"/>
        <v>ComercioExterior</v>
      </c>
      <c r="AH1356" t="str">
        <f t="shared" si="889"/>
        <v>PrecioFOB</v>
      </c>
      <c r="AI1356" t="str">
        <f t="shared" si="890"/>
        <v>Monto II</v>
      </c>
      <c r="AJ1356" t="str">
        <f t="shared" si="891"/>
        <v>Porcentaje II</v>
      </c>
      <c r="AK1356" t="str">
        <f t="shared" si="892"/>
        <v>Foto</v>
      </c>
      <c r="AL1356" t="str">
        <f>"{\rtf1\ansi\ansicpg1252\deff0\deflang2058{\fonttbl{\f0\fnil\fcharset0 MS Sans Serif}} \viewkind4\uc1\pard\f0\fs16 COJINETES BIELA STD FORD FIESTA 1.3 ENDURA VARILLERO\par } "</f>
        <v xml:space="preserve">{\rtf1\ansi\ansicpg1252\deff0\deflang2058{\fonttbl{\f0\fnil\fcharset0 MS Sans Serif}} \viewkind4\uc1\pard\f0\fs16 COJINETES BIELA STD FORD FIESTA 1.3 ENDURA VARILLERO\par } </v>
      </c>
      <c r="AM1356" t="str">
        <f t="shared" si="894"/>
        <v xml:space="preserve"> </v>
      </c>
    </row>
    <row r="1357" spans="1:39" x14ac:dyDescent="0.25">
      <c r="A1357" t="str">
        <f>"BI679"</f>
        <v>BI679</v>
      </c>
      <c r="B1357" t="str">
        <f>"COJINETES BIELA STD FORD FIESTA 1.4 TDCI DV4"</f>
        <v>COJINETES BIELA STD FORD FIESTA 1.4 TDCI DV4</v>
      </c>
      <c r="C1357" t="str">
        <f>"$ 17848,11"</f>
        <v>$ 17848,11</v>
      </c>
      <c r="D1357" t="str">
        <f>"$ 17848,11"</f>
        <v>$ 17848,11</v>
      </c>
      <c r="E1357" t="str">
        <f>"$ 17848,11"</f>
        <v>$ 17848,11</v>
      </c>
      <c r="F1357" t="str">
        <f>"$ 17848,11"</f>
        <v>$ 17848,11</v>
      </c>
      <c r="G1357" t="str">
        <f>"$ 17848,11"</f>
        <v>$ 17848,11</v>
      </c>
      <c r="H1357" t="str">
        <f t="shared" si="875"/>
        <v>$ 0,00</v>
      </c>
      <c r="I1357" t="str">
        <f t="shared" si="869"/>
        <v>JUEGO COJINETES BIELA</v>
      </c>
      <c r="J1357" t="str">
        <f t="shared" si="876"/>
        <v>1</v>
      </c>
      <c r="K1357" t="str">
        <f t="shared" si="867"/>
        <v>0</v>
      </c>
      <c r="L1357" t="str">
        <f>"12,000"</f>
        <v>12,000</v>
      </c>
      <c r="M1357" t="str">
        <f t="shared" si="877"/>
        <v xml:space="preserve"> </v>
      </c>
      <c r="N1357" t="str">
        <f t="shared" si="863"/>
        <v>MPSI</v>
      </c>
      <c r="O1357" t="str">
        <f t="shared" si="864"/>
        <v>COJINETES</v>
      </c>
      <c r="P1357" t="str">
        <f t="shared" si="872"/>
        <v>0</v>
      </c>
      <c r="Q1357" t="str">
        <f t="shared" si="872"/>
        <v>0</v>
      </c>
      <c r="R1357" t="str">
        <f t="shared" si="873"/>
        <v>0,00</v>
      </c>
      <c r="S1357" t="str">
        <f t="shared" si="873"/>
        <v>0,00</v>
      </c>
      <c r="T1357" t="str">
        <f t="shared" si="857"/>
        <v xml:space="preserve"> </v>
      </c>
      <c r="U1357" t="str">
        <f t="shared" si="893"/>
        <v>-</v>
      </c>
      <c r="V1357" t="str">
        <f>"12,000"</f>
        <v>12,000</v>
      </c>
      <c r="W1357" t="str">
        <f t="shared" si="878"/>
        <v>Lista 4</v>
      </c>
      <c r="X1357" t="str">
        <f t="shared" si="879"/>
        <v>Lista 5</v>
      </c>
      <c r="Y1357" t="str">
        <f t="shared" si="880"/>
        <v>Oferta Gral.</v>
      </c>
      <c r="Z1357" t="str">
        <f t="shared" si="881"/>
        <v>Rubro</v>
      </c>
      <c r="AA1357" t="str">
        <f t="shared" si="882"/>
        <v>Cantidad por Bulto</v>
      </c>
      <c r="AB1357" t="str">
        <f t="shared" si="883"/>
        <v>INNER</v>
      </c>
      <c r="AC1357" t="str">
        <f t="shared" si="884"/>
        <v>Stock en Bultos</v>
      </c>
      <c r="AD1357" t="str">
        <f t="shared" si="885"/>
        <v>SubDepósito</v>
      </c>
      <c r="AE1357" t="str">
        <f t="shared" si="886"/>
        <v>Marca</v>
      </c>
      <c r="AF1357" t="str">
        <f t="shared" si="887"/>
        <v>Super Rubro</v>
      </c>
      <c r="AG1357" t="str">
        <f t="shared" si="888"/>
        <v>ComercioExterior</v>
      </c>
      <c r="AH1357" t="str">
        <f t="shared" si="889"/>
        <v>PrecioFOB</v>
      </c>
      <c r="AI1357" t="str">
        <f t="shared" si="890"/>
        <v>Monto II</v>
      </c>
      <c r="AJ1357" t="str">
        <f t="shared" si="891"/>
        <v>Porcentaje II</v>
      </c>
      <c r="AK1357" t="str">
        <f t="shared" si="892"/>
        <v>Foto</v>
      </c>
      <c r="AL1357" t="str">
        <f t="shared" ref="AL1357:AL1362" si="895">" "</f>
        <v xml:space="preserve"> </v>
      </c>
      <c r="AM1357" t="str">
        <f t="shared" si="894"/>
        <v xml:space="preserve"> </v>
      </c>
    </row>
    <row r="1358" spans="1:39" x14ac:dyDescent="0.25">
      <c r="A1358" t="str">
        <f>"BI776"</f>
        <v>BI776</v>
      </c>
      <c r="B1358" t="str">
        <f>"COJINETES BIELA STD FORD FIESTA COURIER FOCUS 1.8 DIESEL"</f>
        <v>COJINETES BIELA STD FORD FIESTA COURIER FOCUS 1.8 DIESEL</v>
      </c>
      <c r="C1358" t="str">
        <f>"$ 15570,20"</f>
        <v>$ 15570,20</v>
      </c>
      <c r="D1358" t="str">
        <f>"$ 15570,20"</f>
        <v>$ 15570,20</v>
      </c>
      <c r="E1358" t="str">
        <f>"$ 15570,20"</f>
        <v>$ 15570,20</v>
      </c>
      <c r="F1358" t="str">
        <f>"$ 15570,20"</f>
        <v>$ 15570,20</v>
      </c>
      <c r="G1358" t="str">
        <f>"$ 15570,20"</f>
        <v>$ 15570,20</v>
      </c>
      <c r="H1358" t="str">
        <f t="shared" si="875"/>
        <v>$ 0,00</v>
      </c>
      <c r="I1358" t="str">
        <f t="shared" si="869"/>
        <v>JUEGO COJINETES BIELA</v>
      </c>
      <c r="J1358" t="str">
        <f t="shared" si="876"/>
        <v>1</v>
      </c>
      <c r="K1358" t="str">
        <f t="shared" si="867"/>
        <v>0</v>
      </c>
      <c r="L1358" t="str">
        <f>"10,000"</f>
        <v>10,000</v>
      </c>
      <c r="M1358" t="str">
        <f t="shared" si="877"/>
        <v xml:space="preserve"> </v>
      </c>
      <c r="N1358" t="str">
        <f t="shared" si="863"/>
        <v>MPSI</v>
      </c>
      <c r="O1358" t="str">
        <f t="shared" si="864"/>
        <v>COJINETES</v>
      </c>
      <c r="P1358" t="str">
        <f t="shared" si="872"/>
        <v>0</v>
      </c>
      <c r="Q1358" t="str">
        <f t="shared" si="872"/>
        <v>0</v>
      </c>
      <c r="R1358" t="str">
        <f t="shared" si="873"/>
        <v>0,00</v>
      </c>
      <c r="S1358" t="str">
        <f t="shared" si="873"/>
        <v>0,00</v>
      </c>
      <c r="T1358" t="str">
        <f t="shared" si="857"/>
        <v xml:space="preserve"> </v>
      </c>
      <c r="U1358" t="str">
        <f t="shared" si="893"/>
        <v>-</v>
      </c>
      <c r="V1358" t="str">
        <f>"10,000"</f>
        <v>10,000</v>
      </c>
      <c r="W1358" t="str">
        <f t="shared" si="878"/>
        <v>Lista 4</v>
      </c>
      <c r="X1358" t="str">
        <f t="shared" si="879"/>
        <v>Lista 5</v>
      </c>
      <c r="Y1358" t="str">
        <f t="shared" si="880"/>
        <v>Oferta Gral.</v>
      </c>
      <c r="Z1358" t="str">
        <f t="shared" si="881"/>
        <v>Rubro</v>
      </c>
      <c r="AA1358" t="str">
        <f t="shared" si="882"/>
        <v>Cantidad por Bulto</v>
      </c>
      <c r="AB1358" t="str">
        <f t="shared" si="883"/>
        <v>INNER</v>
      </c>
      <c r="AC1358" t="str">
        <f t="shared" si="884"/>
        <v>Stock en Bultos</v>
      </c>
      <c r="AD1358" t="str">
        <f t="shared" si="885"/>
        <v>SubDepósito</v>
      </c>
      <c r="AE1358" t="str">
        <f t="shared" si="886"/>
        <v>Marca</v>
      </c>
      <c r="AF1358" t="str">
        <f t="shared" si="887"/>
        <v>Super Rubro</v>
      </c>
      <c r="AG1358" t="str">
        <f t="shared" si="888"/>
        <v>ComercioExterior</v>
      </c>
      <c r="AH1358" t="str">
        <f t="shared" si="889"/>
        <v>PrecioFOB</v>
      </c>
      <c r="AI1358" t="str">
        <f t="shared" si="890"/>
        <v>Monto II</v>
      </c>
      <c r="AJ1358" t="str">
        <f t="shared" si="891"/>
        <v>Porcentaje II</v>
      </c>
      <c r="AK1358" t="str">
        <f t="shared" si="892"/>
        <v>Foto</v>
      </c>
      <c r="AL1358" t="str">
        <f t="shared" si="895"/>
        <v xml:space="preserve"> </v>
      </c>
      <c r="AM1358" t="str">
        <f t="shared" si="894"/>
        <v xml:space="preserve"> </v>
      </c>
    </row>
    <row r="1359" spans="1:39" x14ac:dyDescent="0.25">
      <c r="A1359" t="str">
        <f>"BI773"</f>
        <v>BI773</v>
      </c>
      <c r="B1359" t="str">
        <f>"COJINETES BIELA STD FORD FIESTA FOCUS 1.8 DIESEL SIN TRABA"</f>
        <v>COJINETES BIELA STD FORD FIESTA FOCUS 1.8 DIESEL SIN TRABA</v>
      </c>
      <c r="C1359" t="str">
        <f>"$ 26787,87"</f>
        <v>$ 26787,87</v>
      </c>
      <c r="D1359" t="str">
        <f>"$ 26787,87"</f>
        <v>$ 26787,87</v>
      </c>
      <c r="E1359" t="str">
        <f>"$ 26787,87"</f>
        <v>$ 26787,87</v>
      </c>
      <c r="F1359" t="str">
        <f>"$ 26787,87"</f>
        <v>$ 26787,87</v>
      </c>
      <c r="G1359" t="str">
        <f>"$ 26787,87"</f>
        <v>$ 26787,87</v>
      </c>
      <c r="H1359" t="str">
        <f t="shared" si="875"/>
        <v>$ 0,00</v>
      </c>
      <c r="I1359" t="str">
        <f t="shared" si="869"/>
        <v>JUEGO COJINETES BIELA</v>
      </c>
      <c r="J1359" t="str">
        <f t="shared" si="876"/>
        <v>1</v>
      </c>
      <c r="K1359" t="str">
        <f t="shared" si="867"/>
        <v>0</v>
      </c>
      <c r="L1359" t="str">
        <f>"6,000"</f>
        <v>6,000</v>
      </c>
      <c r="M1359" t="str">
        <f t="shared" si="877"/>
        <v xml:space="preserve"> </v>
      </c>
      <c r="N1359" t="str">
        <f t="shared" si="863"/>
        <v>MPSI</v>
      </c>
      <c r="O1359" t="str">
        <f t="shared" si="864"/>
        <v>COJINETES</v>
      </c>
      <c r="P1359" t="str">
        <f t="shared" si="872"/>
        <v>0</v>
      </c>
      <c r="Q1359" t="str">
        <f t="shared" si="872"/>
        <v>0</v>
      </c>
      <c r="R1359" t="str">
        <f t="shared" si="873"/>
        <v>0,00</v>
      </c>
      <c r="S1359" t="str">
        <f t="shared" si="873"/>
        <v>0,00</v>
      </c>
      <c r="T1359" t="str">
        <f t="shared" si="857"/>
        <v xml:space="preserve"> </v>
      </c>
      <c r="U1359" t="str">
        <f t="shared" si="893"/>
        <v>-</v>
      </c>
      <c r="V1359" t="str">
        <f>"6,000"</f>
        <v>6,000</v>
      </c>
      <c r="W1359" t="str">
        <f t="shared" si="878"/>
        <v>Lista 4</v>
      </c>
      <c r="X1359" t="str">
        <f t="shared" si="879"/>
        <v>Lista 5</v>
      </c>
      <c r="Y1359" t="str">
        <f t="shared" si="880"/>
        <v>Oferta Gral.</v>
      </c>
      <c r="Z1359" t="str">
        <f t="shared" si="881"/>
        <v>Rubro</v>
      </c>
      <c r="AA1359" t="str">
        <f t="shared" si="882"/>
        <v>Cantidad por Bulto</v>
      </c>
      <c r="AB1359" t="str">
        <f t="shared" si="883"/>
        <v>INNER</v>
      </c>
      <c r="AC1359" t="str">
        <f t="shared" si="884"/>
        <v>Stock en Bultos</v>
      </c>
      <c r="AD1359" t="str">
        <f t="shared" si="885"/>
        <v>SubDepósito</v>
      </c>
      <c r="AE1359" t="str">
        <f t="shared" si="886"/>
        <v>Marca</v>
      </c>
      <c r="AF1359" t="str">
        <f t="shared" si="887"/>
        <v>Super Rubro</v>
      </c>
      <c r="AG1359" t="str">
        <f t="shared" si="888"/>
        <v>ComercioExterior</v>
      </c>
      <c r="AH1359" t="str">
        <f t="shared" si="889"/>
        <v>PrecioFOB</v>
      </c>
      <c r="AI1359" t="str">
        <f t="shared" si="890"/>
        <v>Monto II</v>
      </c>
      <c r="AJ1359" t="str">
        <f t="shared" si="891"/>
        <v>Porcentaje II</v>
      </c>
      <c r="AK1359" t="str">
        <f t="shared" si="892"/>
        <v>Foto</v>
      </c>
      <c r="AL1359" t="str">
        <f t="shared" si="895"/>
        <v xml:space="preserve"> </v>
      </c>
      <c r="AM1359" t="str">
        <f t="shared" si="894"/>
        <v xml:space="preserve"> </v>
      </c>
    </row>
    <row r="1360" spans="1:39" x14ac:dyDescent="0.25">
      <c r="A1360" t="str">
        <f>"BI209"</f>
        <v>BI209</v>
      </c>
      <c r="B1360" t="str">
        <f>"COJINETES BIELA STD FORD FOCUS FIESTA SIGMA 1.6 16V"</f>
        <v>COJINETES BIELA STD FORD FOCUS FIESTA SIGMA 1.6 16V</v>
      </c>
      <c r="C1360" t="str">
        <f>"$ 20733,89"</f>
        <v>$ 20733,89</v>
      </c>
      <c r="D1360" t="str">
        <f>"$ 20733,89"</f>
        <v>$ 20733,89</v>
      </c>
      <c r="E1360" t="str">
        <f>"$ 20733,89"</f>
        <v>$ 20733,89</v>
      </c>
      <c r="F1360" t="str">
        <f>"$ 20733,89"</f>
        <v>$ 20733,89</v>
      </c>
      <c r="G1360" t="str">
        <f>"$ 20733,89"</f>
        <v>$ 20733,89</v>
      </c>
      <c r="H1360" t="str">
        <f t="shared" si="875"/>
        <v>$ 0,00</v>
      </c>
      <c r="I1360" t="str">
        <f t="shared" si="869"/>
        <v>JUEGO COJINETES BIELA</v>
      </c>
      <c r="J1360" t="str">
        <f t="shared" si="876"/>
        <v>1</v>
      </c>
      <c r="K1360" t="str">
        <f t="shared" si="867"/>
        <v>0</v>
      </c>
      <c r="L1360" t="str">
        <f>"7,000"</f>
        <v>7,000</v>
      </c>
      <c r="M1360" t="str">
        <f t="shared" si="877"/>
        <v xml:space="preserve"> </v>
      </c>
      <c r="N1360" t="str">
        <f t="shared" si="863"/>
        <v>MPSI</v>
      </c>
      <c r="O1360" t="str">
        <f t="shared" si="864"/>
        <v>COJINETES</v>
      </c>
      <c r="P1360" t="str">
        <f t="shared" si="872"/>
        <v>0</v>
      </c>
      <c r="Q1360" t="str">
        <f t="shared" si="872"/>
        <v>0</v>
      </c>
      <c r="R1360" t="str">
        <f t="shared" si="873"/>
        <v>0,00</v>
      </c>
      <c r="S1360" t="str">
        <f t="shared" si="873"/>
        <v>0,00</v>
      </c>
      <c r="T1360" t="str">
        <f t="shared" si="857"/>
        <v xml:space="preserve"> </v>
      </c>
      <c r="U1360" t="str">
        <f t="shared" si="893"/>
        <v>-</v>
      </c>
      <c r="V1360" t="str">
        <f>"7,000"</f>
        <v>7,000</v>
      </c>
      <c r="W1360" t="str">
        <f t="shared" si="878"/>
        <v>Lista 4</v>
      </c>
      <c r="X1360" t="str">
        <f t="shared" si="879"/>
        <v>Lista 5</v>
      </c>
      <c r="Y1360" t="str">
        <f t="shared" si="880"/>
        <v>Oferta Gral.</v>
      </c>
      <c r="Z1360" t="str">
        <f t="shared" si="881"/>
        <v>Rubro</v>
      </c>
      <c r="AA1360" t="str">
        <f t="shared" si="882"/>
        <v>Cantidad por Bulto</v>
      </c>
      <c r="AB1360" t="str">
        <f t="shared" si="883"/>
        <v>INNER</v>
      </c>
      <c r="AC1360" t="str">
        <f t="shared" si="884"/>
        <v>Stock en Bultos</v>
      </c>
      <c r="AD1360" t="str">
        <f t="shared" si="885"/>
        <v>SubDepósito</v>
      </c>
      <c r="AE1360" t="str">
        <f t="shared" si="886"/>
        <v>Marca</v>
      </c>
      <c r="AF1360" t="str">
        <f t="shared" si="887"/>
        <v>Super Rubro</v>
      </c>
      <c r="AG1360" t="str">
        <f t="shared" si="888"/>
        <v>ComercioExterior</v>
      </c>
      <c r="AH1360" t="str">
        <f t="shared" si="889"/>
        <v>PrecioFOB</v>
      </c>
      <c r="AI1360" t="str">
        <f t="shared" si="890"/>
        <v>Monto II</v>
      </c>
      <c r="AJ1360" t="str">
        <f t="shared" si="891"/>
        <v>Porcentaje II</v>
      </c>
      <c r="AK1360" t="str">
        <f t="shared" si="892"/>
        <v>Foto</v>
      </c>
      <c r="AL1360" t="str">
        <f t="shared" si="895"/>
        <v xml:space="preserve"> </v>
      </c>
      <c r="AM1360" t="str">
        <f t="shared" si="894"/>
        <v xml:space="preserve"> </v>
      </c>
    </row>
    <row r="1361" spans="1:39" x14ac:dyDescent="0.25">
      <c r="A1361" t="str">
        <f>"BI777"</f>
        <v>BI777</v>
      </c>
      <c r="B1361" t="str">
        <f>"COJINETES BIELA STD FORD FOCUS FIESTA ZETEC 1.6 1.8 2.0 16V"</f>
        <v>COJINETES BIELA STD FORD FOCUS FIESTA ZETEC 1.6 1.8 2.0 16V</v>
      </c>
      <c r="C1361" t="str">
        <f>"$ 14739,27"</f>
        <v>$ 14739,27</v>
      </c>
      <c r="D1361" t="str">
        <f>"$ 14739,27"</f>
        <v>$ 14739,27</v>
      </c>
      <c r="E1361" t="str">
        <f>"$ 14739,27"</f>
        <v>$ 14739,27</v>
      </c>
      <c r="F1361" t="str">
        <f>"$ 14739,27"</f>
        <v>$ 14739,27</v>
      </c>
      <c r="G1361" t="str">
        <f>"$ 14739,27"</f>
        <v>$ 14739,27</v>
      </c>
      <c r="H1361" t="str">
        <f t="shared" si="875"/>
        <v>$ 0,00</v>
      </c>
      <c r="I1361" t="str">
        <f t="shared" si="869"/>
        <v>JUEGO COJINETES BIELA</v>
      </c>
      <c r="J1361" t="str">
        <f t="shared" si="876"/>
        <v>1</v>
      </c>
      <c r="K1361" t="str">
        <f t="shared" si="867"/>
        <v>0</v>
      </c>
      <c r="L1361" t="str">
        <f>"10,000"</f>
        <v>10,000</v>
      </c>
      <c r="M1361" t="str">
        <f t="shared" si="877"/>
        <v xml:space="preserve"> </v>
      </c>
      <c r="N1361" t="str">
        <f t="shared" si="863"/>
        <v>MPSI</v>
      </c>
      <c r="O1361" t="str">
        <f t="shared" si="864"/>
        <v>COJINETES</v>
      </c>
      <c r="P1361" t="str">
        <f t="shared" si="872"/>
        <v>0</v>
      </c>
      <c r="Q1361" t="str">
        <f t="shared" si="872"/>
        <v>0</v>
      </c>
      <c r="R1361" t="str">
        <f t="shared" si="873"/>
        <v>0,00</v>
      </c>
      <c r="S1361" t="str">
        <f t="shared" si="873"/>
        <v>0,00</v>
      </c>
      <c r="T1361" t="str">
        <f t="shared" ref="T1361:T1424" si="896">" "</f>
        <v xml:space="preserve"> </v>
      </c>
      <c r="U1361" t="str">
        <f t="shared" si="893"/>
        <v>-</v>
      </c>
      <c r="V1361" t="str">
        <f>"10,000"</f>
        <v>10,000</v>
      </c>
      <c r="W1361" t="str">
        <f t="shared" si="878"/>
        <v>Lista 4</v>
      </c>
      <c r="X1361" t="str">
        <f t="shared" si="879"/>
        <v>Lista 5</v>
      </c>
      <c r="Y1361" t="str">
        <f t="shared" si="880"/>
        <v>Oferta Gral.</v>
      </c>
      <c r="Z1361" t="str">
        <f t="shared" si="881"/>
        <v>Rubro</v>
      </c>
      <c r="AA1361" t="str">
        <f t="shared" si="882"/>
        <v>Cantidad por Bulto</v>
      </c>
      <c r="AB1361" t="str">
        <f t="shared" si="883"/>
        <v>INNER</v>
      </c>
      <c r="AC1361" t="str">
        <f t="shared" si="884"/>
        <v>Stock en Bultos</v>
      </c>
      <c r="AD1361" t="str">
        <f t="shared" si="885"/>
        <v>SubDepósito</v>
      </c>
      <c r="AE1361" t="str">
        <f t="shared" si="886"/>
        <v>Marca</v>
      </c>
      <c r="AF1361" t="str">
        <f t="shared" si="887"/>
        <v>Super Rubro</v>
      </c>
      <c r="AG1361" t="str">
        <f t="shared" si="888"/>
        <v>ComercioExterior</v>
      </c>
      <c r="AH1361" t="str">
        <f t="shared" si="889"/>
        <v>PrecioFOB</v>
      </c>
      <c r="AI1361" t="str">
        <f t="shared" si="890"/>
        <v>Monto II</v>
      </c>
      <c r="AJ1361" t="str">
        <f t="shared" si="891"/>
        <v>Porcentaje II</v>
      </c>
      <c r="AK1361" t="str">
        <f t="shared" si="892"/>
        <v>Foto</v>
      </c>
      <c r="AL1361" t="str">
        <f t="shared" si="895"/>
        <v xml:space="preserve"> </v>
      </c>
      <c r="AM1361" t="str">
        <f t="shared" si="894"/>
        <v xml:space="preserve"> </v>
      </c>
    </row>
    <row r="1362" spans="1:39" x14ac:dyDescent="0.25">
      <c r="A1362" t="str">
        <f>"BI164647"</f>
        <v>BI164647</v>
      </c>
      <c r="B1362" t="str">
        <f>"COJINETES BIELA STD FORD FOCUS MONDEO DURATEC 2.0 16V"</f>
        <v>COJINETES BIELA STD FORD FOCUS MONDEO DURATEC 2.0 16V</v>
      </c>
      <c r="C1362" t="str">
        <f>"$ 13018,04"</f>
        <v>$ 13018,04</v>
      </c>
      <c r="D1362" t="str">
        <f>"$ 13018,04"</f>
        <v>$ 13018,04</v>
      </c>
      <c r="E1362" t="str">
        <f>"$ 13018,04"</f>
        <v>$ 13018,04</v>
      </c>
      <c r="F1362" t="str">
        <f>"$ 13018,04"</f>
        <v>$ 13018,04</v>
      </c>
      <c r="G1362" t="str">
        <f>"$ 13018,04"</f>
        <v>$ 13018,04</v>
      </c>
      <c r="H1362" t="str">
        <f t="shared" si="875"/>
        <v>$ 0,00</v>
      </c>
      <c r="I1362" t="str">
        <f t="shared" si="869"/>
        <v>JUEGO COJINETES BIELA</v>
      </c>
      <c r="J1362" t="str">
        <f t="shared" si="876"/>
        <v>1</v>
      </c>
      <c r="K1362" t="str">
        <f t="shared" si="867"/>
        <v>0</v>
      </c>
      <c r="L1362" t="str">
        <f>"6,000"</f>
        <v>6,000</v>
      </c>
      <c r="M1362" t="str">
        <f t="shared" si="877"/>
        <v xml:space="preserve"> </v>
      </c>
      <c r="N1362" t="str">
        <f t="shared" si="863"/>
        <v>MPSI</v>
      </c>
      <c r="O1362" t="str">
        <f t="shared" si="864"/>
        <v>COJINETES</v>
      </c>
      <c r="P1362" t="str">
        <f t="shared" si="872"/>
        <v>0</v>
      </c>
      <c r="Q1362" t="str">
        <f t="shared" si="872"/>
        <v>0</v>
      </c>
      <c r="R1362" t="str">
        <f t="shared" si="873"/>
        <v>0,00</v>
      </c>
      <c r="S1362" t="str">
        <f t="shared" si="873"/>
        <v>0,00</v>
      </c>
      <c r="T1362" t="str">
        <f t="shared" si="896"/>
        <v xml:space="preserve"> </v>
      </c>
      <c r="U1362" t="str">
        <f t="shared" si="893"/>
        <v>-</v>
      </c>
      <c r="V1362" t="str">
        <f>"6,000"</f>
        <v>6,000</v>
      </c>
      <c r="W1362" t="str">
        <f t="shared" si="878"/>
        <v>Lista 4</v>
      </c>
      <c r="X1362" t="str">
        <f t="shared" si="879"/>
        <v>Lista 5</v>
      </c>
      <c r="Y1362" t="str">
        <f t="shared" si="880"/>
        <v>Oferta Gral.</v>
      </c>
      <c r="Z1362" t="str">
        <f t="shared" si="881"/>
        <v>Rubro</v>
      </c>
      <c r="AA1362" t="str">
        <f t="shared" si="882"/>
        <v>Cantidad por Bulto</v>
      </c>
      <c r="AB1362" t="str">
        <f t="shared" si="883"/>
        <v>INNER</v>
      </c>
      <c r="AC1362" t="str">
        <f t="shared" si="884"/>
        <v>Stock en Bultos</v>
      </c>
      <c r="AD1362" t="str">
        <f t="shared" si="885"/>
        <v>SubDepósito</v>
      </c>
      <c r="AE1362" t="str">
        <f t="shared" si="886"/>
        <v>Marca</v>
      </c>
      <c r="AF1362" t="str">
        <f t="shared" si="887"/>
        <v>Super Rubro</v>
      </c>
      <c r="AG1362" t="str">
        <f t="shared" si="888"/>
        <v>ComercioExterior</v>
      </c>
      <c r="AH1362" t="str">
        <f t="shared" si="889"/>
        <v>PrecioFOB</v>
      </c>
      <c r="AI1362" t="str">
        <f t="shared" si="890"/>
        <v>Monto II</v>
      </c>
      <c r="AJ1362" t="str">
        <f t="shared" si="891"/>
        <v>Porcentaje II</v>
      </c>
      <c r="AK1362" t="str">
        <f t="shared" si="892"/>
        <v>Foto</v>
      </c>
      <c r="AL1362" t="str">
        <f t="shared" si="895"/>
        <v xml:space="preserve"> </v>
      </c>
      <c r="AM1362" t="str">
        <f t="shared" si="894"/>
        <v xml:space="preserve"> </v>
      </c>
    </row>
    <row r="1363" spans="1:39" x14ac:dyDescent="0.25">
      <c r="A1363" t="str">
        <f>"BI164748"</f>
        <v>BI164748</v>
      </c>
      <c r="B1363" t="str">
        <f>"COJINETES BIELA STD FORD KA ECOSPORT SIGMA 1.5 16 VALVULAS"</f>
        <v>COJINETES BIELA STD FORD KA ECOSPORT SIGMA 1.5 16 VALVULAS</v>
      </c>
      <c r="C1363" t="str">
        <f>"$ 9799,93"</f>
        <v>$ 9799,93</v>
      </c>
      <c r="D1363" t="str">
        <f>"$ 9799,93"</f>
        <v>$ 9799,93</v>
      </c>
      <c r="E1363" t="str">
        <f>"$ 9799,93"</f>
        <v>$ 9799,93</v>
      </c>
      <c r="F1363" t="str">
        <f>"$ 9799,93"</f>
        <v>$ 9799,93</v>
      </c>
      <c r="G1363" t="str">
        <f>"$ 9799,93"</f>
        <v>$ 9799,93</v>
      </c>
      <c r="H1363" t="str">
        <f t="shared" si="875"/>
        <v>$ 0,00</v>
      </c>
      <c r="I1363" t="str">
        <f t="shared" si="869"/>
        <v>JUEGO COJINETES BIELA</v>
      </c>
      <c r="J1363" t="str">
        <f t="shared" si="876"/>
        <v>1</v>
      </c>
      <c r="K1363" t="str">
        <f t="shared" si="867"/>
        <v>0</v>
      </c>
      <c r="L1363" t="str">
        <f>"0,000"</f>
        <v>0,000</v>
      </c>
      <c r="M1363" t="str">
        <f t="shared" si="877"/>
        <v xml:space="preserve"> </v>
      </c>
      <c r="N1363" t="str">
        <f t="shared" si="863"/>
        <v>MPSI</v>
      </c>
      <c r="O1363" t="str">
        <f t="shared" si="864"/>
        <v>COJINETES</v>
      </c>
      <c r="P1363" t="str">
        <f t="shared" ref="P1363:Q1382" si="897">"0"</f>
        <v>0</v>
      </c>
      <c r="Q1363" t="str">
        <f t="shared" si="897"/>
        <v>0</v>
      </c>
      <c r="R1363" t="str">
        <f t="shared" ref="R1363:S1382" si="898">"0,00"</f>
        <v>0,00</v>
      </c>
      <c r="S1363" t="str">
        <f t="shared" si="898"/>
        <v>0,00</v>
      </c>
      <c r="T1363" t="str">
        <f t="shared" si="896"/>
        <v xml:space="preserve"> </v>
      </c>
      <c r="U1363" t="str">
        <f>" "</f>
        <v xml:space="preserve"> </v>
      </c>
      <c r="V1363" t="str">
        <f>"0,000"</f>
        <v>0,000</v>
      </c>
      <c r="W1363" t="str">
        <f t="shared" si="878"/>
        <v>Lista 4</v>
      </c>
      <c r="X1363" t="str">
        <f t="shared" si="879"/>
        <v>Lista 5</v>
      </c>
      <c r="Y1363" t="str">
        <f t="shared" si="880"/>
        <v>Oferta Gral.</v>
      </c>
      <c r="Z1363" t="str">
        <f t="shared" si="881"/>
        <v>Rubro</v>
      </c>
      <c r="AA1363" t="str">
        <f t="shared" si="882"/>
        <v>Cantidad por Bulto</v>
      </c>
      <c r="AB1363" t="str">
        <f t="shared" si="883"/>
        <v>INNER</v>
      </c>
      <c r="AC1363" t="str">
        <f t="shared" si="884"/>
        <v>Stock en Bultos</v>
      </c>
      <c r="AD1363" t="str">
        <f t="shared" si="885"/>
        <v>SubDepósito</v>
      </c>
      <c r="AE1363" t="str">
        <f t="shared" si="886"/>
        <v>Marca</v>
      </c>
      <c r="AF1363" t="str">
        <f t="shared" si="887"/>
        <v>Super Rubro</v>
      </c>
      <c r="AG1363" t="str">
        <f t="shared" si="888"/>
        <v>ComercioExterior</v>
      </c>
      <c r="AH1363" t="str">
        <f t="shared" si="889"/>
        <v>PrecioFOB</v>
      </c>
      <c r="AI1363" t="str">
        <f t="shared" si="890"/>
        <v>Monto II</v>
      </c>
      <c r="AJ1363" t="str">
        <f t="shared" si="891"/>
        <v>Porcentaje II</v>
      </c>
      <c r="AK1363" t="str">
        <f t="shared" si="892"/>
        <v>Foto</v>
      </c>
      <c r="AL136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363" t="str">
        <f t="shared" si="894"/>
        <v xml:space="preserve"> </v>
      </c>
    </row>
    <row r="1364" spans="1:39" x14ac:dyDescent="0.25">
      <c r="A1364" t="str">
        <f>"BI164198"</f>
        <v>BI164198</v>
      </c>
      <c r="B1364" t="str">
        <f>"COJINETES BIELA STD FORD RANGER 2.2 PUMA TDCI 125HP"</f>
        <v>COJINETES BIELA STD FORD RANGER 2.2 PUMA TDCI 125HP</v>
      </c>
      <c r="C1364" t="str">
        <f>"$ 29478,53"</f>
        <v>$ 29478,53</v>
      </c>
      <c r="D1364" t="str">
        <f>"$ 29478,53"</f>
        <v>$ 29478,53</v>
      </c>
      <c r="E1364" t="str">
        <f>"$ 29478,53"</f>
        <v>$ 29478,53</v>
      </c>
      <c r="F1364" t="str">
        <f>"$ 29478,53"</f>
        <v>$ 29478,53</v>
      </c>
      <c r="G1364" t="str">
        <f>"$ 29478,53"</f>
        <v>$ 29478,53</v>
      </c>
      <c r="H1364" t="str">
        <f t="shared" si="875"/>
        <v>$ 0,00</v>
      </c>
      <c r="I1364" t="str">
        <f t="shared" si="869"/>
        <v>JUEGO COJINETES BIELA</v>
      </c>
      <c r="J1364" t="str">
        <f t="shared" si="876"/>
        <v>1</v>
      </c>
      <c r="K1364" t="str">
        <f t="shared" si="867"/>
        <v>0</v>
      </c>
      <c r="L1364" t="str">
        <f>"7,000"</f>
        <v>7,000</v>
      </c>
      <c r="M1364" t="str">
        <f t="shared" si="877"/>
        <v xml:space="preserve"> </v>
      </c>
      <c r="N1364" t="str">
        <f t="shared" si="863"/>
        <v>MPSI</v>
      </c>
      <c r="O1364" t="str">
        <f t="shared" si="864"/>
        <v>COJINETES</v>
      </c>
      <c r="P1364" t="str">
        <f t="shared" si="897"/>
        <v>0</v>
      </c>
      <c r="Q1364" t="str">
        <f t="shared" si="897"/>
        <v>0</v>
      </c>
      <c r="R1364" t="str">
        <f t="shared" si="898"/>
        <v>0,00</v>
      </c>
      <c r="S1364" t="str">
        <f t="shared" si="898"/>
        <v>0,00</v>
      </c>
      <c r="T1364" t="str">
        <f t="shared" si="896"/>
        <v xml:space="preserve"> </v>
      </c>
      <c r="U1364" t="str">
        <f t="shared" ref="U1364:U1389" si="899">"-"</f>
        <v>-</v>
      </c>
      <c r="V1364" t="str">
        <f>"7,000"</f>
        <v>7,000</v>
      </c>
      <c r="W1364" t="str">
        <f t="shared" si="878"/>
        <v>Lista 4</v>
      </c>
      <c r="X1364" t="str">
        <f t="shared" si="879"/>
        <v>Lista 5</v>
      </c>
      <c r="Y1364" t="str">
        <f t="shared" si="880"/>
        <v>Oferta Gral.</v>
      </c>
      <c r="Z1364" t="str">
        <f t="shared" si="881"/>
        <v>Rubro</v>
      </c>
      <c r="AA1364" t="str">
        <f t="shared" si="882"/>
        <v>Cantidad por Bulto</v>
      </c>
      <c r="AB1364" t="str">
        <f t="shared" si="883"/>
        <v>INNER</v>
      </c>
      <c r="AC1364" t="str">
        <f t="shared" si="884"/>
        <v>Stock en Bultos</v>
      </c>
      <c r="AD1364" t="str">
        <f t="shared" si="885"/>
        <v>SubDepósito</v>
      </c>
      <c r="AE1364" t="str">
        <f t="shared" si="886"/>
        <v>Marca</v>
      </c>
      <c r="AF1364" t="str">
        <f t="shared" si="887"/>
        <v>Super Rubro</v>
      </c>
      <c r="AG1364" t="str">
        <f t="shared" si="888"/>
        <v>ComercioExterior</v>
      </c>
      <c r="AH1364" t="str">
        <f t="shared" si="889"/>
        <v>PrecioFOB</v>
      </c>
      <c r="AI1364" t="str">
        <f t="shared" si="890"/>
        <v>Monto II</v>
      </c>
      <c r="AJ1364" t="str">
        <f t="shared" si="891"/>
        <v>Porcentaje II</v>
      </c>
      <c r="AK1364" t="str">
        <f t="shared" si="892"/>
        <v>Foto</v>
      </c>
      <c r="AL1364" t="str">
        <f t="shared" ref="AL1364:AL1375" si="900">" "</f>
        <v xml:space="preserve"> </v>
      </c>
      <c r="AM1364" t="str">
        <f t="shared" si="894"/>
        <v xml:space="preserve"> </v>
      </c>
    </row>
    <row r="1365" spans="1:39" x14ac:dyDescent="0.25">
      <c r="A1365" t="str">
        <f>"BI404"</f>
        <v>BI404</v>
      </c>
      <c r="B1365" t="str">
        <f>"COJINETES BIELA STD FORD RANGER 2.8 3.0 POWER STROKE"</f>
        <v>COJINETES BIELA STD FORD RANGER 2.8 3.0 POWER STROKE</v>
      </c>
      <c r="C1365" t="str">
        <f>"$ 21169,15"</f>
        <v>$ 21169,15</v>
      </c>
      <c r="D1365" t="str">
        <f>"$ 21169,15"</f>
        <v>$ 21169,15</v>
      </c>
      <c r="E1365" t="str">
        <f>"$ 21169,15"</f>
        <v>$ 21169,15</v>
      </c>
      <c r="F1365" t="str">
        <f>"$ 21169,15"</f>
        <v>$ 21169,15</v>
      </c>
      <c r="G1365" t="str">
        <f>"$ 21169,15"</f>
        <v>$ 21169,15</v>
      </c>
      <c r="H1365" t="str">
        <f t="shared" si="875"/>
        <v>$ 0,00</v>
      </c>
      <c r="I1365" t="str">
        <f t="shared" si="869"/>
        <v>JUEGO COJINETES BIELA</v>
      </c>
      <c r="J1365" t="str">
        <f t="shared" si="876"/>
        <v>1</v>
      </c>
      <c r="K1365" t="str">
        <f t="shared" si="867"/>
        <v>0</v>
      </c>
      <c r="L1365" t="str">
        <f>"9,000"</f>
        <v>9,000</v>
      </c>
      <c r="M1365" t="str">
        <f t="shared" si="877"/>
        <v xml:space="preserve"> </v>
      </c>
      <c r="N1365" t="str">
        <f t="shared" si="863"/>
        <v>MPSI</v>
      </c>
      <c r="O1365" t="str">
        <f t="shared" si="864"/>
        <v>COJINETES</v>
      </c>
      <c r="P1365" t="str">
        <f t="shared" si="897"/>
        <v>0</v>
      </c>
      <c r="Q1365" t="str">
        <f t="shared" si="897"/>
        <v>0</v>
      </c>
      <c r="R1365" t="str">
        <f t="shared" si="898"/>
        <v>0,00</v>
      </c>
      <c r="S1365" t="str">
        <f t="shared" si="898"/>
        <v>0,00</v>
      </c>
      <c r="T1365" t="str">
        <f t="shared" si="896"/>
        <v xml:space="preserve"> </v>
      </c>
      <c r="U1365" t="str">
        <f t="shared" si="899"/>
        <v>-</v>
      </c>
      <c r="V1365" t="str">
        <f>"9,000"</f>
        <v>9,000</v>
      </c>
      <c r="W1365" t="str">
        <f t="shared" si="878"/>
        <v>Lista 4</v>
      </c>
      <c r="X1365" t="str">
        <f t="shared" si="879"/>
        <v>Lista 5</v>
      </c>
      <c r="Y1365" t="str">
        <f t="shared" si="880"/>
        <v>Oferta Gral.</v>
      </c>
      <c r="Z1365" t="str">
        <f t="shared" si="881"/>
        <v>Rubro</v>
      </c>
      <c r="AA1365" t="str">
        <f t="shared" si="882"/>
        <v>Cantidad por Bulto</v>
      </c>
      <c r="AB1365" t="str">
        <f t="shared" si="883"/>
        <v>INNER</v>
      </c>
      <c r="AC1365" t="str">
        <f t="shared" si="884"/>
        <v>Stock en Bultos</v>
      </c>
      <c r="AD1365" t="str">
        <f t="shared" si="885"/>
        <v>SubDepósito</v>
      </c>
      <c r="AE1365" t="str">
        <f t="shared" si="886"/>
        <v>Marca</v>
      </c>
      <c r="AF1365" t="str">
        <f t="shared" si="887"/>
        <v>Super Rubro</v>
      </c>
      <c r="AG1365" t="str">
        <f t="shared" si="888"/>
        <v>ComercioExterior</v>
      </c>
      <c r="AH1365" t="str">
        <f t="shared" si="889"/>
        <v>PrecioFOB</v>
      </c>
      <c r="AI1365" t="str">
        <f t="shared" si="890"/>
        <v>Monto II</v>
      </c>
      <c r="AJ1365" t="str">
        <f t="shared" si="891"/>
        <v>Porcentaje II</v>
      </c>
      <c r="AK1365" t="str">
        <f t="shared" si="892"/>
        <v>Foto</v>
      </c>
      <c r="AL1365" t="str">
        <f t="shared" si="900"/>
        <v xml:space="preserve"> </v>
      </c>
      <c r="AM1365" t="str">
        <f t="shared" si="894"/>
        <v xml:space="preserve"> </v>
      </c>
    </row>
    <row r="1366" spans="1:39" x14ac:dyDescent="0.25">
      <c r="A1366" t="str">
        <f>"BI165200"</f>
        <v>BI165200</v>
      </c>
      <c r="B1366" t="str">
        <f>"COJINETES BIELA STD FORD RANGER 3.2 PUMA TDCI 200HP 5 CIL"</f>
        <v>COJINETES BIELA STD FORD RANGER 3.2 PUMA TDCI 200HP 5 CIL</v>
      </c>
      <c r="C1366" t="str">
        <f>"$ 36462,37"</f>
        <v>$ 36462,37</v>
      </c>
      <c r="D1366" t="str">
        <f>"$ 36462,37"</f>
        <v>$ 36462,37</v>
      </c>
      <c r="E1366" t="str">
        <f>"$ 36462,37"</f>
        <v>$ 36462,37</v>
      </c>
      <c r="F1366" t="str">
        <f>"$ 36462,37"</f>
        <v>$ 36462,37</v>
      </c>
      <c r="G1366" t="str">
        <f>"$ 36462,37"</f>
        <v>$ 36462,37</v>
      </c>
      <c r="H1366" t="str">
        <f t="shared" si="875"/>
        <v>$ 0,00</v>
      </c>
      <c r="I1366" t="str">
        <f t="shared" si="869"/>
        <v>JUEGO COJINETES BIELA</v>
      </c>
      <c r="J1366" t="str">
        <f t="shared" si="876"/>
        <v>1</v>
      </c>
      <c r="K1366" t="str">
        <f t="shared" si="867"/>
        <v>0</v>
      </c>
      <c r="L1366" t="str">
        <f>"11,000"</f>
        <v>11,000</v>
      </c>
      <c r="M1366" t="str">
        <f t="shared" si="877"/>
        <v xml:space="preserve"> </v>
      </c>
      <c r="N1366" t="str">
        <f t="shared" si="863"/>
        <v>MPSI</v>
      </c>
      <c r="O1366" t="str">
        <f t="shared" si="864"/>
        <v>COJINETES</v>
      </c>
      <c r="P1366" t="str">
        <f t="shared" si="897"/>
        <v>0</v>
      </c>
      <c r="Q1366" t="str">
        <f t="shared" si="897"/>
        <v>0</v>
      </c>
      <c r="R1366" t="str">
        <f t="shared" si="898"/>
        <v>0,00</v>
      </c>
      <c r="S1366" t="str">
        <f t="shared" si="898"/>
        <v>0,00</v>
      </c>
      <c r="T1366" t="str">
        <f t="shared" si="896"/>
        <v xml:space="preserve"> </v>
      </c>
      <c r="U1366" t="str">
        <f t="shared" si="899"/>
        <v>-</v>
      </c>
      <c r="V1366" t="str">
        <f>"11,000"</f>
        <v>11,000</v>
      </c>
      <c r="W1366" t="str">
        <f t="shared" si="878"/>
        <v>Lista 4</v>
      </c>
      <c r="X1366" t="str">
        <f t="shared" si="879"/>
        <v>Lista 5</v>
      </c>
      <c r="Y1366" t="str">
        <f t="shared" si="880"/>
        <v>Oferta Gral.</v>
      </c>
      <c r="Z1366" t="str">
        <f t="shared" si="881"/>
        <v>Rubro</v>
      </c>
      <c r="AA1366" t="str">
        <f t="shared" si="882"/>
        <v>Cantidad por Bulto</v>
      </c>
      <c r="AB1366" t="str">
        <f t="shared" si="883"/>
        <v>INNER</v>
      </c>
      <c r="AC1366" t="str">
        <f t="shared" si="884"/>
        <v>Stock en Bultos</v>
      </c>
      <c r="AD1366" t="str">
        <f t="shared" si="885"/>
        <v>SubDepósito</v>
      </c>
      <c r="AE1366" t="str">
        <f t="shared" si="886"/>
        <v>Marca</v>
      </c>
      <c r="AF1366" t="str">
        <f t="shared" si="887"/>
        <v>Super Rubro</v>
      </c>
      <c r="AG1366" t="str">
        <f t="shared" si="888"/>
        <v>ComercioExterior</v>
      </c>
      <c r="AH1366" t="str">
        <f t="shared" si="889"/>
        <v>PrecioFOB</v>
      </c>
      <c r="AI1366" t="str">
        <f t="shared" si="890"/>
        <v>Monto II</v>
      </c>
      <c r="AJ1366" t="str">
        <f t="shared" si="891"/>
        <v>Porcentaje II</v>
      </c>
      <c r="AK1366" t="str">
        <f t="shared" si="892"/>
        <v>Foto</v>
      </c>
      <c r="AL1366" t="str">
        <f t="shared" si="900"/>
        <v xml:space="preserve"> </v>
      </c>
      <c r="AM1366" t="str">
        <f t="shared" si="894"/>
        <v xml:space="preserve"> </v>
      </c>
    </row>
    <row r="1367" spans="1:39" x14ac:dyDescent="0.25">
      <c r="A1367" t="str">
        <f>"BI203"</f>
        <v>BI203</v>
      </c>
      <c r="B1367" t="str">
        <f>"COJINETES BIELA STD FORD SIERRA 1600"</f>
        <v>COJINETES BIELA STD FORD SIERRA 1600</v>
      </c>
      <c r="C1367" t="str">
        <f>"$ 15174,52"</f>
        <v>$ 15174,52</v>
      </c>
      <c r="D1367" t="str">
        <f>"$ 15174,52"</f>
        <v>$ 15174,52</v>
      </c>
      <c r="E1367" t="str">
        <f>"$ 15174,52"</f>
        <v>$ 15174,52</v>
      </c>
      <c r="F1367" t="str">
        <f>"$ 15174,52"</f>
        <v>$ 15174,52</v>
      </c>
      <c r="G1367" t="str">
        <f>"$ 15174,52"</f>
        <v>$ 15174,52</v>
      </c>
      <c r="H1367" t="str">
        <f t="shared" si="875"/>
        <v>$ 0,00</v>
      </c>
      <c r="I1367" t="str">
        <f t="shared" si="869"/>
        <v>JUEGO COJINETES BIELA</v>
      </c>
      <c r="J1367" t="str">
        <f t="shared" si="876"/>
        <v>1</v>
      </c>
      <c r="K1367" t="str">
        <f t="shared" si="867"/>
        <v>0</v>
      </c>
      <c r="L1367" t="str">
        <f>"0,000"</f>
        <v>0,000</v>
      </c>
      <c r="M1367" t="str">
        <f t="shared" si="877"/>
        <v xml:space="preserve"> </v>
      </c>
      <c r="N1367" t="str">
        <f t="shared" si="863"/>
        <v>MPSI</v>
      </c>
      <c r="O1367" t="str">
        <f t="shared" si="864"/>
        <v>COJINETES</v>
      </c>
      <c r="P1367" t="str">
        <f t="shared" si="897"/>
        <v>0</v>
      </c>
      <c r="Q1367" t="str">
        <f t="shared" si="897"/>
        <v>0</v>
      </c>
      <c r="R1367" t="str">
        <f t="shared" si="898"/>
        <v>0,00</v>
      </c>
      <c r="S1367" t="str">
        <f t="shared" si="898"/>
        <v>0,00</v>
      </c>
      <c r="T1367" t="str">
        <f t="shared" si="896"/>
        <v xml:space="preserve"> </v>
      </c>
      <c r="U1367" t="str">
        <f t="shared" si="899"/>
        <v>-</v>
      </c>
      <c r="V1367" t="str">
        <f>"0,000"</f>
        <v>0,000</v>
      </c>
      <c r="W1367" t="str">
        <f t="shared" si="878"/>
        <v>Lista 4</v>
      </c>
      <c r="X1367" t="str">
        <f t="shared" si="879"/>
        <v>Lista 5</v>
      </c>
      <c r="Y1367" t="str">
        <f t="shared" si="880"/>
        <v>Oferta Gral.</v>
      </c>
      <c r="Z1367" t="str">
        <f t="shared" si="881"/>
        <v>Rubro</v>
      </c>
      <c r="AA1367" t="str">
        <f t="shared" si="882"/>
        <v>Cantidad por Bulto</v>
      </c>
      <c r="AB1367" t="str">
        <f t="shared" si="883"/>
        <v>INNER</v>
      </c>
      <c r="AC1367" t="str">
        <f t="shared" si="884"/>
        <v>Stock en Bultos</v>
      </c>
      <c r="AD1367" t="str">
        <f t="shared" si="885"/>
        <v>SubDepósito</v>
      </c>
      <c r="AE1367" t="str">
        <f t="shared" si="886"/>
        <v>Marca</v>
      </c>
      <c r="AF1367" t="str">
        <f t="shared" si="887"/>
        <v>Super Rubro</v>
      </c>
      <c r="AG1367" t="str">
        <f t="shared" si="888"/>
        <v>ComercioExterior</v>
      </c>
      <c r="AH1367" t="str">
        <f t="shared" si="889"/>
        <v>PrecioFOB</v>
      </c>
      <c r="AI1367" t="str">
        <f t="shared" si="890"/>
        <v>Monto II</v>
      </c>
      <c r="AJ1367" t="str">
        <f t="shared" si="891"/>
        <v>Porcentaje II</v>
      </c>
      <c r="AK1367" t="str">
        <f t="shared" si="892"/>
        <v>Foto</v>
      </c>
      <c r="AL1367" t="str">
        <f t="shared" si="900"/>
        <v xml:space="preserve"> </v>
      </c>
      <c r="AM1367" t="str">
        <f t="shared" si="894"/>
        <v xml:space="preserve"> </v>
      </c>
    </row>
    <row r="1368" spans="1:39" x14ac:dyDescent="0.25">
      <c r="A1368" t="str">
        <f>"BI201"</f>
        <v>BI201</v>
      </c>
      <c r="B1368" t="str">
        <f>"COJINETES BIELA STD FORD TAUNUS 2.0 2.3"</f>
        <v>COJINETES BIELA STD FORD TAUNUS 2.0 2.3</v>
      </c>
      <c r="C1368" t="str">
        <f>"$ 16124,16"</f>
        <v>$ 16124,16</v>
      </c>
      <c r="D1368" t="str">
        <f>"$ 16124,16"</f>
        <v>$ 16124,16</v>
      </c>
      <c r="E1368" t="str">
        <f>"$ 16124,16"</f>
        <v>$ 16124,16</v>
      </c>
      <c r="F1368" t="str">
        <f>"$ 16124,16"</f>
        <v>$ 16124,16</v>
      </c>
      <c r="G1368" t="str">
        <f>"$ 16124,16"</f>
        <v>$ 16124,16</v>
      </c>
      <c r="H1368" t="str">
        <f t="shared" si="875"/>
        <v>$ 0,00</v>
      </c>
      <c r="I1368" t="str">
        <f t="shared" si="869"/>
        <v>JUEGO COJINETES BIELA</v>
      </c>
      <c r="J1368" t="str">
        <f t="shared" si="876"/>
        <v>1</v>
      </c>
      <c r="K1368" t="str">
        <f t="shared" si="867"/>
        <v>0</v>
      </c>
      <c r="L1368" t="str">
        <f>"1,000"</f>
        <v>1,000</v>
      </c>
      <c r="M1368" t="str">
        <f t="shared" si="877"/>
        <v xml:space="preserve"> </v>
      </c>
      <c r="N1368" t="str">
        <f t="shared" si="863"/>
        <v>MPSI</v>
      </c>
      <c r="O1368" t="str">
        <f t="shared" si="864"/>
        <v>COJINETES</v>
      </c>
      <c r="P1368" t="str">
        <f t="shared" si="897"/>
        <v>0</v>
      </c>
      <c r="Q1368" t="str">
        <f t="shared" si="897"/>
        <v>0</v>
      </c>
      <c r="R1368" t="str">
        <f t="shared" si="898"/>
        <v>0,00</v>
      </c>
      <c r="S1368" t="str">
        <f t="shared" si="898"/>
        <v>0,00</v>
      </c>
      <c r="T1368" t="str">
        <f t="shared" si="896"/>
        <v xml:space="preserve"> </v>
      </c>
      <c r="U1368" t="str">
        <f t="shared" si="899"/>
        <v>-</v>
      </c>
      <c r="V1368" t="str">
        <f>"1,000"</f>
        <v>1,000</v>
      </c>
      <c r="W1368" t="str">
        <f t="shared" si="878"/>
        <v>Lista 4</v>
      </c>
      <c r="X1368" t="str">
        <f t="shared" si="879"/>
        <v>Lista 5</v>
      </c>
      <c r="Y1368" t="str">
        <f t="shared" si="880"/>
        <v>Oferta Gral.</v>
      </c>
      <c r="Z1368" t="str">
        <f t="shared" si="881"/>
        <v>Rubro</v>
      </c>
      <c r="AA1368" t="str">
        <f t="shared" si="882"/>
        <v>Cantidad por Bulto</v>
      </c>
      <c r="AB1368" t="str">
        <f t="shared" si="883"/>
        <v>INNER</v>
      </c>
      <c r="AC1368" t="str">
        <f t="shared" si="884"/>
        <v>Stock en Bultos</v>
      </c>
      <c r="AD1368" t="str">
        <f t="shared" si="885"/>
        <v>SubDepósito</v>
      </c>
      <c r="AE1368" t="str">
        <f t="shared" si="886"/>
        <v>Marca</v>
      </c>
      <c r="AF1368" t="str">
        <f t="shared" si="887"/>
        <v>Super Rubro</v>
      </c>
      <c r="AG1368" t="str">
        <f t="shared" si="888"/>
        <v>ComercioExterior</v>
      </c>
      <c r="AH1368" t="str">
        <f t="shared" si="889"/>
        <v>PrecioFOB</v>
      </c>
      <c r="AI1368" t="str">
        <f t="shared" si="890"/>
        <v>Monto II</v>
      </c>
      <c r="AJ1368" t="str">
        <f t="shared" si="891"/>
        <v>Porcentaje II</v>
      </c>
      <c r="AK1368" t="str">
        <f t="shared" si="892"/>
        <v>Foto</v>
      </c>
      <c r="AL1368" t="str">
        <f t="shared" si="900"/>
        <v xml:space="preserve"> </v>
      </c>
      <c r="AM1368" t="str">
        <f t="shared" si="894"/>
        <v xml:space="preserve"> </v>
      </c>
    </row>
    <row r="1369" spans="1:39" x14ac:dyDescent="0.25">
      <c r="A1369" t="str">
        <f>"BI774"</f>
        <v>BI774</v>
      </c>
      <c r="B1369" t="str">
        <f>"COJINETES BIELA STD FORD TRANSIT 2,5 DIESEL 2401E"</f>
        <v>COJINETES BIELA STD FORD TRANSIT 2,5 DIESEL 2401E</v>
      </c>
      <c r="C1369" t="str">
        <f>"$ 22751,89"</f>
        <v>$ 22751,89</v>
      </c>
      <c r="D1369" t="str">
        <f>"$ 22751,89"</f>
        <v>$ 22751,89</v>
      </c>
      <c r="E1369" t="str">
        <f>"$ 22751,89"</f>
        <v>$ 22751,89</v>
      </c>
      <c r="F1369" t="str">
        <f>"$ 22751,89"</f>
        <v>$ 22751,89</v>
      </c>
      <c r="G1369" t="str">
        <f>"$ 22751,89"</f>
        <v>$ 22751,89</v>
      </c>
      <c r="H1369" t="str">
        <f t="shared" si="875"/>
        <v>$ 0,00</v>
      </c>
      <c r="I1369" t="str">
        <f t="shared" si="869"/>
        <v>JUEGO COJINETES BIELA</v>
      </c>
      <c r="J1369" t="str">
        <f t="shared" si="876"/>
        <v>1</v>
      </c>
      <c r="K1369" t="str">
        <f t="shared" si="867"/>
        <v>0</v>
      </c>
      <c r="L1369" t="str">
        <f>"2,000"</f>
        <v>2,000</v>
      </c>
      <c r="M1369" t="str">
        <f t="shared" si="877"/>
        <v xml:space="preserve"> </v>
      </c>
      <c r="N1369" t="str">
        <f t="shared" si="863"/>
        <v>MPSI</v>
      </c>
      <c r="O1369" t="str">
        <f t="shared" si="864"/>
        <v>COJINETES</v>
      </c>
      <c r="P1369" t="str">
        <f t="shared" si="897"/>
        <v>0</v>
      </c>
      <c r="Q1369" t="str">
        <f t="shared" si="897"/>
        <v>0</v>
      </c>
      <c r="R1369" t="str">
        <f t="shared" si="898"/>
        <v>0,00</v>
      </c>
      <c r="S1369" t="str">
        <f t="shared" si="898"/>
        <v>0,00</v>
      </c>
      <c r="T1369" t="str">
        <f t="shared" si="896"/>
        <v xml:space="preserve"> </v>
      </c>
      <c r="U1369" t="str">
        <f t="shared" si="899"/>
        <v>-</v>
      </c>
      <c r="V1369" t="str">
        <f>"2,000"</f>
        <v>2,000</v>
      </c>
      <c r="W1369" t="str">
        <f t="shared" si="878"/>
        <v>Lista 4</v>
      </c>
      <c r="X1369" t="str">
        <f t="shared" si="879"/>
        <v>Lista 5</v>
      </c>
      <c r="Y1369" t="str">
        <f t="shared" si="880"/>
        <v>Oferta Gral.</v>
      </c>
      <c r="Z1369" t="str">
        <f t="shared" si="881"/>
        <v>Rubro</v>
      </c>
      <c r="AA1369" t="str">
        <f t="shared" si="882"/>
        <v>Cantidad por Bulto</v>
      </c>
      <c r="AB1369" t="str">
        <f t="shared" si="883"/>
        <v>INNER</v>
      </c>
      <c r="AC1369" t="str">
        <f t="shared" si="884"/>
        <v>Stock en Bultos</v>
      </c>
      <c r="AD1369" t="str">
        <f t="shared" si="885"/>
        <v>SubDepósito</v>
      </c>
      <c r="AE1369" t="str">
        <f t="shared" si="886"/>
        <v>Marca</v>
      </c>
      <c r="AF1369" t="str">
        <f t="shared" si="887"/>
        <v>Super Rubro</v>
      </c>
      <c r="AG1369" t="str">
        <f t="shared" si="888"/>
        <v>ComercioExterior</v>
      </c>
      <c r="AH1369" t="str">
        <f t="shared" si="889"/>
        <v>PrecioFOB</v>
      </c>
      <c r="AI1369" t="str">
        <f t="shared" si="890"/>
        <v>Monto II</v>
      </c>
      <c r="AJ1369" t="str">
        <f t="shared" si="891"/>
        <v>Porcentaje II</v>
      </c>
      <c r="AK1369" t="str">
        <f t="shared" si="892"/>
        <v>Foto</v>
      </c>
      <c r="AL1369" t="str">
        <f t="shared" si="900"/>
        <v xml:space="preserve"> </v>
      </c>
      <c r="AM1369" t="str">
        <f t="shared" si="894"/>
        <v xml:space="preserve"> </v>
      </c>
    </row>
    <row r="1370" spans="1:39" x14ac:dyDescent="0.25">
      <c r="A1370" t="str">
        <f>"BI164211"</f>
        <v>BI164211</v>
      </c>
      <c r="B1370" t="str">
        <f>"COJINETES BIELA STD FORD TRANSIT 2.4 MONDEO 2.2 TDCI"</f>
        <v>COJINETES BIELA STD FORD TRANSIT 2.4 MONDEO 2.2 TDCI</v>
      </c>
      <c r="C1370" t="str">
        <f>"$ 16777,04"</f>
        <v>$ 16777,04</v>
      </c>
      <c r="D1370" t="str">
        <f>"$ 16777,04"</f>
        <v>$ 16777,04</v>
      </c>
      <c r="E1370" t="str">
        <f>"$ 16777,04"</f>
        <v>$ 16777,04</v>
      </c>
      <c r="F1370" t="str">
        <f>"$ 16777,04"</f>
        <v>$ 16777,04</v>
      </c>
      <c r="G1370" t="str">
        <f>"$ 16777,04"</f>
        <v>$ 16777,04</v>
      </c>
      <c r="H1370" t="str">
        <f t="shared" si="875"/>
        <v>$ 0,00</v>
      </c>
      <c r="I1370" t="str">
        <f t="shared" si="869"/>
        <v>JUEGO COJINETES BIELA</v>
      </c>
      <c r="J1370" t="str">
        <f t="shared" si="876"/>
        <v>1</v>
      </c>
      <c r="K1370" t="str">
        <f t="shared" si="867"/>
        <v>0</v>
      </c>
      <c r="L1370" t="str">
        <f>"1,000"</f>
        <v>1,000</v>
      </c>
      <c r="M1370" t="str">
        <f t="shared" si="877"/>
        <v xml:space="preserve"> </v>
      </c>
      <c r="N1370" t="str">
        <f t="shared" si="863"/>
        <v>MPSI</v>
      </c>
      <c r="O1370" t="str">
        <f t="shared" si="864"/>
        <v>COJINETES</v>
      </c>
      <c r="P1370" t="str">
        <f t="shared" si="897"/>
        <v>0</v>
      </c>
      <c r="Q1370" t="str">
        <f t="shared" si="897"/>
        <v>0</v>
      </c>
      <c r="R1370" t="str">
        <f t="shared" si="898"/>
        <v>0,00</v>
      </c>
      <c r="S1370" t="str">
        <f t="shared" si="898"/>
        <v>0,00</v>
      </c>
      <c r="T1370" t="str">
        <f t="shared" si="896"/>
        <v xml:space="preserve"> </v>
      </c>
      <c r="U1370" t="str">
        <f t="shared" si="899"/>
        <v>-</v>
      </c>
      <c r="V1370" t="str">
        <f>"1,000"</f>
        <v>1,000</v>
      </c>
      <c r="W1370" t="str">
        <f t="shared" si="878"/>
        <v>Lista 4</v>
      </c>
      <c r="X1370" t="str">
        <f t="shared" si="879"/>
        <v>Lista 5</v>
      </c>
      <c r="Y1370" t="str">
        <f t="shared" si="880"/>
        <v>Oferta Gral.</v>
      </c>
      <c r="Z1370" t="str">
        <f t="shared" si="881"/>
        <v>Rubro</v>
      </c>
      <c r="AA1370" t="str">
        <f t="shared" si="882"/>
        <v>Cantidad por Bulto</v>
      </c>
      <c r="AB1370" t="str">
        <f t="shared" si="883"/>
        <v>INNER</v>
      </c>
      <c r="AC1370" t="str">
        <f t="shared" si="884"/>
        <v>Stock en Bultos</v>
      </c>
      <c r="AD1370" t="str">
        <f t="shared" si="885"/>
        <v>SubDepósito</v>
      </c>
      <c r="AE1370" t="str">
        <f t="shared" si="886"/>
        <v>Marca</v>
      </c>
      <c r="AF1370" t="str">
        <f t="shared" si="887"/>
        <v>Super Rubro</v>
      </c>
      <c r="AG1370" t="str">
        <f t="shared" si="888"/>
        <v>ComercioExterior</v>
      </c>
      <c r="AH1370" t="str">
        <f t="shared" si="889"/>
        <v>PrecioFOB</v>
      </c>
      <c r="AI1370" t="str">
        <f t="shared" si="890"/>
        <v>Monto II</v>
      </c>
      <c r="AJ1370" t="str">
        <f t="shared" si="891"/>
        <v>Porcentaje II</v>
      </c>
      <c r="AK1370" t="str">
        <f t="shared" si="892"/>
        <v>Foto</v>
      </c>
      <c r="AL1370" t="str">
        <f t="shared" si="900"/>
        <v xml:space="preserve"> </v>
      </c>
      <c r="AM1370" t="str">
        <f t="shared" si="894"/>
        <v xml:space="preserve"> </v>
      </c>
    </row>
    <row r="1371" spans="1:39" x14ac:dyDescent="0.25">
      <c r="A1371" t="str">
        <f>"BI538"</f>
        <v>BI538</v>
      </c>
      <c r="B1371" t="str">
        <f>"COJINETES BIELA STD HONDA 1600 MOTOR D16A1 D16A6 D16Y7 D16Y8"</f>
        <v>COJINETES BIELA STD HONDA 1600 MOTOR D16A1 D16A6 D16Y7 D16Y8</v>
      </c>
      <c r="C1371" t="str">
        <f>"$ 14224,88"</f>
        <v>$ 14224,88</v>
      </c>
      <c r="D1371" t="str">
        <f>"$ 14224,88"</f>
        <v>$ 14224,88</v>
      </c>
      <c r="E1371" t="str">
        <f>"$ 14224,88"</f>
        <v>$ 14224,88</v>
      </c>
      <c r="F1371" t="str">
        <f>"$ 14224,88"</f>
        <v>$ 14224,88</v>
      </c>
      <c r="G1371" t="str">
        <f>"$ 14224,88"</f>
        <v>$ 14224,88</v>
      </c>
      <c r="H1371" t="str">
        <f t="shared" si="875"/>
        <v>$ 0,00</v>
      </c>
      <c r="I1371" t="str">
        <f t="shared" si="869"/>
        <v>JUEGO COJINETES BIELA</v>
      </c>
      <c r="J1371" t="str">
        <f t="shared" si="876"/>
        <v>1</v>
      </c>
      <c r="K1371" t="str">
        <f t="shared" si="867"/>
        <v>0</v>
      </c>
      <c r="L1371" t="str">
        <f>"1,000"</f>
        <v>1,000</v>
      </c>
      <c r="M1371" t="str">
        <f t="shared" si="877"/>
        <v xml:space="preserve"> </v>
      </c>
      <c r="N1371" t="str">
        <f t="shared" si="863"/>
        <v>MPSI</v>
      </c>
      <c r="O1371" t="str">
        <f t="shared" si="864"/>
        <v>COJINETES</v>
      </c>
      <c r="P1371" t="str">
        <f t="shared" si="897"/>
        <v>0</v>
      </c>
      <c r="Q1371" t="str">
        <f t="shared" si="897"/>
        <v>0</v>
      </c>
      <c r="R1371" t="str">
        <f t="shared" si="898"/>
        <v>0,00</v>
      </c>
      <c r="S1371" t="str">
        <f t="shared" si="898"/>
        <v>0,00</v>
      </c>
      <c r="T1371" t="str">
        <f t="shared" si="896"/>
        <v xml:space="preserve"> </v>
      </c>
      <c r="U1371" t="str">
        <f t="shared" si="899"/>
        <v>-</v>
      </c>
      <c r="V1371" t="str">
        <f>"1,000"</f>
        <v>1,000</v>
      </c>
      <c r="W1371" t="str">
        <f t="shared" si="878"/>
        <v>Lista 4</v>
      </c>
      <c r="X1371" t="str">
        <f t="shared" si="879"/>
        <v>Lista 5</v>
      </c>
      <c r="Y1371" t="str">
        <f t="shared" si="880"/>
        <v>Oferta Gral.</v>
      </c>
      <c r="Z1371" t="str">
        <f t="shared" si="881"/>
        <v>Rubro</v>
      </c>
      <c r="AA1371" t="str">
        <f t="shared" si="882"/>
        <v>Cantidad por Bulto</v>
      </c>
      <c r="AB1371" t="str">
        <f t="shared" si="883"/>
        <v>INNER</v>
      </c>
      <c r="AC1371" t="str">
        <f t="shared" si="884"/>
        <v>Stock en Bultos</v>
      </c>
      <c r="AD1371" t="str">
        <f t="shared" si="885"/>
        <v>SubDepósito</v>
      </c>
      <c r="AE1371" t="str">
        <f t="shared" si="886"/>
        <v>Marca</v>
      </c>
      <c r="AF1371" t="str">
        <f t="shared" si="887"/>
        <v>Super Rubro</v>
      </c>
      <c r="AG1371" t="str">
        <f t="shared" si="888"/>
        <v>ComercioExterior</v>
      </c>
      <c r="AH1371" t="str">
        <f t="shared" si="889"/>
        <v>PrecioFOB</v>
      </c>
      <c r="AI1371" t="str">
        <f t="shared" si="890"/>
        <v>Monto II</v>
      </c>
      <c r="AJ1371" t="str">
        <f t="shared" si="891"/>
        <v>Porcentaje II</v>
      </c>
      <c r="AK1371" t="str">
        <f t="shared" si="892"/>
        <v>Foto</v>
      </c>
      <c r="AL1371" t="str">
        <f t="shared" si="900"/>
        <v xml:space="preserve"> </v>
      </c>
      <c r="AM1371" t="str">
        <f t="shared" si="894"/>
        <v xml:space="preserve"> </v>
      </c>
    </row>
    <row r="1372" spans="1:39" x14ac:dyDescent="0.25">
      <c r="A1372" t="str">
        <f>"BI235"</f>
        <v>BI235</v>
      </c>
      <c r="B1372" t="str">
        <f>"COJINETES BIELA STD IKA CONTINENTAL"</f>
        <v>COJINETES BIELA STD IKA CONTINENTAL</v>
      </c>
      <c r="C1372" t="str">
        <f>"$ 31694,37"</f>
        <v>$ 31694,37</v>
      </c>
      <c r="D1372" t="str">
        <f>"$ 31694,37"</f>
        <v>$ 31694,37</v>
      </c>
      <c r="E1372" t="str">
        <f>"$ 31694,37"</f>
        <v>$ 31694,37</v>
      </c>
      <c r="F1372" t="str">
        <f>"$ 31694,37"</f>
        <v>$ 31694,37</v>
      </c>
      <c r="G1372" t="str">
        <f>"$ 31694,37"</f>
        <v>$ 31694,37</v>
      </c>
      <c r="H1372" t="str">
        <f t="shared" si="875"/>
        <v>$ 0,00</v>
      </c>
      <c r="I1372" t="str">
        <f t="shared" si="869"/>
        <v>JUEGO COJINETES BIELA</v>
      </c>
      <c r="J1372" t="str">
        <f t="shared" si="876"/>
        <v>1</v>
      </c>
      <c r="K1372" t="str">
        <f t="shared" si="867"/>
        <v>0</v>
      </c>
      <c r="L1372" t="str">
        <f>"0,000"</f>
        <v>0,000</v>
      </c>
      <c r="M1372" t="str">
        <f t="shared" si="877"/>
        <v xml:space="preserve"> </v>
      </c>
      <c r="N1372" t="str">
        <f t="shared" si="863"/>
        <v>MPSI</v>
      </c>
      <c r="O1372" t="str">
        <f t="shared" si="864"/>
        <v>COJINETES</v>
      </c>
      <c r="P1372" t="str">
        <f t="shared" si="897"/>
        <v>0</v>
      </c>
      <c r="Q1372" t="str">
        <f t="shared" si="897"/>
        <v>0</v>
      </c>
      <c r="R1372" t="str">
        <f t="shared" si="898"/>
        <v>0,00</v>
      </c>
      <c r="S1372" t="str">
        <f t="shared" si="898"/>
        <v>0,00</v>
      </c>
      <c r="T1372" t="str">
        <f t="shared" si="896"/>
        <v xml:space="preserve"> </v>
      </c>
      <c r="U1372" t="str">
        <f t="shared" si="899"/>
        <v>-</v>
      </c>
      <c r="V1372" t="str">
        <f>"0,000"</f>
        <v>0,000</v>
      </c>
      <c r="W1372" t="str">
        <f t="shared" si="878"/>
        <v>Lista 4</v>
      </c>
      <c r="X1372" t="str">
        <f t="shared" si="879"/>
        <v>Lista 5</v>
      </c>
      <c r="Y1372" t="str">
        <f t="shared" si="880"/>
        <v>Oferta Gral.</v>
      </c>
      <c r="Z1372" t="str">
        <f t="shared" si="881"/>
        <v>Rubro</v>
      </c>
      <c r="AA1372" t="str">
        <f t="shared" si="882"/>
        <v>Cantidad por Bulto</v>
      </c>
      <c r="AB1372" t="str">
        <f t="shared" si="883"/>
        <v>INNER</v>
      </c>
      <c r="AC1372" t="str">
        <f t="shared" si="884"/>
        <v>Stock en Bultos</v>
      </c>
      <c r="AD1372" t="str">
        <f t="shared" si="885"/>
        <v>SubDepósito</v>
      </c>
      <c r="AE1372" t="str">
        <f t="shared" si="886"/>
        <v>Marca</v>
      </c>
      <c r="AF1372" t="str">
        <f t="shared" si="887"/>
        <v>Super Rubro</v>
      </c>
      <c r="AG1372" t="str">
        <f t="shared" si="888"/>
        <v>ComercioExterior</v>
      </c>
      <c r="AH1372" t="str">
        <f t="shared" si="889"/>
        <v>PrecioFOB</v>
      </c>
      <c r="AI1372" t="str">
        <f t="shared" si="890"/>
        <v>Monto II</v>
      </c>
      <c r="AJ1372" t="str">
        <f t="shared" si="891"/>
        <v>Porcentaje II</v>
      </c>
      <c r="AK1372" t="str">
        <f t="shared" si="892"/>
        <v>Foto</v>
      </c>
      <c r="AL1372" t="str">
        <f t="shared" si="900"/>
        <v xml:space="preserve"> </v>
      </c>
      <c r="AM1372" t="str">
        <f t="shared" si="894"/>
        <v xml:space="preserve"> </v>
      </c>
    </row>
    <row r="1373" spans="1:39" x14ac:dyDescent="0.25">
      <c r="A1373" t="str">
        <f>"BI141"</f>
        <v>BI141</v>
      </c>
      <c r="B1373" t="str">
        <f>"COJINETES BIELA STD IVECO DAILY 2.5 2.8"</f>
        <v>COJINETES BIELA STD IVECO DAILY 2.5 2.8</v>
      </c>
      <c r="C1373" t="str">
        <f>"$ 27697,62"</f>
        <v>$ 27697,62</v>
      </c>
      <c r="D1373" t="str">
        <f>"$ 27697,62"</f>
        <v>$ 27697,62</v>
      </c>
      <c r="E1373" t="str">
        <f>"$ 27697,62"</f>
        <v>$ 27697,62</v>
      </c>
      <c r="F1373" t="str">
        <f>"$ 27697,62"</f>
        <v>$ 27697,62</v>
      </c>
      <c r="G1373" t="str">
        <f>"$ 27697,62"</f>
        <v>$ 27697,62</v>
      </c>
      <c r="H1373" t="str">
        <f t="shared" si="875"/>
        <v>$ 0,00</v>
      </c>
      <c r="I1373" t="str">
        <f t="shared" si="869"/>
        <v>JUEGO COJINETES BIELA</v>
      </c>
      <c r="J1373" t="str">
        <f t="shared" si="876"/>
        <v>1</v>
      </c>
      <c r="K1373" t="str">
        <f t="shared" si="867"/>
        <v>0</v>
      </c>
      <c r="L1373" t="str">
        <f>"5,000"</f>
        <v>5,000</v>
      </c>
      <c r="M1373" t="str">
        <f t="shared" si="877"/>
        <v xml:space="preserve"> </v>
      </c>
      <c r="N1373" t="str">
        <f t="shared" si="863"/>
        <v>MPSI</v>
      </c>
      <c r="O1373" t="str">
        <f t="shared" si="864"/>
        <v>COJINETES</v>
      </c>
      <c r="P1373" t="str">
        <f t="shared" si="897"/>
        <v>0</v>
      </c>
      <c r="Q1373" t="str">
        <f t="shared" si="897"/>
        <v>0</v>
      </c>
      <c r="R1373" t="str">
        <f t="shared" si="898"/>
        <v>0,00</v>
      </c>
      <c r="S1373" t="str">
        <f t="shared" si="898"/>
        <v>0,00</v>
      </c>
      <c r="T1373" t="str">
        <f t="shared" si="896"/>
        <v xml:space="preserve"> </v>
      </c>
      <c r="U1373" t="str">
        <f t="shared" si="899"/>
        <v>-</v>
      </c>
      <c r="V1373" t="str">
        <f>"5,000"</f>
        <v>5,000</v>
      </c>
      <c r="W1373" t="str">
        <f t="shared" si="878"/>
        <v>Lista 4</v>
      </c>
      <c r="X1373" t="str">
        <f t="shared" si="879"/>
        <v>Lista 5</v>
      </c>
      <c r="Y1373" t="str">
        <f t="shared" si="880"/>
        <v>Oferta Gral.</v>
      </c>
      <c r="Z1373" t="str">
        <f t="shared" si="881"/>
        <v>Rubro</v>
      </c>
      <c r="AA1373" t="str">
        <f t="shared" si="882"/>
        <v>Cantidad por Bulto</v>
      </c>
      <c r="AB1373" t="str">
        <f t="shared" si="883"/>
        <v>INNER</v>
      </c>
      <c r="AC1373" t="str">
        <f t="shared" si="884"/>
        <v>Stock en Bultos</v>
      </c>
      <c r="AD1373" t="str">
        <f t="shared" si="885"/>
        <v>SubDepósito</v>
      </c>
      <c r="AE1373" t="str">
        <f t="shared" si="886"/>
        <v>Marca</v>
      </c>
      <c r="AF1373" t="str">
        <f t="shared" si="887"/>
        <v>Super Rubro</v>
      </c>
      <c r="AG1373" t="str">
        <f t="shared" si="888"/>
        <v>ComercioExterior</v>
      </c>
      <c r="AH1373" t="str">
        <f t="shared" si="889"/>
        <v>PrecioFOB</v>
      </c>
      <c r="AI1373" t="str">
        <f t="shared" si="890"/>
        <v>Monto II</v>
      </c>
      <c r="AJ1373" t="str">
        <f t="shared" si="891"/>
        <v>Porcentaje II</v>
      </c>
      <c r="AK1373" t="str">
        <f t="shared" si="892"/>
        <v>Foto</v>
      </c>
      <c r="AL1373" t="str">
        <f t="shared" si="900"/>
        <v xml:space="preserve"> </v>
      </c>
      <c r="AM1373" t="str">
        <f t="shared" si="894"/>
        <v xml:space="preserve"> </v>
      </c>
    </row>
    <row r="1374" spans="1:39" x14ac:dyDescent="0.25">
      <c r="A1374" t="str">
        <f>"BI844"</f>
        <v>BI844</v>
      </c>
      <c r="B1374" t="str">
        <f>"COJINETES BIELA STD MAXION 2.5 SPRINTER FORD F100 CHEVROLET S10"</f>
        <v>COJINETES BIELA STD MAXION 2.5 SPRINTER FORD F100 CHEVROLET S10</v>
      </c>
      <c r="C1374" t="str">
        <f>"$ 25664,92"</f>
        <v>$ 25664,92</v>
      </c>
      <c r="D1374" t="str">
        <f>"$ 25664,92"</f>
        <v>$ 25664,92</v>
      </c>
      <c r="E1374" t="str">
        <f>"$ 25664,92"</f>
        <v>$ 25664,92</v>
      </c>
      <c r="F1374" t="str">
        <f>"$ 25664,92"</f>
        <v>$ 25664,92</v>
      </c>
      <c r="G1374" t="str">
        <f>"$ 25664,92"</f>
        <v>$ 25664,92</v>
      </c>
      <c r="H1374" t="str">
        <f t="shared" si="875"/>
        <v>$ 0,00</v>
      </c>
      <c r="I1374" t="str">
        <f t="shared" si="869"/>
        <v>JUEGO COJINETES BIELA</v>
      </c>
      <c r="J1374" t="str">
        <f t="shared" si="876"/>
        <v>1</v>
      </c>
      <c r="K1374" t="str">
        <f t="shared" si="867"/>
        <v>0</v>
      </c>
      <c r="L1374" t="str">
        <f>"7,000"</f>
        <v>7,000</v>
      </c>
      <c r="M1374" t="str">
        <f t="shared" si="877"/>
        <v xml:space="preserve"> </v>
      </c>
      <c r="N1374" t="str">
        <f t="shared" si="863"/>
        <v>MPSI</v>
      </c>
      <c r="O1374" t="str">
        <f t="shared" si="864"/>
        <v>COJINETES</v>
      </c>
      <c r="P1374" t="str">
        <f t="shared" si="897"/>
        <v>0</v>
      </c>
      <c r="Q1374" t="str">
        <f t="shared" si="897"/>
        <v>0</v>
      </c>
      <c r="R1374" t="str">
        <f t="shared" si="898"/>
        <v>0,00</v>
      </c>
      <c r="S1374" t="str">
        <f t="shared" si="898"/>
        <v>0,00</v>
      </c>
      <c r="T1374" t="str">
        <f t="shared" si="896"/>
        <v xml:space="preserve"> </v>
      </c>
      <c r="U1374" t="str">
        <f t="shared" si="899"/>
        <v>-</v>
      </c>
      <c r="V1374" t="str">
        <f>"7,000"</f>
        <v>7,000</v>
      </c>
      <c r="W1374" t="str">
        <f t="shared" si="878"/>
        <v>Lista 4</v>
      </c>
      <c r="X1374" t="str">
        <f t="shared" si="879"/>
        <v>Lista 5</v>
      </c>
      <c r="Y1374" t="str">
        <f t="shared" si="880"/>
        <v>Oferta Gral.</v>
      </c>
      <c r="Z1374" t="str">
        <f t="shared" si="881"/>
        <v>Rubro</v>
      </c>
      <c r="AA1374" t="str">
        <f t="shared" si="882"/>
        <v>Cantidad por Bulto</v>
      </c>
      <c r="AB1374" t="str">
        <f t="shared" si="883"/>
        <v>INNER</v>
      </c>
      <c r="AC1374" t="str">
        <f t="shared" si="884"/>
        <v>Stock en Bultos</v>
      </c>
      <c r="AD1374" t="str">
        <f t="shared" si="885"/>
        <v>SubDepósito</v>
      </c>
      <c r="AE1374" t="str">
        <f t="shared" si="886"/>
        <v>Marca</v>
      </c>
      <c r="AF1374" t="str">
        <f t="shared" si="887"/>
        <v>Super Rubro</v>
      </c>
      <c r="AG1374" t="str">
        <f t="shared" si="888"/>
        <v>ComercioExterior</v>
      </c>
      <c r="AH1374" t="str">
        <f t="shared" si="889"/>
        <v>PrecioFOB</v>
      </c>
      <c r="AI1374" t="str">
        <f t="shared" si="890"/>
        <v>Monto II</v>
      </c>
      <c r="AJ1374" t="str">
        <f t="shared" si="891"/>
        <v>Porcentaje II</v>
      </c>
      <c r="AK1374" t="str">
        <f t="shared" si="892"/>
        <v>Foto</v>
      </c>
      <c r="AL1374" t="str">
        <f t="shared" si="900"/>
        <v xml:space="preserve"> </v>
      </c>
      <c r="AM1374" t="str">
        <f t="shared" si="894"/>
        <v xml:space="preserve"> </v>
      </c>
    </row>
    <row r="1375" spans="1:39" x14ac:dyDescent="0.25">
      <c r="A1375" t="str">
        <f>"BI556"</f>
        <v>BI556</v>
      </c>
      <c r="B1375" t="str">
        <f>"COJINETES BIELA STD MERCEDES SPRINTER OM611"</f>
        <v>COJINETES BIELA STD MERCEDES SPRINTER OM611</v>
      </c>
      <c r="C1375" t="str">
        <f>"$ 24492,90"</f>
        <v>$ 24492,90</v>
      </c>
      <c r="D1375" t="str">
        <f>"$ 24492,90"</f>
        <v>$ 24492,90</v>
      </c>
      <c r="E1375" t="str">
        <f>"$ 24492,90"</f>
        <v>$ 24492,90</v>
      </c>
      <c r="F1375" t="str">
        <f>"$ 24492,90"</f>
        <v>$ 24492,90</v>
      </c>
      <c r="G1375" t="str">
        <f>"$ 24492,90"</f>
        <v>$ 24492,90</v>
      </c>
      <c r="H1375" t="str">
        <f t="shared" si="875"/>
        <v>$ 0,00</v>
      </c>
      <c r="I1375" t="str">
        <f t="shared" si="869"/>
        <v>JUEGO COJINETES BIELA</v>
      </c>
      <c r="J1375" t="str">
        <f t="shared" si="876"/>
        <v>1</v>
      </c>
      <c r="K1375" t="str">
        <f t="shared" si="867"/>
        <v>0</v>
      </c>
      <c r="L1375" t="str">
        <f>"6,000"</f>
        <v>6,000</v>
      </c>
      <c r="M1375" t="str">
        <f t="shared" si="877"/>
        <v xml:space="preserve"> </v>
      </c>
      <c r="N1375" t="str">
        <f t="shared" si="863"/>
        <v>MPSI</v>
      </c>
      <c r="O1375" t="str">
        <f t="shared" si="864"/>
        <v>COJINETES</v>
      </c>
      <c r="P1375" t="str">
        <f t="shared" si="897"/>
        <v>0</v>
      </c>
      <c r="Q1375" t="str">
        <f t="shared" si="897"/>
        <v>0</v>
      </c>
      <c r="R1375" t="str">
        <f t="shared" si="898"/>
        <v>0,00</v>
      </c>
      <c r="S1375" t="str">
        <f t="shared" si="898"/>
        <v>0,00</v>
      </c>
      <c r="T1375" t="str">
        <f t="shared" si="896"/>
        <v xml:space="preserve"> </v>
      </c>
      <c r="U1375" t="str">
        <f t="shared" si="899"/>
        <v>-</v>
      </c>
      <c r="V1375" t="str">
        <f>"6,000"</f>
        <v>6,000</v>
      </c>
      <c r="W1375" t="str">
        <f t="shared" si="878"/>
        <v>Lista 4</v>
      </c>
      <c r="X1375" t="str">
        <f t="shared" si="879"/>
        <v>Lista 5</v>
      </c>
      <c r="Y1375" t="str">
        <f t="shared" si="880"/>
        <v>Oferta Gral.</v>
      </c>
      <c r="Z1375" t="str">
        <f t="shared" si="881"/>
        <v>Rubro</v>
      </c>
      <c r="AA1375" t="str">
        <f t="shared" si="882"/>
        <v>Cantidad por Bulto</v>
      </c>
      <c r="AB1375" t="str">
        <f t="shared" si="883"/>
        <v>INNER</v>
      </c>
      <c r="AC1375" t="str">
        <f t="shared" si="884"/>
        <v>Stock en Bultos</v>
      </c>
      <c r="AD1375" t="str">
        <f t="shared" si="885"/>
        <v>SubDepósito</v>
      </c>
      <c r="AE1375" t="str">
        <f t="shared" si="886"/>
        <v>Marca</v>
      </c>
      <c r="AF1375" t="str">
        <f t="shared" si="887"/>
        <v>Super Rubro</v>
      </c>
      <c r="AG1375" t="str">
        <f t="shared" si="888"/>
        <v>ComercioExterior</v>
      </c>
      <c r="AH1375" t="str">
        <f t="shared" si="889"/>
        <v>PrecioFOB</v>
      </c>
      <c r="AI1375" t="str">
        <f t="shared" si="890"/>
        <v>Monto II</v>
      </c>
      <c r="AJ1375" t="str">
        <f t="shared" si="891"/>
        <v>Porcentaje II</v>
      </c>
      <c r="AK1375" t="str">
        <f t="shared" si="892"/>
        <v>Foto</v>
      </c>
      <c r="AL1375" t="str">
        <f t="shared" si="900"/>
        <v xml:space="preserve"> </v>
      </c>
      <c r="AM1375" t="str">
        <f t="shared" si="894"/>
        <v xml:space="preserve"> </v>
      </c>
    </row>
    <row r="1376" spans="1:39" x14ac:dyDescent="0.25">
      <c r="A1376" t="str">
        <f>"BI388"</f>
        <v>BI388</v>
      </c>
      <c r="B1376" t="str">
        <f>"COJINETES BIELA STD PERKINS 6-305"</f>
        <v>COJINETES BIELA STD PERKINS 6-305</v>
      </c>
      <c r="C1376" t="str">
        <f>"$ 28656,13"</f>
        <v>$ 28656,13</v>
      </c>
      <c r="D1376" t="str">
        <f>"$ 28656,13"</f>
        <v>$ 28656,13</v>
      </c>
      <c r="E1376" t="str">
        <f>"$ 28656,13"</f>
        <v>$ 28656,13</v>
      </c>
      <c r="F1376" t="str">
        <f>"$ 28656,13"</f>
        <v>$ 28656,13</v>
      </c>
      <c r="G1376" t="str">
        <f>"$ 28656,13"</f>
        <v>$ 28656,13</v>
      </c>
      <c r="H1376" t="str">
        <f t="shared" si="875"/>
        <v>$ 0,00</v>
      </c>
      <c r="I1376" t="str">
        <f t="shared" si="869"/>
        <v>JUEGO COJINETES BIELA</v>
      </c>
      <c r="J1376" t="str">
        <f t="shared" si="876"/>
        <v>1</v>
      </c>
      <c r="K1376" t="str">
        <f t="shared" si="867"/>
        <v>0</v>
      </c>
      <c r="L1376" t="str">
        <f>"9,000"</f>
        <v>9,000</v>
      </c>
      <c r="M1376" t="str">
        <f t="shared" si="877"/>
        <v xml:space="preserve"> </v>
      </c>
      <c r="N1376" t="str">
        <f t="shared" si="863"/>
        <v>MPSI</v>
      </c>
      <c r="O1376" t="str">
        <f t="shared" si="864"/>
        <v>COJINETES</v>
      </c>
      <c r="P1376" t="str">
        <f t="shared" si="897"/>
        <v>0</v>
      </c>
      <c r="Q1376" t="str">
        <f t="shared" si="897"/>
        <v>0</v>
      </c>
      <c r="R1376" t="str">
        <f t="shared" si="898"/>
        <v>0,00</v>
      </c>
      <c r="S1376" t="str">
        <f t="shared" si="898"/>
        <v>0,00</v>
      </c>
      <c r="T1376" t="str">
        <f t="shared" si="896"/>
        <v xml:space="preserve"> </v>
      </c>
      <c r="U1376" t="str">
        <f t="shared" si="899"/>
        <v>-</v>
      </c>
      <c r="V1376" t="str">
        <f>"9,000"</f>
        <v>9,000</v>
      </c>
      <c r="W1376" t="str">
        <f t="shared" si="878"/>
        <v>Lista 4</v>
      </c>
      <c r="X1376" t="str">
        <f t="shared" si="879"/>
        <v>Lista 5</v>
      </c>
      <c r="Y1376" t="str">
        <f t="shared" si="880"/>
        <v>Oferta Gral.</v>
      </c>
      <c r="Z1376" t="str">
        <f t="shared" si="881"/>
        <v>Rubro</v>
      </c>
      <c r="AA1376" t="str">
        <f t="shared" si="882"/>
        <v>Cantidad por Bulto</v>
      </c>
      <c r="AB1376" t="str">
        <f t="shared" si="883"/>
        <v>INNER</v>
      </c>
      <c r="AC1376" t="str">
        <f t="shared" si="884"/>
        <v>Stock en Bultos</v>
      </c>
      <c r="AD1376" t="str">
        <f t="shared" si="885"/>
        <v>SubDepósito</v>
      </c>
      <c r="AE1376" t="str">
        <f t="shared" si="886"/>
        <v>Marca</v>
      </c>
      <c r="AF1376" t="str">
        <f t="shared" si="887"/>
        <v>Super Rubro</v>
      </c>
      <c r="AG1376" t="str">
        <f t="shared" si="888"/>
        <v>ComercioExterior</v>
      </c>
      <c r="AH1376" t="str">
        <f t="shared" si="889"/>
        <v>PrecioFOB</v>
      </c>
      <c r="AI1376" t="str">
        <f t="shared" si="890"/>
        <v>Monto II</v>
      </c>
      <c r="AJ1376" t="str">
        <f t="shared" si="891"/>
        <v>Porcentaje II</v>
      </c>
      <c r="AK1376" t="str">
        <f t="shared" si="892"/>
        <v>Foto</v>
      </c>
      <c r="AL1376" t="str">
        <f>"{\rtf1\ansi\ansicpg1252\deff0\deflang2058{\fonttbl{\f0\fnil\fcharset0 MS Sans Serif}} \viewkind4\uc1\pard\f0\fs16 COJINETES BIELA STD PERKINS 6-305\par } "</f>
        <v xml:space="preserve">{\rtf1\ansi\ansicpg1252\deff0\deflang2058{\fonttbl{\f0\fnil\fcharset0 MS Sans Serif}} \viewkind4\uc1\pard\f0\fs16 COJINETES BIELA STD PERKINS 6-305\par } </v>
      </c>
      <c r="AM1376" t="str">
        <f t="shared" si="894"/>
        <v xml:space="preserve"> </v>
      </c>
    </row>
    <row r="1377" spans="1:39" x14ac:dyDescent="0.25">
      <c r="A1377" t="str">
        <f>"BI392"</f>
        <v>BI392</v>
      </c>
      <c r="B1377" t="str">
        <f>"COJINETES BIELA STD PERKINS 6-354 FASE 2"</f>
        <v>COJINETES BIELA STD PERKINS 6-354 FASE 2</v>
      </c>
      <c r="C1377" t="str">
        <f>"$ 32804,16"</f>
        <v>$ 32804,16</v>
      </c>
      <c r="D1377" t="str">
        <f>"$ 32804,16"</f>
        <v>$ 32804,16</v>
      </c>
      <c r="E1377" t="str">
        <f>"$ 32804,16"</f>
        <v>$ 32804,16</v>
      </c>
      <c r="F1377" t="str">
        <f>"$ 32804,16"</f>
        <v>$ 32804,16</v>
      </c>
      <c r="G1377" t="str">
        <f>"$ 32804,16"</f>
        <v>$ 32804,16</v>
      </c>
      <c r="H1377" t="str">
        <f t="shared" si="875"/>
        <v>$ 0,00</v>
      </c>
      <c r="I1377" t="str">
        <f t="shared" si="869"/>
        <v>JUEGO COJINETES BIELA</v>
      </c>
      <c r="J1377" t="str">
        <f t="shared" si="876"/>
        <v>1</v>
      </c>
      <c r="K1377" t="str">
        <f t="shared" si="867"/>
        <v>0</v>
      </c>
      <c r="L1377" t="str">
        <f>"8,000"</f>
        <v>8,000</v>
      </c>
      <c r="M1377" t="str">
        <f t="shared" si="877"/>
        <v xml:space="preserve"> </v>
      </c>
      <c r="N1377" t="str">
        <f t="shared" si="863"/>
        <v>MPSI</v>
      </c>
      <c r="O1377" t="str">
        <f t="shared" si="864"/>
        <v>COJINETES</v>
      </c>
      <c r="P1377" t="str">
        <f t="shared" si="897"/>
        <v>0</v>
      </c>
      <c r="Q1377" t="str">
        <f t="shared" si="897"/>
        <v>0</v>
      </c>
      <c r="R1377" t="str">
        <f t="shared" si="898"/>
        <v>0,00</v>
      </c>
      <c r="S1377" t="str">
        <f t="shared" si="898"/>
        <v>0,00</v>
      </c>
      <c r="T1377" t="str">
        <f t="shared" si="896"/>
        <v xml:space="preserve"> </v>
      </c>
      <c r="U1377" t="str">
        <f t="shared" si="899"/>
        <v>-</v>
      </c>
      <c r="V1377" t="str">
        <f>"8,000"</f>
        <v>8,000</v>
      </c>
      <c r="W1377" t="str">
        <f t="shared" si="878"/>
        <v>Lista 4</v>
      </c>
      <c r="X1377" t="str">
        <f t="shared" si="879"/>
        <v>Lista 5</v>
      </c>
      <c r="Y1377" t="str">
        <f t="shared" si="880"/>
        <v>Oferta Gral.</v>
      </c>
      <c r="Z1377" t="str">
        <f t="shared" si="881"/>
        <v>Rubro</v>
      </c>
      <c r="AA1377" t="str">
        <f t="shared" si="882"/>
        <v>Cantidad por Bulto</v>
      </c>
      <c r="AB1377" t="str">
        <f t="shared" si="883"/>
        <v>INNER</v>
      </c>
      <c r="AC1377" t="str">
        <f t="shared" si="884"/>
        <v>Stock en Bultos</v>
      </c>
      <c r="AD1377" t="str">
        <f t="shared" si="885"/>
        <v>SubDepósito</v>
      </c>
      <c r="AE1377" t="str">
        <f t="shared" si="886"/>
        <v>Marca</v>
      </c>
      <c r="AF1377" t="str">
        <f t="shared" si="887"/>
        <v>Super Rubro</v>
      </c>
      <c r="AG1377" t="str">
        <f t="shared" si="888"/>
        <v>ComercioExterior</v>
      </c>
      <c r="AH1377" t="str">
        <f t="shared" si="889"/>
        <v>PrecioFOB</v>
      </c>
      <c r="AI1377" t="str">
        <f t="shared" si="890"/>
        <v>Monto II</v>
      </c>
      <c r="AJ1377" t="str">
        <f t="shared" si="891"/>
        <v>Porcentaje II</v>
      </c>
      <c r="AK1377" t="str">
        <f t="shared" si="892"/>
        <v>Foto</v>
      </c>
      <c r="AL1377" t="str">
        <f t="shared" ref="AL1377:AL1389" si="901">" "</f>
        <v xml:space="preserve"> </v>
      </c>
      <c r="AM1377" t="str">
        <f t="shared" si="894"/>
        <v xml:space="preserve"> </v>
      </c>
    </row>
    <row r="1378" spans="1:39" x14ac:dyDescent="0.25">
      <c r="A1378" t="str">
        <f>"BI677"</f>
        <v>BI677</v>
      </c>
      <c r="B1378" t="str">
        <f>"COJINETES BIELA STD PEUGEOT 205 206 1.4 TU3"</f>
        <v>COJINETES BIELA STD PEUGEOT 205 206 1.4 TU3</v>
      </c>
      <c r="C1378" t="str">
        <f>"$ 15293,23"</f>
        <v>$ 15293,23</v>
      </c>
      <c r="D1378" t="str">
        <f>"$ 15293,23"</f>
        <v>$ 15293,23</v>
      </c>
      <c r="E1378" t="str">
        <f>"$ 15293,23"</f>
        <v>$ 15293,23</v>
      </c>
      <c r="F1378" t="str">
        <f>"$ 15293,23"</f>
        <v>$ 15293,23</v>
      </c>
      <c r="G1378" t="str">
        <f>"$ 15293,23"</f>
        <v>$ 15293,23</v>
      </c>
      <c r="H1378" t="str">
        <f t="shared" si="875"/>
        <v>$ 0,00</v>
      </c>
      <c r="I1378" t="str">
        <f t="shared" si="869"/>
        <v>JUEGO COJINETES BIELA</v>
      </c>
      <c r="J1378" t="str">
        <f t="shared" si="876"/>
        <v>1</v>
      </c>
      <c r="K1378" t="str">
        <f t="shared" si="867"/>
        <v>0</v>
      </c>
      <c r="L1378" t="str">
        <f>"0,000"</f>
        <v>0,000</v>
      </c>
      <c r="M1378" t="str">
        <f t="shared" si="877"/>
        <v xml:space="preserve"> </v>
      </c>
      <c r="N1378" t="str">
        <f t="shared" si="863"/>
        <v>MPSI</v>
      </c>
      <c r="O1378" t="str">
        <f t="shared" si="864"/>
        <v>COJINETES</v>
      </c>
      <c r="P1378" t="str">
        <f t="shared" si="897"/>
        <v>0</v>
      </c>
      <c r="Q1378" t="str">
        <f t="shared" si="897"/>
        <v>0</v>
      </c>
      <c r="R1378" t="str">
        <f t="shared" si="898"/>
        <v>0,00</v>
      </c>
      <c r="S1378" t="str">
        <f t="shared" si="898"/>
        <v>0,00</v>
      </c>
      <c r="T1378" t="str">
        <f t="shared" si="896"/>
        <v xml:space="preserve"> </v>
      </c>
      <c r="U1378" t="str">
        <f t="shared" si="899"/>
        <v>-</v>
      </c>
      <c r="V1378" t="str">
        <f>"0,000"</f>
        <v>0,000</v>
      </c>
      <c r="W1378" t="str">
        <f t="shared" si="878"/>
        <v>Lista 4</v>
      </c>
      <c r="X1378" t="str">
        <f t="shared" si="879"/>
        <v>Lista 5</v>
      </c>
      <c r="Y1378" t="str">
        <f t="shared" si="880"/>
        <v>Oferta Gral.</v>
      </c>
      <c r="Z1378" t="str">
        <f t="shared" si="881"/>
        <v>Rubro</v>
      </c>
      <c r="AA1378" t="str">
        <f t="shared" si="882"/>
        <v>Cantidad por Bulto</v>
      </c>
      <c r="AB1378" t="str">
        <f t="shared" si="883"/>
        <v>INNER</v>
      </c>
      <c r="AC1378" t="str">
        <f t="shared" si="884"/>
        <v>Stock en Bultos</v>
      </c>
      <c r="AD1378" t="str">
        <f t="shared" si="885"/>
        <v>SubDepósito</v>
      </c>
      <c r="AE1378" t="str">
        <f t="shared" si="886"/>
        <v>Marca</v>
      </c>
      <c r="AF1378" t="str">
        <f t="shared" si="887"/>
        <v>Super Rubro</v>
      </c>
      <c r="AG1378" t="str">
        <f t="shared" si="888"/>
        <v>ComercioExterior</v>
      </c>
      <c r="AH1378" t="str">
        <f t="shared" si="889"/>
        <v>PrecioFOB</v>
      </c>
      <c r="AI1378" t="str">
        <f t="shared" si="890"/>
        <v>Monto II</v>
      </c>
      <c r="AJ1378" t="str">
        <f t="shared" si="891"/>
        <v>Porcentaje II</v>
      </c>
      <c r="AK1378" t="str">
        <f t="shared" si="892"/>
        <v>Foto</v>
      </c>
      <c r="AL1378" t="str">
        <f t="shared" si="901"/>
        <v xml:space="preserve"> </v>
      </c>
      <c r="AM1378" t="str">
        <f t="shared" si="894"/>
        <v xml:space="preserve"> </v>
      </c>
    </row>
    <row r="1379" spans="1:39" x14ac:dyDescent="0.25">
      <c r="A1379" t="str">
        <f>"BI422"</f>
        <v>BI422</v>
      </c>
      <c r="B1379" t="str">
        <f>"COJINETES BIELA STD PEUGEOT 306 1.9 TURBO DIESEL XUD9T"</f>
        <v>COJINETES BIELA STD PEUGEOT 306 1.9 TURBO DIESEL XUD9T</v>
      </c>
      <c r="C1379" t="str">
        <f>"$ 25442,55"</f>
        <v>$ 25442,55</v>
      </c>
      <c r="D1379" t="str">
        <f>"$ 25442,55"</f>
        <v>$ 25442,55</v>
      </c>
      <c r="E1379" t="str">
        <f>"$ 25442,55"</f>
        <v>$ 25442,55</v>
      </c>
      <c r="F1379" t="str">
        <f>"$ 25442,55"</f>
        <v>$ 25442,55</v>
      </c>
      <c r="G1379" t="str">
        <f>"$ 25442,55"</f>
        <v>$ 25442,55</v>
      </c>
      <c r="H1379" t="str">
        <f t="shared" si="875"/>
        <v>$ 0,00</v>
      </c>
      <c r="I1379" t="str">
        <f t="shared" si="869"/>
        <v>JUEGO COJINETES BIELA</v>
      </c>
      <c r="J1379" t="str">
        <f t="shared" si="876"/>
        <v>1</v>
      </c>
      <c r="K1379" t="str">
        <f t="shared" si="867"/>
        <v>0</v>
      </c>
      <c r="L1379" t="str">
        <f>"3,000"</f>
        <v>3,000</v>
      </c>
      <c r="M1379" t="str">
        <f t="shared" si="877"/>
        <v xml:space="preserve"> </v>
      </c>
      <c r="N1379" t="str">
        <f t="shared" si="863"/>
        <v>MPSI</v>
      </c>
      <c r="O1379" t="str">
        <f t="shared" si="864"/>
        <v>COJINETES</v>
      </c>
      <c r="P1379" t="str">
        <f t="shared" si="897"/>
        <v>0</v>
      </c>
      <c r="Q1379" t="str">
        <f t="shared" si="897"/>
        <v>0</v>
      </c>
      <c r="R1379" t="str">
        <f t="shared" si="898"/>
        <v>0,00</v>
      </c>
      <c r="S1379" t="str">
        <f t="shared" si="898"/>
        <v>0,00</v>
      </c>
      <c r="T1379" t="str">
        <f t="shared" si="896"/>
        <v xml:space="preserve"> </v>
      </c>
      <c r="U1379" t="str">
        <f t="shared" si="899"/>
        <v>-</v>
      </c>
      <c r="V1379" t="str">
        <f>"3,000"</f>
        <v>3,000</v>
      </c>
      <c r="W1379" t="str">
        <f t="shared" si="878"/>
        <v>Lista 4</v>
      </c>
      <c r="X1379" t="str">
        <f t="shared" si="879"/>
        <v>Lista 5</v>
      </c>
      <c r="Y1379" t="str">
        <f t="shared" si="880"/>
        <v>Oferta Gral.</v>
      </c>
      <c r="Z1379" t="str">
        <f t="shared" si="881"/>
        <v>Rubro</v>
      </c>
      <c r="AA1379" t="str">
        <f t="shared" si="882"/>
        <v>Cantidad por Bulto</v>
      </c>
      <c r="AB1379" t="str">
        <f t="shared" si="883"/>
        <v>INNER</v>
      </c>
      <c r="AC1379" t="str">
        <f t="shared" si="884"/>
        <v>Stock en Bultos</v>
      </c>
      <c r="AD1379" t="str">
        <f t="shared" si="885"/>
        <v>SubDepósito</v>
      </c>
      <c r="AE1379" t="str">
        <f t="shared" si="886"/>
        <v>Marca</v>
      </c>
      <c r="AF1379" t="str">
        <f t="shared" si="887"/>
        <v>Super Rubro</v>
      </c>
      <c r="AG1379" t="str">
        <f t="shared" si="888"/>
        <v>ComercioExterior</v>
      </c>
      <c r="AH1379" t="str">
        <f t="shared" si="889"/>
        <v>PrecioFOB</v>
      </c>
      <c r="AI1379" t="str">
        <f t="shared" si="890"/>
        <v>Monto II</v>
      </c>
      <c r="AJ1379" t="str">
        <f t="shared" si="891"/>
        <v>Porcentaje II</v>
      </c>
      <c r="AK1379" t="str">
        <f t="shared" si="892"/>
        <v>Foto</v>
      </c>
      <c r="AL1379" t="str">
        <f t="shared" si="901"/>
        <v xml:space="preserve"> </v>
      </c>
      <c r="AM1379" t="str">
        <f t="shared" si="894"/>
        <v xml:space="preserve"> </v>
      </c>
    </row>
    <row r="1380" spans="1:39" x14ac:dyDescent="0.25">
      <c r="A1380" t="str">
        <f>"BI734"</f>
        <v>BI734</v>
      </c>
      <c r="B1380" t="str">
        <f>"COJINETES BIELA STD PEUGEOT 306 405 PARTNER 1.9D MOTOR XUD9"</f>
        <v>COJINETES BIELA STD PEUGEOT 306 405 PARTNER 1.9D MOTOR XUD9</v>
      </c>
      <c r="C1380" t="str">
        <f>"$ 13584,39"</f>
        <v>$ 13584,39</v>
      </c>
      <c r="D1380" t="str">
        <f>"$ 13584,39"</f>
        <v>$ 13584,39</v>
      </c>
      <c r="E1380" t="str">
        <f>"$ 13584,39"</f>
        <v>$ 13584,39</v>
      </c>
      <c r="F1380" t="str">
        <f>"$ 13584,39"</f>
        <v>$ 13584,39</v>
      </c>
      <c r="G1380" t="str">
        <f>"$ 13584,39"</f>
        <v>$ 13584,39</v>
      </c>
      <c r="H1380" t="str">
        <f t="shared" si="875"/>
        <v>$ 0,00</v>
      </c>
      <c r="I1380" t="str">
        <f t="shared" si="869"/>
        <v>JUEGO COJINETES BIELA</v>
      </c>
      <c r="J1380" t="str">
        <f t="shared" si="876"/>
        <v>1</v>
      </c>
      <c r="K1380" t="str">
        <f t="shared" si="867"/>
        <v>0</v>
      </c>
      <c r="L1380" t="str">
        <f>"0,000"</f>
        <v>0,000</v>
      </c>
      <c r="M1380" t="str">
        <f t="shared" si="877"/>
        <v xml:space="preserve"> </v>
      </c>
      <c r="N1380" t="str">
        <f t="shared" si="863"/>
        <v>MPSI</v>
      </c>
      <c r="O1380" t="str">
        <f t="shared" si="864"/>
        <v>COJINETES</v>
      </c>
      <c r="P1380" t="str">
        <f t="shared" si="897"/>
        <v>0</v>
      </c>
      <c r="Q1380" t="str">
        <f t="shared" si="897"/>
        <v>0</v>
      </c>
      <c r="R1380" t="str">
        <f t="shared" si="898"/>
        <v>0,00</v>
      </c>
      <c r="S1380" t="str">
        <f t="shared" si="898"/>
        <v>0,00</v>
      </c>
      <c r="T1380" t="str">
        <f t="shared" si="896"/>
        <v xml:space="preserve"> </v>
      </c>
      <c r="U1380" t="str">
        <f t="shared" si="899"/>
        <v>-</v>
      </c>
      <c r="V1380" t="str">
        <f>"0,000"</f>
        <v>0,000</v>
      </c>
      <c r="W1380" t="str">
        <f t="shared" si="878"/>
        <v>Lista 4</v>
      </c>
      <c r="X1380" t="str">
        <f t="shared" si="879"/>
        <v>Lista 5</v>
      </c>
      <c r="Y1380" t="str">
        <f t="shared" si="880"/>
        <v>Oferta Gral.</v>
      </c>
      <c r="Z1380" t="str">
        <f t="shared" si="881"/>
        <v>Rubro</v>
      </c>
      <c r="AA1380" t="str">
        <f t="shared" si="882"/>
        <v>Cantidad por Bulto</v>
      </c>
      <c r="AB1380" t="str">
        <f t="shared" si="883"/>
        <v>INNER</v>
      </c>
      <c r="AC1380" t="str">
        <f t="shared" si="884"/>
        <v>Stock en Bultos</v>
      </c>
      <c r="AD1380" t="str">
        <f t="shared" si="885"/>
        <v>SubDepósito</v>
      </c>
      <c r="AE1380" t="str">
        <f t="shared" si="886"/>
        <v>Marca</v>
      </c>
      <c r="AF1380" t="str">
        <f t="shared" si="887"/>
        <v>Super Rubro</v>
      </c>
      <c r="AG1380" t="str">
        <f t="shared" si="888"/>
        <v>ComercioExterior</v>
      </c>
      <c r="AH1380" t="str">
        <f t="shared" si="889"/>
        <v>PrecioFOB</v>
      </c>
      <c r="AI1380" t="str">
        <f t="shared" si="890"/>
        <v>Monto II</v>
      </c>
      <c r="AJ1380" t="str">
        <f t="shared" si="891"/>
        <v>Porcentaje II</v>
      </c>
      <c r="AK1380" t="str">
        <f t="shared" si="892"/>
        <v>Foto</v>
      </c>
      <c r="AL1380" t="str">
        <f t="shared" si="901"/>
        <v xml:space="preserve"> </v>
      </c>
      <c r="AM1380" t="str">
        <f t="shared" si="894"/>
        <v xml:space="preserve"> </v>
      </c>
    </row>
    <row r="1381" spans="1:39" x14ac:dyDescent="0.25">
      <c r="A1381" t="str">
        <f>"BI421"</f>
        <v>BI421</v>
      </c>
      <c r="B1381" t="str">
        <f>"COJINETES BIELA STD PEUGEOT 306 406 DW10 4 TRABAS DER Y 4 IZQ"</f>
        <v>COJINETES BIELA STD PEUGEOT 306 406 DW10 4 TRABAS DER Y 4 IZQ</v>
      </c>
      <c r="C1381" t="str">
        <f>"$ 25699,74"</f>
        <v>$ 25699,74</v>
      </c>
      <c r="D1381" t="str">
        <f>"$ 25699,74"</f>
        <v>$ 25699,74</v>
      </c>
      <c r="E1381" t="str">
        <f>"$ 25699,74"</f>
        <v>$ 25699,74</v>
      </c>
      <c r="F1381" t="str">
        <f>"$ 25699,74"</f>
        <v>$ 25699,74</v>
      </c>
      <c r="G1381" t="str">
        <f>"$ 25699,74"</f>
        <v>$ 25699,74</v>
      </c>
      <c r="H1381" t="str">
        <f t="shared" si="875"/>
        <v>$ 0,00</v>
      </c>
      <c r="I1381" t="str">
        <f t="shared" si="869"/>
        <v>JUEGO COJINETES BIELA</v>
      </c>
      <c r="J1381" t="str">
        <f t="shared" si="876"/>
        <v>1</v>
      </c>
      <c r="K1381" t="str">
        <f t="shared" si="867"/>
        <v>0</v>
      </c>
      <c r="L1381" t="str">
        <f>"9,000"</f>
        <v>9,000</v>
      </c>
      <c r="M1381" t="str">
        <f t="shared" si="877"/>
        <v xml:space="preserve"> </v>
      </c>
      <c r="N1381" t="str">
        <f t="shared" ref="N1381:N1419" si="902">"MPSI"</f>
        <v>MPSI</v>
      </c>
      <c r="O1381" t="str">
        <f t="shared" ref="O1381:O1419" si="903">"COJINETES"</f>
        <v>COJINETES</v>
      </c>
      <c r="P1381" t="str">
        <f t="shared" si="897"/>
        <v>0</v>
      </c>
      <c r="Q1381" t="str">
        <f t="shared" si="897"/>
        <v>0</v>
      </c>
      <c r="R1381" t="str">
        <f t="shared" si="898"/>
        <v>0,00</v>
      </c>
      <c r="S1381" t="str">
        <f t="shared" si="898"/>
        <v>0,00</v>
      </c>
      <c r="T1381" t="str">
        <f t="shared" si="896"/>
        <v xml:space="preserve"> </v>
      </c>
      <c r="U1381" t="str">
        <f t="shared" si="899"/>
        <v>-</v>
      </c>
      <c r="V1381" t="str">
        <f>"9,000"</f>
        <v>9,000</v>
      </c>
      <c r="W1381" t="str">
        <f t="shared" si="878"/>
        <v>Lista 4</v>
      </c>
      <c r="X1381" t="str">
        <f t="shared" si="879"/>
        <v>Lista 5</v>
      </c>
      <c r="Y1381" t="str">
        <f t="shared" si="880"/>
        <v>Oferta Gral.</v>
      </c>
      <c r="Z1381" t="str">
        <f t="shared" si="881"/>
        <v>Rubro</v>
      </c>
      <c r="AA1381" t="str">
        <f t="shared" si="882"/>
        <v>Cantidad por Bulto</v>
      </c>
      <c r="AB1381" t="str">
        <f t="shared" si="883"/>
        <v>INNER</v>
      </c>
      <c r="AC1381" t="str">
        <f t="shared" si="884"/>
        <v>Stock en Bultos</v>
      </c>
      <c r="AD1381" t="str">
        <f t="shared" si="885"/>
        <v>SubDepósito</v>
      </c>
      <c r="AE1381" t="str">
        <f t="shared" si="886"/>
        <v>Marca</v>
      </c>
      <c r="AF1381" t="str">
        <f t="shared" si="887"/>
        <v>Super Rubro</v>
      </c>
      <c r="AG1381" t="str">
        <f t="shared" si="888"/>
        <v>ComercioExterior</v>
      </c>
      <c r="AH1381" t="str">
        <f t="shared" si="889"/>
        <v>PrecioFOB</v>
      </c>
      <c r="AI1381" t="str">
        <f t="shared" si="890"/>
        <v>Monto II</v>
      </c>
      <c r="AJ1381" t="str">
        <f t="shared" si="891"/>
        <v>Porcentaje II</v>
      </c>
      <c r="AK1381" t="str">
        <f t="shared" si="892"/>
        <v>Foto</v>
      </c>
      <c r="AL1381" t="str">
        <f t="shared" si="901"/>
        <v xml:space="preserve"> </v>
      </c>
      <c r="AM1381" t="str">
        <f t="shared" si="894"/>
        <v xml:space="preserve"> </v>
      </c>
    </row>
    <row r="1382" spans="1:39" x14ac:dyDescent="0.25">
      <c r="A1382" t="str">
        <f>"BI732"</f>
        <v>BI732</v>
      </c>
      <c r="B1382" t="str">
        <f>"COJINETES BIELA STD PEUGEOT 307 406 MOTOR 2.0 EW10J4 XU7"</f>
        <v>COJINETES BIELA STD PEUGEOT 307 406 MOTOR 2.0 EW10J4 XU7</v>
      </c>
      <c r="C1382" t="str">
        <f>"$ 16519,85"</f>
        <v>$ 16519,85</v>
      </c>
      <c r="D1382" t="str">
        <f>"$ 16519,85"</f>
        <v>$ 16519,85</v>
      </c>
      <c r="E1382" t="str">
        <f>"$ 16519,85"</f>
        <v>$ 16519,85</v>
      </c>
      <c r="F1382" t="str">
        <f>"$ 16519,85"</f>
        <v>$ 16519,85</v>
      </c>
      <c r="G1382" t="str">
        <f>"$ 16519,85"</f>
        <v>$ 16519,85</v>
      </c>
      <c r="H1382" t="str">
        <f t="shared" si="875"/>
        <v>$ 0,00</v>
      </c>
      <c r="I1382" t="str">
        <f t="shared" si="869"/>
        <v>JUEGO COJINETES BIELA</v>
      </c>
      <c r="J1382" t="str">
        <f t="shared" si="876"/>
        <v>1</v>
      </c>
      <c r="K1382" t="str">
        <f t="shared" si="867"/>
        <v>0</v>
      </c>
      <c r="L1382" t="str">
        <f>"6,000"</f>
        <v>6,000</v>
      </c>
      <c r="M1382" t="str">
        <f t="shared" si="877"/>
        <v xml:space="preserve"> </v>
      </c>
      <c r="N1382" t="str">
        <f t="shared" si="902"/>
        <v>MPSI</v>
      </c>
      <c r="O1382" t="str">
        <f t="shared" si="903"/>
        <v>COJINETES</v>
      </c>
      <c r="P1382" t="str">
        <f t="shared" si="897"/>
        <v>0</v>
      </c>
      <c r="Q1382" t="str">
        <f t="shared" si="897"/>
        <v>0</v>
      </c>
      <c r="R1382" t="str">
        <f t="shared" si="898"/>
        <v>0,00</v>
      </c>
      <c r="S1382" t="str">
        <f t="shared" si="898"/>
        <v>0,00</v>
      </c>
      <c r="T1382" t="str">
        <f t="shared" si="896"/>
        <v xml:space="preserve"> </v>
      </c>
      <c r="U1382" t="str">
        <f t="shared" si="899"/>
        <v>-</v>
      </c>
      <c r="V1382" t="str">
        <f>"6,000"</f>
        <v>6,000</v>
      </c>
      <c r="W1382" t="str">
        <f t="shared" si="878"/>
        <v>Lista 4</v>
      </c>
      <c r="X1382" t="str">
        <f t="shared" si="879"/>
        <v>Lista 5</v>
      </c>
      <c r="Y1382" t="str">
        <f t="shared" si="880"/>
        <v>Oferta Gral.</v>
      </c>
      <c r="Z1382" t="str">
        <f t="shared" si="881"/>
        <v>Rubro</v>
      </c>
      <c r="AA1382" t="str">
        <f t="shared" si="882"/>
        <v>Cantidad por Bulto</v>
      </c>
      <c r="AB1382" t="str">
        <f t="shared" si="883"/>
        <v>INNER</v>
      </c>
      <c r="AC1382" t="str">
        <f t="shared" si="884"/>
        <v>Stock en Bultos</v>
      </c>
      <c r="AD1382" t="str">
        <f t="shared" si="885"/>
        <v>SubDepósito</v>
      </c>
      <c r="AE1382" t="str">
        <f t="shared" si="886"/>
        <v>Marca</v>
      </c>
      <c r="AF1382" t="str">
        <f t="shared" si="887"/>
        <v>Super Rubro</v>
      </c>
      <c r="AG1382" t="str">
        <f t="shared" si="888"/>
        <v>ComercioExterior</v>
      </c>
      <c r="AH1382" t="str">
        <f t="shared" si="889"/>
        <v>PrecioFOB</v>
      </c>
      <c r="AI1382" t="str">
        <f t="shared" si="890"/>
        <v>Monto II</v>
      </c>
      <c r="AJ1382" t="str">
        <f t="shared" si="891"/>
        <v>Porcentaje II</v>
      </c>
      <c r="AK1382" t="str">
        <f t="shared" si="892"/>
        <v>Foto</v>
      </c>
      <c r="AL1382" t="str">
        <f t="shared" si="901"/>
        <v xml:space="preserve"> </v>
      </c>
      <c r="AM1382" t="str">
        <f t="shared" si="894"/>
        <v xml:space="preserve"> </v>
      </c>
    </row>
    <row r="1383" spans="1:39" x14ac:dyDescent="0.25">
      <c r="A1383" t="str">
        <f>"BI731"</f>
        <v>BI731</v>
      </c>
      <c r="B1383" t="str">
        <f>"COJINETES BIELA STD PEUGEOT 307 CITROEN C4 1.6 16V TU5JP4"</f>
        <v>COJINETES BIELA STD PEUGEOT 307 CITROEN C4 1.6 16V TU5JP4</v>
      </c>
      <c r="C1383" t="str">
        <f>"$ 12559,78"</f>
        <v>$ 12559,78</v>
      </c>
      <c r="D1383" t="str">
        <f>"$ 12559,78"</f>
        <v>$ 12559,78</v>
      </c>
      <c r="E1383" t="str">
        <f>"$ 12559,78"</f>
        <v>$ 12559,78</v>
      </c>
      <c r="F1383" t="str">
        <f>"$ 12559,78"</f>
        <v>$ 12559,78</v>
      </c>
      <c r="G1383" t="str">
        <f>"$ 12559,78"</f>
        <v>$ 12559,78</v>
      </c>
      <c r="H1383" t="str">
        <f t="shared" si="875"/>
        <v>$ 0,00</v>
      </c>
      <c r="I1383" t="str">
        <f t="shared" si="869"/>
        <v>JUEGO COJINETES BIELA</v>
      </c>
      <c r="J1383" t="str">
        <f t="shared" si="876"/>
        <v>1</v>
      </c>
      <c r="K1383" t="str">
        <f t="shared" si="867"/>
        <v>0</v>
      </c>
      <c r="L1383" t="str">
        <f>"0,000"</f>
        <v>0,000</v>
      </c>
      <c r="M1383" t="str">
        <f t="shared" si="877"/>
        <v xml:space="preserve"> </v>
      </c>
      <c r="N1383" t="str">
        <f t="shared" si="902"/>
        <v>MPSI</v>
      </c>
      <c r="O1383" t="str">
        <f t="shared" si="903"/>
        <v>COJINETES</v>
      </c>
      <c r="P1383" t="str">
        <f t="shared" ref="P1383:Q1402" si="904">"0"</f>
        <v>0</v>
      </c>
      <c r="Q1383" t="str">
        <f t="shared" si="904"/>
        <v>0</v>
      </c>
      <c r="R1383" t="str">
        <f t="shared" ref="R1383:S1402" si="905">"0,00"</f>
        <v>0,00</v>
      </c>
      <c r="S1383" t="str">
        <f t="shared" si="905"/>
        <v>0,00</v>
      </c>
      <c r="T1383" t="str">
        <f t="shared" si="896"/>
        <v xml:space="preserve"> </v>
      </c>
      <c r="U1383" t="str">
        <f t="shared" si="899"/>
        <v>-</v>
      </c>
      <c r="V1383" t="str">
        <f>"0,000"</f>
        <v>0,000</v>
      </c>
      <c r="W1383" t="str">
        <f t="shared" si="878"/>
        <v>Lista 4</v>
      </c>
      <c r="X1383" t="str">
        <f t="shared" si="879"/>
        <v>Lista 5</v>
      </c>
      <c r="Y1383" t="str">
        <f t="shared" si="880"/>
        <v>Oferta Gral.</v>
      </c>
      <c r="Z1383" t="str">
        <f t="shared" si="881"/>
        <v>Rubro</v>
      </c>
      <c r="AA1383" t="str">
        <f t="shared" si="882"/>
        <v>Cantidad por Bulto</v>
      </c>
      <c r="AB1383" t="str">
        <f t="shared" si="883"/>
        <v>INNER</v>
      </c>
      <c r="AC1383" t="str">
        <f t="shared" si="884"/>
        <v>Stock en Bultos</v>
      </c>
      <c r="AD1383" t="str">
        <f t="shared" si="885"/>
        <v>SubDepósito</v>
      </c>
      <c r="AE1383" t="str">
        <f t="shared" si="886"/>
        <v>Marca</v>
      </c>
      <c r="AF1383" t="str">
        <f t="shared" si="887"/>
        <v>Super Rubro</v>
      </c>
      <c r="AG1383" t="str">
        <f t="shared" si="888"/>
        <v>ComercioExterior</v>
      </c>
      <c r="AH1383" t="str">
        <f t="shared" si="889"/>
        <v>PrecioFOB</v>
      </c>
      <c r="AI1383" t="str">
        <f t="shared" si="890"/>
        <v>Monto II</v>
      </c>
      <c r="AJ1383" t="str">
        <f t="shared" si="891"/>
        <v>Porcentaje II</v>
      </c>
      <c r="AK1383" t="str">
        <f t="shared" si="892"/>
        <v>Foto</v>
      </c>
      <c r="AL1383" t="str">
        <f t="shared" si="901"/>
        <v xml:space="preserve"> </v>
      </c>
      <c r="AM1383" t="str">
        <f t="shared" si="894"/>
        <v xml:space="preserve"> </v>
      </c>
    </row>
    <row r="1384" spans="1:39" x14ac:dyDescent="0.25">
      <c r="A1384" t="str">
        <f>"BI728"</f>
        <v>BI728</v>
      </c>
      <c r="B1384" t="str">
        <f>"COJINETES BIELA STD PEUGEOT 307 CITROEN C4 HDI 1.6 DV6TED"</f>
        <v>COJINETES BIELA STD PEUGEOT 307 CITROEN C4 HDI 1.6 DV6TED</v>
      </c>
      <c r="C1384" t="str">
        <f>"$ 24097,22"</f>
        <v>$ 24097,22</v>
      </c>
      <c r="D1384" t="str">
        <f>"$ 24097,22"</f>
        <v>$ 24097,22</v>
      </c>
      <c r="E1384" t="str">
        <f>"$ 24097,22"</f>
        <v>$ 24097,22</v>
      </c>
      <c r="F1384" t="str">
        <f>"$ 24097,22"</f>
        <v>$ 24097,22</v>
      </c>
      <c r="G1384" t="str">
        <f>"$ 24097,22"</f>
        <v>$ 24097,22</v>
      </c>
      <c r="H1384" t="str">
        <f t="shared" si="875"/>
        <v>$ 0,00</v>
      </c>
      <c r="I1384" t="str">
        <f t="shared" si="869"/>
        <v>JUEGO COJINETES BIELA</v>
      </c>
      <c r="J1384" t="str">
        <f t="shared" si="876"/>
        <v>1</v>
      </c>
      <c r="K1384" t="str">
        <f t="shared" si="867"/>
        <v>0</v>
      </c>
      <c r="L1384" t="str">
        <f>"3,000"</f>
        <v>3,000</v>
      </c>
      <c r="M1384" t="str">
        <f t="shared" si="877"/>
        <v xml:space="preserve"> </v>
      </c>
      <c r="N1384" t="str">
        <f t="shared" si="902"/>
        <v>MPSI</v>
      </c>
      <c r="O1384" t="str">
        <f t="shared" si="903"/>
        <v>COJINETES</v>
      </c>
      <c r="P1384" t="str">
        <f t="shared" si="904"/>
        <v>0</v>
      </c>
      <c r="Q1384" t="str">
        <f t="shared" si="904"/>
        <v>0</v>
      </c>
      <c r="R1384" t="str">
        <f t="shared" si="905"/>
        <v>0,00</v>
      </c>
      <c r="S1384" t="str">
        <f t="shared" si="905"/>
        <v>0,00</v>
      </c>
      <c r="T1384" t="str">
        <f t="shared" si="896"/>
        <v xml:space="preserve"> </v>
      </c>
      <c r="U1384" t="str">
        <f t="shared" si="899"/>
        <v>-</v>
      </c>
      <c r="V1384" t="str">
        <f>"3,000"</f>
        <v>3,000</v>
      </c>
      <c r="W1384" t="str">
        <f t="shared" si="878"/>
        <v>Lista 4</v>
      </c>
      <c r="X1384" t="str">
        <f t="shared" si="879"/>
        <v>Lista 5</v>
      </c>
      <c r="Y1384" t="str">
        <f t="shared" si="880"/>
        <v>Oferta Gral.</v>
      </c>
      <c r="Z1384" t="str">
        <f t="shared" si="881"/>
        <v>Rubro</v>
      </c>
      <c r="AA1384" t="str">
        <f t="shared" si="882"/>
        <v>Cantidad por Bulto</v>
      </c>
      <c r="AB1384" t="str">
        <f t="shared" si="883"/>
        <v>INNER</v>
      </c>
      <c r="AC1384" t="str">
        <f t="shared" si="884"/>
        <v>Stock en Bultos</v>
      </c>
      <c r="AD1384" t="str">
        <f t="shared" si="885"/>
        <v>SubDepósito</v>
      </c>
      <c r="AE1384" t="str">
        <f t="shared" si="886"/>
        <v>Marca</v>
      </c>
      <c r="AF1384" t="str">
        <f t="shared" si="887"/>
        <v>Super Rubro</v>
      </c>
      <c r="AG1384" t="str">
        <f t="shared" si="888"/>
        <v>ComercioExterior</v>
      </c>
      <c r="AH1384" t="str">
        <f t="shared" si="889"/>
        <v>PrecioFOB</v>
      </c>
      <c r="AI1384" t="str">
        <f t="shared" si="890"/>
        <v>Monto II</v>
      </c>
      <c r="AJ1384" t="str">
        <f t="shared" si="891"/>
        <v>Porcentaje II</v>
      </c>
      <c r="AK1384" t="str">
        <f t="shared" si="892"/>
        <v>Foto</v>
      </c>
      <c r="AL1384" t="str">
        <f t="shared" si="901"/>
        <v xml:space="preserve"> </v>
      </c>
      <c r="AM1384" t="str">
        <f t="shared" si="894"/>
        <v xml:space="preserve"> </v>
      </c>
    </row>
    <row r="1385" spans="1:39" x14ac:dyDescent="0.25">
      <c r="A1385" t="str">
        <f>"BI413"</f>
        <v>BI413</v>
      </c>
      <c r="B1385" t="str">
        <f>"COJINETES BIELA STD PEUGEOT 404 504 DIESEL XD 4.88"</f>
        <v>COJINETES BIELA STD PEUGEOT 404 504 DIESEL XD 4.88</v>
      </c>
      <c r="C1385" t="str">
        <f>"$ 20278,86"</f>
        <v>$ 20278,86</v>
      </c>
      <c r="D1385" t="str">
        <f>"$ 20278,86"</f>
        <v>$ 20278,86</v>
      </c>
      <c r="E1385" t="str">
        <f>"$ 20278,86"</f>
        <v>$ 20278,86</v>
      </c>
      <c r="F1385" t="str">
        <f>"$ 20278,86"</f>
        <v>$ 20278,86</v>
      </c>
      <c r="G1385" t="str">
        <f>"$ 20278,86"</f>
        <v>$ 20278,86</v>
      </c>
      <c r="H1385" t="str">
        <f t="shared" si="875"/>
        <v>$ 0,00</v>
      </c>
      <c r="I1385" t="str">
        <f t="shared" si="869"/>
        <v>JUEGO COJINETES BIELA</v>
      </c>
      <c r="J1385" t="str">
        <f t="shared" si="876"/>
        <v>1</v>
      </c>
      <c r="K1385" t="str">
        <f t="shared" si="867"/>
        <v>0</v>
      </c>
      <c r="L1385" t="str">
        <f>"1,000"</f>
        <v>1,000</v>
      </c>
      <c r="M1385" t="str">
        <f t="shared" si="877"/>
        <v xml:space="preserve"> </v>
      </c>
      <c r="N1385" t="str">
        <f t="shared" si="902"/>
        <v>MPSI</v>
      </c>
      <c r="O1385" t="str">
        <f t="shared" si="903"/>
        <v>COJINETES</v>
      </c>
      <c r="P1385" t="str">
        <f t="shared" si="904"/>
        <v>0</v>
      </c>
      <c r="Q1385" t="str">
        <f t="shared" si="904"/>
        <v>0</v>
      </c>
      <c r="R1385" t="str">
        <f t="shared" si="905"/>
        <v>0,00</v>
      </c>
      <c r="S1385" t="str">
        <f t="shared" si="905"/>
        <v>0,00</v>
      </c>
      <c r="T1385" t="str">
        <f t="shared" si="896"/>
        <v xml:space="preserve"> </v>
      </c>
      <c r="U1385" t="str">
        <f t="shared" si="899"/>
        <v>-</v>
      </c>
      <c r="V1385" t="str">
        <f>"1,000"</f>
        <v>1,000</v>
      </c>
      <c r="W1385" t="str">
        <f t="shared" si="878"/>
        <v>Lista 4</v>
      </c>
      <c r="X1385" t="str">
        <f t="shared" si="879"/>
        <v>Lista 5</v>
      </c>
      <c r="Y1385" t="str">
        <f t="shared" si="880"/>
        <v>Oferta Gral.</v>
      </c>
      <c r="Z1385" t="str">
        <f t="shared" si="881"/>
        <v>Rubro</v>
      </c>
      <c r="AA1385" t="str">
        <f t="shared" si="882"/>
        <v>Cantidad por Bulto</v>
      </c>
      <c r="AB1385" t="str">
        <f t="shared" si="883"/>
        <v>INNER</v>
      </c>
      <c r="AC1385" t="str">
        <f t="shared" si="884"/>
        <v>Stock en Bultos</v>
      </c>
      <c r="AD1385" t="str">
        <f t="shared" si="885"/>
        <v>SubDepósito</v>
      </c>
      <c r="AE1385" t="str">
        <f t="shared" si="886"/>
        <v>Marca</v>
      </c>
      <c r="AF1385" t="str">
        <f t="shared" si="887"/>
        <v>Super Rubro</v>
      </c>
      <c r="AG1385" t="str">
        <f t="shared" si="888"/>
        <v>ComercioExterior</v>
      </c>
      <c r="AH1385" t="str">
        <f t="shared" si="889"/>
        <v>PrecioFOB</v>
      </c>
      <c r="AI1385" t="str">
        <f t="shared" si="890"/>
        <v>Monto II</v>
      </c>
      <c r="AJ1385" t="str">
        <f t="shared" si="891"/>
        <v>Porcentaje II</v>
      </c>
      <c r="AK1385" t="str">
        <f t="shared" si="892"/>
        <v>Foto</v>
      </c>
      <c r="AL1385" t="str">
        <f t="shared" si="901"/>
        <v xml:space="preserve"> </v>
      </c>
      <c r="AM1385" t="str">
        <f t="shared" si="894"/>
        <v xml:space="preserve"> </v>
      </c>
    </row>
    <row r="1386" spans="1:39" x14ac:dyDescent="0.25">
      <c r="A1386" t="str">
        <f>"BI410"</f>
        <v>BI410</v>
      </c>
      <c r="B1386" t="str">
        <f>"COJINETES BIELA STD PEUGEOT 404 504 NAFTA 1.6 1.8 2.0"</f>
        <v>COJINETES BIELA STD PEUGEOT 404 504 NAFTA 1.6 1.8 2.0</v>
      </c>
      <c r="C1386" t="str">
        <f>"$ 14972,58"</f>
        <v>$ 14972,58</v>
      </c>
      <c r="D1386" t="str">
        <f>"$ 14972,58"</f>
        <v>$ 14972,58</v>
      </c>
      <c r="E1386" t="str">
        <f>"$ 14972,58"</f>
        <v>$ 14972,58</v>
      </c>
      <c r="F1386" t="str">
        <f>"$ 14972,58"</f>
        <v>$ 14972,58</v>
      </c>
      <c r="G1386" t="str">
        <f>"$ 14972,58"</f>
        <v>$ 14972,58</v>
      </c>
      <c r="H1386" t="str">
        <f t="shared" si="875"/>
        <v>$ 0,00</v>
      </c>
      <c r="I1386" t="str">
        <f t="shared" si="869"/>
        <v>JUEGO COJINETES BIELA</v>
      </c>
      <c r="J1386" t="str">
        <f t="shared" si="876"/>
        <v>1</v>
      </c>
      <c r="K1386" t="str">
        <f t="shared" si="867"/>
        <v>0</v>
      </c>
      <c r="L1386" t="str">
        <f>"10,000"</f>
        <v>10,000</v>
      </c>
      <c r="M1386" t="str">
        <f t="shared" si="877"/>
        <v xml:space="preserve"> </v>
      </c>
      <c r="N1386" t="str">
        <f t="shared" si="902"/>
        <v>MPSI</v>
      </c>
      <c r="O1386" t="str">
        <f t="shared" si="903"/>
        <v>COJINETES</v>
      </c>
      <c r="P1386" t="str">
        <f t="shared" si="904"/>
        <v>0</v>
      </c>
      <c r="Q1386" t="str">
        <f t="shared" si="904"/>
        <v>0</v>
      </c>
      <c r="R1386" t="str">
        <f t="shared" si="905"/>
        <v>0,00</v>
      </c>
      <c r="S1386" t="str">
        <f t="shared" si="905"/>
        <v>0,00</v>
      </c>
      <c r="T1386" t="str">
        <f t="shared" si="896"/>
        <v xml:space="preserve"> </v>
      </c>
      <c r="U1386" t="str">
        <f t="shared" si="899"/>
        <v>-</v>
      </c>
      <c r="V1386" t="str">
        <f>"10,000"</f>
        <v>10,000</v>
      </c>
      <c r="W1386" t="str">
        <f t="shared" si="878"/>
        <v>Lista 4</v>
      </c>
      <c r="X1386" t="str">
        <f t="shared" si="879"/>
        <v>Lista 5</v>
      </c>
      <c r="Y1386" t="str">
        <f t="shared" si="880"/>
        <v>Oferta Gral.</v>
      </c>
      <c r="Z1386" t="str">
        <f t="shared" si="881"/>
        <v>Rubro</v>
      </c>
      <c r="AA1386" t="str">
        <f t="shared" si="882"/>
        <v>Cantidad por Bulto</v>
      </c>
      <c r="AB1386" t="str">
        <f t="shared" si="883"/>
        <v>INNER</v>
      </c>
      <c r="AC1386" t="str">
        <f t="shared" si="884"/>
        <v>Stock en Bultos</v>
      </c>
      <c r="AD1386" t="str">
        <f t="shared" si="885"/>
        <v>SubDepósito</v>
      </c>
      <c r="AE1386" t="str">
        <f t="shared" si="886"/>
        <v>Marca</v>
      </c>
      <c r="AF1386" t="str">
        <f t="shared" si="887"/>
        <v>Super Rubro</v>
      </c>
      <c r="AG1386" t="str">
        <f t="shared" si="888"/>
        <v>ComercioExterior</v>
      </c>
      <c r="AH1386" t="str">
        <f t="shared" si="889"/>
        <v>PrecioFOB</v>
      </c>
      <c r="AI1386" t="str">
        <f t="shared" si="890"/>
        <v>Monto II</v>
      </c>
      <c r="AJ1386" t="str">
        <f t="shared" si="891"/>
        <v>Porcentaje II</v>
      </c>
      <c r="AK1386" t="str">
        <f t="shared" si="892"/>
        <v>Foto</v>
      </c>
      <c r="AL1386" t="str">
        <f t="shared" si="901"/>
        <v xml:space="preserve"> </v>
      </c>
      <c r="AM1386" t="str">
        <f t="shared" si="894"/>
        <v xml:space="preserve"> </v>
      </c>
    </row>
    <row r="1387" spans="1:39" x14ac:dyDescent="0.25">
      <c r="A1387" t="str">
        <f>"BI415"</f>
        <v>BI415</v>
      </c>
      <c r="B1387" t="str">
        <f>"COJINETES BIELA STD PEUGEOT 504 505 DIESEL XD2 XD3"</f>
        <v>COJINETES BIELA STD PEUGEOT 504 505 DIESEL XD2 XD3</v>
      </c>
      <c r="C1387" t="str">
        <f>"$ 18376,94"</f>
        <v>$ 18376,94</v>
      </c>
      <c r="D1387" t="str">
        <f>"$ 18376,94"</f>
        <v>$ 18376,94</v>
      </c>
      <c r="E1387" t="str">
        <f>"$ 18376,94"</f>
        <v>$ 18376,94</v>
      </c>
      <c r="F1387" t="str">
        <f>"$ 18376,94"</f>
        <v>$ 18376,94</v>
      </c>
      <c r="G1387" t="str">
        <f>"$ 18376,94"</f>
        <v>$ 18376,94</v>
      </c>
      <c r="H1387" t="str">
        <f t="shared" si="875"/>
        <v>$ 0,00</v>
      </c>
      <c r="I1387" t="str">
        <f t="shared" si="869"/>
        <v>JUEGO COJINETES BIELA</v>
      </c>
      <c r="J1387" t="str">
        <f t="shared" si="876"/>
        <v>1</v>
      </c>
      <c r="K1387" t="str">
        <f t="shared" si="867"/>
        <v>0</v>
      </c>
      <c r="L1387" t="str">
        <f>"9,000"</f>
        <v>9,000</v>
      </c>
      <c r="M1387" t="str">
        <f t="shared" si="877"/>
        <v xml:space="preserve"> </v>
      </c>
      <c r="N1387" t="str">
        <f t="shared" si="902"/>
        <v>MPSI</v>
      </c>
      <c r="O1387" t="str">
        <f t="shared" si="903"/>
        <v>COJINETES</v>
      </c>
      <c r="P1387" t="str">
        <f t="shared" si="904"/>
        <v>0</v>
      </c>
      <c r="Q1387" t="str">
        <f t="shared" si="904"/>
        <v>0</v>
      </c>
      <c r="R1387" t="str">
        <f t="shared" si="905"/>
        <v>0,00</v>
      </c>
      <c r="S1387" t="str">
        <f t="shared" si="905"/>
        <v>0,00</v>
      </c>
      <c r="T1387" t="str">
        <f t="shared" si="896"/>
        <v xml:space="preserve"> </v>
      </c>
      <c r="U1387" t="str">
        <f t="shared" si="899"/>
        <v>-</v>
      </c>
      <c r="V1387" t="str">
        <f>"9,000"</f>
        <v>9,000</v>
      </c>
      <c r="W1387" t="str">
        <f t="shared" si="878"/>
        <v>Lista 4</v>
      </c>
      <c r="X1387" t="str">
        <f t="shared" si="879"/>
        <v>Lista 5</v>
      </c>
      <c r="Y1387" t="str">
        <f t="shared" si="880"/>
        <v>Oferta Gral.</v>
      </c>
      <c r="Z1387" t="str">
        <f t="shared" si="881"/>
        <v>Rubro</v>
      </c>
      <c r="AA1387" t="str">
        <f t="shared" si="882"/>
        <v>Cantidad por Bulto</v>
      </c>
      <c r="AB1387" t="str">
        <f t="shared" si="883"/>
        <v>INNER</v>
      </c>
      <c r="AC1387" t="str">
        <f t="shared" si="884"/>
        <v>Stock en Bultos</v>
      </c>
      <c r="AD1387" t="str">
        <f t="shared" si="885"/>
        <v>SubDepósito</v>
      </c>
      <c r="AE1387" t="str">
        <f t="shared" si="886"/>
        <v>Marca</v>
      </c>
      <c r="AF1387" t="str">
        <f t="shared" si="887"/>
        <v>Super Rubro</v>
      </c>
      <c r="AG1387" t="str">
        <f t="shared" si="888"/>
        <v>ComercioExterior</v>
      </c>
      <c r="AH1387" t="str">
        <f t="shared" si="889"/>
        <v>PrecioFOB</v>
      </c>
      <c r="AI1387" t="str">
        <f t="shared" si="890"/>
        <v>Monto II</v>
      </c>
      <c r="AJ1387" t="str">
        <f t="shared" si="891"/>
        <v>Porcentaje II</v>
      </c>
      <c r="AK1387" t="str">
        <f t="shared" si="892"/>
        <v>Foto</v>
      </c>
      <c r="AL1387" t="str">
        <f t="shared" si="901"/>
        <v xml:space="preserve"> </v>
      </c>
      <c r="AM1387" t="str">
        <f t="shared" si="894"/>
        <v xml:space="preserve"> </v>
      </c>
    </row>
    <row r="1388" spans="1:39" x14ac:dyDescent="0.25">
      <c r="A1388" t="str">
        <f>"BI733"</f>
        <v>BI733</v>
      </c>
      <c r="B1388" t="str">
        <f>"COJINETES BIELA STD PEUGEOT BOXER 2,5 DJ5"</f>
        <v>COJINETES BIELA STD PEUGEOT BOXER 2,5 DJ5</v>
      </c>
      <c r="C1388" t="str">
        <f>"$ 31001,92"</f>
        <v>$ 31001,92</v>
      </c>
      <c r="D1388" t="str">
        <f>"$ 31001,92"</f>
        <v>$ 31001,92</v>
      </c>
      <c r="E1388" t="str">
        <f>"$ 31001,92"</f>
        <v>$ 31001,92</v>
      </c>
      <c r="F1388" t="str">
        <f>"$ 31001,92"</f>
        <v>$ 31001,92</v>
      </c>
      <c r="G1388" t="str">
        <f>"$ 31001,92"</f>
        <v>$ 31001,92</v>
      </c>
      <c r="H1388" t="str">
        <f t="shared" si="875"/>
        <v>$ 0,00</v>
      </c>
      <c r="I1388" t="str">
        <f t="shared" si="869"/>
        <v>JUEGO COJINETES BIELA</v>
      </c>
      <c r="J1388" t="str">
        <f t="shared" si="876"/>
        <v>1</v>
      </c>
      <c r="K1388" t="str">
        <f t="shared" si="867"/>
        <v>0</v>
      </c>
      <c r="L1388" t="str">
        <f>"2,000"</f>
        <v>2,000</v>
      </c>
      <c r="M1388" t="str">
        <f t="shared" si="877"/>
        <v xml:space="preserve"> </v>
      </c>
      <c r="N1388" t="str">
        <f t="shared" si="902"/>
        <v>MPSI</v>
      </c>
      <c r="O1388" t="str">
        <f t="shared" si="903"/>
        <v>COJINETES</v>
      </c>
      <c r="P1388" t="str">
        <f t="shared" si="904"/>
        <v>0</v>
      </c>
      <c r="Q1388" t="str">
        <f t="shared" si="904"/>
        <v>0</v>
      </c>
      <c r="R1388" t="str">
        <f t="shared" si="905"/>
        <v>0,00</v>
      </c>
      <c r="S1388" t="str">
        <f t="shared" si="905"/>
        <v>0,00</v>
      </c>
      <c r="T1388" t="str">
        <f t="shared" si="896"/>
        <v xml:space="preserve"> </v>
      </c>
      <c r="U1388" t="str">
        <f t="shared" si="899"/>
        <v>-</v>
      </c>
      <c r="V1388" t="str">
        <f>"2,000"</f>
        <v>2,000</v>
      </c>
      <c r="W1388" t="str">
        <f t="shared" si="878"/>
        <v>Lista 4</v>
      </c>
      <c r="X1388" t="str">
        <f t="shared" si="879"/>
        <v>Lista 5</v>
      </c>
      <c r="Y1388" t="str">
        <f t="shared" si="880"/>
        <v>Oferta Gral.</v>
      </c>
      <c r="Z1388" t="str">
        <f t="shared" si="881"/>
        <v>Rubro</v>
      </c>
      <c r="AA1388" t="str">
        <f t="shared" si="882"/>
        <v>Cantidad por Bulto</v>
      </c>
      <c r="AB1388" t="str">
        <f t="shared" si="883"/>
        <v>INNER</v>
      </c>
      <c r="AC1388" t="str">
        <f t="shared" si="884"/>
        <v>Stock en Bultos</v>
      </c>
      <c r="AD1388" t="str">
        <f t="shared" si="885"/>
        <v>SubDepósito</v>
      </c>
      <c r="AE1388" t="str">
        <f t="shared" si="886"/>
        <v>Marca</v>
      </c>
      <c r="AF1388" t="str">
        <f t="shared" si="887"/>
        <v>Super Rubro</v>
      </c>
      <c r="AG1388" t="str">
        <f t="shared" si="888"/>
        <v>ComercioExterior</v>
      </c>
      <c r="AH1388" t="str">
        <f t="shared" si="889"/>
        <v>PrecioFOB</v>
      </c>
      <c r="AI1388" t="str">
        <f t="shared" si="890"/>
        <v>Monto II</v>
      </c>
      <c r="AJ1388" t="str">
        <f t="shared" si="891"/>
        <v>Porcentaje II</v>
      </c>
      <c r="AK1388" t="str">
        <f t="shared" si="892"/>
        <v>Foto</v>
      </c>
      <c r="AL1388" t="str">
        <f t="shared" si="901"/>
        <v xml:space="preserve"> </v>
      </c>
      <c r="AM1388" t="str">
        <f t="shared" si="894"/>
        <v xml:space="preserve"> </v>
      </c>
    </row>
    <row r="1389" spans="1:39" x14ac:dyDescent="0.25">
      <c r="A1389" t="str">
        <f>"BI364035"</f>
        <v>BI364035</v>
      </c>
      <c r="B1389" t="str">
        <f>"COJINETES BIELA STD PEUGEOT CITROEN 1.6 16V TURBO THP"</f>
        <v>COJINETES BIELA STD PEUGEOT CITROEN 1.6 16V TURBO THP</v>
      </c>
      <c r="C1389" t="str">
        <f>"$ 13512,64"</f>
        <v>$ 13512,64</v>
      </c>
      <c r="D1389" t="str">
        <f>"$ 13512,64"</f>
        <v>$ 13512,64</v>
      </c>
      <c r="E1389" t="str">
        <f>"$ 13512,64"</f>
        <v>$ 13512,64</v>
      </c>
      <c r="F1389" t="str">
        <f>"$ 13512,64"</f>
        <v>$ 13512,64</v>
      </c>
      <c r="G1389" t="str">
        <f>"$ 13512,64"</f>
        <v>$ 13512,64</v>
      </c>
      <c r="H1389" t="str">
        <f t="shared" si="875"/>
        <v>$ 0,00</v>
      </c>
      <c r="I1389" t="str">
        <f t="shared" si="869"/>
        <v>JUEGO COJINETES BIELA</v>
      </c>
      <c r="J1389" t="str">
        <f t="shared" si="876"/>
        <v>1</v>
      </c>
      <c r="K1389" t="str">
        <f t="shared" si="867"/>
        <v>0</v>
      </c>
      <c r="L1389" t="str">
        <f>"7,000"</f>
        <v>7,000</v>
      </c>
      <c r="M1389" t="str">
        <f t="shared" si="877"/>
        <v xml:space="preserve"> </v>
      </c>
      <c r="N1389" t="str">
        <f t="shared" si="902"/>
        <v>MPSI</v>
      </c>
      <c r="O1389" t="str">
        <f t="shared" si="903"/>
        <v>COJINETES</v>
      </c>
      <c r="P1389" t="str">
        <f t="shared" si="904"/>
        <v>0</v>
      </c>
      <c r="Q1389" t="str">
        <f t="shared" si="904"/>
        <v>0</v>
      </c>
      <c r="R1389" t="str">
        <f t="shared" si="905"/>
        <v>0,00</v>
      </c>
      <c r="S1389" t="str">
        <f t="shared" si="905"/>
        <v>0,00</v>
      </c>
      <c r="T1389" t="str">
        <f t="shared" si="896"/>
        <v xml:space="preserve"> </v>
      </c>
      <c r="U1389" t="str">
        <f t="shared" si="899"/>
        <v>-</v>
      </c>
      <c r="V1389" t="str">
        <f>"7,000"</f>
        <v>7,000</v>
      </c>
      <c r="W1389" t="str">
        <f t="shared" si="878"/>
        <v>Lista 4</v>
      </c>
      <c r="X1389" t="str">
        <f t="shared" si="879"/>
        <v>Lista 5</v>
      </c>
      <c r="Y1389" t="str">
        <f t="shared" si="880"/>
        <v>Oferta Gral.</v>
      </c>
      <c r="Z1389" t="str">
        <f t="shared" si="881"/>
        <v>Rubro</v>
      </c>
      <c r="AA1389" t="str">
        <f t="shared" si="882"/>
        <v>Cantidad por Bulto</v>
      </c>
      <c r="AB1389" t="str">
        <f t="shared" si="883"/>
        <v>INNER</v>
      </c>
      <c r="AC1389" t="str">
        <f t="shared" si="884"/>
        <v>Stock en Bultos</v>
      </c>
      <c r="AD1389" t="str">
        <f t="shared" si="885"/>
        <v>SubDepósito</v>
      </c>
      <c r="AE1389" t="str">
        <f t="shared" si="886"/>
        <v>Marca</v>
      </c>
      <c r="AF1389" t="str">
        <f t="shared" si="887"/>
        <v>Super Rubro</v>
      </c>
      <c r="AG1389" t="str">
        <f t="shared" si="888"/>
        <v>ComercioExterior</v>
      </c>
      <c r="AH1389" t="str">
        <f t="shared" si="889"/>
        <v>PrecioFOB</v>
      </c>
      <c r="AI1389" t="str">
        <f t="shared" si="890"/>
        <v>Monto II</v>
      </c>
      <c r="AJ1389" t="str">
        <f t="shared" si="891"/>
        <v>Porcentaje II</v>
      </c>
      <c r="AK1389" t="str">
        <f t="shared" si="892"/>
        <v>Foto</v>
      </c>
      <c r="AL1389" t="str">
        <f t="shared" si="901"/>
        <v xml:space="preserve"> </v>
      </c>
      <c r="AM1389" t="str">
        <f t="shared" si="894"/>
        <v xml:space="preserve"> </v>
      </c>
    </row>
    <row r="1390" spans="1:39" x14ac:dyDescent="0.25">
      <c r="A1390" t="str">
        <f>"BI165"</f>
        <v>BI165</v>
      </c>
      <c r="B1390" t="str">
        <f>"COJINETES BIELA STD PUNTO STRADA DOBLO 1.3 JTD 16V "</f>
        <v xml:space="preserve">COJINETES BIELA STD PUNTO STRADA DOBLO 1.3 JTD 16V </v>
      </c>
      <c r="C1390" t="str">
        <f>"$ 41359,34"</f>
        <v>$ 41359,34</v>
      </c>
      <c r="D1390" t="str">
        <f>"$ 41359,34"</f>
        <v>$ 41359,34</v>
      </c>
      <c r="E1390" t="str">
        <f>"$ 41359,34"</f>
        <v>$ 41359,34</v>
      </c>
      <c r="F1390" t="str">
        <f>"$ 41359,34"</f>
        <v>$ 41359,34</v>
      </c>
      <c r="G1390" t="str">
        <f>"$ 41359,34"</f>
        <v>$ 41359,34</v>
      </c>
      <c r="H1390" t="str">
        <f t="shared" si="875"/>
        <v>$ 0,00</v>
      </c>
      <c r="I1390" t="str">
        <f t="shared" si="869"/>
        <v>JUEGO COJINETES BIELA</v>
      </c>
      <c r="J1390" t="str">
        <f t="shared" si="876"/>
        <v>1</v>
      </c>
      <c r="K1390" t="str">
        <f t="shared" si="867"/>
        <v>0</v>
      </c>
      <c r="L1390" t="str">
        <f>"2,000"</f>
        <v>2,000</v>
      </c>
      <c r="M1390" t="str">
        <f t="shared" si="877"/>
        <v xml:space="preserve"> </v>
      </c>
      <c r="N1390" t="str">
        <f t="shared" si="902"/>
        <v>MPSI</v>
      </c>
      <c r="O1390" t="str">
        <f t="shared" si="903"/>
        <v>COJINETES</v>
      </c>
      <c r="P1390" t="str">
        <f t="shared" si="904"/>
        <v>0</v>
      </c>
      <c r="Q1390" t="str">
        <f t="shared" si="904"/>
        <v>0</v>
      </c>
      <c r="R1390" t="str">
        <f t="shared" si="905"/>
        <v>0,00</v>
      </c>
      <c r="S1390" t="str">
        <f t="shared" si="905"/>
        <v>0,00</v>
      </c>
      <c r="T1390" t="str">
        <f t="shared" si="896"/>
        <v xml:space="preserve"> </v>
      </c>
      <c r="U1390" t="str">
        <f>" "</f>
        <v xml:space="preserve"> </v>
      </c>
      <c r="V1390" t="str">
        <f>"2,000"</f>
        <v>2,000</v>
      </c>
      <c r="W1390" t="str">
        <f t="shared" si="878"/>
        <v>Lista 4</v>
      </c>
      <c r="X1390" t="str">
        <f t="shared" si="879"/>
        <v>Lista 5</v>
      </c>
      <c r="Y1390" t="str">
        <f t="shared" si="880"/>
        <v>Oferta Gral.</v>
      </c>
      <c r="Z1390" t="str">
        <f t="shared" si="881"/>
        <v>Rubro</v>
      </c>
      <c r="AA1390" t="str">
        <f t="shared" si="882"/>
        <v>Cantidad por Bulto</v>
      </c>
      <c r="AB1390" t="str">
        <f t="shared" si="883"/>
        <v>INNER</v>
      </c>
      <c r="AC1390" t="str">
        <f t="shared" si="884"/>
        <v>Stock en Bultos</v>
      </c>
      <c r="AD1390" t="str">
        <f t="shared" si="885"/>
        <v>SubDepósito</v>
      </c>
      <c r="AE1390" t="str">
        <f t="shared" si="886"/>
        <v>Marca</v>
      </c>
      <c r="AF1390" t="str">
        <f t="shared" si="887"/>
        <v>Super Rubro</v>
      </c>
      <c r="AG1390" t="str">
        <f t="shared" si="888"/>
        <v>ComercioExterior</v>
      </c>
      <c r="AH1390" t="str">
        <f t="shared" si="889"/>
        <v>PrecioFOB</v>
      </c>
      <c r="AI1390" t="str">
        <f t="shared" si="890"/>
        <v>Monto II</v>
      </c>
      <c r="AJ1390" t="str">
        <f t="shared" si="891"/>
        <v>Porcentaje II</v>
      </c>
      <c r="AK1390" t="str">
        <f t="shared" si="892"/>
        <v>Foto</v>
      </c>
      <c r="AL1390" t="str">
        <f>"{\rtf1\ansi\ansicpg1252\deff0\deflang11274{\fonttbl{\f0\fnil\fcharset0 MS Sans Serif}} \viewkind4\uc1\pard\f0\fs16 COJINETES BIELA STD PUNTO STRADA DOBLO 1.3 JTD 16V \par } "</f>
        <v xml:space="preserve">{\rtf1\ansi\ansicpg1252\deff0\deflang11274{\fonttbl{\f0\fnil\fcharset0 MS Sans Serif}} \viewkind4\uc1\pard\f0\fs16 COJINETES BIELA STD PUNTO STRADA DOBLO 1.3 JTD 16V \par } </v>
      </c>
      <c r="AM1390" t="str">
        <f>"-"</f>
        <v>-</v>
      </c>
    </row>
    <row r="1391" spans="1:39" x14ac:dyDescent="0.25">
      <c r="A1391" t="str">
        <f>"BI241"</f>
        <v>BI241</v>
      </c>
      <c r="B1391" t="str">
        <f>"COJINETES BIELA STD RENAULT 18 FUEGO TRAFIC 2.0"</f>
        <v>COJINETES BIELA STD RENAULT 18 FUEGO TRAFIC 2.0</v>
      </c>
      <c r="C1391" t="str">
        <f>"$ 16519,85"</f>
        <v>$ 16519,85</v>
      </c>
      <c r="D1391" t="str">
        <f>"$ 16519,85"</f>
        <v>$ 16519,85</v>
      </c>
      <c r="E1391" t="str">
        <f>"$ 16519,85"</f>
        <v>$ 16519,85</v>
      </c>
      <c r="F1391" t="str">
        <f>"$ 16519,85"</f>
        <v>$ 16519,85</v>
      </c>
      <c r="G1391" t="str">
        <f>"$ 16519,85"</f>
        <v>$ 16519,85</v>
      </c>
      <c r="H1391" t="str">
        <f t="shared" si="875"/>
        <v>$ 0,00</v>
      </c>
      <c r="I1391" t="str">
        <f t="shared" si="869"/>
        <v>JUEGO COJINETES BIELA</v>
      </c>
      <c r="J1391" t="str">
        <f t="shared" si="876"/>
        <v>1</v>
      </c>
      <c r="K1391" t="str">
        <f t="shared" si="867"/>
        <v>0</v>
      </c>
      <c r="L1391" t="str">
        <f>"12,000"</f>
        <v>12,000</v>
      </c>
      <c r="M1391" t="str">
        <f t="shared" si="877"/>
        <v xml:space="preserve"> </v>
      </c>
      <c r="N1391" t="str">
        <f t="shared" si="902"/>
        <v>MPSI</v>
      </c>
      <c r="O1391" t="str">
        <f t="shared" si="903"/>
        <v>COJINETES</v>
      </c>
      <c r="P1391" t="str">
        <f t="shared" si="904"/>
        <v>0</v>
      </c>
      <c r="Q1391" t="str">
        <f t="shared" si="904"/>
        <v>0</v>
      </c>
      <c r="R1391" t="str">
        <f t="shared" si="905"/>
        <v>0,00</v>
      </c>
      <c r="S1391" t="str">
        <f t="shared" si="905"/>
        <v>0,00</v>
      </c>
      <c r="T1391" t="str">
        <f t="shared" si="896"/>
        <v xml:space="preserve"> </v>
      </c>
      <c r="U1391" t="str">
        <f t="shared" ref="U1391:U1419" si="906">"-"</f>
        <v>-</v>
      </c>
      <c r="V1391" t="str">
        <f>"12,000"</f>
        <v>12,000</v>
      </c>
      <c r="W1391" t="str">
        <f t="shared" si="878"/>
        <v>Lista 4</v>
      </c>
      <c r="X1391" t="str">
        <f t="shared" si="879"/>
        <v>Lista 5</v>
      </c>
      <c r="Y1391" t="str">
        <f t="shared" si="880"/>
        <v>Oferta Gral.</v>
      </c>
      <c r="Z1391" t="str">
        <f t="shared" si="881"/>
        <v>Rubro</v>
      </c>
      <c r="AA1391" t="str">
        <f t="shared" si="882"/>
        <v>Cantidad por Bulto</v>
      </c>
      <c r="AB1391" t="str">
        <f t="shared" si="883"/>
        <v>INNER</v>
      </c>
      <c r="AC1391" t="str">
        <f t="shared" si="884"/>
        <v>Stock en Bultos</v>
      </c>
      <c r="AD1391" t="str">
        <f t="shared" si="885"/>
        <v>SubDepósito</v>
      </c>
      <c r="AE1391" t="str">
        <f t="shared" si="886"/>
        <v>Marca</v>
      </c>
      <c r="AF1391" t="str">
        <f t="shared" si="887"/>
        <v>Super Rubro</v>
      </c>
      <c r="AG1391" t="str">
        <f t="shared" si="888"/>
        <v>ComercioExterior</v>
      </c>
      <c r="AH1391" t="str">
        <f t="shared" si="889"/>
        <v>PrecioFOB</v>
      </c>
      <c r="AI1391" t="str">
        <f t="shared" si="890"/>
        <v>Monto II</v>
      </c>
      <c r="AJ1391" t="str">
        <f t="shared" si="891"/>
        <v>Porcentaje II</v>
      </c>
      <c r="AK1391" t="str">
        <f t="shared" si="892"/>
        <v>Foto</v>
      </c>
      <c r="AL1391" t="str">
        <f t="shared" ref="AL1391:AM1394" si="907">" "</f>
        <v xml:space="preserve"> </v>
      </c>
      <c r="AM1391" t="str">
        <f t="shared" si="907"/>
        <v xml:space="preserve"> </v>
      </c>
    </row>
    <row r="1392" spans="1:39" x14ac:dyDescent="0.25">
      <c r="A1392" t="str">
        <f>"BI244"</f>
        <v>BI244</v>
      </c>
      <c r="B1392" t="str">
        <f>"COJINETES BIELA STD RENAULT 18 FUEGO TRAFIC 2.D NAFTA Y DIESEL"</f>
        <v>COJINETES BIELA STD RENAULT 18 FUEGO TRAFIC 2.D NAFTA Y DIESEL</v>
      </c>
      <c r="C1392" t="str">
        <f>"$ 18043,24"</f>
        <v>$ 18043,24</v>
      </c>
      <c r="D1392" t="str">
        <f>"$ 18043,24"</f>
        <v>$ 18043,24</v>
      </c>
      <c r="E1392" t="str">
        <f>"$ 18043,24"</f>
        <v>$ 18043,24</v>
      </c>
      <c r="F1392" t="str">
        <f>"$ 18043,24"</f>
        <v>$ 18043,24</v>
      </c>
      <c r="G1392" t="str">
        <f>"$ 18043,24"</f>
        <v>$ 18043,24</v>
      </c>
      <c r="H1392" t="str">
        <f t="shared" si="875"/>
        <v>$ 0,00</v>
      </c>
      <c r="I1392" t="str">
        <f t="shared" si="869"/>
        <v>JUEGO COJINETES BIELA</v>
      </c>
      <c r="J1392" t="str">
        <f t="shared" si="876"/>
        <v>1</v>
      </c>
      <c r="K1392" t="str">
        <f t="shared" si="867"/>
        <v>0</v>
      </c>
      <c r="L1392" t="str">
        <f>"13,000"</f>
        <v>13,000</v>
      </c>
      <c r="M1392" t="str">
        <f t="shared" si="877"/>
        <v xml:space="preserve"> </v>
      </c>
      <c r="N1392" t="str">
        <f t="shared" si="902"/>
        <v>MPSI</v>
      </c>
      <c r="O1392" t="str">
        <f t="shared" si="903"/>
        <v>COJINETES</v>
      </c>
      <c r="P1392" t="str">
        <f t="shared" si="904"/>
        <v>0</v>
      </c>
      <c r="Q1392" t="str">
        <f t="shared" si="904"/>
        <v>0</v>
      </c>
      <c r="R1392" t="str">
        <f t="shared" si="905"/>
        <v>0,00</v>
      </c>
      <c r="S1392" t="str">
        <f t="shared" si="905"/>
        <v>0,00</v>
      </c>
      <c r="T1392" t="str">
        <f t="shared" si="896"/>
        <v xml:space="preserve"> </v>
      </c>
      <c r="U1392" t="str">
        <f t="shared" si="906"/>
        <v>-</v>
      </c>
      <c r="V1392" t="str">
        <f>"13,000"</f>
        <v>13,000</v>
      </c>
      <c r="W1392" t="str">
        <f t="shared" si="878"/>
        <v>Lista 4</v>
      </c>
      <c r="X1392" t="str">
        <f t="shared" si="879"/>
        <v>Lista 5</v>
      </c>
      <c r="Y1392" t="str">
        <f t="shared" si="880"/>
        <v>Oferta Gral.</v>
      </c>
      <c r="Z1392" t="str">
        <f t="shared" si="881"/>
        <v>Rubro</v>
      </c>
      <c r="AA1392" t="str">
        <f t="shared" si="882"/>
        <v>Cantidad por Bulto</v>
      </c>
      <c r="AB1392" t="str">
        <f t="shared" si="883"/>
        <v>INNER</v>
      </c>
      <c r="AC1392" t="str">
        <f t="shared" si="884"/>
        <v>Stock en Bultos</v>
      </c>
      <c r="AD1392" t="str">
        <f t="shared" si="885"/>
        <v>SubDepósito</v>
      </c>
      <c r="AE1392" t="str">
        <f t="shared" si="886"/>
        <v>Marca</v>
      </c>
      <c r="AF1392" t="str">
        <f t="shared" si="887"/>
        <v>Super Rubro</v>
      </c>
      <c r="AG1392" t="str">
        <f t="shared" si="888"/>
        <v>ComercioExterior</v>
      </c>
      <c r="AH1392" t="str">
        <f t="shared" si="889"/>
        <v>PrecioFOB</v>
      </c>
      <c r="AI1392" t="str">
        <f t="shared" si="890"/>
        <v>Monto II</v>
      </c>
      <c r="AJ1392" t="str">
        <f t="shared" si="891"/>
        <v>Porcentaje II</v>
      </c>
      <c r="AK1392" t="str">
        <f t="shared" si="892"/>
        <v>Foto</v>
      </c>
      <c r="AL1392" t="str">
        <f t="shared" si="907"/>
        <v xml:space="preserve"> </v>
      </c>
      <c r="AM1392" t="str">
        <f t="shared" si="907"/>
        <v xml:space="preserve"> </v>
      </c>
    </row>
    <row r="1393" spans="1:39" x14ac:dyDescent="0.25">
      <c r="A1393" t="str">
        <f>"BI247"</f>
        <v>BI247</v>
      </c>
      <c r="B1393" t="str">
        <f>"COJINETES BIELA STD RENAULT 19 CLIO 1.9 DIESEL F8Q  CON TRABA"</f>
        <v>COJINETES BIELA STD RENAULT 19 CLIO 1.9 DIESEL F8Q  CON TRABA</v>
      </c>
      <c r="C1393" t="str">
        <f>"$ 16064,81"</f>
        <v>$ 16064,81</v>
      </c>
      <c r="D1393" t="str">
        <f>"$ 16064,81"</f>
        <v>$ 16064,81</v>
      </c>
      <c r="E1393" t="str">
        <f>"$ 16064,81"</f>
        <v>$ 16064,81</v>
      </c>
      <c r="F1393" t="str">
        <f>"$ 16064,81"</f>
        <v>$ 16064,81</v>
      </c>
      <c r="G1393" t="str">
        <f>"$ 16064,81"</f>
        <v>$ 16064,81</v>
      </c>
      <c r="H1393" t="str">
        <f t="shared" si="875"/>
        <v>$ 0,00</v>
      </c>
      <c r="I1393" t="str">
        <f t="shared" si="869"/>
        <v>JUEGO COJINETES BIELA</v>
      </c>
      <c r="J1393" t="str">
        <f t="shared" si="876"/>
        <v>1</v>
      </c>
      <c r="K1393" t="str">
        <f t="shared" si="867"/>
        <v>0</v>
      </c>
      <c r="L1393" t="str">
        <f>"14,000"</f>
        <v>14,000</v>
      </c>
      <c r="M1393" t="str">
        <f t="shared" si="877"/>
        <v xml:space="preserve"> </v>
      </c>
      <c r="N1393" t="str">
        <f t="shared" si="902"/>
        <v>MPSI</v>
      </c>
      <c r="O1393" t="str">
        <f t="shared" si="903"/>
        <v>COJINETES</v>
      </c>
      <c r="P1393" t="str">
        <f t="shared" si="904"/>
        <v>0</v>
      </c>
      <c r="Q1393" t="str">
        <f t="shared" si="904"/>
        <v>0</v>
      </c>
      <c r="R1393" t="str">
        <f t="shared" si="905"/>
        <v>0,00</v>
      </c>
      <c r="S1393" t="str">
        <f t="shared" si="905"/>
        <v>0,00</v>
      </c>
      <c r="T1393" t="str">
        <f t="shared" si="896"/>
        <v xml:space="preserve"> </v>
      </c>
      <c r="U1393" t="str">
        <f t="shared" si="906"/>
        <v>-</v>
      </c>
      <c r="V1393" t="str">
        <f>"14,000"</f>
        <v>14,000</v>
      </c>
      <c r="W1393" t="str">
        <f t="shared" si="878"/>
        <v>Lista 4</v>
      </c>
      <c r="X1393" t="str">
        <f t="shared" si="879"/>
        <v>Lista 5</v>
      </c>
      <c r="Y1393" t="str">
        <f t="shared" si="880"/>
        <v>Oferta Gral.</v>
      </c>
      <c r="Z1393" t="str">
        <f t="shared" si="881"/>
        <v>Rubro</v>
      </c>
      <c r="AA1393" t="str">
        <f t="shared" si="882"/>
        <v>Cantidad por Bulto</v>
      </c>
      <c r="AB1393" t="str">
        <f t="shared" si="883"/>
        <v>INNER</v>
      </c>
      <c r="AC1393" t="str">
        <f t="shared" si="884"/>
        <v>Stock en Bultos</v>
      </c>
      <c r="AD1393" t="str">
        <f t="shared" si="885"/>
        <v>SubDepósito</v>
      </c>
      <c r="AE1393" t="str">
        <f t="shared" si="886"/>
        <v>Marca</v>
      </c>
      <c r="AF1393" t="str">
        <f t="shared" si="887"/>
        <v>Super Rubro</v>
      </c>
      <c r="AG1393" t="str">
        <f t="shared" si="888"/>
        <v>ComercioExterior</v>
      </c>
      <c r="AH1393" t="str">
        <f t="shared" si="889"/>
        <v>PrecioFOB</v>
      </c>
      <c r="AI1393" t="str">
        <f t="shared" si="890"/>
        <v>Monto II</v>
      </c>
      <c r="AJ1393" t="str">
        <f t="shared" si="891"/>
        <v>Porcentaje II</v>
      </c>
      <c r="AK1393" t="str">
        <f t="shared" si="892"/>
        <v>Foto</v>
      </c>
      <c r="AL1393" t="str">
        <f t="shared" si="907"/>
        <v xml:space="preserve"> </v>
      </c>
      <c r="AM1393" t="str">
        <f t="shared" si="907"/>
        <v xml:space="preserve"> </v>
      </c>
    </row>
    <row r="1394" spans="1:39" x14ac:dyDescent="0.25">
      <c r="A1394" t="str">
        <f>"BI243"</f>
        <v>BI243</v>
      </c>
      <c r="B1394" t="str">
        <f>"COJINETES BIELA STD RENAULT 19 KANGOO 1.9 DIESEL F8Q  SIN TRABA"</f>
        <v>COJINETES BIELA STD RENAULT 19 KANGOO 1.9 DIESEL F8Q  SIN TRABA</v>
      </c>
      <c r="C1394" t="str">
        <f>"$ 13005,98"</f>
        <v>$ 13005,98</v>
      </c>
      <c r="D1394" t="str">
        <f>"$ 13005,98"</f>
        <v>$ 13005,98</v>
      </c>
      <c r="E1394" t="str">
        <f>"$ 13005,98"</f>
        <v>$ 13005,98</v>
      </c>
      <c r="F1394" t="str">
        <f>"$ 13005,98"</f>
        <v>$ 13005,98</v>
      </c>
      <c r="G1394" t="str">
        <f>"$ 13005,98"</f>
        <v>$ 13005,98</v>
      </c>
      <c r="H1394" t="str">
        <f t="shared" si="875"/>
        <v>$ 0,00</v>
      </c>
      <c r="I1394" t="str">
        <f t="shared" si="869"/>
        <v>JUEGO COJINETES BIELA</v>
      </c>
      <c r="J1394" t="str">
        <f t="shared" si="876"/>
        <v>1</v>
      </c>
      <c r="K1394" t="str">
        <f t="shared" si="867"/>
        <v>0</v>
      </c>
      <c r="L1394" t="str">
        <f>"10,000"</f>
        <v>10,000</v>
      </c>
      <c r="M1394" t="str">
        <f t="shared" si="877"/>
        <v xml:space="preserve"> </v>
      </c>
      <c r="N1394" t="str">
        <f t="shared" si="902"/>
        <v>MPSI</v>
      </c>
      <c r="O1394" t="str">
        <f t="shared" si="903"/>
        <v>COJINETES</v>
      </c>
      <c r="P1394" t="str">
        <f t="shared" si="904"/>
        <v>0</v>
      </c>
      <c r="Q1394" t="str">
        <f t="shared" si="904"/>
        <v>0</v>
      </c>
      <c r="R1394" t="str">
        <f t="shared" si="905"/>
        <v>0,00</v>
      </c>
      <c r="S1394" t="str">
        <f t="shared" si="905"/>
        <v>0,00</v>
      </c>
      <c r="T1394" t="str">
        <f t="shared" si="896"/>
        <v xml:space="preserve"> </v>
      </c>
      <c r="U1394" t="str">
        <f t="shared" si="906"/>
        <v>-</v>
      </c>
      <c r="V1394" t="str">
        <f>"10,000"</f>
        <v>10,000</v>
      </c>
      <c r="W1394" t="str">
        <f t="shared" si="878"/>
        <v>Lista 4</v>
      </c>
      <c r="X1394" t="str">
        <f t="shared" si="879"/>
        <v>Lista 5</v>
      </c>
      <c r="Y1394" t="str">
        <f t="shared" si="880"/>
        <v>Oferta Gral.</v>
      </c>
      <c r="Z1394" t="str">
        <f t="shared" si="881"/>
        <v>Rubro</v>
      </c>
      <c r="AA1394" t="str">
        <f t="shared" si="882"/>
        <v>Cantidad por Bulto</v>
      </c>
      <c r="AB1394" t="str">
        <f t="shared" si="883"/>
        <v>INNER</v>
      </c>
      <c r="AC1394" t="str">
        <f t="shared" si="884"/>
        <v>Stock en Bultos</v>
      </c>
      <c r="AD1394" t="str">
        <f t="shared" si="885"/>
        <v>SubDepósito</v>
      </c>
      <c r="AE1394" t="str">
        <f t="shared" si="886"/>
        <v>Marca</v>
      </c>
      <c r="AF1394" t="str">
        <f t="shared" si="887"/>
        <v>Super Rubro</v>
      </c>
      <c r="AG1394" t="str">
        <f t="shared" si="888"/>
        <v>ComercioExterior</v>
      </c>
      <c r="AH1394" t="str">
        <f t="shared" si="889"/>
        <v>PrecioFOB</v>
      </c>
      <c r="AI1394" t="str">
        <f t="shared" si="890"/>
        <v>Monto II</v>
      </c>
      <c r="AJ1394" t="str">
        <f t="shared" si="891"/>
        <v>Porcentaje II</v>
      </c>
      <c r="AK1394" t="str">
        <f t="shared" si="892"/>
        <v>Foto</v>
      </c>
      <c r="AL1394" t="str">
        <f t="shared" si="907"/>
        <v xml:space="preserve"> </v>
      </c>
      <c r="AM1394" t="str">
        <f t="shared" si="907"/>
        <v xml:space="preserve"> </v>
      </c>
    </row>
    <row r="1395" spans="1:39" x14ac:dyDescent="0.25">
      <c r="A1395" t="str">
        <f>"BI237"</f>
        <v>BI237</v>
      </c>
      <c r="B1395" t="str">
        <f>"COJINETES BIELA STD RENAULT 4 6 9 11 18 19 CLIO 1.3 1.4 1.6 8V"</f>
        <v>COJINETES BIELA STD RENAULT 4 6 9 11 18 19 CLIO 1.3 1.4 1.6 8V</v>
      </c>
      <c r="C1395" t="str">
        <f>"$ 11882,21"</f>
        <v>$ 11882,21</v>
      </c>
      <c r="D1395" t="str">
        <f>"$ 11882,21"</f>
        <v>$ 11882,21</v>
      </c>
      <c r="E1395" t="str">
        <f>"$ 11882,21"</f>
        <v>$ 11882,21</v>
      </c>
      <c r="F1395" t="str">
        <f>"$ 11882,21"</f>
        <v>$ 11882,21</v>
      </c>
      <c r="G1395" t="str">
        <f>"$ 11882,21"</f>
        <v>$ 11882,21</v>
      </c>
      <c r="H1395" t="str">
        <f t="shared" si="875"/>
        <v>$ 0,00</v>
      </c>
      <c r="I1395" t="str">
        <f t="shared" si="869"/>
        <v>JUEGO COJINETES BIELA</v>
      </c>
      <c r="J1395" t="str">
        <f t="shared" si="876"/>
        <v>1</v>
      </c>
      <c r="K1395" t="str">
        <f t="shared" si="867"/>
        <v>0</v>
      </c>
      <c r="L1395" t="str">
        <f>"53,000"</f>
        <v>53,000</v>
      </c>
      <c r="M1395" t="str">
        <f t="shared" si="877"/>
        <v xml:space="preserve"> </v>
      </c>
      <c r="N1395" t="str">
        <f t="shared" si="902"/>
        <v>MPSI</v>
      </c>
      <c r="O1395" t="str">
        <f t="shared" si="903"/>
        <v>COJINETES</v>
      </c>
      <c r="P1395" t="str">
        <f t="shared" si="904"/>
        <v>0</v>
      </c>
      <c r="Q1395" t="str">
        <f t="shared" si="904"/>
        <v>0</v>
      </c>
      <c r="R1395" t="str">
        <f t="shared" si="905"/>
        <v>0,00</v>
      </c>
      <c r="S1395" t="str">
        <f t="shared" si="905"/>
        <v>0,00</v>
      </c>
      <c r="T1395" t="str">
        <f t="shared" si="896"/>
        <v xml:space="preserve"> </v>
      </c>
      <c r="U1395" t="str">
        <f t="shared" si="906"/>
        <v>-</v>
      </c>
      <c r="V1395" t="str">
        <f>"53,000"</f>
        <v>53,000</v>
      </c>
      <c r="W1395" t="str">
        <f t="shared" si="878"/>
        <v>Lista 4</v>
      </c>
      <c r="X1395" t="str">
        <f t="shared" si="879"/>
        <v>Lista 5</v>
      </c>
      <c r="Y1395" t="str">
        <f t="shared" si="880"/>
        <v>Oferta Gral.</v>
      </c>
      <c r="Z1395" t="str">
        <f t="shared" si="881"/>
        <v>Rubro</v>
      </c>
      <c r="AA1395" t="str">
        <f t="shared" si="882"/>
        <v>Cantidad por Bulto</v>
      </c>
      <c r="AB1395" t="str">
        <f t="shared" si="883"/>
        <v>INNER</v>
      </c>
      <c r="AC1395" t="str">
        <f t="shared" si="884"/>
        <v>Stock en Bultos</v>
      </c>
      <c r="AD1395" t="str">
        <f t="shared" si="885"/>
        <v>SubDepósito</v>
      </c>
      <c r="AE1395" t="str">
        <f t="shared" si="886"/>
        <v>Marca</v>
      </c>
      <c r="AF1395" t="str">
        <f t="shared" si="887"/>
        <v>Super Rubro</v>
      </c>
      <c r="AG1395" t="str">
        <f t="shared" si="888"/>
        <v>ComercioExterior</v>
      </c>
      <c r="AH1395" t="str">
        <f t="shared" si="889"/>
        <v>PrecioFOB</v>
      </c>
      <c r="AI1395" t="str">
        <f t="shared" si="890"/>
        <v>Monto II</v>
      </c>
      <c r="AJ1395" t="str">
        <f t="shared" si="891"/>
        <v>Porcentaje II</v>
      </c>
      <c r="AK1395" t="str">
        <f t="shared" si="892"/>
        <v>Foto</v>
      </c>
      <c r="AL1395" t="str">
        <f>"{\rtf1\ansi\ansicpg1252\deff0\deflang2058{\fonttbl{\f0\fnil\fcharset0 MS Sans Serif}} \viewkind4\uc1\pard\f0\fs16 COJINETES BIELA STD RENAULT 4 6 9 11 18 19 CLIO 1.3 1.4 1.6 8V\par } "</f>
        <v xml:space="preserve">{\rtf1\ansi\ansicpg1252\deff0\deflang2058{\fonttbl{\f0\fnil\fcharset0 MS Sans Serif}} \viewkind4\uc1\pard\f0\fs16 COJINETES BIELA STD RENAULT 4 6 9 11 18 19 CLIO 1.3 1.4 1.6 8V\par } </v>
      </c>
      <c r="AM1395" t="str">
        <f t="shared" ref="AM1395:AM1419" si="908">" "</f>
        <v xml:space="preserve"> </v>
      </c>
    </row>
    <row r="1396" spans="1:39" x14ac:dyDescent="0.25">
      <c r="A1396" t="str">
        <f>"BI384101"</f>
        <v>BI384101</v>
      </c>
      <c r="B1396" t="str">
        <f>"COJINETES BIELA STD RENAULT CAPTUR NISSAN VERSA 1.6 H4M CADENERO"</f>
        <v>COJINETES BIELA STD RENAULT CAPTUR NISSAN VERSA 1.6 H4M CADENERO</v>
      </c>
      <c r="C1396" t="str">
        <f>"$ 10960,47"</f>
        <v>$ 10960,47</v>
      </c>
      <c r="D1396" t="str">
        <f>"$ 10960,47"</f>
        <v>$ 10960,47</v>
      </c>
      <c r="E1396" t="str">
        <f>"$ 10960,47"</f>
        <v>$ 10960,47</v>
      </c>
      <c r="F1396" t="str">
        <f>"$ 10960,47"</f>
        <v>$ 10960,47</v>
      </c>
      <c r="G1396" t="str">
        <f>"$ 10960,47"</f>
        <v>$ 10960,47</v>
      </c>
      <c r="H1396" t="str">
        <f t="shared" si="875"/>
        <v>$ 0,00</v>
      </c>
      <c r="I1396" t="str">
        <f t="shared" si="869"/>
        <v>JUEGO COJINETES BIELA</v>
      </c>
      <c r="J1396" t="str">
        <f t="shared" si="876"/>
        <v>1</v>
      </c>
      <c r="K1396" t="str">
        <f t="shared" ref="K1396:K1459" si="909">"0"</f>
        <v>0</v>
      </c>
      <c r="L1396" t="str">
        <f>"11,000"</f>
        <v>11,000</v>
      </c>
      <c r="M1396" t="str">
        <f t="shared" si="877"/>
        <v xml:space="preserve"> </v>
      </c>
      <c r="N1396" t="str">
        <f t="shared" si="902"/>
        <v>MPSI</v>
      </c>
      <c r="O1396" t="str">
        <f t="shared" si="903"/>
        <v>COJINETES</v>
      </c>
      <c r="P1396" t="str">
        <f t="shared" si="904"/>
        <v>0</v>
      </c>
      <c r="Q1396" t="str">
        <f t="shared" si="904"/>
        <v>0</v>
      </c>
      <c r="R1396" t="str">
        <f t="shared" si="905"/>
        <v>0,00</v>
      </c>
      <c r="S1396" t="str">
        <f t="shared" si="905"/>
        <v>0,00</v>
      </c>
      <c r="T1396" t="str">
        <f t="shared" si="896"/>
        <v xml:space="preserve"> </v>
      </c>
      <c r="U1396" t="str">
        <f t="shared" si="906"/>
        <v>-</v>
      </c>
      <c r="V1396" t="str">
        <f>"11,000"</f>
        <v>11,000</v>
      </c>
      <c r="W1396" t="str">
        <f t="shared" si="878"/>
        <v>Lista 4</v>
      </c>
      <c r="X1396" t="str">
        <f t="shared" si="879"/>
        <v>Lista 5</v>
      </c>
      <c r="Y1396" t="str">
        <f t="shared" si="880"/>
        <v>Oferta Gral.</v>
      </c>
      <c r="Z1396" t="str">
        <f t="shared" si="881"/>
        <v>Rubro</v>
      </c>
      <c r="AA1396" t="str">
        <f t="shared" si="882"/>
        <v>Cantidad por Bulto</v>
      </c>
      <c r="AB1396" t="str">
        <f t="shared" si="883"/>
        <v>INNER</v>
      </c>
      <c r="AC1396" t="str">
        <f t="shared" si="884"/>
        <v>Stock en Bultos</v>
      </c>
      <c r="AD1396" t="str">
        <f t="shared" si="885"/>
        <v>SubDepósito</v>
      </c>
      <c r="AE1396" t="str">
        <f t="shared" si="886"/>
        <v>Marca</v>
      </c>
      <c r="AF1396" t="str">
        <f t="shared" si="887"/>
        <v>Super Rubro</v>
      </c>
      <c r="AG1396" t="str">
        <f t="shared" si="888"/>
        <v>ComercioExterior</v>
      </c>
      <c r="AH1396" t="str">
        <f t="shared" si="889"/>
        <v>PrecioFOB</v>
      </c>
      <c r="AI1396" t="str">
        <f t="shared" si="890"/>
        <v>Monto II</v>
      </c>
      <c r="AJ1396" t="str">
        <f t="shared" si="891"/>
        <v>Porcentaje II</v>
      </c>
      <c r="AK1396" t="str">
        <f t="shared" si="892"/>
        <v>Foto</v>
      </c>
      <c r="AL1396" t="str">
        <f t="shared" ref="AL1396:AL1404" si="910">" "</f>
        <v xml:space="preserve"> </v>
      </c>
      <c r="AM1396" t="str">
        <f t="shared" si="908"/>
        <v xml:space="preserve"> </v>
      </c>
    </row>
    <row r="1397" spans="1:39" x14ac:dyDescent="0.25">
      <c r="A1397" t="str">
        <f>"BI871"</f>
        <v>BI871</v>
      </c>
      <c r="B1397" t="str">
        <f>"COJINETES BIELA STD RENAULT CLIO TWINGO 1.2  D7F SIN TRABA"</f>
        <v>COJINETES BIELA STD RENAULT CLIO TWINGO 1.2  D7F SIN TRABA</v>
      </c>
      <c r="C1397" t="str">
        <f>"$ 10708,86"</f>
        <v>$ 10708,86</v>
      </c>
      <c r="D1397" t="str">
        <f>"$ 10708,86"</f>
        <v>$ 10708,86</v>
      </c>
      <c r="E1397" t="str">
        <f>"$ 10708,86"</f>
        <v>$ 10708,86</v>
      </c>
      <c r="F1397" t="str">
        <f>"$ 10708,86"</f>
        <v>$ 10708,86</v>
      </c>
      <c r="G1397" t="str">
        <f>"$ 10708,86"</f>
        <v>$ 10708,86</v>
      </c>
      <c r="H1397" t="str">
        <f t="shared" si="875"/>
        <v>$ 0,00</v>
      </c>
      <c r="I1397" t="str">
        <f t="shared" si="869"/>
        <v>JUEGO COJINETES BIELA</v>
      </c>
      <c r="J1397" t="str">
        <f t="shared" si="876"/>
        <v>1</v>
      </c>
      <c r="K1397" t="str">
        <f t="shared" si="909"/>
        <v>0</v>
      </c>
      <c r="L1397" t="str">
        <f>"16,000"</f>
        <v>16,000</v>
      </c>
      <c r="M1397" t="str">
        <f t="shared" si="877"/>
        <v xml:space="preserve"> </v>
      </c>
      <c r="N1397" t="str">
        <f t="shared" si="902"/>
        <v>MPSI</v>
      </c>
      <c r="O1397" t="str">
        <f t="shared" si="903"/>
        <v>COJINETES</v>
      </c>
      <c r="P1397" t="str">
        <f t="shared" si="904"/>
        <v>0</v>
      </c>
      <c r="Q1397" t="str">
        <f t="shared" si="904"/>
        <v>0</v>
      </c>
      <c r="R1397" t="str">
        <f t="shared" si="905"/>
        <v>0,00</v>
      </c>
      <c r="S1397" t="str">
        <f t="shared" si="905"/>
        <v>0,00</v>
      </c>
      <c r="T1397" t="str">
        <f t="shared" si="896"/>
        <v xml:space="preserve"> </v>
      </c>
      <c r="U1397" t="str">
        <f t="shared" si="906"/>
        <v>-</v>
      </c>
      <c r="V1397" t="str">
        <f>"16,000"</f>
        <v>16,000</v>
      </c>
      <c r="W1397" t="str">
        <f t="shared" si="878"/>
        <v>Lista 4</v>
      </c>
      <c r="X1397" t="str">
        <f t="shared" si="879"/>
        <v>Lista 5</v>
      </c>
      <c r="Y1397" t="str">
        <f t="shared" si="880"/>
        <v>Oferta Gral.</v>
      </c>
      <c r="Z1397" t="str">
        <f t="shared" si="881"/>
        <v>Rubro</v>
      </c>
      <c r="AA1397" t="str">
        <f t="shared" si="882"/>
        <v>Cantidad por Bulto</v>
      </c>
      <c r="AB1397" t="str">
        <f t="shared" si="883"/>
        <v>INNER</v>
      </c>
      <c r="AC1397" t="str">
        <f t="shared" si="884"/>
        <v>Stock en Bultos</v>
      </c>
      <c r="AD1397" t="str">
        <f t="shared" si="885"/>
        <v>SubDepósito</v>
      </c>
      <c r="AE1397" t="str">
        <f t="shared" si="886"/>
        <v>Marca</v>
      </c>
      <c r="AF1397" t="str">
        <f t="shared" si="887"/>
        <v>Super Rubro</v>
      </c>
      <c r="AG1397" t="str">
        <f t="shared" si="888"/>
        <v>ComercioExterior</v>
      </c>
      <c r="AH1397" t="str">
        <f t="shared" si="889"/>
        <v>PrecioFOB</v>
      </c>
      <c r="AI1397" t="str">
        <f t="shared" si="890"/>
        <v>Monto II</v>
      </c>
      <c r="AJ1397" t="str">
        <f t="shared" si="891"/>
        <v>Porcentaje II</v>
      </c>
      <c r="AK1397" t="str">
        <f t="shared" si="892"/>
        <v>Foto</v>
      </c>
      <c r="AL1397" t="str">
        <f t="shared" si="910"/>
        <v xml:space="preserve"> </v>
      </c>
      <c r="AM1397" t="str">
        <f t="shared" si="908"/>
        <v xml:space="preserve"> </v>
      </c>
    </row>
    <row r="1398" spans="1:39" x14ac:dyDescent="0.25">
      <c r="A1398" t="str">
        <f>"BI384613"</f>
        <v>BI384613</v>
      </c>
      <c r="B1398" t="str">
        <f>"COJINETES BIELA STD RENAULT CLIO TWINGO 1.2 D7F CON TRABA"</f>
        <v>COJINETES BIELA STD RENAULT CLIO TWINGO 1.2 D7F CON TRABA</v>
      </c>
      <c r="C1398" t="str">
        <f>"$ 13255,45"</f>
        <v>$ 13255,45</v>
      </c>
      <c r="D1398" t="str">
        <f>"$ 13255,45"</f>
        <v>$ 13255,45</v>
      </c>
      <c r="E1398" t="str">
        <f>"$ 13255,45"</f>
        <v>$ 13255,45</v>
      </c>
      <c r="F1398" t="str">
        <f>"$ 13255,45"</f>
        <v>$ 13255,45</v>
      </c>
      <c r="G1398" t="str">
        <f>"$ 13255,45"</f>
        <v>$ 13255,45</v>
      </c>
      <c r="H1398" t="str">
        <f t="shared" si="875"/>
        <v>$ 0,00</v>
      </c>
      <c r="I1398" t="str">
        <f t="shared" si="869"/>
        <v>JUEGO COJINETES BIELA</v>
      </c>
      <c r="J1398" t="str">
        <f t="shared" si="876"/>
        <v>1</v>
      </c>
      <c r="K1398" t="str">
        <f t="shared" si="909"/>
        <v>0</v>
      </c>
      <c r="L1398" t="str">
        <f>"7,000"</f>
        <v>7,000</v>
      </c>
      <c r="M1398" t="str">
        <f t="shared" si="877"/>
        <v xml:space="preserve"> </v>
      </c>
      <c r="N1398" t="str">
        <f t="shared" si="902"/>
        <v>MPSI</v>
      </c>
      <c r="O1398" t="str">
        <f t="shared" si="903"/>
        <v>COJINETES</v>
      </c>
      <c r="P1398" t="str">
        <f t="shared" si="904"/>
        <v>0</v>
      </c>
      <c r="Q1398" t="str">
        <f t="shared" si="904"/>
        <v>0</v>
      </c>
      <c r="R1398" t="str">
        <f t="shared" si="905"/>
        <v>0,00</v>
      </c>
      <c r="S1398" t="str">
        <f t="shared" si="905"/>
        <v>0,00</v>
      </c>
      <c r="T1398" t="str">
        <f t="shared" si="896"/>
        <v xml:space="preserve"> </v>
      </c>
      <c r="U1398" t="str">
        <f t="shared" si="906"/>
        <v>-</v>
      </c>
      <c r="V1398" t="str">
        <f>"7,000"</f>
        <v>7,000</v>
      </c>
      <c r="W1398" t="str">
        <f t="shared" si="878"/>
        <v>Lista 4</v>
      </c>
      <c r="X1398" t="str">
        <f t="shared" si="879"/>
        <v>Lista 5</v>
      </c>
      <c r="Y1398" t="str">
        <f t="shared" si="880"/>
        <v>Oferta Gral.</v>
      </c>
      <c r="Z1398" t="str">
        <f t="shared" si="881"/>
        <v>Rubro</v>
      </c>
      <c r="AA1398" t="str">
        <f t="shared" si="882"/>
        <v>Cantidad por Bulto</v>
      </c>
      <c r="AB1398" t="str">
        <f t="shared" si="883"/>
        <v>INNER</v>
      </c>
      <c r="AC1398" t="str">
        <f t="shared" si="884"/>
        <v>Stock en Bultos</v>
      </c>
      <c r="AD1398" t="str">
        <f t="shared" si="885"/>
        <v>SubDepósito</v>
      </c>
      <c r="AE1398" t="str">
        <f t="shared" si="886"/>
        <v>Marca</v>
      </c>
      <c r="AF1398" t="str">
        <f t="shared" si="887"/>
        <v>Super Rubro</v>
      </c>
      <c r="AG1398" t="str">
        <f t="shared" si="888"/>
        <v>ComercioExterior</v>
      </c>
      <c r="AH1398" t="str">
        <f t="shared" si="889"/>
        <v>PrecioFOB</v>
      </c>
      <c r="AI1398" t="str">
        <f t="shared" si="890"/>
        <v>Monto II</v>
      </c>
      <c r="AJ1398" t="str">
        <f t="shared" si="891"/>
        <v>Porcentaje II</v>
      </c>
      <c r="AK1398" t="str">
        <f t="shared" si="892"/>
        <v>Foto</v>
      </c>
      <c r="AL1398" t="str">
        <f t="shared" si="910"/>
        <v xml:space="preserve"> </v>
      </c>
      <c r="AM1398" t="str">
        <f t="shared" si="908"/>
        <v xml:space="preserve"> </v>
      </c>
    </row>
    <row r="1399" spans="1:39" x14ac:dyDescent="0.25">
      <c r="A1399" t="str">
        <f>"BI383069"</f>
        <v>BI383069</v>
      </c>
      <c r="B1399" t="str">
        <f>"COJINETES BIELA STD RENAULT KWID 1.0 3 CILINDROS"</f>
        <v>COJINETES BIELA STD RENAULT KWID 1.0 3 CILINDROS</v>
      </c>
      <c r="C1399" t="str">
        <f>"$ 8863,34"</f>
        <v>$ 8863,34</v>
      </c>
      <c r="D1399" t="str">
        <f>"$ 8863,34"</f>
        <v>$ 8863,34</v>
      </c>
      <c r="E1399" t="str">
        <f>"$ 8863,34"</f>
        <v>$ 8863,34</v>
      </c>
      <c r="F1399" t="str">
        <f>"$ 8863,34"</f>
        <v>$ 8863,34</v>
      </c>
      <c r="G1399" t="str">
        <f>"$ 8863,34"</f>
        <v>$ 8863,34</v>
      </c>
      <c r="H1399" t="str">
        <f t="shared" si="875"/>
        <v>$ 0,00</v>
      </c>
      <c r="I1399" t="str">
        <f t="shared" si="869"/>
        <v>JUEGO COJINETES BIELA</v>
      </c>
      <c r="J1399" t="str">
        <f t="shared" si="876"/>
        <v>1</v>
      </c>
      <c r="K1399" t="str">
        <f t="shared" si="909"/>
        <v>0</v>
      </c>
      <c r="L1399" t="str">
        <f>"10,000"</f>
        <v>10,000</v>
      </c>
      <c r="M1399" t="str">
        <f t="shared" si="877"/>
        <v xml:space="preserve"> </v>
      </c>
      <c r="N1399" t="str">
        <f t="shared" si="902"/>
        <v>MPSI</v>
      </c>
      <c r="O1399" t="str">
        <f t="shared" si="903"/>
        <v>COJINETES</v>
      </c>
      <c r="P1399" t="str">
        <f t="shared" si="904"/>
        <v>0</v>
      </c>
      <c r="Q1399" t="str">
        <f t="shared" si="904"/>
        <v>0</v>
      </c>
      <c r="R1399" t="str">
        <f t="shared" si="905"/>
        <v>0,00</v>
      </c>
      <c r="S1399" t="str">
        <f t="shared" si="905"/>
        <v>0,00</v>
      </c>
      <c r="T1399" t="str">
        <f t="shared" si="896"/>
        <v xml:space="preserve"> </v>
      </c>
      <c r="U1399" t="str">
        <f t="shared" si="906"/>
        <v>-</v>
      </c>
      <c r="V1399" t="str">
        <f>"10,000"</f>
        <v>10,000</v>
      </c>
      <c r="W1399" t="str">
        <f t="shared" si="878"/>
        <v>Lista 4</v>
      </c>
      <c r="X1399" t="str">
        <f t="shared" si="879"/>
        <v>Lista 5</v>
      </c>
      <c r="Y1399" t="str">
        <f t="shared" si="880"/>
        <v>Oferta Gral.</v>
      </c>
      <c r="Z1399" t="str">
        <f t="shared" si="881"/>
        <v>Rubro</v>
      </c>
      <c r="AA1399" t="str">
        <f t="shared" si="882"/>
        <v>Cantidad por Bulto</v>
      </c>
      <c r="AB1399" t="str">
        <f t="shared" si="883"/>
        <v>INNER</v>
      </c>
      <c r="AC1399" t="str">
        <f t="shared" si="884"/>
        <v>Stock en Bultos</v>
      </c>
      <c r="AD1399" t="str">
        <f t="shared" si="885"/>
        <v>SubDepósito</v>
      </c>
      <c r="AE1399" t="str">
        <f t="shared" si="886"/>
        <v>Marca</v>
      </c>
      <c r="AF1399" t="str">
        <f t="shared" si="887"/>
        <v>Super Rubro</v>
      </c>
      <c r="AG1399" t="str">
        <f t="shared" si="888"/>
        <v>ComercioExterior</v>
      </c>
      <c r="AH1399" t="str">
        <f t="shared" si="889"/>
        <v>PrecioFOB</v>
      </c>
      <c r="AI1399" t="str">
        <f t="shared" si="890"/>
        <v>Monto II</v>
      </c>
      <c r="AJ1399" t="str">
        <f t="shared" si="891"/>
        <v>Porcentaje II</v>
      </c>
      <c r="AK1399" t="str">
        <f t="shared" si="892"/>
        <v>Foto</v>
      </c>
      <c r="AL1399" t="str">
        <f t="shared" si="910"/>
        <v xml:space="preserve"> </v>
      </c>
      <c r="AM1399" t="str">
        <f t="shared" si="908"/>
        <v xml:space="preserve"> </v>
      </c>
    </row>
    <row r="1400" spans="1:39" x14ac:dyDescent="0.25">
      <c r="A1400" t="str">
        <f>"BI869"</f>
        <v>BI869</v>
      </c>
      <c r="B1400" t="str">
        <f>"COJINETES BIELA STD RENAULT MASTER 2.5 MOTOR G9U"</f>
        <v>COJINETES BIELA STD RENAULT MASTER 2.5 MOTOR G9U</v>
      </c>
      <c r="C1400" t="str">
        <f>"$ 22161,40"</f>
        <v>$ 22161,40</v>
      </c>
      <c r="D1400" t="str">
        <f>"$ 22161,40"</f>
        <v>$ 22161,40</v>
      </c>
      <c r="E1400" t="str">
        <f>"$ 22161,40"</f>
        <v>$ 22161,40</v>
      </c>
      <c r="F1400" t="str">
        <f>"$ 22161,40"</f>
        <v>$ 22161,40</v>
      </c>
      <c r="G1400" t="str">
        <f>"$ 22161,40"</f>
        <v>$ 22161,40</v>
      </c>
      <c r="H1400" t="str">
        <f t="shared" si="875"/>
        <v>$ 0,00</v>
      </c>
      <c r="I1400" t="str">
        <f t="shared" ref="I1400:I1416" si="911">"JUEGO COJINETES BIELA"</f>
        <v>JUEGO COJINETES BIELA</v>
      </c>
      <c r="J1400" t="str">
        <f t="shared" si="876"/>
        <v>1</v>
      </c>
      <c r="K1400" t="str">
        <f t="shared" si="909"/>
        <v>0</v>
      </c>
      <c r="L1400" t="str">
        <f>"6,000"</f>
        <v>6,000</v>
      </c>
      <c r="M1400" t="str">
        <f t="shared" si="877"/>
        <v xml:space="preserve"> </v>
      </c>
      <c r="N1400" t="str">
        <f t="shared" si="902"/>
        <v>MPSI</v>
      </c>
      <c r="O1400" t="str">
        <f t="shared" si="903"/>
        <v>COJINETES</v>
      </c>
      <c r="P1400" t="str">
        <f t="shared" si="904"/>
        <v>0</v>
      </c>
      <c r="Q1400" t="str">
        <f t="shared" si="904"/>
        <v>0</v>
      </c>
      <c r="R1400" t="str">
        <f t="shared" si="905"/>
        <v>0,00</v>
      </c>
      <c r="S1400" t="str">
        <f t="shared" si="905"/>
        <v>0,00</v>
      </c>
      <c r="T1400" t="str">
        <f t="shared" si="896"/>
        <v xml:space="preserve"> </v>
      </c>
      <c r="U1400" t="str">
        <f t="shared" si="906"/>
        <v>-</v>
      </c>
      <c r="V1400" t="str">
        <f>"6,000"</f>
        <v>6,000</v>
      </c>
      <c r="W1400" t="str">
        <f t="shared" si="878"/>
        <v>Lista 4</v>
      </c>
      <c r="X1400" t="str">
        <f t="shared" si="879"/>
        <v>Lista 5</v>
      </c>
      <c r="Y1400" t="str">
        <f t="shared" si="880"/>
        <v>Oferta Gral.</v>
      </c>
      <c r="Z1400" t="str">
        <f t="shared" si="881"/>
        <v>Rubro</v>
      </c>
      <c r="AA1400" t="str">
        <f t="shared" si="882"/>
        <v>Cantidad por Bulto</v>
      </c>
      <c r="AB1400" t="str">
        <f t="shared" si="883"/>
        <v>INNER</v>
      </c>
      <c r="AC1400" t="str">
        <f t="shared" si="884"/>
        <v>Stock en Bultos</v>
      </c>
      <c r="AD1400" t="str">
        <f t="shared" si="885"/>
        <v>SubDepósito</v>
      </c>
      <c r="AE1400" t="str">
        <f t="shared" si="886"/>
        <v>Marca</v>
      </c>
      <c r="AF1400" t="str">
        <f t="shared" si="887"/>
        <v>Super Rubro</v>
      </c>
      <c r="AG1400" t="str">
        <f t="shared" si="888"/>
        <v>ComercioExterior</v>
      </c>
      <c r="AH1400" t="str">
        <f t="shared" si="889"/>
        <v>PrecioFOB</v>
      </c>
      <c r="AI1400" t="str">
        <f t="shared" si="890"/>
        <v>Monto II</v>
      </c>
      <c r="AJ1400" t="str">
        <f t="shared" si="891"/>
        <v>Porcentaje II</v>
      </c>
      <c r="AK1400" t="str">
        <f t="shared" si="892"/>
        <v>Foto</v>
      </c>
      <c r="AL1400" t="str">
        <f t="shared" si="910"/>
        <v xml:space="preserve"> </v>
      </c>
      <c r="AM1400" t="str">
        <f t="shared" si="908"/>
        <v xml:space="preserve"> </v>
      </c>
    </row>
    <row r="1401" spans="1:39" x14ac:dyDescent="0.25">
      <c r="A1401" t="str">
        <f>"BI384574"</f>
        <v>BI384574</v>
      </c>
      <c r="B1401" t="str">
        <f>"COJINETES BIELA STD RENAULT MASTER ALASKAN NISSAN FRONTIER 2.3 M9T"</f>
        <v>COJINETES BIELA STD RENAULT MASTER ALASKAN NISSAN FRONTIER 2.3 M9T</v>
      </c>
      <c r="C1401" t="str">
        <f>"$ 26332,84"</f>
        <v>$ 26332,84</v>
      </c>
      <c r="D1401" t="str">
        <f>"$ 26332,84"</f>
        <v>$ 26332,84</v>
      </c>
      <c r="E1401" t="str">
        <f>"$ 26332,84"</f>
        <v>$ 26332,84</v>
      </c>
      <c r="F1401" t="str">
        <f>"$ 26332,84"</f>
        <v>$ 26332,84</v>
      </c>
      <c r="G1401" t="str">
        <f>"$ 26332,84"</f>
        <v>$ 26332,84</v>
      </c>
      <c r="H1401" t="str">
        <f t="shared" si="875"/>
        <v>$ 0,00</v>
      </c>
      <c r="I1401" t="str">
        <f t="shared" si="911"/>
        <v>JUEGO COJINETES BIELA</v>
      </c>
      <c r="J1401" t="str">
        <f t="shared" si="876"/>
        <v>1</v>
      </c>
      <c r="K1401" t="str">
        <f t="shared" si="909"/>
        <v>0</v>
      </c>
      <c r="L1401" t="str">
        <f>"8,000"</f>
        <v>8,000</v>
      </c>
      <c r="M1401" t="str">
        <f t="shared" si="877"/>
        <v xml:space="preserve"> </v>
      </c>
      <c r="N1401" t="str">
        <f t="shared" si="902"/>
        <v>MPSI</v>
      </c>
      <c r="O1401" t="str">
        <f t="shared" si="903"/>
        <v>COJINETES</v>
      </c>
      <c r="P1401" t="str">
        <f t="shared" si="904"/>
        <v>0</v>
      </c>
      <c r="Q1401" t="str">
        <f t="shared" si="904"/>
        <v>0</v>
      </c>
      <c r="R1401" t="str">
        <f t="shared" si="905"/>
        <v>0,00</v>
      </c>
      <c r="S1401" t="str">
        <f t="shared" si="905"/>
        <v>0,00</v>
      </c>
      <c r="T1401" t="str">
        <f t="shared" si="896"/>
        <v xml:space="preserve"> </v>
      </c>
      <c r="U1401" t="str">
        <f t="shared" si="906"/>
        <v>-</v>
      </c>
      <c r="V1401" t="str">
        <f>"8,000"</f>
        <v>8,000</v>
      </c>
      <c r="W1401" t="str">
        <f t="shared" si="878"/>
        <v>Lista 4</v>
      </c>
      <c r="X1401" t="str">
        <f t="shared" si="879"/>
        <v>Lista 5</v>
      </c>
      <c r="Y1401" t="str">
        <f t="shared" si="880"/>
        <v>Oferta Gral.</v>
      </c>
      <c r="Z1401" t="str">
        <f t="shared" si="881"/>
        <v>Rubro</v>
      </c>
      <c r="AA1401" t="str">
        <f t="shared" si="882"/>
        <v>Cantidad por Bulto</v>
      </c>
      <c r="AB1401" t="str">
        <f t="shared" si="883"/>
        <v>INNER</v>
      </c>
      <c r="AC1401" t="str">
        <f t="shared" si="884"/>
        <v>Stock en Bultos</v>
      </c>
      <c r="AD1401" t="str">
        <f t="shared" si="885"/>
        <v>SubDepósito</v>
      </c>
      <c r="AE1401" t="str">
        <f t="shared" si="886"/>
        <v>Marca</v>
      </c>
      <c r="AF1401" t="str">
        <f t="shared" si="887"/>
        <v>Super Rubro</v>
      </c>
      <c r="AG1401" t="str">
        <f t="shared" si="888"/>
        <v>ComercioExterior</v>
      </c>
      <c r="AH1401" t="str">
        <f t="shared" si="889"/>
        <v>PrecioFOB</v>
      </c>
      <c r="AI1401" t="str">
        <f t="shared" si="890"/>
        <v>Monto II</v>
      </c>
      <c r="AJ1401" t="str">
        <f t="shared" si="891"/>
        <v>Porcentaje II</v>
      </c>
      <c r="AK1401" t="str">
        <f t="shared" si="892"/>
        <v>Foto</v>
      </c>
      <c r="AL1401" t="str">
        <f t="shared" si="910"/>
        <v xml:space="preserve"> </v>
      </c>
      <c r="AM1401" t="str">
        <f t="shared" si="908"/>
        <v xml:space="preserve"> </v>
      </c>
    </row>
    <row r="1402" spans="1:39" x14ac:dyDescent="0.25">
      <c r="A1402" t="str">
        <f>"BI242"</f>
        <v>BI242</v>
      </c>
      <c r="B1402" t="str">
        <f>"COJINETES BIELA STD RENAULT MEGANE 1.9 TURBO DIESEL SIN TRABA"</f>
        <v>COJINETES BIELA STD RENAULT MEGANE 1.9 TURBO DIESEL SIN TRABA</v>
      </c>
      <c r="C1402" t="str">
        <f>"$ 24868,80"</f>
        <v>$ 24868,80</v>
      </c>
      <c r="D1402" t="str">
        <f>"$ 24868,80"</f>
        <v>$ 24868,80</v>
      </c>
      <c r="E1402" t="str">
        <f>"$ 24868,80"</f>
        <v>$ 24868,80</v>
      </c>
      <c r="F1402" t="str">
        <f>"$ 24868,80"</f>
        <v>$ 24868,80</v>
      </c>
      <c r="G1402" t="str">
        <f>"$ 24868,80"</f>
        <v>$ 24868,80</v>
      </c>
      <c r="H1402" t="str">
        <f t="shared" si="875"/>
        <v>$ 0,00</v>
      </c>
      <c r="I1402" t="str">
        <f t="shared" si="911"/>
        <v>JUEGO COJINETES BIELA</v>
      </c>
      <c r="J1402" t="str">
        <f t="shared" si="876"/>
        <v>1</v>
      </c>
      <c r="K1402" t="str">
        <f t="shared" si="909"/>
        <v>0</v>
      </c>
      <c r="L1402" t="str">
        <f>"2,000"</f>
        <v>2,000</v>
      </c>
      <c r="M1402" t="str">
        <f t="shared" si="877"/>
        <v xml:space="preserve"> </v>
      </c>
      <c r="N1402" t="str">
        <f t="shared" si="902"/>
        <v>MPSI</v>
      </c>
      <c r="O1402" t="str">
        <f t="shared" si="903"/>
        <v>COJINETES</v>
      </c>
      <c r="P1402" t="str">
        <f t="shared" si="904"/>
        <v>0</v>
      </c>
      <c r="Q1402" t="str">
        <f t="shared" si="904"/>
        <v>0</v>
      </c>
      <c r="R1402" t="str">
        <f t="shared" si="905"/>
        <v>0,00</v>
      </c>
      <c r="S1402" t="str">
        <f t="shared" si="905"/>
        <v>0,00</v>
      </c>
      <c r="T1402" t="str">
        <f t="shared" si="896"/>
        <v xml:space="preserve"> </v>
      </c>
      <c r="U1402" t="str">
        <f t="shared" si="906"/>
        <v>-</v>
      </c>
      <c r="V1402" t="str">
        <f>"2,000"</f>
        <v>2,000</v>
      </c>
      <c r="W1402" t="str">
        <f t="shared" si="878"/>
        <v>Lista 4</v>
      </c>
      <c r="X1402" t="str">
        <f t="shared" si="879"/>
        <v>Lista 5</v>
      </c>
      <c r="Y1402" t="str">
        <f t="shared" si="880"/>
        <v>Oferta Gral.</v>
      </c>
      <c r="Z1402" t="str">
        <f t="shared" si="881"/>
        <v>Rubro</v>
      </c>
      <c r="AA1402" t="str">
        <f t="shared" si="882"/>
        <v>Cantidad por Bulto</v>
      </c>
      <c r="AB1402" t="str">
        <f t="shared" si="883"/>
        <v>INNER</v>
      </c>
      <c r="AC1402" t="str">
        <f t="shared" si="884"/>
        <v>Stock en Bultos</v>
      </c>
      <c r="AD1402" t="str">
        <f t="shared" si="885"/>
        <v>SubDepósito</v>
      </c>
      <c r="AE1402" t="str">
        <f t="shared" si="886"/>
        <v>Marca</v>
      </c>
      <c r="AF1402" t="str">
        <f t="shared" si="887"/>
        <v>Super Rubro</v>
      </c>
      <c r="AG1402" t="str">
        <f t="shared" si="888"/>
        <v>ComercioExterior</v>
      </c>
      <c r="AH1402" t="str">
        <f t="shared" si="889"/>
        <v>PrecioFOB</v>
      </c>
      <c r="AI1402" t="str">
        <f t="shared" si="890"/>
        <v>Monto II</v>
      </c>
      <c r="AJ1402" t="str">
        <f t="shared" si="891"/>
        <v>Porcentaje II</v>
      </c>
      <c r="AK1402" t="str">
        <f t="shared" si="892"/>
        <v>Foto</v>
      </c>
      <c r="AL1402" t="str">
        <f t="shared" si="910"/>
        <v xml:space="preserve"> </v>
      </c>
      <c r="AM1402" t="str">
        <f t="shared" si="908"/>
        <v xml:space="preserve"> </v>
      </c>
    </row>
    <row r="1403" spans="1:39" x14ac:dyDescent="0.25">
      <c r="A1403" t="str">
        <f>"BI384104"</f>
        <v>BI384104</v>
      </c>
      <c r="B1403" t="str">
        <f>"COJINETES BIELA STD RENAULT MEGANE 3 FLUENCE NISSAN SENTRA 2.0 M4R"</f>
        <v>COJINETES BIELA STD RENAULT MEGANE 3 FLUENCE NISSAN SENTRA 2.0 M4R</v>
      </c>
      <c r="C1403" t="str">
        <f>"$ 10960,47"</f>
        <v>$ 10960,47</v>
      </c>
      <c r="D1403" t="str">
        <f>"$ 10960,47"</f>
        <v>$ 10960,47</v>
      </c>
      <c r="E1403" t="str">
        <f>"$ 10960,47"</f>
        <v>$ 10960,47</v>
      </c>
      <c r="F1403" t="str">
        <f>"$ 10960,47"</f>
        <v>$ 10960,47</v>
      </c>
      <c r="G1403" t="str">
        <f>"$ 10960,47"</f>
        <v>$ 10960,47</v>
      </c>
      <c r="H1403" t="str">
        <f t="shared" si="875"/>
        <v>$ 0,00</v>
      </c>
      <c r="I1403" t="str">
        <f t="shared" si="911"/>
        <v>JUEGO COJINETES BIELA</v>
      </c>
      <c r="J1403" t="str">
        <f t="shared" si="876"/>
        <v>1</v>
      </c>
      <c r="K1403" t="str">
        <f t="shared" si="909"/>
        <v>0</v>
      </c>
      <c r="L1403" t="str">
        <f>"0,000"</f>
        <v>0,000</v>
      </c>
      <c r="M1403" t="str">
        <f t="shared" si="877"/>
        <v xml:space="preserve"> </v>
      </c>
      <c r="N1403" t="str">
        <f t="shared" si="902"/>
        <v>MPSI</v>
      </c>
      <c r="O1403" t="str">
        <f t="shared" si="903"/>
        <v>COJINETES</v>
      </c>
      <c r="P1403" t="str">
        <f t="shared" ref="P1403:Q1422" si="912">"0"</f>
        <v>0</v>
      </c>
      <c r="Q1403" t="str">
        <f t="shared" si="912"/>
        <v>0</v>
      </c>
      <c r="R1403" t="str">
        <f t="shared" ref="R1403:S1422" si="913">"0,00"</f>
        <v>0,00</v>
      </c>
      <c r="S1403" t="str">
        <f t="shared" si="913"/>
        <v>0,00</v>
      </c>
      <c r="T1403" t="str">
        <f t="shared" si="896"/>
        <v xml:space="preserve"> </v>
      </c>
      <c r="U1403" t="str">
        <f t="shared" si="906"/>
        <v>-</v>
      </c>
      <c r="V1403" t="str">
        <f>"0,000"</f>
        <v>0,000</v>
      </c>
      <c r="W1403" t="str">
        <f t="shared" si="878"/>
        <v>Lista 4</v>
      </c>
      <c r="X1403" t="str">
        <f t="shared" si="879"/>
        <v>Lista 5</v>
      </c>
      <c r="Y1403" t="str">
        <f t="shared" si="880"/>
        <v>Oferta Gral.</v>
      </c>
      <c r="Z1403" t="str">
        <f t="shared" si="881"/>
        <v>Rubro</v>
      </c>
      <c r="AA1403" t="str">
        <f t="shared" si="882"/>
        <v>Cantidad por Bulto</v>
      </c>
      <c r="AB1403" t="str">
        <f t="shared" si="883"/>
        <v>INNER</v>
      </c>
      <c r="AC1403" t="str">
        <f t="shared" si="884"/>
        <v>Stock en Bultos</v>
      </c>
      <c r="AD1403" t="str">
        <f t="shared" si="885"/>
        <v>SubDepósito</v>
      </c>
      <c r="AE1403" t="str">
        <f t="shared" si="886"/>
        <v>Marca</v>
      </c>
      <c r="AF1403" t="str">
        <f t="shared" si="887"/>
        <v>Super Rubro</v>
      </c>
      <c r="AG1403" t="str">
        <f t="shared" si="888"/>
        <v>ComercioExterior</v>
      </c>
      <c r="AH1403" t="str">
        <f t="shared" si="889"/>
        <v>PrecioFOB</v>
      </c>
      <c r="AI1403" t="str">
        <f t="shared" si="890"/>
        <v>Monto II</v>
      </c>
      <c r="AJ1403" t="str">
        <f t="shared" si="891"/>
        <v>Porcentaje II</v>
      </c>
      <c r="AK1403" t="str">
        <f t="shared" si="892"/>
        <v>Foto</v>
      </c>
      <c r="AL1403" t="str">
        <f t="shared" si="910"/>
        <v xml:space="preserve"> </v>
      </c>
      <c r="AM1403" t="str">
        <f t="shared" si="908"/>
        <v xml:space="preserve"> </v>
      </c>
    </row>
    <row r="1404" spans="1:39" x14ac:dyDescent="0.25">
      <c r="A1404" t="str">
        <f>"BI876"</f>
        <v>BI876</v>
      </c>
      <c r="B1404" t="str">
        <f>"COJINETES BIELA STD RENAULT MEGANE KANGOO LOGAN 1.5 DCI K9K"</f>
        <v>COJINETES BIELA STD RENAULT MEGANE KANGOO LOGAN 1.5 DCI K9K</v>
      </c>
      <c r="C1404" t="str">
        <f>"$ 16988,75"</f>
        <v>$ 16988,75</v>
      </c>
      <c r="D1404" t="str">
        <f>"$ 16988,75"</f>
        <v>$ 16988,75</v>
      </c>
      <c r="E1404" t="str">
        <f>"$ 16988,75"</f>
        <v>$ 16988,75</v>
      </c>
      <c r="F1404" t="str">
        <f>"$ 16988,75"</f>
        <v>$ 16988,75</v>
      </c>
      <c r="G1404" t="str">
        <f>"$ 16988,75"</f>
        <v>$ 16988,75</v>
      </c>
      <c r="H1404" t="str">
        <f t="shared" si="875"/>
        <v>$ 0,00</v>
      </c>
      <c r="I1404" t="str">
        <f t="shared" si="911"/>
        <v>JUEGO COJINETES BIELA</v>
      </c>
      <c r="J1404" t="str">
        <f t="shared" si="876"/>
        <v>1</v>
      </c>
      <c r="K1404" t="str">
        <f t="shared" si="909"/>
        <v>0</v>
      </c>
      <c r="L1404" t="str">
        <f>"10,000"</f>
        <v>10,000</v>
      </c>
      <c r="M1404" t="str">
        <f t="shared" si="877"/>
        <v xml:space="preserve"> </v>
      </c>
      <c r="N1404" t="str">
        <f t="shared" si="902"/>
        <v>MPSI</v>
      </c>
      <c r="O1404" t="str">
        <f t="shared" si="903"/>
        <v>COJINETES</v>
      </c>
      <c r="P1404" t="str">
        <f t="shared" si="912"/>
        <v>0</v>
      </c>
      <c r="Q1404" t="str">
        <f t="shared" si="912"/>
        <v>0</v>
      </c>
      <c r="R1404" t="str">
        <f t="shared" si="913"/>
        <v>0,00</v>
      </c>
      <c r="S1404" t="str">
        <f t="shared" si="913"/>
        <v>0,00</v>
      </c>
      <c r="T1404" t="str">
        <f t="shared" si="896"/>
        <v xml:space="preserve"> </v>
      </c>
      <c r="U1404" t="str">
        <f t="shared" si="906"/>
        <v>-</v>
      </c>
      <c r="V1404" t="str">
        <f>"10,000"</f>
        <v>10,000</v>
      </c>
      <c r="W1404" t="str">
        <f t="shared" si="878"/>
        <v>Lista 4</v>
      </c>
      <c r="X1404" t="str">
        <f t="shared" si="879"/>
        <v>Lista 5</v>
      </c>
      <c r="Y1404" t="str">
        <f t="shared" si="880"/>
        <v>Oferta Gral.</v>
      </c>
      <c r="Z1404" t="str">
        <f t="shared" si="881"/>
        <v>Rubro</v>
      </c>
      <c r="AA1404" t="str">
        <f t="shared" si="882"/>
        <v>Cantidad por Bulto</v>
      </c>
      <c r="AB1404" t="str">
        <f t="shared" si="883"/>
        <v>INNER</v>
      </c>
      <c r="AC1404" t="str">
        <f t="shared" si="884"/>
        <v>Stock en Bultos</v>
      </c>
      <c r="AD1404" t="str">
        <f t="shared" si="885"/>
        <v>SubDepósito</v>
      </c>
      <c r="AE1404" t="str">
        <f t="shared" si="886"/>
        <v>Marca</v>
      </c>
      <c r="AF1404" t="str">
        <f t="shared" si="887"/>
        <v>Super Rubro</v>
      </c>
      <c r="AG1404" t="str">
        <f t="shared" si="888"/>
        <v>ComercioExterior</v>
      </c>
      <c r="AH1404" t="str">
        <f t="shared" si="889"/>
        <v>PrecioFOB</v>
      </c>
      <c r="AI1404" t="str">
        <f t="shared" si="890"/>
        <v>Monto II</v>
      </c>
      <c r="AJ1404" t="str">
        <f t="shared" si="891"/>
        <v>Porcentaje II</v>
      </c>
      <c r="AK1404" t="str">
        <f t="shared" si="892"/>
        <v>Foto</v>
      </c>
      <c r="AL1404" t="str">
        <f t="shared" si="910"/>
        <v xml:space="preserve"> </v>
      </c>
      <c r="AM1404" t="str">
        <f t="shared" si="908"/>
        <v xml:space="preserve"> </v>
      </c>
    </row>
    <row r="1405" spans="1:39" x14ac:dyDescent="0.25">
      <c r="A1405" t="str">
        <f>"BI873"</f>
        <v>BI873</v>
      </c>
      <c r="B1405" t="str">
        <f>"COJINETES BIELA STD RENAULT MEGANE KANGOO LOGAN 1.6 16V K4M"</f>
        <v>COJINETES BIELA STD RENAULT MEGANE KANGOO LOGAN 1.6 16V K4M</v>
      </c>
      <c r="C1405" t="str">
        <f>"$ 11452,54"</f>
        <v>$ 11452,54</v>
      </c>
      <c r="D1405" t="str">
        <f>"$ 11452,54"</f>
        <v>$ 11452,54</v>
      </c>
      <c r="E1405" t="str">
        <f>"$ 11452,54"</f>
        <v>$ 11452,54</v>
      </c>
      <c r="F1405" t="str">
        <f>"$ 11452,54"</f>
        <v>$ 11452,54</v>
      </c>
      <c r="G1405" t="str">
        <f>"$ 11452,54"</f>
        <v>$ 11452,54</v>
      </c>
      <c r="H1405" t="str">
        <f t="shared" si="875"/>
        <v>$ 0,00</v>
      </c>
      <c r="I1405" t="str">
        <f t="shared" si="911"/>
        <v>JUEGO COJINETES BIELA</v>
      </c>
      <c r="J1405" t="str">
        <f t="shared" si="876"/>
        <v>1</v>
      </c>
      <c r="K1405" t="str">
        <f t="shared" si="909"/>
        <v>0</v>
      </c>
      <c r="L1405" t="str">
        <f>"25,000"</f>
        <v>25,000</v>
      </c>
      <c r="M1405" t="str">
        <f t="shared" si="877"/>
        <v xml:space="preserve"> </v>
      </c>
      <c r="N1405" t="str">
        <f t="shared" si="902"/>
        <v>MPSI</v>
      </c>
      <c r="O1405" t="str">
        <f t="shared" si="903"/>
        <v>COJINETES</v>
      </c>
      <c r="P1405" t="str">
        <f t="shared" si="912"/>
        <v>0</v>
      </c>
      <c r="Q1405" t="str">
        <f t="shared" si="912"/>
        <v>0</v>
      </c>
      <c r="R1405" t="str">
        <f t="shared" si="913"/>
        <v>0,00</v>
      </c>
      <c r="S1405" t="str">
        <f t="shared" si="913"/>
        <v>0,00</v>
      </c>
      <c r="T1405" t="str">
        <f t="shared" si="896"/>
        <v xml:space="preserve"> </v>
      </c>
      <c r="U1405" t="str">
        <f t="shared" si="906"/>
        <v>-</v>
      </c>
      <c r="V1405" t="str">
        <f>"25,000"</f>
        <v>25,000</v>
      </c>
      <c r="W1405" t="str">
        <f t="shared" si="878"/>
        <v>Lista 4</v>
      </c>
      <c r="X1405" t="str">
        <f t="shared" si="879"/>
        <v>Lista 5</v>
      </c>
      <c r="Y1405" t="str">
        <f t="shared" si="880"/>
        <v>Oferta Gral.</v>
      </c>
      <c r="Z1405" t="str">
        <f t="shared" si="881"/>
        <v>Rubro</v>
      </c>
      <c r="AA1405" t="str">
        <f t="shared" si="882"/>
        <v>Cantidad por Bulto</v>
      </c>
      <c r="AB1405" t="str">
        <f t="shared" si="883"/>
        <v>INNER</v>
      </c>
      <c r="AC1405" t="str">
        <f t="shared" si="884"/>
        <v>Stock en Bultos</v>
      </c>
      <c r="AD1405" t="str">
        <f t="shared" si="885"/>
        <v>SubDepósito</v>
      </c>
      <c r="AE1405" t="str">
        <f t="shared" si="886"/>
        <v>Marca</v>
      </c>
      <c r="AF1405" t="str">
        <f t="shared" si="887"/>
        <v>Super Rubro</v>
      </c>
      <c r="AG1405" t="str">
        <f t="shared" si="888"/>
        <v>ComercioExterior</v>
      </c>
      <c r="AH1405" t="str">
        <f t="shared" si="889"/>
        <v>PrecioFOB</v>
      </c>
      <c r="AI1405" t="str">
        <f t="shared" si="890"/>
        <v>Monto II</v>
      </c>
      <c r="AJ1405" t="str">
        <f t="shared" si="891"/>
        <v>Porcentaje II</v>
      </c>
      <c r="AK1405" t="str">
        <f t="shared" si="892"/>
        <v>Foto</v>
      </c>
      <c r="AL1405" t="str">
        <f>"{\rtf1\ansi\ansicpg1252\deff0\deflang2058{\fonttbl{\f0\fnil\fcharset0 MS Sans Serif}} \viewkind4\uc1\pard\f0\fs16 COJINETES BIELA STD RENAULT MEGANE KANGOO LOGAN 1.6 16V K4M\par } "</f>
        <v xml:space="preserve">{\rtf1\ansi\ansicpg1252\deff0\deflang2058{\fonttbl{\f0\fnil\fcharset0 MS Sans Serif}} \viewkind4\uc1\pard\f0\fs16 COJINETES BIELA STD RENAULT MEGANE KANGOO LOGAN 1.6 16V K4M\par } </v>
      </c>
      <c r="AM1405" t="str">
        <f t="shared" si="908"/>
        <v xml:space="preserve"> </v>
      </c>
    </row>
    <row r="1406" spans="1:39" x14ac:dyDescent="0.25">
      <c r="A1406" t="str">
        <f>"BI556SP"</f>
        <v>BI556SP</v>
      </c>
      <c r="B1406" t="str">
        <f>"COJINETES BIELA STD SPUTTER MERCEDES SPRINTER OM611"</f>
        <v>COJINETES BIELA STD SPUTTER MERCEDES SPRINTER OM611</v>
      </c>
      <c r="C1406" t="str">
        <f>"$ 49361,70"</f>
        <v>$ 49361,70</v>
      </c>
      <c r="D1406" t="str">
        <f>"$ 49361,70"</f>
        <v>$ 49361,70</v>
      </c>
      <c r="E1406" t="str">
        <f>"$ 49361,70"</f>
        <v>$ 49361,70</v>
      </c>
      <c r="F1406" t="str">
        <f>"$ 49361,70"</f>
        <v>$ 49361,70</v>
      </c>
      <c r="G1406" t="str">
        <f>"$ 49361,70"</f>
        <v>$ 49361,70</v>
      </c>
      <c r="H1406" t="str">
        <f t="shared" si="875"/>
        <v>$ 0,00</v>
      </c>
      <c r="I1406" t="str">
        <f t="shared" si="911"/>
        <v>JUEGO COJINETES BIELA</v>
      </c>
      <c r="J1406" t="str">
        <f t="shared" si="876"/>
        <v>1</v>
      </c>
      <c r="K1406" t="str">
        <f t="shared" si="909"/>
        <v>0</v>
      </c>
      <c r="L1406" t="str">
        <f>"0,000"</f>
        <v>0,000</v>
      </c>
      <c r="M1406" t="str">
        <f t="shared" si="877"/>
        <v xml:space="preserve"> </v>
      </c>
      <c r="N1406" t="str">
        <f t="shared" si="902"/>
        <v>MPSI</v>
      </c>
      <c r="O1406" t="str">
        <f t="shared" si="903"/>
        <v>COJINETES</v>
      </c>
      <c r="P1406" t="str">
        <f t="shared" si="912"/>
        <v>0</v>
      </c>
      <c r="Q1406" t="str">
        <f t="shared" si="912"/>
        <v>0</v>
      </c>
      <c r="R1406" t="str">
        <f t="shared" si="913"/>
        <v>0,00</v>
      </c>
      <c r="S1406" t="str">
        <f t="shared" si="913"/>
        <v>0,00</v>
      </c>
      <c r="T1406" t="str">
        <f t="shared" si="896"/>
        <v xml:space="preserve"> </v>
      </c>
      <c r="U1406" t="str">
        <f t="shared" si="906"/>
        <v>-</v>
      </c>
      <c r="V1406" t="str">
        <f>"0,000"</f>
        <v>0,000</v>
      </c>
      <c r="W1406" t="str">
        <f t="shared" si="878"/>
        <v>Lista 4</v>
      </c>
      <c r="X1406" t="str">
        <f t="shared" si="879"/>
        <v>Lista 5</v>
      </c>
      <c r="Y1406" t="str">
        <f t="shared" si="880"/>
        <v>Oferta Gral.</v>
      </c>
      <c r="Z1406" t="str">
        <f t="shared" si="881"/>
        <v>Rubro</v>
      </c>
      <c r="AA1406" t="str">
        <f t="shared" si="882"/>
        <v>Cantidad por Bulto</v>
      </c>
      <c r="AB1406" t="str">
        <f t="shared" si="883"/>
        <v>INNER</v>
      </c>
      <c r="AC1406" t="str">
        <f t="shared" si="884"/>
        <v>Stock en Bultos</v>
      </c>
      <c r="AD1406" t="str">
        <f t="shared" si="885"/>
        <v>SubDepósito</v>
      </c>
      <c r="AE1406" t="str">
        <f t="shared" si="886"/>
        <v>Marca</v>
      </c>
      <c r="AF1406" t="str">
        <f t="shared" si="887"/>
        <v>Super Rubro</v>
      </c>
      <c r="AG1406" t="str">
        <f t="shared" si="888"/>
        <v>ComercioExterior</v>
      </c>
      <c r="AH1406" t="str">
        <f t="shared" si="889"/>
        <v>PrecioFOB</v>
      </c>
      <c r="AI1406" t="str">
        <f t="shared" si="890"/>
        <v>Monto II</v>
      </c>
      <c r="AJ1406" t="str">
        <f t="shared" si="891"/>
        <v>Porcentaje II</v>
      </c>
      <c r="AK1406" t="str">
        <f t="shared" si="892"/>
        <v>Foto</v>
      </c>
      <c r="AL1406" t="str">
        <f>" "</f>
        <v xml:space="preserve"> </v>
      </c>
      <c r="AM1406" t="str">
        <f t="shared" si="908"/>
        <v xml:space="preserve"> </v>
      </c>
    </row>
    <row r="1407" spans="1:39" x14ac:dyDescent="0.25">
      <c r="A1407" t="str">
        <f>"BI444332"</f>
        <v>BI444332</v>
      </c>
      <c r="B1407" t="str">
        <f>"COJINETES BIELA STD TOYOTA COROLLA YARIS 1.8 16V MOTOR 2ZR-FE"</f>
        <v>COJINETES BIELA STD TOYOTA COROLLA YARIS 1.8 16V MOTOR 2ZR-FE</v>
      </c>
      <c r="C1407" t="str">
        <f>"$ 12444,29"</f>
        <v>$ 12444,29</v>
      </c>
      <c r="D1407" t="str">
        <f>"$ 12444,29"</f>
        <v>$ 12444,29</v>
      </c>
      <c r="E1407" t="str">
        <f>"$ 12444,29"</f>
        <v>$ 12444,29</v>
      </c>
      <c r="F1407" t="str">
        <f>"$ 12444,29"</f>
        <v>$ 12444,29</v>
      </c>
      <c r="G1407" t="str">
        <f>"$ 12444,29"</f>
        <v>$ 12444,29</v>
      </c>
      <c r="H1407" t="str">
        <f t="shared" si="875"/>
        <v>$ 0,00</v>
      </c>
      <c r="I1407" t="str">
        <f t="shared" si="911"/>
        <v>JUEGO COJINETES BIELA</v>
      </c>
      <c r="J1407" t="str">
        <f t="shared" si="876"/>
        <v>1</v>
      </c>
      <c r="K1407" t="str">
        <f t="shared" si="909"/>
        <v>0</v>
      </c>
      <c r="L1407" t="str">
        <f>"4,000"</f>
        <v>4,000</v>
      </c>
      <c r="M1407" t="str">
        <f t="shared" si="877"/>
        <v xml:space="preserve"> </v>
      </c>
      <c r="N1407" t="str">
        <f t="shared" si="902"/>
        <v>MPSI</v>
      </c>
      <c r="O1407" t="str">
        <f t="shared" si="903"/>
        <v>COJINETES</v>
      </c>
      <c r="P1407" t="str">
        <f t="shared" si="912"/>
        <v>0</v>
      </c>
      <c r="Q1407" t="str">
        <f t="shared" si="912"/>
        <v>0</v>
      </c>
      <c r="R1407" t="str">
        <f t="shared" si="913"/>
        <v>0,00</v>
      </c>
      <c r="S1407" t="str">
        <f t="shared" si="913"/>
        <v>0,00</v>
      </c>
      <c r="T1407" t="str">
        <f t="shared" si="896"/>
        <v xml:space="preserve"> </v>
      </c>
      <c r="U1407" t="str">
        <f t="shared" si="906"/>
        <v>-</v>
      </c>
      <c r="V1407" t="str">
        <f>"4,000"</f>
        <v>4,000</v>
      </c>
      <c r="W1407" t="str">
        <f t="shared" si="878"/>
        <v>Lista 4</v>
      </c>
      <c r="X1407" t="str">
        <f t="shared" si="879"/>
        <v>Lista 5</v>
      </c>
      <c r="Y1407" t="str">
        <f t="shared" si="880"/>
        <v>Oferta Gral.</v>
      </c>
      <c r="Z1407" t="str">
        <f t="shared" si="881"/>
        <v>Rubro</v>
      </c>
      <c r="AA1407" t="str">
        <f t="shared" si="882"/>
        <v>Cantidad por Bulto</v>
      </c>
      <c r="AB1407" t="str">
        <f t="shared" si="883"/>
        <v>INNER</v>
      </c>
      <c r="AC1407" t="str">
        <f t="shared" si="884"/>
        <v>Stock en Bultos</v>
      </c>
      <c r="AD1407" t="str">
        <f t="shared" si="885"/>
        <v>SubDepósito</v>
      </c>
      <c r="AE1407" t="str">
        <f t="shared" si="886"/>
        <v>Marca</v>
      </c>
      <c r="AF1407" t="str">
        <f t="shared" si="887"/>
        <v>Super Rubro</v>
      </c>
      <c r="AG1407" t="str">
        <f t="shared" si="888"/>
        <v>ComercioExterior</v>
      </c>
      <c r="AH1407" t="str">
        <f t="shared" si="889"/>
        <v>PrecioFOB</v>
      </c>
      <c r="AI1407" t="str">
        <f t="shared" si="890"/>
        <v>Monto II</v>
      </c>
      <c r="AJ1407" t="str">
        <f t="shared" si="891"/>
        <v>Porcentaje II</v>
      </c>
      <c r="AK1407" t="str">
        <f t="shared" si="892"/>
        <v>Foto</v>
      </c>
      <c r="AL1407" t="str">
        <f>" "</f>
        <v xml:space="preserve"> </v>
      </c>
      <c r="AM1407" t="str">
        <f t="shared" si="908"/>
        <v xml:space="preserve"> </v>
      </c>
    </row>
    <row r="1408" spans="1:39" x14ac:dyDescent="0.25">
      <c r="A1408" t="str">
        <f>"BI444107"</f>
        <v>BI444107</v>
      </c>
      <c r="B1408" t="str">
        <f>"COJINETES BIELA STD TOYOTA ETIOS 1.5"</f>
        <v>COJINETES BIELA STD TOYOTA ETIOS 1.5</v>
      </c>
      <c r="C1408" t="str">
        <f>"$ 11415,51"</f>
        <v>$ 11415,51</v>
      </c>
      <c r="D1408" t="str">
        <f>"$ 11415,51"</f>
        <v>$ 11415,51</v>
      </c>
      <c r="E1408" t="str">
        <f>"$ 11415,51"</f>
        <v>$ 11415,51</v>
      </c>
      <c r="F1408" t="str">
        <f>"$ 11415,51"</f>
        <v>$ 11415,51</v>
      </c>
      <c r="G1408" t="str">
        <f>"$ 11415,51"</f>
        <v>$ 11415,51</v>
      </c>
      <c r="H1408" t="str">
        <f t="shared" si="875"/>
        <v>$ 0,00</v>
      </c>
      <c r="I1408" t="str">
        <f t="shared" si="911"/>
        <v>JUEGO COJINETES BIELA</v>
      </c>
      <c r="J1408" t="str">
        <f t="shared" si="876"/>
        <v>1</v>
      </c>
      <c r="K1408" t="str">
        <f t="shared" si="909"/>
        <v>0</v>
      </c>
      <c r="L1408" t="str">
        <f>"5,000"</f>
        <v>5,000</v>
      </c>
      <c r="M1408" t="str">
        <f t="shared" si="877"/>
        <v xml:space="preserve"> </v>
      </c>
      <c r="N1408" t="str">
        <f t="shared" si="902"/>
        <v>MPSI</v>
      </c>
      <c r="O1408" t="str">
        <f t="shared" si="903"/>
        <v>COJINETES</v>
      </c>
      <c r="P1408" t="str">
        <f t="shared" si="912"/>
        <v>0</v>
      </c>
      <c r="Q1408" t="str">
        <f t="shared" si="912"/>
        <v>0</v>
      </c>
      <c r="R1408" t="str">
        <f t="shared" si="913"/>
        <v>0,00</v>
      </c>
      <c r="S1408" t="str">
        <f t="shared" si="913"/>
        <v>0,00</v>
      </c>
      <c r="T1408" t="str">
        <f t="shared" si="896"/>
        <v xml:space="preserve"> </v>
      </c>
      <c r="U1408" t="str">
        <f t="shared" si="906"/>
        <v>-</v>
      </c>
      <c r="V1408" t="str">
        <f>"5,000"</f>
        <v>5,000</v>
      </c>
      <c r="W1408" t="str">
        <f t="shared" si="878"/>
        <v>Lista 4</v>
      </c>
      <c r="X1408" t="str">
        <f t="shared" si="879"/>
        <v>Lista 5</v>
      </c>
      <c r="Y1408" t="str">
        <f t="shared" si="880"/>
        <v>Oferta Gral.</v>
      </c>
      <c r="Z1408" t="str">
        <f t="shared" si="881"/>
        <v>Rubro</v>
      </c>
      <c r="AA1408" t="str">
        <f t="shared" si="882"/>
        <v>Cantidad por Bulto</v>
      </c>
      <c r="AB1408" t="str">
        <f t="shared" si="883"/>
        <v>INNER</v>
      </c>
      <c r="AC1408" t="str">
        <f t="shared" si="884"/>
        <v>Stock en Bultos</v>
      </c>
      <c r="AD1408" t="str">
        <f t="shared" si="885"/>
        <v>SubDepósito</v>
      </c>
      <c r="AE1408" t="str">
        <f t="shared" si="886"/>
        <v>Marca</v>
      </c>
      <c r="AF1408" t="str">
        <f t="shared" si="887"/>
        <v>Super Rubro</v>
      </c>
      <c r="AG1408" t="str">
        <f t="shared" si="888"/>
        <v>ComercioExterior</v>
      </c>
      <c r="AH1408" t="str">
        <f t="shared" si="889"/>
        <v>PrecioFOB</v>
      </c>
      <c r="AI1408" t="str">
        <f t="shared" si="890"/>
        <v>Monto II</v>
      </c>
      <c r="AJ1408" t="str">
        <f t="shared" si="891"/>
        <v>Porcentaje II</v>
      </c>
      <c r="AK1408" t="str">
        <f t="shared" si="892"/>
        <v>Foto</v>
      </c>
      <c r="AL1408" t="str">
        <f>" "</f>
        <v xml:space="preserve"> </v>
      </c>
      <c r="AM1408" t="str">
        <f t="shared" si="908"/>
        <v xml:space="preserve"> </v>
      </c>
    </row>
    <row r="1409" spans="1:39" x14ac:dyDescent="0.25">
      <c r="A1409" t="str">
        <f>"BI749"</f>
        <v>BI749</v>
      </c>
      <c r="B1409" t="str">
        <f>"COJINETES BIELA STD TOYOTA HILUX 2.8 L DIESEL MOTOR 3L"</f>
        <v>COJINETES BIELA STD TOYOTA HILUX 2.8 L DIESEL MOTOR 3L</v>
      </c>
      <c r="C1409" t="str">
        <f>"$ 18359,78"</f>
        <v>$ 18359,78</v>
      </c>
      <c r="D1409" t="str">
        <f>"$ 18359,78"</f>
        <v>$ 18359,78</v>
      </c>
      <c r="E1409" t="str">
        <f>"$ 18359,78"</f>
        <v>$ 18359,78</v>
      </c>
      <c r="F1409" t="str">
        <f>"$ 18359,78"</f>
        <v>$ 18359,78</v>
      </c>
      <c r="G1409" t="str">
        <f>"$ 18359,78"</f>
        <v>$ 18359,78</v>
      </c>
      <c r="H1409" t="str">
        <f t="shared" si="875"/>
        <v>$ 0,00</v>
      </c>
      <c r="I1409" t="str">
        <f t="shared" si="911"/>
        <v>JUEGO COJINETES BIELA</v>
      </c>
      <c r="J1409" t="str">
        <f t="shared" si="876"/>
        <v>1</v>
      </c>
      <c r="K1409" t="str">
        <f t="shared" si="909"/>
        <v>0</v>
      </c>
      <c r="L1409" t="str">
        <f>"3,000"</f>
        <v>3,000</v>
      </c>
      <c r="M1409" t="str">
        <f t="shared" si="877"/>
        <v xml:space="preserve"> </v>
      </c>
      <c r="N1409" t="str">
        <f t="shared" si="902"/>
        <v>MPSI</v>
      </c>
      <c r="O1409" t="str">
        <f t="shared" si="903"/>
        <v>COJINETES</v>
      </c>
      <c r="P1409" t="str">
        <f t="shared" si="912"/>
        <v>0</v>
      </c>
      <c r="Q1409" t="str">
        <f t="shared" si="912"/>
        <v>0</v>
      </c>
      <c r="R1409" t="str">
        <f t="shared" si="913"/>
        <v>0,00</v>
      </c>
      <c r="S1409" t="str">
        <f t="shared" si="913"/>
        <v>0,00</v>
      </c>
      <c r="T1409" t="str">
        <f t="shared" si="896"/>
        <v xml:space="preserve"> </v>
      </c>
      <c r="U1409" t="str">
        <f t="shared" si="906"/>
        <v>-</v>
      </c>
      <c r="V1409" t="str">
        <f>"3,000"</f>
        <v>3,000</v>
      </c>
      <c r="W1409" t="str">
        <f t="shared" si="878"/>
        <v>Lista 4</v>
      </c>
      <c r="X1409" t="str">
        <f t="shared" si="879"/>
        <v>Lista 5</v>
      </c>
      <c r="Y1409" t="str">
        <f t="shared" si="880"/>
        <v>Oferta Gral.</v>
      </c>
      <c r="Z1409" t="str">
        <f t="shared" si="881"/>
        <v>Rubro</v>
      </c>
      <c r="AA1409" t="str">
        <f t="shared" si="882"/>
        <v>Cantidad por Bulto</v>
      </c>
      <c r="AB1409" t="str">
        <f t="shared" si="883"/>
        <v>INNER</v>
      </c>
      <c r="AC1409" t="str">
        <f t="shared" si="884"/>
        <v>Stock en Bultos</v>
      </c>
      <c r="AD1409" t="str">
        <f t="shared" si="885"/>
        <v>SubDepósito</v>
      </c>
      <c r="AE1409" t="str">
        <f t="shared" si="886"/>
        <v>Marca</v>
      </c>
      <c r="AF1409" t="str">
        <f t="shared" si="887"/>
        <v>Super Rubro</v>
      </c>
      <c r="AG1409" t="str">
        <f t="shared" si="888"/>
        <v>ComercioExterior</v>
      </c>
      <c r="AH1409" t="str">
        <f t="shared" si="889"/>
        <v>PrecioFOB</v>
      </c>
      <c r="AI1409" t="str">
        <f t="shared" si="890"/>
        <v>Monto II</v>
      </c>
      <c r="AJ1409" t="str">
        <f t="shared" si="891"/>
        <v>Porcentaje II</v>
      </c>
      <c r="AK1409" t="str">
        <f t="shared" si="892"/>
        <v>Foto</v>
      </c>
      <c r="AL1409" t="str">
        <f>" "</f>
        <v xml:space="preserve"> </v>
      </c>
      <c r="AM1409" t="str">
        <f t="shared" si="908"/>
        <v xml:space="preserve"> </v>
      </c>
    </row>
    <row r="1410" spans="1:39" x14ac:dyDescent="0.25">
      <c r="A1410" t="str">
        <f>"BI837"</f>
        <v>BI837</v>
      </c>
      <c r="B1410" t="str">
        <f>"COJINETES BIELA STD TOYOTA HILUX 3.0 MOTOR D4D 1KD"</f>
        <v>COJINETES BIELA STD TOYOTA HILUX 3.0 MOTOR D4D 1KD</v>
      </c>
      <c r="C1410" t="str">
        <f>"$ 18874,17"</f>
        <v>$ 18874,17</v>
      </c>
      <c r="D1410" t="str">
        <f>"$ 18874,17"</f>
        <v>$ 18874,17</v>
      </c>
      <c r="E1410" t="str">
        <f>"$ 18874,17"</f>
        <v>$ 18874,17</v>
      </c>
      <c r="F1410" t="str">
        <f>"$ 18874,17"</f>
        <v>$ 18874,17</v>
      </c>
      <c r="G1410" t="str">
        <f>"$ 18874,17"</f>
        <v>$ 18874,17</v>
      </c>
      <c r="H1410" t="str">
        <f t="shared" si="875"/>
        <v>$ 0,00</v>
      </c>
      <c r="I1410" t="str">
        <f t="shared" si="911"/>
        <v>JUEGO COJINETES BIELA</v>
      </c>
      <c r="J1410" t="str">
        <f t="shared" si="876"/>
        <v>1</v>
      </c>
      <c r="K1410" t="str">
        <f t="shared" si="909"/>
        <v>0</v>
      </c>
      <c r="L1410" t="str">
        <f>"6,000"</f>
        <v>6,000</v>
      </c>
      <c r="M1410" t="str">
        <f t="shared" si="877"/>
        <v xml:space="preserve"> </v>
      </c>
      <c r="N1410" t="str">
        <f t="shared" si="902"/>
        <v>MPSI</v>
      </c>
      <c r="O1410" t="str">
        <f t="shared" si="903"/>
        <v>COJINETES</v>
      </c>
      <c r="P1410" t="str">
        <f t="shared" si="912"/>
        <v>0</v>
      </c>
      <c r="Q1410" t="str">
        <f t="shared" si="912"/>
        <v>0</v>
      </c>
      <c r="R1410" t="str">
        <f t="shared" si="913"/>
        <v>0,00</v>
      </c>
      <c r="S1410" t="str">
        <f t="shared" si="913"/>
        <v>0,00</v>
      </c>
      <c r="T1410" t="str">
        <f t="shared" si="896"/>
        <v xml:space="preserve"> </v>
      </c>
      <c r="U1410" t="str">
        <f t="shared" si="906"/>
        <v>-</v>
      </c>
      <c r="V1410" t="str">
        <f>"6,000"</f>
        <v>6,000</v>
      </c>
      <c r="W1410" t="str">
        <f t="shared" si="878"/>
        <v>Lista 4</v>
      </c>
      <c r="X1410" t="str">
        <f t="shared" si="879"/>
        <v>Lista 5</v>
      </c>
      <c r="Y1410" t="str">
        <f t="shared" si="880"/>
        <v>Oferta Gral.</v>
      </c>
      <c r="Z1410" t="str">
        <f t="shared" si="881"/>
        <v>Rubro</v>
      </c>
      <c r="AA1410" t="str">
        <f t="shared" si="882"/>
        <v>Cantidad por Bulto</v>
      </c>
      <c r="AB1410" t="str">
        <f t="shared" si="883"/>
        <v>INNER</v>
      </c>
      <c r="AC1410" t="str">
        <f t="shared" si="884"/>
        <v>Stock en Bultos</v>
      </c>
      <c r="AD1410" t="str">
        <f t="shared" si="885"/>
        <v>SubDepósito</v>
      </c>
      <c r="AE1410" t="str">
        <f t="shared" si="886"/>
        <v>Marca</v>
      </c>
      <c r="AF1410" t="str">
        <f t="shared" si="887"/>
        <v>Super Rubro</v>
      </c>
      <c r="AG1410" t="str">
        <f t="shared" si="888"/>
        <v>ComercioExterior</v>
      </c>
      <c r="AH1410" t="str">
        <f t="shared" si="889"/>
        <v>PrecioFOB</v>
      </c>
      <c r="AI1410" t="str">
        <f t="shared" si="890"/>
        <v>Monto II</v>
      </c>
      <c r="AJ1410" t="str">
        <f t="shared" si="891"/>
        <v>Porcentaje II</v>
      </c>
      <c r="AK1410" t="str">
        <f t="shared" si="892"/>
        <v>Foto</v>
      </c>
      <c r="AL1410" t="str">
        <f>" "</f>
        <v xml:space="preserve"> </v>
      </c>
      <c r="AM1410" t="str">
        <f t="shared" si="908"/>
        <v xml:space="preserve"> </v>
      </c>
    </row>
    <row r="1411" spans="1:39" x14ac:dyDescent="0.25">
      <c r="A1411" t="str">
        <f>"BI625"</f>
        <v>BI625</v>
      </c>
      <c r="B1411" t="str">
        <f>"COJINETES BIELA STD VW FOX SURAN GOL TREND GOLF IVI 1.6 8V"</f>
        <v>COJINETES BIELA STD VW FOX SURAN GOL TREND GOLF IVI 1.6 8V</v>
      </c>
      <c r="C1411" t="str">
        <f>"$ 11667,37"</f>
        <v>$ 11667,37</v>
      </c>
      <c r="D1411" t="str">
        <f>"$ 11667,37"</f>
        <v>$ 11667,37</v>
      </c>
      <c r="E1411" t="str">
        <f>"$ 11667,37"</f>
        <v>$ 11667,37</v>
      </c>
      <c r="F1411" t="str">
        <f>"$ 11667,37"</f>
        <v>$ 11667,37</v>
      </c>
      <c r="G1411" t="str">
        <f>"$ 11667,37"</f>
        <v>$ 11667,37</v>
      </c>
      <c r="H1411" t="str">
        <f t="shared" ref="H1411:H1474" si="914">"$ 0,00"</f>
        <v>$ 0,00</v>
      </c>
      <c r="I1411" t="str">
        <f t="shared" si="911"/>
        <v>JUEGO COJINETES BIELA</v>
      </c>
      <c r="J1411" t="str">
        <f t="shared" ref="J1411:J1474" si="915">"1"</f>
        <v>1</v>
      </c>
      <c r="K1411" t="str">
        <f t="shared" si="909"/>
        <v>0</v>
      </c>
      <c r="L1411" t="str">
        <f>"0,000"</f>
        <v>0,000</v>
      </c>
      <c r="M1411" t="str">
        <f t="shared" ref="M1411:M1474" si="916">" "</f>
        <v xml:space="preserve"> </v>
      </c>
      <c r="N1411" t="str">
        <f t="shared" si="902"/>
        <v>MPSI</v>
      </c>
      <c r="O1411" t="str">
        <f t="shared" si="903"/>
        <v>COJINETES</v>
      </c>
      <c r="P1411" t="str">
        <f t="shared" si="912"/>
        <v>0</v>
      </c>
      <c r="Q1411" t="str">
        <f t="shared" si="912"/>
        <v>0</v>
      </c>
      <c r="R1411" t="str">
        <f t="shared" si="913"/>
        <v>0,00</v>
      </c>
      <c r="S1411" t="str">
        <f t="shared" si="913"/>
        <v>0,00</v>
      </c>
      <c r="T1411" t="str">
        <f t="shared" si="896"/>
        <v xml:space="preserve"> </v>
      </c>
      <c r="U1411" t="str">
        <f t="shared" si="906"/>
        <v>-</v>
      </c>
      <c r="V1411" t="str">
        <f>"0,000"</f>
        <v>0,000</v>
      </c>
      <c r="W1411" t="str">
        <f t="shared" ref="W1411:W1474" si="917">"Lista 4"</f>
        <v>Lista 4</v>
      </c>
      <c r="X1411" t="str">
        <f t="shared" ref="X1411:X1474" si="918">"Lista 5"</f>
        <v>Lista 5</v>
      </c>
      <c r="Y1411" t="str">
        <f t="shared" ref="Y1411:Y1474" si="919">"Oferta Gral."</f>
        <v>Oferta Gral.</v>
      </c>
      <c r="Z1411" t="str">
        <f t="shared" ref="Z1411:Z1474" si="920">"Rubro"</f>
        <v>Rubro</v>
      </c>
      <c r="AA1411" t="str">
        <f t="shared" ref="AA1411:AA1474" si="921">"Cantidad por Bulto"</f>
        <v>Cantidad por Bulto</v>
      </c>
      <c r="AB1411" t="str">
        <f t="shared" ref="AB1411:AB1474" si="922">"INNER"</f>
        <v>INNER</v>
      </c>
      <c r="AC1411" t="str">
        <f t="shared" ref="AC1411:AC1474" si="923">"Stock en Bultos"</f>
        <v>Stock en Bultos</v>
      </c>
      <c r="AD1411" t="str">
        <f t="shared" ref="AD1411:AD1474" si="924">"SubDepósito"</f>
        <v>SubDepósito</v>
      </c>
      <c r="AE1411" t="str">
        <f t="shared" ref="AE1411:AE1474" si="925">"Marca"</f>
        <v>Marca</v>
      </c>
      <c r="AF1411" t="str">
        <f t="shared" ref="AF1411:AF1474" si="926">"Super Rubro"</f>
        <v>Super Rubro</v>
      </c>
      <c r="AG1411" t="str">
        <f t="shared" ref="AG1411:AG1474" si="927">"ComercioExterior"</f>
        <v>ComercioExterior</v>
      </c>
      <c r="AH1411" t="str">
        <f t="shared" ref="AH1411:AH1474" si="928">"PrecioFOB"</f>
        <v>PrecioFOB</v>
      </c>
      <c r="AI1411" t="str">
        <f t="shared" ref="AI1411:AI1474" si="929">"Monto II"</f>
        <v>Monto II</v>
      </c>
      <c r="AJ1411" t="str">
        <f t="shared" ref="AJ1411:AJ1474" si="930">"Porcentaje II"</f>
        <v>Porcentaje II</v>
      </c>
      <c r="AK1411" t="str">
        <f t="shared" ref="AK1411:AK1474" si="931">"Foto"</f>
        <v>Foto</v>
      </c>
      <c r="AL1411" t="str">
        <f>"{\rtf1\ansi\ansicpg1252\deff0\deflang2058{\fonttbl{\f0\fnil\fcharset0 MS Sans Serif}} \viewkind4\uc1\pard\f0\fs16 COJINETES BIELA STD VW FOX SURAN GOL TREND GOLF IVI 1.6 8V\par } "</f>
        <v xml:space="preserve">{\rtf1\ansi\ansicpg1252\deff0\deflang2058{\fonttbl{\f0\fnil\fcharset0 MS Sans Serif}} \viewkind4\uc1\pard\f0\fs16 COJINETES BIELA STD VW FOX SURAN GOL TREND GOLF IVI 1.6 8V\par } </v>
      </c>
      <c r="AM1411" t="str">
        <f t="shared" si="908"/>
        <v xml:space="preserve"> </v>
      </c>
    </row>
    <row r="1412" spans="1:39" x14ac:dyDescent="0.25">
      <c r="A1412" t="str">
        <f>"BI624"</f>
        <v>BI624</v>
      </c>
      <c r="B1412" t="str">
        <f>"COJINETES BIELA STD VW GOL 1000"</f>
        <v>COJINETES BIELA STD VW GOL 1000</v>
      </c>
      <c r="C1412" t="str">
        <f>"$ 12879,55"</f>
        <v>$ 12879,55</v>
      </c>
      <c r="D1412" t="str">
        <f>"$ 12879,55"</f>
        <v>$ 12879,55</v>
      </c>
      <c r="E1412" t="str">
        <f>"$ 12879,55"</f>
        <v>$ 12879,55</v>
      </c>
      <c r="F1412" t="str">
        <f>"$ 12879,55"</f>
        <v>$ 12879,55</v>
      </c>
      <c r="G1412" t="str">
        <f>"$ 12879,55"</f>
        <v>$ 12879,55</v>
      </c>
      <c r="H1412" t="str">
        <f t="shared" si="914"/>
        <v>$ 0,00</v>
      </c>
      <c r="I1412" t="str">
        <f t="shared" si="911"/>
        <v>JUEGO COJINETES BIELA</v>
      </c>
      <c r="J1412" t="str">
        <f t="shared" si="915"/>
        <v>1</v>
      </c>
      <c r="K1412" t="str">
        <f t="shared" si="909"/>
        <v>0</v>
      </c>
      <c r="L1412" t="str">
        <f>"6,000"</f>
        <v>6,000</v>
      </c>
      <c r="M1412" t="str">
        <f t="shared" si="916"/>
        <v xml:space="preserve"> </v>
      </c>
      <c r="N1412" t="str">
        <f t="shared" si="902"/>
        <v>MPSI</v>
      </c>
      <c r="O1412" t="str">
        <f t="shared" si="903"/>
        <v>COJINETES</v>
      </c>
      <c r="P1412" t="str">
        <f t="shared" si="912"/>
        <v>0</v>
      </c>
      <c r="Q1412" t="str">
        <f t="shared" si="912"/>
        <v>0</v>
      </c>
      <c r="R1412" t="str">
        <f t="shared" si="913"/>
        <v>0,00</v>
      </c>
      <c r="S1412" t="str">
        <f t="shared" si="913"/>
        <v>0,00</v>
      </c>
      <c r="T1412" t="str">
        <f t="shared" si="896"/>
        <v xml:space="preserve"> </v>
      </c>
      <c r="U1412" t="str">
        <f t="shared" si="906"/>
        <v>-</v>
      </c>
      <c r="V1412" t="str">
        <f>"6,000"</f>
        <v>6,000</v>
      </c>
      <c r="W1412" t="str">
        <f t="shared" si="917"/>
        <v>Lista 4</v>
      </c>
      <c r="X1412" t="str">
        <f t="shared" si="918"/>
        <v>Lista 5</v>
      </c>
      <c r="Y1412" t="str">
        <f t="shared" si="919"/>
        <v>Oferta Gral.</v>
      </c>
      <c r="Z1412" t="str">
        <f t="shared" si="920"/>
        <v>Rubro</v>
      </c>
      <c r="AA1412" t="str">
        <f t="shared" si="921"/>
        <v>Cantidad por Bulto</v>
      </c>
      <c r="AB1412" t="str">
        <f t="shared" si="922"/>
        <v>INNER</v>
      </c>
      <c r="AC1412" t="str">
        <f t="shared" si="923"/>
        <v>Stock en Bultos</v>
      </c>
      <c r="AD1412" t="str">
        <f t="shared" si="924"/>
        <v>SubDepósito</v>
      </c>
      <c r="AE1412" t="str">
        <f t="shared" si="925"/>
        <v>Marca</v>
      </c>
      <c r="AF1412" t="str">
        <f t="shared" si="926"/>
        <v>Super Rubro</v>
      </c>
      <c r="AG1412" t="str">
        <f t="shared" si="927"/>
        <v>ComercioExterior</v>
      </c>
      <c r="AH1412" t="str">
        <f t="shared" si="928"/>
        <v>PrecioFOB</v>
      </c>
      <c r="AI1412" t="str">
        <f t="shared" si="929"/>
        <v>Monto II</v>
      </c>
      <c r="AJ1412" t="str">
        <f t="shared" si="930"/>
        <v>Porcentaje II</v>
      </c>
      <c r="AK1412" t="str">
        <f t="shared" si="931"/>
        <v>Foto</v>
      </c>
      <c r="AL1412" t="str">
        <f>" "</f>
        <v xml:space="preserve"> </v>
      </c>
      <c r="AM1412" t="str">
        <f t="shared" si="908"/>
        <v xml:space="preserve"> </v>
      </c>
    </row>
    <row r="1413" spans="1:39" x14ac:dyDescent="0.25">
      <c r="A1413" t="str">
        <f>"BI628"</f>
        <v>BI628</v>
      </c>
      <c r="B1413" t="str">
        <f>"COJINETES BIELA STD VW GOL POLO SAVEIRO MOTOR AUDI 1.6 8V"</f>
        <v>COJINETES BIELA STD VW GOL POLO SAVEIRO MOTOR AUDI 1.6 8V</v>
      </c>
      <c r="C1413" t="str">
        <f>"$ 12196,21"</f>
        <v>$ 12196,21</v>
      </c>
      <c r="D1413" t="str">
        <f>"$ 12196,21"</f>
        <v>$ 12196,21</v>
      </c>
      <c r="E1413" t="str">
        <f>"$ 12196,21"</f>
        <v>$ 12196,21</v>
      </c>
      <c r="F1413" t="str">
        <f>"$ 12196,21"</f>
        <v>$ 12196,21</v>
      </c>
      <c r="G1413" t="str">
        <f>"$ 12196,21"</f>
        <v>$ 12196,21</v>
      </c>
      <c r="H1413" t="str">
        <f t="shared" si="914"/>
        <v>$ 0,00</v>
      </c>
      <c r="I1413" t="str">
        <f t="shared" si="911"/>
        <v>JUEGO COJINETES BIELA</v>
      </c>
      <c r="J1413" t="str">
        <f t="shared" si="915"/>
        <v>1</v>
      </c>
      <c r="K1413" t="str">
        <f t="shared" si="909"/>
        <v>0</v>
      </c>
      <c r="L1413" t="str">
        <f>"42,000"</f>
        <v>42,000</v>
      </c>
      <c r="M1413" t="str">
        <f t="shared" si="916"/>
        <v xml:space="preserve"> </v>
      </c>
      <c r="N1413" t="str">
        <f t="shared" si="902"/>
        <v>MPSI</v>
      </c>
      <c r="O1413" t="str">
        <f t="shared" si="903"/>
        <v>COJINETES</v>
      </c>
      <c r="P1413" t="str">
        <f t="shared" si="912"/>
        <v>0</v>
      </c>
      <c r="Q1413" t="str">
        <f t="shared" si="912"/>
        <v>0</v>
      </c>
      <c r="R1413" t="str">
        <f t="shared" si="913"/>
        <v>0,00</v>
      </c>
      <c r="S1413" t="str">
        <f t="shared" si="913"/>
        <v>0,00</v>
      </c>
      <c r="T1413" t="str">
        <f t="shared" si="896"/>
        <v xml:space="preserve"> </v>
      </c>
      <c r="U1413" t="str">
        <f t="shared" si="906"/>
        <v>-</v>
      </c>
      <c r="V1413" t="str">
        <f>"42,000"</f>
        <v>42,000</v>
      </c>
      <c r="W1413" t="str">
        <f t="shared" si="917"/>
        <v>Lista 4</v>
      </c>
      <c r="X1413" t="str">
        <f t="shared" si="918"/>
        <v>Lista 5</v>
      </c>
      <c r="Y1413" t="str">
        <f t="shared" si="919"/>
        <v>Oferta Gral.</v>
      </c>
      <c r="Z1413" t="str">
        <f t="shared" si="920"/>
        <v>Rubro</v>
      </c>
      <c r="AA1413" t="str">
        <f t="shared" si="921"/>
        <v>Cantidad por Bulto</v>
      </c>
      <c r="AB1413" t="str">
        <f t="shared" si="922"/>
        <v>INNER</v>
      </c>
      <c r="AC1413" t="str">
        <f t="shared" si="923"/>
        <v>Stock en Bultos</v>
      </c>
      <c r="AD1413" t="str">
        <f t="shared" si="924"/>
        <v>SubDepósito</v>
      </c>
      <c r="AE1413" t="str">
        <f t="shared" si="925"/>
        <v>Marca</v>
      </c>
      <c r="AF1413" t="str">
        <f t="shared" si="926"/>
        <v>Super Rubro</v>
      </c>
      <c r="AG1413" t="str">
        <f t="shared" si="927"/>
        <v>ComercioExterior</v>
      </c>
      <c r="AH1413" t="str">
        <f t="shared" si="928"/>
        <v>PrecioFOB</v>
      </c>
      <c r="AI1413" t="str">
        <f t="shared" si="929"/>
        <v>Monto II</v>
      </c>
      <c r="AJ1413" t="str">
        <f t="shared" si="930"/>
        <v>Porcentaje II</v>
      </c>
      <c r="AK1413" t="str">
        <f t="shared" si="931"/>
        <v>Foto</v>
      </c>
      <c r="AL1413" t="str">
        <f>"{\rtf1\ansi\ansicpg1252\deff0\deflang2058{\fonttbl{\f0\fnil\fcharset0 MS Sans Serif}} \viewkind4\uc1\pard\f0\fs16 COJINETES BIELA STD VW GOL POLO SAVEIRO MOTOR AUDI 1.6 8V\par } "</f>
        <v xml:space="preserve">{\rtf1\ansi\ansicpg1252\deff0\deflang2058{\fonttbl{\f0\fnil\fcharset0 MS Sans Serif}} \viewkind4\uc1\pard\f0\fs16 COJINETES BIELA STD VW GOL POLO SAVEIRO MOTOR AUDI 1.6 8V\par } </v>
      </c>
      <c r="AM1413" t="str">
        <f t="shared" si="908"/>
        <v xml:space="preserve"> </v>
      </c>
    </row>
    <row r="1414" spans="1:39" x14ac:dyDescent="0.25">
      <c r="A1414" t="str">
        <f>"BI483"</f>
        <v>BI483</v>
      </c>
      <c r="B1414" t="str">
        <f>"COJINETES BIELA STD VW POLO 1.9 TDI"</f>
        <v>COJINETES BIELA STD VW POLO 1.9 TDI</v>
      </c>
      <c r="C1414" t="str">
        <f>"$ 24354,41"</f>
        <v>$ 24354,41</v>
      </c>
      <c r="D1414" t="str">
        <f>"$ 24354,41"</f>
        <v>$ 24354,41</v>
      </c>
      <c r="E1414" t="str">
        <f>"$ 24354,41"</f>
        <v>$ 24354,41</v>
      </c>
      <c r="F1414" t="str">
        <f>"$ 24354,41"</f>
        <v>$ 24354,41</v>
      </c>
      <c r="G1414" t="str">
        <f>"$ 24354,41"</f>
        <v>$ 24354,41</v>
      </c>
      <c r="H1414" t="str">
        <f t="shared" si="914"/>
        <v>$ 0,00</v>
      </c>
      <c r="I1414" t="str">
        <f t="shared" si="911"/>
        <v>JUEGO COJINETES BIELA</v>
      </c>
      <c r="J1414" t="str">
        <f t="shared" si="915"/>
        <v>1</v>
      </c>
      <c r="K1414" t="str">
        <f t="shared" si="909"/>
        <v>0</v>
      </c>
      <c r="L1414" t="str">
        <f>"7,000"</f>
        <v>7,000</v>
      </c>
      <c r="M1414" t="str">
        <f t="shared" si="916"/>
        <v xml:space="preserve"> </v>
      </c>
      <c r="N1414" t="str">
        <f t="shared" si="902"/>
        <v>MPSI</v>
      </c>
      <c r="O1414" t="str">
        <f t="shared" si="903"/>
        <v>COJINETES</v>
      </c>
      <c r="P1414" t="str">
        <f t="shared" si="912"/>
        <v>0</v>
      </c>
      <c r="Q1414" t="str">
        <f t="shared" si="912"/>
        <v>0</v>
      </c>
      <c r="R1414" t="str">
        <f t="shared" si="913"/>
        <v>0,00</v>
      </c>
      <c r="S1414" t="str">
        <f t="shared" si="913"/>
        <v>0,00</v>
      </c>
      <c r="T1414" t="str">
        <f t="shared" si="896"/>
        <v xml:space="preserve"> </v>
      </c>
      <c r="U1414" t="str">
        <f t="shared" si="906"/>
        <v>-</v>
      </c>
      <c r="V1414" t="str">
        <f>"7,000"</f>
        <v>7,000</v>
      </c>
      <c r="W1414" t="str">
        <f t="shared" si="917"/>
        <v>Lista 4</v>
      </c>
      <c r="X1414" t="str">
        <f t="shared" si="918"/>
        <v>Lista 5</v>
      </c>
      <c r="Y1414" t="str">
        <f t="shared" si="919"/>
        <v>Oferta Gral.</v>
      </c>
      <c r="Z1414" t="str">
        <f t="shared" si="920"/>
        <v>Rubro</v>
      </c>
      <c r="AA1414" t="str">
        <f t="shared" si="921"/>
        <v>Cantidad por Bulto</v>
      </c>
      <c r="AB1414" t="str">
        <f t="shared" si="922"/>
        <v>INNER</v>
      </c>
      <c r="AC1414" t="str">
        <f t="shared" si="923"/>
        <v>Stock en Bultos</v>
      </c>
      <c r="AD1414" t="str">
        <f t="shared" si="924"/>
        <v>SubDepósito</v>
      </c>
      <c r="AE1414" t="str">
        <f t="shared" si="925"/>
        <v>Marca</v>
      </c>
      <c r="AF1414" t="str">
        <f t="shared" si="926"/>
        <v>Super Rubro</v>
      </c>
      <c r="AG1414" t="str">
        <f t="shared" si="927"/>
        <v>ComercioExterior</v>
      </c>
      <c r="AH1414" t="str">
        <f t="shared" si="928"/>
        <v>PrecioFOB</v>
      </c>
      <c r="AI1414" t="str">
        <f t="shared" si="929"/>
        <v>Monto II</v>
      </c>
      <c r="AJ1414" t="str">
        <f t="shared" si="930"/>
        <v>Porcentaje II</v>
      </c>
      <c r="AK1414" t="str">
        <f t="shared" si="931"/>
        <v>Foto</v>
      </c>
      <c r="AL1414" t="str">
        <f>"{\rtf1\ansi\ansicpg1252\deff0\deflang11274{\fonttbl{\f0\fnil\fcharset0 MS Sans Serif}} \viewkind4\uc1\pard\f0\fs16 COJINETES BIELA STD VW POLO 1.9 TDI\par } "</f>
        <v xml:space="preserve">{\rtf1\ansi\ansicpg1252\deff0\deflang11274{\fonttbl{\f0\fnil\fcharset0 MS Sans Serif}} \viewkind4\uc1\pard\f0\fs16 COJINETES BIELA STD VW POLO 1.9 TDI\par } </v>
      </c>
      <c r="AM1414" t="str">
        <f t="shared" si="908"/>
        <v xml:space="preserve"> </v>
      </c>
    </row>
    <row r="1415" spans="1:39" x14ac:dyDescent="0.25">
      <c r="A1415" t="str">
        <f>"BI480"</f>
        <v>BI480</v>
      </c>
      <c r="B1415" t="str">
        <f>"COJINETES BIELA STD VW SENDA GOL DIESEL 1600"</f>
        <v>COJINETES BIELA STD VW SENDA GOL DIESEL 1600</v>
      </c>
      <c r="C1415" t="str">
        <f>"$ 14482,07"</f>
        <v>$ 14482,07</v>
      </c>
      <c r="D1415" t="str">
        <f>"$ 14482,07"</f>
        <v>$ 14482,07</v>
      </c>
      <c r="E1415" t="str">
        <f>"$ 14482,07"</f>
        <v>$ 14482,07</v>
      </c>
      <c r="F1415" t="str">
        <f>"$ 14482,07"</f>
        <v>$ 14482,07</v>
      </c>
      <c r="G1415" t="str">
        <f>"$ 14482,07"</f>
        <v>$ 14482,07</v>
      </c>
      <c r="H1415" t="str">
        <f t="shared" si="914"/>
        <v>$ 0,00</v>
      </c>
      <c r="I1415" t="str">
        <f t="shared" si="911"/>
        <v>JUEGO COJINETES BIELA</v>
      </c>
      <c r="J1415" t="str">
        <f t="shared" si="915"/>
        <v>1</v>
      </c>
      <c r="K1415" t="str">
        <f t="shared" si="909"/>
        <v>0</v>
      </c>
      <c r="L1415" t="str">
        <f>"-1,000"</f>
        <v>-1,000</v>
      </c>
      <c r="M1415" t="str">
        <f t="shared" si="916"/>
        <v xml:space="preserve"> </v>
      </c>
      <c r="N1415" t="str">
        <f t="shared" si="902"/>
        <v>MPSI</v>
      </c>
      <c r="O1415" t="str">
        <f t="shared" si="903"/>
        <v>COJINETES</v>
      </c>
      <c r="P1415" t="str">
        <f t="shared" si="912"/>
        <v>0</v>
      </c>
      <c r="Q1415" t="str">
        <f t="shared" si="912"/>
        <v>0</v>
      </c>
      <c r="R1415" t="str">
        <f t="shared" si="913"/>
        <v>0,00</v>
      </c>
      <c r="S1415" t="str">
        <f t="shared" si="913"/>
        <v>0,00</v>
      </c>
      <c r="T1415" t="str">
        <f t="shared" si="896"/>
        <v xml:space="preserve"> </v>
      </c>
      <c r="U1415" t="str">
        <f t="shared" si="906"/>
        <v>-</v>
      </c>
      <c r="V1415" t="str">
        <f>"-1,000"</f>
        <v>-1,000</v>
      </c>
      <c r="W1415" t="str">
        <f t="shared" si="917"/>
        <v>Lista 4</v>
      </c>
      <c r="X1415" t="str">
        <f t="shared" si="918"/>
        <v>Lista 5</v>
      </c>
      <c r="Y1415" t="str">
        <f t="shared" si="919"/>
        <v>Oferta Gral.</v>
      </c>
      <c r="Z1415" t="str">
        <f t="shared" si="920"/>
        <v>Rubro</v>
      </c>
      <c r="AA1415" t="str">
        <f t="shared" si="921"/>
        <v>Cantidad por Bulto</v>
      </c>
      <c r="AB1415" t="str">
        <f t="shared" si="922"/>
        <v>INNER</v>
      </c>
      <c r="AC1415" t="str">
        <f t="shared" si="923"/>
        <v>Stock en Bultos</v>
      </c>
      <c r="AD1415" t="str">
        <f t="shared" si="924"/>
        <v>SubDepósito</v>
      </c>
      <c r="AE1415" t="str">
        <f t="shared" si="925"/>
        <v>Marca</v>
      </c>
      <c r="AF1415" t="str">
        <f t="shared" si="926"/>
        <v>Super Rubro</v>
      </c>
      <c r="AG1415" t="str">
        <f t="shared" si="927"/>
        <v>ComercioExterior</v>
      </c>
      <c r="AH1415" t="str">
        <f t="shared" si="928"/>
        <v>PrecioFOB</v>
      </c>
      <c r="AI1415" t="str">
        <f t="shared" si="929"/>
        <v>Monto II</v>
      </c>
      <c r="AJ1415" t="str">
        <f t="shared" si="930"/>
        <v>Porcentaje II</v>
      </c>
      <c r="AK1415" t="str">
        <f t="shared" si="931"/>
        <v>Foto</v>
      </c>
      <c r="AL1415" t="str">
        <f>" "</f>
        <v xml:space="preserve"> </v>
      </c>
      <c r="AM1415" t="str">
        <f t="shared" si="908"/>
        <v xml:space="preserve"> </v>
      </c>
    </row>
    <row r="1416" spans="1:39" x14ac:dyDescent="0.25">
      <c r="A1416" t="str">
        <f>"BI463108"</f>
        <v>BI463108</v>
      </c>
      <c r="B1416" t="str">
        <f>"COJINETES BIELA STD VW UP 1.0 3 CILINDROS"</f>
        <v>COJINETES BIELA STD VW UP 1.0 3 CILINDROS</v>
      </c>
      <c r="C1416" t="str">
        <f>"$ 9654,71"</f>
        <v>$ 9654,71</v>
      </c>
      <c r="D1416" t="str">
        <f>"$ 9654,71"</f>
        <v>$ 9654,71</v>
      </c>
      <c r="E1416" t="str">
        <f>"$ 9654,71"</f>
        <v>$ 9654,71</v>
      </c>
      <c r="F1416" t="str">
        <f>"$ 9654,71"</f>
        <v>$ 9654,71</v>
      </c>
      <c r="G1416" t="str">
        <f>"$ 9654,71"</f>
        <v>$ 9654,71</v>
      </c>
      <c r="H1416" t="str">
        <f t="shared" si="914"/>
        <v>$ 0,00</v>
      </c>
      <c r="I1416" t="str">
        <f t="shared" si="911"/>
        <v>JUEGO COJINETES BIELA</v>
      </c>
      <c r="J1416" t="str">
        <f t="shared" si="915"/>
        <v>1</v>
      </c>
      <c r="K1416" t="str">
        <f t="shared" si="909"/>
        <v>0</v>
      </c>
      <c r="L1416" t="str">
        <f>"6,000"</f>
        <v>6,000</v>
      </c>
      <c r="M1416" t="str">
        <f t="shared" si="916"/>
        <v xml:space="preserve"> </v>
      </c>
      <c r="N1416" t="str">
        <f t="shared" si="902"/>
        <v>MPSI</v>
      </c>
      <c r="O1416" t="str">
        <f t="shared" si="903"/>
        <v>COJINETES</v>
      </c>
      <c r="P1416" t="str">
        <f t="shared" si="912"/>
        <v>0</v>
      </c>
      <c r="Q1416" t="str">
        <f t="shared" si="912"/>
        <v>0</v>
      </c>
      <c r="R1416" t="str">
        <f t="shared" si="913"/>
        <v>0,00</v>
      </c>
      <c r="S1416" t="str">
        <f t="shared" si="913"/>
        <v>0,00</v>
      </c>
      <c r="T1416" t="str">
        <f t="shared" si="896"/>
        <v xml:space="preserve"> </v>
      </c>
      <c r="U1416" t="str">
        <f t="shared" si="906"/>
        <v>-</v>
      </c>
      <c r="V1416" t="str">
        <f>"6,000"</f>
        <v>6,000</v>
      </c>
      <c r="W1416" t="str">
        <f t="shared" si="917"/>
        <v>Lista 4</v>
      </c>
      <c r="X1416" t="str">
        <f t="shared" si="918"/>
        <v>Lista 5</v>
      </c>
      <c r="Y1416" t="str">
        <f t="shared" si="919"/>
        <v>Oferta Gral.</v>
      </c>
      <c r="Z1416" t="str">
        <f t="shared" si="920"/>
        <v>Rubro</v>
      </c>
      <c r="AA1416" t="str">
        <f t="shared" si="921"/>
        <v>Cantidad por Bulto</v>
      </c>
      <c r="AB1416" t="str">
        <f t="shared" si="922"/>
        <v>INNER</v>
      </c>
      <c r="AC1416" t="str">
        <f t="shared" si="923"/>
        <v>Stock en Bultos</v>
      </c>
      <c r="AD1416" t="str">
        <f t="shared" si="924"/>
        <v>SubDepósito</v>
      </c>
      <c r="AE1416" t="str">
        <f t="shared" si="925"/>
        <v>Marca</v>
      </c>
      <c r="AF1416" t="str">
        <f t="shared" si="926"/>
        <v>Super Rubro</v>
      </c>
      <c r="AG1416" t="str">
        <f t="shared" si="927"/>
        <v>ComercioExterior</v>
      </c>
      <c r="AH1416" t="str">
        <f t="shared" si="928"/>
        <v>PrecioFOB</v>
      </c>
      <c r="AI1416" t="str">
        <f t="shared" si="929"/>
        <v>Monto II</v>
      </c>
      <c r="AJ1416" t="str">
        <f t="shared" si="930"/>
        <v>Porcentaje II</v>
      </c>
      <c r="AK1416" t="str">
        <f t="shared" si="931"/>
        <v>Foto</v>
      </c>
      <c r="AL1416" t="str">
        <f>" "</f>
        <v xml:space="preserve"> </v>
      </c>
      <c r="AM1416" t="str">
        <f t="shared" si="908"/>
        <v xml:space="preserve"> </v>
      </c>
    </row>
    <row r="1417" spans="1:39" x14ac:dyDescent="0.25">
      <c r="A1417" t="str">
        <f>"AX479 5"</f>
        <v>AX479 5</v>
      </c>
      <c r="B1417" t="str">
        <f>"COJINTES AXIALES 0,127 VW GOL POLO MOTOR AUDI 1.6 1.8 2.0"</f>
        <v>COJINTES AXIALES 0,127 VW GOL POLO MOTOR AUDI 1.6 1.8 2.0</v>
      </c>
      <c r="C1417" t="str">
        <f t="shared" ref="C1417:G1419" si="932">"$ 6766,21"</f>
        <v>$ 6766,21</v>
      </c>
      <c r="D1417" t="str">
        <f t="shared" si="932"/>
        <v>$ 6766,21</v>
      </c>
      <c r="E1417" t="str">
        <f t="shared" si="932"/>
        <v>$ 6766,21</v>
      </c>
      <c r="F1417" t="str">
        <f t="shared" si="932"/>
        <v>$ 6766,21</v>
      </c>
      <c r="G1417" t="str">
        <f t="shared" si="932"/>
        <v>$ 6766,21</v>
      </c>
      <c r="H1417" t="str">
        <f t="shared" si="914"/>
        <v>$ 0,00</v>
      </c>
      <c r="I1417" t="str">
        <f>"JUEGO AXIALES"</f>
        <v>JUEGO AXIALES</v>
      </c>
      <c r="J1417" t="str">
        <f t="shared" si="915"/>
        <v>1</v>
      </c>
      <c r="K1417" t="str">
        <f t="shared" si="909"/>
        <v>0</v>
      </c>
      <c r="L1417" t="str">
        <f>"0,000"</f>
        <v>0,000</v>
      </c>
      <c r="M1417" t="str">
        <f t="shared" si="916"/>
        <v xml:space="preserve"> </v>
      </c>
      <c r="N1417" t="str">
        <f t="shared" si="902"/>
        <v>MPSI</v>
      </c>
      <c r="O1417" t="str">
        <f t="shared" si="903"/>
        <v>COJINETES</v>
      </c>
      <c r="P1417" t="str">
        <f t="shared" si="912"/>
        <v>0</v>
      </c>
      <c r="Q1417" t="str">
        <f t="shared" si="912"/>
        <v>0</v>
      </c>
      <c r="R1417" t="str">
        <f t="shared" si="913"/>
        <v>0,00</v>
      </c>
      <c r="S1417" t="str">
        <f t="shared" si="913"/>
        <v>0,00</v>
      </c>
      <c r="T1417" t="str">
        <f t="shared" si="896"/>
        <v xml:space="preserve"> </v>
      </c>
      <c r="U1417" t="str">
        <f t="shared" si="906"/>
        <v>-</v>
      </c>
      <c r="V1417" t="str">
        <f>"0,000"</f>
        <v>0,000</v>
      </c>
      <c r="W1417" t="str">
        <f t="shared" si="917"/>
        <v>Lista 4</v>
      </c>
      <c r="X1417" t="str">
        <f t="shared" si="918"/>
        <v>Lista 5</v>
      </c>
      <c r="Y1417" t="str">
        <f t="shared" si="919"/>
        <v>Oferta Gral.</v>
      </c>
      <c r="Z1417" t="str">
        <f t="shared" si="920"/>
        <v>Rubro</v>
      </c>
      <c r="AA1417" t="str">
        <f t="shared" si="921"/>
        <v>Cantidad por Bulto</v>
      </c>
      <c r="AB1417" t="str">
        <f t="shared" si="922"/>
        <v>INNER</v>
      </c>
      <c r="AC1417" t="str">
        <f t="shared" si="923"/>
        <v>Stock en Bultos</v>
      </c>
      <c r="AD1417" t="str">
        <f t="shared" si="924"/>
        <v>SubDepósito</v>
      </c>
      <c r="AE1417" t="str">
        <f t="shared" si="925"/>
        <v>Marca</v>
      </c>
      <c r="AF1417" t="str">
        <f t="shared" si="926"/>
        <v>Super Rubro</v>
      </c>
      <c r="AG1417" t="str">
        <f t="shared" si="927"/>
        <v>ComercioExterior</v>
      </c>
      <c r="AH1417" t="str">
        <f t="shared" si="928"/>
        <v>PrecioFOB</v>
      </c>
      <c r="AI1417" t="str">
        <f t="shared" si="929"/>
        <v>Monto II</v>
      </c>
      <c r="AJ1417" t="str">
        <f t="shared" si="930"/>
        <v>Porcentaje II</v>
      </c>
      <c r="AK1417" t="str">
        <f t="shared" si="931"/>
        <v>Foto</v>
      </c>
      <c r="AL1417" t="str">
        <f>" "</f>
        <v xml:space="preserve"> </v>
      </c>
      <c r="AM1417" t="str">
        <f t="shared" si="908"/>
        <v xml:space="preserve"> </v>
      </c>
    </row>
    <row r="1418" spans="1:39" x14ac:dyDescent="0.25">
      <c r="A1418" t="str">
        <f>"AX479 10"</f>
        <v>AX479 10</v>
      </c>
      <c r="B1418" t="str">
        <f>"COJINTES AXIALES 0,254 VW GOL POLO MOTOR AUDI 1.6 1.8 2.0"</f>
        <v>COJINTES AXIALES 0,254 VW GOL POLO MOTOR AUDI 1.6 1.8 2.0</v>
      </c>
      <c r="C1418" t="str">
        <f t="shared" si="932"/>
        <v>$ 6766,21</v>
      </c>
      <c r="D1418" t="str">
        <f t="shared" si="932"/>
        <v>$ 6766,21</v>
      </c>
      <c r="E1418" t="str">
        <f t="shared" si="932"/>
        <v>$ 6766,21</v>
      </c>
      <c r="F1418" t="str">
        <f t="shared" si="932"/>
        <v>$ 6766,21</v>
      </c>
      <c r="G1418" t="str">
        <f t="shared" si="932"/>
        <v>$ 6766,21</v>
      </c>
      <c r="H1418" t="str">
        <f t="shared" si="914"/>
        <v>$ 0,00</v>
      </c>
      <c r="I1418" t="str">
        <f>"JUEGO AXIALES"</f>
        <v>JUEGO AXIALES</v>
      </c>
      <c r="J1418" t="str">
        <f t="shared" si="915"/>
        <v>1</v>
      </c>
      <c r="K1418" t="str">
        <f t="shared" si="909"/>
        <v>0</v>
      </c>
      <c r="L1418" t="str">
        <f>"19,000"</f>
        <v>19,000</v>
      </c>
      <c r="M1418" t="str">
        <f t="shared" si="916"/>
        <v xml:space="preserve"> </v>
      </c>
      <c r="N1418" t="str">
        <f t="shared" si="902"/>
        <v>MPSI</v>
      </c>
      <c r="O1418" t="str">
        <f t="shared" si="903"/>
        <v>COJINETES</v>
      </c>
      <c r="P1418" t="str">
        <f t="shared" si="912"/>
        <v>0</v>
      </c>
      <c r="Q1418" t="str">
        <f t="shared" si="912"/>
        <v>0</v>
      </c>
      <c r="R1418" t="str">
        <f t="shared" si="913"/>
        <v>0,00</v>
      </c>
      <c r="S1418" t="str">
        <f t="shared" si="913"/>
        <v>0,00</v>
      </c>
      <c r="T1418" t="str">
        <f t="shared" si="896"/>
        <v xml:space="preserve"> </v>
      </c>
      <c r="U1418" t="str">
        <f t="shared" si="906"/>
        <v>-</v>
      </c>
      <c r="V1418" t="str">
        <f>"19,000"</f>
        <v>19,000</v>
      </c>
      <c r="W1418" t="str">
        <f t="shared" si="917"/>
        <v>Lista 4</v>
      </c>
      <c r="X1418" t="str">
        <f t="shared" si="918"/>
        <v>Lista 5</v>
      </c>
      <c r="Y1418" t="str">
        <f t="shared" si="919"/>
        <v>Oferta Gral.</v>
      </c>
      <c r="Z1418" t="str">
        <f t="shared" si="920"/>
        <v>Rubro</v>
      </c>
      <c r="AA1418" t="str">
        <f t="shared" si="921"/>
        <v>Cantidad por Bulto</v>
      </c>
      <c r="AB1418" t="str">
        <f t="shared" si="922"/>
        <v>INNER</v>
      </c>
      <c r="AC1418" t="str">
        <f t="shared" si="923"/>
        <v>Stock en Bultos</v>
      </c>
      <c r="AD1418" t="str">
        <f t="shared" si="924"/>
        <v>SubDepósito</v>
      </c>
      <c r="AE1418" t="str">
        <f t="shared" si="925"/>
        <v>Marca</v>
      </c>
      <c r="AF1418" t="str">
        <f t="shared" si="926"/>
        <v>Super Rubro</v>
      </c>
      <c r="AG1418" t="str">
        <f t="shared" si="927"/>
        <v>ComercioExterior</v>
      </c>
      <c r="AH1418" t="str">
        <f t="shared" si="928"/>
        <v>PrecioFOB</v>
      </c>
      <c r="AI1418" t="str">
        <f t="shared" si="929"/>
        <v>Monto II</v>
      </c>
      <c r="AJ1418" t="str">
        <f t="shared" si="930"/>
        <v>Porcentaje II</v>
      </c>
      <c r="AK1418" t="str">
        <f t="shared" si="931"/>
        <v>Foto</v>
      </c>
      <c r="AL1418" t="str">
        <f>" "</f>
        <v xml:space="preserve"> </v>
      </c>
      <c r="AM1418" t="str">
        <f t="shared" si="908"/>
        <v xml:space="preserve"> </v>
      </c>
    </row>
    <row r="1419" spans="1:39" x14ac:dyDescent="0.25">
      <c r="A1419" t="str">
        <f>"AX479"</f>
        <v>AX479</v>
      </c>
      <c r="B1419" t="str">
        <f>"COJINTES AXIALES STD VW GOL POLO MOTOR AUDI 1.6 1.8 2.0"</f>
        <v>COJINTES AXIALES STD VW GOL POLO MOTOR AUDI 1.6 1.8 2.0</v>
      </c>
      <c r="C1419" t="str">
        <f t="shared" si="932"/>
        <v>$ 6766,21</v>
      </c>
      <c r="D1419" t="str">
        <f t="shared" si="932"/>
        <v>$ 6766,21</v>
      </c>
      <c r="E1419" t="str">
        <f t="shared" si="932"/>
        <v>$ 6766,21</v>
      </c>
      <c r="F1419" t="str">
        <f t="shared" si="932"/>
        <v>$ 6766,21</v>
      </c>
      <c r="G1419" t="str">
        <f t="shared" si="932"/>
        <v>$ 6766,21</v>
      </c>
      <c r="H1419" t="str">
        <f t="shared" si="914"/>
        <v>$ 0,00</v>
      </c>
      <c r="I1419" t="str">
        <f>"JUEGO AXIALES"</f>
        <v>JUEGO AXIALES</v>
      </c>
      <c r="J1419" t="str">
        <f t="shared" si="915"/>
        <v>1</v>
      </c>
      <c r="K1419" t="str">
        <f t="shared" si="909"/>
        <v>0</v>
      </c>
      <c r="L1419" t="str">
        <f>"0,000"</f>
        <v>0,000</v>
      </c>
      <c r="M1419" t="str">
        <f t="shared" si="916"/>
        <v xml:space="preserve"> </v>
      </c>
      <c r="N1419" t="str">
        <f t="shared" si="902"/>
        <v>MPSI</v>
      </c>
      <c r="O1419" t="str">
        <f t="shared" si="903"/>
        <v>COJINETES</v>
      </c>
      <c r="P1419" t="str">
        <f t="shared" si="912"/>
        <v>0</v>
      </c>
      <c r="Q1419" t="str">
        <f t="shared" si="912"/>
        <v>0</v>
      </c>
      <c r="R1419" t="str">
        <f t="shared" si="913"/>
        <v>0,00</v>
      </c>
      <c r="S1419" t="str">
        <f t="shared" si="913"/>
        <v>0,00</v>
      </c>
      <c r="T1419" t="str">
        <f t="shared" si="896"/>
        <v xml:space="preserve"> </v>
      </c>
      <c r="U1419" t="str">
        <f t="shared" si="906"/>
        <v>-</v>
      </c>
      <c r="V1419" t="str">
        <f>"0,000"</f>
        <v>0,000</v>
      </c>
      <c r="W1419" t="str">
        <f t="shared" si="917"/>
        <v>Lista 4</v>
      </c>
      <c r="X1419" t="str">
        <f t="shared" si="918"/>
        <v>Lista 5</v>
      </c>
      <c r="Y1419" t="str">
        <f t="shared" si="919"/>
        <v>Oferta Gral.</v>
      </c>
      <c r="Z1419" t="str">
        <f t="shared" si="920"/>
        <v>Rubro</v>
      </c>
      <c r="AA1419" t="str">
        <f t="shared" si="921"/>
        <v>Cantidad por Bulto</v>
      </c>
      <c r="AB1419" t="str">
        <f t="shared" si="922"/>
        <v>INNER</v>
      </c>
      <c r="AC1419" t="str">
        <f t="shared" si="923"/>
        <v>Stock en Bultos</v>
      </c>
      <c r="AD1419" t="str">
        <f t="shared" si="924"/>
        <v>SubDepósito</v>
      </c>
      <c r="AE1419" t="str">
        <f t="shared" si="925"/>
        <v>Marca</v>
      </c>
      <c r="AF1419" t="str">
        <f t="shared" si="926"/>
        <v>Super Rubro</v>
      </c>
      <c r="AG1419" t="str">
        <f t="shared" si="927"/>
        <v>ComercioExterior</v>
      </c>
      <c r="AH1419" t="str">
        <f t="shared" si="928"/>
        <v>PrecioFOB</v>
      </c>
      <c r="AI1419" t="str">
        <f t="shared" si="929"/>
        <v>Monto II</v>
      </c>
      <c r="AJ1419" t="str">
        <f t="shared" si="930"/>
        <v>Porcentaje II</v>
      </c>
      <c r="AK1419" t="str">
        <f t="shared" si="931"/>
        <v>Foto</v>
      </c>
      <c r="AL1419" t="str">
        <f>" "</f>
        <v xml:space="preserve"> </v>
      </c>
      <c r="AM1419" t="str">
        <f t="shared" si="908"/>
        <v xml:space="preserve"> </v>
      </c>
    </row>
    <row r="1420" spans="1:39" x14ac:dyDescent="0.25">
      <c r="A1420" t="str">
        <f>"COM001"</f>
        <v>COM001</v>
      </c>
      <c r="B1420" t="str">
        <f>"COMPRESOR AIRE 12V 140 PSI, CILINDRO 1X30MM 10 AMP"</f>
        <v>COMPRESOR AIRE 12V 140 PSI, CILINDRO 1X30MM 10 AMP</v>
      </c>
      <c r="C1420" t="str">
        <f>"$ 35569,78"</f>
        <v>$ 35569,78</v>
      </c>
      <c r="D1420" t="str">
        <f>"$ 35569,78"</f>
        <v>$ 35569,78</v>
      </c>
      <c r="E1420" t="str">
        <f>"$ 35569,78"</f>
        <v>$ 35569,78</v>
      </c>
      <c r="F1420" t="str">
        <f>"$ 35569,78"</f>
        <v>$ 35569,78</v>
      </c>
      <c r="G1420" t="str">
        <f>"$ 35569,78"</f>
        <v>$ 35569,78</v>
      </c>
      <c r="H1420" t="str">
        <f t="shared" si="914"/>
        <v>$ 0,00</v>
      </c>
      <c r="I1420" t="str">
        <f>"COMPRESOR DE AIRE"</f>
        <v>COMPRESOR DE AIRE</v>
      </c>
      <c r="J1420" t="str">
        <f t="shared" si="915"/>
        <v>1</v>
      </c>
      <c r="K1420" t="str">
        <f t="shared" si="909"/>
        <v>0</v>
      </c>
      <c r="L1420" t="str">
        <f>"10,000"</f>
        <v>10,000</v>
      </c>
      <c r="M1420" t="str">
        <f t="shared" si="916"/>
        <v xml:space="preserve"> </v>
      </c>
      <c r="N1420" t="str">
        <f>"OREGON"</f>
        <v>OREGON</v>
      </c>
      <c r="O1420" t="str">
        <f>"COMPRESOR"</f>
        <v>COMPRESOR</v>
      </c>
      <c r="P1420" t="str">
        <f t="shared" si="912"/>
        <v>0</v>
      </c>
      <c r="Q1420" t="str">
        <f t="shared" si="912"/>
        <v>0</v>
      </c>
      <c r="R1420" t="str">
        <f t="shared" si="913"/>
        <v>0,00</v>
      </c>
      <c r="S1420" t="str">
        <f t="shared" si="913"/>
        <v>0,00</v>
      </c>
      <c r="T1420" t="str">
        <f t="shared" si="896"/>
        <v xml:space="preserve"> </v>
      </c>
      <c r="U1420" t="str">
        <f t="shared" ref="U1420:U1483" si="933">" "</f>
        <v xml:space="preserve"> </v>
      </c>
      <c r="V1420" t="str">
        <f>"10,000"</f>
        <v>10,000</v>
      </c>
      <c r="W1420" t="str">
        <f t="shared" si="917"/>
        <v>Lista 4</v>
      </c>
      <c r="X1420" t="str">
        <f t="shared" si="918"/>
        <v>Lista 5</v>
      </c>
      <c r="Y1420" t="str">
        <f t="shared" si="919"/>
        <v>Oferta Gral.</v>
      </c>
      <c r="Z1420" t="str">
        <f t="shared" si="920"/>
        <v>Rubro</v>
      </c>
      <c r="AA1420" t="str">
        <f t="shared" si="921"/>
        <v>Cantidad por Bulto</v>
      </c>
      <c r="AB1420" t="str">
        <f t="shared" si="922"/>
        <v>INNER</v>
      </c>
      <c r="AC1420" t="str">
        <f t="shared" si="923"/>
        <v>Stock en Bultos</v>
      </c>
      <c r="AD1420" t="str">
        <f t="shared" si="924"/>
        <v>SubDepósito</v>
      </c>
      <c r="AE1420" t="str">
        <f t="shared" si="925"/>
        <v>Marca</v>
      </c>
      <c r="AF1420" t="str">
        <f t="shared" si="926"/>
        <v>Super Rubro</v>
      </c>
      <c r="AG1420" t="str">
        <f t="shared" si="927"/>
        <v>ComercioExterior</v>
      </c>
      <c r="AH1420" t="str">
        <f t="shared" si="928"/>
        <v>PrecioFOB</v>
      </c>
      <c r="AI1420" t="str">
        <f t="shared" si="929"/>
        <v>Monto II</v>
      </c>
      <c r="AJ1420" t="str">
        <f t="shared" si="930"/>
        <v>Porcentaje II</v>
      </c>
      <c r="AK1420" t="str">
        <f t="shared" si="931"/>
        <v>Foto</v>
      </c>
      <c r="AL1420" t="str">
        <f>"{\rtf1\ansi\ansicpg1252\deff0\deflang11274{\fonttbl{\f0\fnil\fcharset0 MS Sans Serif}} \viewkind4\uc1\pard\f0\fs16 COMPRESOR AIRE 12V 140 PSI, CILINDRO 1X30MM 10 AMP\par } "</f>
        <v xml:space="preserve">{\rtf1\ansi\ansicpg1252\deff0\deflang11274{\fonttbl{\f0\fnil\fcharset0 MS Sans Serif}} \viewkind4\uc1\pard\f0\fs16 COMPRESOR AIRE 12V 140 PSI, CILINDRO 1X30MM 10 AMP\par } </v>
      </c>
      <c r="AM1420" t="str">
        <f>"-"</f>
        <v>-</v>
      </c>
    </row>
    <row r="1421" spans="1:39" x14ac:dyDescent="0.25">
      <c r="A1421" t="str">
        <f>"3225"</f>
        <v>3225</v>
      </c>
      <c r="B1421" t="str">
        <f>"CONDENSADOR RENAULT"</f>
        <v>CONDENSADOR RENAULT</v>
      </c>
      <c r="C1421" t="str">
        <f t="shared" ref="C1421:G1422" si="934">"$ 3563,29"</f>
        <v>$ 3563,29</v>
      </c>
      <c r="D1421" t="str">
        <f t="shared" si="934"/>
        <v>$ 3563,29</v>
      </c>
      <c r="E1421" t="str">
        <f t="shared" si="934"/>
        <v>$ 3563,29</v>
      </c>
      <c r="F1421" t="str">
        <f t="shared" si="934"/>
        <v>$ 3563,29</v>
      </c>
      <c r="G1421" t="str">
        <f t="shared" si="934"/>
        <v>$ 3563,29</v>
      </c>
      <c r="H1421" t="str">
        <f t="shared" si="914"/>
        <v>$ 0,00</v>
      </c>
      <c r="I1421" t="str">
        <f>"CONDENSADOR DE DISTRIBUIDOR"</f>
        <v>CONDENSADOR DE DISTRIBUIDOR</v>
      </c>
      <c r="J1421" t="str">
        <f t="shared" si="915"/>
        <v>1</v>
      </c>
      <c r="K1421" t="str">
        <f t="shared" si="909"/>
        <v>0</v>
      </c>
      <c r="L1421" t="str">
        <f>"90,000"</f>
        <v>90,000</v>
      </c>
      <c r="M1421" t="str">
        <f t="shared" si="916"/>
        <v xml:space="preserve"> </v>
      </c>
      <c r="N1421" t="str">
        <f>"EKTION"</f>
        <v>EKTION</v>
      </c>
      <c r="O1421" t="str">
        <f>"PLATINO CONDENSADOR"</f>
        <v>PLATINO CONDENSADOR</v>
      </c>
      <c r="P1421" t="str">
        <f t="shared" si="912"/>
        <v>0</v>
      </c>
      <c r="Q1421" t="str">
        <f t="shared" si="912"/>
        <v>0</v>
      </c>
      <c r="R1421" t="str">
        <f t="shared" si="913"/>
        <v>0,00</v>
      </c>
      <c r="S1421" t="str">
        <f t="shared" si="913"/>
        <v>0,00</v>
      </c>
      <c r="T1421" t="str">
        <f t="shared" si="896"/>
        <v xml:space="preserve"> </v>
      </c>
      <c r="U1421" t="str">
        <f t="shared" si="933"/>
        <v xml:space="preserve"> </v>
      </c>
      <c r="V1421" t="str">
        <f>"90,000"</f>
        <v>90,000</v>
      </c>
      <c r="W1421" t="str">
        <f t="shared" si="917"/>
        <v>Lista 4</v>
      </c>
      <c r="X1421" t="str">
        <f t="shared" si="918"/>
        <v>Lista 5</v>
      </c>
      <c r="Y1421" t="str">
        <f t="shared" si="919"/>
        <v>Oferta Gral.</v>
      </c>
      <c r="Z1421" t="str">
        <f t="shared" si="920"/>
        <v>Rubro</v>
      </c>
      <c r="AA1421" t="str">
        <f t="shared" si="921"/>
        <v>Cantidad por Bulto</v>
      </c>
      <c r="AB1421" t="str">
        <f t="shared" si="922"/>
        <v>INNER</v>
      </c>
      <c r="AC1421" t="str">
        <f t="shared" si="923"/>
        <v>Stock en Bultos</v>
      </c>
      <c r="AD1421" t="str">
        <f t="shared" si="924"/>
        <v>SubDepósito</v>
      </c>
      <c r="AE1421" t="str">
        <f t="shared" si="925"/>
        <v>Marca</v>
      </c>
      <c r="AF1421" t="str">
        <f t="shared" si="926"/>
        <v>Super Rubro</v>
      </c>
      <c r="AG1421" t="str">
        <f t="shared" si="927"/>
        <v>ComercioExterior</v>
      </c>
      <c r="AH1421" t="str">
        <f t="shared" si="928"/>
        <v>PrecioFOB</v>
      </c>
      <c r="AI1421" t="str">
        <f t="shared" si="929"/>
        <v>Monto II</v>
      </c>
      <c r="AJ1421" t="str">
        <f t="shared" si="930"/>
        <v>Porcentaje II</v>
      </c>
      <c r="AK1421" t="str">
        <f t="shared" si="931"/>
        <v>Foto</v>
      </c>
      <c r="AL1421" t="str">
        <f>"{\rtf1\ansi\ansicpg1252\deff0\deflang11274{\fonttbl{\f0\fnil\fcharset0 MS Sans Serif}} \viewkind4\uc1\pard\f0\fs16 CONDENSADOR RENAULT\par } "</f>
        <v xml:space="preserve">{\rtf1\ansi\ansicpg1252\deff0\deflang11274{\fonttbl{\f0\fnil\fcharset0 MS Sans Serif}} \viewkind4\uc1\pard\f0\fs16 CONDENSADOR RENAULT\par } </v>
      </c>
      <c r="AM1421" t="str">
        <f>" "</f>
        <v xml:space="preserve"> </v>
      </c>
    </row>
    <row r="1422" spans="1:39" x14ac:dyDescent="0.25">
      <c r="A1422" t="str">
        <f>"2222"</f>
        <v>2222</v>
      </c>
      <c r="B1422" t="str">
        <f>"CONDENSADOR UNIVERSAL"</f>
        <v>CONDENSADOR UNIVERSAL</v>
      </c>
      <c r="C1422" t="str">
        <f t="shared" si="934"/>
        <v>$ 3563,29</v>
      </c>
      <c r="D1422" t="str">
        <f t="shared" si="934"/>
        <v>$ 3563,29</v>
      </c>
      <c r="E1422" t="str">
        <f t="shared" si="934"/>
        <v>$ 3563,29</v>
      </c>
      <c r="F1422" t="str">
        <f t="shared" si="934"/>
        <v>$ 3563,29</v>
      </c>
      <c r="G1422" t="str">
        <f t="shared" si="934"/>
        <v>$ 3563,29</v>
      </c>
      <c r="H1422" t="str">
        <f t="shared" si="914"/>
        <v>$ 0,00</v>
      </c>
      <c r="I1422" t="str">
        <f>"CONDENSADOR DE DISTRIBUIDOR"</f>
        <v>CONDENSADOR DE DISTRIBUIDOR</v>
      </c>
      <c r="J1422" t="str">
        <f t="shared" si="915"/>
        <v>1</v>
      </c>
      <c r="K1422" t="str">
        <f t="shared" si="909"/>
        <v>0</v>
      </c>
      <c r="L1422" t="str">
        <f>"194,000"</f>
        <v>194,000</v>
      </c>
      <c r="M1422" t="str">
        <f t="shared" si="916"/>
        <v xml:space="preserve"> </v>
      </c>
      <c r="N1422" t="str">
        <f>"EKTION"</f>
        <v>EKTION</v>
      </c>
      <c r="O1422" t="str">
        <f>"PLATINO CONDENSADOR"</f>
        <v>PLATINO CONDENSADOR</v>
      </c>
      <c r="P1422" t="str">
        <f t="shared" si="912"/>
        <v>0</v>
      </c>
      <c r="Q1422" t="str">
        <f t="shared" si="912"/>
        <v>0</v>
      </c>
      <c r="R1422" t="str">
        <f t="shared" si="913"/>
        <v>0,00</v>
      </c>
      <c r="S1422" t="str">
        <f t="shared" si="913"/>
        <v>0,00</v>
      </c>
      <c r="T1422" t="str">
        <f t="shared" si="896"/>
        <v xml:space="preserve"> </v>
      </c>
      <c r="U1422" t="str">
        <f t="shared" si="933"/>
        <v xml:space="preserve"> </v>
      </c>
      <c r="V1422" t="str">
        <f>"194,000"</f>
        <v>194,000</v>
      </c>
      <c r="W1422" t="str">
        <f t="shared" si="917"/>
        <v>Lista 4</v>
      </c>
      <c r="X1422" t="str">
        <f t="shared" si="918"/>
        <v>Lista 5</v>
      </c>
      <c r="Y1422" t="str">
        <f t="shared" si="919"/>
        <v>Oferta Gral.</v>
      </c>
      <c r="Z1422" t="str">
        <f t="shared" si="920"/>
        <v>Rubro</v>
      </c>
      <c r="AA1422" t="str">
        <f t="shared" si="921"/>
        <v>Cantidad por Bulto</v>
      </c>
      <c r="AB1422" t="str">
        <f t="shared" si="922"/>
        <v>INNER</v>
      </c>
      <c r="AC1422" t="str">
        <f t="shared" si="923"/>
        <v>Stock en Bultos</v>
      </c>
      <c r="AD1422" t="str">
        <f t="shared" si="924"/>
        <v>SubDepósito</v>
      </c>
      <c r="AE1422" t="str">
        <f t="shared" si="925"/>
        <v>Marca</v>
      </c>
      <c r="AF1422" t="str">
        <f t="shared" si="926"/>
        <v>Super Rubro</v>
      </c>
      <c r="AG1422" t="str">
        <f t="shared" si="927"/>
        <v>ComercioExterior</v>
      </c>
      <c r="AH1422" t="str">
        <f t="shared" si="928"/>
        <v>PrecioFOB</v>
      </c>
      <c r="AI1422" t="str">
        <f t="shared" si="929"/>
        <v>Monto II</v>
      </c>
      <c r="AJ1422" t="str">
        <f t="shared" si="930"/>
        <v>Porcentaje II</v>
      </c>
      <c r="AK1422" t="str">
        <f t="shared" si="931"/>
        <v>Foto</v>
      </c>
      <c r="AL1422" t="str">
        <f>"{\rtf1\ansi\ansicpg1252\deff0\deflang11274{\fonttbl{\f0\fnil\fcharset0 MS Sans Serif}} \viewkind4\uc1\pard\f0\fs16 CONDENSADOR UNIVERSAL\par } "</f>
        <v xml:space="preserve">{\rtf1\ansi\ansicpg1252\deff0\deflang11274{\fonttbl{\f0\fnil\fcharset0 MS Sans Serif}} \viewkind4\uc1\pard\f0\fs16 CONDENSADOR UNIVERSAL\par } </v>
      </c>
      <c r="AM1422" t="str">
        <f>" "</f>
        <v xml:space="preserve"> </v>
      </c>
    </row>
    <row r="1423" spans="1:39" x14ac:dyDescent="0.25">
      <c r="A1423" t="str">
        <f>"3234"</f>
        <v>3234</v>
      </c>
      <c r="B1423" t="str">
        <f>"CONDENSADOR VW"</f>
        <v>CONDENSADOR VW</v>
      </c>
      <c r="C1423" t="str">
        <f>"$ 4581,38"</f>
        <v>$ 4581,38</v>
      </c>
      <c r="D1423" t="str">
        <f>"$ 4581,38"</f>
        <v>$ 4581,38</v>
      </c>
      <c r="E1423" t="str">
        <f>"$ 4581,38"</f>
        <v>$ 4581,38</v>
      </c>
      <c r="F1423" t="str">
        <f>"$ 4581,38"</f>
        <v>$ 4581,38</v>
      </c>
      <c r="G1423" t="str">
        <f>"$ 4581,38"</f>
        <v>$ 4581,38</v>
      </c>
      <c r="H1423" t="str">
        <f t="shared" si="914"/>
        <v>$ 0,00</v>
      </c>
      <c r="I1423" t="str">
        <f>"CONDENSADOR DE DISTRIBUIDOR"</f>
        <v>CONDENSADOR DE DISTRIBUIDOR</v>
      </c>
      <c r="J1423" t="str">
        <f t="shared" si="915"/>
        <v>1</v>
      </c>
      <c r="K1423" t="str">
        <f t="shared" si="909"/>
        <v>0</v>
      </c>
      <c r="L1423" t="str">
        <f>"35,000"</f>
        <v>35,000</v>
      </c>
      <c r="M1423" t="str">
        <f t="shared" si="916"/>
        <v xml:space="preserve"> </v>
      </c>
      <c r="N1423" t="str">
        <f>"EKTION"</f>
        <v>EKTION</v>
      </c>
      <c r="O1423" t="str">
        <f>"PLATINO CONDENSADOR"</f>
        <v>PLATINO CONDENSADOR</v>
      </c>
      <c r="P1423" t="str">
        <f t="shared" ref="P1423:Q1442" si="935">"0"</f>
        <v>0</v>
      </c>
      <c r="Q1423" t="str">
        <f t="shared" si="935"/>
        <v>0</v>
      </c>
      <c r="R1423" t="str">
        <f t="shared" ref="R1423:S1442" si="936">"0,00"</f>
        <v>0,00</v>
      </c>
      <c r="S1423" t="str">
        <f t="shared" si="936"/>
        <v>0,00</v>
      </c>
      <c r="T1423" t="str">
        <f t="shared" si="896"/>
        <v xml:space="preserve"> </v>
      </c>
      <c r="U1423" t="str">
        <f t="shared" si="933"/>
        <v xml:space="preserve"> </v>
      </c>
      <c r="V1423" t="str">
        <f>"35,000"</f>
        <v>35,000</v>
      </c>
      <c r="W1423" t="str">
        <f t="shared" si="917"/>
        <v>Lista 4</v>
      </c>
      <c r="X1423" t="str">
        <f t="shared" si="918"/>
        <v>Lista 5</v>
      </c>
      <c r="Y1423" t="str">
        <f t="shared" si="919"/>
        <v>Oferta Gral.</v>
      </c>
      <c r="Z1423" t="str">
        <f t="shared" si="920"/>
        <v>Rubro</v>
      </c>
      <c r="AA1423" t="str">
        <f t="shared" si="921"/>
        <v>Cantidad por Bulto</v>
      </c>
      <c r="AB1423" t="str">
        <f t="shared" si="922"/>
        <v>INNER</v>
      </c>
      <c r="AC1423" t="str">
        <f t="shared" si="923"/>
        <v>Stock en Bultos</v>
      </c>
      <c r="AD1423" t="str">
        <f t="shared" si="924"/>
        <v>SubDepósito</v>
      </c>
      <c r="AE1423" t="str">
        <f t="shared" si="925"/>
        <v>Marca</v>
      </c>
      <c r="AF1423" t="str">
        <f t="shared" si="926"/>
        <v>Super Rubro</v>
      </c>
      <c r="AG1423" t="str">
        <f t="shared" si="927"/>
        <v>ComercioExterior</v>
      </c>
      <c r="AH1423" t="str">
        <f t="shared" si="928"/>
        <v>PrecioFOB</v>
      </c>
      <c r="AI1423" t="str">
        <f t="shared" si="929"/>
        <v>Monto II</v>
      </c>
      <c r="AJ1423" t="str">
        <f t="shared" si="930"/>
        <v>Porcentaje II</v>
      </c>
      <c r="AK1423" t="str">
        <f t="shared" si="931"/>
        <v>Foto</v>
      </c>
      <c r="AL1423" t="str">
        <f>"{\rtf1\ansi\ansicpg1252\deff0\deflang11274{\fonttbl{\f0\fnil\fcharset0 MS Sans Serif}} \viewkind4\uc1\pard\f0\fs16 CONDENSADOR VW\par } "</f>
        <v xml:space="preserve">{\rtf1\ansi\ansicpg1252\deff0\deflang11274{\fonttbl{\f0\fnil\fcharset0 MS Sans Serif}} \viewkind4\uc1\pard\f0\fs16 CONDENSADOR VW\par } </v>
      </c>
      <c r="AM1423" t="str">
        <f>" "</f>
        <v xml:space="preserve"> </v>
      </c>
    </row>
    <row r="1424" spans="1:39" x14ac:dyDescent="0.25">
      <c r="A1424" t="str">
        <f>"10302"</f>
        <v>10302</v>
      </c>
      <c r="B1424" t="str">
        <f>"CONECTOR 1 VIA FUSIBLERA CLIO MEGANE CELESTE"</f>
        <v>CONECTOR 1 VIA FUSIBLERA CLIO MEGANE CELESTE</v>
      </c>
      <c r="C1424" t="str">
        <f>"$ 2632,31"</f>
        <v>$ 2632,31</v>
      </c>
      <c r="D1424" t="str">
        <f>"$ 2632,31"</f>
        <v>$ 2632,31</v>
      </c>
      <c r="E1424" t="str">
        <f>"$ 2632,31"</f>
        <v>$ 2632,31</v>
      </c>
      <c r="F1424" t="str">
        <f>"$ 2632,31"</f>
        <v>$ 2632,31</v>
      </c>
      <c r="G1424" t="str">
        <f>"$ 2632,31"</f>
        <v>$ 2632,31</v>
      </c>
      <c r="H1424" t="str">
        <f t="shared" si="914"/>
        <v>$ 0,00</v>
      </c>
      <c r="I1424" t="str">
        <f t="shared" ref="I1424:I1487" si="937">"FICHA CONECTOR"</f>
        <v>FICHA CONECTOR</v>
      </c>
      <c r="J1424" t="str">
        <f t="shared" si="915"/>
        <v>1</v>
      </c>
      <c r="K1424" t="str">
        <f t="shared" si="909"/>
        <v>0</v>
      </c>
      <c r="L1424" t="str">
        <f>"4,000"</f>
        <v>4,000</v>
      </c>
      <c r="M1424" t="str">
        <f t="shared" si="916"/>
        <v xml:space="preserve"> </v>
      </c>
      <c r="N1424" t="str">
        <f t="shared" ref="N1424:N1487" si="938">"AUTRONIC"</f>
        <v>AUTRONIC</v>
      </c>
      <c r="O1424" t="str">
        <f t="shared" ref="O1424:O1487" si="939">"CABLES"</f>
        <v>CABLES</v>
      </c>
      <c r="P1424" t="str">
        <f t="shared" si="935"/>
        <v>0</v>
      </c>
      <c r="Q1424" t="str">
        <f t="shared" si="935"/>
        <v>0</v>
      </c>
      <c r="R1424" t="str">
        <f t="shared" si="936"/>
        <v>0,00</v>
      </c>
      <c r="S1424" t="str">
        <f t="shared" si="936"/>
        <v>0,00</v>
      </c>
      <c r="T1424" t="str">
        <f t="shared" si="896"/>
        <v xml:space="preserve"> </v>
      </c>
      <c r="U1424" t="str">
        <f t="shared" si="933"/>
        <v xml:space="preserve"> </v>
      </c>
      <c r="V1424" t="str">
        <f>"4,000"</f>
        <v>4,000</v>
      </c>
      <c r="W1424" t="str">
        <f t="shared" si="917"/>
        <v>Lista 4</v>
      </c>
      <c r="X1424" t="str">
        <f t="shared" si="918"/>
        <v>Lista 5</v>
      </c>
      <c r="Y1424" t="str">
        <f t="shared" si="919"/>
        <v>Oferta Gral.</v>
      </c>
      <c r="Z1424" t="str">
        <f t="shared" si="920"/>
        <v>Rubro</v>
      </c>
      <c r="AA1424" t="str">
        <f t="shared" si="921"/>
        <v>Cantidad por Bulto</v>
      </c>
      <c r="AB1424" t="str">
        <f t="shared" si="922"/>
        <v>INNER</v>
      </c>
      <c r="AC1424" t="str">
        <f t="shared" si="923"/>
        <v>Stock en Bultos</v>
      </c>
      <c r="AD1424" t="str">
        <f t="shared" si="924"/>
        <v>SubDepósito</v>
      </c>
      <c r="AE1424" t="str">
        <f t="shared" si="925"/>
        <v>Marca</v>
      </c>
      <c r="AF1424" t="str">
        <f t="shared" si="926"/>
        <v>Super Rubro</v>
      </c>
      <c r="AG1424" t="str">
        <f t="shared" si="927"/>
        <v>ComercioExterior</v>
      </c>
      <c r="AH1424" t="str">
        <f t="shared" si="928"/>
        <v>PrecioFOB</v>
      </c>
      <c r="AI1424" t="str">
        <f t="shared" si="929"/>
        <v>Monto II</v>
      </c>
      <c r="AJ1424" t="str">
        <f t="shared" si="930"/>
        <v>Porcentaje II</v>
      </c>
      <c r="AK1424" t="str">
        <f t="shared" si="931"/>
        <v>Foto</v>
      </c>
      <c r="AL1424" t="str">
        <f>"{\rtf1\ansi\ansicpg1252\deff0\deflang11274{\fonttbl{\f0\fnil\fcharset0 MS Sans Serif}} \viewkind4\uc1\pard\f0\fs16 CONECTOR 1 VIA FUSIBLERA CLIO MEGANE CELESTE\par } "</f>
        <v xml:space="preserve">{\rtf1\ansi\ansicpg1252\deff0\deflang11274{\fonttbl{\f0\fnil\fcharset0 MS Sans Serif}} \viewkind4\uc1\pard\f0\fs16 CONECTOR 1 VIA FUSIBLERA CLIO MEGANE CELESTE\par } </v>
      </c>
      <c r="AM1424" t="str">
        <f t="shared" ref="AM1424:AM1455" si="940">"-"</f>
        <v>-</v>
      </c>
    </row>
    <row r="1425" spans="1:39" x14ac:dyDescent="0.25">
      <c r="A1425" t="str">
        <f>"10323"</f>
        <v>10323</v>
      </c>
      <c r="B1425" t="str">
        <f>"CONECTOR 1 VIA FUSIBLERA RENAULT CLIO -  MEGANE GRIS"</f>
        <v>CONECTOR 1 VIA FUSIBLERA RENAULT CLIO -  MEGANE GRIS</v>
      </c>
      <c r="C1425" t="str">
        <f>"$ 2256,66"</f>
        <v>$ 2256,66</v>
      </c>
      <c r="D1425" t="str">
        <f>"$ 2256,66"</f>
        <v>$ 2256,66</v>
      </c>
      <c r="E1425" t="str">
        <f>"$ 2256,66"</f>
        <v>$ 2256,66</v>
      </c>
      <c r="F1425" t="str">
        <f>"$ 2256,66"</f>
        <v>$ 2256,66</v>
      </c>
      <c r="G1425" t="str">
        <f>"$ 2256,66"</f>
        <v>$ 2256,66</v>
      </c>
      <c r="H1425" t="str">
        <f t="shared" si="914"/>
        <v>$ 0,00</v>
      </c>
      <c r="I1425" t="str">
        <f t="shared" si="937"/>
        <v>FICHA CONECTOR</v>
      </c>
      <c r="J1425" t="str">
        <f t="shared" si="915"/>
        <v>1</v>
      </c>
      <c r="K1425" t="str">
        <f t="shared" si="909"/>
        <v>0</v>
      </c>
      <c r="L1425" t="str">
        <f>"0,000"</f>
        <v>0,000</v>
      </c>
      <c r="M1425" t="str">
        <f t="shared" si="916"/>
        <v xml:space="preserve"> </v>
      </c>
      <c r="N1425" t="str">
        <f t="shared" si="938"/>
        <v>AUTRONIC</v>
      </c>
      <c r="O1425" t="str">
        <f t="shared" si="939"/>
        <v>CABLES</v>
      </c>
      <c r="P1425" t="str">
        <f t="shared" si="935"/>
        <v>0</v>
      </c>
      <c r="Q1425" t="str">
        <f t="shared" si="935"/>
        <v>0</v>
      </c>
      <c r="R1425" t="str">
        <f t="shared" si="936"/>
        <v>0,00</v>
      </c>
      <c r="S1425" t="str">
        <f t="shared" si="936"/>
        <v>0,00</v>
      </c>
      <c r="T1425" t="str">
        <f t="shared" ref="T1425:T1430" si="941">" "</f>
        <v xml:space="preserve"> </v>
      </c>
      <c r="U1425" t="str">
        <f t="shared" si="933"/>
        <v xml:space="preserve"> </v>
      </c>
      <c r="V1425" t="str">
        <f>"0,000"</f>
        <v>0,000</v>
      </c>
      <c r="W1425" t="str">
        <f t="shared" si="917"/>
        <v>Lista 4</v>
      </c>
      <c r="X1425" t="str">
        <f t="shared" si="918"/>
        <v>Lista 5</v>
      </c>
      <c r="Y1425" t="str">
        <f t="shared" si="919"/>
        <v>Oferta Gral.</v>
      </c>
      <c r="Z1425" t="str">
        <f t="shared" si="920"/>
        <v>Rubro</v>
      </c>
      <c r="AA1425" t="str">
        <f t="shared" si="921"/>
        <v>Cantidad por Bulto</v>
      </c>
      <c r="AB1425" t="str">
        <f t="shared" si="922"/>
        <v>INNER</v>
      </c>
      <c r="AC1425" t="str">
        <f t="shared" si="923"/>
        <v>Stock en Bultos</v>
      </c>
      <c r="AD1425" t="str">
        <f t="shared" si="924"/>
        <v>SubDepósito</v>
      </c>
      <c r="AE1425" t="str">
        <f t="shared" si="925"/>
        <v>Marca</v>
      </c>
      <c r="AF1425" t="str">
        <f t="shared" si="926"/>
        <v>Super Rubro</v>
      </c>
      <c r="AG1425" t="str">
        <f t="shared" si="927"/>
        <v>ComercioExterior</v>
      </c>
      <c r="AH1425" t="str">
        <f t="shared" si="928"/>
        <v>PrecioFOB</v>
      </c>
      <c r="AI1425" t="str">
        <f t="shared" si="929"/>
        <v>Monto II</v>
      </c>
      <c r="AJ1425" t="str">
        <f t="shared" si="930"/>
        <v>Porcentaje II</v>
      </c>
      <c r="AK1425" t="str">
        <f t="shared" si="931"/>
        <v>Foto</v>
      </c>
      <c r="AL1425" t="str">
        <f>"{\rtf1\ansi\ansicpg1252\deff0\deflang11274{\fonttbl{\f0\fnil\fcharset0 MS Sans Serif}} \viewkind4\uc1\pard\f0\fs16 CONECTOR 1 VIA FUSIBLERA RENAULT CLIO -  MEGANE GRIS\par } "</f>
        <v xml:space="preserve">{\rtf1\ansi\ansicpg1252\deff0\deflang11274{\fonttbl{\f0\fnil\fcharset0 MS Sans Serif}} \viewkind4\uc1\pard\f0\fs16 CONECTOR 1 VIA FUSIBLERA RENAULT CLIO -  MEGANE GRIS\par } </v>
      </c>
      <c r="AM1425" t="str">
        <f t="shared" si="940"/>
        <v>-</v>
      </c>
    </row>
    <row r="1426" spans="1:39" x14ac:dyDescent="0.25">
      <c r="A1426" t="str">
        <f>"10311"</f>
        <v>10311</v>
      </c>
      <c r="B1426" t="str">
        <f>"CONECTOR 1 VIA FUSILERA CLIO MEGANE NEGRA"</f>
        <v>CONECTOR 1 VIA FUSILERA CLIO MEGANE NEGRA</v>
      </c>
      <c r="C1426" t="str">
        <f>"$ 1959,73"</f>
        <v>$ 1959,73</v>
      </c>
      <c r="D1426" t="str">
        <f>"$ 1959,73"</f>
        <v>$ 1959,73</v>
      </c>
      <c r="E1426" t="str">
        <f>"$ 1959,73"</f>
        <v>$ 1959,73</v>
      </c>
      <c r="F1426" t="str">
        <f>"$ 1959,73"</f>
        <v>$ 1959,73</v>
      </c>
      <c r="G1426" t="str">
        <f>"$ 1959,73"</f>
        <v>$ 1959,73</v>
      </c>
      <c r="H1426" t="str">
        <f t="shared" si="914"/>
        <v>$ 0,00</v>
      </c>
      <c r="I1426" t="str">
        <f t="shared" si="937"/>
        <v>FICHA CONECTOR</v>
      </c>
      <c r="J1426" t="str">
        <f t="shared" si="915"/>
        <v>1</v>
      </c>
      <c r="K1426" t="str">
        <f t="shared" si="909"/>
        <v>0</v>
      </c>
      <c r="L1426" t="str">
        <f>"0,000"</f>
        <v>0,000</v>
      </c>
      <c r="M1426" t="str">
        <f t="shared" si="916"/>
        <v xml:space="preserve"> </v>
      </c>
      <c r="N1426" t="str">
        <f t="shared" si="938"/>
        <v>AUTRONIC</v>
      </c>
      <c r="O1426" t="str">
        <f t="shared" si="939"/>
        <v>CABLES</v>
      </c>
      <c r="P1426" t="str">
        <f t="shared" si="935"/>
        <v>0</v>
      </c>
      <c r="Q1426" t="str">
        <f t="shared" si="935"/>
        <v>0</v>
      </c>
      <c r="R1426" t="str">
        <f t="shared" si="936"/>
        <v>0,00</v>
      </c>
      <c r="S1426" t="str">
        <f t="shared" si="936"/>
        <v>0,00</v>
      </c>
      <c r="T1426" t="str">
        <f t="shared" si="941"/>
        <v xml:space="preserve"> </v>
      </c>
      <c r="U1426" t="str">
        <f t="shared" si="933"/>
        <v xml:space="preserve"> </v>
      </c>
      <c r="V1426" t="str">
        <f>"0,000"</f>
        <v>0,000</v>
      </c>
      <c r="W1426" t="str">
        <f t="shared" si="917"/>
        <v>Lista 4</v>
      </c>
      <c r="X1426" t="str">
        <f t="shared" si="918"/>
        <v>Lista 5</v>
      </c>
      <c r="Y1426" t="str">
        <f t="shared" si="919"/>
        <v>Oferta Gral.</v>
      </c>
      <c r="Z1426" t="str">
        <f t="shared" si="920"/>
        <v>Rubro</v>
      </c>
      <c r="AA1426" t="str">
        <f t="shared" si="921"/>
        <v>Cantidad por Bulto</v>
      </c>
      <c r="AB1426" t="str">
        <f t="shared" si="922"/>
        <v>INNER</v>
      </c>
      <c r="AC1426" t="str">
        <f t="shared" si="923"/>
        <v>Stock en Bultos</v>
      </c>
      <c r="AD1426" t="str">
        <f t="shared" si="924"/>
        <v>SubDepósito</v>
      </c>
      <c r="AE1426" t="str">
        <f t="shared" si="925"/>
        <v>Marca</v>
      </c>
      <c r="AF1426" t="str">
        <f t="shared" si="926"/>
        <v>Super Rubro</v>
      </c>
      <c r="AG1426" t="str">
        <f t="shared" si="927"/>
        <v>ComercioExterior</v>
      </c>
      <c r="AH1426" t="str">
        <f t="shared" si="928"/>
        <v>PrecioFOB</v>
      </c>
      <c r="AI1426" t="str">
        <f t="shared" si="929"/>
        <v>Monto II</v>
      </c>
      <c r="AJ1426" t="str">
        <f t="shared" si="930"/>
        <v>Porcentaje II</v>
      </c>
      <c r="AK1426" t="str">
        <f t="shared" si="931"/>
        <v>Foto</v>
      </c>
      <c r="AL1426" t="str">
        <f>"{\rtf1\ansi\ansicpg1252\deff0\deflang11274{\fonttbl{\f0\fnil\fcharset0 MS Sans Serif}} \viewkind4\uc1\pard\f0\fs16 CONECTOR 1 VIA FUSILERA CLIO MEGANE NEGRA\par } "</f>
        <v xml:space="preserve">{\rtf1\ansi\ansicpg1252\deff0\deflang11274{\fonttbl{\f0\fnil\fcharset0 MS Sans Serif}} \viewkind4\uc1\pard\f0\fs16 CONECTOR 1 VIA FUSILERA CLIO MEGANE NEGRA\par } </v>
      </c>
      <c r="AM1426" t="str">
        <f t="shared" si="940"/>
        <v>-</v>
      </c>
    </row>
    <row r="1427" spans="1:39" x14ac:dyDescent="0.25">
      <c r="A1427" t="str">
        <f>"10165"</f>
        <v>10165</v>
      </c>
      <c r="B1427" t="str">
        <f>"CONECTOR 1 VÍA BULBO DE ACEITE – PALIO – SIENA – TIPO - TEMPRA"</f>
        <v>CONECTOR 1 VÍA BULBO DE ACEITE – PALIO – SIENA – TIPO - TEMPRA</v>
      </c>
      <c r="C1427" t="str">
        <f>"$ 1349,56"</f>
        <v>$ 1349,56</v>
      </c>
      <c r="D1427" t="str">
        <f>"$ 1349,56"</f>
        <v>$ 1349,56</v>
      </c>
      <c r="E1427" t="str">
        <f>"$ 1349,56"</f>
        <v>$ 1349,56</v>
      </c>
      <c r="F1427" t="str">
        <f>"$ 1349,56"</f>
        <v>$ 1349,56</v>
      </c>
      <c r="G1427" t="str">
        <f>"$ 1349,56"</f>
        <v>$ 1349,56</v>
      </c>
      <c r="H1427" t="str">
        <f t="shared" si="914"/>
        <v>$ 0,00</v>
      </c>
      <c r="I1427" t="str">
        <f t="shared" si="937"/>
        <v>FICHA CONECTOR</v>
      </c>
      <c r="J1427" t="str">
        <f t="shared" si="915"/>
        <v>1</v>
      </c>
      <c r="K1427" t="str">
        <f t="shared" si="909"/>
        <v>0</v>
      </c>
      <c r="L1427" t="str">
        <f>"0,000"</f>
        <v>0,000</v>
      </c>
      <c r="M1427" t="str">
        <f t="shared" si="916"/>
        <v xml:space="preserve"> </v>
      </c>
      <c r="N1427" t="str">
        <f t="shared" si="938"/>
        <v>AUTRONIC</v>
      </c>
      <c r="O1427" t="str">
        <f t="shared" si="939"/>
        <v>CABLES</v>
      </c>
      <c r="P1427" t="str">
        <f t="shared" si="935"/>
        <v>0</v>
      </c>
      <c r="Q1427" t="str">
        <f t="shared" si="935"/>
        <v>0</v>
      </c>
      <c r="R1427" t="str">
        <f t="shared" si="936"/>
        <v>0,00</v>
      </c>
      <c r="S1427" t="str">
        <f t="shared" si="936"/>
        <v>0,00</v>
      </c>
      <c r="T1427" t="str">
        <f t="shared" si="941"/>
        <v xml:space="preserve"> </v>
      </c>
      <c r="U1427" t="str">
        <f t="shared" si="933"/>
        <v xml:space="preserve"> </v>
      </c>
      <c r="V1427" t="str">
        <f>"0,000"</f>
        <v>0,000</v>
      </c>
      <c r="W1427" t="str">
        <f t="shared" si="917"/>
        <v>Lista 4</v>
      </c>
      <c r="X1427" t="str">
        <f t="shared" si="918"/>
        <v>Lista 5</v>
      </c>
      <c r="Y1427" t="str">
        <f t="shared" si="919"/>
        <v>Oferta Gral.</v>
      </c>
      <c r="Z1427" t="str">
        <f t="shared" si="920"/>
        <v>Rubro</v>
      </c>
      <c r="AA1427" t="str">
        <f t="shared" si="921"/>
        <v>Cantidad por Bulto</v>
      </c>
      <c r="AB1427" t="str">
        <f t="shared" si="922"/>
        <v>INNER</v>
      </c>
      <c r="AC1427" t="str">
        <f t="shared" si="923"/>
        <v>Stock en Bultos</v>
      </c>
      <c r="AD1427" t="str">
        <f t="shared" si="924"/>
        <v>SubDepósito</v>
      </c>
      <c r="AE1427" t="str">
        <f t="shared" si="925"/>
        <v>Marca</v>
      </c>
      <c r="AF1427" t="str">
        <f t="shared" si="926"/>
        <v>Super Rubro</v>
      </c>
      <c r="AG1427" t="str">
        <f t="shared" si="927"/>
        <v>ComercioExterior</v>
      </c>
      <c r="AH1427" t="str">
        <f t="shared" si="928"/>
        <v>PrecioFOB</v>
      </c>
      <c r="AI1427" t="str">
        <f t="shared" si="929"/>
        <v>Monto II</v>
      </c>
      <c r="AJ1427" t="str">
        <f t="shared" si="930"/>
        <v>Porcentaje II</v>
      </c>
      <c r="AK1427" t="str">
        <f t="shared" si="931"/>
        <v>Foto</v>
      </c>
      <c r="AL1427" t="str">
        <f>"{\rtf1\ansi\ansicpg1252\deff0\deflang11274{\fonttbl{\f0\fnil\fcharset0 MS Sans Serif}} \viewkind4\uc1\pard\f0\fs16 CONECTOR 1 V\'cdA BULBO DE ACEITE \endash  PALIO \endash  SIENA \endash  TIPO - TEMPRA\par } "</f>
        <v xml:space="preserve">{\rtf1\ansi\ansicpg1252\deff0\deflang11274{\fonttbl{\f0\fnil\fcharset0 MS Sans Serif}} \viewkind4\uc1\pard\f0\fs16 CONECTOR 1 V\'cdA BULBO DE ACEITE \endash  PALIO \endash  SIENA \endash  TIPO - TEMPRA\par } </v>
      </c>
      <c r="AM1427" t="str">
        <f t="shared" si="940"/>
        <v>-</v>
      </c>
    </row>
    <row r="1428" spans="1:39" x14ac:dyDescent="0.25">
      <c r="A1428" t="str">
        <f>"10169"</f>
        <v>10169</v>
      </c>
      <c r="B1428" t="str">
        <f>"CONECTOR 1 VÍA BULBO DE ACEITE – RENAULT 19 – CLIO - MEGANE"</f>
        <v>CONECTOR 1 VÍA BULBO DE ACEITE – RENAULT 19 – CLIO - MEGANE</v>
      </c>
      <c r="C1428" t="str">
        <f>"$ 2886,19"</f>
        <v>$ 2886,19</v>
      </c>
      <c r="D1428" t="str">
        <f>"$ 2886,19"</f>
        <v>$ 2886,19</v>
      </c>
      <c r="E1428" t="str">
        <f>"$ 2886,19"</f>
        <v>$ 2886,19</v>
      </c>
      <c r="F1428" t="str">
        <f>"$ 2886,19"</f>
        <v>$ 2886,19</v>
      </c>
      <c r="G1428" t="str">
        <f>"$ 2886,19"</f>
        <v>$ 2886,19</v>
      </c>
      <c r="H1428" t="str">
        <f t="shared" si="914"/>
        <v>$ 0,00</v>
      </c>
      <c r="I1428" t="str">
        <f t="shared" si="937"/>
        <v>FICHA CONECTOR</v>
      </c>
      <c r="J1428" t="str">
        <f t="shared" si="915"/>
        <v>1</v>
      </c>
      <c r="K1428" t="str">
        <f t="shared" si="909"/>
        <v>0</v>
      </c>
      <c r="L1428" t="str">
        <f>"18,000"</f>
        <v>18,000</v>
      </c>
      <c r="M1428" t="str">
        <f t="shared" si="916"/>
        <v xml:space="preserve"> </v>
      </c>
      <c r="N1428" t="str">
        <f t="shared" si="938"/>
        <v>AUTRONIC</v>
      </c>
      <c r="O1428" t="str">
        <f t="shared" si="939"/>
        <v>CABLES</v>
      </c>
      <c r="P1428" t="str">
        <f t="shared" si="935"/>
        <v>0</v>
      </c>
      <c r="Q1428" t="str">
        <f t="shared" si="935"/>
        <v>0</v>
      </c>
      <c r="R1428" t="str">
        <f t="shared" si="936"/>
        <v>0,00</v>
      </c>
      <c r="S1428" t="str">
        <f t="shared" si="936"/>
        <v>0,00</v>
      </c>
      <c r="T1428" t="str">
        <f t="shared" si="941"/>
        <v xml:space="preserve"> </v>
      </c>
      <c r="U1428" t="str">
        <f t="shared" si="933"/>
        <v xml:space="preserve"> </v>
      </c>
      <c r="V1428" t="str">
        <f>"18,000"</f>
        <v>18,000</v>
      </c>
      <c r="W1428" t="str">
        <f t="shared" si="917"/>
        <v>Lista 4</v>
      </c>
      <c r="X1428" t="str">
        <f t="shared" si="918"/>
        <v>Lista 5</v>
      </c>
      <c r="Y1428" t="str">
        <f t="shared" si="919"/>
        <v>Oferta Gral.</v>
      </c>
      <c r="Z1428" t="str">
        <f t="shared" si="920"/>
        <v>Rubro</v>
      </c>
      <c r="AA1428" t="str">
        <f t="shared" si="921"/>
        <v>Cantidad por Bulto</v>
      </c>
      <c r="AB1428" t="str">
        <f t="shared" si="922"/>
        <v>INNER</v>
      </c>
      <c r="AC1428" t="str">
        <f t="shared" si="923"/>
        <v>Stock en Bultos</v>
      </c>
      <c r="AD1428" t="str">
        <f t="shared" si="924"/>
        <v>SubDepósito</v>
      </c>
      <c r="AE1428" t="str">
        <f t="shared" si="925"/>
        <v>Marca</v>
      </c>
      <c r="AF1428" t="str">
        <f t="shared" si="926"/>
        <v>Super Rubro</v>
      </c>
      <c r="AG1428" t="str">
        <f t="shared" si="927"/>
        <v>ComercioExterior</v>
      </c>
      <c r="AH1428" t="str">
        <f t="shared" si="928"/>
        <v>PrecioFOB</v>
      </c>
      <c r="AI1428" t="str">
        <f t="shared" si="929"/>
        <v>Monto II</v>
      </c>
      <c r="AJ1428" t="str">
        <f t="shared" si="930"/>
        <v>Porcentaje II</v>
      </c>
      <c r="AK1428" t="str">
        <f t="shared" si="931"/>
        <v>Foto</v>
      </c>
      <c r="AL1428" t="str">
        <f>"{\rtf1\ansi\ansicpg1252\deff0\deflang11274{\fonttbl{\f0\fnil\fcharset0 MS Sans Serif}} \viewkind4\uc1\pard\f0\fs16 CONECTOR 1 V\'cdA BULBO DE ACEITE \endash  RENAULT 19 \endash  CLIO - MEGANE\par } "</f>
        <v xml:space="preserve">{\rtf1\ansi\ansicpg1252\deff0\deflang11274{\fonttbl{\f0\fnil\fcharset0 MS Sans Serif}} \viewkind4\uc1\pard\f0\fs16 CONECTOR 1 V\'cdA BULBO DE ACEITE \endash  RENAULT 19 \endash  CLIO - MEGANE\par } </v>
      </c>
      <c r="AM1428" t="str">
        <f t="shared" si="940"/>
        <v>-</v>
      </c>
    </row>
    <row r="1429" spans="1:39" x14ac:dyDescent="0.25">
      <c r="A1429" t="str">
        <f>"10164"</f>
        <v>10164</v>
      </c>
      <c r="B1429" t="str">
        <f>"CONECTOR 1 VÍA CARB. MOTOR TIPO DUNA/UNO/GENERAL MOTORS"</f>
        <v>CONECTOR 1 VÍA CARB. MOTOR TIPO DUNA/UNO/GENERAL MOTORS</v>
      </c>
      <c r="C1429" t="str">
        <f>"$ 1042,24"</f>
        <v>$ 1042,24</v>
      </c>
      <c r="D1429" t="str">
        <f>"$ 1042,24"</f>
        <v>$ 1042,24</v>
      </c>
      <c r="E1429" t="str">
        <f>"$ 1042,24"</f>
        <v>$ 1042,24</v>
      </c>
      <c r="F1429" t="str">
        <f>"$ 1042,24"</f>
        <v>$ 1042,24</v>
      </c>
      <c r="G1429" t="str">
        <f>"$ 1042,24"</f>
        <v>$ 1042,24</v>
      </c>
      <c r="H1429" t="str">
        <f t="shared" si="914"/>
        <v>$ 0,00</v>
      </c>
      <c r="I1429" t="str">
        <f t="shared" si="937"/>
        <v>FICHA CONECTOR</v>
      </c>
      <c r="J1429" t="str">
        <f t="shared" si="915"/>
        <v>1</v>
      </c>
      <c r="K1429" t="str">
        <f t="shared" si="909"/>
        <v>0</v>
      </c>
      <c r="L1429" t="str">
        <f>"17,000"</f>
        <v>17,000</v>
      </c>
      <c r="M1429" t="str">
        <f t="shared" si="916"/>
        <v xml:space="preserve"> </v>
      </c>
      <c r="N1429" t="str">
        <f t="shared" si="938"/>
        <v>AUTRONIC</v>
      </c>
      <c r="O1429" t="str">
        <f t="shared" si="939"/>
        <v>CABLES</v>
      </c>
      <c r="P1429" t="str">
        <f t="shared" si="935"/>
        <v>0</v>
      </c>
      <c r="Q1429" t="str">
        <f t="shared" si="935"/>
        <v>0</v>
      </c>
      <c r="R1429" t="str">
        <f t="shared" si="936"/>
        <v>0,00</v>
      </c>
      <c r="S1429" t="str">
        <f t="shared" si="936"/>
        <v>0,00</v>
      </c>
      <c r="T1429" t="str">
        <f t="shared" si="941"/>
        <v xml:space="preserve"> </v>
      </c>
      <c r="U1429" t="str">
        <f t="shared" si="933"/>
        <v xml:space="preserve"> </v>
      </c>
      <c r="V1429" t="str">
        <f>"17,000"</f>
        <v>17,000</v>
      </c>
      <c r="W1429" t="str">
        <f t="shared" si="917"/>
        <v>Lista 4</v>
      </c>
      <c r="X1429" t="str">
        <f t="shared" si="918"/>
        <v>Lista 5</v>
      </c>
      <c r="Y1429" t="str">
        <f t="shared" si="919"/>
        <v>Oferta Gral.</v>
      </c>
      <c r="Z1429" t="str">
        <f t="shared" si="920"/>
        <v>Rubro</v>
      </c>
      <c r="AA1429" t="str">
        <f t="shared" si="921"/>
        <v>Cantidad por Bulto</v>
      </c>
      <c r="AB1429" t="str">
        <f t="shared" si="922"/>
        <v>INNER</v>
      </c>
      <c r="AC1429" t="str">
        <f t="shared" si="923"/>
        <v>Stock en Bultos</v>
      </c>
      <c r="AD1429" t="str">
        <f t="shared" si="924"/>
        <v>SubDepósito</v>
      </c>
      <c r="AE1429" t="str">
        <f t="shared" si="925"/>
        <v>Marca</v>
      </c>
      <c r="AF1429" t="str">
        <f t="shared" si="926"/>
        <v>Super Rubro</v>
      </c>
      <c r="AG1429" t="str">
        <f t="shared" si="927"/>
        <v>ComercioExterior</v>
      </c>
      <c r="AH1429" t="str">
        <f t="shared" si="928"/>
        <v>PrecioFOB</v>
      </c>
      <c r="AI1429" t="str">
        <f t="shared" si="929"/>
        <v>Monto II</v>
      </c>
      <c r="AJ1429" t="str">
        <f t="shared" si="930"/>
        <v>Porcentaje II</v>
      </c>
      <c r="AK1429" t="str">
        <f t="shared" si="931"/>
        <v>Foto</v>
      </c>
      <c r="AL1429" t="str">
        <f>"{\rtf1\ansi\ansicpg1252\deff0\deflang11274{\fonttbl{\f0\fnil\fcharset0 MS Sans Serif}} \viewkind4\uc1\pard\f0\fs16 CONECTOR 1 V\'cdA CARB. MOTOR TIPO DUNA/UNO/GENERAL MOTORS\par } "</f>
        <v xml:space="preserve">{\rtf1\ansi\ansicpg1252\deff0\deflang11274{\fonttbl{\f0\fnil\fcharset0 MS Sans Serif}} \viewkind4\uc1\pard\f0\fs16 CONECTOR 1 V\'cdA CARB. MOTOR TIPO DUNA/UNO/GENERAL MOTORS\par } </v>
      </c>
      <c r="AM1429" t="str">
        <f t="shared" si="940"/>
        <v>-</v>
      </c>
    </row>
    <row r="1430" spans="1:39" x14ac:dyDescent="0.25">
      <c r="A1430" t="str">
        <f>"10132"</f>
        <v>10132</v>
      </c>
      <c r="B1430" t="str">
        <f>"CONECTOR 1 VÍA DE ACOPLE  – UNIVERSAL"</f>
        <v>CONECTOR 1 VÍA DE ACOPLE  – UNIVERSAL</v>
      </c>
      <c r="C1430" t="str">
        <f>"$ 4157,01"</f>
        <v>$ 4157,01</v>
      </c>
      <c r="D1430" t="str">
        <f>"$ 4157,01"</f>
        <v>$ 4157,01</v>
      </c>
      <c r="E1430" t="str">
        <f>"$ 4157,01"</f>
        <v>$ 4157,01</v>
      </c>
      <c r="F1430" t="str">
        <f>"$ 4157,01"</f>
        <v>$ 4157,01</v>
      </c>
      <c r="G1430" t="str">
        <f>"$ 4157,01"</f>
        <v>$ 4157,01</v>
      </c>
      <c r="H1430" t="str">
        <f t="shared" si="914"/>
        <v>$ 0,00</v>
      </c>
      <c r="I1430" t="str">
        <f t="shared" si="937"/>
        <v>FICHA CONECTOR</v>
      </c>
      <c r="J1430" t="str">
        <f t="shared" si="915"/>
        <v>1</v>
      </c>
      <c r="K1430" t="str">
        <f t="shared" si="909"/>
        <v>0</v>
      </c>
      <c r="L1430" t="str">
        <f>"0,000"</f>
        <v>0,000</v>
      </c>
      <c r="M1430" t="str">
        <f t="shared" si="916"/>
        <v xml:space="preserve"> </v>
      </c>
      <c r="N1430" t="str">
        <f t="shared" si="938"/>
        <v>AUTRONIC</v>
      </c>
      <c r="O1430" t="str">
        <f t="shared" si="939"/>
        <v>CABLES</v>
      </c>
      <c r="P1430" t="str">
        <f t="shared" si="935"/>
        <v>0</v>
      </c>
      <c r="Q1430" t="str">
        <f t="shared" si="935"/>
        <v>0</v>
      </c>
      <c r="R1430" t="str">
        <f t="shared" si="936"/>
        <v>0,00</v>
      </c>
      <c r="S1430" t="str">
        <f t="shared" si="936"/>
        <v>0,00</v>
      </c>
      <c r="T1430" t="str">
        <f t="shared" si="941"/>
        <v xml:space="preserve"> </v>
      </c>
      <c r="U1430" t="str">
        <f t="shared" si="933"/>
        <v xml:space="preserve"> </v>
      </c>
      <c r="V1430" t="str">
        <f>"0,000"</f>
        <v>0,000</v>
      </c>
      <c r="W1430" t="str">
        <f t="shared" si="917"/>
        <v>Lista 4</v>
      </c>
      <c r="X1430" t="str">
        <f t="shared" si="918"/>
        <v>Lista 5</v>
      </c>
      <c r="Y1430" t="str">
        <f t="shared" si="919"/>
        <v>Oferta Gral.</v>
      </c>
      <c r="Z1430" t="str">
        <f t="shared" si="920"/>
        <v>Rubro</v>
      </c>
      <c r="AA1430" t="str">
        <f t="shared" si="921"/>
        <v>Cantidad por Bulto</v>
      </c>
      <c r="AB1430" t="str">
        <f t="shared" si="922"/>
        <v>INNER</v>
      </c>
      <c r="AC1430" t="str">
        <f t="shared" si="923"/>
        <v>Stock en Bultos</v>
      </c>
      <c r="AD1430" t="str">
        <f t="shared" si="924"/>
        <v>SubDepósito</v>
      </c>
      <c r="AE1430" t="str">
        <f t="shared" si="925"/>
        <v>Marca</v>
      </c>
      <c r="AF1430" t="str">
        <f t="shared" si="926"/>
        <v>Super Rubro</v>
      </c>
      <c r="AG1430" t="str">
        <f t="shared" si="927"/>
        <v>ComercioExterior</v>
      </c>
      <c r="AH1430" t="str">
        <f t="shared" si="928"/>
        <v>PrecioFOB</v>
      </c>
      <c r="AI1430" t="str">
        <f t="shared" si="929"/>
        <v>Monto II</v>
      </c>
      <c r="AJ1430" t="str">
        <f t="shared" si="930"/>
        <v>Porcentaje II</v>
      </c>
      <c r="AK1430" t="str">
        <f t="shared" si="931"/>
        <v>Foto</v>
      </c>
      <c r="AL1430" t="str">
        <f>"{\rtf1\ansi\ansicpg1252\deff0\deflang11274{\fonttbl{\f0\fnil\fcharset0 MS Sans Serif}} \viewkind4\uc1\pard\f0\fs16 CONECTOR 1 V\'cdA DE ACOPLE  \endash  UNIVERSAL\par } "</f>
        <v xml:space="preserve">{\rtf1\ansi\ansicpg1252\deff0\deflang11274{\fonttbl{\f0\fnil\fcharset0 MS Sans Serif}} \viewkind4\uc1\pard\f0\fs16 CONECTOR 1 V\'cdA DE ACOPLE  \endash  UNIVERSAL\par } </v>
      </c>
      <c r="AM1430" t="str">
        <f t="shared" si="940"/>
        <v>-</v>
      </c>
    </row>
    <row r="1431" spans="1:39" x14ac:dyDescent="0.25">
      <c r="A1431" t="str">
        <f>"10102"</f>
        <v>10102</v>
      </c>
      <c r="B1431" t="str">
        <f>"CONECTOR 1 VÍA HEMBRA – PORTA MACHO T:  6.35 MM.- UNIVERSAL"</f>
        <v>CONECTOR 1 VÍA HEMBRA – PORTA MACHO T:  6.35 MM.- UNIVERSAL</v>
      </c>
      <c r="C1431" t="str">
        <f>"$ 554,52"</f>
        <v>$ 554,52</v>
      </c>
      <c r="D1431" t="str">
        <f>"$ 554,52"</f>
        <v>$ 554,52</v>
      </c>
      <c r="E1431" t="str">
        <f>"$ 554,52"</f>
        <v>$ 554,52</v>
      </c>
      <c r="F1431" t="str">
        <f>"$ 554,52"</f>
        <v>$ 554,52</v>
      </c>
      <c r="G1431" t="str">
        <f>"$ 554,52"</f>
        <v>$ 554,52</v>
      </c>
      <c r="H1431" t="str">
        <f t="shared" si="914"/>
        <v>$ 0,00</v>
      </c>
      <c r="I1431" t="str">
        <f t="shared" si="937"/>
        <v>FICHA CONECTOR</v>
      </c>
      <c r="J1431" t="str">
        <f t="shared" si="915"/>
        <v>1</v>
      </c>
      <c r="K1431" t="str">
        <f t="shared" si="909"/>
        <v>0</v>
      </c>
      <c r="L1431" t="str">
        <f>"8,000"</f>
        <v>8,000</v>
      </c>
      <c r="M1431" t="str">
        <f t="shared" si="916"/>
        <v xml:space="preserve"> </v>
      </c>
      <c r="N1431" t="str">
        <f t="shared" si="938"/>
        <v>AUTRONIC</v>
      </c>
      <c r="O1431" t="str">
        <f t="shared" si="939"/>
        <v>CABLES</v>
      </c>
      <c r="P1431" t="str">
        <f t="shared" si="935"/>
        <v>0</v>
      </c>
      <c r="Q1431" t="str">
        <f t="shared" si="935"/>
        <v>0</v>
      </c>
      <c r="R1431" t="str">
        <f t="shared" si="936"/>
        <v>0,00</v>
      </c>
      <c r="S1431" t="str">
        <f t="shared" si="936"/>
        <v>0,00</v>
      </c>
      <c r="T1431" t="str">
        <f>"C^\Autoricambi\Proveedores\Autronic\Catálogos\Catalogo Fichas 101 al 413\102.jpg"</f>
        <v>C^\Autoricambi\Proveedores\Autronic\Catálogos\Catalogo Fichas 101 al 413\102.jpg</v>
      </c>
      <c r="U1431" t="str">
        <f t="shared" si="933"/>
        <v xml:space="preserve"> </v>
      </c>
      <c r="V1431" t="str">
        <f>"8,000"</f>
        <v>8,000</v>
      </c>
      <c r="W1431" t="str">
        <f t="shared" si="917"/>
        <v>Lista 4</v>
      </c>
      <c r="X1431" t="str">
        <f t="shared" si="918"/>
        <v>Lista 5</v>
      </c>
      <c r="Y1431" t="str">
        <f t="shared" si="919"/>
        <v>Oferta Gral.</v>
      </c>
      <c r="Z1431" t="str">
        <f t="shared" si="920"/>
        <v>Rubro</v>
      </c>
      <c r="AA1431" t="str">
        <f t="shared" si="921"/>
        <v>Cantidad por Bulto</v>
      </c>
      <c r="AB1431" t="str">
        <f t="shared" si="922"/>
        <v>INNER</v>
      </c>
      <c r="AC1431" t="str">
        <f t="shared" si="923"/>
        <v>Stock en Bultos</v>
      </c>
      <c r="AD1431" t="str">
        <f t="shared" si="924"/>
        <v>SubDepósito</v>
      </c>
      <c r="AE1431" t="str">
        <f t="shared" si="925"/>
        <v>Marca</v>
      </c>
      <c r="AF1431" t="str">
        <f t="shared" si="926"/>
        <v>Super Rubro</v>
      </c>
      <c r="AG1431" t="str">
        <f t="shared" si="927"/>
        <v>ComercioExterior</v>
      </c>
      <c r="AH1431" t="str">
        <f t="shared" si="928"/>
        <v>PrecioFOB</v>
      </c>
      <c r="AI1431" t="str">
        <f t="shared" si="929"/>
        <v>Monto II</v>
      </c>
      <c r="AJ1431" t="str">
        <f t="shared" si="930"/>
        <v>Porcentaje II</v>
      </c>
      <c r="AK1431" t="str">
        <f t="shared" si="931"/>
        <v>Foto</v>
      </c>
      <c r="AL1431" t="str">
        <f>"{\rtf1\ansi\ansicpg1252\deff0\deflang11274{\fonttbl{\f0\fnil\fcharset0 MS Sans Serif}} \viewkind4\uc1\pard\f0\fs16 CONECTOR 1 V\'cdA HEMBRA \endash  PORTA MACHO T:  6.35 MM.- UNIVERSAL\par } "</f>
        <v xml:space="preserve">{\rtf1\ansi\ansicpg1252\deff0\deflang11274{\fonttbl{\f0\fnil\fcharset0 MS Sans Serif}} \viewkind4\uc1\pard\f0\fs16 CONECTOR 1 V\'cdA HEMBRA \endash  PORTA MACHO T:  6.35 MM.- UNIVERSAL\par } </v>
      </c>
      <c r="AM1431" t="str">
        <f t="shared" si="940"/>
        <v>-</v>
      </c>
    </row>
    <row r="1432" spans="1:39" x14ac:dyDescent="0.25">
      <c r="A1432" t="str">
        <f>"10101"</f>
        <v>10101</v>
      </c>
      <c r="B1432" t="str">
        <f>"CONECTOR 1 VÍA MACHO – PORTA HEMBRA T:  6.35 MM.- UNIVERSAL"</f>
        <v>CONECTOR 1 VÍA MACHO – PORTA HEMBRA T:  6.35 MM.- UNIVERSAL</v>
      </c>
      <c r="C1432" t="str">
        <f>"$ 514,44"</f>
        <v>$ 514,44</v>
      </c>
      <c r="D1432" t="str">
        <f>"$ 514,44"</f>
        <v>$ 514,44</v>
      </c>
      <c r="E1432" t="str">
        <f>"$ 514,44"</f>
        <v>$ 514,44</v>
      </c>
      <c r="F1432" t="str">
        <f>"$ 514,44"</f>
        <v>$ 514,44</v>
      </c>
      <c r="G1432" t="str">
        <f>"$ 514,44"</f>
        <v>$ 514,44</v>
      </c>
      <c r="H1432" t="str">
        <f t="shared" si="914"/>
        <v>$ 0,00</v>
      </c>
      <c r="I1432" t="str">
        <f t="shared" si="937"/>
        <v>FICHA CONECTOR</v>
      </c>
      <c r="J1432" t="str">
        <f t="shared" si="915"/>
        <v>1</v>
      </c>
      <c r="K1432" t="str">
        <f t="shared" si="909"/>
        <v>0</v>
      </c>
      <c r="L1432" t="str">
        <f>"22,000"</f>
        <v>22,000</v>
      </c>
      <c r="M1432" t="str">
        <f t="shared" si="916"/>
        <v xml:space="preserve"> </v>
      </c>
      <c r="N1432" t="str">
        <f t="shared" si="938"/>
        <v>AUTRONIC</v>
      </c>
      <c r="O1432" t="str">
        <f t="shared" si="939"/>
        <v>CABLES</v>
      </c>
      <c r="P1432" t="str">
        <f t="shared" si="935"/>
        <v>0</v>
      </c>
      <c r="Q1432" t="str">
        <f t="shared" si="935"/>
        <v>0</v>
      </c>
      <c r="R1432" t="str">
        <f t="shared" si="936"/>
        <v>0,00</v>
      </c>
      <c r="S1432" t="str">
        <f t="shared" si="936"/>
        <v>0,00</v>
      </c>
      <c r="T1432" t="str">
        <f>"C^\Autoricambi\Proveedores\Autronic\Catálogos\Catalogo Fichas 101 al 413\101.jpg"</f>
        <v>C^\Autoricambi\Proveedores\Autronic\Catálogos\Catalogo Fichas 101 al 413\101.jpg</v>
      </c>
      <c r="U1432" t="str">
        <f t="shared" si="933"/>
        <v xml:space="preserve"> </v>
      </c>
      <c r="V1432" t="str">
        <f>"22,000"</f>
        <v>22,000</v>
      </c>
      <c r="W1432" t="str">
        <f t="shared" si="917"/>
        <v>Lista 4</v>
      </c>
      <c r="X1432" t="str">
        <f t="shared" si="918"/>
        <v>Lista 5</v>
      </c>
      <c r="Y1432" t="str">
        <f t="shared" si="919"/>
        <v>Oferta Gral.</v>
      </c>
      <c r="Z1432" t="str">
        <f t="shared" si="920"/>
        <v>Rubro</v>
      </c>
      <c r="AA1432" t="str">
        <f t="shared" si="921"/>
        <v>Cantidad por Bulto</v>
      </c>
      <c r="AB1432" t="str">
        <f t="shared" si="922"/>
        <v>INNER</v>
      </c>
      <c r="AC1432" t="str">
        <f t="shared" si="923"/>
        <v>Stock en Bultos</v>
      </c>
      <c r="AD1432" t="str">
        <f t="shared" si="924"/>
        <v>SubDepósito</v>
      </c>
      <c r="AE1432" t="str">
        <f t="shared" si="925"/>
        <v>Marca</v>
      </c>
      <c r="AF1432" t="str">
        <f t="shared" si="926"/>
        <v>Super Rubro</v>
      </c>
      <c r="AG1432" t="str">
        <f t="shared" si="927"/>
        <v>ComercioExterior</v>
      </c>
      <c r="AH1432" t="str">
        <f t="shared" si="928"/>
        <v>PrecioFOB</v>
      </c>
      <c r="AI1432" t="str">
        <f t="shared" si="929"/>
        <v>Monto II</v>
      </c>
      <c r="AJ1432" t="str">
        <f t="shared" si="930"/>
        <v>Porcentaje II</v>
      </c>
      <c r="AK1432" t="str">
        <f t="shared" si="931"/>
        <v>Foto</v>
      </c>
      <c r="AL1432" t="str">
        <f>"{\rtf1\ansi\ansicpg1252\deff0\deflang11274{\fonttbl{\f0\fnil\fcharset0 MS Sans Serif}} \viewkind4\uc1\pard\f0\fs16 CONECTOR 1 V\'cdA MACHO \endash  PORTA HEMBRA T:  6.35 MM.- UNIVERSAL\par } "</f>
        <v xml:space="preserve">{\rtf1\ansi\ansicpg1252\deff0\deflang11274{\fonttbl{\f0\fnil\fcharset0 MS Sans Serif}} \viewkind4\uc1\pard\f0\fs16 CONECTOR 1 V\'cdA MACHO \endash  PORTA HEMBRA T:  6.35 MM.- UNIVERSAL\par } </v>
      </c>
      <c r="AM1432" t="str">
        <f t="shared" si="940"/>
        <v>-</v>
      </c>
    </row>
    <row r="1433" spans="1:39" x14ac:dyDescent="0.25">
      <c r="A1433" t="str">
        <f>"10416"</f>
        <v>10416</v>
      </c>
      <c r="B1433" t="str">
        <f>"CONECTOR 10 VIAS BALIZA MERCEDES BENZ OH"</f>
        <v>CONECTOR 10 VIAS BALIZA MERCEDES BENZ OH</v>
      </c>
      <c r="C1433" t="str">
        <f>"$ 4632,10"</f>
        <v>$ 4632,10</v>
      </c>
      <c r="D1433" t="str">
        <f>"$ 4632,10"</f>
        <v>$ 4632,10</v>
      </c>
      <c r="E1433" t="str">
        <f>"$ 4632,10"</f>
        <v>$ 4632,10</v>
      </c>
      <c r="F1433" t="str">
        <f>"$ 4632,10"</f>
        <v>$ 4632,10</v>
      </c>
      <c r="G1433" t="str">
        <f>"$ 4632,10"</f>
        <v>$ 4632,10</v>
      </c>
      <c r="H1433" t="str">
        <f t="shared" si="914"/>
        <v>$ 0,00</v>
      </c>
      <c r="I1433" t="str">
        <f t="shared" si="937"/>
        <v>FICHA CONECTOR</v>
      </c>
      <c r="J1433" t="str">
        <f t="shared" si="915"/>
        <v>1</v>
      </c>
      <c r="K1433" t="str">
        <f t="shared" si="909"/>
        <v>0</v>
      </c>
      <c r="L1433" t="str">
        <f t="shared" ref="L1433:L1446" si="942">"0,000"</f>
        <v>0,000</v>
      </c>
      <c r="M1433" t="str">
        <f t="shared" si="916"/>
        <v xml:space="preserve"> </v>
      </c>
      <c r="N1433" t="str">
        <f t="shared" si="938"/>
        <v>AUTRONIC</v>
      </c>
      <c r="O1433" t="str">
        <f t="shared" si="939"/>
        <v>CABLES</v>
      </c>
      <c r="P1433" t="str">
        <f t="shared" si="935"/>
        <v>0</v>
      </c>
      <c r="Q1433" t="str">
        <f t="shared" si="935"/>
        <v>0</v>
      </c>
      <c r="R1433" t="str">
        <f t="shared" si="936"/>
        <v>0,00</v>
      </c>
      <c r="S1433" t="str">
        <f t="shared" si="936"/>
        <v>0,00</v>
      </c>
      <c r="T1433" t="str">
        <f t="shared" ref="T1433:T1464" si="943">" "</f>
        <v xml:space="preserve"> </v>
      </c>
      <c r="U1433" t="str">
        <f t="shared" si="933"/>
        <v xml:space="preserve"> </v>
      </c>
      <c r="V1433" t="str">
        <f t="shared" ref="V1433:V1446" si="944">"0,000"</f>
        <v>0,000</v>
      </c>
      <c r="W1433" t="str">
        <f t="shared" si="917"/>
        <v>Lista 4</v>
      </c>
      <c r="X1433" t="str">
        <f t="shared" si="918"/>
        <v>Lista 5</v>
      </c>
      <c r="Y1433" t="str">
        <f t="shared" si="919"/>
        <v>Oferta Gral.</v>
      </c>
      <c r="Z1433" t="str">
        <f t="shared" si="920"/>
        <v>Rubro</v>
      </c>
      <c r="AA1433" t="str">
        <f t="shared" si="921"/>
        <v>Cantidad por Bulto</v>
      </c>
      <c r="AB1433" t="str">
        <f t="shared" si="922"/>
        <v>INNER</v>
      </c>
      <c r="AC1433" t="str">
        <f t="shared" si="923"/>
        <v>Stock en Bultos</v>
      </c>
      <c r="AD1433" t="str">
        <f t="shared" si="924"/>
        <v>SubDepósito</v>
      </c>
      <c r="AE1433" t="str">
        <f t="shared" si="925"/>
        <v>Marca</v>
      </c>
      <c r="AF1433" t="str">
        <f t="shared" si="926"/>
        <v>Super Rubro</v>
      </c>
      <c r="AG1433" t="str">
        <f t="shared" si="927"/>
        <v>ComercioExterior</v>
      </c>
      <c r="AH1433" t="str">
        <f t="shared" si="928"/>
        <v>PrecioFOB</v>
      </c>
      <c r="AI1433" t="str">
        <f t="shared" si="929"/>
        <v>Monto II</v>
      </c>
      <c r="AJ1433" t="str">
        <f t="shared" si="930"/>
        <v>Porcentaje II</v>
      </c>
      <c r="AK1433" t="str">
        <f t="shared" si="931"/>
        <v>Foto</v>
      </c>
      <c r="AL1433" t="str">
        <f>"{\rtf1\ansi\ansicpg1252\deff0\deflang11274{\fonttbl{\f0\fnil\fcharset0 MS Sans Serif}} \viewkind4\uc1\pard\f0\fs16 CONECTOR 10 VIAS BALIZA MERCEDES BENZ OH\par } "</f>
        <v xml:space="preserve">{\rtf1\ansi\ansicpg1252\deff0\deflang11274{\fonttbl{\f0\fnil\fcharset0 MS Sans Serif}} \viewkind4\uc1\pard\f0\fs16 CONECTOR 10 VIAS BALIZA MERCEDES BENZ OH\par } </v>
      </c>
      <c r="AM1433" t="str">
        <f t="shared" si="940"/>
        <v>-</v>
      </c>
    </row>
    <row r="1434" spans="1:39" x14ac:dyDescent="0.25">
      <c r="A1434" t="str">
        <f>"10332"</f>
        <v>10332</v>
      </c>
      <c r="B1434" t="str">
        <f>"CONECTOR 10 VIAS CAJA CONTROL ELECTROVENTILADOR VW"</f>
        <v>CONECTOR 10 VIAS CAJA CONTROL ELECTROVENTILADOR VW</v>
      </c>
      <c r="C1434" t="str">
        <f>"$ 5285,34"</f>
        <v>$ 5285,34</v>
      </c>
      <c r="D1434" t="str">
        <f>"$ 5285,34"</f>
        <v>$ 5285,34</v>
      </c>
      <c r="E1434" t="str">
        <f>"$ 5285,34"</f>
        <v>$ 5285,34</v>
      </c>
      <c r="F1434" t="str">
        <f>"$ 5285,34"</f>
        <v>$ 5285,34</v>
      </c>
      <c r="G1434" t="str">
        <f>"$ 5285,34"</f>
        <v>$ 5285,34</v>
      </c>
      <c r="H1434" t="str">
        <f t="shared" si="914"/>
        <v>$ 0,00</v>
      </c>
      <c r="I1434" t="str">
        <f t="shared" si="937"/>
        <v>FICHA CONECTOR</v>
      </c>
      <c r="J1434" t="str">
        <f t="shared" si="915"/>
        <v>1</v>
      </c>
      <c r="K1434" t="str">
        <f t="shared" si="909"/>
        <v>0</v>
      </c>
      <c r="L1434" t="str">
        <f t="shared" si="942"/>
        <v>0,000</v>
      </c>
      <c r="M1434" t="str">
        <f t="shared" si="916"/>
        <v xml:space="preserve"> </v>
      </c>
      <c r="N1434" t="str">
        <f t="shared" si="938"/>
        <v>AUTRONIC</v>
      </c>
      <c r="O1434" t="str">
        <f t="shared" si="939"/>
        <v>CABLES</v>
      </c>
      <c r="P1434" t="str">
        <f t="shared" si="935"/>
        <v>0</v>
      </c>
      <c r="Q1434" t="str">
        <f t="shared" si="935"/>
        <v>0</v>
      </c>
      <c r="R1434" t="str">
        <f t="shared" si="936"/>
        <v>0,00</v>
      </c>
      <c r="S1434" t="str">
        <f t="shared" si="936"/>
        <v>0,00</v>
      </c>
      <c r="T1434" t="str">
        <f t="shared" si="943"/>
        <v xml:space="preserve"> </v>
      </c>
      <c r="U1434" t="str">
        <f t="shared" si="933"/>
        <v xml:space="preserve"> </v>
      </c>
      <c r="V1434" t="str">
        <f t="shared" si="944"/>
        <v>0,000</v>
      </c>
      <c r="W1434" t="str">
        <f t="shared" si="917"/>
        <v>Lista 4</v>
      </c>
      <c r="X1434" t="str">
        <f t="shared" si="918"/>
        <v>Lista 5</v>
      </c>
      <c r="Y1434" t="str">
        <f t="shared" si="919"/>
        <v>Oferta Gral.</v>
      </c>
      <c r="Z1434" t="str">
        <f t="shared" si="920"/>
        <v>Rubro</v>
      </c>
      <c r="AA1434" t="str">
        <f t="shared" si="921"/>
        <v>Cantidad por Bulto</v>
      </c>
      <c r="AB1434" t="str">
        <f t="shared" si="922"/>
        <v>INNER</v>
      </c>
      <c r="AC1434" t="str">
        <f t="shared" si="923"/>
        <v>Stock en Bultos</v>
      </c>
      <c r="AD1434" t="str">
        <f t="shared" si="924"/>
        <v>SubDepósito</v>
      </c>
      <c r="AE1434" t="str">
        <f t="shared" si="925"/>
        <v>Marca</v>
      </c>
      <c r="AF1434" t="str">
        <f t="shared" si="926"/>
        <v>Super Rubro</v>
      </c>
      <c r="AG1434" t="str">
        <f t="shared" si="927"/>
        <v>ComercioExterior</v>
      </c>
      <c r="AH1434" t="str">
        <f t="shared" si="928"/>
        <v>PrecioFOB</v>
      </c>
      <c r="AI1434" t="str">
        <f t="shared" si="929"/>
        <v>Monto II</v>
      </c>
      <c r="AJ1434" t="str">
        <f t="shared" si="930"/>
        <v>Porcentaje II</v>
      </c>
      <c r="AK1434" t="str">
        <f t="shared" si="931"/>
        <v>Foto</v>
      </c>
      <c r="AL1434" t="str">
        <f>"{\rtf1\ansi\ansicpg1252\deff0\deflang11274{\fonttbl{\f0\fnil\fcharset0 MS Sans Serif}} \viewkind4\uc1\pard\f0\fs16 CONECTOR 10 VIAS CAJA CONTROL ELECTROVENTILADOR VW\par } "</f>
        <v xml:space="preserve">{\rtf1\ansi\ansicpg1252\deff0\deflang11274{\fonttbl{\f0\fnil\fcharset0 MS Sans Serif}} \viewkind4\uc1\pard\f0\fs16 CONECTOR 10 VIAS CAJA CONTROL ELECTROVENTILADOR VW\par } </v>
      </c>
      <c r="AM1434" t="str">
        <f t="shared" si="940"/>
        <v>-</v>
      </c>
    </row>
    <row r="1435" spans="1:39" x14ac:dyDescent="0.25">
      <c r="A1435" t="str">
        <f>"10403"</f>
        <v>10403</v>
      </c>
      <c r="B1435" t="str">
        <f>"CONECTOR 10 VIAS FAROS DELANTEROS FIAT PALIO SIENA"</f>
        <v>CONECTOR 10 VIAS FAROS DELANTEROS FIAT PALIO SIENA</v>
      </c>
      <c r="C1435" t="str">
        <f>"$ 9005,99"</f>
        <v>$ 9005,99</v>
      </c>
      <c r="D1435" t="str">
        <f>"$ 9005,99"</f>
        <v>$ 9005,99</v>
      </c>
      <c r="E1435" t="str">
        <f>"$ 9005,99"</f>
        <v>$ 9005,99</v>
      </c>
      <c r="F1435" t="str">
        <f>"$ 9005,99"</f>
        <v>$ 9005,99</v>
      </c>
      <c r="G1435" t="str">
        <f>"$ 9005,99"</f>
        <v>$ 9005,99</v>
      </c>
      <c r="H1435" t="str">
        <f t="shared" si="914"/>
        <v>$ 0,00</v>
      </c>
      <c r="I1435" t="str">
        <f t="shared" si="937"/>
        <v>FICHA CONECTOR</v>
      </c>
      <c r="J1435" t="str">
        <f t="shared" si="915"/>
        <v>1</v>
      </c>
      <c r="K1435" t="str">
        <f t="shared" si="909"/>
        <v>0</v>
      </c>
      <c r="L1435" t="str">
        <f t="shared" si="942"/>
        <v>0,000</v>
      </c>
      <c r="M1435" t="str">
        <f t="shared" si="916"/>
        <v xml:space="preserve"> </v>
      </c>
      <c r="N1435" t="str">
        <f t="shared" si="938"/>
        <v>AUTRONIC</v>
      </c>
      <c r="O1435" t="str">
        <f t="shared" si="939"/>
        <v>CABLES</v>
      </c>
      <c r="P1435" t="str">
        <f t="shared" si="935"/>
        <v>0</v>
      </c>
      <c r="Q1435" t="str">
        <f t="shared" si="935"/>
        <v>0</v>
      </c>
      <c r="R1435" t="str">
        <f t="shared" si="936"/>
        <v>0,00</v>
      </c>
      <c r="S1435" t="str">
        <f t="shared" si="936"/>
        <v>0,00</v>
      </c>
      <c r="T1435" t="str">
        <f t="shared" si="943"/>
        <v xml:space="preserve"> </v>
      </c>
      <c r="U1435" t="str">
        <f t="shared" si="933"/>
        <v xml:space="preserve"> </v>
      </c>
      <c r="V1435" t="str">
        <f t="shared" si="944"/>
        <v>0,000</v>
      </c>
      <c r="W1435" t="str">
        <f t="shared" si="917"/>
        <v>Lista 4</v>
      </c>
      <c r="X1435" t="str">
        <f t="shared" si="918"/>
        <v>Lista 5</v>
      </c>
      <c r="Y1435" t="str">
        <f t="shared" si="919"/>
        <v>Oferta Gral.</v>
      </c>
      <c r="Z1435" t="str">
        <f t="shared" si="920"/>
        <v>Rubro</v>
      </c>
      <c r="AA1435" t="str">
        <f t="shared" si="921"/>
        <v>Cantidad por Bulto</v>
      </c>
      <c r="AB1435" t="str">
        <f t="shared" si="922"/>
        <v>INNER</v>
      </c>
      <c r="AC1435" t="str">
        <f t="shared" si="923"/>
        <v>Stock en Bultos</v>
      </c>
      <c r="AD1435" t="str">
        <f t="shared" si="924"/>
        <v>SubDepósito</v>
      </c>
      <c r="AE1435" t="str">
        <f t="shared" si="925"/>
        <v>Marca</v>
      </c>
      <c r="AF1435" t="str">
        <f t="shared" si="926"/>
        <v>Super Rubro</v>
      </c>
      <c r="AG1435" t="str">
        <f t="shared" si="927"/>
        <v>ComercioExterior</v>
      </c>
      <c r="AH1435" t="str">
        <f t="shared" si="928"/>
        <v>PrecioFOB</v>
      </c>
      <c r="AI1435" t="str">
        <f t="shared" si="929"/>
        <v>Monto II</v>
      </c>
      <c r="AJ1435" t="str">
        <f t="shared" si="930"/>
        <v>Porcentaje II</v>
      </c>
      <c r="AK1435" t="str">
        <f t="shared" si="931"/>
        <v>Foto</v>
      </c>
      <c r="AL1435" t="str">
        <f>"{\rtf1\ansi\ansicpg1252\deff0\deflang11274{\fonttbl{\f0\fnil\fcharset0 MS Sans Serif}} \viewkind4\uc1\pard\f0\fs16 CONECTOR 10 VIAS FAROS DELANTEROS FIAT PALIO SIENA\par } "</f>
        <v xml:space="preserve">{\rtf1\ansi\ansicpg1252\deff0\deflang11274{\fonttbl{\f0\fnil\fcharset0 MS Sans Serif}} \viewkind4\uc1\pard\f0\fs16 CONECTOR 10 VIAS FAROS DELANTEROS FIAT PALIO SIENA\par } </v>
      </c>
      <c r="AM1435" t="str">
        <f t="shared" si="940"/>
        <v>-</v>
      </c>
    </row>
    <row r="1436" spans="1:39" x14ac:dyDescent="0.25">
      <c r="A1436" t="str">
        <f>"10133"</f>
        <v>10133</v>
      </c>
      <c r="B1436" t="str">
        <f>"CONECTOR 13 VÍAS CIRCUITO IMPRESO – ORIG. FIAT"</f>
        <v>CONECTOR 13 VÍAS CIRCUITO IMPRESO – ORIG. FIAT</v>
      </c>
      <c r="C1436" t="str">
        <f>"$ 21111,96"</f>
        <v>$ 21111,96</v>
      </c>
      <c r="D1436" t="str">
        <f>"$ 21111,96"</f>
        <v>$ 21111,96</v>
      </c>
      <c r="E1436" t="str">
        <f>"$ 21111,96"</f>
        <v>$ 21111,96</v>
      </c>
      <c r="F1436" t="str">
        <f>"$ 21111,96"</f>
        <v>$ 21111,96</v>
      </c>
      <c r="G1436" t="str">
        <f>"$ 21111,96"</f>
        <v>$ 21111,96</v>
      </c>
      <c r="H1436" t="str">
        <f t="shared" si="914"/>
        <v>$ 0,00</v>
      </c>
      <c r="I1436" t="str">
        <f t="shared" si="937"/>
        <v>FICHA CONECTOR</v>
      </c>
      <c r="J1436" t="str">
        <f t="shared" si="915"/>
        <v>1</v>
      </c>
      <c r="K1436" t="str">
        <f t="shared" si="909"/>
        <v>0</v>
      </c>
      <c r="L1436" t="str">
        <f t="shared" si="942"/>
        <v>0,000</v>
      </c>
      <c r="M1436" t="str">
        <f t="shared" si="916"/>
        <v xml:space="preserve"> </v>
      </c>
      <c r="N1436" t="str">
        <f t="shared" si="938"/>
        <v>AUTRONIC</v>
      </c>
      <c r="O1436" t="str">
        <f t="shared" si="939"/>
        <v>CABLES</v>
      </c>
      <c r="P1436" t="str">
        <f t="shared" si="935"/>
        <v>0</v>
      </c>
      <c r="Q1436" t="str">
        <f t="shared" si="935"/>
        <v>0</v>
      </c>
      <c r="R1436" t="str">
        <f t="shared" si="936"/>
        <v>0,00</v>
      </c>
      <c r="S1436" t="str">
        <f t="shared" si="936"/>
        <v>0,00</v>
      </c>
      <c r="T1436" t="str">
        <f t="shared" si="943"/>
        <v xml:space="preserve"> </v>
      </c>
      <c r="U1436" t="str">
        <f t="shared" si="933"/>
        <v xml:space="preserve"> </v>
      </c>
      <c r="V1436" t="str">
        <f t="shared" si="944"/>
        <v>0,000</v>
      </c>
      <c r="W1436" t="str">
        <f t="shared" si="917"/>
        <v>Lista 4</v>
      </c>
      <c r="X1436" t="str">
        <f t="shared" si="918"/>
        <v>Lista 5</v>
      </c>
      <c r="Y1436" t="str">
        <f t="shared" si="919"/>
        <v>Oferta Gral.</v>
      </c>
      <c r="Z1436" t="str">
        <f t="shared" si="920"/>
        <v>Rubro</v>
      </c>
      <c r="AA1436" t="str">
        <f t="shared" si="921"/>
        <v>Cantidad por Bulto</v>
      </c>
      <c r="AB1436" t="str">
        <f t="shared" si="922"/>
        <v>INNER</v>
      </c>
      <c r="AC1436" t="str">
        <f t="shared" si="923"/>
        <v>Stock en Bultos</v>
      </c>
      <c r="AD1436" t="str">
        <f t="shared" si="924"/>
        <v>SubDepósito</v>
      </c>
      <c r="AE1436" t="str">
        <f t="shared" si="925"/>
        <v>Marca</v>
      </c>
      <c r="AF1436" t="str">
        <f t="shared" si="926"/>
        <v>Super Rubro</v>
      </c>
      <c r="AG1436" t="str">
        <f t="shared" si="927"/>
        <v>ComercioExterior</v>
      </c>
      <c r="AH1436" t="str">
        <f t="shared" si="928"/>
        <v>PrecioFOB</v>
      </c>
      <c r="AI1436" t="str">
        <f t="shared" si="929"/>
        <v>Monto II</v>
      </c>
      <c r="AJ1436" t="str">
        <f t="shared" si="930"/>
        <v>Porcentaje II</v>
      </c>
      <c r="AK1436" t="str">
        <f t="shared" si="931"/>
        <v>Foto</v>
      </c>
      <c r="AL1436" t="str">
        <f>"{\rtf1\ansi\ansicpg1252\deff0\deflang11274{\fonttbl{\f0\fnil\fcharset0 MS Sans Serif}} \viewkind4\uc1\pard\f0\fs16 CONECTOR 13 V\'cdAS CIRCUITO IMPRESO \endash  ORIG. FIAT\par } "</f>
        <v xml:space="preserve">{\rtf1\ansi\ansicpg1252\deff0\deflang11274{\fonttbl{\f0\fnil\fcharset0 MS Sans Serif}} \viewkind4\uc1\pard\f0\fs16 CONECTOR 13 V\'cdAS CIRCUITO IMPRESO \endash  ORIG. FIAT\par } </v>
      </c>
      <c r="AM1436" t="str">
        <f t="shared" si="940"/>
        <v>-</v>
      </c>
    </row>
    <row r="1437" spans="1:39" x14ac:dyDescent="0.25">
      <c r="A1437" t="str">
        <f>"10136"</f>
        <v>10136</v>
      </c>
      <c r="B1437" t="str">
        <f>"CONECTOR 13 VÍAS HEMBRA STEREO PHILCO – INSTRUMENTAL REGATTA"</f>
        <v>CONECTOR 13 VÍAS HEMBRA STEREO PHILCO – INSTRUMENTAL REGATTA</v>
      </c>
      <c r="C1437" t="str">
        <f>"$ 11090,46"</f>
        <v>$ 11090,46</v>
      </c>
      <c r="D1437" t="str">
        <f>"$ 11090,46"</f>
        <v>$ 11090,46</v>
      </c>
      <c r="E1437" t="str">
        <f>"$ 11090,46"</f>
        <v>$ 11090,46</v>
      </c>
      <c r="F1437" t="str">
        <f>"$ 11090,46"</f>
        <v>$ 11090,46</v>
      </c>
      <c r="G1437" t="str">
        <f>"$ 11090,46"</f>
        <v>$ 11090,46</v>
      </c>
      <c r="H1437" t="str">
        <f t="shared" si="914"/>
        <v>$ 0,00</v>
      </c>
      <c r="I1437" t="str">
        <f t="shared" si="937"/>
        <v>FICHA CONECTOR</v>
      </c>
      <c r="J1437" t="str">
        <f t="shared" si="915"/>
        <v>1</v>
      </c>
      <c r="K1437" t="str">
        <f t="shared" si="909"/>
        <v>0</v>
      </c>
      <c r="L1437" t="str">
        <f t="shared" si="942"/>
        <v>0,000</v>
      </c>
      <c r="M1437" t="str">
        <f t="shared" si="916"/>
        <v xml:space="preserve"> </v>
      </c>
      <c r="N1437" t="str">
        <f t="shared" si="938"/>
        <v>AUTRONIC</v>
      </c>
      <c r="O1437" t="str">
        <f t="shared" si="939"/>
        <v>CABLES</v>
      </c>
      <c r="P1437" t="str">
        <f t="shared" si="935"/>
        <v>0</v>
      </c>
      <c r="Q1437" t="str">
        <f t="shared" si="935"/>
        <v>0</v>
      </c>
      <c r="R1437" t="str">
        <f t="shared" si="936"/>
        <v>0,00</v>
      </c>
      <c r="S1437" t="str">
        <f t="shared" si="936"/>
        <v>0,00</v>
      </c>
      <c r="T1437" t="str">
        <f t="shared" si="943"/>
        <v xml:space="preserve"> </v>
      </c>
      <c r="U1437" t="str">
        <f t="shared" si="933"/>
        <v xml:space="preserve"> </v>
      </c>
      <c r="V1437" t="str">
        <f t="shared" si="944"/>
        <v>0,000</v>
      </c>
      <c r="W1437" t="str">
        <f t="shared" si="917"/>
        <v>Lista 4</v>
      </c>
      <c r="X1437" t="str">
        <f t="shared" si="918"/>
        <v>Lista 5</v>
      </c>
      <c r="Y1437" t="str">
        <f t="shared" si="919"/>
        <v>Oferta Gral.</v>
      </c>
      <c r="Z1437" t="str">
        <f t="shared" si="920"/>
        <v>Rubro</v>
      </c>
      <c r="AA1437" t="str">
        <f t="shared" si="921"/>
        <v>Cantidad por Bulto</v>
      </c>
      <c r="AB1437" t="str">
        <f t="shared" si="922"/>
        <v>INNER</v>
      </c>
      <c r="AC1437" t="str">
        <f t="shared" si="923"/>
        <v>Stock en Bultos</v>
      </c>
      <c r="AD1437" t="str">
        <f t="shared" si="924"/>
        <v>SubDepósito</v>
      </c>
      <c r="AE1437" t="str">
        <f t="shared" si="925"/>
        <v>Marca</v>
      </c>
      <c r="AF1437" t="str">
        <f t="shared" si="926"/>
        <v>Super Rubro</v>
      </c>
      <c r="AG1437" t="str">
        <f t="shared" si="927"/>
        <v>ComercioExterior</v>
      </c>
      <c r="AH1437" t="str">
        <f t="shared" si="928"/>
        <v>PrecioFOB</v>
      </c>
      <c r="AI1437" t="str">
        <f t="shared" si="929"/>
        <v>Monto II</v>
      </c>
      <c r="AJ1437" t="str">
        <f t="shared" si="930"/>
        <v>Porcentaje II</v>
      </c>
      <c r="AK1437" t="str">
        <f t="shared" si="931"/>
        <v>Foto</v>
      </c>
      <c r="AL1437" t="str">
        <f>"{\rtf1\ansi\ansicpg1252\deff0\deflang11274{\fonttbl{\f0\fnil\fcharset0 MS Sans Serif}} \viewkind4\uc1\pard\f0\fs16 CONECTOR 13 V\'cdAS HEMBRA STEREO PHILCO \endash  INSTRUMENTAL REGATTA\par } "</f>
        <v xml:space="preserve">{\rtf1\ansi\ansicpg1252\deff0\deflang11274{\fonttbl{\f0\fnil\fcharset0 MS Sans Serif}} \viewkind4\uc1\pard\f0\fs16 CONECTOR 13 V\'cdAS HEMBRA STEREO PHILCO \endash  INSTRUMENTAL REGATTA\par } </v>
      </c>
      <c r="AM1437" t="str">
        <f t="shared" si="940"/>
        <v>-</v>
      </c>
    </row>
    <row r="1438" spans="1:39" x14ac:dyDescent="0.25">
      <c r="A1438" t="str">
        <f>"10135"</f>
        <v>10135</v>
      </c>
      <c r="B1438" t="str">
        <f>"CONECTOR 13 VÍAS MACHO STEREO PHILCO – INSTRUMENTAL REGATTA"</f>
        <v>CONECTOR 13 VÍAS MACHO STEREO PHILCO – INSTRUMENTAL REGATTA</v>
      </c>
      <c r="C1438" t="str">
        <f>"$ 10021,50"</f>
        <v>$ 10021,50</v>
      </c>
      <c r="D1438" t="str">
        <f>"$ 10021,50"</f>
        <v>$ 10021,50</v>
      </c>
      <c r="E1438" t="str">
        <f>"$ 10021,50"</f>
        <v>$ 10021,50</v>
      </c>
      <c r="F1438" t="str">
        <f>"$ 10021,50"</f>
        <v>$ 10021,50</v>
      </c>
      <c r="G1438" t="str">
        <f>"$ 10021,50"</f>
        <v>$ 10021,50</v>
      </c>
      <c r="H1438" t="str">
        <f t="shared" si="914"/>
        <v>$ 0,00</v>
      </c>
      <c r="I1438" t="str">
        <f t="shared" si="937"/>
        <v>FICHA CONECTOR</v>
      </c>
      <c r="J1438" t="str">
        <f t="shared" si="915"/>
        <v>1</v>
      </c>
      <c r="K1438" t="str">
        <f t="shared" si="909"/>
        <v>0</v>
      </c>
      <c r="L1438" t="str">
        <f t="shared" si="942"/>
        <v>0,000</v>
      </c>
      <c r="M1438" t="str">
        <f t="shared" si="916"/>
        <v xml:space="preserve"> </v>
      </c>
      <c r="N1438" t="str">
        <f t="shared" si="938"/>
        <v>AUTRONIC</v>
      </c>
      <c r="O1438" t="str">
        <f t="shared" si="939"/>
        <v>CABLES</v>
      </c>
      <c r="P1438" t="str">
        <f t="shared" si="935"/>
        <v>0</v>
      </c>
      <c r="Q1438" t="str">
        <f t="shared" si="935"/>
        <v>0</v>
      </c>
      <c r="R1438" t="str">
        <f t="shared" si="936"/>
        <v>0,00</v>
      </c>
      <c r="S1438" t="str">
        <f t="shared" si="936"/>
        <v>0,00</v>
      </c>
      <c r="T1438" t="str">
        <f t="shared" si="943"/>
        <v xml:space="preserve"> </v>
      </c>
      <c r="U1438" t="str">
        <f t="shared" si="933"/>
        <v xml:space="preserve"> </v>
      </c>
      <c r="V1438" t="str">
        <f t="shared" si="944"/>
        <v>0,000</v>
      </c>
      <c r="W1438" t="str">
        <f t="shared" si="917"/>
        <v>Lista 4</v>
      </c>
      <c r="X1438" t="str">
        <f t="shared" si="918"/>
        <v>Lista 5</v>
      </c>
      <c r="Y1438" t="str">
        <f t="shared" si="919"/>
        <v>Oferta Gral.</v>
      </c>
      <c r="Z1438" t="str">
        <f t="shared" si="920"/>
        <v>Rubro</v>
      </c>
      <c r="AA1438" t="str">
        <f t="shared" si="921"/>
        <v>Cantidad por Bulto</v>
      </c>
      <c r="AB1438" t="str">
        <f t="shared" si="922"/>
        <v>INNER</v>
      </c>
      <c r="AC1438" t="str">
        <f t="shared" si="923"/>
        <v>Stock en Bultos</v>
      </c>
      <c r="AD1438" t="str">
        <f t="shared" si="924"/>
        <v>SubDepósito</v>
      </c>
      <c r="AE1438" t="str">
        <f t="shared" si="925"/>
        <v>Marca</v>
      </c>
      <c r="AF1438" t="str">
        <f t="shared" si="926"/>
        <v>Super Rubro</v>
      </c>
      <c r="AG1438" t="str">
        <f t="shared" si="927"/>
        <v>ComercioExterior</v>
      </c>
      <c r="AH1438" t="str">
        <f t="shared" si="928"/>
        <v>PrecioFOB</v>
      </c>
      <c r="AI1438" t="str">
        <f t="shared" si="929"/>
        <v>Monto II</v>
      </c>
      <c r="AJ1438" t="str">
        <f t="shared" si="930"/>
        <v>Porcentaje II</v>
      </c>
      <c r="AK1438" t="str">
        <f t="shared" si="931"/>
        <v>Foto</v>
      </c>
      <c r="AL1438" t="str">
        <f>"{\rtf1\ansi\ansicpg1252\deff0\deflang11274{\fonttbl{\f0\fnil\fcharset0 MS Sans Serif}} \viewkind4\uc1\pard\f0\fs16 CONECTOR 13 V\'cdAS MACHO STEREO PHILCO \endash  INSTRUMENTAL REGATTA\par } "</f>
        <v xml:space="preserve">{\rtf1\ansi\ansicpg1252\deff0\deflang11274{\fonttbl{\f0\fnil\fcharset0 MS Sans Serif}} \viewkind4\uc1\pard\f0\fs16 CONECTOR 13 V\'cdAS MACHO STEREO PHILCO \endash  INSTRUMENTAL REGATTA\par } </v>
      </c>
      <c r="AM1438" t="str">
        <f t="shared" si="940"/>
        <v>-</v>
      </c>
    </row>
    <row r="1439" spans="1:39" x14ac:dyDescent="0.25">
      <c r="A1439" t="str">
        <f>"10301"</f>
        <v>10301</v>
      </c>
      <c r="B1439" t="str">
        <f>"CONECTOR 14 VIAS FUSIBL. CLIO/MEGANE BLANCA ( 1 EMPALME DOBLE ) 10 CAB."</f>
        <v>CONECTOR 14 VIAS FUSIBL. CLIO/MEGANE BLANCA ( 1 EMPALME DOBLE ) 10 CAB.</v>
      </c>
      <c r="C1439" t="str">
        <f>"$ 3563,15"</f>
        <v>$ 3563,15</v>
      </c>
      <c r="D1439" t="str">
        <f>"$ 3563,15"</f>
        <v>$ 3563,15</v>
      </c>
      <c r="E1439" t="str">
        <f>"$ 3563,15"</f>
        <v>$ 3563,15</v>
      </c>
      <c r="F1439" t="str">
        <f>"$ 3563,15"</f>
        <v>$ 3563,15</v>
      </c>
      <c r="G1439" t="str">
        <f>"$ 3563,15"</f>
        <v>$ 3563,15</v>
      </c>
      <c r="H1439" t="str">
        <f t="shared" si="914"/>
        <v>$ 0,00</v>
      </c>
      <c r="I1439" t="str">
        <f t="shared" si="937"/>
        <v>FICHA CONECTOR</v>
      </c>
      <c r="J1439" t="str">
        <f t="shared" si="915"/>
        <v>1</v>
      </c>
      <c r="K1439" t="str">
        <f t="shared" si="909"/>
        <v>0</v>
      </c>
      <c r="L1439" t="str">
        <f t="shared" si="942"/>
        <v>0,000</v>
      </c>
      <c r="M1439" t="str">
        <f t="shared" si="916"/>
        <v xml:space="preserve"> </v>
      </c>
      <c r="N1439" t="str">
        <f t="shared" si="938"/>
        <v>AUTRONIC</v>
      </c>
      <c r="O1439" t="str">
        <f t="shared" si="939"/>
        <v>CABLES</v>
      </c>
      <c r="P1439" t="str">
        <f t="shared" si="935"/>
        <v>0</v>
      </c>
      <c r="Q1439" t="str">
        <f t="shared" si="935"/>
        <v>0</v>
      </c>
      <c r="R1439" t="str">
        <f t="shared" si="936"/>
        <v>0,00</v>
      </c>
      <c r="S1439" t="str">
        <f t="shared" si="936"/>
        <v>0,00</v>
      </c>
      <c r="T1439" t="str">
        <f t="shared" si="943"/>
        <v xml:space="preserve"> </v>
      </c>
      <c r="U1439" t="str">
        <f t="shared" si="933"/>
        <v xml:space="preserve"> </v>
      </c>
      <c r="V1439" t="str">
        <f t="shared" si="944"/>
        <v>0,000</v>
      </c>
      <c r="W1439" t="str">
        <f t="shared" si="917"/>
        <v>Lista 4</v>
      </c>
      <c r="X1439" t="str">
        <f t="shared" si="918"/>
        <v>Lista 5</v>
      </c>
      <c r="Y1439" t="str">
        <f t="shared" si="919"/>
        <v>Oferta Gral.</v>
      </c>
      <c r="Z1439" t="str">
        <f t="shared" si="920"/>
        <v>Rubro</v>
      </c>
      <c r="AA1439" t="str">
        <f t="shared" si="921"/>
        <v>Cantidad por Bulto</v>
      </c>
      <c r="AB1439" t="str">
        <f t="shared" si="922"/>
        <v>INNER</v>
      </c>
      <c r="AC1439" t="str">
        <f t="shared" si="923"/>
        <v>Stock en Bultos</v>
      </c>
      <c r="AD1439" t="str">
        <f t="shared" si="924"/>
        <v>SubDepósito</v>
      </c>
      <c r="AE1439" t="str">
        <f t="shared" si="925"/>
        <v>Marca</v>
      </c>
      <c r="AF1439" t="str">
        <f t="shared" si="926"/>
        <v>Super Rubro</v>
      </c>
      <c r="AG1439" t="str">
        <f t="shared" si="927"/>
        <v>ComercioExterior</v>
      </c>
      <c r="AH1439" t="str">
        <f t="shared" si="928"/>
        <v>PrecioFOB</v>
      </c>
      <c r="AI1439" t="str">
        <f t="shared" si="929"/>
        <v>Monto II</v>
      </c>
      <c r="AJ1439" t="str">
        <f t="shared" si="930"/>
        <v>Porcentaje II</v>
      </c>
      <c r="AK1439" t="str">
        <f t="shared" si="931"/>
        <v>Foto</v>
      </c>
      <c r="AL1439" t="str">
        <f>"{\rtf1\ansi\ansicpg1252\deff0\deflang11274{\fonttbl{\f0\fnil\fcharset0 MS Sans Serif}} \viewkind4\uc1\pard\f0\fs16 CONECTOR 14 VIAS FUSIBL. CLIO/MEGANE BLANCA ( 1 EMPALME DOBLE ) 10 CAB.\par } "</f>
        <v xml:space="preserve">{\rtf1\ansi\ansicpg1252\deff0\deflang11274{\fonttbl{\f0\fnil\fcharset0 MS Sans Serif}} \viewkind4\uc1\pard\f0\fs16 CONECTOR 14 VIAS FUSIBL. CLIO/MEGANE BLANCA ( 1 EMPALME DOBLE ) 10 CAB.\par } </v>
      </c>
      <c r="AM1439" t="str">
        <f t="shared" si="940"/>
        <v>-</v>
      </c>
    </row>
    <row r="1440" spans="1:39" x14ac:dyDescent="0.25">
      <c r="A1440" t="str">
        <f>"10304"</f>
        <v>10304</v>
      </c>
      <c r="B1440" t="str">
        <f>"CONECTOR 14 VIAS FUSIBL. CLIO/MEGANE BLANCA (2 EMPALMES DOBLE ) 10 CAB."</f>
        <v>CONECTOR 14 VIAS FUSIBL. CLIO/MEGANE BLANCA (2 EMPALMES DOBLE ) 10 CAB.</v>
      </c>
      <c r="C1440" t="str">
        <f>"$ 3622,54"</f>
        <v>$ 3622,54</v>
      </c>
      <c r="D1440" t="str">
        <f>"$ 3622,54"</f>
        <v>$ 3622,54</v>
      </c>
      <c r="E1440" t="str">
        <f>"$ 3622,54"</f>
        <v>$ 3622,54</v>
      </c>
      <c r="F1440" t="str">
        <f>"$ 3622,54"</f>
        <v>$ 3622,54</v>
      </c>
      <c r="G1440" t="str">
        <f>"$ 3622,54"</f>
        <v>$ 3622,54</v>
      </c>
      <c r="H1440" t="str">
        <f t="shared" si="914"/>
        <v>$ 0,00</v>
      </c>
      <c r="I1440" t="str">
        <f t="shared" si="937"/>
        <v>FICHA CONECTOR</v>
      </c>
      <c r="J1440" t="str">
        <f t="shared" si="915"/>
        <v>1</v>
      </c>
      <c r="K1440" t="str">
        <f t="shared" si="909"/>
        <v>0</v>
      </c>
      <c r="L1440" t="str">
        <f t="shared" si="942"/>
        <v>0,000</v>
      </c>
      <c r="M1440" t="str">
        <f t="shared" si="916"/>
        <v xml:space="preserve"> </v>
      </c>
      <c r="N1440" t="str">
        <f t="shared" si="938"/>
        <v>AUTRONIC</v>
      </c>
      <c r="O1440" t="str">
        <f t="shared" si="939"/>
        <v>CABLES</v>
      </c>
      <c r="P1440" t="str">
        <f t="shared" si="935"/>
        <v>0</v>
      </c>
      <c r="Q1440" t="str">
        <f t="shared" si="935"/>
        <v>0</v>
      </c>
      <c r="R1440" t="str">
        <f t="shared" si="936"/>
        <v>0,00</v>
      </c>
      <c r="S1440" t="str">
        <f t="shared" si="936"/>
        <v>0,00</v>
      </c>
      <c r="T1440" t="str">
        <f t="shared" si="943"/>
        <v xml:space="preserve"> </v>
      </c>
      <c r="U1440" t="str">
        <f t="shared" si="933"/>
        <v xml:space="preserve"> </v>
      </c>
      <c r="V1440" t="str">
        <f t="shared" si="944"/>
        <v>0,000</v>
      </c>
      <c r="W1440" t="str">
        <f t="shared" si="917"/>
        <v>Lista 4</v>
      </c>
      <c r="X1440" t="str">
        <f t="shared" si="918"/>
        <v>Lista 5</v>
      </c>
      <c r="Y1440" t="str">
        <f t="shared" si="919"/>
        <v>Oferta Gral.</v>
      </c>
      <c r="Z1440" t="str">
        <f t="shared" si="920"/>
        <v>Rubro</v>
      </c>
      <c r="AA1440" t="str">
        <f t="shared" si="921"/>
        <v>Cantidad por Bulto</v>
      </c>
      <c r="AB1440" t="str">
        <f t="shared" si="922"/>
        <v>INNER</v>
      </c>
      <c r="AC1440" t="str">
        <f t="shared" si="923"/>
        <v>Stock en Bultos</v>
      </c>
      <c r="AD1440" t="str">
        <f t="shared" si="924"/>
        <v>SubDepósito</v>
      </c>
      <c r="AE1440" t="str">
        <f t="shared" si="925"/>
        <v>Marca</v>
      </c>
      <c r="AF1440" t="str">
        <f t="shared" si="926"/>
        <v>Super Rubro</v>
      </c>
      <c r="AG1440" t="str">
        <f t="shared" si="927"/>
        <v>ComercioExterior</v>
      </c>
      <c r="AH1440" t="str">
        <f t="shared" si="928"/>
        <v>PrecioFOB</v>
      </c>
      <c r="AI1440" t="str">
        <f t="shared" si="929"/>
        <v>Monto II</v>
      </c>
      <c r="AJ1440" t="str">
        <f t="shared" si="930"/>
        <v>Porcentaje II</v>
      </c>
      <c r="AK1440" t="str">
        <f t="shared" si="931"/>
        <v>Foto</v>
      </c>
      <c r="AL1440" t="str">
        <f>"{\rtf1\ansi\ansicpg1252\deff0\deflang11274{\fonttbl{\f0\fnil\fcharset0 MS Sans Serif}} \viewkind4\uc1\pard\f0\fs16 CONECTOR 14 VIAS FUSIBL. CLIO/MEGANE BLANCA (2 EMPALMES DOBLE ) 10 CAB.\par } "</f>
        <v xml:space="preserve">{\rtf1\ansi\ansicpg1252\deff0\deflang11274{\fonttbl{\f0\fnil\fcharset0 MS Sans Serif}} \viewkind4\uc1\pard\f0\fs16 CONECTOR 14 VIAS FUSIBL. CLIO/MEGANE BLANCA (2 EMPALMES DOBLE ) 10 CAB.\par } </v>
      </c>
      <c r="AM1440" t="str">
        <f t="shared" si="940"/>
        <v>-</v>
      </c>
    </row>
    <row r="1441" spans="1:39" x14ac:dyDescent="0.25">
      <c r="A1441" t="str">
        <f>"10299"</f>
        <v>10299</v>
      </c>
      <c r="B1441" t="str">
        <f>"CONECTOR 14 VIAS FUSIBLERA CLIO MEGANE AZUL 8 CABLES"</f>
        <v>CONECTOR 14 VIAS FUSIBLERA CLIO MEGANE AZUL 8 CABLES</v>
      </c>
      <c r="C1441" t="str">
        <f>"$ 3444,38"</f>
        <v>$ 3444,38</v>
      </c>
      <c r="D1441" t="str">
        <f>"$ 3444,38"</f>
        <v>$ 3444,38</v>
      </c>
      <c r="E1441" t="str">
        <f>"$ 3444,38"</f>
        <v>$ 3444,38</v>
      </c>
      <c r="F1441" t="str">
        <f>"$ 3444,38"</f>
        <v>$ 3444,38</v>
      </c>
      <c r="G1441" t="str">
        <f>"$ 3444,38"</f>
        <v>$ 3444,38</v>
      </c>
      <c r="H1441" t="str">
        <f t="shared" si="914"/>
        <v>$ 0,00</v>
      </c>
      <c r="I1441" t="str">
        <f t="shared" si="937"/>
        <v>FICHA CONECTOR</v>
      </c>
      <c r="J1441" t="str">
        <f t="shared" si="915"/>
        <v>1</v>
      </c>
      <c r="K1441" t="str">
        <f t="shared" si="909"/>
        <v>0</v>
      </c>
      <c r="L1441" t="str">
        <f t="shared" si="942"/>
        <v>0,000</v>
      </c>
      <c r="M1441" t="str">
        <f t="shared" si="916"/>
        <v xml:space="preserve"> </v>
      </c>
      <c r="N1441" t="str">
        <f t="shared" si="938"/>
        <v>AUTRONIC</v>
      </c>
      <c r="O1441" t="str">
        <f t="shared" si="939"/>
        <v>CABLES</v>
      </c>
      <c r="P1441" t="str">
        <f t="shared" si="935"/>
        <v>0</v>
      </c>
      <c r="Q1441" t="str">
        <f t="shared" si="935"/>
        <v>0</v>
      </c>
      <c r="R1441" t="str">
        <f t="shared" si="936"/>
        <v>0,00</v>
      </c>
      <c r="S1441" t="str">
        <f t="shared" si="936"/>
        <v>0,00</v>
      </c>
      <c r="T1441" t="str">
        <f t="shared" si="943"/>
        <v xml:space="preserve"> </v>
      </c>
      <c r="U1441" t="str">
        <f t="shared" si="933"/>
        <v xml:space="preserve"> </v>
      </c>
      <c r="V1441" t="str">
        <f t="shared" si="944"/>
        <v>0,000</v>
      </c>
      <c r="W1441" t="str">
        <f t="shared" si="917"/>
        <v>Lista 4</v>
      </c>
      <c r="X1441" t="str">
        <f t="shared" si="918"/>
        <v>Lista 5</v>
      </c>
      <c r="Y1441" t="str">
        <f t="shared" si="919"/>
        <v>Oferta Gral.</v>
      </c>
      <c r="Z1441" t="str">
        <f t="shared" si="920"/>
        <v>Rubro</v>
      </c>
      <c r="AA1441" t="str">
        <f t="shared" si="921"/>
        <v>Cantidad por Bulto</v>
      </c>
      <c r="AB1441" t="str">
        <f t="shared" si="922"/>
        <v>INNER</v>
      </c>
      <c r="AC1441" t="str">
        <f t="shared" si="923"/>
        <v>Stock en Bultos</v>
      </c>
      <c r="AD1441" t="str">
        <f t="shared" si="924"/>
        <v>SubDepósito</v>
      </c>
      <c r="AE1441" t="str">
        <f t="shared" si="925"/>
        <v>Marca</v>
      </c>
      <c r="AF1441" t="str">
        <f t="shared" si="926"/>
        <v>Super Rubro</v>
      </c>
      <c r="AG1441" t="str">
        <f t="shared" si="927"/>
        <v>ComercioExterior</v>
      </c>
      <c r="AH1441" t="str">
        <f t="shared" si="928"/>
        <v>PrecioFOB</v>
      </c>
      <c r="AI1441" t="str">
        <f t="shared" si="929"/>
        <v>Monto II</v>
      </c>
      <c r="AJ1441" t="str">
        <f t="shared" si="930"/>
        <v>Porcentaje II</v>
      </c>
      <c r="AK1441" t="str">
        <f t="shared" si="931"/>
        <v>Foto</v>
      </c>
      <c r="AL1441" t="str">
        <f>"{\rtf1\ansi\ansicpg1252\deff0\deflang11274{\fonttbl{\f0\fnil\fcharset0 MS Sans Serif}} \viewkind4\uc1\pard\f0\fs16 CONECTOR 14 VIAS FUSIBLERA CLIO MEGANE AZUL 8 CABLES\par } "</f>
        <v xml:space="preserve">{\rtf1\ansi\ansicpg1252\deff0\deflang11274{\fonttbl{\f0\fnil\fcharset0 MS Sans Serif}} \viewkind4\uc1\pard\f0\fs16 CONECTOR 14 VIAS FUSIBLERA CLIO MEGANE AZUL 8 CABLES\par } </v>
      </c>
      <c r="AM1441" t="str">
        <f t="shared" si="940"/>
        <v>-</v>
      </c>
    </row>
    <row r="1442" spans="1:39" x14ac:dyDescent="0.25">
      <c r="A1442" t="str">
        <f>"10297"</f>
        <v>10297</v>
      </c>
      <c r="B1442" t="str">
        <f>"CONECTOR 16 VIAS FUSIBLERA CLIO MEGANE BLANCA"</f>
        <v>CONECTOR 16 VIAS FUSIBLERA CLIO MEGANE BLANCA</v>
      </c>
      <c r="C1442" t="str">
        <f>"$ 3563,15"</f>
        <v>$ 3563,15</v>
      </c>
      <c r="D1442" t="str">
        <f>"$ 3563,15"</f>
        <v>$ 3563,15</v>
      </c>
      <c r="E1442" t="str">
        <f>"$ 3563,15"</f>
        <v>$ 3563,15</v>
      </c>
      <c r="F1442" t="str">
        <f>"$ 3563,15"</f>
        <v>$ 3563,15</v>
      </c>
      <c r="G1442" t="str">
        <f>"$ 3563,15"</f>
        <v>$ 3563,15</v>
      </c>
      <c r="H1442" t="str">
        <f t="shared" si="914"/>
        <v>$ 0,00</v>
      </c>
      <c r="I1442" t="str">
        <f t="shared" si="937"/>
        <v>FICHA CONECTOR</v>
      </c>
      <c r="J1442" t="str">
        <f t="shared" si="915"/>
        <v>1</v>
      </c>
      <c r="K1442" t="str">
        <f t="shared" si="909"/>
        <v>0</v>
      </c>
      <c r="L1442" t="str">
        <f t="shared" si="942"/>
        <v>0,000</v>
      </c>
      <c r="M1442" t="str">
        <f t="shared" si="916"/>
        <v xml:space="preserve"> </v>
      </c>
      <c r="N1442" t="str">
        <f t="shared" si="938"/>
        <v>AUTRONIC</v>
      </c>
      <c r="O1442" t="str">
        <f t="shared" si="939"/>
        <v>CABLES</v>
      </c>
      <c r="P1442" t="str">
        <f t="shared" si="935"/>
        <v>0</v>
      </c>
      <c r="Q1442" t="str">
        <f t="shared" si="935"/>
        <v>0</v>
      </c>
      <c r="R1442" t="str">
        <f t="shared" si="936"/>
        <v>0,00</v>
      </c>
      <c r="S1442" t="str">
        <f t="shared" si="936"/>
        <v>0,00</v>
      </c>
      <c r="T1442" t="str">
        <f t="shared" si="943"/>
        <v xml:space="preserve"> </v>
      </c>
      <c r="U1442" t="str">
        <f t="shared" si="933"/>
        <v xml:space="preserve"> </v>
      </c>
      <c r="V1442" t="str">
        <f t="shared" si="944"/>
        <v>0,000</v>
      </c>
      <c r="W1442" t="str">
        <f t="shared" si="917"/>
        <v>Lista 4</v>
      </c>
      <c r="X1442" t="str">
        <f t="shared" si="918"/>
        <v>Lista 5</v>
      </c>
      <c r="Y1442" t="str">
        <f t="shared" si="919"/>
        <v>Oferta Gral.</v>
      </c>
      <c r="Z1442" t="str">
        <f t="shared" si="920"/>
        <v>Rubro</v>
      </c>
      <c r="AA1442" t="str">
        <f t="shared" si="921"/>
        <v>Cantidad por Bulto</v>
      </c>
      <c r="AB1442" t="str">
        <f t="shared" si="922"/>
        <v>INNER</v>
      </c>
      <c r="AC1442" t="str">
        <f t="shared" si="923"/>
        <v>Stock en Bultos</v>
      </c>
      <c r="AD1442" t="str">
        <f t="shared" si="924"/>
        <v>SubDepósito</v>
      </c>
      <c r="AE1442" t="str">
        <f t="shared" si="925"/>
        <v>Marca</v>
      </c>
      <c r="AF1442" t="str">
        <f t="shared" si="926"/>
        <v>Super Rubro</v>
      </c>
      <c r="AG1442" t="str">
        <f t="shared" si="927"/>
        <v>ComercioExterior</v>
      </c>
      <c r="AH1442" t="str">
        <f t="shared" si="928"/>
        <v>PrecioFOB</v>
      </c>
      <c r="AI1442" t="str">
        <f t="shared" si="929"/>
        <v>Monto II</v>
      </c>
      <c r="AJ1442" t="str">
        <f t="shared" si="930"/>
        <v>Porcentaje II</v>
      </c>
      <c r="AK1442" t="str">
        <f t="shared" si="931"/>
        <v>Foto</v>
      </c>
      <c r="AL1442" t="str">
        <f>"{\rtf1\ansi\ansicpg1252\deff0\deflang11274{\fonttbl{\f0\fnil\fcharset0 MS Sans Serif}} \viewkind4\uc1\pard\f0\fs16 CONECTOR 16 VIAS FUSIBLERA CLIO MEGANE BLANCA\par } "</f>
        <v xml:space="preserve">{\rtf1\ansi\ansicpg1252\deff0\deflang11274{\fonttbl{\f0\fnil\fcharset0 MS Sans Serif}} \viewkind4\uc1\pard\f0\fs16 CONECTOR 16 VIAS FUSIBLERA CLIO MEGANE BLANCA\par } </v>
      </c>
      <c r="AM1442" t="str">
        <f t="shared" si="940"/>
        <v>-</v>
      </c>
    </row>
    <row r="1443" spans="1:39" x14ac:dyDescent="0.25">
      <c r="A1443" t="str">
        <f>"10142"</f>
        <v>10142</v>
      </c>
      <c r="B1443" t="str">
        <f>"CONECTOR 16 VÍAS STEREO ADAPTADOR – UNIVERSAL"</f>
        <v>CONECTOR 16 VÍAS STEREO ADAPTADOR – UNIVERSAL</v>
      </c>
      <c r="C1443" t="str">
        <f>"$ 4850,41"</f>
        <v>$ 4850,41</v>
      </c>
      <c r="D1443" t="str">
        <f>"$ 4850,41"</f>
        <v>$ 4850,41</v>
      </c>
      <c r="E1443" t="str">
        <f>"$ 4850,41"</f>
        <v>$ 4850,41</v>
      </c>
      <c r="F1443" t="str">
        <f>"$ 4850,41"</f>
        <v>$ 4850,41</v>
      </c>
      <c r="G1443" t="str">
        <f>"$ 4850,41"</f>
        <v>$ 4850,41</v>
      </c>
      <c r="H1443" t="str">
        <f t="shared" si="914"/>
        <v>$ 0,00</v>
      </c>
      <c r="I1443" t="str">
        <f t="shared" si="937"/>
        <v>FICHA CONECTOR</v>
      </c>
      <c r="J1443" t="str">
        <f t="shared" si="915"/>
        <v>1</v>
      </c>
      <c r="K1443" t="str">
        <f t="shared" si="909"/>
        <v>0</v>
      </c>
      <c r="L1443" t="str">
        <f t="shared" si="942"/>
        <v>0,000</v>
      </c>
      <c r="M1443" t="str">
        <f t="shared" si="916"/>
        <v xml:space="preserve"> </v>
      </c>
      <c r="N1443" t="str">
        <f t="shared" si="938"/>
        <v>AUTRONIC</v>
      </c>
      <c r="O1443" t="str">
        <f t="shared" si="939"/>
        <v>CABLES</v>
      </c>
      <c r="P1443" t="str">
        <f t="shared" ref="P1443:Q1462" si="945">"0"</f>
        <v>0</v>
      </c>
      <c r="Q1443" t="str">
        <f t="shared" si="945"/>
        <v>0</v>
      </c>
      <c r="R1443" t="str">
        <f t="shared" ref="R1443:S1462" si="946">"0,00"</f>
        <v>0,00</v>
      </c>
      <c r="S1443" t="str">
        <f t="shared" si="946"/>
        <v>0,00</v>
      </c>
      <c r="T1443" t="str">
        <f t="shared" si="943"/>
        <v xml:space="preserve"> </v>
      </c>
      <c r="U1443" t="str">
        <f t="shared" si="933"/>
        <v xml:space="preserve"> </v>
      </c>
      <c r="V1443" t="str">
        <f t="shared" si="944"/>
        <v>0,000</v>
      </c>
      <c r="W1443" t="str">
        <f t="shared" si="917"/>
        <v>Lista 4</v>
      </c>
      <c r="X1443" t="str">
        <f t="shared" si="918"/>
        <v>Lista 5</v>
      </c>
      <c r="Y1443" t="str">
        <f t="shared" si="919"/>
        <v>Oferta Gral.</v>
      </c>
      <c r="Z1443" t="str">
        <f t="shared" si="920"/>
        <v>Rubro</v>
      </c>
      <c r="AA1443" t="str">
        <f t="shared" si="921"/>
        <v>Cantidad por Bulto</v>
      </c>
      <c r="AB1443" t="str">
        <f t="shared" si="922"/>
        <v>INNER</v>
      </c>
      <c r="AC1443" t="str">
        <f t="shared" si="923"/>
        <v>Stock en Bultos</v>
      </c>
      <c r="AD1443" t="str">
        <f t="shared" si="924"/>
        <v>SubDepósito</v>
      </c>
      <c r="AE1443" t="str">
        <f t="shared" si="925"/>
        <v>Marca</v>
      </c>
      <c r="AF1443" t="str">
        <f t="shared" si="926"/>
        <v>Super Rubro</v>
      </c>
      <c r="AG1443" t="str">
        <f t="shared" si="927"/>
        <v>ComercioExterior</v>
      </c>
      <c r="AH1443" t="str">
        <f t="shared" si="928"/>
        <v>PrecioFOB</v>
      </c>
      <c r="AI1443" t="str">
        <f t="shared" si="929"/>
        <v>Monto II</v>
      </c>
      <c r="AJ1443" t="str">
        <f t="shared" si="930"/>
        <v>Porcentaje II</v>
      </c>
      <c r="AK1443" t="str">
        <f t="shared" si="931"/>
        <v>Foto</v>
      </c>
      <c r="AL1443" t="str">
        <f>"{\rtf1\ansi\ansicpg1252\deff0\deflang11274{\fonttbl{\f0\fnil\fcharset0 MS Sans Serif}} \viewkind4\uc1\pard\f0\fs16 CONECTOR 16 V\'cdAS STEREO ADAPTADOR \endash  UNIVERSAL\par } "</f>
        <v xml:space="preserve">{\rtf1\ansi\ansicpg1252\deff0\deflang11274{\fonttbl{\f0\fnil\fcharset0 MS Sans Serif}} \viewkind4\uc1\pard\f0\fs16 CONECTOR 16 V\'cdAS STEREO ADAPTADOR \endash  UNIVERSAL\par } </v>
      </c>
      <c r="AM1443" t="str">
        <f t="shared" si="940"/>
        <v>-</v>
      </c>
    </row>
    <row r="1444" spans="1:39" x14ac:dyDescent="0.25">
      <c r="A1444" t="str">
        <f>"10303"</f>
        <v>10303</v>
      </c>
      <c r="B1444" t="str">
        <f>"CONECTOR 18 VIAS FUSIBLERA CLIO MEGANE NEGRA 16 CABLES"</f>
        <v>CONECTOR 18 VIAS FUSIBLERA CLIO MEGANE NEGRA 16 CABLES</v>
      </c>
      <c r="C1444" t="str">
        <f>"$ 3563,15"</f>
        <v>$ 3563,15</v>
      </c>
      <c r="D1444" t="str">
        <f>"$ 3563,15"</f>
        <v>$ 3563,15</v>
      </c>
      <c r="E1444" t="str">
        <f>"$ 3563,15"</f>
        <v>$ 3563,15</v>
      </c>
      <c r="F1444" t="str">
        <f>"$ 3563,15"</f>
        <v>$ 3563,15</v>
      </c>
      <c r="G1444" t="str">
        <f>"$ 3563,15"</f>
        <v>$ 3563,15</v>
      </c>
      <c r="H1444" t="str">
        <f t="shared" si="914"/>
        <v>$ 0,00</v>
      </c>
      <c r="I1444" t="str">
        <f t="shared" si="937"/>
        <v>FICHA CONECTOR</v>
      </c>
      <c r="J1444" t="str">
        <f t="shared" si="915"/>
        <v>1</v>
      </c>
      <c r="K1444" t="str">
        <f t="shared" si="909"/>
        <v>0</v>
      </c>
      <c r="L1444" t="str">
        <f t="shared" si="942"/>
        <v>0,000</v>
      </c>
      <c r="M1444" t="str">
        <f t="shared" si="916"/>
        <v xml:space="preserve"> </v>
      </c>
      <c r="N1444" t="str">
        <f t="shared" si="938"/>
        <v>AUTRONIC</v>
      </c>
      <c r="O1444" t="str">
        <f t="shared" si="939"/>
        <v>CABLES</v>
      </c>
      <c r="P1444" t="str">
        <f t="shared" si="945"/>
        <v>0</v>
      </c>
      <c r="Q1444" t="str">
        <f t="shared" si="945"/>
        <v>0</v>
      </c>
      <c r="R1444" t="str">
        <f t="shared" si="946"/>
        <v>0,00</v>
      </c>
      <c r="S1444" t="str">
        <f t="shared" si="946"/>
        <v>0,00</v>
      </c>
      <c r="T1444" t="str">
        <f t="shared" si="943"/>
        <v xml:space="preserve"> </v>
      </c>
      <c r="U1444" t="str">
        <f t="shared" si="933"/>
        <v xml:space="preserve"> </v>
      </c>
      <c r="V1444" t="str">
        <f t="shared" si="944"/>
        <v>0,000</v>
      </c>
      <c r="W1444" t="str">
        <f t="shared" si="917"/>
        <v>Lista 4</v>
      </c>
      <c r="X1444" t="str">
        <f t="shared" si="918"/>
        <v>Lista 5</v>
      </c>
      <c r="Y1444" t="str">
        <f t="shared" si="919"/>
        <v>Oferta Gral.</v>
      </c>
      <c r="Z1444" t="str">
        <f t="shared" si="920"/>
        <v>Rubro</v>
      </c>
      <c r="AA1444" t="str">
        <f t="shared" si="921"/>
        <v>Cantidad por Bulto</v>
      </c>
      <c r="AB1444" t="str">
        <f t="shared" si="922"/>
        <v>INNER</v>
      </c>
      <c r="AC1444" t="str">
        <f t="shared" si="923"/>
        <v>Stock en Bultos</v>
      </c>
      <c r="AD1444" t="str">
        <f t="shared" si="924"/>
        <v>SubDepósito</v>
      </c>
      <c r="AE1444" t="str">
        <f t="shared" si="925"/>
        <v>Marca</v>
      </c>
      <c r="AF1444" t="str">
        <f t="shared" si="926"/>
        <v>Super Rubro</v>
      </c>
      <c r="AG1444" t="str">
        <f t="shared" si="927"/>
        <v>ComercioExterior</v>
      </c>
      <c r="AH1444" t="str">
        <f t="shared" si="928"/>
        <v>PrecioFOB</v>
      </c>
      <c r="AI1444" t="str">
        <f t="shared" si="929"/>
        <v>Monto II</v>
      </c>
      <c r="AJ1444" t="str">
        <f t="shared" si="930"/>
        <v>Porcentaje II</v>
      </c>
      <c r="AK1444" t="str">
        <f t="shared" si="931"/>
        <v>Foto</v>
      </c>
      <c r="AL1444" t="str">
        <f>"{\rtf1\ansi\ansicpg1252\deff0\deflang11274{\fonttbl{\f0\fnil\fcharset0 MS Sans Serif}} \viewkind4\uc1\pard\f0\fs16 CONECTOR 18 VIAS FUSIBLERA CLIO MEGANE NEGRA 16 CABLES\par } "</f>
        <v xml:space="preserve">{\rtf1\ansi\ansicpg1252\deff0\deflang11274{\fonttbl{\f0\fnil\fcharset0 MS Sans Serif}} \viewkind4\uc1\pard\f0\fs16 CONECTOR 18 VIAS FUSIBLERA CLIO MEGANE NEGRA 16 CABLES\par } </v>
      </c>
      <c r="AM1444" t="str">
        <f t="shared" si="940"/>
        <v>-</v>
      </c>
    </row>
    <row r="1445" spans="1:39" x14ac:dyDescent="0.25">
      <c r="A1445" t="str">
        <f>"10392"</f>
        <v>10392</v>
      </c>
      <c r="B1445" t="str">
        <f>"CONECTOR 18 VIAS H PORTA M INTERCONECCION"</f>
        <v>CONECTOR 18 VIAS H PORTA M INTERCONECCION</v>
      </c>
      <c r="C1445" t="str">
        <f>"$ 13777,53"</f>
        <v>$ 13777,53</v>
      </c>
      <c r="D1445" t="str">
        <f>"$ 13777,53"</f>
        <v>$ 13777,53</v>
      </c>
      <c r="E1445" t="str">
        <f>"$ 13777,53"</f>
        <v>$ 13777,53</v>
      </c>
      <c r="F1445" t="str">
        <f>"$ 13777,53"</f>
        <v>$ 13777,53</v>
      </c>
      <c r="G1445" t="str">
        <f>"$ 13777,53"</f>
        <v>$ 13777,53</v>
      </c>
      <c r="H1445" t="str">
        <f t="shared" si="914"/>
        <v>$ 0,00</v>
      </c>
      <c r="I1445" t="str">
        <f t="shared" si="937"/>
        <v>FICHA CONECTOR</v>
      </c>
      <c r="J1445" t="str">
        <f t="shared" si="915"/>
        <v>1</v>
      </c>
      <c r="K1445" t="str">
        <f t="shared" si="909"/>
        <v>0</v>
      </c>
      <c r="L1445" t="str">
        <f t="shared" si="942"/>
        <v>0,000</v>
      </c>
      <c r="M1445" t="str">
        <f t="shared" si="916"/>
        <v xml:space="preserve"> </v>
      </c>
      <c r="N1445" t="str">
        <f t="shared" si="938"/>
        <v>AUTRONIC</v>
      </c>
      <c r="O1445" t="str">
        <f t="shared" si="939"/>
        <v>CABLES</v>
      </c>
      <c r="P1445" t="str">
        <f t="shared" si="945"/>
        <v>0</v>
      </c>
      <c r="Q1445" t="str">
        <f t="shared" si="945"/>
        <v>0</v>
      </c>
      <c r="R1445" t="str">
        <f t="shared" si="946"/>
        <v>0,00</v>
      </c>
      <c r="S1445" t="str">
        <f t="shared" si="946"/>
        <v>0,00</v>
      </c>
      <c r="T1445" t="str">
        <f t="shared" si="943"/>
        <v xml:space="preserve"> </v>
      </c>
      <c r="U1445" t="str">
        <f t="shared" si="933"/>
        <v xml:space="preserve"> </v>
      </c>
      <c r="V1445" t="str">
        <f t="shared" si="944"/>
        <v>0,000</v>
      </c>
      <c r="W1445" t="str">
        <f t="shared" si="917"/>
        <v>Lista 4</v>
      </c>
      <c r="X1445" t="str">
        <f t="shared" si="918"/>
        <v>Lista 5</v>
      </c>
      <c r="Y1445" t="str">
        <f t="shared" si="919"/>
        <v>Oferta Gral.</v>
      </c>
      <c r="Z1445" t="str">
        <f t="shared" si="920"/>
        <v>Rubro</v>
      </c>
      <c r="AA1445" t="str">
        <f t="shared" si="921"/>
        <v>Cantidad por Bulto</v>
      </c>
      <c r="AB1445" t="str">
        <f t="shared" si="922"/>
        <v>INNER</v>
      </c>
      <c r="AC1445" t="str">
        <f t="shared" si="923"/>
        <v>Stock en Bultos</v>
      </c>
      <c r="AD1445" t="str">
        <f t="shared" si="924"/>
        <v>SubDepósito</v>
      </c>
      <c r="AE1445" t="str">
        <f t="shared" si="925"/>
        <v>Marca</v>
      </c>
      <c r="AF1445" t="str">
        <f t="shared" si="926"/>
        <v>Super Rubro</v>
      </c>
      <c r="AG1445" t="str">
        <f t="shared" si="927"/>
        <v>ComercioExterior</v>
      </c>
      <c r="AH1445" t="str">
        <f t="shared" si="928"/>
        <v>PrecioFOB</v>
      </c>
      <c r="AI1445" t="str">
        <f t="shared" si="929"/>
        <v>Monto II</v>
      </c>
      <c r="AJ1445" t="str">
        <f t="shared" si="930"/>
        <v>Porcentaje II</v>
      </c>
      <c r="AK1445" t="str">
        <f t="shared" si="931"/>
        <v>Foto</v>
      </c>
      <c r="AL1445" t="str">
        <f>"{\rtf1\ansi\ansicpg1252\deff0\deflang11274{\fonttbl{\f0\fnil\fcharset0 MS Sans Serif}} \viewkind4\uc1\pard\f0\fs16 CONECTOR 18 VIAS H PORTA M INTERCONECCION\par } "</f>
        <v xml:space="preserve">{\rtf1\ansi\ansicpg1252\deff0\deflang11274{\fonttbl{\f0\fnil\fcharset0 MS Sans Serif}} \viewkind4\uc1\pard\f0\fs16 CONECTOR 18 VIAS H PORTA M INTERCONECCION\par } </v>
      </c>
      <c r="AM1445" t="str">
        <f t="shared" si="940"/>
        <v>-</v>
      </c>
    </row>
    <row r="1446" spans="1:39" x14ac:dyDescent="0.25">
      <c r="A1446" t="str">
        <f>"10391"</f>
        <v>10391</v>
      </c>
      <c r="B1446" t="str">
        <f>"CONECTOR 18 VIAS M PORTA H INTERCONECCION"</f>
        <v>CONECTOR 18 VIAS M PORTA H INTERCONECCION</v>
      </c>
      <c r="C1446" t="str">
        <f>"$ 14965,44"</f>
        <v>$ 14965,44</v>
      </c>
      <c r="D1446" t="str">
        <f>"$ 14965,44"</f>
        <v>$ 14965,44</v>
      </c>
      <c r="E1446" t="str">
        <f>"$ 14965,44"</f>
        <v>$ 14965,44</v>
      </c>
      <c r="F1446" t="str">
        <f>"$ 14965,44"</f>
        <v>$ 14965,44</v>
      </c>
      <c r="G1446" t="str">
        <f>"$ 14965,44"</f>
        <v>$ 14965,44</v>
      </c>
      <c r="H1446" t="str">
        <f t="shared" si="914"/>
        <v>$ 0,00</v>
      </c>
      <c r="I1446" t="str">
        <f t="shared" si="937"/>
        <v>FICHA CONECTOR</v>
      </c>
      <c r="J1446" t="str">
        <f t="shared" si="915"/>
        <v>1</v>
      </c>
      <c r="K1446" t="str">
        <f t="shared" si="909"/>
        <v>0</v>
      </c>
      <c r="L1446" t="str">
        <f t="shared" si="942"/>
        <v>0,000</v>
      </c>
      <c r="M1446" t="str">
        <f t="shared" si="916"/>
        <v xml:space="preserve"> </v>
      </c>
      <c r="N1446" t="str">
        <f t="shared" si="938"/>
        <v>AUTRONIC</v>
      </c>
      <c r="O1446" t="str">
        <f t="shared" si="939"/>
        <v>CABLES</v>
      </c>
      <c r="P1446" t="str">
        <f t="shared" si="945"/>
        <v>0</v>
      </c>
      <c r="Q1446" t="str">
        <f t="shared" si="945"/>
        <v>0</v>
      </c>
      <c r="R1446" t="str">
        <f t="shared" si="946"/>
        <v>0,00</v>
      </c>
      <c r="S1446" t="str">
        <f t="shared" si="946"/>
        <v>0,00</v>
      </c>
      <c r="T1446" t="str">
        <f t="shared" si="943"/>
        <v xml:space="preserve"> </v>
      </c>
      <c r="U1446" t="str">
        <f t="shared" si="933"/>
        <v xml:space="preserve"> </v>
      </c>
      <c r="V1446" t="str">
        <f t="shared" si="944"/>
        <v>0,000</v>
      </c>
      <c r="W1446" t="str">
        <f t="shared" si="917"/>
        <v>Lista 4</v>
      </c>
      <c r="X1446" t="str">
        <f t="shared" si="918"/>
        <v>Lista 5</v>
      </c>
      <c r="Y1446" t="str">
        <f t="shared" si="919"/>
        <v>Oferta Gral.</v>
      </c>
      <c r="Z1446" t="str">
        <f t="shared" si="920"/>
        <v>Rubro</v>
      </c>
      <c r="AA1446" t="str">
        <f t="shared" si="921"/>
        <v>Cantidad por Bulto</v>
      </c>
      <c r="AB1446" t="str">
        <f t="shared" si="922"/>
        <v>INNER</v>
      </c>
      <c r="AC1446" t="str">
        <f t="shared" si="923"/>
        <v>Stock en Bultos</v>
      </c>
      <c r="AD1446" t="str">
        <f t="shared" si="924"/>
        <v>SubDepósito</v>
      </c>
      <c r="AE1446" t="str">
        <f t="shared" si="925"/>
        <v>Marca</v>
      </c>
      <c r="AF1446" t="str">
        <f t="shared" si="926"/>
        <v>Super Rubro</v>
      </c>
      <c r="AG1446" t="str">
        <f t="shared" si="927"/>
        <v>ComercioExterior</v>
      </c>
      <c r="AH1446" t="str">
        <f t="shared" si="928"/>
        <v>PrecioFOB</v>
      </c>
      <c r="AI1446" t="str">
        <f t="shared" si="929"/>
        <v>Monto II</v>
      </c>
      <c r="AJ1446" t="str">
        <f t="shared" si="930"/>
        <v>Porcentaje II</v>
      </c>
      <c r="AK1446" t="str">
        <f t="shared" si="931"/>
        <v>Foto</v>
      </c>
      <c r="AL1446" t="str">
        <f>"{\rtf1\ansi\ansicpg1252\deff0\deflang11274{\fonttbl{\f0\fnil\fcharset0 MS Sans Serif}} \viewkind4\uc1\pard\f0\fs16 CONECTOR 18 VIAS M PORTA H INTERCONECCION\par } "</f>
        <v xml:space="preserve">{\rtf1\ansi\ansicpg1252\deff0\deflang11274{\fonttbl{\f0\fnil\fcharset0 MS Sans Serif}} \viewkind4\uc1\pard\f0\fs16 CONECTOR 18 VIAS M PORTA H INTERCONECCION\par } </v>
      </c>
      <c r="AM1446" t="str">
        <f t="shared" si="940"/>
        <v>-</v>
      </c>
    </row>
    <row r="1447" spans="1:39" x14ac:dyDescent="0.25">
      <c r="A1447" t="str">
        <f>"10149"</f>
        <v>10149</v>
      </c>
      <c r="B1447" t="str">
        <f>"CONECTOR 2 VIAS  ORIGINAL FIAT- GENERAL MOTORS"</f>
        <v>CONECTOR 2 VIAS  ORIGINAL FIAT- GENERAL MOTORS</v>
      </c>
      <c r="C1447" t="str">
        <f>"$ 2605,59"</f>
        <v>$ 2605,59</v>
      </c>
      <c r="D1447" t="str">
        <f>"$ 2605,59"</f>
        <v>$ 2605,59</v>
      </c>
      <c r="E1447" t="str">
        <f>"$ 2605,59"</f>
        <v>$ 2605,59</v>
      </c>
      <c r="F1447" t="str">
        <f>"$ 2605,59"</f>
        <v>$ 2605,59</v>
      </c>
      <c r="G1447" t="str">
        <f>"$ 2605,59"</f>
        <v>$ 2605,59</v>
      </c>
      <c r="H1447" t="str">
        <f t="shared" si="914"/>
        <v>$ 0,00</v>
      </c>
      <c r="I1447" t="str">
        <f t="shared" si="937"/>
        <v>FICHA CONECTOR</v>
      </c>
      <c r="J1447" t="str">
        <f t="shared" si="915"/>
        <v>1</v>
      </c>
      <c r="K1447" t="str">
        <f t="shared" si="909"/>
        <v>0</v>
      </c>
      <c r="L1447" t="str">
        <f>"1,000"</f>
        <v>1,000</v>
      </c>
      <c r="M1447" t="str">
        <f t="shared" si="916"/>
        <v xml:space="preserve"> </v>
      </c>
      <c r="N1447" t="str">
        <f t="shared" si="938"/>
        <v>AUTRONIC</v>
      </c>
      <c r="O1447" t="str">
        <f t="shared" si="939"/>
        <v>CABLES</v>
      </c>
      <c r="P1447" t="str">
        <f t="shared" si="945"/>
        <v>0</v>
      </c>
      <c r="Q1447" t="str">
        <f t="shared" si="945"/>
        <v>0</v>
      </c>
      <c r="R1447" t="str">
        <f t="shared" si="946"/>
        <v>0,00</v>
      </c>
      <c r="S1447" t="str">
        <f t="shared" si="946"/>
        <v>0,00</v>
      </c>
      <c r="T1447" t="str">
        <f t="shared" si="943"/>
        <v xml:space="preserve"> </v>
      </c>
      <c r="U1447" t="str">
        <f t="shared" si="933"/>
        <v xml:space="preserve"> </v>
      </c>
      <c r="V1447" t="str">
        <f>"1,000"</f>
        <v>1,000</v>
      </c>
      <c r="W1447" t="str">
        <f t="shared" si="917"/>
        <v>Lista 4</v>
      </c>
      <c r="X1447" t="str">
        <f t="shared" si="918"/>
        <v>Lista 5</v>
      </c>
      <c r="Y1447" t="str">
        <f t="shared" si="919"/>
        <v>Oferta Gral.</v>
      </c>
      <c r="Z1447" t="str">
        <f t="shared" si="920"/>
        <v>Rubro</v>
      </c>
      <c r="AA1447" t="str">
        <f t="shared" si="921"/>
        <v>Cantidad por Bulto</v>
      </c>
      <c r="AB1447" t="str">
        <f t="shared" si="922"/>
        <v>INNER</v>
      </c>
      <c r="AC1447" t="str">
        <f t="shared" si="923"/>
        <v>Stock en Bultos</v>
      </c>
      <c r="AD1447" t="str">
        <f t="shared" si="924"/>
        <v>SubDepósito</v>
      </c>
      <c r="AE1447" t="str">
        <f t="shared" si="925"/>
        <v>Marca</v>
      </c>
      <c r="AF1447" t="str">
        <f t="shared" si="926"/>
        <v>Super Rubro</v>
      </c>
      <c r="AG1447" t="str">
        <f t="shared" si="927"/>
        <v>ComercioExterior</v>
      </c>
      <c r="AH1447" t="str">
        <f t="shared" si="928"/>
        <v>PrecioFOB</v>
      </c>
      <c r="AI1447" t="str">
        <f t="shared" si="929"/>
        <v>Monto II</v>
      </c>
      <c r="AJ1447" t="str">
        <f t="shared" si="930"/>
        <v>Porcentaje II</v>
      </c>
      <c r="AK1447" t="str">
        <f t="shared" si="931"/>
        <v>Foto</v>
      </c>
      <c r="AL1447" t="str">
        <f>"{\rtf1\ansi\ansicpg1252\deff0\deflang11274{\fonttbl{\f0\fnil\fcharset0 MS Sans Serif}} \viewkind4\uc1\pard\f0\fs16 CONECTOR 2 VIAS  ORIGINAL FIAT- GENERAL MOTORS\par } "</f>
        <v xml:space="preserve">{\rtf1\ansi\ansicpg1252\deff0\deflang11274{\fonttbl{\f0\fnil\fcharset0 MS Sans Serif}} \viewkind4\uc1\pard\f0\fs16 CONECTOR 2 VIAS  ORIGINAL FIAT- GENERAL MOTORS\par } </v>
      </c>
      <c r="AM1447" t="str">
        <f t="shared" si="940"/>
        <v>-</v>
      </c>
    </row>
    <row r="1448" spans="1:39" x14ac:dyDescent="0.25">
      <c r="A1448" t="str">
        <f>"10420"</f>
        <v>10420</v>
      </c>
      <c r="B1448" t="str">
        <f>"CONECTOR 2 VIAS AVIONCITO AZUL RENAULT 7700100566/109055"</f>
        <v>CONECTOR 2 VIAS AVIONCITO AZUL RENAULT 7700100566/109055</v>
      </c>
      <c r="C1448" t="str">
        <f>"$ 3955,15"</f>
        <v>$ 3955,15</v>
      </c>
      <c r="D1448" t="str">
        <f>"$ 3955,15"</f>
        <v>$ 3955,15</v>
      </c>
      <c r="E1448" t="str">
        <f>"$ 3955,15"</f>
        <v>$ 3955,15</v>
      </c>
      <c r="F1448" t="str">
        <f>"$ 3955,15"</f>
        <v>$ 3955,15</v>
      </c>
      <c r="G1448" t="str">
        <f>"$ 3955,15"</f>
        <v>$ 3955,15</v>
      </c>
      <c r="H1448" t="str">
        <f t="shared" si="914"/>
        <v>$ 0,00</v>
      </c>
      <c r="I1448" t="str">
        <f t="shared" si="937"/>
        <v>FICHA CONECTOR</v>
      </c>
      <c r="J1448" t="str">
        <f t="shared" si="915"/>
        <v>1</v>
      </c>
      <c r="K1448" t="str">
        <f t="shared" si="909"/>
        <v>0</v>
      </c>
      <c r="L1448" t="str">
        <f>"0,000"</f>
        <v>0,000</v>
      </c>
      <c r="M1448" t="str">
        <f t="shared" si="916"/>
        <v xml:space="preserve"> </v>
      </c>
      <c r="N1448" t="str">
        <f t="shared" si="938"/>
        <v>AUTRONIC</v>
      </c>
      <c r="O1448" t="str">
        <f t="shared" si="939"/>
        <v>CABLES</v>
      </c>
      <c r="P1448" t="str">
        <f t="shared" si="945"/>
        <v>0</v>
      </c>
      <c r="Q1448" t="str">
        <f t="shared" si="945"/>
        <v>0</v>
      </c>
      <c r="R1448" t="str">
        <f t="shared" si="946"/>
        <v>0,00</v>
      </c>
      <c r="S1448" t="str">
        <f t="shared" si="946"/>
        <v>0,00</v>
      </c>
      <c r="T1448" t="str">
        <f t="shared" si="943"/>
        <v xml:space="preserve"> </v>
      </c>
      <c r="U1448" t="str">
        <f t="shared" si="933"/>
        <v xml:space="preserve"> </v>
      </c>
      <c r="V1448" t="str">
        <f>"0,000"</f>
        <v>0,000</v>
      </c>
      <c r="W1448" t="str">
        <f t="shared" si="917"/>
        <v>Lista 4</v>
      </c>
      <c r="X1448" t="str">
        <f t="shared" si="918"/>
        <v>Lista 5</v>
      </c>
      <c r="Y1448" t="str">
        <f t="shared" si="919"/>
        <v>Oferta Gral.</v>
      </c>
      <c r="Z1448" t="str">
        <f t="shared" si="920"/>
        <v>Rubro</v>
      </c>
      <c r="AA1448" t="str">
        <f t="shared" si="921"/>
        <v>Cantidad por Bulto</v>
      </c>
      <c r="AB1448" t="str">
        <f t="shared" si="922"/>
        <v>INNER</v>
      </c>
      <c r="AC1448" t="str">
        <f t="shared" si="923"/>
        <v>Stock en Bultos</v>
      </c>
      <c r="AD1448" t="str">
        <f t="shared" si="924"/>
        <v>SubDepósito</v>
      </c>
      <c r="AE1448" t="str">
        <f t="shared" si="925"/>
        <v>Marca</v>
      </c>
      <c r="AF1448" t="str">
        <f t="shared" si="926"/>
        <v>Super Rubro</v>
      </c>
      <c r="AG1448" t="str">
        <f t="shared" si="927"/>
        <v>ComercioExterior</v>
      </c>
      <c r="AH1448" t="str">
        <f t="shared" si="928"/>
        <v>PrecioFOB</v>
      </c>
      <c r="AI1448" t="str">
        <f t="shared" si="929"/>
        <v>Monto II</v>
      </c>
      <c r="AJ1448" t="str">
        <f t="shared" si="930"/>
        <v>Porcentaje II</v>
      </c>
      <c r="AK1448" t="str">
        <f t="shared" si="931"/>
        <v>Foto</v>
      </c>
      <c r="AL1448" t="str">
        <f>"{\rtf1\ansi\ansicpg1252\deff0\deflang11274{\fonttbl{\f0\fnil\fcharset0 MS Sans Serif}} \viewkind4\uc1\pard\f0\fs16 CONECTOR 2 VIAS AVIONCITO AZUL RENAULT 7700100566/109055\par } "</f>
        <v xml:space="preserve">{\rtf1\ansi\ansicpg1252\deff0\deflang11274{\fonttbl{\f0\fnil\fcharset0 MS Sans Serif}} \viewkind4\uc1\pard\f0\fs16 CONECTOR 2 VIAS AVIONCITO AZUL RENAULT 7700100566/109055\par } </v>
      </c>
      <c r="AM1448" t="str">
        <f t="shared" si="940"/>
        <v>-</v>
      </c>
    </row>
    <row r="1449" spans="1:39" x14ac:dyDescent="0.25">
      <c r="A1449" t="str">
        <f>"10344"</f>
        <v>10344</v>
      </c>
      <c r="B1449" t="str">
        <f>"CONECTOR 2 VIAS AZUL SENSOR TEMPERATURA AGUA FIAT PALIO SIENA"</f>
        <v>CONECTOR 2 VIAS AZUL SENSOR TEMPERATURA AGUA FIAT PALIO SIENA</v>
      </c>
      <c r="C1449" t="str">
        <f>"$ 3941,79"</f>
        <v>$ 3941,79</v>
      </c>
      <c r="D1449" t="str">
        <f>"$ 3941,79"</f>
        <v>$ 3941,79</v>
      </c>
      <c r="E1449" t="str">
        <f>"$ 3941,79"</f>
        <v>$ 3941,79</v>
      </c>
      <c r="F1449" t="str">
        <f>"$ 3941,79"</f>
        <v>$ 3941,79</v>
      </c>
      <c r="G1449" t="str">
        <f>"$ 3941,79"</f>
        <v>$ 3941,79</v>
      </c>
      <c r="H1449" t="str">
        <f t="shared" si="914"/>
        <v>$ 0,00</v>
      </c>
      <c r="I1449" t="str">
        <f t="shared" si="937"/>
        <v>FICHA CONECTOR</v>
      </c>
      <c r="J1449" t="str">
        <f t="shared" si="915"/>
        <v>1</v>
      </c>
      <c r="K1449" t="str">
        <f t="shared" si="909"/>
        <v>0</v>
      </c>
      <c r="L1449" t="str">
        <f>"0,000"</f>
        <v>0,000</v>
      </c>
      <c r="M1449" t="str">
        <f t="shared" si="916"/>
        <v xml:space="preserve"> </v>
      </c>
      <c r="N1449" t="str">
        <f t="shared" si="938"/>
        <v>AUTRONIC</v>
      </c>
      <c r="O1449" t="str">
        <f t="shared" si="939"/>
        <v>CABLES</v>
      </c>
      <c r="P1449" t="str">
        <f t="shared" si="945"/>
        <v>0</v>
      </c>
      <c r="Q1449" t="str">
        <f t="shared" si="945"/>
        <v>0</v>
      </c>
      <c r="R1449" t="str">
        <f t="shared" si="946"/>
        <v>0,00</v>
      </c>
      <c r="S1449" t="str">
        <f t="shared" si="946"/>
        <v>0,00</v>
      </c>
      <c r="T1449" t="str">
        <f t="shared" si="943"/>
        <v xml:space="preserve"> </v>
      </c>
      <c r="U1449" t="str">
        <f t="shared" si="933"/>
        <v xml:space="preserve"> </v>
      </c>
      <c r="V1449" t="str">
        <f>"0,000"</f>
        <v>0,000</v>
      </c>
      <c r="W1449" t="str">
        <f t="shared" si="917"/>
        <v>Lista 4</v>
      </c>
      <c r="X1449" t="str">
        <f t="shared" si="918"/>
        <v>Lista 5</v>
      </c>
      <c r="Y1449" t="str">
        <f t="shared" si="919"/>
        <v>Oferta Gral.</v>
      </c>
      <c r="Z1449" t="str">
        <f t="shared" si="920"/>
        <v>Rubro</v>
      </c>
      <c r="AA1449" t="str">
        <f t="shared" si="921"/>
        <v>Cantidad por Bulto</v>
      </c>
      <c r="AB1449" t="str">
        <f t="shared" si="922"/>
        <v>INNER</v>
      </c>
      <c r="AC1449" t="str">
        <f t="shared" si="923"/>
        <v>Stock en Bultos</v>
      </c>
      <c r="AD1449" t="str">
        <f t="shared" si="924"/>
        <v>SubDepósito</v>
      </c>
      <c r="AE1449" t="str">
        <f t="shared" si="925"/>
        <v>Marca</v>
      </c>
      <c r="AF1449" t="str">
        <f t="shared" si="926"/>
        <v>Super Rubro</v>
      </c>
      <c r="AG1449" t="str">
        <f t="shared" si="927"/>
        <v>ComercioExterior</v>
      </c>
      <c r="AH1449" t="str">
        <f t="shared" si="928"/>
        <v>PrecioFOB</v>
      </c>
      <c r="AI1449" t="str">
        <f t="shared" si="929"/>
        <v>Monto II</v>
      </c>
      <c r="AJ1449" t="str">
        <f t="shared" si="930"/>
        <v>Porcentaje II</v>
      </c>
      <c r="AK1449" t="str">
        <f t="shared" si="931"/>
        <v>Foto</v>
      </c>
      <c r="AL1449" t="str">
        <f>"{\rtf1\ansi\ansicpg1252\deff0\deflang11274{\fonttbl{\f0\fnil\fcharset0 MS Sans Serif}} \viewkind4\uc1\pard\f0\fs16 CONECTOR 2 VIAS AZUL SENSOR TEMPERATURA AGUA FIAT PALIO SIENA\par } "</f>
        <v xml:space="preserve">{\rtf1\ansi\ansicpg1252\deff0\deflang11274{\fonttbl{\f0\fnil\fcharset0 MS Sans Serif}} \viewkind4\uc1\pard\f0\fs16 CONECTOR 2 VIAS AZUL SENSOR TEMPERATURA AGUA FIAT PALIO SIENA\par } </v>
      </c>
      <c r="AM1449" t="str">
        <f t="shared" si="940"/>
        <v>-</v>
      </c>
    </row>
    <row r="1450" spans="1:39" x14ac:dyDescent="0.25">
      <c r="A1450" t="str">
        <f>"10399"</f>
        <v>10399</v>
      </c>
      <c r="B1450" t="str">
        <f>"CONECTOR 2 VIAS BOBINA ENCENDIDO LAPIZ RENAULT"</f>
        <v>CONECTOR 2 VIAS BOBINA ENCENDIDO LAPIZ RENAULT</v>
      </c>
      <c r="C1450" t="str">
        <f>"$ 4476,27"</f>
        <v>$ 4476,27</v>
      </c>
      <c r="D1450" t="str">
        <f>"$ 4476,27"</f>
        <v>$ 4476,27</v>
      </c>
      <c r="E1450" t="str">
        <f>"$ 4476,27"</f>
        <v>$ 4476,27</v>
      </c>
      <c r="F1450" t="str">
        <f>"$ 4476,27"</f>
        <v>$ 4476,27</v>
      </c>
      <c r="G1450" t="str">
        <f>"$ 4476,27"</f>
        <v>$ 4476,27</v>
      </c>
      <c r="H1450" t="str">
        <f t="shared" si="914"/>
        <v>$ 0,00</v>
      </c>
      <c r="I1450" t="str">
        <f t="shared" si="937"/>
        <v>FICHA CONECTOR</v>
      </c>
      <c r="J1450" t="str">
        <f t="shared" si="915"/>
        <v>1</v>
      </c>
      <c r="K1450" t="str">
        <f t="shared" si="909"/>
        <v>0</v>
      </c>
      <c r="L1450" t="str">
        <f>"0,000"</f>
        <v>0,000</v>
      </c>
      <c r="M1450" t="str">
        <f t="shared" si="916"/>
        <v xml:space="preserve"> </v>
      </c>
      <c r="N1450" t="str">
        <f t="shared" si="938"/>
        <v>AUTRONIC</v>
      </c>
      <c r="O1450" t="str">
        <f t="shared" si="939"/>
        <v>CABLES</v>
      </c>
      <c r="P1450" t="str">
        <f t="shared" si="945"/>
        <v>0</v>
      </c>
      <c r="Q1450" t="str">
        <f t="shared" si="945"/>
        <v>0</v>
      </c>
      <c r="R1450" t="str">
        <f t="shared" si="946"/>
        <v>0,00</v>
      </c>
      <c r="S1450" t="str">
        <f t="shared" si="946"/>
        <v>0,00</v>
      </c>
      <c r="T1450" t="str">
        <f t="shared" si="943"/>
        <v xml:space="preserve"> </v>
      </c>
      <c r="U1450" t="str">
        <f t="shared" si="933"/>
        <v xml:space="preserve"> </v>
      </c>
      <c r="V1450" t="str">
        <f>"0,000"</f>
        <v>0,000</v>
      </c>
      <c r="W1450" t="str">
        <f t="shared" si="917"/>
        <v>Lista 4</v>
      </c>
      <c r="X1450" t="str">
        <f t="shared" si="918"/>
        <v>Lista 5</v>
      </c>
      <c r="Y1450" t="str">
        <f t="shared" si="919"/>
        <v>Oferta Gral.</v>
      </c>
      <c r="Z1450" t="str">
        <f t="shared" si="920"/>
        <v>Rubro</v>
      </c>
      <c r="AA1450" t="str">
        <f t="shared" si="921"/>
        <v>Cantidad por Bulto</v>
      </c>
      <c r="AB1450" t="str">
        <f t="shared" si="922"/>
        <v>INNER</v>
      </c>
      <c r="AC1450" t="str">
        <f t="shared" si="923"/>
        <v>Stock en Bultos</v>
      </c>
      <c r="AD1450" t="str">
        <f t="shared" si="924"/>
        <v>SubDepósito</v>
      </c>
      <c r="AE1450" t="str">
        <f t="shared" si="925"/>
        <v>Marca</v>
      </c>
      <c r="AF1450" t="str">
        <f t="shared" si="926"/>
        <v>Super Rubro</v>
      </c>
      <c r="AG1450" t="str">
        <f t="shared" si="927"/>
        <v>ComercioExterior</v>
      </c>
      <c r="AH1450" t="str">
        <f t="shared" si="928"/>
        <v>PrecioFOB</v>
      </c>
      <c r="AI1450" t="str">
        <f t="shared" si="929"/>
        <v>Monto II</v>
      </c>
      <c r="AJ1450" t="str">
        <f t="shared" si="930"/>
        <v>Porcentaje II</v>
      </c>
      <c r="AK1450" t="str">
        <f t="shared" si="931"/>
        <v>Foto</v>
      </c>
      <c r="AL1450" t="str">
        <f>"{\rtf1\ansi\ansicpg1252\deff0\deflang11274{\fonttbl{\f0\fnil\fcharset0 MS Sans Serif}} \viewkind4\uc1\pard\f0\fs16 CONECTOR 2 VIAS BOBINA ENCENDIDO LAPIZ RENAULT\par } "</f>
        <v xml:space="preserve">{\rtf1\ansi\ansicpg1252\deff0\deflang11274{\fonttbl{\f0\fnil\fcharset0 MS Sans Serif}} \viewkind4\uc1\pard\f0\fs16 CONECTOR 2 VIAS BOBINA ENCENDIDO LAPIZ RENAULT\par } </v>
      </c>
      <c r="AM1450" t="str">
        <f t="shared" si="940"/>
        <v>-</v>
      </c>
    </row>
    <row r="1451" spans="1:39" x14ac:dyDescent="0.25">
      <c r="A1451" t="str">
        <f>"10380"</f>
        <v>10380</v>
      </c>
      <c r="B1451" t="str">
        <f>"CONECTOR 2 VIAS BULBO PRESION ACEITE PEUGEOT 206 - 307"</f>
        <v>CONECTOR 2 VIAS BULBO PRESION ACEITE PEUGEOT 206 - 307</v>
      </c>
      <c r="C1451" t="str">
        <f>"$ 3941,79"</f>
        <v>$ 3941,79</v>
      </c>
      <c r="D1451" t="str">
        <f>"$ 3941,79"</f>
        <v>$ 3941,79</v>
      </c>
      <c r="E1451" t="str">
        <f>"$ 3941,79"</f>
        <v>$ 3941,79</v>
      </c>
      <c r="F1451" t="str">
        <f>"$ 3941,79"</f>
        <v>$ 3941,79</v>
      </c>
      <c r="G1451" t="str">
        <f>"$ 3941,79"</f>
        <v>$ 3941,79</v>
      </c>
      <c r="H1451" t="str">
        <f t="shared" si="914"/>
        <v>$ 0,00</v>
      </c>
      <c r="I1451" t="str">
        <f t="shared" si="937"/>
        <v>FICHA CONECTOR</v>
      </c>
      <c r="J1451" t="str">
        <f t="shared" si="915"/>
        <v>1</v>
      </c>
      <c r="K1451" t="str">
        <f t="shared" si="909"/>
        <v>0</v>
      </c>
      <c r="L1451" t="str">
        <f>"0,000"</f>
        <v>0,000</v>
      </c>
      <c r="M1451" t="str">
        <f t="shared" si="916"/>
        <v xml:space="preserve"> </v>
      </c>
      <c r="N1451" t="str">
        <f t="shared" si="938"/>
        <v>AUTRONIC</v>
      </c>
      <c r="O1451" t="str">
        <f t="shared" si="939"/>
        <v>CABLES</v>
      </c>
      <c r="P1451" t="str">
        <f t="shared" si="945"/>
        <v>0</v>
      </c>
      <c r="Q1451" t="str">
        <f t="shared" si="945"/>
        <v>0</v>
      </c>
      <c r="R1451" t="str">
        <f t="shared" si="946"/>
        <v>0,00</v>
      </c>
      <c r="S1451" t="str">
        <f t="shared" si="946"/>
        <v>0,00</v>
      </c>
      <c r="T1451" t="str">
        <f t="shared" si="943"/>
        <v xml:space="preserve"> </v>
      </c>
      <c r="U1451" t="str">
        <f t="shared" si="933"/>
        <v xml:space="preserve"> </v>
      </c>
      <c r="V1451" t="str">
        <f>"0,000"</f>
        <v>0,000</v>
      </c>
      <c r="W1451" t="str">
        <f t="shared" si="917"/>
        <v>Lista 4</v>
      </c>
      <c r="X1451" t="str">
        <f t="shared" si="918"/>
        <v>Lista 5</v>
      </c>
      <c r="Y1451" t="str">
        <f t="shared" si="919"/>
        <v>Oferta Gral.</v>
      </c>
      <c r="Z1451" t="str">
        <f t="shared" si="920"/>
        <v>Rubro</v>
      </c>
      <c r="AA1451" t="str">
        <f t="shared" si="921"/>
        <v>Cantidad por Bulto</v>
      </c>
      <c r="AB1451" t="str">
        <f t="shared" si="922"/>
        <v>INNER</v>
      </c>
      <c r="AC1451" t="str">
        <f t="shared" si="923"/>
        <v>Stock en Bultos</v>
      </c>
      <c r="AD1451" t="str">
        <f t="shared" si="924"/>
        <v>SubDepósito</v>
      </c>
      <c r="AE1451" t="str">
        <f t="shared" si="925"/>
        <v>Marca</v>
      </c>
      <c r="AF1451" t="str">
        <f t="shared" si="926"/>
        <v>Super Rubro</v>
      </c>
      <c r="AG1451" t="str">
        <f t="shared" si="927"/>
        <v>ComercioExterior</v>
      </c>
      <c r="AH1451" t="str">
        <f t="shared" si="928"/>
        <v>PrecioFOB</v>
      </c>
      <c r="AI1451" t="str">
        <f t="shared" si="929"/>
        <v>Monto II</v>
      </c>
      <c r="AJ1451" t="str">
        <f t="shared" si="930"/>
        <v>Porcentaje II</v>
      </c>
      <c r="AK1451" t="str">
        <f t="shared" si="931"/>
        <v>Foto</v>
      </c>
      <c r="AL1451" t="str">
        <f>"{\rtf1\ansi\ansicpg1252\deff0\deflang11274{\fonttbl{\f0\fnil\fcharset0 MS Sans Serif}} \viewkind4\uc1\pard\f0\fs16 CONECTOR 2 VIAS BULBO PRESION ACEITE PEUGEOT 206 - 307\par } "</f>
        <v xml:space="preserve">{\rtf1\ansi\ansicpg1252\deff0\deflang11274{\fonttbl{\f0\fnil\fcharset0 MS Sans Serif}} \viewkind4\uc1\pard\f0\fs16 CONECTOR 2 VIAS BULBO PRESION ACEITE PEUGEOT 206 - 307\par } </v>
      </c>
      <c r="AM1451" t="str">
        <f t="shared" si="940"/>
        <v>-</v>
      </c>
    </row>
    <row r="1452" spans="1:39" x14ac:dyDescent="0.25">
      <c r="A1452" t="str">
        <f>"10368"</f>
        <v>10368</v>
      </c>
      <c r="B1452" t="str">
        <f>"CONECTOR 2 VIAS BULBO TEMPERATURA VW"</f>
        <v>CONECTOR 2 VIAS BULBO TEMPERATURA VW</v>
      </c>
      <c r="C1452" t="str">
        <f>"$ 2926,28"</f>
        <v>$ 2926,28</v>
      </c>
      <c r="D1452" t="str">
        <f>"$ 2926,28"</f>
        <v>$ 2926,28</v>
      </c>
      <c r="E1452" t="str">
        <f>"$ 2926,28"</f>
        <v>$ 2926,28</v>
      </c>
      <c r="F1452" t="str">
        <f>"$ 2926,28"</f>
        <v>$ 2926,28</v>
      </c>
      <c r="G1452" t="str">
        <f>"$ 2926,28"</f>
        <v>$ 2926,28</v>
      </c>
      <c r="H1452" t="str">
        <f t="shared" si="914"/>
        <v>$ 0,00</v>
      </c>
      <c r="I1452" t="str">
        <f t="shared" si="937"/>
        <v>FICHA CONECTOR</v>
      </c>
      <c r="J1452" t="str">
        <f t="shared" si="915"/>
        <v>1</v>
      </c>
      <c r="K1452" t="str">
        <f t="shared" si="909"/>
        <v>0</v>
      </c>
      <c r="L1452" t="str">
        <f>"0,000"</f>
        <v>0,000</v>
      </c>
      <c r="M1452" t="str">
        <f t="shared" si="916"/>
        <v xml:space="preserve"> </v>
      </c>
      <c r="N1452" t="str">
        <f t="shared" si="938"/>
        <v>AUTRONIC</v>
      </c>
      <c r="O1452" t="str">
        <f t="shared" si="939"/>
        <v>CABLES</v>
      </c>
      <c r="P1452" t="str">
        <f t="shared" si="945"/>
        <v>0</v>
      </c>
      <c r="Q1452" t="str">
        <f t="shared" si="945"/>
        <v>0</v>
      </c>
      <c r="R1452" t="str">
        <f t="shared" si="946"/>
        <v>0,00</v>
      </c>
      <c r="S1452" t="str">
        <f t="shared" si="946"/>
        <v>0,00</v>
      </c>
      <c r="T1452" t="str">
        <f t="shared" si="943"/>
        <v xml:space="preserve"> </v>
      </c>
      <c r="U1452" t="str">
        <f t="shared" si="933"/>
        <v xml:space="preserve"> </v>
      </c>
      <c r="V1452" t="str">
        <f>"0,000"</f>
        <v>0,000</v>
      </c>
      <c r="W1452" t="str">
        <f t="shared" si="917"/>
        <v>Lista 4</v>
      </c>
      <c r="X1452" t="str">
        <f t="shared" si="918"/>
        <v>Lista 5</v>
      </c>
      <c r="Y1452" t="str">
        <f t="shared" si="919"/>
        <v>Oferta Gral.</v>
      </c>
      <c r="Z1452" t="str">
        <f t="shared" si="920"/>
        <v>Rubro</v>
      </c>
      <c r="AA1452" t="str">
        <f t="shared" si="921"/>
        <v>Cantidad por Bulto</v>
      </c>
      <c r="AB1452" t="str">
        <f t="shared" si="922"/>
        <v>INNER</v>
      </c>
      <c r="AC1452" t="str">
        <f t="shared" si="923"/>
        <v>Stock en Bultos</v>
      </c>
      <c r="AD1452" t="str">
        <f t="shared" si="924"/>
        <v>SubDepósito</v>
      </c>
      <c r="AE1452" t="str">
        <f t="shared" si="925"/>
        <v>Marca</v>
      </c>
      <c r="AF1452" t="str">
        <f t="shared" si="926"/>
        <v>Super Rubro</v>
      </c>
      <c r="AG1452" t="str">
        <f t="shared" si="927"/>
        <v>ComercioExterior</v>
      </c>
      <c r="AH1452" t="str">
        <f t="shared" si="928"/>
        <v>PrecioFOB</v>
      </c>
      <c r="AI1452" t="str">
        <f t="shared" si="929"/>
        <v>Monto II</v>
      </c>
      <c r="AJ1452" t="str">
        <f t="shared" si="930"/>
        <v>Porcentaje II</v>
      </c>
      <c r="AK1452" t="str">
        <f t="shared" si="931"/>
        <v>Foto</v>
      </c>
      <c r="AL1452" t="str">
        <f>"{\rtf1\ansi\ansicpg1252\deff0\deflang11274{\fonttbl{\f0\fnil\fcharset0 MS Sans Serif}} \viewkind4\uc1\pard\f0\fs16 CONECTOR 2 VIAS BULBO TEMPERATURA VW\par } "</f>
        <v xml:space="preserve">{\rtf1\ansi\ansicpg1252\deff0\deflang11274{\fonttbl{\f0\fnil\fcharset0 MS Sans Serif}} \viewkind4\uc1\pard\f0\fs16 CONECTOR 2 VIAS BULBO TEMPERATURA VW\par } </v>
      </c>
      <c r="AM1452" t="str">
        <f t="shared" si="940"/>
        <v>-</v>
      </c>
    </row>
    <row r="1453" spans="1:39" x14ac:dyDescent="0.25">
      <c r="A1453" t="str">
        <f>"10310"</f>
        <v>10310</v>
      </c>
      <c r="B1453" t="str">
        <f>"CONECTOR 2 VIAS CAPTOR PUNTO MUERTO PEUGEOT"</f>
        <v>CONECTOR 2 VIAS CAPTOR PUNTO MUERTO PEUGEOT</v>
      </c>
      <c r="C1453" t="str">
        <f>"$ 3901,70"</f>
        <v>$ 3901,70</v>
      </c>
      <c r="D1453" t="str">
        <f>"$ 3901,70"</f>
        <v>$ 3901,70</v>
      </c>
      <c r="E1453" t="str">
        <f>"$ 3901,70"</f>
        <v>$ 3901,70</v>
      </c>
      <c r="F1453" t="str">
        <f>"$ 3901,70"</f>
        <v>$ 3901,70</v>
      </c>
      <c r="G1453" t="str">
        <f>"$ 3901,70"</f>
        <v>$ 3901,70</v>
      </c>
      <c r="H1453" t="str">
        <f t="shared" si="914"/>
        <v>$ 0,00</v>
      </c>
      <c r="I1453" t="str">
        <f t="shared" si="937"/>
        <v>FICHA CONECTOR</v>
      </c>
      <c r="J1453" t="str">
        <f t="shared" si="915"/>
        <v>1</v>
      </c>
      <c r="K1453" t="str">
        <f t="shared" si="909"/>
        <v>0</v>
      </c>
      <c r="L1453" t="str">
        <f>"20,000"</f>
        <v>20,000</v>
      </c>
      <c r="M1453" t="str">
        <f t="shared" si="916"/>
        <v xml:space="preserve"> </v>
      </c>
      <c r="N1453" t="str">
        <f t="shared" si="938"/>
        <v>AUTRONIC</v>
      </c>
      <c r="O1453" t="str">
        <f t="shared" si="939"/>
        <v>CABLES</v>
      </c>
      <c r="P1453" t="str">
        <f t="shared" si="945"/>
        <v>0</v>
      </c>
      <c r="Q1453" t="str">
        <f t="shared" si="945"/>
        <v>0</v>
      </c>
      <c r="R1453" t="str">
        <f t="shared" si="946"/>
        <v>0,00</v>
      </c>
      <c r="S1453" t="str">
        <f t="shared" si="946"/>
        <v>0,00</v>
      </c>
      <c r="T1453" t="str">
        <f t="shared" si="943"/>
        <v xml:space="preserve"> </v>
      </c>
      <c r="U1453" t="str">
        <f t="shared" si="933"/>
        <v xml:space="preserve"> </v>
      </c>
      <c r="V1453" t="str">
        <f>"20,000"</f>
        <v>20,000</v>
      </c>
      <c r="W1453" t="str">
        <f t="shared" si="917"/>
        <v>Lista 4</v>
      </c>
      <c r="X1453" t="str">
        <f t="shared" si="918"/>
        <v>Lista 5</v>
      </c>
      <c r="Y1453" t="str">
        <f t="shared" si="919"/>
        <v>Oferta Gral.</v>
      </c>
      <c r="Z1453" t="str">
        <f t="shared" si="920"/>
        <v>Rubro</v>
      </c>
      <c r="AA1453" t="str">
        <f t="shared" si="921"/>
        <v>Cantidad por Bulto</v>
      </c>
      <c r="AB1453" t="str">
        <f t="shared" si="922"/>
        <v>INNER</v>
      </c>
      <c r="AC1453" t="str">
        <f t="shared" si="923"/>
        <v>Stock en Bultos</v>
      </c>
      <c r="AD1453" t="str">
        <f t="shared" si="924"/>
        <v>SubDepósito</v>
      </c>
      <c r="AE1453" t="str">
        <f t="shared" si="925"/>
        <v>Marca</v>
      </c>
      <c r="AF1453" t="str">
        <f t="shared" si="926"/>
        <v>Super Rubro</v>
      </c>
      <c r="AG1453" t="str">
        <f t="shared" si="927"/>
        <v>ComercioExterior</v>
      </c>
      <c r="AH1453" t="str">
        <f t="shared" si="928"/>
        <v>PrecioFOB</v>
      </c>
      <c r="AI1453" t="str">
        <f t="shared" si="929"/>
        <v>Monto II</v>
      </c>
      <c r="AJ1453" t="str">
        <f t="shared" si="930"/>
        <v>Porcentaje II</v>
      </c>
      <c r="AK1453" t="str">
        <f t="shared" si="931"/>
        <v>Foto</v>
      </c>
      <c r="AL1453" t="str">
        <f>"{\rtf1\ansi\ansicpg1252\deff0\deflang11274{\fonttbl{\f0\fnil\fcharset0 MS Sans Serif}} \viewkind4\uc1\pard\f0\fs16 CONECTOR 2 VIAS CAPTOR PUNTO MUERTO PEUGEOT\par } "</f>
        <v xml:space="preserve">{\rtf1\ansi\ansicpg1252\deff0\deflang11274{\fonttbl{\f0\fnil\fcharset0 MS Sans Serif}} \viewkind4\uc1\pard\f0\fs16 CONECTOR 2 VIAS CAPTOR PUNTO MUERTO PEUGEOT\par } </v>
      </c>
      <c r="AM1453" t="str">
        <f t="shared" si="940"/>
        <v>-</v>
      </c>
    </row>
    <row r="1454" spans="1:39" x14ac:dyDescent="0.25">
      <c r="A1454" t="str">
        <f>"10407"</f>
        <v>10407</v>
      </c>
      <c r="B1454" t="str">
        <f>"CONECTOR 2 VIAS CAPTORES RENAULT (CONTRAFICHA 10-181)"</f>
        <v>CONECTOR 2 VIAS CAPTORES RENAULT (CONTRAFICHA 10-181)</v>
      </c>
      <c r="C1454" t="str">
        <f>"$ 3474,12"</f>
        <v>$ 3474,12</v>
      </c>
      <c r="D1454" t="str">
        <f>"$ 3474,12"</f>
        <v>$ 3474,12</v>
      </c>
      <c r="E1454" t="str">
        <f>"$ 3474,12"</f>
        <v>$ 3474,12</v>
      </c>
      <c r="F1454" t="str">
        <f>"$ 3474,12"</f>
        <v>$ 3474,12</v>
      </c>
      <c r="G1454" t="str">
        <f>"$ 3474,12"</f>
        <v>$ 3474,12</v>
      </c>
      <c r="H1454" t="str">
        <f t="shared" si="914"/>
        <v>$ 0,00</v>
      </c>
      <c r="I1454" t="str">
        <f t="shared" si="937"/>
        <v>FICHA CONECTOR</v>
      </c>
      <c r="J1454" t="str">
        <f t="shared" si="915"/>
        <v>1</v>
      </c>
      <c r="K1454" t="str">
        <f t="shared" si="909"/>
        <v>0</v>
      </c>
      <c r="L1454" t="str">
        <f>"4,000"</f>
        <v>4,000</v>
      </c>
      <c r="M1454" t="str">
        <f t="shared" si="916"/>
        <v xml:space="preserve"> </v>
      </c>
      <c r="N1454" t="str">
        <f t="shared" si="938"/>
        <v>AUTRONIC</v>
      </c>
      <c r="O1454" t="str">
        <f t="shared" si="939"/>
        <v>CABLES</v>
      </c>
      <c r="P1454" t="str">
        <f t="shared" si="945"/>
        <v>0</v>
      </c>
      <c r="Q1454" t="str">
        <f t="shared" si="945"/>
        <v>0</v>
      </c>
      <c r="R1454" t="str">
        <f t="shared" si="946"/>
        <v>0,00</v>
      </c>
      <c r="S1454" t="str">
        <f t="shared" si="946"/>
        <v>0,00</v>
      </c>
      <c r="T1454" t="str">
        <f t="shared" si="943"/>
        <v xml:space="preserve"> </v>
      </c>
      <c r="U1454" t="str">
        <f t="shared" si="933"/>
        <v xml:space="preserve"> </v>
      </c>
      <c r="V1454" t="str">
        <f>"4,000"</f>
        <v>4,000</v>
      </c>
      <c r="W1454" t="str">
        <f t="shared" si="917"/>
        <v>Lista 4</v>
      </c>
      <c r="X1454" t="str">
        <f t="shared" si="918"/>
        <v>Lista 5</v>
      </c>
      <c r="Y1454" t="str">
        <f t="shared" si="919"/>
        <v>Oferta Gral.</v>
      </c>
      <c r="Z1454" t="str">
        <f t="shared" si="920"/>
        <v>Rubro</v>
      </c>
      <c r="AA1454" t="str">
        <f t="shared" si="921"/>
        <v>Cantidad por Bulto</v>
      </c>
      <c r="AB1454" t="str">
        <f t="shared" si="922"/>
        <v>INNER</v>
      </c>
      <c r="AC1454" t="str">
        <f t="shared" si="923"/>
        <v>Stock en Bultos</v>
      </c>
      <c r="AD1454" t="str">
        <f t="shared" si="924"/>
        <v>SubDepósito</v>
      </c>
      <c r="AE1454" t="str">
        <f t="shared" si="925"/>
        <v>Marca</v>
      </c>
      <c r="AF1454" t="str">
        <f t="shared" si="926"/>
        <v>Super Rubro</v>
      </c>
      <c r="AG1454" t="str">
        <f t="shared" si="927"/>
        <v>ComercioExterior</v>
      </c>
      <c r="AH1454" t="str">
        <f t="shared" si="928"/>
        <v>PrecioFOB</v>
      </c>
      <c r="AI1454" t="str">
        <f t="shared" si="929"/>
        <v>Monto II</v>
      </c>
      <c r="AJ1454" t="str">
        <f t="shared" si="930"/>
        <v>Porcentaje II</v>
      </c>
      <c r="AK1454" t="str">
        <f t="shared" si="931"/>
        <v>Foto</v>
      </c>
      <c r="AL1454" t="str">
        <f>"{\rtf1\ansi\ansicpg1252\deff0\deflang11274{\fonttbl{\f0\fnil\fcharset0 MS Sans Serif}} \viewkind4\uc1\pard\f0\fs16 CONECTOR 2 VIAS CAPTORES RENAULT (CONTRAFICHA 10-181)\par } "</f>
        <v xml:space="preserve">{\rtf1\ansi\ansicpg1252\deff0\deflang11274{\fonttbl{\f0\fnil\fcharset0 MS Sans Serif}} \viewkind4\uc1\pard\f0\fs16 CONECTOR 2 VIAS CAPTORES RENAULT (CONTRAFICHA 10-181)\par } </v>
      </c>
      <c r="AM1454" t="str">
        <f t="shared" si="940"/>
        <v>-</v>
      </c>
    </row>
    <row r="1455" spans="1:39" x14ac:dyDescent="0.25">
      <c r="A1455" t="str">
        <f>"10309"</f>
        <v>10309</v>
      </c>
      <c r="B1455" t="str">
        <f>"CONECTOR 2 VIAS COMPRESOR RENAULT MEGANE GRIS"</f>
        <v>CONECTOR 2 VIAS COMPRESOR RENAULT MEGANE GRIS</v>
      </c>
      <c r="C1455" t="str">
        <f>"$ 3126,71"</f>
        <v>$ 3126,71</v>
      </c>
      <c r="D1455" t="str">
        <f>"$ 3126,71"</f>
        <v>$ 3126,71</v>
      </c>
      <c r="E1455" t="str">
        <f>"$ 3126,71"</f>
        <v>$ 3126,71</v>
      </c>
      <c r="F1455" t="str">
        <f>"$ 3126,71"</f>
        <v>$ 3126,71</v>
      </c>
      <c r="G1455" t="str">
        <f>"$ 3126,71"</f>
        <v>$ 3126,71</v>
      </c>
      <c r="H1455" t="str">
        <f t="shared" si="914"/>
        <v>$ 0,00</v>
      </c>
      <c r="I1455" t="str">
        <f t="shared" si="937"/>
        <v>FICHA CONECTOR</v>
      </c>
      <c r="J1455" t="str">
        <f t="shared" si="915"/>
        <v>1</v>
      </c>
      <c r="K1455" t="str">
        <f t="shared" si="909"/>
        <v>0</v>
      </c>
      <c r="L1455" t="str">
        <f>"0,000"</f>
        <v>0,000</v>
      </c>
      <c r="M1455" t="str">
        <f t="shared" si="916"/>
        <v xml:space="preserve"> </v>
      </c>
      <c r="N1455" t="str">
        <f t="shared" si="938"/>
        <v>AUTRONIC</v>
      </c>
      <c r="O1455" t="str">
        <f t="shared" si="939"/>
        <v>CABLES</v>
      </c>
      <c r="P1455" t="str">
        <f t="shared" si="945"/>
        <v>0</v>
      </c>
      <c r="Q1455" t="str">
        <f t="shared" si="945"/>
        <v>0</v>
      </c>
      <c r="R1455" t="str">
        <f t="shared" si="946"/>
        <v>0,00</v>
      </c>
      <c r="S1455" t="str">
        <f t="shared" si="946"/>
        <v>0,00</v>
      </c>
      <c r="T1455" t="str">
        <f t="shared" si="943"/>
        <v xml:space="preserve"> </v>
      </c>
      <c r="U1455" t="str">
        <f t="shared" si="933"/>
        <v xml:space="preserve"> </v>
      </c>
      <c r="V1455" t="str">
        <f>"0,000"</f>
        <v>0,000</v>
      </c>
      <c r="W1455" t="str">
        <f t="shared" si="917"/>
        <v>Lista 4</v>
      </c>
      <c r="X1455" t="str">
        <f t="shared" si="918"/>
        <v>Lista 5</v>
      </c>
      <c r="Y1455" t="str">
        <f t="shared" si="919"/>
        <v>Oferta Gral.</v>
      </c>
      <c r="Z1455" t="str">
        <f t="shared" si="920"/>
        <v>Rubro</v>
      </c>
      <c r="AA1455" t="str">
        <f t="shared" si="921"/>
        <v>Cantidad por Bulto</v>
      </c>
      <c r="AB1455" t="str">
        <f t="shared" si="922"/>
        <v>INNER</v>
      </c>
      <c r="AC1455" t="str">
        <f t="shared" si="923"/>
        <v>Stock en Bultos</v>
      </c>
      <c r="AD1455" t="str">
        <f t="shared" si="924"/>
        <v>SubDepósito</v>
      </c>
      <c r="AE1455" t="str">
        <f t="shared" si="925"/>
        <v>Marca</v>
      </c>
      <c r="AF1455" t="str">
        <f t="shared" si="926"/>
        <v>Super Rubro</v>
      </c>
      <c r="AG1455" t="str">
        <f t="shared" si="927"/>
        <v>ComercioExterior</v>
      </c>
      <c r="AH1455" t="str">
        <f t="shared" si="928"/>
        <v>PrecioFOB</v>
      </c>
      <c r="AI1455" t="str">
        <f t="shared" si="929"/>
        <v>Monto II</v>
      </c>
      <c r="AJ1455" t="str">
        <f t="shared" si="930"/>
        <v>Porcentaje II</v>
      </c>
      <c r="AK1455" t="str">
        <f t="shared" si="931"/>
        <v>Foto</v>
      </c>
      <c r="AL1455" t="str">
        <f>"{\rtf1\ansi\ansicpg1252\deff0\deflang11274{\fonttbl{\f0\fnil\fcharset0 MS Sans Serif}} \viewkind4\uc1\pard\f0\fs16 CONECTOR 2 VIAS COMPRESOR RENAULT MEGANE GRIS\par } "</f>
        <v xml:space="preserve">{\rtf1\ansi\ansicpg1252\deff0\deflang11274{\fonttbl{\f0\fnil\fcharset0 MS Sans Serif}} \viewkind4\uc1\pard\f0\fs16 CONECTOR 2 VIAS COMPRESOR RENAULT MEGANE GRIS\par } </v>
      </c>
      <c r="AM1455" t="str">
        <f t="shared" si="940"/>
        <v>-</v>
      </c>
    </row>
    <row r="1456" spans="1:39" x14ac:dyDescent="0.25">
      <c r="A1456" t="str">
        <f>"10305"</f>
        <v>10305</v>
      </c>
      <c r="B1456" t="str">
        <f>"CONECTOR 2 VIAS ELECTROVENTILADOR ORIGINAL FIAT-RENAULT ORIGINAL"</f>
        <v>CONECTOR 2 VIAS ELECTROVENTILADOR ORIGINAL FIAT-RENAULT ORIGINAL</v>
      </c>
      <c r="C1456" t="str">
        <f>"$ 5598,68"</f>
        <v>$ 5598,68</v>
      </c>
      <c r="D1456" t="str">
        <f>"$ 5598,68"</f>
        <v>$ 5598,68</v>
      </c>
      <c r="E1456" t="str">
        <f>"$ 5598,68"</f>
        <v>$ 5598,68</v>
      </c>
      <c r="F1456" t="str">
        <f>"$ 5598,68"</f>
        <v>$ 5598,68</v>
      </c>
      <c r="G1456" t="str">
        <f>"$ 5598,68"</f>
        <v>$ 5598,68</v>
      </c>
      <c r="H1456" t="str">
        <f t="shared" si="914"/>
        <v>$ 0,00</v>
      </c>
      <c r="I1456" t="str">
        <f t="shared" si="937"/>
        <v>FICHA CONECTOR</v>
      </c>
      <c r="J1456" t="str">
        <f t="shared" si="915"/>
        <v>1</v>
      </c>
      <c r="K1456" t="str">
        <f t="shared" si="909"/>
        <v>0</v>
      </c>
      <c r="L1456" t="str">
        <f>"5,000"</f>
        <v>5,000</v>
      </c>
      <c r="M1456" t="str">
        <f t="shared" si="916"/>
        <v xml:space="preserve"> </v>
      </c>
      <c r="N1456" t="str">
        <f t="shared" si="938"/>
        <v>AUTRONIC</v>
      </c>
      <c r="O1456" t="str">
        <f t="shared" si="939"/>
        <v>CABLES</v>
      </c>
      <c r="P1456" t="str">
        <f t="shared" si="945"/>
        <v>0</v>
      </c>
      <c r="Q1456" t="str">
        <f t="shared" si="945"/>
        <v>0</v>
      </c>
      <c r="R1456" t="str">
        <f t="shared" si="946"/>
        <v>0,00</v>
      </c>
      <c r="S1456" t="str">
        <f t="shared" si="946"/>
        <v>0,00</v>
      </c>
      <c r="T1456" t="str">
        <f t="shared" si="943"/>
        <v xml:space="preserve"> </v>
      </c>
      <c r="U1456" t="str">
        <f t="shared" si="933"/>
        <v xml:space="preserve"> </v>
      </c>
      <c r="V1456" t="str">
        <f>"5,000"</f>
        <v>5,000</v>
      </c>
      <c r="W1456" t="str">
        <f t="shared" si="917"/>
        <v>Lista 4</v>
      </c>
      <c r="X1456" t="str">
        <f t="shared" si="918"/>
        <v>Lista 5</v>
      </c>
      <c r="Y1456" t="str">
        <f t="shared" si="919"/>
        <v>Oferta Gral.</v>
      </c>
      <c r="Z1456" t="str">
        <f t="shared" si="920"/>
        <v>Rubro</v>
      </c>
      <c r="AA1456" t="str">
        <f t="shared" si="921"/>
        <v>Cantidad por Bulto</v>
      </c>
      <c r="AB1456" t="str">
        <f t="shared" si="922"/>
        <v>INNER</v>
      </c>
      <c r="AC1456" t="str">
        <f t="shared" si="923"/>
        <v>Stock en Bultos</v>
      </c>
      <c r="AD1456" t="str">
        <f t="shared" si="924"/>
        <v>SubDepósito</v>
      </c>
      <c r="AE1456" t="str">
        <f t="shared" si="925"/>
        <v>Marca</v>
      </c>
      <c r="AF1456" t="str">
        <f t="shared" si="926"/>
        <v>Super Rubro</v>
      </c>
      <c r="AG1456" t="str">
        <f t="shared" si="927"/>
        <v>ComercioExterior</v>
      </c>
      <c r="AH1456" t="str">
        <f t="shared" si="928"/>
        <v>PrecioFOB</v>
      </c>
      <c r="AI1456" t="str">
        <f t="shared" si="929"/>
        <v>Monto II</v>
      </c>
      <c r="AJ1456" t="str">
        <f t="shared" si="930"/>
        <v>Porcentaje II</v>
      </c>
      <c r="AK1456" t="str">
        <f t="shared" si="931"/>
        <v>Foto</v>
      </c>
      <c r="AL1456" t="str">
        <f>"{\rtf1\ansi\ansicpg1252\deff0\deflang11274{\fonttbl{\f0\fnil\fcharset0 MS Sans Serif}} \viewkind4\uc1\pard\f0\fs16 CONECTOR 2 VIAS ELECTROVENTILADOR ORIGINAL FIAT-RENAULT ORIGINAL\par } "</f>
        <v xml:space="preserve">{\rtf1\ansi\ansicpg1252\deff0\deflang11274{\fonttbl{\f0\fnil\fcharset0 MS Sans Serif}} \viewkind4\uc1\pard\f0\fs16 CONECTOR 2 VIAS ELECTROVENTILADOR ORIGINAL FIAT-RENAULT ORIGINAL\par } </v>
      </c>
      <c r="AM1456" t="str">
        <f t="shared" ref="AM1456:AM1487" si="947">"-"</f>
        <v>-</v>
      </c>
    </row>
    <row r="1457" spans="1:39" x14ac:dyDescent="0.25">
      <c r="A1457" t="str">
        <f>"10274"</f>
        <v>10274</v>
      </c>
      <c r="B1457" t="str">
        <f>"CONECTOR 2 VIAS ELECTROVENTILADOR VW  HPM"</f>
        <v>CONECTOR 2 VIAS ELECTROVENTILADOR VW  HPM</v>
      </c>
      <c r="C1457" t="str">
        <f>"$ 2458,61"</f>
        <v>$ 2458,61</v>
      </c>
      <c r="D1457" t="str">
        <f>"$ 2458,61"</f>
        <v>$ 2458,61</v>
      </c>
      <c r="E1457" t="str">
        <f>"$ 2458,61"</f>
        <v>$ 2458,61</v>
      </c>
      <c r="F1457" t="str">
        <f>"$ 2458,61"</f>
        <v>$ 2458,61</v>
      </c>
      <c r="G1457" t="str">
        <f>"$ 2458,61"</f>
        <v>$ 2458,61</v>
      </c>
      <c r="H1457" t="str">
        <f t="shared" si="914"/>
        <v>$ 0,00</v>
      </c>
      <c r="I1457" t="str">
        <f t="shared" si="937"/>
        <v>FICHA CONECTOR</v>
      </c>
      <c r="J1457" t="str">
        <f t="shared" si="915"/>
        <v>1</v>
      </c>
      <c r="K1457" t="str">
        <f t="shared" si="909"/>
        <v>0</v>
      </c>
      <c r="L1457" t="str">
        <f>"20,000"</f>
        <v>20,000</v>
      </c>
      <c r="M1457" t="str">
        <f t="shared" si="916"/>
        <v xml:space="preserve"> </v>
      </c>
      <c r="N1457" t="str">
        <f t="shared" si="938"/>
        <v>AUTRONIC</v>
      </c>
      <c r="O1457" t="str">
        <f t="shared" si="939"/>
        <v>CABLES</v>
      </c>
      <c r="P1457" t="str">
        <f t="shared" si="945"/>
        <v>0</v>
      </c>
      <c r="Q1457" t="str">
        <f t="shared" si="945"/>
        <v>0</v>
      </c>
      <c r="R1457" t="str">
        <f t="shared" si="946"/>
        <v>0,00</v>
      </c>
      <c r="S1457" t="str">
        <f t="shared" si="946"/>
        <v>0,00</v>
      </c>
      <c r="T1457" t="str">
        <f t="shared" si="943"/>
        <v xml:space="preserve"> </v>
      </c>
      <c r="U1457" t="str">
        <f t="shared" si="933"/>
        <v xml:space="preserve"> </v>
      </c>
      <c r="V1457" t="str">
        <f>"20,000"</f>
        <v>20,000</v>
      </c>
      <c r="W1457" t="str">
        <f t="shared" si="917"/>
        <v>Lista 4</v>
      </c>
      <c r="X1457" t="str">
        <f t="shared" si="918"/>
        <v>Lista 5</v>
      </c>
      <c r="Y1457" t="str">
        <f t="shared" si="919"/>
        <v>Oferta Gral.</v>
      </c>
      <c r="Z1457" t="str">
        <f t="shared" si="920"/>
        <v>Rubro</v>
      </c>
      <c r="AA1457" t="str">
        <f t="shared" si="921"/>
        <v>Cantidad por Bulto</v>
      </c>
      <c r="AB1457" t="str">
        <f t="shared" si="922"/>
        <v>INNER</v>
      </c>
      <c r="AC1457" t="str">
        <f t="shared" si="923"/>
        <v>Stock en Bultos</v>
      </c>
      <c r="AD1457" t="str">
        <f t="shared" si="924"/>
        <v>SubDepósito</v>
      </c>
      <c r="AE1457" t="str">
        <f t="shared" si="925"/>
        <v>Marca</v>
      </c>
      <c r="AF1457" t="str">
        <f t="shared" si="926"/>
        <v>Super Rubro</v>
      </c>
      <c r="AG1457" t="str">
        <f t="shared" si="927"/>
        <v>ComercioExterior</v>
      </c>
      <c r="AH1457" t="str">
        <f t="shared" si="928"/>
        <v>PrecioFOB</v>
      </c>
      <c r="AI1457" t="str">
        <f t="shared" si="929"/>
        <v>Monto II</v>
      </c>
      <c r="AJ1457" t="str">
        <f t="shared" si="930"/>
        <v>Porcentaje II</v>
      </c>
      <c r="AK1457" t="str">
        <f t="shared" si="931"/>
        <v>Foto</v>
      </c>
      <c r="AL1457" t="str">
        <f>"{\rtf1\ansi\ansicpg1252\deff0\deflang11274{\fonttbl{\f0\fnil\fcharset0 MS Sans Serif}} \viewkind4\uc1\pard\f0\fs16 CONECTOR 2 VIAS ELECTROVENTILADOR VW  HPM\par } "</f>
        <v xml:space="preserve">{\rtf1\ansi\ansicpg1252\deff0\deflang11274{\fonttbl{\f0\fnil\fcharset0 MS Sans Serif}} \viewkind4\uc1\pard\f0\fs16 CONECTOR 2 VIAS ELECTROVENTILADOR VW  HPM\par } </v>
      </c>
      <c r="AM1457" t="str">
        <f t="shared" si="947"/>
        <v>-</v>
      </c>
    </row>
    <row r="1458" spans="1:39" x14ac:dyDescent="0.25">
      <c r="A1458" t="str">
        <f>"10273"</f>
        <v>10273</v>
      </c>
      <c r="B1458" t="str">
        <f>"CONECTOR 2 VIAS ELECTROVENTILADOR VW  MPH"</f>
        <v>CONECTOR 2 VIAS ELECTROVENTILADOR VW  MPH</v>
      </c>
      <c r="C1458" t="str">
        <f>"$ 4583,17"</f>
        <v>$ 4583,17</v>
      </c>
      <c r="D1458" t="str">
        <f>"$ 4583,17"</f>
        <v>$ 4583,17</v>
      </c>
      <c r="E1458" t="str">
        <f>"$ 4583,17"</f>
        <v>$ 4583,17</v>
      </c>
      <c r="F1458" t="str">
        <f>"$ 4583,17"</f>
        <v>$ 4583,17</v>
      </c>
      <c r="G1458" t="str">
        <f>"$ 4583,17"</f>
        <v>$ 4583,17</v>
      </c>
      <c r="H1458" t="str">
        <f t="shared" si="914"/>
        <v>$ 0,00</v>
      </c>
      <c r="I1458" t="str">
        <f t="shared" si="937"/>
        <v>FICHA CONECTOR</v>
      </c>
      <c r="J1458" t="str">
        <f t="shared" si="915"/>
        <v>1</v>
      </c>
      <c r="K1458" t="str">
        <f t="shared" si="909"/>
        <v>0</v>
      </c>
      <c r="L1458" t="str">
        <f>"6,000"</f>
        <v>6,000</v>
      </c>
      <c r="M1458" t="str">
        <f t="shared" si="916"/>
        <v xml:space="preserve"> </v>
      </c>
      <c r="N1458" t="str">
        <f t="shared" si="938"/>
        <v>AUTRONIC</v>
      </c>
      <c r="O1458" t="str">
        <f t="shared" si="939"/>
        <v>CABLES</v>
      </c>
      <c r="P1458" t="str">
        <f t="shared" si="945"/>
        <v>0</v>
      </c>
      <c r="Q1458" t="str">
        <f t="shared" si="945"/>
        <v>0</v>
      </c>
      <c r="R1458" t="str">
        <f t="shared" si="946"/>
        <v>0,00</v>
      </c>
      <c r="S1458" t="str">
        <f t="shared" si="946"/>
        <v>0,00</v>
      </c>
      <c r="T1458" t="str">
        <f t="shared" si="943"/>
        <v xml:space="preserve"> </v>
      </c>
      <c r="U1458" t="str">
        <f t="shared" si="933"/>
        <v xml:space="preserve"> </v>
      </c>
      <c r="V1458" t="str">
        <f>"6,000"</f>
        <v>6,000</v>
      </c>
      <c r="W1458" t="str">
        <f t="shared" si="917"/>
        <v>Lista 4</v>
      </c>
      <c r="X1458" t="str">
        <f t="shared" si="918"/>
        <v>Lista 5</v>
      </c>
      <c r="Y1458" t="str">
        <f t="shared" si="919"/>
        <v>Oferta Gral.</v>
      </c>
      <c r="Z1458" t="str">
        <f t="shared" si="920"/>
        <v>Rubro</v>
      </c>
      <c r="AA1458" t="str">
        <f t="shared" si="921"/>
        <v>Cantidad por Bulto</v>
      </c>
      <c r="AB1458" t="str">
        <f t="shared" si="922"/>
        <v>INNER</v>
      </c>
      <c r="AC1458" t="str">
        <f t="shared" si="923"/>
        <v>Stock en Bultos</v>
      </c>
      <c r="AD1458" t="str">
        <f t="shared" si="924"/>
        <v>SubDepósito</v>
      </c>
      <c r="AE1458" t="str">
        <f t="shared" si="925"/>
        <v>Marca</v>
      </c>
      <c r="AF1458" t="str">
        <f t="shared" si="926"/>
        <v>Super Rubro</v>
      </c>
      <c r="AG1458" t="str">
        <f t="shared" si="927"/>
        <v>ComercioExterior</v>
      </c>
      <c r="AH1458" t="str">
        <f t="shared" si="928"/>
        <v>PrecioFOB</v>
      </c>
      <c r="AI1458" t="str">
        <f t="shared" si="929"/>
        <v>Monto II</v>
      </c>
      <c r="AJ1458" t="str">
        <f t="shared" si="930"/>
        <v>Porcentaje II</v>
      </c>
      <c r="AK1458" t="str">
        <f t="shared" si="931"/>
        <v>Foto</v>
      </c>
      <c r="AL1458" t="str">
        <f>"{\rtf1\ansi\ansicpg1252\deff0\deflang11274{\fonttbl{\f0\fnil\fcharset0 MS Sans Serif}} \viewkind4\uc1\pard\f0\fs16 CONECTOR 2 VIAS ELECTROVENTILADOR VW  MPH\par } "</f>
        <v xml:space="preserve">{\rtf1\ansi\ansicpg1252\deff0\deflang11274{\fonttbl{\f0\fnil\fcharset0 MS Sans Serif}} \viewkind4\uc1\pard\f0\fs16 CONECTOR 2 VIAS ELECTROVENTILADOR VW  MPH\par } </v>
      </c>
      <c r="AM1458" t="str">
        <f t="shared" si="947"/>
        <v>-</v>
      </c>
    </row>
    <row r="1459" spans="1:39" x14ac:dyDescent="0.25">
      <c r="A1459" t="str">
        <f>"10393"</f>
        <v>10393</v>
      </c>
      <c r="B1459" t="str">
        <f>"CONECTOR 2 VIAS EN T BOMBA AGUA-COMBUSTIBLE VW - FORD - GM"</f>
        <v>CONECTOR 2 VIAS EN T BOMBA AGUA-COMBUSTIBLE VW - FORD - GM</v>
      </c>
      <c r="C1459" t="str">
        <f>"$ 2966,36"</f>
        <v>$ 2966,36</v>
      </c>
      <c r="D1459" t="str">
        <f>"$ 2966,36"</f>
        <v>$ 2966,36</v>
      </c>
      <c r="E1459" t="str">
        <f>"$ 2966,36"</f>
        <v>$ 2966,36</v>
      </c>
      <c r="F1459" t="str">
        <f>"$ 2966,36"</f>
        <v>$ 2966,36</v>
      </c>
      <c r="G1459" t="str">
        <f>"$ 2966,36"</f>
        <v>$ 2966,36</v>
      </c>
      <c r="H1459" t="str">
        <f t="shared" si="914"/>
        <v>$ 0,00</v>
      </c>
      <c r="I1459" t="str">
        <f t="shared" si="937"/>
        <v>FICHA CONECTOR</v>
      </c>
      <c r="J1459" t="str">
        <f t="shared" si="915"/>
        <v>1</v>
      </c>
      <c r="K1459" t="str">
        <f t="shared" si="909"/>
        <v>0</v>
      </c>
      <c r="L1459" t="str">
        <f>"0,000"</f>
        <v>0,000</v>
      </c>
      <c r="M1459" t="str">
        <f t="shared" si="916"/>
        <v xml:space="preserve"> </v>
      </c>
      <c r="N1459" t="str">
        <f t="shared" si="938"/>
        <v>AUTRONIC</v>
      </c>
      <c r="O1459" t="str">
        <f t="shared" si="939"/>
        <v>CABLES</v>
      </c>
      <c r="P1459" t="str">
        <f t="shared" si="945"/>
        <v>0</v>
      </c>
      <c r="Q1459" t="str">
        <f t="shared" si="945"/>
        <v>0</v>
      </c>
      <c r="R1459" t="str">
        <f t="shared" si="946"/>
        <v>0,00</v>
      </c>
      <c r="S1459" t="str">
        <f t="shared" si="946"/>
        <v>0,00</v>
      </c>
      <c r="T1459" t="str">
        <f t="shared" si="943"/>
        <v xml:space="preserve"> </v>
      </c>
      <c r="U1459" t="str">
        <f t="shared" si="933"/>
        <v xml:space="preserve"> </v>
      </c>
      <c r="V1459" t="str">
        <f>"0,000"</f>
        <v>0,000</v>
      </c>
      <c r="W1459" t="str">
        <f t="shared" si="917"/>
        <v>Lista 4</v>
      </c>
      <c r="X1459" t="str">
        <f t="shared" si="918"/>
        <v>Lista 5</v>
      </c>
      <c r="Y1459" t="str">
        <f t="shared" si="919"/>
        <v>Oferta Gral.</v>
      </c>
      <c r="Z1459" t="str">
        <f t="shared" si="920"/>
        <v>Rubro</v>
      </c>
      <c r="AA1459" t="str">
        <f t="shared" si="921"/>
        <v>Cantidad por Bulto</v>
      </c>
      <c r="AB1459" t="str">
        <f t="shared" si="922"/>
        <v>INNER</v>
      </c>
      <c r="AC1459" t="str">
        <f t="shared" si="923"/>
        <v>Stock en Bultos</v>
      </c>
      <c r="AD1459" t="str">
        <f t="shared" si="924"/>
        <v>SubDepósito</v>
      </c>
      <c r="AE1459" t="str">
        <f t="shared" si="925"/>
        <v>Marca</v>
      </c>
      <c r="AF1459" t="str">
        <f t="shared" si="926"/>
        <v>Super Rubro</v>
      </c>
      <c r="AG1459" t="str">
        <f t="shared" si="927"/>
        <v>ComercioExterior</v>
      </c>
      <c r="AH1459" t="str">
        <f t="shared" si="928"/>
        <v>PrecioFOB</v>
      </c>
      <c r="AI1459" t="str">
        <f t="shared" si="929"/>
        <v>Monto II</v>
      </c>
      <c r="AJ1459" t="str">
        <f t="shared" si="930"/>
        <v>Porcentaje II</v>
      </c>
      <c r="AK1459" t="str">
        <f t="shared" si="931"/>
        <v>Foto</v>
      </c>
      <c r="AL1459" t="str">
        <f>"{\rtf1\ansi\ansicpg1252\deff0\deflang11274{\fonttbl{\f0\fnil\fcharset0 MS Sans Serif}} \viewkind4\uc1\pard\f0\fs16 CONECTOR 2 VIAS EN T BOMBA AGUA-COMBUSTIBLE VW - FORD - GM\par } "</f>
        <v xml:space="preserve">{\rtf1\ansi\ansicpg1252\deff0\deflang11274{\fonttbl{\f0\fnil\fcharset0 MS Sans Serif}} \viewkind4\uc1\pard\f0\fs16 CONECTOR 2 VIAS EN T BOMBA AGUA-COMBUSTIBLE VW - FORD - GM\par } </v>
      </c>
      <c r="AM1459" t="str">
        <f t="shared" si="947"/>
        <v>-</v>
      </c>
    </row>
    <row r="1460" spans="1:39" x14ac:dyDescent="0.25">
      <c r="A1460" t="str">
        <f>"10383"</f>
        <v>10383</v>
      </c>
      <c r="B1460" t="str">
        <f>"CONECTOR 2 VIAS FAROS AUXILIARES RENAULT GRIS"</f>
        <v>CONECTOR 2 VIAS FAROS AUXILIARES RENAULT GRIS</v>
      </c>
      <c r="C1460" t="str">
        <f>"$ 4216,40"</f>
        <v>$ 4216,40</v>
      </c>
      <c r="D1460" t="str">
        <f>"$ 4216,40"</f>
        <v>$ 4216,40</v>
      </c>
      <c r="E1460" t="str">
        <f>"$ 4216,40"</f>
        <v>$ 4216,40</v>
      </c>
      <c r="F1460" t="str">
        <f>"$ 4216,40"</f>
        <v>$ 4216,40</v>
      </c>
      <c r="G1460" t="str">
        <f>"$ 4216,40"</f>
        <v>$ 4216,40</v>
      </c>
      <c r="H1460" t="str">
        <f t="shared" si="914"/>
        <v>$ 0,00</v>
      </c>
      <c r="I1460" t="str">
        <f t="shared" si="937"/>
        <v>FICHA CONECTOR</v>
      </c>
      <c r="J1460" t="str">
        <f t="shared" si="915"/>
        <v>1</v>
      </c>
      <c r="K1460" t="str">
        <f t="shared" ref="K1460:K1523" si="948">"0"</f>
        <v>0</v>
      </c>
      <c r="L1460" t="str">
        <f>"0,000"</f>
        <v>0,000</v>
      </c>
      <c r="M1460" t="str">
        <f t="shared" si="916"/>
        <v xml:space="preserve"> </v>
      </c>
      <c r="N1460" t="str">
        <f t="shared" si="938"/>
        <v>AUTRONIC</v>
      </c>
      <c r="O1460" t="str">
        <f t="shared" si="939"/>
        <v>CABLES</v>
      </c>
      <c r="P1460" t="str">
        <f t="shared" si="945"/>
        <v>0</v>
      </c>
      <c r="Q1460" t="str">
        <f t="shared" si="945"/>
        <v>0</v>
      </c>
      <c r="R1460" t="str">
        <f t="shared" si="946"/>
        <v>0,00</v>
      </c>
      <c r="S1460" t="str">
        <f t="shared" si="946"/>
        <v>0,00</v>
      </c>
      <c r="T1460" t="str">
        <f t="shared" si="943"/>
        <v xml:space="preserve"> </v>
      </c>
      <c r="U1460" t="str">
        <f t="shared" si="933"/>
        <v xml:space="preserve"> </v>
      </c>
      <c r="V1460" t="str">
        <f>"0,000"</f>
        <v>0,000</v>
      </c>
      <c r="W1460" t="str">
        <f t="shared" si="917"/>
        <v>Lista 4</v>
      </c>
      <c r="X1460" t="str">
        <f t="shared" si="918"/>
        <v>Lista 5</v>
      </c>
      <c r="Y1460" t="str">
        <f t="shared" si="919"/>
        <v>Oferta Gral.</v>
      </c>
      <c r="Z1460" t="str">
        <f t="shared" si="920"/>
        <v>Rubro</v>
      </c>
      <c r="AA1460" t="str">
        <f t="shared" si="921"/>
        <v>Cantidad por Bulto</v>
      </c>
      <c r="AB1460" t="str">
        <f t="shared" si="922"/>
        <v>INNER</v>
      </c>
      <c r="AC1460" t="str">
        <f t="shared" si="923"/>
        <v>Stock en Bultos</v>
      </c>
      <c r="AD1460" t="str">
        <f t="shared" si="924"/>
        <v>SubDepósito</v>
      </c>
      <c r="AE1460" t="str">
        <f t="shared" si="925"/>
        <v>Marca</v>
      </c>
      <c r="AF1460" t="str">
        <f t="shared" si="926"/>
        <v>Super Rubro</v>
      </c>
      <c r="AG1460" t="str">
        <f t="shared" si="927"/>
        <v>ComercioExterior</v>
      </c>
      <c r="AH1460" t="str">
        <f t="shared" si="928"/>
        <v>PrecioFOB</v>
      </c>
      <c r="AI1460" t="str">
        <f t="shared" si="929"/>
        <v>Monto II</v>
      </c>
      <c r="AJ1460" t="str">
        <f t="shared" si="930"/>
        <v>Porcentaje II</v>
      </c>
      <c r="AK1460" t="str">
        <f t="shared" si="931"/>
        <v>Foto</v>
      </c>
      <c r="AL1460" t="str">
        <f>"{\rtf1\ansi\ansicpg1252\deff0\deflang11274{\fonttbl{\f0\fnil\fcharset0 MS Sans Serif}} \viewkind4\uc1\pard\f0\fs16 CONECTOR 2 VIAS FAROS AUXILIARES RENAULT GRIS\par } "</f>
        <v xml:space="preserve">{\rtf1\ansi\ansicpg1252\deff0\deflang11274{\fonttbl{\f0\fnil\fcharset0 MS Sans Serif}} \viewkind4\uc1\pard\f0\fs16 CONECTOR 2 VIAS FAROS AUXILIARES RENAULT GRIS\par } </v>
      </c>
      <c r="AM1460" t="str">
        <f t="shared" si="947"/>
        <v>-</v>
      </c>
    </row>
    <row r="1461" spans="1:39" x14ac:dyDescent="0.25">
      <c r="A1461" t="str">
        <f>"10400"</f>
        <v>10400</v>
      </c>
      <c r="B1461" t="str">
        <f>"CONECTOR 2 VIAS FAROS AUXILIARES RENAULT SCENIC M. NUEVO"</f>
        <v>CONECTOR 2 VIAS FAROS AUXILIARES RENAULT SCENIC M. NUEVO</v>
      </c>
      <c r="C1461" t="str">
        <f>"$ 2926,28"</f>
        <v>$ 2926,28</v>
      </c>
      <c r="D1461" t="str">
        <f>"$ 2926,28"</f>
        <v>$ 2926,28</v>
      </c>
      <c r="E1461" t="str">
        <f>"$ 2926,28"</f>
        <v>$ 2926,28</v>
      </c>
      <c r="F1461" t="str">
        <f>"$ 2926,28"</f>
        <v>$ 2926,28</v>
      </c>
      <c r="G1461" t="str">
        <f>"$ 2926,28"</f>
        <v>$ 2926,28</v>
      </c>
      <c r="H1461" t="str">
        <f t="shared" si="914"/>
        <v>$ 0,00</v>
      </c>
      <c r="I1461" t="str">
        <f t="shared" si="937"/>
        <v>FICHA CONECTOR</v>
      </c>
      <c r="J1461" t="str">
        <f t="shared" si="915"/>
        <v>1</v>
      </c>
      <c r="K1461" t="str">
        <f t="shared" si="948"/>
        <v>0</v>
      </c>
      <c r="L1461" t="str">
        <f>"4,000"</f>
        <v>4,000</v>
      </c>
      <c r="M1461" t="str">
        <f t="shared" si="916"/>
        <v xml:space="preserve"> </v>
      </c>
      <c r="N1461" t="str">
        <f t="shared" si="938"/>
        <v>AUTRONIC</v>
      </c>
      <c r="O1461" t="str">
        <f t="shared" si="939"/>
        <v>CABLES</v>
      </c>
      <c r="P1461" t="str">
        <f t="shared" si="945"/>
        <v>0</v>
      </c>
      <c r="Q1461" t="str">
        <f t="shared" si="945"/>
        <v>0</v>
      </c>
      <c r="R1461" t="str">
        <f t="shared" si="946"/>
        <v>0,00</v>
      </c>
      <c r="S1461" t="str">
        <f t="shared" si="946"/>
        <v>0,00</v>
      </c>
      <c r="T1461" t="str">
        <f t="shared" si="943"/>
        <v xml:space="preserve"> </v>
      </c>
      <c r="U1461" t="str">
        <f t="shared" si="933"/>
        <v xml:space="preserve"> </v>
      </c>
      <c r="V1461" t="str">
        <f>"4,000"</f>
        <v>4,000</v>
      </c>
      <c r="W1461" t="str">
        <f t="shared" si="917"/>
        <v>Lista 4</v>
      </c>
      <c r="X1461" t="str">
        <f t="shared" si="918"/>
        <v>Lista 5</v>
      </c>
      <c r="Y1461" t="str">
        <f t="shared" si="919"/>
        <v>Oferta Gral.</v>
      </c>
      <c r="Z1461" t="str">
        <f t="shared" si="920"/>
        <v>Rubro</v>
      </c>
      <c r="AA1461" t="str">
        <f t="shared" si="921"/>
        <v>Cantidad por Bulto</v>
      </c>
      <c r="AB1461" t="str">
        <f t="shared" si="922"/>
        <v>INNER</v>
      </c>
      <c r="AC1461" t="str">
        <f t="shared" si="923"/>
        <v>Stock en Bultos</v>
      </c>
      <c r="AD1461" t="str">
        <f t="shared" si="924"/>
        <v>SubDepósito</v>
      </c>
      <c r="AE1461" t="str">
        <f t="shared" si="925"/>
        <v>Marca</v>
      </c>
      <c r="AF1461" t="str">
        <f t="shared" si="926"/>
        <v>Super Rubro</v>
      </c>
      <c r="AG1461" t="str">
        <f t="shared" si="927"/>
        <v>ComercioExterior</v>
      </c>
      <c r="AH1461" t="str">
        <f t="shared" si="928"/>
        <v>PrecioFOB</v>
      </c>
      <c r="AI1461" t="str">
        <f t="shared" si="929"/>
        <v>Monto II</v>
      </c>
      <c r="AJ1461" t="str">
        <f t="shared" si="930"/>
        <v>Porcentaje II</v>
      </c>
      <c r="AK1461" t="str">
        <f t="shared" si="931"/>
        <v>Foto</v>
      </c>
      <c r="AL1461" t="str">
        <f>"{\rtf1\ansi\ansicpg1252\deff0\deflang11274{\fonttbl{\f0\fnil\fcharset0 MS Sans Serif}} \viewkind4\uc1\pard\f0\fs16 CONECTOR 2 VIAS FAROS AUXILIARES RENAULT SCENIC M. NUEVO\par } "</f>
        <v xml:space="preserve">{\rtf1\ansi\ansicpg1252\deff0\deflang11274{\fonttbl{\f0\fnil\fcharset0 MS Sans Serif}} \viewkind4\uc1\pard\f0\fs16 CONECTOR 2 VIAS FAROS AUXILIARES RENAULT SCENIC M. NUEVO\par } </v>
      </c>
      <c r="AM1461" t="str">
        <f t="shared" si="947"/>
        <v>-</v>
      </c>
    </row>
    <row r="1462" spans="1:39" x14ac:dyDescent="0.25">
      <c r="A1462" t="str">
        <f>"10402"</f>
        <v>10402</v>
      </c>
      <c r="B1462" t="str">
        <f>"CONECTOR 2 VIAS FAROS AUXILIARES VW"</f>
        <v>CONECTOR 2 VIAS FAROS AUXILIARES VW</v>
      </c>
      <c r="C1462" t="str">
        <f>"$ 3848,26"</f>
        <v>$ 3848,26</v>
      </c>
      <c r="D1462" t="str">
        <f>"$ 3848,26"</f>
        <v>$ 3848,26</v>
      </c>
      <c r="E1462" t="str">
        <f>"$ 3848,26"</f>
        <v>$ 3848,26</v>
      </c>
      <c r="F1462" t="str">
        <f>"$ 3848,26"</f>
        <v>$ 3848,26</v>
      </c>
      <c r="G1462" t="str">
        <f>"$ 3848,26"</f>
        <v>$ 3848,26</v>
      </c>
      <c r="H1462" t="str">
        <f t="shared" si="914"/>
        <v>$ 0,00</v>
      </c>
      <c r="I1462" t="str">
        <f t="shared" si="937"/>
        <v>FICHA CONECTOR</v>
      </c>
      <c r="J1462" t="str">
        <f t="shared" si="915"/>
        <v>1</v>
      </c>
      <c r="K1462" t="str">
        <f t="shared" si="948"/>
        <v>0</v>
      </c>
      <c r="L1462" t="str">
        <f>"0,000"</f>
        <v>0,000</v>
      </c>
      <c r="M1462" t="str">
        <f t="shared" si="916"/>
        <v xml:space="preserve"> </v>
      </c>
      <c r="N1462" t="str">
        <f t="shared" si="938"/>
        <v>AUTRONIC</v>
      </c>
      <c r="O1462" t="str">
        <f t="shared" si="939"/>
        <v>CABLES</v>
      </c>
      <c r="P1462" t="str">
        <f t="shared" si="945"/>
        <v>0</v>
      </c>
      <c r="Q1462" t="str">
        <f t="shared" si="945"/>
        <v>0</v>
      </c>
      <c r="R1462" t="str">
        <f t="shared" si="946"/>
        <v>0,00</v>
      </c>
      <c r="S1462" t="str">
        <f t="shared" si="946"/>
        <v>0,00</v>
      </c>
      <c r="T1462" t="str">
        <f t="shared" si="943"/>
        <v xml:space="preserve"> </v>
      </c>
      <c r="U1462" t="str">
        <f t="shared" si="933"/>
        <v xml:space="preserve"> </v>
      </c>
      <c r="V1462" t="str">
        <f>"0,000"</f>
        <v>0,000</v>
      </c>
      <c r="W1462" t="str">
        <f t="shared" si="917"/>
        <v>Lista 4</v>
      </c>
      <c r="X1462" t="str">
        <f t="shared" si="918"/>
        <v>Lista 5</v>
      </c>
      <c r="Y1462" t="str">
        <f t="shared" si="919"/>
        <v>Oferta Gral.</v>
      </c>
      <c r="Z1462" t="str">
        <f t="shared" si="920"/>
        <v>Rubro</v>
      </c>
      <c r="AA1462" t="str">
        <f t="shared" si="921"/>
        <v>Cantidad por Bulto</v>
      </c>
      <c r="AB1462" t="str">
        <f t="shared" si="922"/>
        <v>INNER</v>
      </c>
      <c r="AC1462" t="str">
        <f t="shared" si="923"/>
        <v>Stock en Bultos</v>
      </c>
      <c r="AD1462" t="str">
        <f t="shared" si="924"/>
        <v>SubDepósito</v>
      </c>
      <c r="AE1462" t="str">
        <f t="shared" si="925"/>
        <v>Marca</v>
      </c>
      <c r="AF1462" t="str">
        <f t="shared" si="926"/>
        <v>Super Rubro</v>
      </c>
      <c r="AG1462" t="str">
        <f t="shared" si="927"/>
        <v>ComercioExterior</v>
      </c>
      <c r="AH1462" t="str">
        <f t="shared" si="928"/>
        <v>PrecioFOB</v>
      </c>
      <c r="AI1462" t="str">
        <f t="shared" si="929"/>
        <v>Monto II</v>
      </c>
      <c r="AJ1462" t="str">
        <f t="shared" si="930"/>
        <v>Porcentaje II</v>
      </c>
      <c r="AK1462" t="str">
        <f t="shared" si="931"/>
        <v>Foto</v>
      </c>
      <c r="AL1462" t="str">
        <f>"{\rtf1\ansi\ansicpg1252\deff0\deflang11274{\fonttbl{\f0\fnil\fcharset0 MS Sans Serif}} \viewkind4\uc1\pard\f0\fs16 CONECTOR 2 VIAS FAROS AUXILIARES VW\par } "</f>
        <v xml:space="preserve">{\rtf1\ansi\ansicpg1252\deff0\deflang11274{\fonttbl{\f0\fnil\fcharset0 MS Sans Serif}} \viewkind4\uc1\pard\f0\fs16 CONECTOR 2 VIAS FAROS AUXILIARES VW\par } </v>
      </c>
      <c r="AM1462" t="str">
        <f t="shared" si="947"/>
        <v>-</v>
      </c>
    </row>
    <row r="1463" spans="1:39" x14ac:dyDescent="0.25">
      <c r="A1463" t="str">
        <f>"10331"</f>
        <v>10331</v>
      </c>
      <c r="B1463" t="str">
        <f>"CONECTOR 2 VIAS HEMBRA FIAT"</f>
        <v>CONECTOR 2 VIAS HEMBRA FIAT</v>
      </c>
      <c r="C1463" t="str">
        <f>"$ 11183,99"</f>
        <v>$ 11183,99</v>
      </c>
      <c r="D1463" t="str">
        <f>"$ 11183,99"</f>
        <v>$ 11183,99</v>
      </c>
      <c r="E1463" t="str">
        <f>"$ 11183,99"</f>
        <v>$ 11183,99</v>
      </c>
      <c r="F1463" t="str">
        <f>"$ 11183,99"</f>
        <v>$ 11183,99</v>
      </c>
      <c r="G1463" t="str">
        <f>"$ 11183,99"</f>
        <v>$ 11183,99</v>
      </c>
      <c r="H1463" t="str">
        <f t="shared" si="914"/>
        <v>$ 0,00</v>
      </c>
      <c r="I1463" t="str">
        <f t="shared" si="937"/>
        <v>FICHA CONECTOR</v>
      </c>
      <c r="J1463" t="str">
        <f t="shared" si="915"/>
        <v>1</v>
      </c>
      <c r="K1463" t="str">
        <f t="shared" si="948"/>
        <v>0</v>
      </c>
      <c r="L1463" t="str">
        <f>"10,000"</f>
        <v>10,000</v>
      </c>
      <c r="M1463" t="str">
        <f t="shared" si="916"/>
        <v xml:space="preserve"> </v>
      </c>
      <c r="N1463" t="str">
        <f t="shared" si="938"/>
        <v>AUTRONIC</v>
      </c>
      <c r="O1463" t="str">
        <f t="shared" si="939"/>
        <v>CABLES</v>
      </c>
      <c r="P1463" t="str">
        <f t="shared" ref="P1463:Q1482" si="949">"0"</f>
        <v>0</v>
      </c>
      <c r="Q1463" t="str">
        <f t="shared" si="949"/>
        <v>0</v>
      </c>
      <c r="R1463" t="str">
        <f t="shared" ref="R1463:S1482" si="950">"0,00"</f>
        <v>0,00</v>
      </c>
      <c r="S1463" t="str">
        <f t="shared" si="950"/>
        <v>0,00</v>
      </c>
      <c r="T1463" t="str">
        <f t="shared" si="943"/>
        <v xml:space="preserve"> </v>
      </c>
      <c r="U1463" t="str">
        <f t="shared" si="933"/>
        <v xml:space="preserve"> </v>
      </c>
      <c r="V1463" t="str">
        <f>"10,000"</f>
        <v>10,000</v>
      </c>
      <c r="W1463" t="str">
        <f t="shared" si="917"/>
        <v>Lista 4</v>
      </c>
      <c r="X1463" t="str">
        <f t="shared" si="918"/>
        <v>Lista 5</v>
      </c>
      <c r="Y1463" t="str">
        <f t="shared" si="919"/>
        <v>Oferta Gral.</v>
      </c>
      <c r="Z1463" t="str">
        <f t="shared" si="920"/>
        <v>Rubro</v>
      </c>
      <c r="AA1463" t="str">
        <f t="shared" si="921"/>
        <v>Cantidad por Bulto</v>
      </c>
      <c r="AB1463" t="str">
        <f t="shared" si="922"/>
        <v>INNER</v>
      </c>
      <c r="AC1463" t="str">
        <f t="shared" si="923"/>
        <v>Stock en Bultos</v>
      </c>
      <c r="AD1463" t="str">
        <f t="shared" si="924"/>
        <v>SubDepósito</v>
      </c>
      <c r="AE1463" t="str">
        <f t="shared" si="925"/>
        <v>Marca</v>
      </c>
      <c r="AF1463" t="str">
        <f t="shared" si="926"/>
        <v>Super Rubro</v>
      </c>
      <c r="AG1463" t="str">
        <f t="shared" si="927"/>
        <v>ComercioExterior</v>
      </c>
      <c r="AH1463" t="str">
        <f t="shared" si="928"/>
        <v>PrecioFOB</v>
      </c>
      <c r="AI1463" t="str">
        <f t="shared" si="929"/>
        <v>Monto II</v>
      </c>
      <c r="AJ1463" t="str">
        <f t="shared" si="930"/>
        <v>Porcentaje II</v>
      </c>
      <c r="AK1463" t="str">
        <f t="shared" si="931"/>
        <v>Foto</v>
      </c>
      <c r="AL1463" t="str">
        <f>"{\rtf1\ansi\ansicpg1252\deff0\deflang11274{\fonttbl{\f0\fnil\fcharset0 MS Sans Serif}} \viewkind4\uc1\pard\f0\fs16 CONECTOR 2 VIAS HEMBRA FIAT\par } "</f>
        <v xml:space="preserve">{\rtf1\ansi\ansicpg1252\deff0\deflang11274{\fonttbl{\f0\fnil\fcharset0 MS Sans Serif}} \viewkind4\uc1\pard\f0\fs16 CONECTOR 2 VIAS HEMBRA FIAT\par } </v>
      </c>
      <c r="AM1463" t="str">
        <f t="shared" si="947"/>
        <v>-</v>
      </c>
    </row>
    <row r="1464" spans="1:39" x14ac:dyDescent="0.25">
      <c r="A1464" t="str">
        <f>"10406"</f>
        <v>10406</v>
      </c>
      <c r="B1464" t="str">
        <f>"CONECTOR 2 VIAS INT. STOP FIAT (CONTRAFICHA 10-151)"</f>
        <v>CONECTOR 2 VIAS INT. STOP FIAT (CONTRAFICHA 10-151)</v>
      </c>
      <c r="C1464" t="str">
        <f>"$ 3434,03"</f>
        <v>$ 3434,03</v>
      </c>
      <c r="D1464" t="str">
        <f>"$ 3434,03"</f>
        <v>$ 3434,03</v>
      </c>
      <c r="E1464" t="str">
        <f>"$ 3434,03"</f>
        <v>$ 3434,03</v>
      </c>
      <c r="F1464" t="str">
        <f>"$ 3434,03"</f>
        <v>$ 3434,03</v>
      </c>
      <c r="G1464" t="str">
        <f>"$ 3434,03"</f>
        <v>$ 3434,03</v>
      </c>
      <c r="H1464" t="str">
        <f t="shared" si="914"/>
        <v>$ 0,00</v>
      </c>
      <c r="I1464" t="str">
        <f t="shared" si="937"/>
        <v>FICHA CONECTOR</v>
      </c>
      <c r="J1464" t="str">
        <f t="shared" si="915"/>
        <v>1</v>
      </c>
      <c r="K1464" t="str">
        <f t="shared" si="948"/>
        <v>0</v>
      </c>
      <c r="L1464" t="str">
        <f>"4,000"</f>
        <v>4,000</v>
      </c>
      <c r="M1464" t="str">
        <f t="shared" si="916"/>
        <v xml:space="preserve"> </v>
      </c>
      <c r="N1464" t="str">
        <f t="shared" si="938"/>
        <v>AUTRONIC</v>
      </c>
      <c r="O1464" t="str">
        <f t="shared" si="939"/>
        <v>CABLES</v>
      </c>
      <c r="P1464" t="str">
        <f t="shared" si="949"/>
        <v>0</v>
      </c>
      <c r="Q1464" t="str">
        <f t="shared" si="949"/>
        <v>0</v>
      </c>
      <c r="R1464" t="str">
        <f t="shared" si="950"/>
        <v>0,00</v>
      </c>
      <c r="S1464" t="str">
        <f t="shared" si="950"/>
        <v>0,00</v>
      </c>
      <c r="T1464" t="str">
        <f t="shared" si="943"/>
        <v xml:space="preserve"> </v>
      </c>
      <c r="U1464" t="str">
        <f t="shared" si="933"/>
        <v xml:space="preserve"> </v>
      </c>
      <c r="V1464" t="str">
        <f>"4,000"</f>
        <v>4,000</v>
      </c>
      <c r="W1464" t="str">
        <f t="shared" si="917"/>
        <v>Lista 4</v>
      </c>
      <c r="X1464" t="str">
        <f t="shared" si="918"/>
        <v>Lista 5</v>
      </c>
      <c r="Y1464" t="str">
        <f t="shared" si="919"/>
        <v>Oferta Gral.</v>
      </c>
      <c r="Z1464" t="str">
        <f t="shared" si="920"/>
        <v>Rubro</v>
      </c>
      <c r="AA1464" t="str">
        <f t="shared" si="921"/>
        <v>Cantidad por Bulto</v>
      </c>
      <c r="AB1464" t="str">
        <f t="shared" si="922"/>
        <v>INNER</v>
      </c>
      <c r="AC1464" t="str">
        <f t="shared" si="923"/>
        <v>Stock en Bultos</v>
      </c>
      <c r="AD1464" t="str">
        <f t="shared" si="924"/>
        <v>SubDepósito</v>
      </c>
      <c r="AE1464" t="str">
        <f t="shared" si="925"/>
        <v>Marca</v>
      </c>
      <c r="AF1464" t="str">
        <f t="shared" si="926"/>
        <v>Super Rubro</v>
      </c>
      <c r="AG1464" t="str">
        <f t="shared" si="927"/>
        <v>ComercioExterior</v>
      </c>
      <c r="AH1464" t="str">
        <f t="shared" si="928"/>
        <v>PrecioFOB</v>
      </c>
      <c r="AI1464" t="str">
        <f t="shared" si="929"/>
        <v>Monto II</v>
      </c>
      <c r="AJ1464" t="str">
        <f t="shared" si="930"/>
        <v>Porcentaje II</v>
      </c>
      <c r="AK1464" t="str">
        <f t="shared" si="931"/>
        <v>Foto</v>
      </c>
      <c r="AL1464" t="str">
        <f>"{\rtf1\ansi\ansicpg1252\deff0\deflang11274{\fonttbl{\f0\fnil\fcharset0 MS Sans Serif}} \viewkind4\uc1\pard\f0\fs16 CONECTOR 2 VIAS INT. STOP FIAT (CONTRAFICHA 10-151)\par } "</f>
        <v xml:space="preserve">{\rtf1\ansi\ansicpg1252\deff0\deflang11274{\fonttbl{\f0\fnil\fcharset0 MS Sans Serif}} \viewkind4\uc1\pard\f0\fs16 CONECTOR 2 VIAS INT. STOP FIAT (CONTRAFICHA 10-151)\par } </v>
      </c>
      <c r="AM1464" t="str">
        <f t="shared" si="947"/>
        <v>-</v>
      </c>
    </row>
    <row r="1465" spans="1:39" x14ac:dyDescent="0.25">
      <c r="A1465" t="str">
        <f>"10292"</f>
        <v>10292</v>
      </c>
      <c r="B1465" t="str">
        <f>"CONECTOR 2 VIAS INTERRUPTOR STOP FORD - PEUGEOT 504"</f>
        <v>CONECTOR 2 VIAS INTERRUPTOR STOP FORD - PEUGEOT 504</v>
      </c>
      <c r="C1465" t="str">
        <f>"$ 3353,86"</f>
        <v>$ 3353,86</v>
      </c>
      <c r="D1465" t="str">
        <f>"$ 3353,86"</f>
        <v>$ 3353,86</v>
      </c>
      <c r="E1465" t="str">
        <f>"$ 3353,86"</f>
        <v>$ 3353,86</v>
      </c>
      <c r="F1465" t="str">
        <f>"$ 3353,86"</f>
        <v>$ 3353,86</v>
      </c>
      <c r="G1465" t="str">
        <f>"$ 3353,86"</f>
        <v>$ 3353,86</v>
      </c>
      <c r="H1465" t="str">
        <f t="shared" si="914"/>
        <v>$ 0,00</v>
      </c>
      <c r="I1465" t="str">
        <f t="shared" si="937"/>
        <v>FICHA CONECTOR</v>
      </c>
      <c r="J1465" t="str">
        <f t="shared" si="915"/>
        <v>1</v>
      </c>
      <c r="K1465" t="str">
        <f t="shared" si="948"/>
        <v>0</v>
      </c>
      <c r="L1465" t="str">
        <f>"6,000"</f>
        <v>6,000</v>
      </c>
      <c r="M1465" t="str">
        <f t="shared" si="916"/>
        <v xml:space="preserve"> </v>
      </c>
      <c r="N1465" t="str">
        <f t="shared" si="938"/>
        <v>AUTRONIC</v>
      </c>
      <c r="O1465" t="str">
        <f t="shared" si="939"/>
        <v>CABLES</v>
      </c>
      <c r="P1465" t="str">
        <f t="shared" si="949"/>
        <v>0</v>
      </c>
      <c r="Q1465" t="str">
        <f t="shared" si="949"/>
        <v>0</v>
      </c>
      <c r="R1465" t="str">
        <f t="shared" si="950"/>
        <v>0,00</v>
      </c>
      <c r="S1465" t="str">
        <f t="shared" si="950"/>
        <v>0,00</v>
      </c>
      <c r="T1465" t="str">
        <f t="shared" ref="T1465:T1496" si="951">" "</f>
        <v xml:space="preserve"> </v>
      </c>
      <c r="U1465" t="str">
        <f t="shared" si="933"/>
        <v xml:space="preserve"> </v>
      </c>
      <c r="V1465" t="str">
        <f>"6,000"</f>
        <v>6,000</v>
      </c>
      <c r="W1465" t="str">
        <f t="shared" si="917"/>
        <v>Lista 4</v>
      </c>
      <c r="X1465" t="str">
        <f t="shared" si="918"/>
        <v>Lista 5</v>
      </c>
      <c r="Y1465" t="str">
        <f t="shared" si="919"/>
        <v>Oferta Gral.</v>
      </c>
      <c r="Z1465" t="str">
        <f t="shared" si="920"/>
        <v>Rubro</v>
      </c>
      <c r="AA1465" t="str">
        <f t="shared" si="921"/>
        <v>Cantidad por Bulto</v>
      </c>
      <c r="AB1465" t="str">
        <f t="shared" si="922"/>
        <v>INNER</v>
      </c>
      <c r="AC1465" t="str">
        <f t="shared" si="923"/>
        <v>Stock en Bultos</v>
      </c>
      <c r="AD1465" t="str">
        <f t="shared" si="924"/>
        <v>SubDepósito</v>
      </c>
      <c r="AE1465" t="str">
        <f t="shared" si="925"/>
        <v>Marca</v>
      </c>
      <c r="AF1465" t="str">
        <f t="shared" si="926"/>
        <v>Super Rubro</v>
      </c>
      <c r="AG1465" t="str">
        <f t="shared" si="927"/>
        <v>ComercioExterior</v>
      </c>
      <c r="AH1465" t="str">
        <f t="shared" si="928"/>
        <v>PrecioFOB</v>
      </c>
      <c r="AI1465" t="str">
        <f t="shared" si="929"/>
        <v>Monto II</v>
      </c>
      <c r="AJ1465" t="str">
        <f t="shared" si="930"/>
        <v>Porcentaje II</v>
      </c>
      <c r="AK1465" t="str">
        <f t="shared" si="931"/>
        <v>Foto</v>
      </c>
      <c r="AL1465" t="str">
        <f>"{\rtf1\ansi\ansicpg1252\deff0\deflang11274{\fonttbl{\f0\fnil\fcharset0 MS Sans Serif}} \viewkind4\uc1\pard\f0\fs16 CONECTOR 2 VIAS INTERRUPTOR STOP FORD - PEUGEOT 504\par } "</f>
        <v xml:space="preserve">{\rtf1\ansi\ansicpg1252\deff0\deflang11274{\fonttbl{\f0\fnil\fcharset0 MS Sans Serif}} \viewkind4\uc1\pard\f0\fs16 CONECTOR 2 VIAS INTERRUPTOR STOP FORD - PEUGEOT 504\par } </v>
      </c>
      <c r="AM1465" t="str">
        <f t="shared" si="947"/>
        <v>-</v>
      </c>
    </row>
    <row r="1466" spans="1:39" x14ac:dyDescent="0.25">
      <c r="A1466" t="str">
        <f>"10408"</f>
        <v>10408</v>
      </c>
      <c r="B1466" t="str">
        <f>"CONECTOR 2 VIAS INYECTOR DIESEL PEUGEOT"</f>
        <v>CONECTOR 2 VIAS INYECTOR DIESEL PEUGEOT</v>
      </c>
      <c r="C1466" t="str">
        <f>"$ 3006,45"</f>
        <v>$ 3006,45</v>
      </c>
      <c r="D1466" t="str">
        <f>"$ 3006,45"</f>
        <v>$ 3006,45</v>
      </c>
      <c r="E1466" t="str">
        <f>"$ 3006,45"</f>
        <v>$ 3006,45</v>
      </c>
      <c r="F1466" t="str">
        <f>"$ 3006,45"</f>
        <v>$ 3006,45</v>
      </c>
      <c r="G1466" t="str">
        <f>"$ 3006,45"</f>
        <v>$ 3006,45</v>
      </c>
      <c r="H1466" t="str">
        <f t="shared" si="914"/>
        <v>$ 0,00</v>
      </c>
      <c r="I1466" t="str">
        <f t="shared" si="937"/>
        <v>FICHA CONECTOR</v>
      </c>
      <c r="J1466" t="str">
        <f t="shared" si="915"/>
        <v>1</v>
      </c>
      <c r="K1466" t="str">
        <f t="shared" si="948"/>
        <v>0</v>
      </c>
      <c r="L1466" t="str">
        <f>"0,000"</f>
        <v>0,000</v>
      </c>
      <c r="M1466" t="str">
        <f t="shared" si="916"/>
        <v xml:space="preserve"> </v>
      </c>
      <c r="N1466" t="str">
        <f t="shared" si="938"/>
        <v>AUTRONIC</v>
      </c>
      <c r="O1466" t="str">
        <f t="shared" si="939"/>
        <v>CABLES</v>
      </c>
      <c r="P1466" t="str">
        <f t="shared" si="949"/>
        <v>0</v>
      </c>
      <c r="Q1466" t="str">
        <f t="shared" si="949"/>
        <v>0</v>
      </c>
      <c r="R1466" t="str">
        <f t="shared" si="950"/>
        <v>0,00</v>
      </c>
      <c r="S1466" t="str">
        <f t="shared" si="950"/>
        <v>0,00</v>
      </c>
      <c r="T1466" t="str">
        <f t="shared" si="951"/>
        <v xml:space="preserve"> </v>
      </c>
      <c r="U1466" t="str">
        <f t="shared" si="933"/>
        <v xml:space="preserve"> </v>
      </c>
      <c r="V1466" t="str">
        <f>"0,000"</f>
        <v>0,000</v>
      </c>
      <c r="W1466" t="str">
        <f t="shared" si="917"/>
        <v>Lista 4</v>
      </c>
      <c r="X1466" t="str">
        <f t="shared" si="918"/>
        <v>Lista 5</v>
      </c>
      <c r="Y1466" t="str">
        <f t="shared" si="919"/>
        <v>Oferta Gral.</v>
      </c>
      <c r="Z1466" t="str">
        <f t="shared" si="920"/>
        <v>Rubro</v>
      </c>
      <c r="AA1466" t="str">
        <f t="shared" si="921"/>
        <v>Cantidad por Bulto</v>
      </c>
      <c r="AB1466" t="str">
        <f t="shared" si="922"/>
        <v>INNER</v>
      </c>
      <c r="AC1466" t="str">
        <f t="shared" si="923"/>
        <v>Stock en Bultos</v>
      </c>
      <c r="AD1466" t="str">
        <f t="shared" si="924"/>
        <v>SubDepósito</v>
      </c>
      <c r="AE1466" t="str">
        <f t="shared" si="925"/>
        <v>Marca</v>
      </c>
      <c r="AF1466" t="str">
        <f t="shared" si="926"/>
        <v>Super Rubro</v>
      </c>
      <c r="AG1466" t="str">
        <f t="shared" si="927"/>
        <v>ComercioExterior</v>
      </c>
      <c r="AH1466" t="str">
        <f t="shared" si="928"/>
        <v>PrecioFOB</v>
      </c>
      <c r="AI1466" t="str">
        <f t="shared" si="929"/>
        <v>Monto II</v>
      </c>
      <c r="AJ1466" t="str">
        <f t="shared" si="930"/>
        <v>Porcentaje II</v>
      </c>
      <c r="AK1466" t="str">
        <f t="shared" si="931"/>
        <v>Foto</v>
      </c>
      <c r="AL1466" t="str">
        <f>"{\rtf1\ansi\ansicpg1252\deff0\deflang11274{\fonttbl{\f0\fnil\fcharset0 MS Sans Serif}} \viewkind4\uc1\pard\f0\fs16 CONECTOR 2 VIAS INYECTOR DIESEL PEUGEOT\par } "</f>
        <v xml:space="preserve">{\rtf1\ansi\ansicpg1252\deff0\deflang11274{\fonttbl{\f0\fnil\fcharset0 MS Sans Serif}} \viewkind4\uc1\pard\f0\fs16 CONECTOR 2 VIAS INYECTOR DIESEL PEUGEOT\par } </v>
      </c>
      <c r="AM1466" t="str">
        <f t="shared" si="947"/>
        <v>-</v>
      </c>
    </row>
    <row r="1467" spans="1:39" x14ac:dyDescent="0.25">
      <c r="A1467" t="str">
        <f>"10367"</f>
        <v>10367</v>
      </c>
      <c r="B1467" t="str">
        <f>"CONECTOR 2 VIAS INYECTORES CHEVROLET CORSA"</f>
        <v>CONECTOR 2 VIAS INYECTORES CHEVROLET CORSA</v>
      </c>
      <c r="C1467" t="str">
        <f>"$ 4756,87"</f>
        <v>$ 4756,87</v>
      </c>
      <c r="D1467" t="str">
        <f>"$ 4756,87"</f>
        <v>$ 4756,87</v>
      </c>
      <c r="E1467" t="str">
        <f>"$ 4756,87"</f>
        <v>$ 4756,87</v>
      </c>
      <c r="F1467" t="str">
        <f>"$ 4756,87"</f>
        <v>$ 4756,87</v>
      </c>
      <c r="G1467" t="str">
        <f>"$ 4756,87"</f>
        <v>$ 4756,87</v>
      </c>
      <c r="H1467" t="str">
        <f t="shared" si="914"/>
        <v>$ 0,00</v>
      </c>
      <c r="I1467" t="str">
        <f t="shared" si="937"/>
        <v>FICHA CONECTOR</v>
      </c>
      <c r="J1467" t="str">
        <f t="shared" si="915"/>
        <v>1</v>
      </c>
      <c r="K1467" t="str">
        <f t="shared" si="948"/>
        <v>0</v>
      </c>
      <c r="L1467" t="str">
        <f>"0,000"</f>
        <v>0,000</v>
      </c>
      <c r="M1467" t="str">
        <f t="shared" si="916"/>
        <v xml:space="preserve"> </v>
      </c>
      <c r="N1467" t="str">
        <f t="shared" si="938"/>
        <v>AUTRONIC</v>
      </c>
      <c r="O1467" t="str">
        <f t="shared" si="939"/>
        <v>CABLES</v>
      </c>
      <c r="P1467" t="str">
        <f t="shared" si="949"/>
        <v>0</v>
      </c>
      <c r="Q1467" t="str">
        <f t="shared" si="949"/>
        <v>0</v>
      </c>
      <c r="R1467" t="str">
        <f t="shared" si="950"/>
        <v>0,00</v>
      </c>
      <c r="S1467" t="str">
        <f t="shared" si="950"/>
        <v>0,00</v>
      </c>
      <c r="T1467" t="str">
        <f t="shared" si="951"/>
        <v xml:space="preserve"> </v>
      </c>
      <c r="U1467" t="str">
        <f t="shared" si="933"/>
        <v xml:space="preserve"> </v>
      </c>
      <c r="V1467" t="str">
        <f>"0,000"</f>
        <v>0,000</v>
      </c>
      <c r="W1467" t="str">
        <f t="shared" si="917"/>
        <v>Lista 4</v>
      </c>
      <c r="X1467" t="str">
        <f t="shared" si="918"/>
        <v>Lista 5</v>
      </c>
      <c r="Y1467" t="str">
        <f t="shared" si="919"/>
        <v>Oferta Gral.</v>
      </c>
      <c r="Z1467" t="str">
        <f t="shared" si="920"/>
        <v>Rubro</v>
      </c>
      <c r="AA1467" t="str">
        <f t="shared" si="921"/>
        <v>Cantidad por Bulto</v>
      </c>
      <c r="AB1467" t="str">
        <f t="shared" si="922"/>
        <v>INNER</v>
      </c>
      <c r="AC1467" t="str">
        <f t="shared" si="923"/>
        <v>Stock en Bultos</v>
      </c>
      <c r="AD1467" t="str">
        <f t="shared" si="924"/>
        <v>SubDepósito</v>
      </c>
      <c r="AE1467" t="str">
        <f t="shared" si="925"/>
        <v>Marca</v>
      </c>
      <c r="AF1467" t="str">
        <f t="shared" si="926"/>
        <v>Super Rubro</v>
      </c>
      <c r="AG1467" t="str">
        <f t="shared" si="927"/>
        <v>ComercioExterior</v>
      </c>
      <c r="AH1467" t="str">
        <f t="shared" si="928"/>
        <v>PrecioFOB</v>
      </c>
      <c r="AI1467" t="str">
        <f t="shared" si="929"/>
        <v>Monto II</v>
      </c>
      <c r="AJ1467" t="str">
        <f t="shared" si="930"/>
        <v>Porcentaje II</v>
      </c>
      <c r="AK1467" t="str">
        <f t="shared" si="931"/>
        <v>Foto</v>
      </c>
      <c r="AL1467" t="str">
        <f>"{\rtf1\ansi\ansicpg1252\deff0\deflang11274{\fonttbl{\f0\fnil\fcharset0 MS Sans Serif}} \viewkind4\uc1\pard\f0\fs16 CONECTOR 2 VIAS INYECTORES CHEVROLET CORSA\par } "</f>
        <v xml:space="preserve">{\rtf1\ansi\ansicpg1252\deff0\deflang11274{\fonttbl{\f0\fnil\fcharset0 MS Sans Serif}} \viewkind4\uc1\pard\f0\fs16 CONECTOR 2 VIAS INYECTORES CHEVROLET CORSA\par } </v>
      </c>
      <c r="AM1467" t="str">
        <f t="shared" si="947"/>
        <v>-</v>
      </c>
    </row>
    <row r="1468" spans="1:39" x14ac:dyDescent="0.25">
      <c r="A1468" t="str">
        <f>"10362"</f>
        <v>10362</v>
      </c>
      <c r="B1468" t="str">
        <f>"CONECTOR 2 VIAS INYECTORES DIESEL RENAULT CLIO- MEGANE"</f>
        <v>CONECTOR 2 VIAS INYECTORES DIESEL RENAULT CLIO- MEGANE</v>
      </c>
      <c r="C1468" t="str">
        <f>"$ 5097,60"</f>
        <v>$ 5097,60</v>
      </c>
      <c r="D1468" t="str">
        <f>"$ 5097,60"</f>
        <v>$ 5097,60</v>
      </c>
      <c r="E1468" t="str">
        <f>"$ 5097,60"</f>
        <v>$ 5097,60</v>
      </c>
      <c r="F1468" t="str">
        <f>"$ 5097,60"</f>
        <v>$ 5097,60</v>
      </c>
      <c r="G1468" t="str">
        <f>"$ 5097,60"</f>
        <v>$ 5097,60</v>
      </c>
      <c r="H1468" t="str">
        <f t="shared" si="914"/>
        <v>$ 0,00</v>
      </c>
      <c r="I1468" t="str">
        <f t="shared" si="937"/>
        <v>FICHA CONECTOR</v>
      </c>
      <c r="J1468" t="str">
        <f t="shared" si="915"/>
        <v>1</v>
      </c>
      <c r="K1468" t="str">
        <f t="shared" si="948"/>
        <v>0</v>
      </c>
      <c r="L1468" t="str">
        <f>"6,000"</f>
        <v>6,000</v>
      </c>
      <c r="M1468" t="str">
        <f t="shared" si="916"/>
        <v xml:space="preserve"> </v>
      </c>
      <c r="N1468" t="str">
        <f t="shared" si="938"/>
        <v>AUTRONIC</v>
      </c>
      <c r="O1468" t="str">
        <f t="shared" si="939"/>
        <v>CABLES</v>
      </c>
      <c r="P1468" t="str">
        <f t="shared" si="949"/>
        <v>0</v>
      </c>
      <c r="Q1468" t="str">
        <f t="shared" si="949"/>
        <v>0</v>
      </c>
      <c r="R1468" t="str">
        <f t="shared" si="950"/>
        <v>0,00</v>
      </c>
      <c r="S1468" t="str">
        <f t="shared" si="950"/>
        <v>0,00</v>
      </c>
      <c r="T1468" t="str">
        <f t="shared" si="951"/>
        <v xml:space="preserve"> </v>
      </c>
      <c r="U1468" t="str">
        <f t="shared" si="933"/>
        <v xml:space="preserve"> </v>
      </c>
      <c r="V1468" t="str">
        <f>"6,000"</f>
        <v>6,000</v>
      </c>
      <c r="W1468" t="str">
        <f t="shared" si="917"/>
        <v>Lista 4</v>
      </c>
      <c r="X1468" t="str">
        <f t="shared" si="918"/>
        <v>Lista 5</v>
      </c>
      <c r="Y1468" t="str">
        <f t="shared" si="919"/>
        <v>Oferta Gral.</v>
      </c>
      <c r="Z1468" t="str">
        <f t="shared" si="920"/>
        <v>Rubro</v>
      </c>
      <c r="AA1468" t="str">
        <f t="shared" si="921"/>
        <v>Cantidad por Bulto</v>
      </c>
      <c r="AB1468" t="str">
        <f t="shared" si="922"/>
        <v>INNER</v>
      </c>
      <c r="AC1468" t="str">
        <f t="shared" si="923"/>
        <v>Stock en Bultos</v>
      </c>
      <c r="AD1468" t="str">
        <f t="shared" si="924"/>
        <v>SubDepósito</v>
      </c>
      <c r="AE1468" t="str">
        <f t="shared" si="925"/>
        <v>Marca</v>
      </c>
      <c r="AF1468" t="str">
        <f t="shared" si="926"/>
        <v>Super Rubro</v>
      </c>
      <c r="AG1468" t="str">
        <f t="shared" si="927"/>
        <v>ComercioExterior</v>
      </c>
      <c r="AH1468" t="str">
        <f t="shared" si="928"/>
        <v>PrecioFOB</v>
      </c>
      <c r="AI1468" t="str">
        <f t="shared" si="929"/>
        <v>Monto II</v>
      </c>
      <c r="AJ1468" t="str">
        <f t="shared" si="930"/>
        <v>Porcentaje II</v>
      </c>
      <c r="AK1468" t="str">
        <f t="shared" si="931"/>
        <v>Foto</v>
      </c>
      <c r="AL1468" t="str">
        <f>"{\rtf1\ansi\ansicpg1252\deff0\deflang11274{\fonttbl{\f0\fnil\fcharset0 MS Sans Serif}} \viewkind4\uc1\pard\f0\fs16 CONECTOR 2 VIAS INYECTORES DIESEL RENAULT CLIO- MEGANE\par } "</f>
        <v xml:space="preserve">{\rtf1\ansi\ansicpg1252\deff0\deflang11274{\fonttbl{\f0\fnil\fcharset0 MS Sans Serif}} \viewkind4\uc1\pard\f0\fs16 CONECTOR 2 VIAS INYECTORES DIESEL RENAULT CLIO- MEGANE\par } </v>
      </c>
      <c r="AM1468" t="str">
        <f t="shared" si="947"/>
        <v>-</v>
      </c>
    </row>
    <row r="1469" spans="1:39" x14ac:dyDescent="0.25">
      <c r="A1469" t="str">
        <f>"10412"</f>
        <v>10412</v>
      </c>
      <c r="B1469" t="str">
        <f>"CONECTOR 2 VIAS INYECTORES INTELIGENTES PEUGEOT HDI SIEMENS"</f>
        <v>CONECTOR 2 VIAS INYECTORES INTELIGENTES PEUGEOT HDI SIEMENS</v>
      </c>
      <c r="C1469" t="str">
        <f>"$ 5465,06"</f>
        <v>$ 5465,06</v>
      </c>
      <c r="D1469" t="str">
        <f>"$ 5465,06"</f>
        <v>$ 5465,06</v>
      </c>
      <c r="E1469" t="str">
        <f>"$ 5465,06"</f>
        <v>$ 5465,06</v>
      </c>
      <c r="F1469" t="str">
        <f>"$ 5465,06"</f>
        <v>$ 5465,06</v>
      </c>
      <c r="G1469" t="str">
        <f>"$ 5465,06"</f>
        <v>$ 5465,06</v>
      </c>
      <c r="H1469" t="str">
        <f t="shared" si="914"/>
        <v>$ 0,00</v>
      </c>
      <c r="I1469" t="str">
        <f t="shared" si="937"/>
        <v>FICHA CONECTOR</v>
      </c>
      <c r="J1469" t="str">
        <f t="shared" si="915"/>
        <v>1</v>
      </c>
      <c r="K1469" t="str">
        <f t="shared" si="948"/>
        <v>0</v>
      </c>
      <c r="L1469" t="str">
        <f>"0,000"</f>
        <v>0,000</v>
      </c>
      <c r="M1469" t="str">
        <f t="shared" si="916"/>
        <v xml:space="preserve"> </v>
      </c>
      <c r="N1469" t="str">
        <f t="shared" si="938"/>
        <v>AUTRONIC</v>
      </c>
      <c r="O1469" t="str">
        <f t="shared" si="939"/>
        <v>CABLES</v>
      </c>
      <c r="P1469" t="str">
        <f t="shared" si="949"/>
        <v>0</v>
      </c>
      <c r="Q1469" t="str">
        <f t="shared" si="949"/>
        <v>0</v>
      </c>
      <c r="R1469" t="str">
        <f t="shared" si="950"/>
        <v>0,00</v>
      </c>
      <c r="S1469" t="str">
        <f t="shared" si="950"/>
        <v>0,00</v>
      </c>
      <c r="T1469" t="str">
        <f t="shared" si="951"/>
        <v xml:space="preserve"> </v>
      </c>
      <c r="U1469" t="str">
        <f t="shared" si="933"/>
        <v xml:space="preserve"> </v>
      </c>
      <c r="V1469" t="str">
        <f>"0,000"</f>
        <v>0,000</v>
      </c>
      <c r="W1469" t="str">
        <f t="shared" si="917"/>
        <v>Lista 4</v>
      </c>
      <c r="X1469" t="str">
        <f t="shared" si="918"/>
        <v>Lista 5</v>
      </c>
      <c r="Y1469" t="str">
        <f t="shared" si="919"/>
        <v>Oferta Gral.</v>
      </c>
      <c r="Z1469" t="str">
        <f t="shared" si="920"/>
        <v>Rubro</v>
      </c>
      <c r="AA1469" t="str">
        <f t="shared" si="921"/>
        <v>Cantidad por Bulto</v>
      </c>
      <c r="AB1469" t="str">
        <f t="shared" si="922"/>
        <v>INNER</v>
      </c>
      <c r="AC1469" t="str">
        <f t="shared" si="923"/>
        <v>Stock en Bultos</v>
      </c>
      <c r="AD1469" t="str">
        <f t="shared" si="924"/>
        <v>SubDepósito</v>
      </c>
      <c r="AE1469" t="str">
        <f t="shared" si="925"/>
        <v>Marca</v>
      </c>
      <c r="AF1469" t="str">
        <f t="shared" si="926"/>
        <v>Super Rubro</v>
      </c>
      <c r="AG1469" t="str">
        <f t="shared" si="927"/>
        <v>ComercioExterior</v>
      </c>
      <c r="AH1469" t="str">
        <f t="shared" si="928"/>
        <v>PrecioFOB</v>
      </c>
      <c r="AI1469" t="str">
        <f t="shared" si="929"/>
        <v>Monto II</v>
      </c>
      <c r="AJ1469" t="str">
        <f t="shared" si="930"/>
        <v>Porcentaje II</v>
      </c>
      <c r="AK1469" t="str">
        <f t="shared" si="931"/>
        <v>Foto</v>
      </c>
      <c r="AL1469" t="str">
        <f>"{\rtf1\ansi\ansicpg1252\deff0\deflang11274{\fonttbl{\f0\fnil\fcharset0 MS Sans Serif}} \viewkind4\uc1\pard\f0\fs16 CONECTOR 2 VIAS INYECTORES INTELIGENTES PEUGEOT HDI SIEMENS\par } "</f>
        <v xml:space="preserve">{\rtf1\ansi\ansicpg1252\deff0\deflang11274{\fonttbl{\f0\fnil\fcharset0 MS Sans Serif}} \viewkind4\uc1\pard\f0\fs16 CONECTOR 2 VIAS INYECTORES INTELIGENTES PEUGEOT HDI SIEMENS\par } </v>
      </c>
      <c r="AM1469" t="str">
        <f t="shared" si="947"/>
        <v>-</v>
      </c>
    </row>
    <row r="1470" spans="1:39" x14ac:dyDescent="0.25">
      <c r="A1470" t="str">
        <f>"10418"</f>
        <v>10418</v>
      </c>
      <c r="B1470" t="str">
        <f>"CONECTOR 2 VIAS INYECTORES NIPPON DENSO"</f>
        <v>CONECTOR 2 VIAS INYECTORES NIPPON DENSO</v>
      </c>
      <c r="C1470" t="str">
        <f>"$ 4275,84"</f>
        <v>$ 4275,84</v>
      </c>
      <c r="D1470" t="str">
        <f>"$ 4275,84"</f>
        <v>$ 4275,84</v>
      </c>
      <c r="E1470" t="str">
        <f>"$ 4275,84"</f>
        <v>$ 4275,84</v>
      </c>
      <c r="F1470" t="str">
        <f>"$ 4275,84"</f>
        <v>$ 4275,84</v>
      </c>
      <c r="G1470" t="str">
        <f>"$ 4275,84"</f>
        <v>$ 4275,84</v>
      </c>
      <c r="H1470" t="str">
        <f t="shared" si="914"/>
        <v>$ 0,00</v>
      </c>
      <c r="I1470" t="str">
        <f t="shared" si="937"/>
        <v>FICHA CONECTOR</v>
      </c>
      <c r="J1470" t="str">
        <f t="shared" si="915"/>
        <v>1</v>
      </c>
      <c r="K1470" t="str">
        <f t="shared" si="948"/>
        <v>0</v>
      </c>
      <c r="L1470" t="str">
        <f>"0,000"</f>
        <v>0,000</v>
      </c>
      <c r="M1470" t="str">
        <f t="shared" si="916"/>
        <v xml:space="preserve"> </v>
      </c>
      <c r="N1470" t="str">
        <f t="shared" si="938"/>
        <v>AUTRONIC</v>
      </c>
      <c r="O1470" t="str">
        <f t="shared" si="939"/>
        <v>CABLES</v>
      </c>
      <c r="P1470" t="str">
        <f t="shared" si="949"/>
        <v>0</v>
      </c>
      <c r="Q1470" t="str">
        <f t="shared" si="949"/>
        <v>0</v>
      </c>
      <c r="R1470" t="str">
        <f t="shared" si="950"/>
        <v>0,00</v>
      </c>
      <c r="S1470" t="str">
        <f t="shared" si="950"/>
        <v>0,00</v>
      </c>
      <c r="T1470" t="str">
        <f t="shared" si="951"/>
        <v xml:space="preserve"> </v>
      </c>
      <c r="U1470" t="str">
        <f t="shared" si="933"/>
        <v xml:space="preserve"> </v>
      </c>
      <c r="V1470" t="str">
        <f>"0,000"</f>
        <v>0,000</v>
      </c>
      <c r="W1470" t="str">
        <f t="shared" si="917"/>
        <v>Lista 4</v>
      </c>
      <c r="X1470" t="str">
        <f t="shared" si="918"/>
        <v>Lista 5</v>
      </c>
      <c r="Y1470" t="str">
        <f t="shared" si="919"/>
        <v>Oferta Gral.</v>
      </c>
      <c r="Z1470" t="str">
        <f t="shared" si="920"/>
        <v>Rubro</v>
      </c>
      <c r="AA1470" t="str">
        <f t="shared" si="921"/>
        <v>Cantidad por Bulto</v>
      </c>
      <c r="AB1470" t="str">
        <f t="shared" si="922"/>
        <v>INNER</v>
      </c>
      <c r="AC1470" t="str">
        <f t="shared" si="923"/>
        <v>Stock en Bultos</v>
      </c>
      <c r="AD1470" t="str">
        <f t="shared" si="924"/>
        <v>SubDepósito</v>
      </c>
      <c r="AE1470" t="str">
        <f t="shared" si="925"/>
        <v>Marca</v>
      </c>
      <c r="AF1470" t="str">
        <f t="shared" si="926"/>
        <v>Super Rubro</v>
      </c>
      <c r="AG1470" t="str">
        <f t="shared" si="927"/>
        <v>ComercioExterior</v>
      </c>
      <c r="AH1470" t="str">
        <f t="shared" si="928"/>
        <v>PrecioFOB</v>
      </c>
      <c r="AI1470" t="str">
        <f t="shared" si="929"/>
        <v>Monto II</v>
      </c>
      <c r="AJ1470" t="str">
        <f t="shared" si="930"/>
        <v>Porcentaje II</v>
      </c>
      <c r="AK1470" t="str">
        <f t="shared" si="931"/>
        <v>Foto</v>
      </c>
      <c r="AL1470" t="str">
        <f>"{\rtf1\ansi\ansicpg1252\deff0\deflang11274{\fonttbl{\f0\fnil\fcharset0 MS Sans Serif}} \viewkind4\uc1\pard\f0\fs16 CONECTOR 2 VIAS INYECTORES NIPPON DENSO\par } "</f>
        <v xml:space="preserve">{\rtf1\ansi\ansicpg1252\deff0\deflang11274{\fonttbl{\f0\fnil\fcharset0 MS Sans Serif}} \viewkind4\uc1\pard\f0\fs16 CONECTOR 2 VIAS INYECTORES NIPPON DENSO\par } </v>
      </c>
      <c r="AM1470" t="str">
        <f t="shared" si="947"/>
        <v>-</v>
      </c>
    </row>
    <row r="1471" spans="1:39" x14ac:dyDescent="0.25">
      <c r="A1471" t="str">
        <f>"10417"</f>
        <v>10417</v>
      </c>
      <c r="B1471" t="str">
        <f>"CONECTOR 2 VIAS INYECTORES TOYOTA"</f>
        <v>CONECTOR 2 VIAS INYECTORES TOYOTA</v>
      </c>
      <c r="C1471" t="str">
        <f>"$ 4382,74"</f>
        <v>$ 4382,74</v>
      </c>
      <c r="D1471" t="str">
        <f>"$ 4382,74"</f>
        <v>$ 4382,74</v>
      </c>
      <c r="E1471" t="str">
        <f>"$ 4382,74"</f>
        <v>$ 4382,74</v>
      </c>
      <c r="F1471" t="str">
        <f>"$ 4382,74"</f>
        <v>$ 4382,74</v>
      </c>
      <c r="G1471" t="str">
        <f>"$ 4382,74"</f>
        <v>$ 4382,74</v>
      </c>
      <c r="H1471" t="str">
        <f t="shared" si="914"/>
        <v>$ 0,00</v>
      </c>
      <c r="I1471" t="str">
        <f t="shared" si="937"/>
        <v>FICHA CONECTOR</v>
      </c>
      <c r="J1471" t="str">
        <f t="shared" si="915"/>
        <v>1</v>
      </c>
      <c r="K1471" t="str">
        <f t="shared" si="948"/>
        <v>0</v>
      </c>
      <c r="L1471" t="str">
        <f>"0,000"</f>
        <v>0,000</v>
      </c>
      <c r="M1471" t="str">
        <f t="shared" si="916"/>
        <v xml:space="preserve"> </v>
      </c>
      <c r="N1471" t="str">
        <f t="shared" si="938"/>
        <v>AUTRONIC</v>
      </c>
      <c r="O1471" t="str">
        <f t="shared" si="939"/>
        <v>CABLES</v>
      </c>
      <c r="P1471" t="str">
        <f t="shared" si="949"/>
        <v>0</v>
      </c>
      <c r="Q1471" t="str">
        <f t="shared" si="949"/>
        <v>0</v>
      </c>
      <c r="R1471" t="str">
        <f t="shared" si="950"/>
        <v>0,00</v>
      </c>
      <c r="S1471" t="str">
        <f t="shared" si="950"/>
        <v>0,00</v>
      </c>
      <c r="T1471" t="str">
        <f t="shared" si="951"/>
        <v xml:space="preserve"> </v>
      </c>
      <c r="U1471" t="str">
        <f t="shared" si="933"/>
        <v xml:space="preserve"> </v>
      </c>
      <c r="V1471" t="str">
        <f>"0,000"</f>
        <v>0,000</v>
      </c>
      <c r="W1471" t="str">
        <f t="shared" si="917"/>
        <v>Lista 4</v>
      </c>
      <c r="X1471" t="str">
        <f t="shared" si="918"/>
        <v>Lista 5</v>
      </c>
      <c r="Y1471" t="str">
        <f t="shared" si="919"/>
        <v>Oferta Gral.</v>
      </c>
      <c r="Z1471" t="str">
        <f t="shared" si="920"/>
        <v>Rubro</v>
      </c>
      <c r="AA1471" t="str">
        <f t="shared" si="921"/>
        <v>Cantidad por Bulto</v>
      </c>
      <c r="AB1471" t="str">
        <f t="shared" si="922"/>
        <v>INNER</v>
      </c>
      <c r="AC1471" t="str">
        <f t="shared" si="923"/>
        <v>Stock en Bultos</v>
      </c>
      <c r="AD1471" t="str">
        <f t="shared" si="924"/>
        <v>SubDepósito</v>
      </c>
      <c r="AE1471" t="str">
        <f t="shared" si="925"/>
        <v>Marca</v>
      </c>
      <c r="AF1471" t="str">
        <f t="shared" si="926"/>
        <v>Super Rubro</v>
      </c>
      <c r="AG1471" t="str">
        <f t="shared" si="927"/>
        <v>ComercioExterior</v>
      </c>
      <c r="AH1471" t="str">
        <f t="shared" si="928"/>
        <v>PrecioFOB</v>
      </c>
      <c r="AI1471" t="str">
        <f t="shared" si="929"/>
        <v>Monto II</v>
      </c>
      <c r="AJ1471" t="str">
        <f t="shared" si="930"/>
        <v>Porcentaje II</v>
      </c>
      <c r="AK1471" t="str">
        <f t="shared" si="931"/>
        <v>Foto</v>
      </c>
      <c r="AL1471" t="str">
        <f>"{\rtf1\ansi\ansicpg1252\deff0\deflang11274{\fonttbl{\f0\fnil\fcharset0 MS Sans Serif}} \viewkind4\uc1\pard\f0\fs16 CONECTOR 2 VIAS INYECTORES TOYOTA\par } "</f>
        <v xml:space="preserve">{\rtf1\ansi\ansicpg1252\deff0\deflang11274{\fonttbl{\f0\fnil\fcharset0 MS Sans Serif}} \viewkind4\uc1\pard\f0\fs16 CONECTOR 2 VIAS INYECTORES TOYOTA\par } </v>
      </c>
      <c r="AM1471" t="str">
        <f t="shared" si="947"/>
        <v>-</v>
      </c>
    </row>
    <row r="1472" spans="1:39" x14ac:dyDescent="0.25">
      <c r="A1472" t="str">
        <f>"10325"</f>
        <v>10325</v>
      </c>
      <c r="B1472" t="str">
        <f>"CONECTOR 2 VIAS LAMPARA FARO N° 9005"</f>
        <v>CONECTOR 2 VIAS LAMPARA FARO N° 9005</v>
      </c>
      <c r="C1472" t="str">
        <f t="shared" ref="C1472:G1473" si="952">"$ 2939,64"</f>
        <v>$ 2939,64</v>
      </c>
      <c r="D1472" t="str">
        <f t="shared" si="952"/>
        <v>$ 2939,64</v>
      </c>
      <c r="E1472" t="str">
        <f t="shared" si="952"/>
        <v>$ 2939,64</v>
      </c>
      <c r="F1472" t="str">
        <f t="shared" si="952"/>
        <v>$ 2939,64</v>
      </c>
      <c r="G1472" t="str">
        <f t="shared" si="952"/>
        <v>$ 2939,64</v>
      </c>
      <c r="H1472" t="str">
        <f t="shared" si="914"/>
        <v>$ 0,00</v>
      </c>
      <c r="I1472" t="str">
        <f t="shared" si="937"/>
        <v>FICHA CONECTOR</v>
      </c>
      <c r="J1472" t="str">
        <f t="shared" si="915"/>
        <v>1</v>
      </c>
      <c r="K1472" t="str">
        <f t="shared" si="948"/>
        <v>0</v>
      </c>
      <c r="L1472" t="str">
        <f>"13,000"</f>
        <v>13,000</v>
      </c>
      <c r="M1472" t="str">
        <f t="shared" si="916"/>
        <v xml:space="preserve"> </v>
      </c>
      <c r="N1472" t="str">
        <f t="shared" si="938"/>
        <v>AUTRONIC</v>
      </c>
      <c r="O1472" t="str">
        <f t="shared" si="939"/>
        <v>CABLES</v>
      </c>
      <c r="P1472" t="str">
        <f t="shared" si="949"/>
        <v>0</v>
      </c>
      <c r="Q1472" t="str">
        <f t="shared" si="949"/>
        <v>0</v>
      </c>
      <c r="R1472" t="str">
        <f t="shared" si="950"/>
        <v>0,00</v>
      </c>
      <c r="S1472" t="str">
        <f t="shared" si="950"/>
        <v>0,00</v>
      </c>
      <c r="T1472" t="str">
        <f t="shared" si="951"/>
        <v xml:space="preserve"> </v>
      </c>
      <c r="U1472" t="str">
        <f t="shared" si="933"/>
        <v xml:space="preserve"> </v>
      </c>
      <c r="V1472" t="str">
        <f>"13,000"</f>
        <v>13,000</v>
      </c>
      <c r="W1472" t="str">
        <f t="shared" si="917"/>
        <v>Lista 4</v>
      </c>
      <c r="X1472" t="str">
        <f t="shared" si="918"/>
        <v>Lista 5</v>
      </c>
      <c r="Y1472" t="str">
        <f t="shared" si="919"/>
        <v>Oferta Gral.</v>
      </c>
      <c r="Z1472" t="str">
        <f t="shared" si="920"/>
        <v>Rubro</v>
      </c>
      <c r="AA1472" t="str">
        <f t="shared" si="921"/>
        <v>Cantidad por Bulto</v>
      </c>
      <c r="AB1472" t="str">
        <f t="shared" si="922"/>
        <v>INNER</v>
      </c>
      <c r="AC1472" t="str">
        <f t="shared" si="923"/>
        <v>Stock en Bultos</v>
      </c>
      <c r="AD1472" t="str">
        <f t="shared" si="924"/>
        <v>SubDepósito</v>
      </c>
      <c r="AE1472" t="str">
        <f t="shared" si="925"/>
        <v>Marca</v>
      </c>
      <c r="AF1472" t="str">
        <f t="shared" si="926"/>
        <v>Super Rubro</v>
      </c>
      <c r="AG1472" t="str">
        <f t="shared" si="927"/>
        <v>ComercioExterior</v>
      </c>
      <c r="AH1472" t="str">
        <f t="shared" si="928"/>
        <v>PrecioFOB</v>
      </c>
      <c r="AI1472" t="str">
        <f t="shared" si="929"/>
        <v>Monto II</v>
      </c>
      <c r="AJ1472" t="str">
        <f t="shared" si="930"/>
        <v>Porcentaje II</v>
      </c>
      <c r="AK1472" t="str">
        <f t="shared" si="931"/>
        <v>Foto</v>
      </c>
      <c r="AL1472" t="str">
        <f>"{\rtf1\ansi\ansicpg1252\deff0\deflang11274{\fonttbl{\f0\fnil\fcharset0 MS Sans Serif}} \viewkind4\uc1\pard\f0\fs16 CONECTOR 2 VIAS LAMPARA FARO N\'b0 9005\par } "</f>
        <v xml:space="preserve">{\rtf1\ansi\ansicpg1252\deff0\deflang11274{\fonttbl{\f0\fnil\fcharset0 MS Sans Serif}} \viewkind4\uc1\pard\f0\fs16 CONECTOR 2 VIAS LAMPARA FARO N\'b0 9005\par } </v>
      </c>
      <c r="AM1472" t="str">
        <f t="shared" si="947"/>
        <v>-</v>
      </c>
    </row>
    <row r="1473" spans="1:39" x14ac:dyDescent="0.25">
      <c r="A1473" t="str">
        <f>"10346"</f>
        <v>10346</v>
      </c>
      <c r="B1473" t="str">
        <f>"CONECTOR 2 VIAS LAMPARA H 11"</f>
        <v>CONECTOR 2 VIAS LAMPARA H 11</v>
      </c>
      <c r="C1473" t="str">
        <f t="shared" si="952"/>
        <v>$ 2939,64</v>
      </c>
      <c r="D1473" t="str">
        <f t="shared" si="952"/>
        <v>$ 2939,64</v>
      </c>
      <c r="E1473" t="str">
        <f t="shared" si="952"/>
        <v>$ 2939,64</v>
      </c>
      <c r="F1473" t="str">
        <f t="shared" si="952"/>
        <v>$ 2939,64</v>
      </c>
      <c r="G1473" t="str">
        <f t="shared" si="952"/>
        <v>$ 2939,64</v>
      </c>
      <c r="H1473" t="str">
        <f t="shared" si="914"/>
        <v>$ 0,00</v>
      </c>
      <c r="I1473" t="str">
        <f t="shared" si="937"/>
        <v>FICHA CONECTOR</v>
      </c>
      <c r="J1473" t="str">
        <f t="shared" si="915"/>
        <v>1</v>
      </c>
      <c r="K1473" t="str">
        <f t="shared" si="948"/>
        <v>0</v>
      </c>
      <c r="L1473" t="str">
        <f>"7,000"</f>
        <v>7,000</v>
      </c>
      <c r="M1473" t="str">
        <f t="shared" si="916"/>
        <v xml:space="preserve"> </v>
      </c>
      <c r="N1473" t="str">
        <f t="shared" si="938"/>
        <v>AUTRONIC</v>
      </c>
      <c r="O1473" t="str">
        <f t="shared" si="939"/>
        <v>CABLES</v>
      </c>
      <c r="P1473" t="str">
        <f t="shared" si="949"/>
        <v>0</v>
      </c>
      <c r="Q1473" t="str">
        <f t="shared" si="949"/>
        <v>0</v>
      </c>
      <c r="R1473" t="str">
        <f t="shared" si="950"/>
        <v>0,00</v>
      </c>
      <c r="S1473" t="str">
        <f t="shared" si="950"/>
        <v>0,00</v>
      </c>
      <c r="T1473" t="str">
        <f t="shared" si="951"/>
        <v xml:space="preserve"> </v>
      </c>
      <c r="U1473" t="str">
        <f t="shared" si="933"/>
        <v xml:space="preserve"> </v>
      </c>
      <c r="V1473" t="str">
        <f>"7,000"</f>
        <v>7,000</v>
      </c>
      <c r="W1473" t="str">
        <f t="shared" si="917"/>
        <v>Lista 4</v>
      </c>
      <c r="X1473" t="str">
        <f t="shared" si="918"/>
        <v>Lista 5</v>
      </c>
      <c r="Y1473" t="str">
        <f t="shared" si="919"/>
        <v>Oferta Gral.</v>
      </c>
      <c r="Z1473" t="str">
        <f t="shared" si="920"/>
        <v>Rubro</v>
      </c>
      <c r="AA1473" t="str">
        <f t="shared" si="921"/>
        <v>Cantidad por Bulto</v>
      </c>
      <c r="AB1473" t="str">
        <f t="shared" si="922"/>
        <v>INNER</v>
      </c>
      <c r="AC1473" t="str">
        <f t="shared" si="923"/>
        <v>Stock en Bultos</v>
      </c>
      <c r="AD1473" t="str">
        <f t="shared" si="924"/>
        <v>SubDepósito</v>
      </c>
      <c r="AE1473" t="str">
        <f t="shared" si="925"/>
        <v>Marca</v>
      </c>
      <c r="AF1473" t="str">
        <f t="shared" si="926"/>
        <v>Super Rubro</v>
      </c>
      <c r="AG1473" t="str">
        <f t="shared" si="927"/>
        <v>ComercioExterior</v>
      </c>
      <c r="AH1473" t="str">
        <f t="shared" si="928"/>
        <v>PrecioFOB</v>
      </c>
      <c r="AI1473" t="str">
        <f t="shared" si="929"/>
        <v>Monto II</v>
      </c>
      <c r="AJ1473" t="str">
        <f t="shared" si="930"/>
        <v>Porcentaje II</v>
      </c>
      <c r="AK1473" t="str">
        <f t="shared" si="931"/>
        <v>Foto</v>
      </c>
      <c r="AL1473" t="str">
        <f>"{\rtf1\ansi\ansicpg1252\deff0\deflang11274{\fonttbl{\f0\fnil\fcharset0 MS Sans Serif}} \viewkind4\uc1\pard\f0\fs16 CONECTOR 2 VIAS LAMPARA H 11\par } "</f>
        <v xml:space="preserve">{\rtf1\ansi\ansicpg1252\deff0\deflang11274{\fonttbl{\f0\fnil\fcharset0 MS Sans Serif}} \viewkind4\uc1\pard\f0\fs16 CONECTOR 2 VIAS LAMPARA H 11\par } </v>
      </c>
      <c r="AM1473" t="str">
        <f t="shared" si="947"/>
        <v>-</v>
      </c>
    </row>
    <row r="1474" spans="1:39" x14ac:dyDescent="0.25">
      <c r="A1474" t="str">
        <f>"10348"</f>
        <v>10348</v>
      </c>
      <c r="B1474" t="str">
        <f>"CONECTOR 2 VIAS LAMPARA H 7"</f>
        <v>CONECTOR 2 VIAS LAMPARA H 7</v>
      </c>
      <c r="C1474" t="str">
        <f>"$ 921,98"</f>
        <v>$ 921,98</v>
      </c>
      <c r="D1474" t="str">
        <f>"$ 921,98"</f>
        <v>$ 921,98</v>
      </c>
      <c r="E1474" t="str">
        <f>"$ 921,98"</f>
        <v>$ 921,98</v>
      </c>
      <c r="F1474" t="str">
        <f>"$ 921,98"</f>
        <v>$ 921,98</v>
      </c>
      <c r="G1474" t="str">
        <f>"$ 921,98"</f>
        <v>$ 921,98</v>
      </c>
      <c r="H1474" t="str">
        <f t="shared" si="914"/>
        <v>$ 0,00</v>
      </c>
      <c r="I1474" t="str">
        <f t="shared" si="937"/>
        <v>FICHA CONECTOR</v>
      </c>
      <c r="J1474" t="str">
        <f t="shared" si="915"/>
        <v>1</v>
      </c>
      <c r="K1474" t="str">
        <f t="shared" si="948"/>
        <v>0</v>
      </c>
      <c r="L1474" t="str">
        <f>"1,000"</f>
        <v>1,000</v>
      </c>
      <c r="M1474" t="str">
        <f t="shared" si="916"/>
        <v xml:space="preserve"> </v>
      </c>
      <c r="N1474" t="str">
        <f t="shared" si="938"/>
        <v>AUTRONIC</v>
      </c>
      <c r="O1474" t="str">
        <f t="shared" si="939"/>
        <v>CABLES</v>
      </c>
      <c r="P1474" t="str">
        <f t="shared" si="949"/>
        <v>0</v>
      </c>
      <c r="Q1474" t="str">
        <f t="shared" si="949"/>
        <v>0</v>
      </c>
      <c r="R1474" t="str">
        <f t="shared" si="950"/>
        <v>0,00</v>
      </c>
      <c r="S1474" t="str">
        <f t="shared" si="950"/>
        <v>0,00</v>
      </c>
      <c r="T1474" t="str">
        <f t="shared" si="951"/>
        <v xml:space="preserve"> </v>
      </c>
      <c r="U1474" t="str">
        <f t="shared" si="933"/>
        <v xml:space="preserve"> </v>
      </c>
      <c r="V1474" t="str">
        <f>"1,000"</f>
        <v>1,000</v>
      </c>
      <c r="W1474" t="str">
        <f t="shared" si="917"/>
        <v>Lista 4</v>
      </c>
      <c r="X1474" t="str">
        <f t="shared" si="918"/>
        <v>Lista 5</v>
      </c>
      <c r="Y1474" t="str">
        <f t="shared" si="919"/>
        <v>Oferta Gral.</v>
      </c>
      <c r="Z1474" t="str">
        <f t="shared" si="920"/>
        <v>Rubro</v>
      </c>
      <c r="AA1474" t="str">
        <f t="shared" si="921"/>
        <v>Cantidad por Bulto</v>
      </c>
      <c r="AB1474" t="str">
        <f t="shared" si="922"/>
        <v>INNER</v>
      </c>
      <c r="AC1474" t="str">
        <f t="shared" si="923"/>
        <v>Stock en Bultos</v>
      </c>
      <c r="AD1474" t="str">
        <f t="shared" si="924"/>
        <v>SubDepósito</v>
      </c>
      <c r="AE1474" t="str">
        <f t="shared" si="925"/>
        <v>Marca</v>
      </c>
      <c r="AF1474" t="str">
        <f t="shared" si="926"/>
        <v>Super Rubro</v>
      </c>
      <c r="AG1474" t="str">
        <f t="shared" si="927"/>
        <v>ComercioExterior</v>
      </c>
      <c r="AH1474" t="str">
        <f t="shared" si="928"/>
        <v>PrecioFOB</v>
      </c>
      <c r="AI1474" t="str">
        <f t="shared" si="929"/>
        <v>Monto II</v>
      </c>
      <c r="AJ1474" t="str">
        <f t="shared" si="930"/>
        <v>Porcentaje II</v>
      </c>
      <c r="AK1474" t="str">
        <f t="shared" si="931"/>
        <v>Foto</v>
      </c>
      <c r="AL1474" t="str">
        <f>"{\rtf1\ansi\ansicpg1252\deff0\deflang11274{\fonttbl{\f0\fnil\fcharset0 MS Sans Serif}} \viewkind4\uc1\pard\f0\fs16 CONECTOR 2 VIAS LAMPARA H 7\par } "</f>
        <v xml:space="preserve">{\rtf1\ansi\ansicpg1252\deff0\deflang11274{\fonttbl{\f0\fnil\fcharset0 MS Sans Serif}} \viewkind4\uc1\pard\f0\fs16 CONECTOR 2 VIAS LAMPARA H 7\par } </v>
      </c>
      <c r="AM1474" t="str">
        <f t="shared" si="947"/>
        <v>-</v>
      </c>
    </row>
    <row r="1475" spans="1:39" x14ac:dyDescent="0.25">
      <c r="A1475" t="str">
        <f>"10195"</f>
        <v>10195</v>
      </c>
      <c r="B1475" t="str">
        <f>"CONECTOR 2 VIAS MACHO REGULADOR INDIEL RENAULT 19- 21- CLIO"</f>
        <v>CONECTOR 2 VIAS MACHO REGULADOR INDIEL RENAULT 19- 21- CLIO</v>
      </c>
      <c r="C1475" t="str">
        <f>"$ 2939,64"</f>
        <v>$ 2939,64</v>
      </c>
      <c r="D1475" t="str">
        <f>"$ 2939,64"</f>
        <v>$ 2939,64</v>
      </c>
      <c r="E1475" t="str">
        <f>"$ 2939,64"</f>
        <v>$ 2939,64</v>
      </c>
      <c r="F1475" t="str">
        <f>"$ 2939,64"</f>
        <v>$ 2939,64</v>
      </c>
      <c r="G1475" t="str">
        <f>"$ 2939,64"</f>
        <v>$ 2939,64</v>
      </c>
      <c r="H1475" t="str">
        <f t="shared" ref="H1475:H1538" si="953">"$ 0,00"</f>
        <v>$ 0,00</v>
      </c>
      <c r="I1475" t="str">
        <f t="shared" si="937"/>
        <v>FICHA CONECTOR</v>
      </c>
      <c r="J1475" t="str">
        <f t="shared" ref="J1475:J1538" si="954">"1"</f>
        <v>1</v>
      </c>
      <c r="K1475" t="str">
        <f t="shared" si="948"/>
        <v>0</v>
      </c>
      <c r="L1475" t="str">
        <f>"0,000"</f>
        <v>0,000</v>
      </c>
      <c r="M1475" t="str">
        <f t="shared" ref="M1475:M1538" si="955">" "</f>
        <v xml:space="preserve"> </v>
      </c>
      <c r="N1475" t="str">
        <f t="shared" si="938"/>
        <v>AUTRONIC</v>
      </c>
      <c r="O1475" t="str">
        <f t="shared" si="939"/>
        <v>CABLES</v>
      </c>
      <c r="P1475" t="str">
        <f t="shared" si="949"/>
        <v>0</v>
      </c>
      <c r="Q1475" t="str">
        <f t="shared" si="949"/>
        <v>0</v>
      </c>
      <c r="R1475" t="str">
        <f t="shared" si="950"/>
        <v>0,00</v>
      </c>
      <c r="S1475" t="str">
        <f t="shared" si="950"/>
        <v>0,00</v>
      </c>
      <c r="T1475" t="str">
        <f t="shared" si="951"/>
        <v xml:space="preserve"> </v>
      </c>
      <c r="U1475" t="str">
        <f t="shared" si="933"/>
        <v xml:space="preserve"> </v>
      </c>
      <c r="V1475" t="str">
        <f>"0,000"</f>
        <v>0,000</v>
      </c>
      <c r="W1475" t="str">
        <f t="shared" ref="W1475:W1538" si="956">"Lista 4"</f>
        <v>Lista 4</v>
      </c>
      <c r="X1475" t="str">
        <f t="shared" ref="X1475:X1538" si="957">"Lista 5"</f>
        <v>Lista 5</v>
      </c>
      <c r="Y1475" t="str">
        <f t="shared" ref="Y1475:Y1538" si="958">"Oferta Gral."</f>
        <v>Oferta Gral.</v>
      </c>
      <c r="Z1475" t="str">
        <f t="shared" ref="Z1475:Z1538" si="959">"Rubro"</f>
        <v>Rubro</v>
      </c>
      <c r="AA1475" t="str">
        <f t="shared" ref="AA1475:AA1538" si="960">"Cantidad por Bulto"</f>
        <v>Cantidad por Bulto</v>
      </c>
      <c r="AB1475" t="str">
        <f t="shared" ref="AB1475:AB1538" si="961">"INNER"</f>
        <v>INNER</v>
      </c>
      <c r="AC1475" t="str">
        <f t="shared" ref="AC1475:AC1538" si="962">"Stock en Bultos"</f>
        <v>Stock en Bultos</v>
      </c>
      <c r="AD1475" t="str">
        <f t="shared" ref="AD1475:AD1538" si="963">"SubDepósito"</f>
        <v>SubDepósito</v>
      </c>
      <c r="AE1475" t="str">
        <f t="shared" ref="AE1475:AE1538" si="964">"Marca"</f>
        <v>Marca</v>
      </c>
      <c r="AF1475" t="str">
        <f t="shared" ref="AF1475:AF1538" si="965">"Super Rubro"</f>
        <v>Super Rubro</v>
      </c>
      <c r="AG1475" t="str">
        <f t="shared" ref="AG1475:AG1538" si="966">"ComercioExterior"</f>
        <v>ComercioExterior</v>
      </c>
      <c r="AH1475" t="str">
        <f t="shared" ref="AH1475:AH1538" si="967">"PrecioFOB"</f>
        <v>PrecioFOB</v>
      </c>
      <c r="AI1475" t="str">
        <f t="shared" ref="AI1475:AI1538" si="968">"Monto II"</f>
        <v>Monto II</v>
      </c>
      <c r="AJ1475" t="str">
        <f t="shared" ref="AJ1475:AJ1538" si="969">"Porcentaje II"</f>
        <v>Porcentaje II</v>
      </c>
      <c r="AK1475" t="str">
        <f t="shared" ref="AK1475:AK1538" si="970">"Foto"</f>
        <v>Foto</v>
      </c>
      <c r="AL1475" t="str">
        <f>"{\rtf1\ansi\ansicpg1252\deff0\deflang11274{\fonttbl{\f0\fnil\fcharset0 MS Sans Serif}} \viewkind4\uc1\pard\f0\fs16 CONECTOR 2 VIAS MACHO REGULADOR INDIEL RENAULT 19- 21- CLIO\par } "</f>
        <v xml:space="preserve">{\rtf1\ansi\ansicpg1252\deff0\deflang11274{\fonttbl{\f0\fnil\fcharset0 MS Sans Serif}} \viewkind4\uc1\pard\f0\fs16 CONECTOR 2 VIAS MACHO REGULADOR INDIEL RENAULT 19- 21- CLIO\par } </v>
      </c>
      <c r="AM1475" t="str">
        <f t="shared" si="947"/>
        <v>-</v>
      </c>
    </row>
    <row r="1476" spans="1:39" x14ac:dyDescent="0.25">
      <c r="A1476" t="str">
        <f>"10282"</f>
        <v>10282</v>
      </c>
      <c r="B1476" t="str">
        <f>"CONECTOR 2 VIAS MOTOR ELECTROVENTILADOR PALIO SIENA 8MM HEMBRA"</f>
        <v>CONECTOR 2 VIAS MOTOR ELECTROVENTILADOR PALIO SIENA 8MM HEMBRA</v>
      </c>
      <c r="C1476" t="str">
        <f t="shared" ref="C1476:G1477" si="971">"$ 3166,79"</f>
        <v>$ 3166,79</v>
      </c>
      <c r="D1476" t="str">
        <f t="shared" si="971"/>
        <v>$ 3166,79</v>
      </c>
      <c r="E1476" t="str">
        <f t="shared" si="971"/>
        <v>$ 3166,79</v>
      </c>
      <c r="F1476" t="str">
        <f t="shared" si="971"/>
        <v>$ 3166,79</v>
      </c>
      <c r="G1476" t="str">
        <f t="shared" si="971"/>
        <v>$ 3166,79</v>
      </c>
      <c r="H1476" t="str">
        <f t="shared" si="953"/>
        <v>$ 0,00</v>
      </c>
      <c r="I1476" t="str">
        <f t="shared" si="937"/>
        <v>FICHA CONECTOR</v>
      </c>
      <c r="J1476" t="str">
        <f t="shared" si="954"/>
        <v>1</v>
      </c>
      <c r="K1476" t="str">
        <f t="shared" si="948"/>
        <v>0</v>
      </c>
      <c r="L1476" t="str">
        <f>"4,000"</f>
        <v>4,000</v>
      </c>
      <c r="M1476" t="str">
        <f t="shared" si="955"/>
        <v xml:space="preserve"> </v>
      </c>
      <c r="N1476" t="str">
        <f t="shared" si="938"/>
        <v>AUTRONIC</v>
      </c>
      <c r="O1476" t="str">
        <f t="shared" si="939"/>
        <v>CABLES</v>
      </c>
      <c r="P1476" t="str">
        <f t="shared" si="949"/>
        <v>0</v>
      </c>
      <c r="Q1476" t="str">
        <f t="shared" si="949"/>
        <v>0</v>
      </c>
      <c r="R1476" t="str">
        <f t="shared" si="950"/>
        <v>0,00</v>
      </c>
      <c r="S1476" t="str">
        <f t="shared" si="950"/>
        <v>0,00</v>
      </c>
      <c r="T1476" t="str">
        <f t="shared" si="951"/>
        <v xml:space="preserve"> </v>
      </c>
      <c r="U1476" t="str">
        <f t="shared" si="933"/>
        <v xml:space="preserve"> </v>
      </c>
      <c r="V1476" t="str">
        <f>"4,000"</f>
        <v>4,000</v>
      </c>
      <c r="W1476" t="str">
        <f t="shared" si="956"/>
        <v>Lista 4</v>
      </c>
      <c r="X1476" t="str">
        <f t="shared" si="957"/>
        <v>Lista 5</v>
      </c>
      <c r="Y1476" t="str">
        <f t="shared" si="958"/>
        <v>Oferta Gral.</v>
      </c>
      <c r="Z1476" t="str">
        <f t="shared" si="959"/>
        <v>Rubro</v>
      </c>
      <c r="AA1476" t="str">
        <f t="shared" si="960"/>
        <v>Cantidad por Bulto</v>
      </c>
      <c r="AB1476" t="str">
        <f t="shared" si="961"/>
        <v>INNER</v>
      </c>
      <c r="AC1476" t="str">
        <f t="shared" si="962"/>
        <v>Stock en Bultos</v>
      </c>
      <c r="AD1476" t="str">
        <f t="shared" si="963"/>
        <v>SubDepósito</v>
      </c>
      <c r="AE1476" t="str">
        <f t="shared" si="964"/>
        <v>Marca</v>
      </c>
      <c r="AF1476" t="str">
        <f t="shared" si="965"/>
        <v>Super Rubro</v>
      </c>
      <c r="AG1476" t="str">
        <f t="shared" si="966"/>
        <v>ComercioExterior</v>
      </c>
      <c r="AH1476" t="str">
        <f t="shared" si="967"/>
        <v>PrecioFOB</v>
      </c>
      <c r="AI1476" t="str">
        <f t="shared" si="968"/>
        <v>Monto II</v>
      </c>
      <c r="AJ1476" t="str">
        <f t="shared" si="969"/>
        <v>Porcentaje II</v>
      </c>
      <c r="AK1476" t="str">
        <f t="shared" si="970"/>
        <v>Foto</v>
      </c>
      <c r="AL1476" t="str">
        <f>"{\rtf1\ansi\ansicpg1252\deff0\deflang11274{\fonttbl{\f0\fnil\fcharset0 MS Sans Serif}} \viewkind4\uc1\pard\f0\fs16 CONECTOR 2 VIAS MOTOR ELECTROVENTILADOR PALIO SIENA 8MM HEMBRA\par } "</f>
        <v xml:space="preserve">{\rtf1\ansi\ansicpg1252\deff0\deflang11274{\fonttbl{\f0\fnil\fcharset0 MS Sans Serif}} \viewkind4\uc1\pard\f0\fs16 CONECTOR 2 VIAS MOTOR ELECTROVENTILADOR PALIO SIENA 8MM HEMBRA\par } </v>
      </c>
      <c r="AM1476" t="str">
        <f t="shared" si="947"/>
        <v>-</v>
      </c>
    </row>
    <row r="1477" spans="1:39" x14ac:dyDescent="0.25">
      <c r="A1477" t="str">
        <f>"10281"</f>
        <v>10281</v>
      </c>
      <c r="B1477" t="str">
        <f>"CONECTOR 2 VIAS MOTOR ELECTROVENTILADOR PALIO SIENA 8MM MACHO"</f>
        <v>CONECTOR 2 VIAS MOTOR ELECTROVENTILADOR PALIO SIENA 8MM MACHO</v>
      </c>
      <c r="C1477" t="str">
        <f t="shared" si="971"/>
        <v>$ 3166,79</v>
      </c>
      <c r="D1477" t="str">
        <f t="shared" si="971"/>
        <v>$ 3166,79</v>
      </c>
      <c r="E1477" t="str">
        <f t="shared" si="971"/>
        <v>$ 3166,79</v>
      </c>
      <c r="F1477" t="str">
        <f t="shared" si="971"/>
        <v>$ 3166,79</v>
      </c>
      <c r="G1477" t="str">
        <f t="shared" si="971"/>
        <v>$ 3166,79</v>
      </c>
      <c r="H1477" t="str">
        <f t="shared" si="953"/>
        <v>$ 0,00</v>
      </c>
      <c r="I1477" t="str">
        <f t="shared" si="937"/>
        <v>FICHA CONECTOR</v>
      </c>
      <c r="J1477" t="str">
        <f t="shared" si="954"/>
        <v>1</v>
      </c>
      <c r="K1477" t="str">
        <f t="shared" si="948"/>
        <v>0</v>
      </c>
      <c r="L1477" t="str">
        <f>"4,000"</f>
        <v>4,000</v>
      </c>
      <c r="M1477" t="str">
        <f t="shared" si="955"/>
        <v xml:space="preserve"> </v>
      </c>
      <c r="N1477" t="str">
        <f t="shared" si="938"/>
        <v>AUTRONIC</v>
      </c>
      <c r="O1477" t="str">
        <f t="shared" si="939"/>
        <v>CABLES</v>
      </c>
      <c r="P1477" t="str">
        <f t="shared" si="949"/>
        <v>0</v>
      </c>
      <c r="Q1477" t="str">
        <f t="shared" si="949"/>
        <v>0</v>
      </c>
      <c r="R1477" t="str">
        <f t="shared" si="950"/>
        <v>0,00</v>
      </c>
      <c r="S1477" t="str">
        <f t="shared" si="950"/>
        <v>0,00</v>
      </c>
      <c r="T1477" t="str">
        <f t="shared" si="951"/>
        <v xml:space="preserve"> </v>
      </c>
      <c r="U1477" t="str">
        <f t="shared" si="933"/>
        <v xml:space="preserve"> </v>
      </c>
      <c r="V1477" t="str">
        <f>"4,000"</f>
        <v>4,000</v>
      </c>
      <c r="W1477" t="str">
        <f t="shared" si="956"/>
        <v>Lista 4</v>
      </c>
      <c r="X1477" t="str">
        <f t="shared" si="957"/>
        <v>Lista 5</v>
      </c>
      <c r="Y1477" t="str">
        <f t="shared" si="958"/>
        <v>Oferta Gral.</v>
      </c>
      <c r="Z1477" t="str">
        <f t="shared" si="959"/>
        <v>Rubro</v>
      </c>
      <c r="AA1477" t="str">
        <f t="shared" si="960"/>
        <v>Cantidad por Bulto</v>
      </c>
      <c r="AB1477" t="str">
        <f t="shared" si="961"/>
        <v>INNER</v>
      </c>
      <c r="AC1477" t="str">
        <f t="shared" si="962"/>
        <v>Stock en Bultos</v>
      </c>
      <c r="AD1477" t="str">
        <f t="shared" si="963"/>
        <v>SubDepósito</v>
      </c>
      <c r="AE1477" t="str">
        <f t="shared" si="964"/>
        <v>Marca</v>
      </c>
      <c r="AF1477" t="str">
        <f t="shared" si="965"/>
        <v>Super Rubro</v>
      </c>
      <c r="AG1477" t="str">
        <f t="shared" si="966"/>
        <v>ComercioExterior</v>
      </c>
      <c r="AH1477" t="str">
        <f t="shared" si="967"/>
        <v>PrecioFOB</v>
      </c>
      <c r="AI1477" t="str">
        <f t="shared" si="968"/>
        <v>Monto II</v>
      </c>
      <c r="AJ1477" t="str">
        <f t="shared" si="969"/>
        <v>Porcentaje II</v>
      </c>
      <c r="AK1477" t="str">
        <f t="shared" si="970"/>
        <v>Foto</v>
      </c>
      <c r="AL1477" t="str">
        <f>"{\rtf1\ansi\ansicpg1252\deff0\deflang11274{\fonttbl{\f0\fnil\fcharset0 MS Sans Serif}} \viewkind4\uc1\pard\f0\fs16 CONECTOR 2 VIAS MOTOR ELECTROVENTILADOR PALIO SIENA 8MM MACHO\par } "</f>
        <v xml:space="preserve">{\rtf1\ansi\ansicpg1252\deff0\deflang11274{\fonttbl{\f0\fnil\fcharset0 MS Sans Serif}} \viewkind4\uc1\pard\f0\fs16 CONECTOR 2 VIAS MOTOR ELECTROVENTILADOR PALIO SIENA 8MM MACHO\par } </v>
      </c>
      <c r="AM1477" t="str">
        <f t="shared" si="947"/>
        <v>-</v>
      </c>
    </row>
    <row r="1478" spans="1:39" x14ac:dyDescent="0.25">
      <c r="A1478" t="str">
        <f>"10373"</f>
        <v>10373</v>
      </c>
      <c r="B1478" t="str">
        <f>"CONECTOR 2 VIAS MOTOR LEVANTA VIDRIOS RENAULT"</f>
        <v>CONECTOR 2 VIAS MOTOR LEVANTA VIDRIOS RENAULT</v>
      </c>
      <c r="C1478" t="str">
        <f>"$ 3514,21"</f>
        <v>$ 3514,21</v>
      </c>
      <c r="D1478" t="str">
        <f>"$ 3514,21"</f>
        <v>$ 3514,21</v>
      </c>
      <c r="E1478" t="str">
        <f>"$ 3514,21"</f>
        <v>$ 3514,21</v>
      </c>
      <c r="F1478" t="str">
        <f>"$ 3514,21"</f>
        <v>$ 3514,21</v>
      </c>
      <c r="G1478" t="str">
        <f>"$ 3514,21"</f>
        <v>$ 3514,21</v>
      </c>
      <c r="H1478" t="str">
        <f t="shared" si="953"/>
        <v>$ 0,00</v>
      </c>
      <c r="I1478" t="str">
        <f t="shared" si="937"/>
        <v>FICHA CONECTOR</v>
      </c>
      <c r="J1478" t="str">
        <f t="shared" si="954"/>
        <v>1</v>
      </c>
      <c r="K1478" t="str">
        <f t="shared" si="948"/>
        <v>0</v>
      </c>
      <c r="L1478" t="str">
        <f>"8,000"</f>
        <v>8,000</v>
      </c>
      <c r="M1478" t="str">
        <f t="shared" si="955"/>
        <v xml:space="preserve"> </v>
      </c>
      <c r="N1478" t="str">
        <f t="shared" si="938"/>
        <v>AUTRONIC</v>
      </c>
      <c r="O1478" t="str">
        <f t="shared" si="939"/>
        <v>CABLES</v>
      </c>
      <c r="P1478" t="str">
        <f t="shared" si="949"/>
        <v>0</v>
      </c>
      <c r="Q1478" t="str">
        <f t="shared" si="949"/>
        <v>0</v>
      </c>
      <c r="R1478" t="str">
        <f t="shared" si="950"/>
        <v>0,00</v>
      </c>
      <c r="S1478" t="str">
        <f t="shared" si="950"/>
        <v>0,00</v>
      </c>
      <c r="T1478" t="str">
        <f t="shared" si="951"/>
        <v xml:space="preserve"> </v>
      </c>
      <c r="U1478" t="str">
        <f t="shared" si="933"/>
        <v xml:space="preserve"> </v>
      </c>
      <c r="V1478" t="str">
        <f>"8,000"</f>
        <v>8,000</v>
      </c>
      <c r="W1478" t="str">
        <f t="shared" si="956"/>
        <v>Lista 4</v>
      </c>
      <c r="X1478" t="str">
        <f t="shared" si="957"/>
        <v>Lista 5</v>
      </c>
      <c r="Y1478" t="str">
        <f t="shared" si="958"/>
        <v>Oferta Gral.</v>
      </c>
      <c r="Z1478" t="str">
        <f t="shared" si="959"/>
        <v>Rubro</v>
      </c>
      <c r="AA1478" t="str">
        <f t="shared" si="960"/>
        <v>Cantidad por Bulto</v>
      </c>
      <c r="AB1478" t="str">
        <f t="shared" si="961"/>
        <v>INNER</v>
      </c>
      <c r="AC1478" t="str">
        <f t="shared" si="962"/>
        <v>Stock en Bultos</v>
      </c>
      <c r="AD1478" t="str">
        <f t="shared" si="963"/>
        <v>SubDepósito</v>
      </c>
      <c r="AE1478" t="str">
        <f t="shared" si="964"/>
        <v>Marca</v>
      </c>
      <c r="AF1478" t="str">
        <f t="shared" si="965"/>
        <v>Super Rubro</v>
      </c>
      <c r="AG1478" t="str">
        <f t="shared" si="966"/>
        <v>ComercioExterior</v>
      </c>
      <c r="AH1478" t="str">
        <f t="shared" si="967"/>
        <v>PrecioFOB</v>
      </c>
      <c r="AI1478" t="str">
        <f t="shared" si="968"/>
        <v>Monto II</v>
      </c>
      <c r="AJ1478" t="str">
        <f t="shared" si="969"/>
        <v>Porcentaje II</v>
      </c>
      <c r="AK1478" t="str">
        <f t="shared" si="970"/>
        <v>Foto</v>
      </c>
      <c r="AL1478" t="str">
        <f>"{\rtf1\ansi\ansicpg1252\deff0\deflang11274{\fonttbl{\f0\fnil\fcharset0 MS Sans Serif}} \viewkind4\uc1\pard\f0\fs16 CONECTOR 2 VIAS MOTOR LEVANTA VIDRIOS RENAULT\par } "</f>
        <v xml:space="preserve">{\rtf1\ansi\ansicpg1252\deff0\deflang11274{\fonttbl{\f0\fnil\fcharset0 MS Sans Serif}} \viewkind4\uc1\pard\f0\fs16 CONECTOR 2 VIAS MOTOR LEVANTA VIDRIOS RENAULT\par } </v>
      </c>
      <c r="AM1478" t="str">
        <f t="shared" si="947"/>
        <v>-</v>
      </c>
    </row>
    <row r="1479" spans="1:39" x14ac:dyDescent="0.25">
      <c r="A1479" t="str">
        <f>"10288"</f>
        <v>10288</v>
      </c>
      <c r="B1479" t="str">
        <f>"CONECTOR 2 VIAS PLUG ALTERNADOR GOL GENERACION III"</f>
        <v>CONECTOR 2 VIAS PLUG ALTERNADOR GOL GENERACION III</v>
      </c>
      <c r="C1479" t="str">
        <f>"$ 3647,83"</f>
        <v>$ 3647,83</v>
      </c>
      <c r="D1479" t="str">
        <f>"$ 3647,83"</f>
        <v>$ 3647,83</v>
      </c>
      <c r="E1479" t="str">
        <f>"$ 3647,83"</f>
        <v>$ 3647,83</v>
      </c>
      <c r="F1479" t="str">
        <f>"$ 3647,83"</f>
        <v>$ 3647,83</v>
      </c>
      <c r="G1479" t="str">
        <f>"$ 3647,83"</f>
        <v>$ 3647,83</v>
      </c>
      <c r="H1479" t="str">
        <f t="shared" si="953"/>
        <v>$ 0,00</v>
      </c>
      <c r="I1479" t="str">
        <f t="shared" si="937"/>
        <v>FICHA CONECTOR</v>
      </c>
      <c r="J1479" t="str">
        <f t="shared" si="954"/>
        <v>1</v>
      </c>
      <c r="K1479" t="str">
        <f t="shared" si="948"/>
        <v>0</v>
      </c>
      <c r="L1479" t="str">
        <f>"0,000"</f>
        <v>0,000</v>
      </c>
      <c r="M1479" t="str">
        <f t="shared" si="955"/>
        <v xml:space="preserve"> </v>
      </c>
      <c r="N1479" t="str">
        <f t="shared" si="938"/>
        <v>AUTRONIC</v>
      </c>
      <c r="O1479" t="str">
        <f t="shared" si="939"/>
        <v>CABLES</v>
      </c>
      <c r="P1479" t="str">
        <f t="shared" si="949"/>
        <v>0</v>
      </c>
      <c r="Q1479" t="str">
        <f t="shared" si="949"/>
        <v>0</v>
      </c>
      <c r="R1479" t="str">
        <f t="shared" si="950"/>
        <v>0,00</v>
      </c>
      <c r="S1479" t="str">
        <f t="shared" si="950"/>
        <v>0,00</v>
      </c>
      <c r="T1479" t="str">
        <f t="shared" si="951"/>
        <v xml:space="preserve"> </v>
      </c>
      <c r="U1479" t="str">
        <f t="shared" si="933"/>
        <v xml:space="preserve"> </v>
      </c>
      <c r="V1479" t="str">
        <f>"0,000"</f>
        <v>0,000</v>
      </c>
      <c r="W1479" t="str">
        <f t="shared" si="956"/>
        <v>Lista 4</v>
      </c>
      <c r="X1479" t="str">
        <f t="shared" si="957"/>
        <v>Lista 5</v>
      </c>
      <c r="Y1479" t="str">
        <f t="shared" si="958"/>
        <v>Oferta Gral.</v>
      </c>
      <c r="Z1479" t="str">
        <f t="shared" si="959"/>
        <v>Rubro</v>
      </c>
      <c r="AA1479" t="str">
        <f t="shared" si="960"/>
        <v>Cantidad por Bulto</v>
      </c>
      <c r="AB1479" t="str">
        <f t="shared" si="961"/>
        <v>INNER</v>
      </c>
      <c r="AC1479" t="str">
        <f t="shared" si="962"/>
        <v>Stock en Bultos</v>
      </c>
      <c r="AD1479" t="str">
        <f t="shared" si="963"/>
        <v>SubDepósito</v>
      </c>
      <c r="AE1479" t="str">
        <f t="shared" si="964"/>
        <v>Marca</v>
      </c>
      <c r="AF1479" t="str">
        <f t="shared" si="965"/>
        <v>Super Rubro</v>
      </c>
      <c r="AG1479" t="str">
        <f t="shared" si="966"/>
        <v>ComercioExterior</v>
      </c>
      <c r="AH1479" t="str">
        <f t="shared" si="967"/>
        <v>PrecioFOB</v>
      </c>
      <c r="AI1479" t="str">
        <f t="shared" si="968"/>
        <v>Monto II</v>
      </c>
      <c r="AJ1479" t="str">
        <f t="shared" si="969"/>
        <v>Porcentaje II</v>
      </c>
      <c r="AK1479" t="str">
        <f t="shared" si="970"/>
        <v>Foto</v>
      </c>
      <c r="AL1479" t="str">
        <f>"{\rtf1\ansi\ansicpg1252\deff0\deflang11274{\fonttbl{\f0\fnil\fcharset0 MS Sans Serif}} \viewkind4\uc1\pard\f0\fs16 CONECTOR 2 VIAS PLUG ALTERNADOR GOL GENERACION III\par } "</f>
        <v xml:space="preserve">{\rtf1\ansi\ansicpg1252\deff0\deflang11274{\fonttbl{\f0\fnil\fcharset0 MS Sans Serif}} \viewkind4\uc1\pard\f0\fs16 CONECTOR 2 VIAS PLUG ALTERNADOR GOL GENERACION III\par } </v>
      </c>
      <c r="AM1479" t="str">
        <f t="shared" si="947"/>
        <v>-</v>
      </c>
    </row>
    <row r="1480" spans="1:39" x14ac:dyDescent="0.25">
      <c r="A1480" t="str">
        <f>"10375"</f>
        <v>10375</v>
      </c>
      <c r="B1480" t="str">
        <f>"CONECTOR 2 VIAS PORTADIODO A/A FORD ESCORT 91-98"</f>
        <v>CONECTOR 2 VIAS PORTADIODO A/A FORD ESCORT 91-98</v>
      </c>
      <c r="C1480" t="str">
        <f>"$ 2316,05"</f>
        <v>$ 2316,05</v>
      </c>
      <c r="D1480" t="str">
        <f>"$ 2316,05"</f>
        <v>$ 2316,05</v>
      </c>
      <c r="E1480" t="str">
        <f>"$ 2316,05"</f>
        <v>$ 2316,05</v>
      </c>
      <c r="F1480" t="str">
        <f>"$ 2316,05"</f>
        <v>$ 2316,05</v>
      </c>
      <c r="G1480" t="str">
        <f>"$ 2316,05"</f>
        <v>$ 2316,05</v>
      </c>
      <c r="H1480" t="str">
        <f t="shared" si="953"/>
        <v>$ 0,00</v>
      </c>
      <c r="I1480" t="str">
        <f t="shared" si="937"/>
        <v>FICHA CONECTOR</v>
      </c>
      <c r="J1480" t="str">
        <f t="shared" si="954"/>
        <v>1</v>
      </c>
      <c r="K1480" t="str">
        <f t="shared" si="948"/>
        <v>0</v>
      </c>
      <c r="L1480" t="str">
        <f>"0,000"</f>
        <v>0,000</v>
      </c>
      <c r="M1480" t="str">
        <f t="shared" si="955"/>
        <v xml:space="preserve"> </v>
      </c>
      <c r="N1480" t="str">
        <f t="shared" si="938"/>
        <v>AUTRONIC</v>
      </c>
      <c r="O1480" t="str">
        <f t="shared" si="939"/>
        <v>CABLES</v>
      </c>
      <c r="P1480" t="str">
        <f t="shared" si="949"/>
        <v>0</v>
      </c>
      <c r="Q1480" t="str">
        <f t="shared" si="949"/>
        <v>0</v>
      </c>
      <c r="R1480" t="str">
        <f t="shared" si="950"/>
        <v>0,00</v>
      </c>
      <c r="S1480" t="str">
        <f t="shared" si="950"/>
        <v>0,00</v>
      </c>
      <c r="T1480" t="str">
        <f t="shared" si="951"/>
        <v xml:space="preserve"> </v>
      </c>
      <c r="U1480" t="str">
        <f t="shared" si="933"/>
        <v xml:space="preserve"> </v>
      </c>
      <c r="V1480" t="str">
        <f>"0,000"</f>
        <v>0,000</v>
      </c>
      <c r="W1480" t="str">
        <f t="shared" si="956"/>
        <v>Lista 4</v>
      </c>
      <c r="X1480" t="str">
        <f t="shared" si="957"/>
        <v>Lista 5</v>
      </c>
      <c r="Y1480" t="str">
        <f t="shared" si="958"/>
        <v>Oferta Gral.</v>
      </c>
      <c r="Z1480" t="str">
        <f t="shared" si="959"/>
        <v>Rubro</v>
      </c>
      <c r="AA1480" t="str">
        <f t="shared" si="960"/>
        <v>Cantidad por Bulto</v>
      </c>
      <c r="AB1480" t="str">
        <f t="shared" si="961"/>
        <v>INNER</v>
      </c>
      <c r="AC1480" t="str">
        <f t="shared" si="962"/>
        <v>Stock en Bultos</v>
      </c>
      <c r="AD1480" t="str">
        <f t="shared" si="963"/>
        <v>SubDepósito</v>
      </c>
      <c r="AE1480" t="str">
        <f t="shared" si="964"/>
        <v>Marca</v>
      </c>
      <c r="AF1480" t="str">
        <f t="shared" si="965"/>
        <v>Super Rubro</v>
      </c>
      <c r="AG1480" t="str">
        <f t="shared" si="966"/>
        <v>ComercioExterior</v>
      </c>
      <c r="AH1480" t="str">
        <f t="shared" si="967"/>
        <v>PrecioFOB</v>
      </c>
      <c r="AI1480" t="str">
        <f t="shared" si="968"/>
        <v>Monto II</v>
      </c>
      <c r="AJ1480" t="str">
        <f t="shared" si="969"/>
        <v>Porcentaje II</v>
      </c>
      <c r="AK1480" t="str">
        <f t="shared" si="970"/>
        <v>Foto</v>
      </c>
      <c r="AL1480" t="str">
        <f>"{\rtf1\ansi\ansicpg1252\deff0\deflang11274{\fonttbl{\f0\fnil\fcharset0 MS Sans Serif}} \viewkind4\uc1\pard\f0\fs16 CONECTOR 2 VIAS PORTADIODO A/A FORD ESCORT 91-98\par } "</f>
        <v xml:space="preserve">{\rtf1\ansi\ansicpg1252\deff0\deflang11274{\fonttbl{\f0\fnil\fcharset0 MS Sans Serif}} \viewkind4\uc1\pard\f0\fs16 CONECTOR 2 VIAS PORTADIODO A/A FORD ESCORT 91-98\par } </v>
      </c>
      <c r="AM1480" t="str">
        <f t="shared" si="947"/>
        <v>-</v>
      </c>
    </row>
    <row r="1481" spans="1:39" x14ac:dyDescent="0.25">
      <c r="A1481" t="str">
        <f>"10397"</f>
        <v>10397</v>
      </c>
      <c r="B1481" t="str">
        <f>"CONECTOR 2 VIAS SENSOR TEMPERATURA GM CORSA DAEWO BLAZER"</f>
        <v>CONECTOR 2 VIAS SENSOR TEMPERATURA GM CORSA DAEWO BLAZER</v>
      </c>
      <c r="C1481" t="str">
        <f>"$ 4536,40"</f>
        <v>$ 4536,40</v>
      </c>
      <c r="D1481" t="str">
        <f>"$ 4536,40"</f>
        <v>$ 4536,40</v>
      </c>
      <c r="E1481" t="str">
        <f>"$ 4536,40"</f>
        <v>$ 4536,40</v>
      </c>
      <c r="F1481" t="str">
        <f>"$ 4536,40"</f>
        <v>$ 4536,40</v>
      </c>
      <c r="G1481" t="str">
        <f>"$ 4536,40"</f>
        <v>$ 4536,40</v>
      </c>
      <c r="H1481" t="str">
        <f t="shared" si="953"/>
        <v>$ 0,00</v>
      </c>
      <c r="I1481" t="str">
        <f t="shared" si="937"/>
        <v>FICHA CONECTOR</v>
      </c>
      <c r="J1481" t="str">
        <f t="shared" si="954"/>
        <v>1</v>
      </c>
      <c r="K1481" t="str">
        <f t="shared" si="948"/>
        <v>0</v>
      </c>
      <c r="L1481" t="str">
        <f>"2,000"</f>
        <v>2,000</v>
      </c>
      <c r="M1481" t="str">
        <f t="shared" si="955"/>
        <v xml:space="preserve"> </v>
      </c>
      <c r="N1481" t="str">
        <f t="shared" si="938"/>
        <v>AUTRONIC</v>
      </c>
      <c r="O1481" t="str">
        <f t="shared" si="939"/>
        <v>CABLES</v>
      </c>
      <c r="P1481" t="str">
        <f t="shared" si="949"/>
        <v>0</v>
      </c>
      <c r="Q1481" t="str">
        <f t="shared" si="949"/>
        <v>0</v>
      </c>
      <c r="R1481" t="str">
        <f t="shared" si="950"/>
        <v>0,00</v>
      </c>
      <c r="S1481" t="str">
        <f t="shared" si="950"/>
        <v>0,00</v>
      </c>
      <c r="T1481" t="str">
        <f t="shared" si="951"/>
        <v xml:space="preserve"> </v>
      </c>
      <c r="U1481" t="str">
        <f t="shared" si="933"/>
        <v xml:space="preserve"> </v>
      </c>
      <c r="V1481" t="str">
        <f>"2,000"</f>
        <v>2,000</v>
      </c>
      <c r="W1481" t="str">
        <f t="shared" si="956"/>
        <v>Lista 4</v>
      </c>
      <c r="X1481" t="str">
        <f t="shared" si="957"/>
        <v>Lista 5</v>
      </c>
      <c r="Y1481" t="str">
        <f t="shared" si="958"/>
        <v>Oferta Gral.</v>
      </c>
      <c r="Z1481" t="str">
        <f t="shared" si="959"/>
        <v>Rubro</v>
      </c>
      <c r="AA1481" t="str">
        <f t="shared" si="960"/>
        <v>Cantidad por Bulto</v>
      </c>
      <c r="AB1481" t="str">
        <f t="shared" si="961"/>
        <v>INNER</v>
      </c>
      <c r="AC1481" t="str">
        <f t="shared" si="962"/>
        <v>Stock en Bultos</v>
      </c>
      <c r="AD1481" t="str">
        <f t="shared" si="963"/>
        <v>SubDepósito</v>
      </c>
      <c r="AE1481" t="str">
        <f t="shared" si="964"/>
        <v>Marca</v>
      </c>
      <c r="AF1481" t="str">
        <f t="shared" si="965"/>
        <v>Super Rubro</v>
      </c>
      <c r="AG1481" t="str">
        <f t="shared" si="966"/>
        <v>ComercioExterior</v>
      </c>
      <c r="AH1481" t="str">
        <f t="shared" si="967"/>
        <v>PrecioFOB</v>
      </c>
      <c r="AI1481" t="str">
        <f t="shared" si="968"/>
        <v>Monto II</v>
      </c>
      <c r="AJ1481" t="str">
        <f t="shared" si="969"/>
        <v>Porcentaje II</v>
      </c>
      <c r="AK1481" t="str">
        <f t="shared" si="970"/>
        <v>Foto</v>
      </c>
      <c r="AL1481" t="str">
        <f>"{\rtf1\ansi\ansicpg1252\deff0\deflang11274{\fonttbl{\f0\fnil\fcharset0 MS Sans Serif}} \viewkind4\uc1\pard\f0\fs16 CONECTOR 2 VIAS SENSOR TEMPERATURA GM CORSA DAEWO BLAZER\par } "</f>
        <v xml:space="preserve">{\rtf1\ansi\ansicpg1252\deff0\deflang11274{\fonttbl{\f0\fnil\fcharset0 MS Sans Serif}} \viewkind4\uc1\pard\f0\fs16 CONECTOR 2 VIAS SENSOR TEMPERATURA GM CORSA DAEWO BLAZER\par } </v>
      </c>
      <c r="AM1481" t="str">
        <f t="shared" si="947"/>
        <v>-</v>
      </c>
    </row>
    <row r="1482" spans="1:39" x14ac:dyDescent="0.25">
      <c r="A1482" t="str">
        <f>"10307"</f>
        <v>10307</v>
      </c>
      <c r="B1482" t="str">
        <f>"CONECTOR 2 VIAS SENSORES VARIOS 2 RANURAS ( CONTRAFICHA 10-183 )"</f>
        <v>CONECTOR 2 VIAS SENSORES VARIOS 2 RANURAS ( CONTRAFICHA 10-183 )</v>
      </c>
      <c r="C1482" t="str">
        <f>"$ 2044,39"</f>
        <v>$ 2044,39</v>
      </c>
      <c r="D1482" t="str">
        <f>"$ 2044,39"</f>
        <v>$ 2044,39</v>
      </c>
      <c r="E1482" t="str">
        <f>"$ 2044,39"</f>
        <v>$ 2044,39</v>
      </c>
      <c r="F1482" t="str">
        <f>"$ 2044,39"</f>
        <v>$ 2044,39</v>
      </c>
      <c r="G1482" t="str">
        <f>"$ 2044,39"</f>
        <v>$ 2044,39</v>
      </c>
      <c r="H1482" t="str">
        <f t="shared" si="953"/>
        <v>$ 0,00</v>
      </c>
      <c r="I1482" t="str">
        <f t="shared" si="937"/>
        <v>FICHA CONECTOR</v>
      </c>
      <c r="J1482" t="str">
        <f t="shared" si="954"/>
        <v>1</v>
      </c>
      <c r="K1482" t="str">
        <f t="shared" si="948"/>
        <v>0</v>
      </c>
      <c r="L1482" t="str">
        <f>"0,000"</f>
        <v>0,000</v>
      </c>
      <c r="M1482" t="str">
        <f t="shared" si="955"/>
        <v xml:space="preserve"> </v>
      </c>
      <c r="N1482" t="str">
        <f t="shared" si="938"/>
        <v>AUTRONIC</v>
      </c>
      <c r="O1482" t="str">
        <f t="shared" si="939"/>
        <v>CABLES</v>
      </c>
      <c r="P1482" t="str">
        <f t="shared" si="949"/>
        <v>0</v>
      </c>
      <c r="Q1482" t="str">
        <f t="shared" si="949"/>
        <v>0</v>
      </c>
      <c r="R1482" t="str">
        <f t="shared" si="950"/>
        <v>0,00</v>
      </c>
      <c r="S1482" t="str">
        <f t="shared" si="950"/>
        <v>0,00</v>
      </c>
      <c r="T1482" t="str">
        <f t="shared" si="951"/>
        <v xml:space="preserve"> </v>
      </c>
      <c r="U1482" t="str">
        <f t="shared" si="933"/>
        <v xml:space="preserve"> </v>
      </c>
      <c r="V1482" t="str">
        <f>"0,000"</f>
        <v>0,000</v>
      </c>
      <c r="W1482" t="str">
        <f t="shared" si="956"/>
        <v>Lista 4</v>
      </c>
      <c r="X1482" t="str">
        <f t="shared" si="957"/>
        <v>Lista 5</v>
      </c>
      <c r="Y1482" t="str">
        <f t="shared" si="958"/>
        <v>Oferta Gral.</v>
      </c>
      <c r="Z1482" t="str">
        <f t="shared" si="959"/>
        <v>Rubro</v>
      </c>
      <c r="AA1482" t="str">
        <f t="shared" si="960"/>
        <v>Cantidad por Bulto</v>
      </c>
      <c r="AB1482" t="str">
        <f t="shared" si="961"/>
        <v>INNER</v>
      </c>
      <c r="AC1482" t="str">
        <f t="shared" si="962"/>
        <v>Stock en Bultos</v>
      </c>
      <c r="AD1482" t="str">
        <f t="shared" si="963"/>
        <v>SubDepósito</v>
      </c>
      <c r="AE1482" t="str">
        <f t="shared" si="964"/>
        <v>Marca</v>
      </c>
      <c r="AF1482" t="str">
        <f t="shared" si="965"/>
        <v>Super Rubro</v>
      </c>
      <c r="AG1482" t="str">
        <f t="shared" si="966"/>
        <v>ComercioExterior</v>
      </c>
      <c r="AH1482" t="str">
        <f t="shared" si="967"/>
        <v>PrecioFOB</v>
      </c>
      <c r="AI1482" t="str">
        <f t="shared" si="968"/>
        <v>Monto II</v>
      </c>
      <c r="AJ1482" t="str">
        <f t="shared" si="969"/>
        <v>Porcentaje II</v>
      </c>
      <c r="AK1482" t="str">
        <f t="shared" si="970"/>
        <v>Foto</v>
      </c>
      <c r="AL1482" t="str">
        <f>"{\rtf1\ansi\ansicpg1252\deff0\deflang11274{\fonttbl{\f0\fnil\fcharset0 MS Sans Serif}} \viewkind4\uc1\pard\f0\fs16 CONECTOR 2 VIAS SENSORES VARIOS 2 RANURAS ( CONTRAFICHA 10-183 )\par } "</f>
        <v xml:space="preserve">{\rtf1\ansi\ansicpg1252\deff0\deflang11274{\fonttbl{\f0\fnil\fcharset0 MS Sans Serif}} \viewkind4\uc1\pard\f0\fs16 CONECTOR 2 VIAS SENSORES VARIOS 2 RANURAS ( CONTRAFICHA 10-183 )\par } </v>
      </c>
      <c r="AM1482" t="str">
        <f t="shared" si="947"/>
        <v>-</v>
      </c>
    </row>
    <row r="1483" spans="1:39" x14ac:dyDescent="0.25">
      <c r="A1483" t="str">
        <f>"10152"</f>
        <v>10152</v>
      </c>
      <c r="B1483" t="str">
        <f>"CONECTOR 2 VÍAS BOTÓN DE PTA R9/11/19/CLIO/MEGANE/PEUGEOT 405"</f>
        <v>CONECTOR 2 VÍAS BOTÓN DE PTA R9/11/19/CLIO/MEGANE/PEUGEOT 405</v>
      </c>
      <c r="C1483" t="str">
        <f>"$ 3567,65"</f>
        <v>$ 3567,65</v>
      </c>
      <c r="D1483" t="str">
        <f>"$ 3567,65"</f>
        <v>$ 3567,65</v>
      </c>
      <c r="E1483" t="str">
        <f>"$ 3567,65"</f>
        <v>$ 3567,65</v>
      </c>
      <c r="F1483" t="str">
        <f>"$ 3567,65"</f>
        <v>$ 3567,65</v>
      </c>
      <c r="G1483" t="str">
        <f>"$ 3567,65"</f>
        <v>$ 3567,65</v>
      </c>
      <c r="H1483" t="str">
        <f t="shared" si="953"/>
        <v>$ 0,00</v>
      </c>
      <c r="I1483" t="str">
        <f t="shared" si="937"/>
        <v>FICHA CONECTOR</v>
      </c>
      <c r="J1483" t="str">
        <f t="shared" si="954"/>
        <v>1</v>
      </c>
      <c r="K1483" t="str">
        <f t="shared" si="948"/>
        <v>0</v>
      </c>
      <c r="L1483" t="str">
        <f>"17,000"</f>
        <v>17,000</v>
      </c>
      <c r="M1483" t="str">
        <f t="shared" si="955"/>
        <v xml:space="preserve"> </v>
      </c>
      <c r="N1483" t="str">
        <f t="shared" si="938"/>
        <v>AUTRONIC</v>
      </c>
      <c r="O1483" t="str">
        <f t="shared" si="939"/>
        <v>CABLES</v>
      </c>
      <c r="P1483" t="str">
        <f t="shared" ref="P1483:Q1502" si="972">"0"</f>
        <v>0</v>
      </c>
      <c r="Q1483" t="str">
        <f t="shared" si="972"/>
        <v>0</v>
      </c>
      <c r="R1483" t="str">
        <f t="shared" ref="R1483:S1502" si="973">"0,00"</f>
        <v>0,00</v>
      </c>
      <c r="S1483" t="str">
        <f t="shared" si="973"/>
        <v>0,00</v>
      </c>
      <c r="T1483" t="str">
        <f t="shared" si="951"/>
        <v xml:space="preserve"> </v>
      </c>
      <c r="U1483" t="str">
        <f t="shared" si="933"/>
        <v xml:space="preserve"> </v>
      </c>
      <c r="V1483" t="str">
        <f>"17,000"</f>
        <v>17,000</v>
      </c>
      <c r="W1483" t="str">
        <f t="shared" si="956"/>
        <v>Lista 4</v>
      </c>
      <c r="X1483" t="str">
        <f t="shared" si="957"/>
        <v>Lista 5</v>
      </c>
      <c r="Y1483" t="str">
        <f t="shared" si="958"/>
        <v>Oferta Gral.</v>
      </c>
      <c r="Z1483" t="str">
        <f t="shared" si="959"/>
        <v>Rubro</v>
      </c>
      <c r="AA1483" t="str">
        <f t="shared" si="960"/>
        <v>Cantidad por Bulto</v>
      </c>
      <c r="AB1483" t="str">
        <f t="shared" si="961"/>
        <v>INNER</v>
      </c>
      <c r="AC1483" t="str">
        <f t="shared" si="962"/>
        <v>Stock en Bultos</v>
      </c>
      <c r="AD1483" t="str">
        <f t="shared" si="963"/>
        <v>SubDepósito</v>
      </c>
      <c r="AE1483" t="str">
        <f t="shared" si="964"/>
        <v>Marca</v>
      </c>
      <c r="AF1483" t="str">
        <f t="shared" si="965"/>
        <v>Super Rubro</v>
      </c>
      <c r="AG1483" t="str">
        <f t="shared" si="966"/>
        <v>ComercioExterior</v>
      </c>
      <c r="AH1483" t="str">
        <f t="shared" si="967"/>
        <v>PrecioFOB</v>
      </c>
      <c r="AI1483" t="str">
        <f t="shared" si="968"/>
        <v>Monto II</v>
      </c>
      <c r="AJ1483" t="str">
        <f t="shared" si="969"/>
        <v>Porcentaje II</v>
      </c>
      <c r="AK1483" t="str">
        <f t="shared" si="970"/>
        <v>Foto</v>
      </c>
      <c r="AL1483" t="str">
        <f>"{\rtf1\ansi\ansicpg1252\deff0\deflang11274{\fonttbl{\f0\fnil\fcharset0 MS Sans Serif}} \viewkind4\uc1\pard\f0\fs16 CONECTOR 2 V\'cdAS BOT\'d3N DE PTA R9/11/19/CLIO/MEGANE/PEUGEOT 405\par } "</f>
        <v xml:space="preserve">{\rtf1\ansi\ansicpg1252\deff0\deflang11274{\fonttbl{\f0\fnil\fcharset0 MS Sans Serif}} \viewkind4\uc1\pard\f0\fs16 CONECTOR 2 V\'cdAS BOT\'d3N DE PTA R9/11/19/CLIO/MEGANE/PEUGEOT 405\par } </v>
      </c>
      <c r="AM1483" t="str">
        <f t="shared" si="947"/>
        <v>-</v>
      </c>
    </row>
    <row r="1484" spans="1:39" x14ac:dyDescent="0.25">
      <c r="A1484" t="str">
        <f>"10153"</f>
        <v>10153</v>
      </c>
      <c r="B1484" t="str">
        <f>"CONECTOR 2 VÍAS CARBURADOR MONOPUNTO – UNO ING. – TEMPRA ING."</f>
        <v>CONECTOR 2 VÍAS CARBURADOR MONOPUNTO – UNO ING. – TEMPRA ING.</v>
      </c>
      <c r="C1484" t="str">
        <f>"$ 2231,45"</f>
        <v>$ 2231,45</v>
      </c>
      <c r="D1484" t="str">
        <f>"$ 2231,45"</f>
        <v>$ 2231,45</v>
      </c>
      <c r="E1484" t="str">
        <f>"$ 2231,45"</f>
        <v>$ 2231,45</v>
      </c>
      <c r="F1484" t="str">
        <f>"$ 2231,45"</f>
        <v>$ 2231,45</v>
      </c>
      <c r="G1484" t="str">
        <f>"$ 2231,45"</f>
        <v>$ 2231,45</v>
      </c>
      <c r="H1484" t="str">
        <f t="shared" si="953"/>
        <v>$ 0,00</v>
      </c>
      <c r="I1484" t="str">
        <f t="shared" si="937"/>
        <v>FICHA CONECTOR</v>
      </c>
      <c r="J1484" t="str">
        <f t="shared" si="954"/>
        <v>1</v>
      </c>
      <c r="K1484" t="str">
        <f t="shared" si="948"/>
        <v>0</v>
      </c>
      <c r="L1484" t="str">
        <f>"0,000"</f>
        <v>0,000</v>
      </c>
      <c r="M1484" t="str">
        <f t="shared" si="955"/>
        <v xml:space="preserve"> </v>
      </c>
      <c r="N1484" t="str">
        <f t="shared" si="938"/>
        <v>AUTRONIC</v>
      </c>
      <c r="O1484" t="str">
        <f t="shared" si="939"/>
        <v>CABLES</v>
      </c>
      <c r="P1484" t="str">
        <f t="shared" si="972"/>
        <v>0</v>
      </c>
      <c r="Q1484" t="str">
        <f t="shared" si="972"/>
        <v>0</v>
      </c>
      <c r="R1484" t="str">
        <f t="shared" si="973"/>
        <v>0,00</v>
      </c>
      <c r="S1484" t="str">
        <f t="shared" si="973"/>
        <v>0,00</v>
      </c>
      <c r="T1484" t="str">
        <f t="shared" si="951"/>
        <v xml:space="preserve"> </v>
      </c>
      <c r="U1484" t="str">
        <f t="shared" ref="U1484:U1547" si="974">" "</f>
        <v xml:space="preserve"> </v>
      </c>
      <c r="V1484" t="str">
        <f>"0,000"</f>
        <v>0,000</v>
      </c>
      <c r="W1484" t="str">
        <f t="shared" si="956"/>
        <v>Lista 4</v>
      </c>
      <c r="X1484" t="str">
        <f t="shared" si="957"/>
        <v>Lista 5</v>
      </c>
      <c r="Y1484" t="str">
        <f t="shared" si="958"/>
        <v>Oferta Gral.</v>
      </c>
      <c r="Z1484" t="str">
        <f t="shared" si="959"/>
        <v>Rubro</v>
      </c>
      <c r="AA1484" t="str">
        <f t="shared" si="960"/>
        <v>Cantidad por Bulto</v>
      </c>
      <c r="AB1484" t="str">
        <f t="shared" si="961"/>
        <v>INNER</v>
      </c>
      <c r="AC1484" t="str">
        <f t="shared" si="962"/>
        <v>Stock en Bultos</v>
      </c>
      <c r="AD1484" t="str">
        <f t="shared" si="963"/>
        <v>SubDepósito</v>
      </c>
      <c r="AE1484" t="str">
        <f t="shared" si="964"/>
        <v>Marca</v>
      </c>
      <c r="AF1484" t="str">
        <f t="shared" si="965"/>
        <v>Super Rubro</v>
      </c>
      <c r="AG1484" t="str">
        <f t="shared" si="966"/>
        <v>ComercioExterior</v>
      </c>
      <c r="AH1484" t="str">
        <f t="shared" si="967"/>
        <v>PrecioFOB</v>
      </c>
      <c r="AI1484" t="str">
        <f t="shared" si="968"/>
        <v>Monto II</v>
      </c>
      <c r="AJ1484" t="str">
        <f t="shared" si="969"/>
        <v>Porcentaje II</v>
      </c>
      <c r="AK1484" t="str">
        <f t="shared" si="970"/>
        <v>Foto</v>
      </c>
      <c r="AL1484" t="str">
        <f>"{\rtf1\ansi\ansicpg1252\deff0\deflang11274{\fonttbl{\f0\fnil\fcharset0 MS Sans Serif}} \viewkind4\uc1\pard\f0\fs16 CONECTOR 2 V\'cdAS CARBURADOR MONOPUNTO \endash  UNO ING. \endash  TEMPRA ING.\par } "</f>
        <v xml:space="preserve">{\rtf1\ansi\ansicpg1252\deff0\deflang11274{\fonttbl{\f0\fnil\fcharset0 MS Sans Serif}} \viewkind4\uc1\pard\f0\fs16 CONECTOR 2 V\'cdAS CARBURADOR MONOPUNTO \endash  UNO ING. \endash  TEMPRA ING.\par } </v>
      </c>
      <c r="AM1484" t="str">
        <f t="shared" si="947"/>
        <v>-</v>
      </c>
    </row>
    <row r="1485" spans="1:39" x14ac:dyDescent="0.25">
      <c r="A1485" t="str">
        <f>"10154"</f>
        <v>10154</v>
      </c>
      <c r="B1485" t="str">
        <f>"CONECTOR 2 VÍAS CARBURADOR MOTOR TIPO – ORIG. FIAT"</f>
        <v>CONECTOR 2 VÍAS CARBURADOR MOTOR TIPO – ORIG. FIAT</v>
      </c>
      <c r="C1485" t="str">
        <f>"$ 1964,21"</f>
        <v>$ 1964,21</v>
      </c>
      <c r="D1485" t="str">
        <f>"$ 1964,21"</f>
        <v>$ 1964,21</v>
      </c>
      <c r="E1485" t="str">
        <f>"$ 1964,21"</f>
        <v>$ 1964,21</v>
      </c>
      <c r="F1485" t="str">
        <f>"$ 1964,21"</f>
        <v>$ 1964,21</v>
      </c>
      <c r="G1485" t="str">
        <f>"$ 1964,21"</f>
        <v>$ 1964,21</v>
      </c>
      <c r="H1485" t="str">
        <f t="shared" si="953"/>
        <v>$ 0,00</v>
      </c>
      <c r="I1485" t="str">
        <f t="shared" si="937"/>
        <v>FICHA CONECTOR</v>
      </c>
      <c r="J1485" t="str">
        <f t="shared" si="954"/>
        <v>1</v>
      </c>
      <c r="K1485" t="str">
        <f t="shared" si="948"/>
        <v>0</v>
      </c>
      <c r="L1485" t="str">
        <f>"6,000"</f>
        <v>6,000</v>
      </c>
      <c r="M1485" t="str">
        <f t="shared" si="955"/>
        <v xml:space="preserve"> </v>
      </c>
      <c r="N1485" t="str">
        <f t="shared" si="938"/>
        <v>AUTRONIC</v>
      </c>
      <c r="O1485" t="str">
        <f t="shared" si="939"/>
        <v>CABLES</v>
      </c>
      <c r="P1485" t="str">
        <f t="shared" si="972"/>
        <v>0</v>
      </c>
      <c r="Q1485" t="str">
        <f t="shared" si="972"/>
        <v>0</v>
      </c>
      <c r="R1485" t="str">
        <f t="shared" si="973"/>
        <v>0,00</v>
      </c>
      <c r="S1485" t="str">
        <f t="shared" si="973"/>
        <v>0,00</v>
      </c>
      <c r="T1485" t="str">
        <f t="shared" si="951"/>
        <v xml:space="preserve"> </v>
      </c>
      <c r="U1485" t="str">
        <f t="shared" si="974"/>
        <v xml:space="preserve"> </v>
      </c>
      <c r="V1485" t="str">
        <f>"6,000"</f>
        <v>6,000</v>
      </c>
      <c r="W1485" t="str">
        <f t="shared" si="956"/>
        <v>Lista 4</v>
      </c>
      <c r="X1485" t="str">
        <f t="shared" si="957"/>
        <v>Lista 5</v>
      </c>
      <c r="Y1485" t="str">
        <f t="shared" si="958"/>
        <v>Oferta Gral.</v>
      </c>
      <c r="Z1485" t="str">
        <f t="shared" si="959"/>
        <v>Rubro</v>
      </c>
      <c r="AA1485" t="str">
        <f t="shared" si="960"/>
        <v>Cantidad por Bulto</v>
      </c>
      <c r="AB1485" t="str">
        <f t="shared" si="961"/>
        <v>INNER</v>
      </c>
      <c r="AC1485" t="str">
        <f t="shared" si="962"/>
        <v>Stock en Bultos</v>
      </c>
      <c r="AD1485" t="str">
        <f t="shared" si="963"/>
        <v>SubDepósito</v>
      </c>
      <c r="AE1485" t="str">
        <f t="shared" si="964"/>
        <v>Marca</v>
      </c>
      <c r="AF1485" t="str">
        <f t="shared" si="965"/>
        <v>Super Rubro</v>
      </c>
      <c r="AG1485" t="str">
        <f t="shared" si="966"/>
        <v>ComercioExterior</v>
      </c>
      <c r="AH1485" t="str">
        <f t="shared" si="967"/>
        <v>PrecioFOB</v>
      </c>
      <c r="AI1485" t="str">
        <f t="shared" si="968"/>
        <v>Monto II</v>
      </c>
      <c r="AJ1485" t="str">
        <f t="shared" si="969"/>
        <v>Porcentaje II</v>
      </c>
      <c r="AK1485" t="str">
        <f t="shared" si="970"/>
        <v>Foto</v>
      </c>
      <c r="AL1485" t="str">
        <f>"{\rtf1\ansi\ansicpg1252\deff0\deflang11274{\fonttbl{\f0\fnil\fcharset0 MS Sans Serif}} \viewkind4\uc1\pard\f0\fs16 CONECTOR 2 V\'cdAS CARBURADOR MOTOR TIPO - ORIG. FIAT\par } "</f>
        <v xml:space="preserve">{\rtf1\ansi\ansicpg1252\deff0\deflang11274{\fonttbl{\f0\fnil\fcharset0 MS Sans Serif}} \viewkind4\uc1\pard\f0\fs16 CONECTOR 2 V\'cdAS CARBURADOR MOTOR TIPO - ORIG. FIAT\par } </v>
      </c>
      <c r="AM1485" t="str">
        <f t="shared" si="947"/>
        <v>-</v>
      </c>
    </row>
    <row r="1486" spans="1:39" x14ac:dyDescent="0.25">
      <c r="A1486" t="str">
        <f>"10137"</f>
        <v>10137</v>
      </c>
      <c r="B1486" t="str">
        <f>"CONECTOR 2 VÍAS DE ACOPLE  FIAT 128 – 147 - 125"</f>
        <v>CONECTOR 2 VÍAS DE ACOPLE  FIAT 128 – 147 - 125</v>
      </c>
      <c r="C1486" t="str">
        <f>"$ 6413,76"</f>
        <v>$ 6413,76</v>
      </c>
      <c r="D1486" t="str">
        <f>"$ 6413,76"</f>
        <v>$ 6413,76</v>
      </c>
      <c r="E1486" t="str">
        <f>"$ 6413,76"</f>
        <v>$ 6413,76</v>
      </c>
      <c r="F1486" t="str">
        <f>"$ 6413,76"</f>
        <v>$ 6413,76</v>
      </c>
      <c r="G1486" t="str">
        <f>"$ 6413,76"</f>
        <v>$ 6413,76</v>
      </c>
      <c r="H1486" t="str">
        <f t="shared" si="953"/>
        <v>$ 0,00</v>
      </c>
      <c r="I1486" t="str">
        <f t="shared" si="937"/>
        <v>FICHA CONECTOR</v>
      </c>
      <c r="J1486" t="str">
        <f t="shared" si="954"/>
        <v>1</v>
      </c>
      <c r="K1486" t="str">
        <f t="shared" si="948"/>
        <v>0</v>
      </c>
      <c r="L1486" t="str">
        <f>"0,000"</f>
        <v>0,000</v>
      </c>
      <c r="M1486" t="str">
        <f t="shared" si="955"/>
        <v xml:space="preserve"> </v>
      </c>
      <c r="N1486" t="str">
        <f t="shared" si="938"/>
        <v>AUTRONIC</v>
      </c>
      <c r="O1486" t="str">
        <f t="shared" si="939"/>
        <v>CABLES</v>
      </c>
      <c r="P1486" t="str">
        <f t="shared" si="972"/>
        <v>0</v>
      </c>
      <c r="Q1486" t="str">
        <f t="shared" si="972"/>
        <v>0</v>
      </c>
      <c r="R1486" t="str">
        <f t="shared" si="973"/>
        <v>0,00</v>
      </c>
      <c r="S1486" t="str">
        <f t="shared" si="973"/>
        <v>0,00</v>
      </c>
      <c r="T1486" t="str">
        <f t="shared" si="951"/>
        <v xml:space="preserve"> </v>
      </c>
      <c r="U1486" t="str">
        <f t="shared" si="974"/>
        <v xml:space="preserve"> </v>
      </c>
      <c r="V1486" t="str">
        <f>"0,000"</f>
        <v>0,000</v>
      </c>
      <c r="W1486" t="str">
        <f t="shared" si="956"/>
        <v>Lista 4</v>
      </c>
      <c r="X1486" t="str">
        <f t="shared" si="957"/>
        <v>Lista 5</v>
      </c>
      <c r="Y1486" t="str">
        <f t="shared" si="958"/>
        <v>Oferta Gral.</v>
      </c>
      <c r="Z1486" t="str">
        <f t="shared" si="959"/>
        <v>Rubro</v>
      </c>
      <c r="AA1486" t="str">
        <f t="shared" si="960"/>
        <v>Cantidad por Bulto</v>
      </c>
      <c r="AB1486" t="str">
        <f t="shared" si="961"/>
        <v>INNER</v>
      </c>
      <c r="AC1486" t="str">
        <f t="shared" si="962"/>
        <v>Stock en Bultos</v>
      </c>
      <c r="AD1486" t="str">
        <f t="shared" si="963"/>
        <v>SubDepósito</v>
      </c>
      <c r="AE1486" t="str">
        <f t="shared" si="964"/>
        <v>Marca</v>
      </c>
      <c r="AF1486" t="str">
        <f t="shared" si="965"/>
        <v>Super Rubro</v>
      </c>
      <c r="AG1486" t="str">
        <f t="shared" si="966"/>
        <v>ComercioExterior</v>
      </c>
      <c r="AH1486" t="str">
        <f t="shared" si="967"/>
        <v>PrecioFOB</v>
      </c>
      <c r="AI1486" t="str">
        <f t="shared" si="968"/>
        <v>Monto II</v>
      </c>
      <c r="AJ1486" t="str">
        <f t="shared" si="969"/>
        <v>Porcentaje II</v>
      </c>
      <c r="AK1486" t="str">
        <f t="shared" si="970"/>
        <v>Foto</v>
      </c>
      <c r="AL1486" t="str">
        <f>"{\rtf1\ansi\ansicpg1252\deff0\deflang11274{\fonttbl{\f0\fnil\fcharset0 MS Sans Serif}} \viewkind4\uc1\pard\f0\fs16 CONECTOR 2 V\'cdAS DE ACOPLE  FIAT 128 \endash  147 - 125\par } "</f>
        <v xml:space="preserve">{\rtf1\ansi\ansicpg1252\deff0\deflang11274{\fonttbl{\f0\fnil\fcharset0 MS Sans Serif}} \viewkind4\uc1\pard\f0\fs16 CONECTOR 2 V\'cdAS DE ACOPLE  FIAT 128 \endash  147 - 125\par } </v>
      </c>
      <c r="AM1486" t="str">
        <f t="shared" si="947"/>
        <v>-</v>
      </c>
    </row>
    <row r="1487" spans="1:39" x14ac:dyDescent="0.25">
      <c r="A1487" t="str">
        <f>"10106"</f>
        <v>10106</v>
      </c>
      <c r="B1487" t="str">
        <f>"CONECTOR 2 VÍAS HEMBRA EN T – PORTA MACHO T:  6.35 MM.- UNIVERSAL"</f>
        <v>CONECTOR 2 VÍAS HEMBRA EN T – PORTA MACHO T:  6.35 MM.- UNIVERSAL</v>
      </c>
      <c r="C1487" t="str">
        <f>"$ 1002,15"</f>
        <v>$ 1002,15</v>
      </c>
      <c r="D1487" t="str">
        <f>"$ 1002,15"</f>
        <v>$ 1002,15</v>
      </c>
      <c r="E1487" t="str">
        <f>"$ 1002,15"</f>
        <v>$ 1002,15</v>
      </c>
      <c r="F1487" t="str">
        <f>"$ 1002,15"</f>
        <v>$ 1002,15</v>
      </c>
      <c r="G1487" t="str">
        <f>"$ 1002,15"</f>
        <v>$ 1002,15</v>
      </c>
      <c r="H1487" t="str">
        <f t="shared" si="953"/>
        <v>$ 0,00</v>
      </c>
      <c r="I1487" t="str">
        <f t="shared" si="937"/>
        <v>FICHA CONECTOR</v>
      </c>
      <c r="J1487" t="str">
        <f t="shared" si="954"/>
        <v>1</v>
      </c>
      <c r="K1487" t="str">
        <f t="shared" si="948"/>
        <v>0</v>
      </c>
      <c r="L1487" t="str">
        <f>"10,000"</f>
        <v>10,000</v>
      </c>
      <c r="M1487" t="str">
        <f t="shared" si="955"/>
        <v xml:space="preserve"> </v>
      </c>
      <c r="N1487" t="str">
        <f t="shared" si="938"/>
        <v>AUTRONIC</v>
      </c>
      <c r="O1487" t="str">
        <f t="shared" si="939"/>
        <v>CABLES</v>
      </c>
      <c r="P1487" t="str">
        <f t="shared" si="972"/>
        <v>0</v>
      </c>
      <c r="Q1487" t="str">
        <f t="shared" si="972"/>
        <v>0</v>
      </c>
      <c r="R1487" t="str">
        <f t="shared" si="973"/>
        <v>0,00</v>
      </c>
      <c r="S1487" t="str">
        <f t="shared" si="973"/>
        <v>0,00</v>
      </c>
      <c r="T1487" t="str">
        <f t="shared" si="951"/>
        <v xml:space="preserve"> </v>
      </c>
      <c r="U1487" t="str">
        <f t="shared" si="974"/>
        <v xml:space="preserve"> </v>
      </c>
      <c r="V1487" t="str">
        <f>"10,000"</f>
        <v>10,000</v>
      </c>
      <c r="W1487" t="str">
        <f t="shared" si="956"/>
        <v>Lista 4</v>
      </c>
      <c r="X1487" t="str">
        <f t="shared" si="957"/>
        <v>Lista 5</v>
      </c>
      <c r="Y1487" t="str">
        <f t="shared" si="958"/>
        <v>Oferta Gral.</v>
      </c>
      <c r="Z1487" t="str">
        <f t="shared" si="959"/>
        <v>Rubro</v>
      </c>
      <c r="AA1487" t="str">
        <f t="shared" si="960"/>
        <v>Cantidad por Bulto</v>
      </c>
      <c r="AB1487" t="str">
        <f t="shared" si="961"/>
        <v>INNER</v>
      </c>
      <c r="AC1487" t="str">
        <f t="shared" si="962"/>
        <v>Stock en Bultos</v>
      </c>
      <c r="AD1487" t="str">
        <f t="shared" si="963"/>
        <v>SubDepósito</v>
      </c>
      <c r="AE1487" t="str">
        <f t="shared" si="964"/>
        <v>Marca</v>
      </c>
      <c r="AF1487" t="str">
        <f t="shared" si="965"/>
        <v>Super Rubro</v>
      </c>
      <c r="AG1487" t="str">
        <f t="shared" si="966"/>
        <v>ComercioExterior</v>
      </c>
      <c r="AH1487" t="str">
        <f t="shared" si="967"/>
        <v>PrecioFOB</v>
      </c>
      <c r="AI1487" t="str">
        <f t="shared" si="968"/>
        <v>Monto II</v>
      </c>
      <c r="AJ1487" t="str">
        <f t="shared" si="969"/>
        <v>Porcentaje II</v>
      </c>
      <c r="AK1487" t="str">
        <f t="shared" si="970"/>
        <v>Foto</v>
      </c>
      <c r="AL1487" t="str">
        <f>"{\rtf1\ansi\ansicpg1252\deff0\deflang11274{\fonttbl{\f0\fnil\fcharset0 MS Sans Serif}} \viewkind4\uc1\pard\f0\fs16 CONECTOR 2 V\'cdAS HEMBRA EN T \endash  PORTA MACHO T:  6.35 MM.- UNIVERSAL\par } "</f>
        <v xml:space="preserve">{\rtf1\ansi\ansicpg1252\deff0\deflang11274{\fonttbl{\f0\fnil\fcharset0 MS Sans Serif}} \viewkind4\uc1\pard\f0\fs16 CONECTOR 2 V\'cdAS HEMBRA EN T \endash  PORTA MACHO T:  6.35 MM.- UNIVERSAL\par } </v>
      </c>
      <c r="AM1487" t="str">
        <f t="shared" si="947"/>
        <v>-</v>
      </c>
    </row>
    <row r="1488" spans="1:39" x14ac:dyDescent="0.25">
      <c r="A1488" t="str">
        <f>"10104"</f>
        <v>10104</v>
      </c>
      <c r="B1488" t="str">
        <f>"CONECTOR 2 VÍAS HEMBRA – PORTA MACHO T:  6.35 MM.- UNIVERSAL"</f>
        <v>CONECTOR 2 VÍAS HEMBRA – PORTA MACHO T:  6.35 MM.- UNIVERSAL</v>
      </c>
      <c r="C1488" t="str">
        <f>"$ 975,43"</f>
        <v>$ 975,43</v>
      </c>
      <c r="D1488" t="str">
        <f>"$ 975,43"</f>
        <v>$ 975,43</v>
      </c>
      <c r="E1488" t="str">
        <f>"$ 975,43"</f>
        <v>$ 975,43</v>
      </c>
      <c r="F1488" t="str">
        <f>"$ 975,43"</f>
        <v>$ 975,43</v>
      </c>
      <c r="G1488" t="str">
        <f>"$ 975,43"</f>
        <v>$ 975,43</v>
      </c>
      <c r="H1488" t="str">
        <f t="shared" si="953"/>
        <v>$ 0,00</v>
      </c>
      <c r="I1488" t="str">
        <f t="shared" ref="I1488:I1551" si="975">"FICHA CONECTOR"</f>
        <v>FICHA CONECTOR</v>
      </c>
      <c r="J1488" t="str">
        <f t="shared" si="954"/>
        <v>1</v>
      </c>
      <c r="K1488" t="str">
        <f t="shared" si="948"/>
        <v>0</v>
      </c>
      <c r="L1488" t="str">
        <f>"20,000"</f>
        <v>20,000</v>
      </c>
      <c r="M1488" t="str">
        <f t="shared" si="955"/>
        <v xml:space="preserve"> </v>
      </c>
      <c r="N1488" t="str">
        <f t="shared" ref="N1488:N1551" si="976">"AUTRONIC"</f>
        <v>AUTRONIC</v>
      </c>
      <c r="O1488" t="str">
        <f t="shared" ref="O1488:O1551" si="977">"CABLES"</f>
        <v>CABLES</v>
      </c>
      <c r="P1488" t="str">
        <f t="shared" si="972"/>
        <v>0</v>
      </c>
      <c r="Q1488" t="str">
        <f t="shared" si="972"/>
        <v>0</v>
      </c>
      <c r="R1488" t="str">
        <f t="shared" si="973"/>
        <v>0,00</v>
      </c>
      <c r="S1488" t="str">
        <f t="shared" si="973"/>
        <v>0,00</v>
      </c>
      <c r="T1488" t="str">
        <f t="shared" si="951"/>
        <v xml:space="preserve"> </v>
      </c>
      <c r="U1488" t="str">
        <f t="shared" si="974"/>
        <v xml:space="preserve"> </v>
      </c>
      <c r="V1488" t="str">
        <f>"20,000"</f>
        <v>20,000</v>
      </c>
      <c r="W1488" t="str">
        <f t="shared" si="956"/>
        <v>Lista 4</v>
      </c>
      <c r="X1488" t="str">
        <f t="shared" si="957"/>
        <v>Lista 5</v>
      </c>
      <c r="Y1488" t="str">
        <f t="shared" si="958"/>
        <v>Oferta Gral.</v>
      </c>
      <c r="Z1488" t="str">
        <f t="shared" si="959"/>
        <v>Rubro</v>
      </c>
      <c r="AA1488" t="str">
        <f t="shared" si="960"/>
        <v>Cantidad por Bulto</v>
      </c>
      <c r="AB1488" t="str">
        <f t="shared" si="961"/>
        <v>INNER</v>
      </c>
      <c r="AC1488" t="str">
        <f t="shared" si="962"/>
        <v>Stock en Bultos</v>
      </c>
      <c r="AD1488" t="str">
        <f t="shared" si="963"/>
        <v>SubDepósito</v>
      </c>
      <c r="AE1488" t="str">
        <f t="shared" si="964"/>
        <v>Marca</v>
      </c>
      <c r="AF1488" t="str">
        <f t="shared" si="965"/>
        <v>Super Rubro</v>
      </c>
      <c r="AG1488" t="str">
        <f t="shared" si="966"/>
        <v>ComercioExterior</v>
      </c>
      <c r="AH1488" t="str">
        <f t="shared" si="967"/>
        <v>PrecioFOB</v>
      </c>
      <c r="AI1488" t="str">
        <f t="shared" si="968"/>
        <v>Monto II</v>
      </c>
      <c r="AJ1488" t="str">
        <f t="shared" si="969"/>
        <v>Porcentaje II</v>
      </c>
      <c r="AK1488" t="str">
        <f t="shared" si="970"/>
        <v>Foto</v>
      </c>
      <c r="AL1488" t="str">
        <f>"{\rtf1\ansi\ansicpg1252\deff0\deflang11274{\fonttbl{\f0\fnil\fcharset0 MS Sans Serif}} \viewkind4\uc1\pard\f0\fs16 CONECTOR 2 V\'cdAS HEMBRA \endash  PORTA MACHO T:  6.35 MM.- UNIVERSAL\par } "</f>
        <v xml:space="preserve">{\rtf1\ansi\ansicpg1252\deff0\deflang11274{\fonttbl{\f0\fnil\fcharset0 MS Sans Serif}} \viewkind4\uc1\pard\f0\fs16 CONECTOR 2 V\'cdAS HEMBRA \endash  PORTA MACHO T:  6.35 MM.- UNIVERSAL\par } </v>
      </c>
      <c r="AM1488" t="str">
        <f t="shared" ref="AM1488:AM1518" si="978">"-"</f>
        <v>-</v>
      </c>
    </row>
    <row r="1489" spans="1:39" x14ac:dyDescent="0.25">
      <c r="A1489" t="str">
        <f>"10127"</f>
        <v>10127</v>
      </c>
      <c r="B1489" t="str">
        <f>"CONECTOR 2 VÍAS HERMAFRODITA – ORIG. RENAULT"</f>
        <v>CONECTOR 2 VÍAS HERMAFRODITA – ORIG. RENAULT</v>
      </c>
      <c r="C1489" t="str">
        <f>"$ 2538,78"</f>
        <v>$ 2538,78</v>
      </c>
      <c r="D1489" t="str">
        <f>"$ 2538,78"</f>
        <v>$ 2538,78</v>
      </c>
      <c r="E1489" t="str">
        <f>"$ 2538,78"</f>
        <v>$ 2538,78</v>
      </c>
      <c r="F1489" t="str">
        <f>"$ 2538,78"</f>
        <v>$ 2538,78</v>
      </c>
      <c r="G1489" t="str">
        <f>"$ 2538,78"</f>
        <v>$ 2538,78</v>
      </c>
      <c r="H1489" t="str">
        <f t="shared" si="953"/>
        <v>$ 0,00</v>
      </c>
      <c r="I1489" t="str">
        <f t="shared" si="975"/>
        <v>FICHA CONECTOR</v>
      </c>
      <c r="J1489" t="str">
        <f t="shared" si="954"/>
        <v>1</v>
      </c>
      <c r="K1489" t="str">
        <f t="shared" si="948"/>
        <v>0</v>
      </c>
      <c r="L1489" t="str">
        <f>"0,000"</f>
        <v>0,000</v>
      </c>
      <c r="M1489" t="str">
        <f t="shared" si="955"/>
        <v xml:space="preserve"> </v>
      </c>
      <c r="N1489" t="str">
        <f t="shared" si="976"/>
        <v>AUTRONIC</v>
      </c>
      <c r="O1489" t="str">
        <f t="shared" si="977"/>
        <v>CABLES</v>
      </c>
      <c r="P1489" t="str">
        <f t="shared" si="972"/>
        <v>0</v>
      </c>
      <c r="Q1489" t="str">
        <f t="shared" si="972"/>
        <v>0</v>
      </c>
      <c r="R1489" t="str">
        <f t="shared" si="973"/>
        <v>0,00</v>
      </c>
      <c r="S1489" t="str">
        <f t="shared" si="973"/>
        <v>0,00</v>
      </c>
      <c r="T1489" t="str">
        <f t="shared" si="951"/>
        <v xml:space="preserve"> </v>
      </c>
      <c r="U1489" t="str">
        <f t="shared" si="974"/>
        <v xml:space="preserve"> </v>
      </c>
      <c r="V1489" t="str">
        <f>"0,000"</f>
        <v>0,000</v>
      </c>
      <c r="W1489" t="str">
        <f t="shared" si="956"/>
        <v>Lista 4</v>
      </c>
      <c r="X1489" t="str">
        <f t="shared" si="957"/>
        <v>Lista 5</v>
      </c>
      <c r="Y1489" t="str">
        <f t="shared" si="958"/>
        <v>Oferta Gral.</v>
      </c>
      <c r="Z1489" t="str">
        <f t="shared" si="959"/>
        <v>Rubro</v>
      </c>
      <c r="AA1489" t="str">
        <f t="shared" si="960"/>
        <v>Cantidad por Bulto</v>
      </c>
      <c r="AB1489" t="str">
        <f t="shared" si="961"/>
        <v>INNER</v>
      </c>
      <c r="AC1489" t="str">
        <f t="shared" si="962"/>
        <v>Stock en Bultos</v>
      </c>
      <c r="AD1489" t="str">
        <f t="shared" si="963"/>
        <v>SubDepósito</v>
      </c>
      <c r="AE1489" t="str">
        <f t="shared" si="964"/>
        <v>Marca</v>
      </c>
      <c r="AF1489" t="str">
        <f t="shared" si="965"/>
        <v>Super Rubro</v>
      </c>
      <c r="AG1489" t="str">
        <f t="shared" si="966"/>
        <v>ComercioExterior</v>
      </c>
      <c r="AH1489" t="str">
        <f t="shared" si="967"/>
        <v>PrecioFOB</v>
      </c>
      <c r="AI1489" t="str">
        <f t="shared" si="968"/>
        <v>Monto II</v>
      </c>
      <c r="AJ1489" t="str">
        <f t="shared" si="969"/>
        <v>Porcentaje II</v>
      </c>
      <c r="AK1489" t="str">
        <f t="shared" si="970"/>
        <v>Foto</v>
      </c>
      <c r="AL1489" t="str">
        <f>"{\rtf1\ansi\ansicpg1252\deff0\deflang11274{\fonttbl{\f0\fnil\fcharset0 MS Sans Serif}} \viewkind4\uc1\pard\f0\fs16 CONECTOR 2 V\'cdAS HERMAFRODITA \endash  ORIG. RENAULT\par } "</f>
        <v xml:space="preserve">{\rtf1\ansi\ansicpg1252\deff0\deflang11274{\fonttbl{\f0\fnil\fcharset0 MS Sans Serif}} \viewkind4\uc1\pard\f0\fs16 CONECTOR 2 V\'cdAS HERMAFRODITA \endash  ORIG. RENAULT\par } </v>
      </c>
      <c r="AM1489" t="str">
        <f t="shared" si="978"/>
        <v>-</v>
      </c>
    </row>
    <row r="1490" spans="1:39" x14ac:dyDescent="0.25">
      <c r="A1490" t="str">
        <f>"10155"</f>
        <v>10155</v>
      </c>
      <c r="B1490" t="str">
        <f>"CONECTOR 2 VÍAS INT. RETROMARCHA – MOTOR ALZACRIST. DUNA/UNO/REGATTA"</f>
        <v>CONECTOR 2 VÍAS INT. RETROMARCHA – MOTOR ALZACRIST. DUNA/UNO/REGATTA</v>
      </c>
      <c r="C1490" t="str">
        <f>"$ 3460,76"</f>
        <v>$ 3460,76</v>
      </c>
      <c r="D1490" t="str">
        <f>"$ 3460,76"</f>
        <v>$ 3460,76</v>
      </c>
      <c r="E1490" t="str">
        <f>"$ 3460,76"</f>
        <v>$ 3460,76</v>
      </c>
      <c r="F1490" t="str">
        <f>"$ 3460,76"</f>
        <v>$ 3460,76</v>
      </c>
      <c r="G1490" t="str">
        <f>"$ 3460,76"</f>
        <v>$ 3460,76</v>
      </c>
      <c r="H1490" t="str">
        <f t="shared" si="953"/>
        <v>$ 0,00</v>
      </c>
      <c r="I1490" t="str">
        <f t="shared" si="975"/>
        <v>FICHA CONECTOR</v>
      </c>
      <c r="J1490" t="str">
        <f t="shared" si="954"/>
        <v>1</v>
      </c>
      <c r="K1490" t="str">
        <f t="shared" si="948"/>
        <v>0</v>
      </c>
      <c r="L1490" t="str">
        <f>"0,000"</f>
        <v>0,000</v>
      </c>
      <c r="M1490" t="str">
        <f t="shared" si="955"/>
        <v xml:space="preserve"> </v>
      </c>
      <c r="N1490" t="str">
        <f t="shared" si="976"/>
        <v>AUTRONIC</v>
      </c>
      <c r="O1490" t="str">
        <f t="shared" si="977"/>
        <v>CABLES</v>
      </c>
      <c r="P1490" t="str">
        <f t="shared" si="972"/>
        <v>0</v>
      </c>
      <c r="Q1490" t="str">
        <f t="shared" si="972"/>
        <v>0</v>
      </c>
      <c r="R1490" t="str">
        <f t="shared" si="973"/>
        <v>0,00</v>
      </c>
      <c r="S1490" t="str">
        <f t="shared" si="973"/>
        <v>0,00</v>
      </c>
      <c r="T1490" t="str">
        <f t="shared" si="951"/>
        <v xml:space="preserve"> </v>
      </c>
      <c r="U1490" t="str">
        <f t="shared" si="974"/>
        <v xml:space="preserve"> </v>
      </c>
      <c r="V1490" t="str">
        <f>"0,000"</f>
        <v>0,000</v>
      </c>
      <c r="W1490" t="str">
        <f t="shared" si="956"/>
        <v>Lista 4</v>
      </c>
      <c r="X1490" t="str">
        <f t="shared" si="957"/>
        <v>Lista 5</v>
      </c>
      <c r="Y1490" t="str">
        <f t="shared" si="958"/>
        <v>Oferta Gral.</v>
      </c>
      <c r="Z1490" t="str">
        <f t="shared" si="959"/>
        <v>Rubro</v>
      </c>
      <c r="AA1490" t="str">
        <f t="shared" si="960"/>
        <v>Cantidad por Bulto</v>
      </c>
      <c r="AB1490" t="str">
        <f t="shared" si="961"/>
        <v>INNER</v>
      </c>
      <c r="AC1490" t="str">
        <f t="shared" si="962"/>
        <v>Stock en Bultos</v>
      </c>
      <c r="AD1490" t="str">
        <f t="shared" si="963"/>
        <v>SubDepósito</v>
      </c>
      <c r="AE1490" t="str">
        <f t="shared" si="964"/>
        <v>Marca</v>
      </c>
      <c r="AF1490" t="str">
        <f t="shared" si="965"/>
        <v>Super Rubro</v>
      </c>
      <c r="AG1490" t="str">
        <f t="shared" si="966"/>
        <v>ComercioExterior</v>
      </c>
      <c r="AH1490" t="str">
        <f t="shared" si="967"/>
        <v>PrecioFOB</v>
      </c>
      <c r="AI1490" t="str">
        <f t="shared" si="968"/>
        <v>Monto II</v>
      </c>
      <c r="AJ1490" t="str">
        <f t="shared" si="969"/>
        <v>Porcentaje II</v>
      </c>
      <c r="AK1490" t="str">
        <f t="shared" si="970"/>
        <v>Foto</v>
      </c>
      <c r="AL1490" t="str">
        <f>"{\rtf1\ansi\ansicpg1252\deff0\deflang11274{\fonttbl{\f0\fnil\fcharset0 MS Sans Serif}} \viewkind4\uc1\pard\f0\fs16 CONECTOR 2 V\'cdAS INT. RETROMARCHA \endash  MOTOR ALZACRIST. DUNA/UNO/REGATTA\par } "</f>
        <v xml:space="preserve">{\rtf1\ansi\ansicpg1252\deff0\deflang11274{\fonttbl{\f0\fnil\fcharset0 MS Sans Serif}} \viewkind4\uc1\pard\f0\fs16 CONECTOR 2 V\'cdAS INT. RETROMARCHA \endash  MOTOR ALZACRIST. DUNA/UNO/REGATTA\par } </v>
      </c>
      <c r="AM1490" t="str">
        <f t="shared" si="978"/>
        <v>-</v>
      </c>
    </row>
    <row r="1491" spans="1:39" x14ac:dyDescent="0.25">
      <c r="A1491" t="str">
        <f>"10150"</f>
        <v>10150</v>
      </c>
      <c r="B1491" t="str">
        <f>"CONECTOR 2 VÍAS INT. STOP R19/21/TRAFIC/CLIO/MEGANE/EXPRESS"</f>
        <v>CONECTOR 2 VÍAS INT. STOP R19/21/TRAFIC/CLIO/MEGANE/EXPRESS</v>
      </c>
      <c r="C1491" t="str">
        <f>"$ 3193,52"</f>
        <v>$ 3193,52</v>
      </c>
      <c r="D1491" t="str">
        <f>"$ 3193,52"</f>
        <v>$ 3193,52</v>
      </c>
      <c r="E1491" t="str">
        <f>"$ 3193,52"</f>
        <v>$ 3193,52</v>
      </c>
      <c r="F1491" t="str">
        <f>"$ 3193,52"</f>
        <v>$ 3193,52</v>
      </c>
      <c r="G1491" t="str">
        <f>"$ 3193,52"</f>
        <v>$ 3193,52</v>
      </c>
      <c r="H1491" t="str">
        <f t="shared" si="953"/>
        <v>$ 0,00</v>
      </c>
      <c r="I1491" t="str">
        <f t="shared" si="975"/>
        <v>FICHA CONECTOR</v>
      </c>
      <c r="J1491" t="str">
        <f t="shared" si="954"/>
        <v>1</v>
      </c>
      <c r="K1491" t="str">
        <f t="shared" si="948"/>
        <v>0</v>
      </c>
      <c r="L1491" t="str">
        <f>"5,000"</f>
        <v>5,000</v>
      </c>
      <c r="M1491" t="str">
        <f t="shared" si="955"/>
        <v xml:space="preserve"> </v>
      </c>
      <c r="N1491" t="str">
        <f t="shared" si="976"/>
        <v>AUTRONIC</v>
      </c>
      <c r="O1491" t="str">
        <f t="shared" si="977"/>
        <v>CABLES</v>
      </c>
      <c r="P1491" t="str">
        <f t="shared" si="972"/>
        <v>0</v>
      </c>
      <c r="Q1491" t="str">
        <f t="shared" si="972"/>
        <v>0</v>
      </c>
      <c r="R1491" t="str">
        <f t="shared" si="973"/>
        <v>0,00</v>
      </c>
      <c r="S1491" t="str">
        <f t="shared" si="973"/>
        <v>0,00</v>
      </c>
      <c r="T1491" t="str">
        <f t="shared" si="951"/>
        <v xml:space="preserve"> </v>
      </c>
      <c r="U1491" t="str">
        <f t="shared" si="974"/>
        <v xml:space="preserve"> </v>
      </c>
      <c r="V1491" t="str">
        <f>"5,000"</f>
        <v>5,000</v>
      </c>
      <c r="W1491" t="str">
        <f t="shared" si="956"/>
        <v>Lista 4</v>
      </c>
      <c r="X1491" t="str">
        <f t="shared" si="957"/>
        <v>Lista 5</v>
      </c>
      <c r="Y1491" t="str">
        <f t="shared" si="958"/>
        <v>Oferta Gral.</v>
      </c>
      <c r="Z1491" t="str">
        <f t="shared" si="959"/>
        <v>Rubro</v>
      </c>
      <c r="AA1491" t="str">
        <f t="shared" si="960"/>
        <v>Cantidad por Bulto</v>
      </c>
      <c r="AB1491" t="str">
        <f t="shared" si="961"/>
        <v>INNER</v>
      </c>
      <c r="AC1491" t="str">
        <f t="shared" si="962"/>
        <v>Stock en Bultos</v>
      </c>
      <c r="AD1491" t="str">
        <f t="shared" si="963"/>
        <v>SubDepósito</v>
      </c>
      <c r="AE1491" t="str">
        <f t="shared" si="964"/>
        <v>Marca</v>
      </c>
      <c r="AF1491" t="str">
        <f t="shared" si="965"/>
        <v>Super Rubro</v>
      </c>
      <c r="AG1491" t="str">
        <f t="shared" si="966"/>
        <v>ComercioExterior</v>
      </c>
      <c r="AH1491" t="str">
        <f t="shared" si="967"/>
        <v>PrecioFOB</v>
      </c>
      <c r="AI1491" t="str">
        <f t="shared" si="968"/>
        <v>Monto II</v>
      </c>
      <c r="AJ1491" t="str">
        <f t="shared" si="969"/>
        <v>Porcentaje II</v>
      </c>
      <c r="AK1491" t="str">
        <f t="shared" si="970"/>
        <v>Foto</v>
      </c>
      <c r="AL1491" t="str">
        <f>"{\rtf1\ansi\ansicpg1252\deff0\deflang11274{\fonttbl{\f0\fnil\fcharset0 MS Sans Serif}} \viewkind4\uc1\pard\f0\fs16 CONECTOR 2 V\'cdAS INT. STOP R19/21/TRAFIC/CLIO/MEGANE/EXPRESS\par } "</f>
        <v xml:space="preserve">{\rtf1\ansi\ansicpg1252\deff0\deflang11274{\fonttbl{\f0\fnil\fcharset0 MS Sans Serif}} \viewkind4\uc1\pard\f0\fs16 CONECTOR 2 V\'cdAS INT. STOP R19/21/TRAFIC/CLIO/MEGANE/EXPRESS\par } </v>
      </c>
      <c r="AM1491" t="str">
        <f t="shared" si="978"/>
        <v>-</v>
      </c>
    </row>
    <row r="1492" spans="1:39" x14ac:dyDescent="0.25">
      <c r="A1492" t="str">
        <f>"10151"</f>
        <v>10151</v>
      </c>
      <c r="B1492" t="str">
        <f>"CONECTOR 2 VÍAS INT. STOP – FIAT PALIO – SIENA"</f>
        <v>CONECTOR 2 VÍAS INT. STOP – FIAT PALIO – SIENA</v>
      </c>
      <c r="C1492" t="str">
        <f>"$ 2512,06"</f>
        <v>$ 2512,06</v>
      </c>
      <c r="D1492" t="str">
        <f>"$ 2512,06"</f>
        <v>$ 2512,06</v>
      </c>
      <c r="E1492" t="str">
        <f>"$ 2512,06"</f>
        <v>$ 2512,06</v>
      </c>
      <c r="F1492" t="str">
        <f>"$ 2512,06"</f>
        <v>$ 2512,06</v>
      </c>
      <c r="G1492" t="str">
        <f>"$ 2512,06"</f>
        <v>$ 2512,06</v>
      </c>
      <c r="H1492" t="str">
        <f t="shared" si="953"/>
        <v>$ 0,00</v>
      </c>
      <c r="I1492" t="str">
        <f t="shared" si="975"/>
        <v>FICHA CONECTOR</v>
      </c>
      <c r="J1492" t="str">
        <f t="shared" si="954"/>
        <v>1</v>
      </c>
      <c r="K1492" t="str">
        <f t="shared" si="948"/>
        <v>0</v>
      </c>
      <c r="L1492" t="str">
        <f>"10,000"</f>
        <v>10,000</v>
      </c>
      <c r="M1492" t="str">
        <f t="shared" si="955"/>
        <v xml:space="preserve"> </v>
      </c>
      <c r="N1492" t="str">
        <f t="shared" si="976"/>
        <v>AUTRONIC</v>
      </c>
      <c r="O1492" t="str">
        <f t="shared" si="977"/>
        <v>CABLES</v>
      </c>
      <c r="P1492" t="str">
        <f t="shared" si="972"/>
        <v>0</v>
      </c>
      <c r="Q1492" t="str">
        <f t="shared" si="972"/>
        <v>0</v>
      </c>
      <c r="R1492" t="str">
        <f t="shared" si="973"/>
        <v>0,00</v>
      </c>
      <c r="S1492" t="str">
        <f t="shared" si="973"/>
        <v>0,00</v>
      </c>
      <c r="T1492" t="str">
        <f t="shared" si="951"/>
        <v xml:space="preserve"> </v>
      </c>
      <c r="U1492" t="str">
        <f t="shared" si="974"/>
        <v xml:space="preserve"> </v>
      </c>
      <c r="V1492" t="str">
        <f>"10,000"</f>
        <v>10,000</v>
      </c>
      <c r="W1492" t="str">
        <f t="shared" si="956"/>
        <v>Lista 4</v>
      </c>
      <c r="X1492" t="str">
        <f t="shared" si="957"/>
        <v>Lista 5</v>
      </c>
      <c r="Y1492" t="str">
        <f t="shared" si="958"/>
        <v>Oferta Gral.</v>
      </c>
      <c r="Z1492" t="str">
        <f t="shared" si="959"/>
        <v>Rubro</v>
      </c>
      <c r="AA1492" t="str">
        <f t="shared" si="960"/>
        <v>Cantidad por Bulto</v>
      </c>
      <c r="AB1492" t="str">
        <f t="shared" si="961"/>
        <v>INNER</v>
      </c>
      <c r="AC1492" t="str">
        <f t="shared" si="962"/>
        <v>Stock en Bultos</v>
      </c>
      <c r="AD1492" t="str">
        <f t="shared" si="963"/>
        <v>SubDepósito</v>
      </c>
      <c r="AE1492" t="str">
        <f t="shared" si="964"/>
        <v>Marca</v>
      </c>
      <c r="AF1492" t="str">
        <f t="shared" si="965"/>
        <v>Super Rubro</v>
      </c>
      <c r="AG1492" t="str">
        <f t="shared" si="966"/>
        <v>ComercioExterior</v>
      </c>
      <c r="AH1492" t="str">
        <f t="shared" si="967"/>
        <v>PrecioFOB</v>
      </c>
      <c r="AI1492" t="str">
        <f t="shared" si="968"/>
        <v>Monto II</v>
      </c>
      <c r="AJ1492" t="str">
        <f t="shared" si="969"/>
        <v>Porcentaje II</v>
      </c>
      <c r="AK1492" t="str">
        <f t="shared" si="970"/>
        <v>Foto</v>
      </c>
      <c r="AL1492" t="str">
        <f>"{\rtf1\ansi\ansicpg1252\deff0\deflang11274{\fonttbl{\f0\fnil\fcharset0 MS Sans Serif}} \viewkind4\uc1\pard\f0\fs16 CONECTOR 2 V\'cdAS INT. STOP \endash  FIAT PALIO \endash  SIENA\par } "</f>
        <v xml:space="preserve">{\rtf1\ansi\ansicpg1252\deff0\deflang11274{\fonttbl{\f0\fnil\fcharset0 MS Sans Serif}} \viewkind4\uc1\pard\f0\fs16 CONECTOR 2 V\'cdAS INT. STOP \endash  FIAT PALIO \endash  SIENA\par } </v>
      </c>
      <c r="AM1492" t="str">
        <f t="shared" si="978"/>
        <v>-</v>
      </c>
    </row>
    <row r="1493" spans="1:39" x14ac:dyDescent="0.25">
      <c r="A1493" t="str">
        <f>"10145"</f>
        <v>10145</v>
      </c>
      <c r="B1493" t="str">
        <f>"CONECTOR 2 VÍAS INYECTORES – SENSORES  – UNIVERSAL – VARIOS"</f>
        <v>CONECTOR 2 VÍAS INYECTORES – SENSORES  – UNIVERSAL – VARIOS</v>
      </c>
      <c r="C1493" t="str">
        <f>"$ 2071,11"</f>
        <v>$ 2071,11</v>
      </c>
      <c r="D1493" t="str">
        <f>"$ 2071,11"</f>
        <v>$ 2071,11</v>
      </c>
      <c r="E1493" t="str">
        <f>"$ 2071,11"</f>
        <v>$ 2071,11</v>
      </c>
      <c r="F1493" t="str">
        <f>"$ 2071,11"</f>
        <v>$ 2071,11</v>
      </c>
      <c r="G1493" t="str">
        <f>"$ 2071,11"</f>
        <v>$ 2071,11</v>
      </c>
      <c r="H1493" t="str">
        <f t="shared" si="953"/>
        <v>$ 0,00</v>
      </c>
      <c r="I1493" t="str">
        <f t="shared" si="975"/>
        <v>FICHA CONECTOR</v>
      </c>
      <c r="J1493" t="str">
        <f t="shared" si="954"/>
        <v>1</v>
      </c>
      <c r="K1493" t="str">
        <f t="shared" si="948"/>
        <v>0</v>
      </c>
      <c r="L1493" t="str">
        <f>"24,000"</f>
        <v>24,000</v>
      </c>
      <c r="M1493" t="str">
        <f t="shared" si="955"/>
        <v xml:space="preserve"> </v>
      </c>
      <c r="N1493" t="str">
        <f t="shared" si="976"/>
        <v>AUTRONIC</v>
      </c>
      <c r="O1493" t="str">
        <f t="shared" si="977"/>
        <v>CABLES</v>
      </c>
      <c r="P1493" t="str">
        <f t="shared" si="972"/>
        <v>0</v>
      </c>
      <c r="Q1493" t="str">
        <f t="shared" si="972"/>
        <v>0</v>
      </c>
      <c r="R1493" t="str">
        <f t="shared" si="973"/>
        <v>0,00</v>
      </c>
      <c r="S1493" t="str">
        <f t="shared" si="973"/>
        <v>0,00</v>
      </c>
      <c r="T1493" t="str">
        <f t="shared" si="951"/>
        <v xml:space="preserve"> </v>
      </c>
      <c r="U1493" t="str">
        <f t="shared" si="974"/>
        <v xml:space="preserve"> </v>
      </c>
      <c r="V1493" t="str">
        <f>"24,000"</f>
        <v>24,000</v>
      </c>
      <c r="W1493" t="str">
        <f t="shared" si="956"/>
        <v>Lista 4</v>
      </c>
      <c r="X1493" t="str">
        <f t="shared" si="957"/>
        <v>Lista 5</v>
      </c>
      <c r="Y1493" t="str">
        <f t="shared" si="958"/>
        <v>Oferta Gral.</v>
      </c>
      <c r="Z1493" t="str">
        <f t="shared" si="959"/>
        <v>Rubro</v>
      </c>
      <c r="AA1493" t="str">
        <f t="shared" si="960"/>
        <v>Cantidad por Bulto</v>
      </c>
      <c r="AB1493" t="str">
        <f t="shared" si="961"/>
        <v>INNER</v>
      </c>
      <c r="AC1493" t="str">
        <f t="shared" si="962"/>
        <v>Stock en Bultos</v>
      </c>
      <c r="AD1493" t="str">
        <f t="shared" si="963"/>
        <v>SubDepósito</v>
      </c>
      <c r="AE1493" t="str">
        <f t="shared" si="964"/>
        <v>Marca</v>
      </c>
      <c r="AF1493" t="str">
        <f t="shared" si="965"/>
        <v>Super Rubro</v>
      </c>
      <c r="AG1493" t="str">
        <f t="shared" si="966"/>
        <v>ComercioExterior</v>
      </c>
      <c r="AH1493" t="str">
        <f t="shared" si="967"/>
        <v>PrecioFOB</v>
      </c>
      <c r="AI1493" t="str">
        <f t="shared" si="968"/>
        <v>Monto II</v>
      </c>
      <c r="AJ1493" t="str">
        <f t="shared" si="969"/>
        <v>Porcentaje II</v>
      </c>
      <c r="AK1493" t="str">
        <f t="shared" si="970"/>
        <v>Foto</v>
      </c>
      <c r="AL1493" t="str">
        <f>"{\rtf1\ansi\ansicpg1252\deff0\deflang11274{\fonttbl{\f0\fnil\fcharset0 MS Sans Serif}} \viewkind4\uc1\pard\f0\fs16 CONECTOR 2 V\'cdAS INYECTORES \endash  SENSORES  \endash  UNIVERSAL \endash  VARIOS\par } "</f>
        <v xml:space="preserve">{\rtf1\ansi\ansicpg1252\deff0\deflang11274{\fonttbl{\f0\fnil\fcharset0 MS Sans Serif}} \viewkind4\uc1\pard\f0\fs16 CONECTOR 2 V\'cdAS INYECTORES \endash  SENSORES  \endash  UNIVERSAL \endash  VARIOS\par } </v>
      </c>
      <c r="AM1493" t="str">
        <f t="shared" si="978"/>
        <v>-</v>
      </c>
    </row>
    <row r="1494" spans="1:39" x14ac:dyDescent="0.25">
      <c r="A1494" t="str">
        <f>"10179"</f>
        <v>10179</v>
      </c>
      <c r="B1494" t="str">
        <f>"CONECTOR 2 VÍAS LÁMPARA FARO Nº 9006 – FORD – FIAT"</f>
        <v>CONECTOR 2 VÍAS LÁMPARA FARO Nº 9006 – FORD – FIAT</v>
      </c>
      <c r="C1494" t="str">
        <f>"$ 2939,64"</f>
        <v>$ 2939,64</v>
      </c>
      <c r="D1494" t="str">
        <f>"$ 2939,64"</f>
        <v>$ 2939,64</v>
      </c>
      <c r="E1494" t="str">
        <f>"$ 2939,64"</f>
        <v>$ 2939,64</v>
      </c>
      <c r="F1494" t="str">
        <f>"$ 2939,64"</f>
        <v>$ 2939,64</v>
      </c>
      <c r="G1494" t="str">
        <f>"$ 2939,64"</f>
        <v>$ 2939,64</v>
      </c>
      <c r="H1494" t="str">
        <f t="shared" si="953"/>
        <v>$ 0,00</v>
      </c>
      <c r="I1494" t="str">
        <f t="shared" si="975"/>
        <v>FICHA CONECTOR</v>
      </c>
      <c r="J1494" t="str">
        <f t="shared" si="954"/>
        <v>1</v>
      </c>
      <c r="K1494" t="str">
        <f t="shared" si="948"/>
        <v>0</v>
      </c>
      <c r="L1494" t="str">
        <f>"0,000"</f>
        <v>0,000</v>
      </c>
      <c r="M1494" t="str">
        <f t="shared" si="955"/>
        <v xml:space="preserve"> </v>
      </c>
      <c r="N1494" t="str">
        <f t="shared" si="976"/>
        <v>AUTRONIC</v>
      </c>
      <c r="O1494" t="str">
        <f t="shared" si="977"/>
        <v>CABLES</v>
      </c>
      <c r="P1494" t="str">
        <f t="shared" si="972"/>
        <v>0</v>
      </c>
      <c r="Q1494" t="str">
        <f t="shared" si="972"/>
        <v>0</v>
      </c>
      <c r="R1494" t="str">
        <f t="shared" si="973"/>
        <v>0,00</v>
      </c>
      <c r="S1494" t="str">
        <f t="shared" si="973"/>
        <v>0,00</v>
      </c>
      <c r="T1494" t="str">
        <f t="shared" si="951"/>
        <v xml:space="preserve"> </v>
      </c>
      <c r="U1494" t="str">
        <f t="shared" si="974"/>
        <v xml:space="preserve"> </v>
      </c>
      <c r="V1494" t="str">
        <f>"0,000"</f>
        <v>0,000</v>
      </c>
      <c r="W1494" t="str">
        <f t="shared" si="956"/>
        <v>Lista 4</v>
      </c>
      <c r="X1494" t="str">
        <f t="shared" si="957"/>
        <v>Lista 5</v>
      </c>
      <c r="Y1494" t="str">
        <f t="shared" si="958"/>
        <v>Oferta Gral.</v>
      </c>
      <c r="Z1494" t="str">
        <f t="shared" si="959"/>
        <v>Rubro</v>
      </c>
      <c r="AA1494" t="str">
        <f t="shared" si="960"/>
        <v>Cantidad por Bulto</v>
      </c>
      <c r="AB1494" t="str">
        <f t="shared" si="961"/>
        <v>INNER</v>
      </c>
      <c r="AC1494" t="str">
        <f t="shared" si="962"/>
        <v>Stock en Bultos</v>
      </c>
      <c r="AD1494" t="str">
        <f t="shared" si="963"/>
        <v>SubDepósito</v>
      </c>
      <c r="AE1494" t="str">
        <f t="shared" si="964"/>
        <v>Marca</v>
      </c>
      <c r="AF1494" t="str">
        <f t="shared" si="965"/>
        <v>Super Rubro</v>
      </c>
      <c r="AG1494" t="str">
        <f t="shared" si="966"/>
        <v>ComercioExterior</v>
      </c>
      <c r="AH1494" t="str">
        <f t="shared" si="967"/>
        <v>PrecioFOB</v>
      </c>
      <c r="AI1494" t="str">
        <f t="shared" si="968"/>
        <v>Monto II</v>
      </c>
      <c r="AJ1494" t="str">
        <f t="shared" si="969"/>
        <v>Porcentaje II</v>
      </c>
      <c r="AK1494" t="str">
        <f t="shared" si="970"/>
        <v>Foto</v>
      </c>
      <c r="AL1494" t="str">
        <f>"{\rtf1\ansi\ansicpg1252\deff0\deflang11274{\fonttbl{\f0\fnil\fcharset0 MS Sans Serif}} \viewkind4\uc1\pard\f0\fs16 CONECTOR 2 V\'cdAS L\'c1MPARA FARO N\'ba 9006 \endash  FORD \endash  FIAT\par } "</f>
        <v xml:space="preserve">{\rtf1\ansi\ansicpg1252\deff0\deflang11274{\fonttbl{\f0\fnil\fcharset0 MS Sans Serif}} \viewkind4\uc1\pard\f0\fs16 CONECTOR 2 V\'cdAS L\'c1MPARA FARO N\'ba 9006 \endash  FORD \endash  FIAT\par } </v>
      </c>
      <c r="AM1494" t="str">
        <f t="shared" si="978"/>
        <v>-</v>
      </c>
    </row>
    <row r="1495" spans="1:39" x14ac:dyDescent="0.25">
      <c r="A1495" t="str">
        <f>"10182"</f>
        <v>10182</v>
      </c>
      <c r="B1495" t="str">
        <f>"CONECTOR 2 VÍAS MACHO - INYECCIÓN"</f>
        <v>CONECTOR 2 VÍAS MACHO - INYECCIÓN</v>
      </c>
      <c r="C1495" t="str">
        <f>"$ 2071,11"</f>
        <v>$ 2071,11</v>
      </c>
      <c r="D1495" t="str">
        <f>"$ 2071,11"</f>
        <v>$ 2071,11</v>
      </c>
      <c r="E1495" t="str">
        <f>"$ 2071,11"</f>
        <v>$ 2071,11</v>
      </c>
      <c r="F1495" t="str">
        <f>"$ 2071,11"</f>
        <v>$ 2071,11</v>
      </c>
      <c r="G1495" t="str">
        <f>"$ 2071,11"</f>
        <v>$ 2071,11</v>
      </c>
      <c r="H1495" t="str">
        <f t="shared" si="953"/>
        <v>$ 0,00</v>
      </c>
      <c r="I1495" t="str">
        <f t="shared" si="975"/>
        <v>FICHA CONECTOR</v>
      </c>
      <c r="J1495" t="str">
        <f t="shared" si="954"/>
        <v>1</v>
      </c>
      <c r="K1495" t="str">
        <f t="shared" si="948"/>
        <v>0</v>
      </c>
      <c r="L1495" t="str">
        <f>"0,000"</f>
        <v>0,000</v>
      </c>
      <c r="M1495" t="str">
        <f t="shared" si="955"/>
        <v xml:space="preserve"> </v>
      </c>
      <c r="N1495" t="str">
        <f t="shared" si="976"/>
        <v>AUTRONIC</v>
      </c>
      <c r="O1495" t="str">
        <f t="shared" si="977"/>
        <v>CABLES</v>
      </c>
      <c r="P1495" t="str">
        <f t="shared" si="972"/>
        <v>0</v>
      </c>
      <c r="Q1495" t="str">
        <f t="shared" si="972"/>
        <v>0</v>
      </c>
      <c r="R1495" t="str">
        <f t="shared" si="973"/>
        <v>0,00</v>
      </c>
      <c r="S1495" t="str">
        <f t="shared" si="973"/>
        <v>0,00</v>
      </c>
      <c r="T1495" t="str">
        <f t="shared" si="951"/>
        <v xml:space="preserve"> </v>
      </c>
      <c r="U1495" t="str">
        <f t="shared" si="974"/>
        <v xml:space="preserve"> </v>
      </c>
      <c r="V1495" t="str">
        <f>"0,000"</f>
        <v>0,000</v>
      </c>
      <c r="W1495" t="str">
        <f t="shared" si="956"/>
        <v>Lista 4</v>
      </c>
      <c r="X1495" t="str">
        <f t="shared" si="957"/>
        <v>Lista 5</v>
      </c>
      <c r="Y1495" t="str">
        <f t="shared" si="958"/>
        <v>Oferta Gral.</v>
      </c>
      <c r="Z1495" t="str">
        <f t="shared" si="959"/>
        <v>Rubro</v>
      </c>
      <c r="AA1495" t="str">
        <f t="shared" si="960"/>
        <v>Cantidad por Bulto</v>
      </c>
      <c r="AB1495" t="str">
        <f t="shared" si="961"/>
        <v>INNER</v>
      </c>
      <c r="AC1495" t="str">
        <f t="shared" si="962"/>
        <v>Stock en Bultos</v>
      </c>
      <c r="AD1495" t="str">
        <f t="shared" si="963"/>
        <v>SubDepósito</v>
      </c>
      <c r="AE1495" t="str">
        <f t="shared" si="964"/>
        <v>Marca</v>
      </c>
      <c r="AF1495" t="str">
        <f t="shared" si="965"/>
        <v>Super Rubro</v>
      </c>
      <c r="AG1495" t="str">
        <f t="shared" si="966"/>
        <v>ComercioExterior</v>
      </c>
      <c r="AH1495" t="str">
        <f t="shared" si="967"/>
        <v>PrecioFOB</v>
      </c>
      <c r="AI1495" t="str">
        <f t="shared" si="968"/>
        <v>Monto II</v>
      </c>
      <c r="AJ1495" t="str">
        <f t="shared" si="969"/>
        <v>Porcentaje II</v>
      </c>
      <c r="AK1495" t="str">
        <f t="shared" si="970"/>
        <v>Foto</v>
      </c>
      <c r="AL1495" t="str">
        <f>"{\rtf1\ansi\ansicpg1252\deff0\deflang11274{\fonttbl{\f0\fnil\fcharset0 MS Sans Serif}} \viewkind4\uc1\pard\f0\fs16 CONECTOR 2 V\'cdAS MACHO - INYECCI\'d3N\par } "</f>
        <v xml:space="preserve">{\rtf1\ansi\ansicpg1252\deff0\deflang11274{\fonttbl{\f0\fnil\fcharset0 MS Sans Serif}} \viewkind4\uc1\pard\f0\fs16 CONECTOR 2 V\'cdAS MACHO - INYECCI\'d3N\par } </v>
      </c>
      <c r="AM1495" t="str">
        <f t="shared" si="978"/>
        <v>-</v>
      </c>
    </row>
    <row r="1496" spans="1:39" x14ac:dyDescent="0.25">
      <c r="A1496" t="str">
        <f>"10105"</f>
        <v>10105</v>
      </c>
      <c r="B1496" t="str">
        <f>"CONECTOR 2 VÍAS MACHO EN T – PORTA MACHO T:  6.35 MM.- UNIVERSAL"</f>
        <v>CONECTOR 2 VÍAS MACHO EN T – PORTA MACHO T:  6.35 MM.- UNIVERSAL</v>
      </c>
      <c r="C1496" t="str">
        <f t="shared" ref="C1496:G1497" si="979">"$ 908,62"</f>
        <v>$ 908,62</v>
      </c>
      <c r="D1496" t="str">
        <f t="shared" si="979"/>
        <v>$ 908,62</v>
      </c>
      <c r="E1496" t="str">
        <f t="shared" si="979"/>
        <v>$ 908,62</v>
      </c>
      <c r="F1496" t="str">
        <f t="shared" si="979"/>
        <v>$ 908,62</v>
      </c>
      <c r="G1496" t="str">
        <f t="shared" si="979"/>
        <v>$ 908,62</v>
      </c>
      <c r="H1496" t="str">
        <f t="shared" si="953"/>
        <v>$ 0,00</v>
      </c>
      <c r="I1496" t="str">
        <f t="shared" si="975"/>
        <v>FICHA CONECTOR</v>
      </c>
      <c r="J1496" t="str">
        <f t="shared" si="954"/>
        <v>1</v>
      </c>
      <c r="K1496" t="str">
        <f t="shared" si="948"/>
        <v>0</v>
      </c>
      <c r="L1496" t="str">
        <f>"10,000"</f>
        <v>10,000</v>
      </c>
      <c r="M1496" t="str">
        <f t="shared" si="955"/>
        <v xml:space="preserve"> </v>
      </c>
      <c r="N1496" t="str">
        <f t="shared" si="976"/>
        <v>AUTRONIC</v>
      </c>
      <c r="O1496" t="str">
        <f t="shared" si="977"/>
        <v>CABLES</v>
      </c>
      <c r="P1496" t="str">
        <f t="shared" si="972"/>
        <v>0</v>
      </c>
      <c r="Q1496" t="str">
        <f t="shared" si="972"/>
        <v>0</v>
      </c>
      <c r="R1496" t="str">
        <f t="shared" si="973"/>
        <v>0,00</v>
      </c>
      <c r="S1496" t="str">
        <f t="shared" si="973"/>
        <v>0,00</v>
      </c>
      <c r="T1496" t="str">
        <f t="shared" si="951"/>
        <v xml:space="preserve"> </v>
      </c>
      <c r="U1496" t="str">
        <f t="shared" si="974"/>
        <v xml:space="preserve"> </v>
      </c>
      <c r="V1496" t="str">
        <f>"10,000"</f>
        <v>10,000</v>
      </c>
      <c r="W1496" t="str">
        <f t="shared" si="956"/>
        <v>Lista 4</v>
      </c>
      <c r="X1496" t="str">
        <f t="shared" si="957"/>
        <v>Lista 5</v>
      </c>
      <c r="Y1496" t="str">
        <f t="shared" si="958"/>
        <v>Oferta Gral.</v>
      </c>
      <c r="Z1496" t="str">
        <f t="shared" si="959"/>
        <v>Rubro</v>
      </c>
      <c r="AA1496" t="str">
        <f t="shared" si="960"/>
        <v>Cantidad por Bulto</v>
      </c>
      <c r="AB1496" t="str">
        <f t="shared" si="961"/>
        <v>INNER</v>
      </c>
      <c r="AC1496" t="str">
        <f t="shared" si="962"/>
        <v>Stock en Bultos</v>
      </c>
      <c r="AD1496" t="str">
        <f t="shared" si="963"/>
        <v>SubDepósito</v>
      </c>
      <c r="AE1496" t="str">
        <f t="shared" si="964"/>
        <v>Marca</v>
      </c>
      <c r="AF1496" t="str">
        <f t="shared" si="965"/>
        <v>Super Rubro</v>
      </c>
      <c r="AG1496" t="str">
        <f t="shared" si="966"/>
        <v>ComercioExterior</v>
      </c>
      <c r="AH1496" t="str">
        <f t="shared" si="967"/>
        <v>PrecioFOB</v>
      </c>
      <c r="AI1496" t="str">
        <f t="shared" si="968"/>
        <v>Monto II</v>
      </c>
      <c r="AJ1496" t="str">
        <f t="shared" si="969"/>
        <v>Porcentaje II</v>
      </c>
      <c r="AK1496" t="str">
        <f t="shared" si="970"/>
        <v>Foto</v>
      </c>
      <c r="AL1496" t="str">
        <f>"{\rtf1\ansi\ansicpg1252\deff0\deflang11274{\fonttbl{\f0\fnil\fcharset0 MS Sans Serif}} \viewkind4\uc1\pard\f0\fs16 CONECTOR 2 V\'cdAS MACHO EN T \endash  PORTA MACHO T:  6.35 MM.- UNIVERSAL\par } "</f>
        <v xml:space="preserve">{\rtf1\ansi\ansicpg1252\deff0\deflang11274{\fonttbl{\f0\fnil\fcharset0 MS Sans Serif}} \viewkind4\uc1\pard\f0\fs16 CONECTOR 2 V\'cdAS MACHO EN T \endash  PORTA MACHO T:  6.35 MM.- UNIVERSAL\par } </v>
      </c>
      <c r="AM1496" t="str">
        <f t="shared" si="978"/>
        <v>-</v>
      </c>
    </row>
    <row r="1497" spans="1:39" x14ac:dyDescent="0.25">
      <c r="A1497" t="str">
        <f>"10103"</f>
        <v>10103</v>
      </c>
      <c r="B1497" t="str">
        <f>"CONECTOR 2 VÍAS MACHO – PORTA HEMBRA T:  6.35 MM.- UNIVERSAL"</f>
        <v>CONECTOR 2 VÍAS MACHO – PORTA HEMBRA T:  6.35 MM.- UNIVERSAL</v>
      </c>
      <c r="C1497" t="str">
        <f t="shared" si="979"/>
        <v>$ 908,62</v>
      </c>
      <c r="D1497" t="str">
        <f t="shared" si="979"/>
        <v>$ 908,62</v>
      </c>
      <c r="E1497" t="str">
        <f t="shared" si="979"/>
        <v>$ 908,62</v>
      </c>
      <c r="F1497" t="str">
        <f t="shared" si="979"/>
        <v>$ 908,62</v>
      </c>
      <c r="G1497" t="str">
        <f t="shared" si="979"/>
        <v>$ 908,62</v>
      </c>
      <c r="H1497" t="str">
        <f t="shared" si="953"/>
        <v>$ 0,00</v>
      </c>
      <c r="I1497" t="str">
        <f t="shared" si="975"/>
        <v>FICHA CONECTOR</v>
      </c>
      <c r="J1497" t="str">
        <f t="shared" si="954"/>
        <v>1</v>
      </c>
      <c r="K1497" t="str">
        <f t="shared" si="948"/>
        <v>0</v>
      </c>
      <c r="L1497" t="str">
        <f>"13,000"</f>
        <v>13,000</v>
      </c>
      <c r="M1497" t="str">
        <f t="shared" si="955"/>
        <v xml:space="preserve"> </v>
      </c>
      <c r="N1497" t="str">
        <f t="shared" si="976"/>
        <v>AUTRONIC</v>
      </c>
      <c r="O1497" t="str">
        <f t="shared" si="977"/>
        <v>CABLES</v>
      </c>
      <c r="P1497" t="str">
        <f t="shared" si="972"/>
        <v>0</v>
      </c>
      <c r="Q1497" t="str">
        <f t="shared" si="972"/>
        <v>0</v>
      </c>
      <c r="R1497" t="str">
        <f t="shared" si="973"/>
        <v>0,00</v>
      </c>
      <c r="S1497" t="str">
        <f t="shared" si="973"/>
        <v>0,00</v>
      </c>
      <c r="T1497" t="str">
        <f t="shared" ref="T1497:T1528" si="980">" "</f>
        <v xml:space="preserve"> </v>
      </c>
      <c r="U1497" t="str">
        <f t="shared" si="974"/>
        <v xml:space="preserve"> </v>
      </c>
      <c r="V1497" t="str">
        <f>"13,000"</f>
        <v>13,000</v>
      </c>
      <c r="W1497" t="str">
        <f t="shared" si="956"/>
        <v>Lista 4</v>
      </c>
      <c r="X1497" t="str">
        <f t="shared" si="957"/>
        <v>Lista 5</v>
      </c>
      <c r="Y1497" t="str">
        <f t="shared" si="958"/>
        <v>Oferta Gral.</v>
      </c>
      <c r="Z1497" t="str">
        <f t="shared" si="959"/>
        <v>Rubro</v>
      </c>
      <c r="AA1497" t="str">
        <f t="shared" si="960"/>
        <v>Cantidad por Bulto</v>
      </c>
      <c r="AB1497" t="str">
        <f t="shared" si="961"/>
        <v>INNER</v>
      </c>
      <c r="AC1497" t="str">
        <f t="shared" si="962"/>
        <v>Stock en Bultos</v>
      </c>
      <c r="AD1497" t="str">
        <f t="shared" si="963"/>
        <v>SubDepósito</v>
      </c>
      <c r="AE1497" t="str">
        <f t="shared" si="964"/>
        <v>Marca</v>
      </c>
      <c r="AF1497" t="str">
        <f t="shared" si="965"/>
        <v>Super Rubro</v>
      </c>
      <c r="AG1497" t="str">
        <f t="shared" si="966"/>
        <v>ComercioExterior</v>
      </c>
      <c r="AH1497" t="str">
        <f t="shared" si="967"/>
        <v>PrecioFOB</v>
      </c>
      <c r="AI1497" t="str">
        <f t="shared" si="968"/>
        <v>Monto II</v>
      </c>
      <c r="AJ1497" t="str">
        <f t="shared" si="969"/>
        <v>Porcentaje II</v>
      </c>
      <c r="AK1497" t="str">
        <f t="shared" si="970"/>
        <v>Foto</v>
      </c>
      <c r="AL1497" t="str">
        <f>"{\rtf1\ansi\ansicpg1252\deff0\deflang11274{\fonttbl{\f0\fnil\fcharset0 MS Sans Serif}} \viewkind4\uc1\pard\f0\fs16 CONECTOR 2 V\'cdAS MACHO \endash  PORTA HEMBRA T:  6.35 MM.- UNIVERSAL\par } "</f>
        <v xml:space="preserve">{\rtf1\ansi\ansicpg1252\deff0\deflang11274{\fonttbl{\f0\fnil\fcharset0 MS Sans Serif}} \viewkind4\uc1\pard\f0\fs16 CONECTOR 2 V\'cdAS MACHO \endash  PORTA HEMBRA T:  6.35 MM.- UNIVERSAL\par } </v>
      </c>
      <c r="AM1497" t="str">
        <f t="shared" si="978"/>
        <v>-</v>
      </c>
    </row>
    <row r="1498" spans="1:39" x14ac:dyDescent="0.25">
      <c r="A1498" t="str">
        <f>"10158"</f>
        <v>10158</v>
      </c>
      <c r="B1498" t="str">
        <f>"CONECTOR 2 VÍAS MARRÓN BULBO DE TEMPERATURA – PEUGEOT 405"</f>
        <v>CONECTOR 2 VÍAS MARRÓN BULBO DE TEMPERATURA – PEUGEOT 405</v>
      </c>
      <c r="C1498" t="str">
        <f>"$ 3487,48"</f>
        <v>$ 3487,48</v>
      </c>
      <c r="D1498" t="str">
        <f>"$ 3487,48"</f>
        <v>$ 3487,48</v>
      </c>
      <c r="E1498" t="str">
        <f>"$ 3487,48"</f>
        <v>$ 3487,48</v>
      </c>
      <c r="F1498" t="str">
        <f>"$ 3487,48"</f>
        <v>$ 3487,48</v>
      </c>
      <c r="G1498" t="str">
        <f>"$ 3487,48"</f>
        <v>$ 3487,48</v>
      </c>
      <c r="H1498" t="str">
        <f t="shared" si="953"/>
        <v>$ 0,00</v>
      </c>
      <c r="I1498" t="str">
        <f t="shared" si="975"/>
        <v>FICHA CONECTOR</v>
      </c>
      <c r="J1498" t="str">
        <f t="shared" si="954"/>
        <v>1</v>
      </c>
      <c r="K1498" t="str">
        <f t="shared" si="948"/>
        <v>0</v>
      </c>
      <c r="L1498" t="str">
        <f>"0,000"</f>
        <v>0,000</v>
      </c>
      <c r="M1498" t="str">
        <f t="shared" si="955"/>
        <v xml:space="preserve"> </v>
      </c>
      <c r="N1498" t="str">
        <f t="shared" si="976"/>
        <v>AUTRONIC</v>
      </c>
      <c r="O1498" t="str">
        <f t="shared" si="977"/>
        <v>CABLES</v>
      </c>
      <c r="P1498" t="str">
        <f t="shared" si="972"/>
        <v>0</v>
      </c>
      <c r="Q1498" t="str">
        <f t="shared" si="972"/>
        <v>0</v>
      </c>
      <c r="R1498" t="str">
        <f t="shared" si="973"/>
        <v>0,00</v>
      </c>
      <c r="S1498" t="str">
        <f t="shared" si="973"/>
        <v>0,00</v>
      </c>
      <c r="T1498" t="str">
        <f t="shared" si="980"/>
        <v xml:space="preserve"> </v>
      </c>
      <c r="U1498" t="str">
        <f t="shared" si="974"/>
        <v xml:space="preserve"> </v>
      </c>
      <c r="V1498" t="str">
        <f>"0,000"</f>
        <v>0,000</v>
      </c>
      <c r="W1498" t="str">
        <f t="shared" si="956"/>
        <v>Lista 4</v>
      </c>
      <c r="X1498" t="str">
        <f t="shared" si="957"/>
        <v>Lista 5</v>
      </c>
      <c r="Y1498" t="str">
        <f t="shared" si="958"/>
        <v>Oferta Gral.</v>
      </c>
      <c r="Z1498" t="str">
        <f t="shared" si="959"/>
        <v>Rubro</v>
      </c>
      <c r="AA1498" t="str">
        <f t="shared" si="960"/>
        <v>Cantidad por Bulto</v>
      </c>
      <c r="AB1498" t="str">
        <f t="shared" si="961"/>
        <v>INNER</v>
      </c>
      <c r="AC1498" t="str">
        <f t="shared" si="962"/>
        <v>Stock en Bultos</v>
      </c>
      <c r="AD1498" t="str">
        <f t="shared" si="963"/>
        <v>SubDepósito</v>
      </c>
      <c r="AE1498" t="str">
        <f t="shared" si="964"/>
        <v>Marca</v>
      </c>
      <c r="AF1498" t="str">
        <f t="shared" si="965"/>
        <v>Super Rubro</v>
      </c>
      <c r="AG1498" t="str">
        <f t="shared" si="966"/>
        <v>ComercioExterior</v>
      </c>
      <c r="AH1498" t="str">
        <f t="shared" si="967"/>
        <v>PrecioFOB</v>
      </c>
      <c r="AI1498" t="str">
        <f t="shared" si="968"/>
        <v>Monto II</v>
      </c>
      <c r="AJ1498" t="str">
        <f t="shared" si="969"/>
        <v>Porcentaje II</v>
      </c>
      <c r="AK1498" t="str">
        <f t="shared" si="970"/>
        <v>Foto</v>
      </c>
      <c r="AL1498" t="str">
        <f>"{\rtf1\ansi\ansicpg1252\deff0\deflang11274{\fonttbl{\f0\fnil\fcharset0 MS Sans Serif}} \viewkind4\uc1\pard\f0\fs16 CONECTOR 2 V\'cdAS MARR\'d3N BULBO DE TEMPERATURA \endash  PEUGEOT 405\par } "</f>
        <v xml:space="preserve">{\rtf1\ansi\ansicpg1252\deff0\deflang11274{\fonttbl{\f0\fnil\fcharset0 MS Sans Serif}} \viewkind4\uc1\pard\f0\fs16 CONECTOR 2 V\'cdAS MARR\'d3N BULBO DE TEMPERATURA \endash  PEUGEOT 405\par } </v>
      </c>
      <c r="AM1498" t="str">
        <f t="shared" si="978"/>
        <v>-</v>
      </c>
    </row>
    <row r="1499" spans="1:39" x14ac:dyDescent="0.25">
      <c r="A1499" t="str">
        <f>"10143"</f>
        <v>10143</v>
      </c>
      <c r="B1499" t="str">
        <f>"CONECTOR 2 VÍAS MOTOR ALZACRISTAL – FIAT DUNA - UNO"</f>
        <v>CONECTOR 2 VÍAS MOTOR ALZACRISTAL – FIAT DUNA - UNO</v>
      </c>
      <c r="C1499" t="str">
        <f>"$ 3340,50"</f>
        <v>$ 3340,50</v>
      </c>
      <c r="D1499" t="str">
        <f>"$ 3340,50"</f>
        <v>$ 3340,50</v>
      </c>
      <c r="E1499" t="str">
        <f>"$ 3340,50"</f>
        <v>$ 3340,50</v>
      </c>
      <c r="F1499" t="str">
        <f>"$ 3340,50"</f>
        <v>$ 3340,50</v>
      </c>
      <c r="G1499" t="str">
        <f>"$ 3340,50"</f>
        <v>$ 3340,50</v>
      </c>
      <c r="H1499" t="str">
        <f t="shared" si="953"/>
        <v>$ 0,00</v>
      </c>
      <c r="I1499" t="str">
        <f t="shared" si="975"/>
        <v>FICHA CONECTOR</v>
      </c>
      <c r="J1499" t="str">
        <f t="shared" si="954"/>
        <v>1</v>
      </c>
      <c r="K1499" t="str">
        <f t="shared" si="948"/>
        <v>0</v>
      </c>
      <c r="L1499" t="str">
        <f>"10,000"</f>
        <v>10,000</v>
      </c>
      <c r="M1499" t="str">
        <f t="shared" si="955"/>
        <v xml:space="preserve"> </v>
      </c>
      <c r="N1499" t="str">
        <f t="shared" si="976"/>
        <v>AUTRONIC</v>
      </c>
      <c r="O1499" t="str">
        <f t="shared" si="977"/>
        <v>CABLES</v>
      </c>
      <c r="P1499" t="str">
        <f t="shared" si="972"/>
        <v>0</v>
      </c>
      <c r="Q1499" t="str">
        <f t="shared" si="972"/>
        <v>0</v>
      </c>
      <c r="R1499" t="str">
        <f t="shared" si="973"/>
        <v>0,00</v>
      </c>
      <c r="S1499" t="str">
        <f t="shared" si="973"/>
        <v>0,00</v>
      </c>
      <c r="T1499" t="str">
        <f t="shared" si="980"/>
        <v xml:space="preserve"> </v>
      </c>
      <c r="U1499" t="str">
        <f t="shared" si="974"/>
        <v xml:space="preserve"> </v>
      </c>
      <c r="V1499" t="str">
        <f>"10,000"</f>
        <v>10,000</v>
      </c>
      <c r="W1499" t="str">
        <f t="shared" si="956"/>
        <v>Lista 4</v>
      </c>
      <c r="X1499" t="str">
        <f t="shared" si="957"/>
        <v>Lista 5</v>
      </c>
      <c r="Y1499" t="str">
        <f t="shared" si="958"/>
        <v>Oferta Gral.</v>
      </c>
      <c r="Z1499" t="str">
        <f t="shared" si="959"/>
        <v>Rubro</v>
      </c>
      <c r="AA1499" t="str">
        <f t="shared" si="960"/>
        <v>Cantidad por Bulto</v>
      </c>
      <c r="AB1499" t="str">
        <f t="shared" si="961"/>
        <v>INNER</v>
      </c>
      <c r="AC1499" t="str">
        <f t="shared" si="962"/>
        <v>Stock en Bultos</v>
      </c>
      <c r="AD1499" t="str">
        <f t="shared" si="963"/>
        <v>SubDepósito</v>
      </c>
      <c r="AE1499" t="str">
        <f t="shared" si="964"/>
        <v>Marca</v>
      </c>
      <c r="AF1499" t="str">
        <f t="shared" si="965"/>
        <v>Super Rubro</v>
      </c>
      <c r="AG1499" t="str">
        <f t="shared" si="966"/>
        <v>ComercioExterior</v>
      </c>
      <c r="AH1499" t="str">
        <f t="shared" si="967"/>
        <v>PrecioFOB</v>
      </c>
      <c r="AI1499" t="str">
        <f t="shared" si="968"/>
        <v>Monto II</v>
      </c>
      <c r="AJ1499" t="str">
        <f t="shared" si="969"/>
        <v>Porcentaje II</v>
      </c>
      <c r="AK1499" t="str">
        <f t="shared" si="970"/>
        <v>Foto</v>
      </c>
      <c r="AL1499" t="str">
        <f>"{\rtf1\ansi\ansicpg1252\deff0\deflang11274{\fonttbl{\f0\fnil\fcharset0 MS Sans Serif}} \viewkind4\uc1\pard\f0\fs16 CONECTOR 2 V\'cdAS MOTOR ALZACRISTAL \endash  FIAT DUNA - UNO\par } "</f>
        <v xml:space="preserve">{\rtf1\ansi\ansicpg1252\deff0\deflang11274{\fonttbl{\f0\fnil\fcharset0 MS Sans Serif}} \viewkind4\uc1\pard\f0\fs16 CONECTOR 2 V\'cdAS MOTOR ALZACRISTAL \endash  FIAT DUNA - UNO\par } </v>
      </c>
      <c r="AM1499" t="str">
        <f t="shared" si="978"/>
        <v>-</v>
      </c>
    </row>
    <row r="1500" spans="1:39" x14ac:dyDescent="0.25">
      <c r="A1500" t="str">
        <f>"10148"</f>
        <v>10148</v>
      </c>
      <c r="B1500" t="str">
        <f>"CONECTOR 2 VÍAS MOTOR ELECTROVENTILADOR – ORIG. FIAT"</f>
        <v>CONECTOR 2 VÍAS MOTOR ELECTROVENTILADOR – ORIG. FIAT</v>
      </c>
      <c r="C1500" t="str">
        <f>"$ 4209,03"</f>
        <v>$ 4209,03</v>
      </c>
      <c r="D1500" t="str">
        <f>"$ 4209,03"</f>
        <v>$ 4209,03</v>
      </c>
      <c r="E1500" t="str">
        <f>"$ 4209,03"</f>
        <v>$ 4209,03</v>
      </c>
      <c r="F1500" t="str">
        <f>"$ 4209,03"</f>
        <v>$ 4209,03</v>
      </c>
      <c r="G1500" t="str">
        <f>"$ 4209,03"</f>
        <v>$ 4209,03</v>
      </c>
      <c r="H1500" t="str">
        <f t="shared" si="953"/>
        <v>$ 0,00</v>
      </c>
      <c r="I1500" t="str">
        <f t="shared" si="975"/>
        <v>FICHA CONECTOR</v>
      </c>
      <c r="J1500" t="str">
        <f t="shared" si="954"/>
        <v>1</v>
      </c>
      <c r="K1500" t="str">
        <f t="shared" si="948"/>
        <v>0</v>
      </c>
      <c r="L1500" t="str">
        <f>"10,000"</f>
        <v>10,000</v>
      </c>
      <c r="M1500" t="str">
        <f t="shared" si="955"/>
        <v xml:space="preserve"> </v>
      </c>
      <c r="N1500" t="str">
        <f t="shared" si="976"/>
        <v>AUTRONIC</v>
      </c>
      <c r="O1500" t="str">
        <f t="shared" si="977"/>
        <v>CABLES</v>
      </c>
      <c r="P1500" t="str">
        <f t="shared" si="972"/>
        <v>0</v>
      </c>
      <c r="Q1500" t="str">
        <f t="shared" si="972"/>
        <v>0</v>
      </c>
      <c r="R1500" t="str">
        <f t="shared" si="973"/>
        <v>0,00</v>
      </c>
      <c r="S1500" t="str">
        <f t="shared" si="973"/>
        <v>0,00</v>
      </c>
      <c r="T1500" t="str">
        <f t="shared" si="980"/>
        <v xml:space="preserve"> </v>
      </c>
      <c r="U1500" t="str">
        <f t="shared" si="974"/>
        <v xml:space="preserve"> </v>
      </c>
      <c r="V1500" t="str">
        <f>"10,000"</f>
        <v>10,000</v>
      </c>
      <c r="W1500" t="str">
        <f t="shared" si="956"/>
        <v>Lista 4</v>
      </c>
      <c r="X1500" t="str">
        <f t="shared" si="957"/>
        <v>Lista 5</v>
      </c>
      <c r="Y1500" t="str">
        <f t="shared" si="958"/>
        <v>Oferta Gral.</v>
      </c>
      <c r="Z1500" t="str">
        <f t="shared" si="959"/>
        <v>Rubro</v>
      </c>
      <c r="AA1500" t="str">
        <f t="shared" si="960"/>
        <v>Cantidad por Bulto</v>
      </c>
      <c r="AB1500" t="str">
        <f t="shared" si="961"/>
        <v>INNER</v>
      </c>
      <c r="AC1500" t="str">
        <f t="shared" si="962"/>
        <v>Stock en Bultos</v>
      </c>
      <c r="AD1500" t="str">
        <f t="shared" si="963"/>
        <v>SubDepósito</v>
      </c>
      <c r="AE1500" t="str">
        <f t="shared" si="964"/>
        <v>Marca</v>
      </c>
      <c r="AF1500" t="str">
        <f t="shared" si="965"/>
        <v>Super Rubro</v>
      </c>
      <c r="AG1500" t="str">
        <f t="shared" si="966"/>
        <v>ComercioExterior</v>
      </c>
      <c r="AH1500" t="str">
        <f t="shared" si="967"/>
        <v>PrecioFOB</v>
      </c>
      <c r="AI1500" t="str">
        <f t="shared" si="968"/>
        <v>Monto II</v>
      </c>
      <c r="AJ1500" t="str">
        <f t="shared" si="969"/>
        <v>Porcentaje II</v>
      </c>
      <c r="AK1500" t="str">
        <f t="shared" si="970"/>
        <v>Foto</v>
      </c>
      <c r="AL1500" t="str">
        <f>"{\rtf1\ansi\ansicpg1252\deff0\deflang11274{\fonttbl{\f0\fnil\fcharset0 MS Sans Serif}} \viewkind4\uc1\pard\f0\fs16 CONECTOR 2 V\'cdAS MOTOR ELECTROVENTILADOR \endash  ORIG. FIAT\par } "</f>
        <v xml:space="preserve">{\rtf1\ansi\ansicpg1252\deff0\deflang11274{\fonttbl{\f0\fnil\fcharset0 MS Sans Serif}} \viewkind4\uc1\pard\f0\fs16 CONECTOR 2 V\'cdAS MOTOR ELECTROVENTILADOR \endash  ORIG. FIAT\par } </v>
      </c>
      <c r="AM1500" t="str">
        <f t="shared" si="978"/>
        <v>-</v>
      </c>
    </row>
    <row r="1501" spans="1:39" x14ac:dyDescent="0.25">
      <c r="A1501" t="str">
        <f>"10174"</f>
        <v>10174</v>
      </c>
      <c r="B1501" t="str">
        <f>"CONECTOR 2 VÍAS MOTOR ELECTROVENTILADOR – VW – GOL – M/N"</f>
        <v>CONECTOR 2 VÍAS MOTOR ELECTROVENTILADOR – VW – GOL – M/N</v>
      </c>
      <c r="C1501" t="str">
        <f>"$ 5211,18"</f>
        <v>$ 5211,18</v>
      </c>
      <c r="D1501" t="str">
        <f>"$ 5211,18"</f>
        <v>$ 5211,18</v>
      </c>
      <c r="E1501" t="str">
        <f>"$ 5211,18"</f>
        <v>$ 5211,18</v>
      </c>
      <c r="F1501" t="str">
        <f>"$ 5211,18"</f>
        <v>$ 5211,18</v>
      </c>
      <c r="G1501" t="str">
        <f>"$ 5211,18"</f>
        <v>$ 5211,18</v>
      </c>
      <c r="H1501" t="str">
        <f t="shared" si="953"/>
        <v>$ 0,00</v>
      </c>
      <c r="I1501" t="str">
        <f t="shared" si="975"/>
        <v>FICHA CONECTOR</v>
      </c>
      <c r="J1501" t="str">
        <f t="shared" si="954"/>
        <v>1</v>
      </c>
      <c r="K1501" t="str">
        <f t="shared" si="948"/>
        <v>0</v>
      </c>
      <c r="L1501" t="str">
        <f>"0,000"</f>
        <v>0,000</v>
      </c>
      <c r="M1501" t="str">
        <f t="shared" si="955"/>
        <v xml:space="preserve"> </v>
      </c>
      <c r="N1501" t="str">
        <f t="shared" si="976"/>
        <v>AUTRONIC</v>
      </c>
      <c r="O1501" t="str">
        <f t="shared" si="977"/>
        <v>CABLES</v>
      </c>
      <c r="P1501" t="str">
        <f t="shared" si="972"/>
        <v>0</v>
      </c>
      <c r="Q1501" t="str">
        <f t="shared" si="972"/>
        <v>0</v>
      </c>
      <c r="R1501" t="str">
        <f t="shared" si="973"/>
        <v>0,00</v>
      </c>
      <c r="S1501" t="str">
        <f t="shared" si="973"/>
        <v>0,00</v>
      </c>
      <c r="T1501" t="str">
        <f t="shared" si="980"/>
        <v xml:space="preserve"> </v>
      </c>
      <c r="U1501" t="str">
        <f t="shared" si="974"/>
        <v xml:space="preserve"> </v>
      </c>
      <c r="V1501" t="str">
        <f>"0,000"</f>
        <v>0,000</v>
      </c>
      <c r="W1501" t="str">
        <f t="shared" si="956"/>
        <v>Lista 4</v>
      </c>
      <c r="X1501" t="str">
        <f t="shared" si="957"/>
        <v>Lista 5</v>
      </c>
      <c r="Y1501" t="str">
        <f t="shared" si="958"/>
        <v>Oferta Gral.</v>
      </c>
      <c r="Z1501" t="str">
        <f t="shared" si="959"/>
        <v>Rubro</v>
      </c>
      <c r="AA1501" t="str">
        <f t="shared" si="960"/>
        <v>Cantidad por Bulto</v>
      </c>
      <c r="AB1501" t="str">
        <f t="shared" si="961"/>
        <v>INNER</v>
      </c>
      <c r="AC1501" t="str">
        <f t="shared" si="962"/>
        <v>Stock en Bultos</v>
      </c>
      <c r="AD1501" t="str">
        <f t="shared" si="963"/>
        <v>SubDepósito</v>
      </c>
      <c r="AE1501" t="str">
        <f t="shared" si="964"/>
        <v>Marca</v>
      </c>
      <c r="AF1501" t="str">
        <f t="shared" si="965"/>
        <v>Super Rubro</v>
      </c>
      <c r="AG1501" t="str">
        <f t="shared" si="966"/>
        <v>ComercioExterior</v>
      </c>
      <c r="AH1501" t="str">
        <f t="shared" si="967"/>
        <v>PrecioFOB</v>
      </c>
      <c r="AI1501" t="str">
        <f t="shared" si="968"/>
        <v>Monto II</v>
      </c>
      <c r="AJ1501" t="str">
        <f t="shared" si="969"/>
        <v>Porcentaje II</v>
      </c>
      <c r="AK1501" t="str">
        <f t="shared" si="970"/>
        <v>Foto</v>
      </c>
      <c r="AL1501" t="str">
        <f>"{\rtf1\ansi\ansicpg1252\deff0\deflang11274{\fonttbl{\f0\fnil\fcharset0 MS Sans Serif}} \viewkind4\uc1\pard\f0\fs16 CONECTOR 2 V\'cdAS MOTOR ELECTROVENTILADOR \endash  VW \endash  GOL \endash  M/N\par } "</f>
        <v xml:space="preserve">{\rtf1\ansi\ansicpg1252\deff0\deflang11274{\fonttbl{\f0\fnil\fcharset0 MS Sans Serif}} \viewkind4\uc1\pard\f0\fs16 CONECTOR 2 V\'cdAS MOTOR ELECTROVENTILADOR \endash  VW \endash  GOL \endash  M/N\par } </v>
      </c>
      <c r="AM1501" t="str">
        <f t="shared" si="978"/>
        <v>-</v>
      </c>
    </row>
    <row r="1502" spans="1:39" x14ac:dyDescent="0.25">
      <c r="A1502" t="str">
        <f>"10178"</f>
        <v>10178</v>
      </c>
      <c r="B1502" t="str">
        <f>"CONECTOR 2 VÍAS MOTOR ELECTROVENTILADOR – VW – POLO - M/N"</f>
        <v>CONECTOR 2 VÍAS MOTOR ELECTROVENTILADOR – VW – POLO - M/N</v>
      </c>
      <c r="C1502" t="str">
        <f>"$ 7015,05"</f>
        <v>$ 7015,05</v>
      </c>
      <c r="D1502" t="str">
        <f>"$ 7015,05"</f>
        <v>$ 7015,05</v>
      </c>
      <c r="E1502" t="str">
        <f>"$ 7015,05"</f>
        <v>$ 7015,05</v>
      </c>
      <c r="F1502" t="str">
        <f>"$ 7015,05"</f>
        <v>$ 7015,05</v>
      </c>
      <c r="G1502" t="str">
        <f>"$ 7015,05"</f>
        <v>$ 7015,05</v>
      </c>
      <c r="H1502" t="str">
        <f t="shared" si="953"/>
        <v>$ 0,00</v>
      </c>
      <c r="I1502" t="str">
        <f t="shared" si="975"/>
        <v>FICHA CONECTOR</v>
      </c>
      <c r="J1502" t="str">
        <f t="shared" si="954"/>
        <v>1</v>
      </c>
      <c r="K1502" t="str">
        <f t="shared" si="948"/>
        <v>0</v>
      </c>
      <c r="L1502" t="str">
        <f>"0,000"</f>
        <v>0,000</v>
      </c>
      <c r="M1502" t="str">
        <f t="shared" si="955"/>
        <v xml:space="preserve"> </v>
      </c>
      <c r="N1502" t="str">
        <f t="shared" si="976"/>
        <v>AUTRONIC</v>
      </c>
      <c r="O1502" t="str">
        <f t="shared" si="977"/>
        <v>CABLES</v>
      </c>
      <c r="P1502" t="str">
        <f t="shared" si="972"/>
        <v>0</v>
      </c>
      <c r="Q1502" t="str">
        <f t="shared" si="972"/>
        <v>0</v>
      </c>
      <c r="R1502" t="str">
        <f t="shared" si="973"/>
        <v>0,00</v>
      </c>
      <c r="S1502" t="str">
        <f t="shared" si="973"/>
        <v>0,00</v>
      </c>
      <c r="T1502" t="str">
        <f t="shared" si="980"/>
        <v xml:space="preserve"> </v>
      </c>
      <c r="U1502" t="str">
        <f t="shared" si="974"/>
        <v xml:space="preserve"> </v>
      </c>
      <c r="V1502" t="str">
        <f>"0,000"</f>
        <v>0,000</v>
      </c>
      <c r="W1502" t="str">
        <f t="shared" si="956"/>
        <v>Lista 4</v>
      </c>
      <c r="X1502" t="str">
        <f t="shared" si="957"/>
        <v>Lista 5</v>
      </c>
      <c r="Y1502" t="str">
        <f t="shared" si="958"/>
        <v>Oferta Gral.</v>
      </c>
      <c r="Z1502" t="str">
        <f t="shared" si="959"/>
        <v>Rubro</v>
      </c>
      <c r="AA1502" t="str">
        <f t="shared" si="960"/>
        <v>Cantidad por Bulto</v>
      </c>
      <c r="AB1502" t="str">
        <f t="shared" si="961"/>
        <v>INNER</v>
      </c>
      <c r="AC1502" t="str">
        <f t="shared" si="962"/>
        <v>Stock en Bultos</v>
      </c>
      <c r="AD1502" t="str">
        <f t="shared" si="963"/>
        <v>SubDepósito</v>
      </c>
      <c r="AE1502" t="str">
        <f t="shared" si="964"/>
        <v>Marca</v>
      </c>
      <c r="AF1502" t="str">
        <f t="shared" si="965"/>
        <v>Super Rubro</v>
      </c>
      <c r="AG1502" t="str">
        <f t="shared" si="966"/>
        <v>ComercioExterior</v>
      </c>
      <c r="AH1502" t="str">
        <f t="shared" si="967"/>
        <v>PrecioFOB</v>
      </c>
      <c r="AI1502" t="str">
        <f t="shared" si="968"/>
        <v>Monto II</v>
      </c>
      <c r="AJ1502" t="str">
        <f t="shared" si="969"/>
        <v>Porcentaje II</v>
      </c>
      <c r="AK1502" t="str">
        <f t="shared" si="970"/>
        <v>Foto</v>
      </c>
      <c r="AL1502" t="str">
        <f>"{\rtf1\ansi\ansicpg1252\deff0\deflang11274{\fonttbl{\f0\fnil\fcharset0 MS Sans Serif}} \viewkind4\uc1\pard\f0\fs16 CONECTOR 2 V\'cdAS MOTOR ELECTROVENTILADOR \endash  VW \endash  POLO - M/N\par } "</f>
        <v xml:space="preserve">{\rtf1\ansi\ansicpg1252\deff0\deflang11274{\fonttbl{\f0\fnil\fcharset0 MS Sans Serif}} \viewkind4\uc1\pard\f0\fs16 CONECTOR 2 V\'cdAS MOTOR ELECTROVENTILADOR \endash  VW \endash  POLO - M/N\par } </v>
      </c>
      <c r="AM1502" t="str">
        <f t="shared" si="978"/>
        <v>-</v>
      </c>
    </row>
    <row r="1503" spans="1:39" x14ac:dyDescent="0.25">
      <c r="A1503" t="str">
        <f>"10156"</f>
        <v>10156</v>
      </c>
      <c r="B1503" t="str">
        <f>"CONECTOR 2 VÍAS PARLANTE/SENSORES/INT. STOP P 405/306/RENAULT"</f>
        <v>CONECTOR 2 VÍAS PARLANTE/SENSORES/INT. STOP P 405/306/RENAULT</v>
      </c>
      <c r="C1503" t="str">
        <f>"$ 3193,52"</f>
        <v>$ 3193,52</v>
      </c>
      <c r="D1503" t="str">
        <f>"$ 3193,52"</f>
        <v>$ 3193,52</v>
      </c>
      <c r="E1503" t="str">
        <f>"$ 3193,52"</f>
        <v>$ 3193,52</v>
      </c>
      <c r="F1503" t="str">
        <f>"$ 3193,52"</f>
        <v>$ 3193,52</v>
      </c>
      <c r="G1503" t="str">
        <f>"$ 3193,52"</f>
        <v>$ 3193,52</v>
      </c>
      <c r="H1503" t="str">
        <f t="shared" si="953"/>
        <v>$ 0,00</v>
      </c>
      <c r="I1503" t="str">
        <f t="shared" si="975"/>
        <v>FICHA CONECTOR</v>
      </c>
      <c r="J1503" t="str">
        <f t="shared" si="954"/>
        <v>1</v>
      </c>
      <c r="K1503" t="str">
        <f t="shared" si="948"/>
        <v>0</v>
      </c>
      <c r="L1503" t="str">
        <f>"0,000"</f>
        <v>0,000</v>
      </c>
      <c r="M1503" t="str">
        <f t="shared" si="955"/>
        <v xml:space="preserve"> </v>
      </c>
      <c r="N1503" t="str">
        <f t="shared" si="976"/>
        <v>AUTRONIC</v>
      </c>
      <c r="O1503" t="str">
        <f t="shared" si="977"/>
        <v>CABLES</v>
      </c>
      <c r="P1503" t="str">
        <f t="shared" ref="P1503:Q1522" si="981">"0"</f>
        <v>0</v>
      </c>
      <c r="Q1503" t="str">
        <f t="shared" si="981"/>
        <v>0</v>
      </c>
      <c r="R1503" t="str">
        <f t="shared" ref="R1503:S1522" si="982">"0,00"</f>
        <v>0,00</v>
      </c>
      <c r="S1503" t="str">
        <f t="shared" si="982"/>
        <v>0,00</v>
      </c>
      <c r="T1503" t="str">
        <f t="shared" si="980"/>
        <v xml:space="preserve"> </v>
      </c>
      <c r="U1503" t="str">
        <f t="shared" si="974"/>
        <v xml:space="preserve"> </v>
      </c>
      <c r="V1503" t="str">
        <f>"0,000"</f>
        <v>0,000</v>
      </c>
      <c r="W1503" t="str">
        <f t="shared" si="956"/>
        <v>Lista 4</v>
      </c>
      <c r="X1503" t="str">
        <f t="shared" si="957"/>
        <v>Lista 5</v>
      </c>
      <c r="Y1503" t="str">
        <f t="shared" si="958"/>
        <v>Oferta Gral.</v>
      </c>
      <c r="Z1503" t="str">
        <f t="shared" si="959"/>
        <v>Rubro</v>
      </c>
      <c r="AA1503" t="str">
        <f t="shared" si="960"/>
        <v>Cantidad por Bulto</v>
      </c>
      <c r="AB1503" t="str">
        <f t="shared" si="961"/>
        <v>INNER</v>
      </c>
      <c r="AC1503" t="str">
        <f t="shared" si="962"/>
        <v>Stock en Bultos</v>
      </c>
      <c r="AD1503" t="str">
        <f t="shared" si="963"/>
        <v>SubDepósito</v>
      </c>
      <c r="AE1503" t="str">
        <f t="shared" si="964"/>
        <v>Marca</v>
      </c>
      <c r="AF1503" t="str">
        <f t="shared" si="965"/>
        <v>Super Rubro</v>
      </c>
      <c r="AG1503" t="str">
        <f t="shared" si="966"/>
        <v>ComercioExterior</v>
      </c>
      <c r="AH1503" t="str">
        <f t="shared" si="967"/>
        <v>PrecioFOB</v>
      </c>
      <c r="AI1503" t="str">
        <f t="shared" si="968"/>
        <v>Monto II</v>
      </c>
      <c r="AJ1503" t="str">
        <f t="shared" si="969"/>
        <v>Porcentaje II</v>
      </c>
      <c r="AK1503" t="str">
        <f t="shared" si="970"/>
        <v>Foto</v>
      </c>
      <c r="AL1503" t="str">
        <f>"{\rtf1\ansi\ansicpg1252\deff0\deflang11274{\fonttbl{\f0\fnil\fcharset0 MS Sans Serif}} \viewkind4\uc1\pard\f0\fs16 CONECTOR 2 V\'cdAS PARLANTE/SENSORES/INT. STOP P 405/306/RENAULT\par } "</f>
        <v xml:space="preserve">{\rtf1\ansi\ansicpg1252\deff0\deflang11274{\fonttbl{\f0\fnil\fcharset0 MS Sans Serif}} \viewkind4\uc1\pard\f0\fs16 CONECTOR 2 V\'cdAS PARLANTE/SENSORES/INT. STOP P 405/306/RENAULT\par } </v>
      </c>
      <c r="AM1503" t="str">
        <f t="shared" si="978"/>
        <v>-</v>
      </c>
    </row>
    <row r="1504" spans="1:39" x14ac:dyDescent="0.25">
      <c r="A1504" t="str">
        <f>"10157"</f>
        <v>10157</v>
      </c>
      <c r="B1504" t="str">
        <f>"CONECTOR 2 VÍAS RETROMARCHA – 9 – 11 – 19 – CLIO – TRAFIC"</f>
        <v>CONECTOR 2 VÍAS RETROMARCHA – 9 – 11 – 19 – CLIO – TRAFIC</v>
      </c>
      <c r="C1504" t="str">
        <f>"$ 3006,45"</f>
        <v>$ 3006,45</v>
      </c>
      <c r="D1504" t="str">
        <f>"$ 3006,45"</f>
        <v>$ 3006,45</v>
      </c>
      <c r="E1504" t="str">
        <f>"$ 3006,45"</f>
        <v>$ 3006,45</v>
      </c>
      <c r="F1504" t="str">
        <f>"$ 3006,45"</f>
        <v>$ 3006,45</v>
      </c>
      <c r="G1504" t="str">
        <f>"$ 3006,45"</f>
        <v>$ 3006,45</v>
      </c>
      <c r="H1504" t="str">
        <f t="shared" si="953"/>
        <v>$ 0,00</v>
      </c>
      <c r="I1504" t="str">
        <f t="shared" si="975"/>
        <v>FICHA CONECTOR</v>
      </c>
      <c r="J1504" t="str">
        <f t="shared" si="954"/>
        <v>1</v>
      </c>
      <c r="K1504" t="str">
        <f t="shared" si="948"/>
        <v>0</v>
      </c>
      <c r="L1504" t="str">
        <f>"38,000"</f>
        <v>38,000</v>
      </c>
      <c r="M1504" t="str">
        <f t="shared" si="955"/>
        <v xml:space="preserve"> </v>
      </c>
      <c r="N1504" t="str">
        <f t="shared" si="976"/>
        <v>AUTRONIC</v>
      </c>
      <c r="O1504" t="str">
        <f t="shared" si="977"/>
        <v>CABLES</v>
      </c>
      <c r="P1504" t="str">
        <f t="shared" si="981"/>
        <v>0</v>
      </c>
      <c r="Q1504" t="str">
        <f t="shared" si="981"/>
        <v>0</v>
      </c>
      <c r="R1504" t="str">
        <f t="shared" si="982"/>
        <v>0,00</v>
      </c>
      <c r="S1504" t="str">
        <f t="shared" si="982"/>
        <v>0,00</v>
      </c>
      <c r="T1504" t="str">
        <f t="shared" si="980"/>
        <v xml:space="preserve"> </v>
      </c>
      <c r="U1504" t="str">
        <f t="shared" si="974"/>
        <v xml:space="preserve"> </v>
      </c>
      <c r="V1504" t="str">
        <f>"38,000"</f>
        <v>38,000</v>
      </c>
      <c r="W1504" t="str">
        <f t="shared" si="956"/>
        <v>Lista 4</v>
      </c>
      <c r="X1504" t="str">
        <f t="shared" si="957"/>
        <v>Lista 5</v>
      </c>
      <c r="Y1504" t="str">
        <f t="shared" si="958"/>
        <v>Oferta Gral.</v>
      </c>
      <c r="Z1504" t="str">
        <f t="shared" si="959"/>
        <v>Rubro</v>
      </c>
      <c r="AA1504" t="str">
        <f t="shared" si="960"/>
        <v>Cantidad por Bulto</v>
      </c>
      <c r="AB1504" t="str">
        <f t="shared" si="961"/>
        <v>INNER</v>
      </c>
      <c r="AC1504" t="str">
        <f t="shared" si="962"/>
        <v>Stock en Bultos</v>
      </c>
      <c r="AD1504" t="str">
        <f t="shared" si="963"/>
        <v>SubDepósito</v>
      </c>
      <c r="AE1504" t="str">
        <f t="shared" si="964"/>
        <v>Marca</v>
      </c>
      <c r="AF1504" t="str">
        <f t="shared" si="965"/>
        <v>Super Rubro</v>
      </c>
      <c r="AG1504" t="str">
        <f t="shared" si="966"/>
        <v>ComercioExterior</v>
      </c>
      <c r="AH1504" t="str">
        <f t="shared" si="967"/>
        <v>PrecioFOB</v>
      </c>
      <c r="AI1504" t="str">
        <f t="shared" si="968"/>
        <v>Monto II</v>
      </c>
      <c r="AJ1504" t="str">
        <f t="shared" si="969"/>
        <v>Porcentaje II</v>
      </c>
      <c r="AK1504" t="str">
        <f t="shared" si="970"/>
        <v>Foto</v>
      </c>
      <c r="AL1504" t="str">
        <f>"{\rtf1\ansi\ansicpg1252\deff0\deflang11274{\fonttbl{\f0\fnil\fcharset0 MS Sans Serif}} \viewkind4\uc1\pard\f0\fs16 CONECTOR 2 V\'cdAS RETROMARCHA \endash  9 \endash  11 \endash  19 \endash  CLIO \endash  TRAFIC\par } "</f>
        <v xml:space="preserve">{\rtf1\ansi\ansicpg1252\deff0\deflang11274{\fonttbl{\f0\fnil\fcharset0 MS Sans Serif}} \viewkind4\uc1\pard\f0\fs16 CONECTOR 2 V\'cdAS RETROMARCHA \endash  9 \endash  11 \endash  19 \endash  CLIO \endash  TRAFIC\par } </v>
      </c>
      <c r="AM1504" t="str">
        <f t="shared" si="978"/>
        <v>-</v>
      </c>
    </row>
    <row r="1505" spans="1:39" x14ac:dyDescent="0.25">
      <c r="A1505" t="str">
        <f>"10181"</f>
        <v>10181</v>
      </c>
      <c r="B1505" t="str">
        <f>"CONECTOR 2 VÍAS SENSORES CARB. – RENAULT"</f>
        <v>CONECTOR 2 VÍAS SENSORES CARB. – RENAULT</v>
      </c>
      <c r="C1505" t="str">
        <f>"$ 7255,57"</f>
        <v>$ 7255,57</v>
      </c>
      <c r="D1505" t="str">
        <f>"$ 7255,57"</f>
        <v>$ 7255,57</v>
      </c>
      <c r="E1505" t="str">
        <f>"$ 7255,57"</f>
        <v>$ 7255,57</v>
      </c>
      <c r="F1505" t="str">
        <f>"$ 7255,57"</f>
        <v>$ 7255,57</v>
      </c>
      <c r="G1505" t="str">
        <f>"$ 7255,57"</f>
        <v>$ 7255,57</v>
      </c>
      <c r="H1505" t="str">
        <f t="shared" si="953"/>
        <v>$ 0,00</v>
      </c>
      <c r="I1505" t="str">
        <f t="shared" si="975"/>
        <v>FICHA CONECTOR</v>
      </c>
      <c r="J1505" t="str">
        <f t="shared" si="954"/>
        <v>1</v>
      </c>
      <c r="K1505" t="str">
        <f t="shared" si="948"/>
        <v>0</v>
      </c>
      <c r="L1505" t="str">
        <f>"16,000"</f>
        <v>16,000</v>
      </c>
      <c r="M1505" t="str">
        <f t="shared" si="955"/>
        <v xml:space="preserve"> </v>
      </c>
      <c r="N1505" t="str">
        <f t="shared" si="976"/>
        <v>AUTRONIC</v>
      </c>
      <c r="O1505" t="str">
        <f t="shared" si="977"/>
        <v>CABLES</v>
      </c>
      <c r="P1505" t="str">
        <f t="shared" si="981"/>
        <v>0</v>
      </c>
      <c r="Q1505" t="str">
        <f t="shared" si="981"/>
        <v>0</v>
      </c>
      <c r="R1505" t="str">
        <f t="shared" si="982"/>
        <v>0,00</v>
      </c>
      <c r="S1505" t="str">
        <f t="shared" si="982"/>
        <v>0,00</v>
      </c>
      <c r="T1505" t="str">
        <f t="shared" si="980"/>
        <v xml:space="preserve"> </v>
      </c>
      <c r="U1505" t="str">
        <f t="shared" si="974"/>
        <v xml:space="preserve"> </v>
      </c>
      <c r="V1505" t="str">
        <f>"16,000"</f>
        <v>16,000</v>
      </c>
      <c r="W1505" t="str">
        <f t="shared" si="956"/>
        <v>Lista 4</v>
      </c>
      <c r="X1505" t="str">
        <f t="shared" si="957"/>
        <v>Lista 5</v>
      </c>
      <c r="Y1505" t="str">
        <f t="shared" si="958"/>
        <v>Oferta Gral.</v>
      </c>
      <c r="Z1505" t="str">
        <f t="shared" si="959"/>
        <v>Rubro</v>
      </c>
      <c r="AA1505" t="str">
        <f t="shared" si="960"/>
        <v>Cantidad por Bulto</v>
      </c>
      <c r="AB1505" t="str">
        <f t="shared" si="961"/>
        <v>INNER</v>
      </c>
      <c r="AC1505" t="str">
        <f t="shared" si="962"/>
        <v>Stock en Bultos</v>
      </c>
      <c r="AD1505" t="str">
        <f t="shared" si="963"/>
        <v>SubDepósito</v>
      </c>
      <c r="AE1505" t="str">
        <f t="shared" si="964"/>
        <v>Marca</v>
      </c>
      <c r="AF1505" t="str">
        <f t="shared" si="965"/>
        <v>Super Rubro</v>
      </c>
      <c r="AG1505" t="str">
        <f t="shared" si="966"/>
        <v>ComercioExterior</v>
      </c>
      <c r="AH1505" t="str">
        <f t="shared" si="967"/>
        <v>PrecioFOB</v>
      </c>
      <c r="AI1505" t="str">
        <f t="shared" si="968"/>
        <v>Monto II</v>
      </c>
      <c r="AJ1505" t="str">
        <f t="shared" si="969"/>
        <v>Porcentaje II</v>
      </c>
      <c r="AK1505" t="str">
        <f t="shared" si="970"/>
        <v>Foto</v>
      </c>
      <c r="AL1505" t="str">
        <f>"{\rtf1\ansi\ansicpg1252\deff0\deflang11274{\fonttbl{\f0\fnil\fcharset0 MS Sans Serif}} \viewkind4\uc1\pard\f0\fs16 CONECTOR 2 V\'cdAS SENSORES CARB. \endash  RENAULT\par } "</f>
        <v xml:space="preserve">{\rtf1\ansi\ansicpg1252\deff0\deflang11274{\fonttbl{\f0\fnil\fcharset0 MS Sans Serif}} \viewkind4\uc1\pard\f0\fs16 CONECTOR 2 V\'cdAS SENSORES CARB. \endash  RENAULT\par } </v>
      </c>
      <c r="AM1505" t="str">
        <f t="shared" si="978"/>
        <v>-</v>
      </c>
    </row>
    <row r="1506" spans="1:39" x14ac:dyDescent="0.25">
      <c r="A1506" t="str">
        <f>"10183"</f>
        <v>10183</v>
      </c>
      <c r="B1506" t="str">
        <f>"CONECTOR 2 VÍAS SENSORES VARIOS - VW"</f>
        <v>CONECTOR 2 VÍAS SENSORES VARIOS - VW</v>
      </c>
      <c r="C1506" t="str">
        <f>"$ 3073,26"</f>
        <v>$ 3073,26</v>
      </c>
      <c r="D1506" t="str">
        <f>"$ 3073,26"</f>
        <v>$ 3073,26</v>
      </c>
      <c r="E1506" t="str">
        <f>"$ 3073,26"</f>
        <v>$ 3073,26</v>
      </c>
      <c r="F1506" t="str">
        <f>"$ 3073,26"</f>
        <v>$ 3073,26</v>
      </c>
      <c r="G1506" t="str">
        <f>"$ 3073,26"</f>
        <v>$ 3073,26</v>
      </c>
      <c r="H1506" t="str">
        <f t="shared" si="953"/>
        <v>$ 0,00</v>
      </c>
      <c r="I1506" t="str">
        <f t="shared" si="975"/>
        <v>FICHA CONECTOR</v>
      </c>
      <c r="J1506" t="str">
        <f t="shared" si="954"/>
        <v>1</v>
      </c>
      <c r="K1506" t="str">
        <f t="shared" si="948"/>
        <v>0</v>
      </c>
      <c r="L1506" t="str">
        <f>"11,000"</f>
        <v>11,000</v>
      </c>
      <c r="M1506" t="str">
        <f t="shared" si="955"/>
        <v xml:space="preserve"> </v>
      </c>
      <c r="N1506" t="str">
        <f t="shared" si="976"/>
        <v>AUTRONIC</v>
      </c>
      <c r="O1506" t="str">
        <f t="shared" si="977"/>
        <v>CABLES</v>
      </c>
      <c r="P1506" t="str">
        <f t="shared" si="981"/>
        <v>0</v>
      </c>
      <c r="Q1506" t="str">
        <f t="shared" si="981"/>
        <v>0</v>
      </c>
      <c r="R1506" t="str">
        <f t="shared" si="982"/>
        <v>0,00</v>
      </c>
      <c r="S1506" t="str">
        <f t="shared" si="982"/>
        <v>0,00</v>
      </c>
      <c r="T1506" t="str">
        <f t="shared" si="980"/>
        <v xml:space="preserve"> </v>
      </c>
      <c r="U1506" t="str">
        <f t="shared" si="974"/>
        <v xml:space="preserve"> </v>
      </c>
      <c r="V1506" t="str">
        <f>"11,000"</f>
        <v>11,000</v>
      </c>
      <c r="W1506" t="str">
        <f t="shared" si="956"/>
        <v>Lista 4</v>
      </c>
      <c r="X1506" t="str">
        <f t="shared" si="957"/>
        <v>Lista 5</v>
      </c>
      <c r="Y1506" t="str">
        <f t="shared" si="958"/>
        <v>Oferta Gral.</v>
      </c>
      <c r="Z1506" t="str">
        <f t="shared" si="959"/>
        <v>Rubro</v>
      </c>
      <c r="AA1506" t="str">
        <f t="shared" si="960"/>
        <v>Cantidad por Bulto</v>
      </c>
      <c r="AB1506" t="str">
        <f t="shared" si="961"/>
        <v>INNER</v>
      </c>
      <c r="AC1506" t="str">
        <f t="shared" si="962"/>
        <v>Stock en Bultos</v>
      </c>
      <c r="AD1506" t="str">
        <f t="shared" si="963"/>
        <v>SubDepósito</v>
      </c>
      <c r="AE1506" t="str">
        <f t="shared" si="964"/>
        <v>Marca</v>
      </c>
      <c r="AF1506" t="str">
        <f t="shared" si="965"/>
        <v>Super Rubro</v>
      </c>
      <c r="AG1506" t="str">
        <f t="shared" si="966"/>
        <v>ComercioExterior</v>
      </c>
      <c r="AH1506" t="str">
        <f t="shared" si="967"/>
        <v>PrecioFOB</v>
      </c>
      <c r="AI1506" t="str">
        <f t="shared" si="968"/>
        <v>Monto II</v>
      </c>
      <c r="AJ1506" t="str">
        <f t="shared" si="969"/>
        <v>Porcentaje II</v>
      </c>
      <c r="AK1506" t="str">
        <f t="shared" si="970"/>
        <v>Foto</v>
      </c>
      <c r="AL1506" t="str">
        <f>"{\rtf1\ansi\ansicpg1252\deff0\deflang11274{\fonttbl{\f0\fnil\fcharset0 MS Sans Serif}} \viewkind4\uc1\pard\f0\fs16 CONECTOR 2 V\'cdAS SENSORES VARIOS - VW\par } "</f>
        <v xml:space="preserve">{\rtf1\ansi\ansicpg1252\deff0\deflang11274{\fonttbl{\f0\fnil\fcharset0 MS Sans Serif}} \viewkind4\uc1\pard\f0\fs16 CONECTOR 2 V\'cdAS SENSORES VARIOS - VW\par } </v>
      </c>
      <c r="AM1506" t="str">
        <f t="shared" si="978"/>
        <v>-</v>
      </c>
    </row>
    <row r="1507" spans="1:39" x14ac:dyDescent="0.25">
      <c r="A1507" t="str">
        <f>"10415"</f>
        <v>10415</v>
      </c>
      <c r="B1507" t="str">
        <f>"CONECTOR 20 VIAS CONECTOR STEREO MINI ISO"</f>
        <v>CONECTOR 20 VIAS CONECTOR STEREO MINI ISO</v>
      </c>
      <c r="C1507" t="str">
        <f>"$ 4750,87"</f>
        <v>$ 4750,87</v>
      </c>
      <c r="D1507" t="str">
        <f>"$ 4750,87"</f>
        <v>$ 4750,87</v>
      </c>
      <c r="E1507" t="str">
        <f>"$ 4750,87"</f>
        <v>$ 4750,87</v>
      </c>
      <c r="F1507" t="str">
        <f>"$ 4750,87"</f>
        <v>$ 4750,87</v>
      </c>
      <c r="G1507" t="str">
        <f>"$ 4750,87"</f>
        <v>$ 4750,87</v>
      </c>
      <c r="H1507" t="str">
        <f t="shared" si="953"/>
        <v>$ 0,00</v>
      </c>
      <c r="I1507" t="str">
        <f t="shared" si="975"/>
        <v>FICHA CONECTOR</v>
      </c>
      <c r="J1507" t="str">
        <f t="shared" si="954"/>
        <v>1</v>
      </c>
      <c r="K1507" t="str">
        <f t="shared" si="948"/>
        <v>0</v>
      </c>
      <c r="L1507" t="str">
        <f>"0,000"</f>
        <v>0,000</v>
      </c>
      <c r="M1507" t="str">
        <f t="shared" si="955"/>
        <v xml:space="preserve"> </v>
      </c>
      <c r="N1507" t="str">
        <f t="shared" si="976"/>
        <v>AUTRONIC</v>
      </c>
      <c r="O1507" t="str">
        <f t="shared" si="977"/>
        <v>CABLES</v>
      </c>
      <c r="P1507" t="str">
        <f t="shared" si="981"/>
        <v>0</v>
      </c>
      <c r="Q1507" t="str">
        <f t="shared" si="981"/>
        <v>0</v>
      </c>
      <c r="R1507" t="str">
        <f t="shared" si="982"/>
        <v>0,00</v>
      </c>
      <c r="S1507" t="str">
        <f t="shared" si="982"/>
        <v>0,00</v>
      </c>
      <c r="T1507" t="str">
        <f t="shared" si="980"/>
        <v xml:space="preserve"> </v>
      </c>
      <c r="U1507" t="str">
        <f t="shared" si="974"/>
        <v xml:space="preserve"> </v>
      </c>
      <c r="V1507" t="str">
        <f>"0,000"</f>
        <v>0,000</v>
      </c>
      <c r="W1507" t="str">
        <f t="shared" si="956"/>
        <v>Lista 4</v>
      </c>
      <c r="X1507" t="str">
        <f t="shared" si="957"/>
        <v>Lista 5</v>
      </c>
      <c r="Y1507" t="str">
        <f t="shared" si="958"/>
        <v>Oferta Gral.</v>
      </c>
      <c r="Z1507" t="str">
        <f t="shared" si="959"/>
        <v>Rubro</v>
      </c>
      <c r="AA1507" t="str">
        <f t="shared" si="960"/>
        <v>Cantidad por Bulto</v>
      </c>
      <c r="AB1507" t="str">
        <f t="shared" si="961"/>
        <v>INNER</v>
      </c>
      <c r="AC1507" t="str">
        <f t="shared" si="962"/>
        <v>Stock en Bultos</v>
      </c>
      <c r="AD1507" t="str">
        <f t="shared" si="963"/>
        <v>SubDepósito</v>
      </c>
      <c r="AE1507" t="str">
        <f t="shared" si="964"/>
        <v>Marca</v>
      </c>
      <c r="AF1507" t="str">
        <f t="shared" si="965"/>
        <v>Super Rubro</v>
      </c>
      <c r="AG1507" t="str">
        <f t="shared" si="966"/>
        <v>ComercioExterior</v>
      </c>
      <c r="AH1507" t="str">
        <f t="shared" si="967"/>
        <v>PrecioFOB</v>
      </c>
      <c r="AI1507" t="str">
        <f t="shared" si="968"/>
        <v>Monto II</v>
      </c>
      <c r="AJ1507" t="str">
        <f t="shared" si="969"/>
        <v>Porcentaje II</v>
      </c>
      <c r="AK1507" t="str">
        <f t="shared" si="970"/>
        <v>Foto</v>
      </c>
      <c r="AL1507" t="str">
        <f>"{\rtf1\ansi\ansicpg1252\deff0\deflang11274{\fonttbl{\f0\fnil\fcharset0 MS Sans Serif}} \viewkind4\uc1\pard\f0\fs16 CONECTOR 20 VIAS CONECTOR STEREO MINI ISO\par } "</f>
        <v xml:space="preserve">{\rtf1\ansi\ansicpg1252\deff0\deflang11274{\fonttbl{\f0\fnil\fcharset0 MS Sans Serif}} \viewkind4\uc1\pard\f0\fs16 CONECTOR 20 VIAS CONECTOR STEREO MINI ISO\par } </v>
      </c>
      <c r="AM1507" t="str">
        <f t="shared" si="978"/>
        <v>-</v>
      </c>
    </row>
    <row r="1508" spans="1:39" x14ac:dyDescent="0.25">
      <c r="A1508" t="str">
        <f>"10296"</f>
        <v>10296</v>
      </c>
      <c r="B1508" t="str">
        <f>"CONECTOR 20 VIAS FUSIBLERA CLIO MEGANE AZUL  6 CABLES"</f>
        <v>CONECTOR 20 VIAS FUSIBLERA CLIO MEGANE AZUL  6 CABLES</v>
      </c>
      <c r="C1508" t="str">
        <f>"$ 5304,71"</f>
        <v>$ 5304,71</v>
      </c>
      <c r="D1508" t="str">
        <f>"$ 5304,71"</f>
        <v>$ 5304,71</v>
      </c>
      <c r="E1508" t="str">
        <f>"$ 5304,71"</f>
        <v>$ 5304,71</v>
      </c>
      <c r="F1508" t="str">
        <f>"$ 5304,71"</f>
        <v>$ 5304,71</v>
      </c>
      <c r="G1508" t="str">
        <f>"$ 5304,71"</f>
        <v>$ 5304,71</v>
      </c>
      <c r="H1508" t="str">
        <f t="shared" si="953"/>
        <v>$ 0,00</v>
      </c>
      <c r="I1508" t="str">
        <f t="shared" si="975"/>
        <v>FICHA CONECTOR</v>
      </c>
      <c r="J1508" t="str">
        <f t="shared" si="954"/>
        <v>1</v>
      </c>
      <c r="K1508" t="str">
        <f t="shared" si="948"/>
        <v>0</v>
      </c>
      <c r="L1508" t="str">
        <f>"8,000"</f>
        <v>8,000</v>
      </c>
      <c r="M1508" t="str">
        <f t="shared" si="955"/>
        <v xml:space="preserve"> </v>
      </c>
      <c r="N1508" t="str">
        <f t="shared" si="976"/>
        <v>AUTRONIC</v>
      </c>
      <c r="O1508" t="str">
        <f t="shared" si="977"/>
        <v>CABLES</v>
      </c>
      <c r="P1508" t="str">
        <f t="shared" si="981"/>
        <v>0</v>
      </c>
      <c r="Q1508" t="str">
        <f t="shared" si="981"/>
        <v>0</v>
      </c>
      <c r="R1508" t="str">
        <f t="shared" si="982"/>
        <v>0,00</v>
      </c>
      <c r="S1508" t="str">
        <f t="shared" si="982"/>
        <v>0,00</v>
      </c>
      <c r="T1508" t="str">
        <f t="shared" si="980"/>
        <v xml:space="preserve"> </v>
      </c>
      <c r="U1508" t="str">
        <f t="shared" si="974"/>
        <v xml:space="preserve"> </v>
      </c>
      <c r="V1508" t="str">
        <f>"8,000"</f>
        <v>8,000</v>
      </c>
      <c r="W1508" t="str">
        <f t="shared" si="956"/>
        <v>Lista 4</v>
      </c>
      <c r="X1508" t="str">
        <f t="shared" si="957"/>
        <v>Lista 5</v>
      </c>
      <c r="Y1508" t="str">
        <f t="shared" si="958"/>
        <v>Oferta Gral.</v>
      </c>
      <c r="Z1508" t="str">
        <f t="shared" si="959"/>
        <v>Rubro</v>
      </c>
      <c r="AA1508" t="str">
        <f t="shared" si="960"/>
        <v>Cantidad por Bulto</v>
      </c>
      <c r="AB1508" t="str">
        <f t="shared" si="961"/>
        <v>INNER</v>
      </c>
      <c r="AC1508" t="str">
        <f t="shared" si="962"/>
        <v>Stock en Bultos</v>
      </c>
      <c r="AD1508" t="str">
        <f t="shared" si="963"/>
        <v>SubDepósito</v>
      </c>
      <c r="AE1508" t="str">
        <f t="shared" si="964"/>
        <v>Marca</v>
      </c>
      <c r="AF1508" t="str">
        <f t="shared" si="965"/>
        <v>Super Rubro</v>
      </c>
      <c r="AG1508" t="str">
        <f t="shared" si="966"/>
        <v>ComercioExterior</v>
      </c>
      <c r="AH1508" t="str">
        <f t="shared" si="967"/>
        <v>PrecioFOB</v>
      </c>
      <c r="AI1508" t="str">
        <f t="shared" si="968"/>
        <v>Monto II</v>
      </c>
      <c r="AJ1508" t="str">
        <f t="shared" si="969"/>
        <v>Porcentaje II</v>
      </c>
      <c r="AK1508" t="str">
        <f t="shared" si="970"/>
        <v>Foto</v>
      </c>
      <c r="AL1508" t="str">
        <f>"{\rtf1\ansi\ansicpg1252\deff0\deflang11274{\fonttbl{\f0\fnil\fcharset0 MS Sans Serif}} \viewkind4\uc1\pard\f0\fs16 CONECTOR 20 VIAS FUSIBLERA CLIO MEGANE AZUL  6 CABLES\par } "</f>
        <v xml:space="preserve">{\rtf1\ansi\ansicpg1252\deff0\deflang11274{\fonttbl{\f0\fnil\fcharset0 MS Sans Serif}} \viewkind4\uc1\pard\f0\fs16 CONECTOR 20 VIAS FUSIBLERA CLIO MEGANE AZUL  6 CABLES\par } </v>
      </c>
      <c r="AM1508" t="str">
        <f t="shared" si="978"/>
        <v>-</v>
      </c>
    </row>
    <row r="1509" spans="1:39" x14ac:dyDescent="0.25">
      <c r="A1509" t="str">
        <f>"10300"</f>
        <v>10300</v>
      </c>
      <c r="B1509" t="str">
        <f>"CONECTOR 20 VIAS FUSIBLERA CLIO MEGANE NEGRA 14 CABLES"</f>
        <v>CONECTOR 20 VIAS FUSIBLERA CLIO MEGANE NEGRA 14 CABLES</v>
      </c>
      <c r="C1509" t="str">
        <f>"$ 12787,43"</f>
        <v>$ 12787,43</v>
      </c>
      <c r="D1509" t="str">
        <f>"$ 12787,43"</f>
        <v>$ 12787,43</v>
      </c>
      <c r="E1509" t="str">
        <f>"$ 12787,43"</f>
        <v>$ 12787,43</v>
      </c>
      <c r="F1509" t="str">
        <f>"$ 12787,43"</f>
        <v>$ 12787,43</v>
      </c>
      <c r="G1509" t="str">
        <f>"$ 12787,43"</f>
        <v>$ 12787,43</v>
      </c>
      <c r="H1509" t="str">
        <f t="shared" si="953"/>
        <v>$ 0,00</v>
      </c>
      <c r="I1509" t="str">
        <f t="shared" si="975"/>
        <v>FICHA CONECTOR</v>
      </c>
      <c r="J1509" t="str">
        <f t="shared" si="954"/>
        <v>1</v>
      </c>
      <c r="K1509" t="str">
        <f t="shared" si="948"/>
        <v>0</v>
      </c>
      <c r="L1509" t="str">
        <f>"8,000"</f>
        <v>8,000</v>
      </c>
      <c r="M1509" t="str">
        <f t="shared" si="955"/>
        <v xml:space="preserve"> </v>
      </c>
      <c r="N1509" t="str">
        <f t="shared" si="976"/>
        <v>AUTRONIC</v>
      </c>
      <c r="O1509" t="str">
        <f t="shared" si="977"/>
        <v>CABLES</v>
      </c>
      <c r="P1509" t="str">
        <f t="shared" si="981"/>
        <v>0</v>
      </c>
      <c r="Q1509" t="str">
        <f t="shared" si="981"/>
        <v>0</v>
      </c>
      <c r="R1509" t="str">
        <f t="shared" si="982"/>
        <v>0,00</v>
      </c>
      <c r="S1509" t="str">
        <f t="shared" si="982"/>
        <v>0,00</v>
      </c>
      <c r="T1509" t="str">
        <f t="shared" si="980"/>
        <v xml:space="preserve"> </v>
      </c>
      <c r="U1509" t="str">
        <f t="shared" si="974"/>
        <v xml:space="preserve"> </v>
      </c>
      <c r="V1509" t="str">
        <f>"8,000"</f>
        <v>8,000</v>
      </c>
      <c r="W1509" t="str">
        <f t="shared" si="956"/>
        <v>Lista 4</v>
      </c>
      <c r="X1509" t="str">
        <f t="shared" si="957"/>
        <v>Lista 5</v>
      </c>
      <c r="Y1509" t="str">
        <f t="shared" si="958"/>
        <v>Oferta Gral.</v>
      </c>
      <c r="Z1509" t="str">
        <f t="shared" si="959"/>
        <v>Rubro</v>
      </c>
      <c r="AA1509" t="str">
        <f t="shared" si="960"/>
        <v>Cantidad por Bulto</v>
      </c>
      <c r="AB1509" t="str">
        <f t="shared" si="961"/>
        <v>INNER</v>
      </c>
      <c r="AC1509" t="str">
        <f t="shared" si="962"/>
        <v>Stock en Bultos</v>
      </c>
      <c r="AD1509" t="str">
        <f t="shared" si="963"/>
        <v>SubDepósito</v>
      </c>
      <c r="AE1509" t="str">
        <f t="shared" si="964"/>
        <v>Marca</v>
      </c>
      <c r="AF1509" t="str">
        <f t="shared" si="965"/>
        <v>Super Rubro</v>
      </c>
      <c r="AG1509" t="str">
        <f t="shared" si="966"/>
        <v>ComercioExterior</v>
      </c>
      <c r="AH1509" t="str">
        <f t="shared" si="967"/>
        <v>PrecioFOB</v>
      </c>
      <c r="AI1509" t="str">
        <f t="shared" si="968"/>
        <v>Monto II</v>
      </c>
      <c r="AJ1509" t="str">
        <f t="shared" si="969"/>
        <v>Porcentaje II</v>
      </c>
      <c r="AK1509" t="str">
        <f t="shared" si="970"/>
        <v>Foto</v>
      </c>
      <c r="AL1509" t="str">
        <f>"{\rtf1\ansi\ansicpg1252\deff0\deflang11274{\fonttbl{\f0\fnil\fcharset0 MS Sans Serif}} \viewkind4\uc1\pard\f0\fs16 CONECTOR 20 VIAS FUSIBLERA CLIO MEGANE NEGRA 14 CABLES\par } "</f>
        <v xml:space="preserve">{\rtf1\ansi\ansicpg1252\deff0\deflang11274{\fonttbl{\f0\fnil\fcharset0 MS Sans Serif}} \viewkind4\uc1\pard\f0\fs16 CONECTOR 20 VIAS FUSIBLERA CLIO MEGANE NEGRA 14 CABLES\par } </v>
      </c>
      <c r="AM1509" t="str">
        <f t="shared" si="978"/>
        <v>-</v>
      </c>
    </row>
    <row r="1510" spans="1:39" x14ac:dyDescent="0.25">
      <c r="A1510" t="str">
        <f>"10343"</f>
        <v>10343</v>
      </c>
      <c r="B1510" t="str">
        <f>"CONECTOR 29 VIAS CIRCULAR C/ TUERCA Y FUELLE PUERTA DEL. PALIO SIENA"</f>
        <v>CONECTOR 29 VIAS CIRCULAR C/ TUERCA Y FUELLE PUERTA DEL. PALIO SIENA</v>
      </c>
      <c r="C1510" t="str">
        <f t="shared" ref="C1510:G1511" si="983">"$ 5849,51"</f>
        <v>$ 5849,51</v>
      </c>
      <c r="D1510" t="str">
        <f t="shared" si="983"/>
        <v>$ 5849,51</v>
      </c>
      <c r="E1510" t="str">
        <f t="shared" si="983"/>
        <v>$ 5849,51</v>
      </c>
      <c r="F1510" t="str">
        <f t="shared" si="983"/>
        <v>$ 5849,51</v>
      </c>
      <c r="G1510" t="str">
        <f t="shared" si="983"/>
        <v>$ 5849,51</v>
      </c>
      <c r="H1510" t="str">
        <f t="shared" si="953"/>
        <v>$ 0,00</v>
      </c>
      <c r="I1510" t="str">
        <f t="shared" si="975"/>
        <v>FICHA CONECTOR</v>
      </c>
      <c r="J1510" t="str">
        <f t="shared" si="954"/>
        <v>1</v>
      </c>
      <c r="K1510" t="str">
        <f t="shared" si="948"/>
        <v>0</v>
      </c>
      <c r="L1510" t="str">
        <f>"0,000"</f>
        <v>0,000</v>
      </c>
      <c r="M1510" t="str">
        <f t="shared" si="955"/>
        <v xml:space="preserve"> </v>
      </c>
      <c r="N1510" t="str">
        <f t="shared" si="976"/>
        <v>AUTRONIC</v>
      </c>
      <c r="O1510" t="str">
        <f t="shared" si="977"/>
        <v>CABLES</v>
      </c>
      <c r="P1510" t="str">
        <f t="shared" si="981"/>
        <v>0</v>
      </c>
      <c r="Q1510" t="str">
        <f t="shared" si="981"/>
        <v>0</v>
      </c>
      <c r="R1510" t="str">
        <f t="shared" si="982"/>
        <v>0,00</v>
      </c>
      <c r="S1510" t="str">
        <f t="shared" si="982"/>
        <v>0,00</v>
      </c>
      <c r="T1510" t="str">
        <f t="shared" si="980"/>
        <v xml:space="preserve"> </v>
      </c>
      <c r="U1510" t="str">
        <f t="shared" si="974"/>
        <v xml:space="preserve"> </v>
      </c>
      <c r="V1510" t="str">
        <f>"0,000"</f>
        <v>0,000</v>
      </c>
      <c r="W1510" t="str">
        <f t="shared" si="956"/>
        <v>Lista 4</v>
      </c>
      <c r="X1510" t="str">
        <f t="shared" si="957"/>
        <v>Lista 5</v>
      </c>
      <c r="Y1510" t="str">
        <f t="shared" si="958"/>
        <v>Oferta Gral.</v>
      </c>
      <c r="Z1510" t="str">
        <f t="shared" si="959"/>
        <v>Rubro</v>
      </c>
      <c r="AA1510" t="str">
        <f t="shared" si="960"/>
        <v>Cantidad por Bulto</v>
      </c>
      <c r="AB1510" t="str">
        <f t="shared" si="961"/>
        <v>INNER</v>
      </c>
      <c r="AC1510" t="str">
        <f t="shared" si="962"/>
        <v>Stock en Bultos</v>
      </c>
      <c r="AD1510" t="str">
        <f t="shared" si="963"/>
        <v>SubDepósito</v>
      </c>
      <c r="AE1510" t="str">
        <f t="shared" si="964"/>
        <v>Marca</v>
      </c>
      <c r="AF1510" t="str">
        <f t="shared" si="965"/>
        <v>Super Rubro</v>
      </c>
      <c r="AG1510" t="str">
        <f t="shared" si="966"/>
        <v>ComercioExterior</v>
      </c>
      <c r="AH1510" t="str">
        <f t="shared" si="967"/>
        <v>PrecioFOB</v>
      </c>
      <c r="AI1510" t="str">
        <f t="shared" si="968"/>
        <v>Monto II</v>
      </c>
      <c r="AJ1510" t="str">
        <f t="shared" si="969"/>
        <v>Porcentaje II</v>
      </c>
      <c r="AK1510" t="str">
        <f t="shared" si="970"/>
        <v>Foto</v>
      </c>
      <c r="AL1510" t="str">
        <f>"{\rtf1\ansi\ansicpg1252\deff0\deflang11274{\fonttbl{\f0\fnil\fcharset0 MS Sans Serif}} \viewkind4\uc1\pard\f0\fs16 CONECTOR 29 VIAS CIRCULAR C/ TUERCA Y FUELLE PUERTA DEL. PALIO SIENA\par } "</f>
        <v xml:space="preserve">{\rtf1\ansi\ansicpg1252\deff0\deflang11274{\fonttbl{\f0\fnil\fcharset0 MS Sans Serif}} \viewkind4\uc1\pard\f0\fs16 CONECTOR 29 VIAS CIRCULAR C/ TUERCA Y FUELLE PUERTA DEL. PALIO SIENA\par } </v>
      </c>
      <c r="AM1510" t="str">
        <f t="shared" si="978"/>
        <v>-</v>
      </c>
    </row>
    <row r="1511" spans="1:39" x14ac:dyDescent="0.25">
      <c r="A1511" t="str">
        <f>"10342"</f>
        <v>10342</v>
      </c>
      <c r="B1511" t="str">
        <f>"CONECTOR 29 VIAS CIRCULAR PUERTA DELANTERA PALIO SIENA FIJA"</f>
        <v>CONECTOR 29 VIAS CIRCULAR PUERTA DELANTERA PALIO SIENA FIJA</v>
      </c>
      <c r="C1511" t="str">
        <f t="shared" si="983"/>
        <v>$ 5849,51</v>
      </c>
      <c r="D1511" t="str">
        <f t="shared" si="983"/>
        <v>$ 5849,51</v>
      </c>
      <c r="E1511" t="str">
        <f t="shared" si="983"/>
        <v>$ 5849,51</v>
      </c>
      <c r="F1511" t="str">
        <f t="shared" si="983"/>
        <v>$ 5849,51</v>
      </c>
      <c r="G1511" t="str">
        <f t="shared" si="983"/>
        <v>$ 5849,51</v>
      </c>
      <c r="H1511" t="str">
        <f t="shared" si="953"/>
        <v>$ 0,00</v>
      </c>
      <c r="I1511" t="str">
        <f t="shared" si="975"/>
        <v>FICHA CONECTOR</v>
      </c>
      <c r="J1511" t="str">
        <f t="shared" si="954"/>
        <v>1</v>
      </c>
      <c r="K1511" t="str">
        <f t="shared" si="948"/>
        <v>0</v>
      </c>
      <c r="L1511" t="str">
        <f>"0,000"</f>
        <v>0,000</v>
      </c>
      <c r="M1511" t="str">
        <f t="shared" si="955"/>
        <v xml:space="preserve"> </v>
      </c>
      <c r="N1511" t="str">
        <f t="shared" si="976"/>
        <v>AUTRONIC</v>
      </c>
      <c r="O1511" t="str">
        <f t="shared" si="977"/>
        <v>CABLES</v>
      </c>
      <c r="P1511" t="str">
        <f t="shared" si="981"/>
        <v>0</v>
      </c>
      <c r="Q1511" t="str">
        <f t="shared" si="981"/>
        <v>0</v>
      </c>
      <c r="R1511" t="str">
        <f t="shared" si="982"/>
        <v>0,00</v>
      </c>
      <c r="S1511" t="str">
        <f t="shared" si="982"/>
        <v>0,00</v>
      </c>
      <c r="T1511" t="str">
        <f t="shared" si="980"/>
        <v xml:space="preserve"> </v>
      </c>
      <c r="U1511" t="str">
        <f t="shared" si="974"/>
        <v xml:space="preserve"> </v>
      </c>
      <c r="V1511" t="str">
        <f>"0,000"</f>
        <v>0,000</v>
      </c>
      <c r="W1511" t="str">
        <f t="shared" si="956"/>
        <v>Lista 4</v>
      </c>
      <c r="X1511" t="str">
        <f t="shared" si="957"/>
        <v>Lista 5</v>
      </c>
      <c r="Y1511" t="str">
        <f t="shared" si="958"/>
        <v>Oferta Gral.</v>
      </c>
      <c r="Z1511" t="str">
        <f t="shared" si="959"/>
        <v>Rubro</v>
      </c>
      <c r="AA1511" t="str">
        <f t="shared" si="960"/>
        <v>Cantidad por Bulto</v>
      </c>
      <c r="AB1511" t="str">
        <f t="shared" si="961"/>
        <v>INNER</v>
      </c>
      <c r="AC1511" t="str">
        <f t="shared" si="962"/>
        <v>Stock en Bultos</v>
      </c>
      <c r="AD1511" t="str">
        <f t="shared" si="963"/>
        <v>SubDepósito</v>
      </c>
      <c r="AE1511" t="str">
        <f t="shared" si="964"/>
        <v>Marca</v>
      </c>
      <c r="AF1511" t="str">
        <f t="shared" si="965"/>
        <v>Super Rubro</v>
      </c>
      <c r="AG1511" t="str">
        <f t="shared" si="966"/>
        <v>ComercioExterior</v>
      </c>
      <c r="AH1511" t="str">
        <f t="shared" si="967"/>
        <v>PrecioFOB</v>
      </c>
      <c r="AI1511" t="str">
        <f t="shared" si="968"/>
        <v>Monto II</v>
      </c>
      <c r="AJ1511" t="str">
        <f t="shared" si="969"/>
        <v>Porcentaje II</v>
      </c>
      <c r="AK1511" t="str">
        <f t="shared" si="970"/>
        <v>Foto</v>
      </c>
      <c r="AL1511" t="str">
        <f>"{\rtf1\ansi\ansicpg1252\deff0\deflang11274{\fonttbl{\f0\fnil\fcharset0 MS Sans Serif}} \viewkind4\uc1\pard\f0\fs16 CONECTOR 29 VIAS CIRCULAR PUERTA DELANTERA PALIO SIENA FIJA\par } "</f>
        <v xml:space="preserve">{\rtf1\ansi\ansicpg1252\deff0\deflang11274{\fonttbl{\f0\fnil\fcharset0 MS Sans Serif}} \viewkind4\uc1\pard\f0\fs16 CONECTOR 29 VIAS CIRCULAR PUERTA DELANTERA PALIO SIENA FIJA\par } </v>
      </c>
      <c r="AM1511" t="str">
        <f t="shared" si="978"/>
        <v>-</v>
      </c>
    </row>
    <row r="1512" spans="1:39" x14ac:dyDescent="0.25">
      <c r="A1512" t="str">
        <f>"10308"</f>
        <v>10308</v>
      </c>
      <c r="B1512" t="str">
        <f>"CONECTOR 3 VIAS BOMBA LAVACRISTAL RENAULT MARRON"</f>
        <v>CONECTOR 3 VIAS BOMBA LAVACRISTAL RENAULT MARRON</v>
      </c>
      <c r="C1512" t="str">
        <f>"$ 2124,56"</f>
        <v>$ 2124,56</v>
      </c>
      <c r="D1512" t="str">
        <f>"$ 2124,56"</f>
        <v>$ 2124,56</v>
      </c>
      <c r="E1512" t="str">
        <f>"$ 2124,56"</f>
        <v>$ 2124,56</v>
      </c>
      <c r="F1512" t="str">
        <f>"$ 2124,56"</f>
        <v>$ 2124,56</v>
      </c>
      <c r="G1512" t="str">
        <f>"$ 2124,56"</f>
        <v>$ 2124,56</v>
      </c>
      <c r="H1512" t="str">
        <f t="shared" si="953"/>
        <v>$ 0,00</v>
      </c>
      <c r="I1512" t="str">
        <f t="shared" si="975"/>
        <v>FICHA CONECTOR</v>
      </c>
      <c r="J1512" t="str">
        <f t="shared" si="954"/>
        <v>1</v>
      </c>
      <c r="K1512" t="str">
        <f t="shared" si="948"/>
        <v>0</v>
      </c>
      <c r="L1512" t="str">
        <f>"8,000"</f>
        <v>8,000</v>
      </c>
      <c r="M1512" t="str">
        <f t="shared" si="955"/>
        <v xml:space="preserve"> </v>
      </c>
      <c r="N1512" t="str">
        <f t="shared" si="976"/>
        <v>AUTRONIC</v>
      </c>
      <c r="O1512" t="str">
        <f t="shared" si="977"/>
        <v>CABLES</v>
      </c>
      <c r="P1512" t="str">
        <f t="shared" si="981"/>
        <v>0</v>
      </c>
      <c r="Q1512" t="str">
        <f t="shared" si="981"/>
        <v>0</v>
      </c>
      <c r="R1512" t="str">
        <f t="shared" si="982"/>
        <v>0,00</v>
      </c>
      <c r="S1512" t="str">
        <f t="shared" si="982"/>
        <v>0,00</v>
      </c>
      <c r="T1512" t="str">
        <f t="shared" si="980"/>
        <v xml:space="preserve"> </v>
      </c>
      <c r="U1512" t="str">
        <f t="shared" si="974"/>
        <v xml:space="preserve"> </v>
      </c>
      <c r="V1512" t="str">
        <f>"8,000"</f>
        <v>8,000</v>
      </c>
      <c r="W1512" t="str">
        <f t="shared" si="956"/>
        <v>Lista 4</v>
      </c>
      <c r="X1512" t="str">
        <f t="shared" si="957"/>
        <v>Lista 5</v>
      </c>
      <c r="Y1512" t="str">
        <f t="shared" si="958"/>
        <v>Oferta Gral.</v>
      </c>
      <c r="Z1512" t="str">
        <f t="shared" si="959"/>
        <v>Rubro</v>
      </c>
      <c r="AA1512" t="str">
        <f t="shared" si="960"/>
        <v>Cantidad por Bulto</v>
      </c>
      <c r="AB1512" t="str">
        <f t="shared" si="961"/>
        <v>INNER</v>
      </c>
      <c r="AC1512" t="str">
        <f t="shared" si="962"/>
        <v>Stock en Bultos</v>
      </c>
      <c r="AD1512" t="str">
        <f t="shared" si="963"/>
        <v>SubDepósito</v>
      </c>
      <c r="AE1512" t="str">
        <f t="shared" si="964"/>
        <v>Marca</v>
      </c>
      <c r="AF1512" t="str">
        <f t="shared" si="965"/>
        <v>Super Rubro</v>
      </c>
      <c r="AG1512" t="str">
        <f t="shared" si="966"/>
        <v>ComercioExterior</v>
      </c>
      <c r="AH1512" t="str">
        <f t="shared" si="967"/>
        <v>PrecioFOB</v>
      </c>
      <c r="AI1512" t="str">
        <f t="shared" si="968"/>
        <v>Monto II</v>
      </c>
      <c r="AJ1512" t="str">
        <f t="shared" si="969"/>
        <v>Porcentaje II</v>
      </c>
      <c r="AK1512" t="str">
        <f t="shared" si="970"/>
        <v>Foto</v>
      </c>
      <c r="AL1512" t="str">
        <f>"{\rtf1\ansi\ansicpg1252\deff0\deflang11274{\fonttbl{\f0\fnil\fcharset0 MS Sans Serif}} \viewkind4\uc1\pard\f0\fs16 CONECTOR 3 VIAS BOMBA LAVACRISTAL RENAULT MARRON\par } "</f>
        <v xml:space="preserve">{\rtf1\ansi\ansicpg1252\deff0\deflang11274{\fonttbl{\f0\fnil\fcharset0 MS Sans Serif}} \viewkind4\uc1\pard\f0\fs16 CONECTOR 3 VIAS BOMBA LAVACRISTAL RENAULT MARRON\par } </v>
      </c>
      <c r="AM1512" t="str">
        <f t="shared" si="978"/>
        <v>-</v>
      </c>
    </row>
    <row r="1513" spans="1:39" x14ac:dyDescent="0.25">
      <c r="A1513" t="str">
        <f>"10384"</f>
        <v>10384</v>
      </c>
      <c r="B1513" t="str">
        <f>"CONECTOR 3 VIAS BULBO ELECTROVENTILADOR CORSA ASTRA"</f>
        <v>CONECTOR 3 VIAS BULBO ELECTROVENTILADOR CORSA ASTRA</v>
      </c>
      <c r="C1513" t="str">
        <f>"$ 13321,91"</f>
        <v>$ 13321,91</v>
      </c>
      <c r="D1513" t="str">
        <f>"$ 13321,91"</f>
        <v>$ 13321,91</v>
      </c>
      <c r="E1513" t="str">
        <f>"$ 13321,91"</f>
        <v>$ 13321,91</v>
      </c>
      <c r="F1513" t="str">
        <f>"$ 13321,91"</f>
        <v>$ 13321,91</v>
      </c>
      <c r="G1513" t="str">
        <f>"$ 13321,91"</f>
        <v>$ 13321,91</v>
      </c>
      <c r="H1513" t="str">
        <f t="shared" si="953"/>
        <v>$ 0,00</v>
      </c>
      <c r="I1513" t="str">
        <f t="shared" si="975"/>
        <v>FICHA CONECTOR</v>
      </c>
      <c r="J1513" t="str">
        <f t="shared" si="954"/>
        <v>1</v>
      </c>
      <c r="K1513" t="str">
        <f t="shared" si="948"/>
        <v>0</v>
      </c>
      <c r="L1513" t="str">
        <f>"28,000"</f>
        <v>28,000</v>
      </c>
      <c r="M1513" t="str">
        <f t="shared" si="955"/>
        <v xml:space="preserve"> </v>
      </c>
      <c r="N1513" t="str">
        <f t="shared" si="976"/>
        <v>AUTRONIC</v>
      </c>
      <c r="O1513" t="str">
        <f t="shared" si="977"/>
        <v>CABLES</v>
      </c>
      <c r="P1513" t="str">
        <f t="shared" si="981"/>
        <v>0</v>
      </c>
      <c r="Q1513" t="str">
        <f t="shared" si="981"/>
        <v>0</v>
      </c>
      <c r="R1513" t="str">
        <f t="shared" si="982"/>
        <v>0,00</v>
      </c>
      <c r="S1513" t="str">
        <f t="shared" si="982"/>
        <v>0,00</v>
      </c>
      <c r="T1513" t="str">
        <f t="shared" si="980"/>
        <v xml:space="preserve"> </v>
      </c>
      <c r="U1513" t="str">
        <f t="shared" si="974"/>
        <v xml:space="preserve"> </v>
      </c>
      <c r="V1513" t="str">
        <f>"28,000"</f>
        <v>28,000</v>
      </c>
      <c r="W1513" t="str">
        <f t="shared" si="956"/>
        <v>Lista 4</v>
      </c>
      <c r="X1513" t="str">
        <f t="shared" si="957"/>
        <v>Lista 5</v>
      </c>
      <c r="Y1513" t="str">
        <f t="shared" si="958"/>
        <v>Oferta Gral.</v>
      </c>
      <c r="Z1513" t="str">
        <f t="shared" si="959"/>
        <v>Rubro</v>
      </c>
      <c r="AA1513" t="str">
        <f t="shared" si="960"/>
        <v>Cantidad por Bulto</v>
      </c>
      <c r="AB1513" t="str">
        <f t="shared" si="961"/>
        <v>INNER</v>
      </c>
      <c r="AC1513" t="str">
        <f t="shared" si="962"/>
        <v>Stock en Bultos</v>
      </c>
      <c r="AD1513" t="str">
        <f t="shared" si="963"/>
        <v>SubDepósito</v>
      </c>
      <c r="AE1513" t="str">
        <f t="shared" si="964"/>
        <v>Marca</v>
      </c>
      <c r="AF1513" t="str">
        <f t="shared" si="965"/>
        <v>Super Rubro</v>
      </c>
      <c r="AG1513" t="str">
        <f t="shared" si="966"/>
        <v>ComercioExterior</v>
      </c>
      <c r="AH1513" t="str">
        <f t="shared" si="967"/>
        <v>PrecioFOB</v>
      </c>
      <c r="AI1513" t="str">
        <f t="shared" si="968"/>
        <v>Monto II</v>
      </c>
      <c r="AJ1513" t="str">
        <f t="shared" si="969"/>
        <v>Porcentaje II</v>
      </c>
      <c r="AK1513" t="str">
        <f t="shared" si="970"/>
        <v>Foto</v>
      </c>
      <c r="AL1513" t="str">
        <f>"{\rtf1\ansi\ansicpg1252\deff0\deflang11274{\fonttbl{\f0\fnil\fcharset0 MS Sans Serif}} \viewkind4\uc1\pard\f0\fs16 CONECTOR 3 VIAS BULBO ELECTROVENTILADOR CORSA ASTRA\par } "</f>
        <v xml:space="preserve">{\rtf1\ansi\ansicpg1252\deff0\deflang11274{\fonttbl{\f0\fnil\fcharset0 MS Sans Serif}} \viewkind4\uc1\pard\f0\fs16 CONECTOR 3 VIAS BULBO ELECTROVENTILADOR CORSA ASTRA\par } </v>
      </c>
      <c r="AM1513" t="str">
        <f t="shared" si="978"/>
        <v>-</v>
      </c>
    </row>
    <row r="1514" spans="1:39" x14ac:dyDescent="0.25">
      <c r="A1514" t="str">
        <f>"10347"</f>
        <v>10347</v>
      </c>
      <c r="B1514" t="str">
        <f>"CONECTOR 3 VIAS BULBO ELECTROVENTILADOR VW  POLO"</f>
        <v>CONECTOR 3 VIAS BULBO ELECTROVENTILADOR VW  POLO</v>
      </c>
      <c r="C1514" t="str">
        <f>"$ 5545,23"</f>
        <v>$ 5545,23</v>
      </c>
      <c r="D1514" t="str">
        <f>"$ 5545,23"</f>
        <v>$ 5545,23</v>
      </c>
      <c r="E1514" t="str">
        <f>"$ 5545,23"</f>
        <v>$ 5545,23</v>
      </c>
      <c r="F1514" t="str">
        <f>"$ 5545,23"</f>
        <v>$ 5545,23</v>
      </c>
      <c r="G1514" t="str">
        <f>"$ 5545,23"</f>
        <v>$ 5545,23</v>
      </c>
      <c r="H1514" t="str">
        <f t="shared" si="953"/>
        <v>$ 0,00</v>
      </c>
      <c r="I1514" t="str">
        <f t="shared" si="975"/>
        <v>FICHA CONECTOR</v>
      </c>
      <c r="J1514" t="str">
        <f t="shared" si="954"/>
        <v>1</v>
      </c>
      <c r="K1514" t="str">
        <f t="shared" si="948"/>
        <v>0</v>
      </c>
      <c r="L1514" t="str">
        <f>"2,000"</f>
        <v>2,000</v>
      </c>
      <c r="M1514" t="str">
        <f t="shared" si="955"/>
        <v xml:space="preserve"> </v>
      </c>
      <c r="N1514" t="str">
        <f t="shared" si="976"/>
        <v>AUTRONIC</v>
      </c>
      <c r="O1514" t="str">
        <f t="shared" si="977"/>
        <v>CABLES</v>
      </c>
      <c r="P1514" t="str">
        <f t="shared" si="981"/>
        <v>0</v>
      </c>
      <c r="Q1514" t="str">
        <f t="shared" si="981"/>
        <v>0</v>
      </c>
      <c r="R1514" t="str">
        <f t="shared" si="982"/>
        <v>0,00</v>
      </c>
      <c r="S1514" t="str">
        <f t="shared" si="982"/>
        <v>0,00</v>
      </c>
      <c r="T1514" t="str">
        <f t="shared" si="980"/>
        <v xml:space="preserve"> </v>
      </c>
      <c r="U1514" t="str">
        <f t="shared" si="974"/>
        <v xml:space="preserve"> </v>
      </c>
      <c r="V1514" t="str">
        <f>"2,000"</f>
        <v>2,000</v>
      </c>
      <c r="W1514" t="str">
        <f t="shared" si="956"/>
        <v>Lista 4</v>
      </c>
      <c r="X1514" t="str">
        <f t="shared" si="957"/>
        <v>Lista 5</v>
      </c>
      <c r="Y1514" t="str">
        <f t="shared" si="958"/>
        <v>Oferta Gral.</v>
      </c>
      <c r="Z1514" t="str">
        <f t="shared" si="959"/>
        <v>Rubro</v>
      </c>
      <c r="AA1514" t="str">
        <f t="shared" si="960"/>
        <v>Cantidad por Bulto</v>
      </c>
      <c r="AB1514" t="str">
        <f t="shared" si="961"/>
        <v>INNER</v>
      </c>
      <c r="AC1514" t="str">
        <f t="shared" si="962"/>
        <v>Stock en Bultos</v>
      </c>
      <c r="AD1514" t="str">
        <f t="shared" si="963"/>
        <v>SubDepósito</v>
      </c>
      <c r="AE1514" t="str">
        <f t="shared" si="964"/>
        <v>Marca</v>
      </c>
      <c r="AF1514" t="str">
        <f t="shared" si="965"/>
        <v>Super Rubro</v>
      </c>
      <c r="AG1514" t="str">
        <f t="shared" si="966"/>
        <v>ComercioExterior</v>
      </c>
      <c r="AH1514" t="str">
        <f t="shared" si="967"/>
        <v>PrecioFOB</v>
      </c>
      <c r="AI1514" t="str">
        <f t="shared" si="968"/>
        <v>Monto II</v>
      </c>
      <c r="AJ1514" t="str">
        <f t="shared" si="969"/>
        <v>Porcentaje II</v>
      </c>
      <c r="AK1514" t="str">
        <f t="shared" si="970"/>
        <v>Foto</v>
      </c>
      <c r="AL1514" t="str">
        <f>"{\rtf1\ansi\ansicpg1252\deff0\deflang11274{\fonttbl{\f0\fnil\fcharset0 MS Sans Serif}} \viewkind4\uc1\pard\f0\fs16 CONECTOR 3 VIAS BULBO ELECTROVENTILADOR VW  POLO\par } "</f>
        <v xml:space="preserve">{\rtf1\ansi\ansicpg1252\deff0\deflang11274{\fonttbl{\f0\fnil\fcharset0 MS Sans Serif}} \viewkind4\uc1\pard\f0\fs16 CONECTOR 3 VIAS BULBO ELECTROVENTILADOR VW  POLO\par } </v>
      </c>
      <c r="AM1514" t="str">
        <f t="shared" si="978"/>
        <v>-</v>
      </c>
    </row>
    <row r="1515" spans="1:39" x14ac:dyDescent="0.25">
      <c r="A1515" t="str">
        <f>"10381"</f>
        <v>10381</v>
      </c>
      <c r="B1515" t="str">
        <f>"CONECTOR 3 VIAS BULBO ELECTROVENTILADOR VW GOL -  POLO"</f>
        <v>CONECTOR 3 VIAS BULBO ELECTROVENTILADOR VW GOL -  POLO</v>
      </c>
      <c r="C1515" t="str">
        <f>"$ 4810,26"</f>
        <v>$ 4810,26</v>
      </c>
      <c r="D1515" t="str">
        <f>"$ 4810,26"</f>
        <v>$ 4810,26</v>
      </c>
      <c r="E1515" t="str">
        <f>"$ 4810,26"</f>
        <v>$ 4810,26</v>
      </c>
      <c r="F1515" t="str">
        <f>"$ 4810,26"</f>
        <v>$ 4810,26</v>
      </c>
      <c r="G1515" t="str">
        <f>"$ 4810,26"</f>
        <v>$ 4810,26</v>
      </c>
      <c r="H1515" t="str">
        <f t="shared" si="953"/>
        <v>$ 0,00</v>
      </c>
      <c r="I1515" t="str">
        <f t="shared" si="975"/>
        <v>FICHA CONECTOR</v>
      </c>
      <c r="J1515" t="str">
        <f t="shared" si="954"/>
        <v>1</v>
      </c>
      <c r="K1515" t="str">
        <f t="shared" si="948"/>
        <v>0</v>
      </c>
      <c r="L1515" t="str">
        <f>"0,000"</f>
        <v>0,000</v>
      </c>
      <c r="M1515" t="str">
        <f t="shared" si="955"/>
        <v xml:space="preserve"> </v>
      </c>
      <c r="N1515" t="str">
        <f t="shared" si="976"/>
        <v>AUTRONIC</v>
      </c>
      <c r="O1515" t="str">
        <f t="shared" si="977"/>
        <v>CABLES</v>
      </c>
      <c r="P1515" t="str">
        <f t="shared" si="981"/>
        <v>0</v>
      </c>
      <c r="Q1515" t="str">
        <f t="shared" si="981"/>
        <v>0</v>
      </c>
      <c r="R1515" t="str">
        <f t="shared" si="982"/>
        <v>0,00</v>
      </c>
      <c r="S1515" t="str">
        <f t="shared" si="982"/>
        <v>0,00</v>
      </c>
      <c r="T1515" t="str">
        <f t="shared" si="980"/>
        <v xml:space="preserve"> </v>
      </c>
      <c r="U1515" t="str">
        <f t="shared" si="974"/>
        <v xml:space="preserve"> </v>
      </c>
      <c r="V1515" t="str">
        <f>"0,000"</f>
        <v>0,000</v>
      </c>
      <c r="W1515" t="str">
        <f t="shared" si="956"/>
        <v>Lista 4</v>
      </c>
      <c r="X1515" t="str">
        <f t="shared" si="957"/>
        <v>Lista 5</v>
      </c>
      <c r="Y1515" t="str">
        <f t="shared" si="958"/>
        <v>Oferta Gral.</v>
      </c>
      <c r="Z1515" t="str">
        <f t="shared" si="959"/>
        <v>Rubro</v>
      </c>
      <c r="AA1515" t="str">
        <f t="shared" si="960"/>
        <v>Cantidad por Bulto</v>
      </c>
      <c r="AB1515" t="str">
        <f t="shared" si="961"/>
        <v>INNER</v>
      </c>
      <c r="AC1515" t="str">
        <f t="shared" si="962"/>
        <v>Stock en Bultos</v>
      </c>
      <c r="AD1515" t="str">
        <f t="shared" si="963"/>
        <v>SubDepósito</v>
      </c>
      <c r="AE1515" t="str">
        <f t="shared" si="964"/>
        <v>Marca</v>
      </c>
      <c r="AF1515" t="str">
        <f t="shared" si="965"/>
        <v>Super Rubro</v>
      </c>
      <c r="AG1515" t="str">
        <f t="shared" si="966"/>
        <v>ComercioExterior</v>
      </c>
      <c r="AH1515" t="str">
        <f t="shared" si="967"/>
        <v>PrecioFOB</v>
      </c>
      <c r="AI1515" t="str">
        <f t="shared" si="968"/>
        <v>Monto II</v>
      </c>
      <c r="AJ1515" t="str">
        <f t="shared" si="969"/>
        <v>Porcentaje II</v>
      </c>
      <c r="AK1515" t="str">
        <f t="shared" si="970"/>
        <v>Foto</v>
      </c>
      <c r="AL1515" t="str">
        <f>"{\rtf1\ansi\ansicpg1252\deff0\deflang11274{\fonttbl{\f0\fnil\fcharset0 MS Sans Serif}} \viewkind4\uc1\pard\f0\fs16 CONECTOR 3 VIAS BULBO ELECTROVENTILADOR VW GOL -  POLO\par } "</f>
        <v xml:space="preserve">{\rtf1\ansi\ansicpg1252\deff0\deflang11274{\fonttbl{\f0\fnil\fcharset0 MS Sans Serif}} \viewkind4\uc1\pard\f0\fs16 CONECTOR 3 VIAS BULBO ELECTROVENTILADOR VW GOL -  POLO\par } </v>
      </c>
      <c r="AM1515" t="str">
        <f t="shared" si="978"/>
        <v>-</v>
      </c>
    </row>
    <row r="1516" spans="1:39" x14ac:dyDescent="0.25">
      <c r="A1516" t="str">
        <f>"10284"</f>
        <v>10284</v>
      </c>
      <c r="B1516" t="str">
        <f>"CONECTOR 3 VIAS BULBO ELECTROVENTILADOR VW GOL- SAVEIRO"</f>
        <v>CONECTOR 3 VIAS BULBO ELECTROVENTILADOR VW GOL- SAVEIRO</v>
      </c>
      <c r="C1516" t="str">
        <f>"$ 6507,29"</f>
        <v>$ 6507,29</v>
      </c>
      <c r="D1516" t="str">
        <f>"$ 6507,29"</f>
        <v>$ 6507,29</v>
      </c>
      <c r="E1516" t="str">
        <f>"$ 6507,29"</f>
        <v>$ 6507,29</v>
      </c>
      <c r="F1516" t="str">
        <f>"$ 6507,29"</f>
        <v>$ 6507,29</v>
      </c>
      <c r="G1516" t="str">
        <f>"$ 6507,29"</f>
        <v>$ 6507,29</v>
      </c>
      <c r="H1516" t="str">
        <f t="shared" si="953"/>
        <v>$ 0,00</v>
      </c>
      <c r="I1516" t="str">
        <f t="shared" si="975"/>
        <v>FICHA CONECTOR</v>
      </c>
      <c r="J1516" t="str">
        <f t="shared" si="954"/>
        <v>1</v>
      </c>
      <c r="K1516" t="str">
        <f t="shared" si="948"/>
        <v>0</v>
      </c>
      <c r="L1516" t="str">
        <f>"0,000"</f>
        <v>0,000</v>
      </c>
      <c r="M1516" t="str">
        <f t="shared" si="955"/>
        <v xml:space="preserve"> </v>
      </c>
      <c r="N1516" t="str">
        <f t="shared" si="976"/>
        <v>AUTRONIC</v>
      </c>
      <c r="O1516" t="str">
        <f t="shared" si="977"/>
        <v>CABLES</v>
      </c>
      <c r="P1516" t="str">
        <f t="shared" si="981"/>
        <v>0</v>
      </c>
      <c r="Q1516" t="str">
        <f t="shared" si="981"/>
        <v>0</v>
      </c>
      <c r="R1516" t="str">
        <f t="shared" si="982"/>
        <v>0,00</v>
      </c>
      <c r="S1516" t="str">
        <f t="shared" si="982"/>
        <v>0,00</v>
      </c>
      <c r="T1516" t="str">
        <f t="shared" si="980"/>
        <v xml:space="preserve"> </v>
      </c>
      <c r="U1516" t="str">
        <f t="shared" si="974"/>
        <v xml:space="preserve"> </v>
      </c>
      <c r="V1516" t="str">
        <f>"0,000"</f>
        <v>0,000</v>
      </c>
      <c r="W1516" t="str">
        <f t="shared" si="956"/>
        <v>Lista 4</v>
      </c>
      <c r="X1516" t="str">
        <f t="shared" si="957"/>
        <v>Lista 5</v>
      </c>
      <c r="Y1516" t="str">
        <f t="shared" si="958"/>
        <v>Oferta Gral.</v>
      </c>
      <c r="Z1516" t="str">
        <f t="shared" si="959"/>
        <v>Rubro</v>
      </c>
      <c r="AA1516" t="str">
        <f t="shared" si="960"/>
        <v>Cantidad por Bulto</v>
      </c>
      <c r="AB1516" t="str">
        <f t="shared" si="961"/>
        <v>INNER</v>
      </c>
      <c r="AC1516" t="str">
        <f t="shared" si="962"/>
        <v>Stock en Bultos</v>
      </c>
      <c r="AD1516" t="str">
        <f t="shared" si="963"/>
        <v>SubDepósito</v>
      </c>
      <c r="AE1516" t="str">
        <f t="shared" si="964"/>
        <v>Marca</v>
      </c>
      <c r="AF1516" t="str">
        <f t="shared" si="965"/>
        <v>Super Rubro</v>
      </c>
      <c r="AG1516" t="str">
        <f t="shared" si="966"/>
        <v>ComercioExterior</v>
      </c>
      <c r="AH1516" t="str">
        <f t="shared" si="967"/>
        <v>PrecioFOB</v>
      </c>
      <c r="AI1516" t="str">
        <f t="shared" si="968"/>
        <v>Monto II</v>
      </c>
      <c r="AJ1516" t="str">
        <f t="shared" si="969"/>
        <v>Porcentaje II</v>
      </c>
      <c r="AK1516" t="str">
        <f t="shared" si="970"/>
        <v>Foto</v>
      </c>
      <c r="AL1516" t="str">
        <f>"{\rtf1\ansi\ansicpg1252\deff0\deflang11274{\fonttbl{\f0\fnil\fcharset0 MS Sans Serif}} \viewkind4\uc1\pard\f0\fs16 CONECTOR 3 VIAS BULBO ELECTROVENTILADOR VW GOL- SAVEIRO\par } "</f>
        <v xml:space="preserve">{\rtf1\ansi\ansicpg1252\deff0\deflang11274{\fonttbl{\f0\fnil\fcharset0 MS Sans Serif}} \viewkind4\uc1\pard\f0\fs16 CONECTOR 3 VIAS BULBO ELECTROVENTILADOR VW GOL- SAVEIRO\par } </v>
      </c>
      <c r="AM1516" t="str">
        <f t="shared" si="978"/>
        <v>-</v>
      </c>
    </row>
    <row r="1517" spans="1:39" x14ac:dyDescent="0.25">
      <c r="A1517" t="str">
        <f>"10395"</f>
        <v>10395</v>
      </c>
      <c r="B1517" t="str">
        <f>"CONECTOR 3 VIAS BULBO TEMPERATURA FIAT PALIO SIENA AZUL"</f>
        <v>CONECTOR 3 VIAS BULBO TEMPERATURA FIAT PALIO SIENA AZUL</v>
      </c>
      <c r="C1517" t="str">
        <f t="shared" ref="C1517:G1518" si="984">"$ 5598,68"</f>
        <v>$ 5598,68</v>
      </c>
      <c r="D1517" t="str">
        <f t="shared" si="984"/>
        <v>$ 5598,68</v>
      </c>
      <c r="E1517" t="str">
        <f t="shared" si="984"/>
        <v>$ 5598,68</v>
      </c>
      <c r="F1517" t="str">
        <f t="shared" si="984"/>
        <v>$ 5598,68</v>
      </c>
      <c r="G1517" t="str">
        <f t="shared" si="984"/>
        <v>$ 5598,68</v>
      </c>
      <c r="H1517" t="str">
        <f t="shared" si="953"/>
        <v>$ 0,00</v>
      </c>
      <c r="I1517" t="str">
        <f t="shared" si="975"/>
        <v>FICHA CONECTOR</v>
      </c>
      <c r="J1517" t="str">
        <f t="shared" si="954"/>
        <v>1</v>
      </c>
      <c r="K1517" t="str">
        <f t="shared" si="948"/>
        <v>0</v>
      </c>
      <c r="L1517" t="str">
        <f>"0,000"</f>
        <v>0,000</v>
      </c>
      <c r="M1517" t="str">
        <f t="shared" si="955"/>
        <v xml:space="preserve"> </v>
      </c>
      <c r="N1517" t="str">
        <f t="shared" si="976"/>
        <v>AUTRONIC</v>
      </c>
      <c r="O1517" t="str">
        <f t="shared" si="977"/>
        <v>CABLES</v>
      </c>
      <c r="P1517" t="str">
        <f t="shared" si="981"/>
        <v>0</v>
      </c>
      <c r="Q1517" t="str">
        <f t="shared" si="981"/>
        <v>0</v>
      </c>
      <c r="R1517" t="str">
        <f t="shared" si="982"/>
        <v>0,00</v>
      </c>
      <c r="S1517" t="str">
        <f t="shared" si="982"/>
        <v>0,00</v>
      </c>
      <c r="T1517" t="str">
        <f t="shared" si="980"/>
        <v xml:space="preserve"> </v>
      </c>
      <c r="U1517" t="str">
        <f t="shared" si="974"/>
        <v xml:space="preserve"> </v>
      </c>
      <c r="V1517" t="str">
        <f>"0,000"</f>
        <v>0,000</v>
      </c>
      <c r="W1517" t="str">
        <f t="shared" si="956"/>
        <v>Lista 4</v>
      </c>
      <c r="X1517" t="str">
        <f t="shared" si="957"/>
        <v>Lista 5</v>
      </c>
      <c r="Y1517" t="str">
        <f t="shared" si="958"/>
        <v>Oferta Gral.</v>
      </c>
      <c r="Z1517" t="str">
        <f t="shared" si="959"/>
        <v>Rubro</v>
      </c>
      <c r="AA1517" t="str">
        <f t="shared" si="960"/>
        <v>Cantidad por Bulto</v>
      </c>
      <c r="AB1517" t="str">
        <f t="shared" si="961"/>
        <v>INNER</v>
      </c>
      <c r="AC1517" t="str">
        <f t="shared" si="962"/>
        <v>Stock en Bultos</v>
      </c>
      <c r="AD1517" t="str">
        <f t="shared" si="963"/>
        <v>SubDepósito</v>
      </c>
      <c r="AE1517" t="str">
        <f t="shared" si="964"/>
        <v>Marca</v>
      </c>
      <c r="AF1517" t="str">
        <f t="shared" si="965"/>
        <v>Super Rubro</v>
      </c>
      <c r="AG1517" t="str">
        <f t="shared" si="966"/>
        <v>ComercioExterior</v>
      </c>
      <c r="AH1517" t="str">
        <f t="shared" si="967"/>
        <v>PrecioFOB</v>
      </c>
      <c r="AI1517" t="str">
        <f t="shared" si="968"/>
        <v>Monto II</v>
      </c>
      <c r="AJ1517" t="str">
        <f t="shared" si="969"/>
        <v>Porcentaje II</v>
      </c>
      <c r="AK1517" t="str">
        <f t="shared" si="970"/>
        <v>Foto</v>
      </c>
      <c r="AL1517" t="str">
        <f>"{\rtf1\ansi\ansicpg1252\deff0\deflang11274{\fonttbl{\f0\fnil\fcharset0 MS Sans Serif}} \viewkind4\uc1\pard\f0\fs16 CONECTOR 3 VIAS BULBO TEMPERATURA FIAT PALIO SIENA AZUL\par } "</f>
        <v xml:space="preserve">{\rtf1\ansi\ansicpg1252\deff0\deflang11274{\fonttbl{\f0\fnil\fcharset0 MS Sans Serif}} \viewkind4\uc1\pard\f0\fs16 CONECTOR 3 VIAS BULBO TEMPERATURA FIAT PALIO SIENA AZUL\par } </v>
      </c>
      <c r="AM1517" t="str">
        <f t="shared" si="978"/>
        <v>-</v>
      </c>
    </row>
    <row r="1518" spans="1:39" x14ac:dyDescent="0.25">
      <c r="A1518" t="str">
        <f>"10394"</f>
        <v>10394</v>
      </c>
      <c r="B1518" t="str">
        <f>"CONECTOR 3 VIAS BULBO TEMPERATURA RENAULT NEGRA"</f>
        <v>CONECTOR 3 VIAS BULBO TEMPERATURA RENAULT NEGRA</v>
      </c>
      <c r="C1518" t="str">
        <f t="shared" si="984"/>
        <v>$ 5598,68</v>
      </c>
      <c r="D1518" t="str">
        <f t="shared" si="984"/>
        <v>$ 5598,68</v>
      </c>
      <c r="E1518" t="str">
        <f t="shared" si="984"/>
        <v>$ 5598,68</v>
      </c>
      <c r="F1518" t="str">
        <f t="shared" si="984"/>
        <v>$ 5598,68</v>
      </c>
      <c r="G1518" t="str">
        <f t="shared" si="984"/>
        <v>$ 5598,68</v>
      </c>
      <c r="H1518" t="str">
        <f t="shared" si="953"/>
        <v>$ 0,00</v>
      </c>
      <c r="I1518" t="str">
        <f t="shared" si="975"/>
        <v>FICHA CONECTOR</v>
      </c>
      <c r="J1518" t="str">
        <f t="shared" si="954"/>
        <v>1</v>
      </c>
      <c r="K1518" t="str">
        <f t="shared" si="948"/>
        <v>0</v>
      </c>
      <c r="L1518" t="str">
        <f>"13,000"</f>
        <v>13,000</v>
      </c>
      <c r="M1518" t="str">
        <f t="shared" si="955"/>
        <v xml:space="preserve"> </v>
      </c>
      <c r="N1518" t="str">
        <f t="shared" si="976"/>
        <v>AUTRONIC</v>
      </c>
      <c r="O1518" t="str">
        <f t="shared" si="977"/>
        <v>CABLES</v>
      </c>
      <c r="P1518" t="str">
        <f t="shared" si="981"/>
        <v>0</v>
      </c>
      <c r="Q1518" t="str">
        <f t="shared" si="981"/>
        <v>0</v>
      </c>
      <c r="R1518" t="str">
        <f t="shared" si="982"/>
        <v>0,00</v>
      </c>
      <c r="S1518" t="str">
        <f t="shared" si="982"/>
        <v>0,00</v>
      </c>
      <c r="T1518" t="str">
        <f t="shared" si="980"/>
        <v xml:space="preserve"> </v>
      </c>
      <c r="U1518" t="str">
        <f t="shared" si="974"/>
        <v xml:space="preserve"> </v>
      </c>
      <c r="V1518" t="str">
        <f>"13,000"</f>
        <v>13,000</v>
      </c>
      <c r="W1518" t="str">
        <f t="shared" si="956"/>
        <v>Lista 4</v>
      </c>
      <c r="X1518" t="str">
        <f t="shared" si="957"/>
        <v>Lista 5</v>
      </c>
      <c r="Y1518" t="str">
        <f t="shared" si="958"/>
        <v>Oferta Gral.</v>
      </c>
      <c r="Z1518" t="str">
        <f t="shared" si="959"/>
        <v>Rubro</v>
      </c>
      <c r="AA1518" t="str">
        <f t="shared" si="960"/>
        <v>Cantidad por Bulto</v>
      </c>
      <c r="AB1518" t="str">
        <f t="shared" si="961"/>
        <v>INNER</v>
      </c>
      <c r="AC1518" t="str">
        <f t="shared" si="962"/>
        <v>Stock en Bultos</v>
      </c>
      <c r="AD1518" t="str">
        <f t="shared" si="963"/>
        <v>SubDepósito</v>
      </c>
      <c r="AE1518" t="str">
        <f t="shared" si="964"/>
        <v>Marca</v>
      </c>
      <c r="AF1518" t="str">
        <f t="shared" si="965"/>
        <v>Super Rubro</v>
      </c>
      <c r="AG1518" t="str">
        <f t="shared" si="966"/>
        <v>ComercioExterior</v>
      </c>
      <c r="AH1518" t="str">
        <f t="shared" si="967"/>
        <v>PrecioFOB</v>
      </c>
      <c r="AI1518" t="str">
        <f t="shared" si="968"/>
        <v>Monto II</v>
      </c>
      <c r="AJ1518" t="str">
        <f t="shared" si="969"/>
        <v>Porcentaje II</v>
      </c>
      <c r="AK1518" t="str">
        <f t="shared" si="970"/>
        <v>Foto</v>
      </c>
      <c r="AL1518" t="str">
        <f>"{\rtf1\ansi\ansicpg1252\deff0\deflang11274{\fonttbl{\f0\fnil\fcharset0 MS Sans Serif}} \viewkind4\uc1\pard\f0\fs16 CONECTOR 3 VIAS BULBO TEMPERATURA RENAULT NEGRA\par } "</f>
        <v xml:space="preserve">{\rtf1\ansi\ansicpg1252\deff0\deflang11274{\fonttbl{\f0\fnil\fcharset0 MS Sans Serif}} \viewkind4\uc1\pard\f0\fs16 CONECTOR 3 VIAS BULBO TEMPERATURA RENAULT NEGRA\par } </v>
      </c>
      <c r="AM1518" t="str">
        <f t="shared" si="978"/>
        <v>-</v>
      </c>
    </row>
    <row r="1519" spans="1:39" x14ac:dyDescent="0.25">
      <c r="A1519" t="str">
        <f>"10437"</f>
        <v>10437</v>
      </c>
      <c r="B1519" t="str">
        <f>"CONECTOR 3 VIAS CAPTOR A/LEVA CITROEN/PEUGEOT/RENAULT"</f>
        <v>CONECTOR 3 VIAS CAPTOR A/LEVA CITROEN/PEUGEOT/RENAULT</v>
      </c>
      <c r="C1519" t="str">
        <f t="shared" ref="C1519:G1520" si="985">"$ 6293,50"</f>
        <v>$ 6293,50</v>
      </c>
      <c r="D1519" t="str">
        <f t="shared" si="985"/>
        <v>$ 6293,50</v>
      </c>
      <c r="E1519" t="str">
        <f t="shared" si="985"/>
        <v>$ 6293,50</v>
      </c>
      <c r="F1519" t="str">
        <f t="shared" si="985"/>
        <v>$ 6293,50</v>
      </c>
      <c r="G1519" t="str">
        <f t="shared" si="985"/>
        <v>$ 6293,50</v>
      </c>
      <c r="H1519" t="str">
        <f t="shared" si="953"/>
        <v>$ 0,00</v>
      </c>
      <c r="I1519" t="str">
        <f t="shared" si="975"/>
        <v>FICHA CONECTOR</v>
      </c>
      <c r="J1519" t="str">
        <f t="shared" si="954"/>
        <v>1</v>
      </c>
      <c r="K1519" t="str">
        <f t="shared" si="948"/>
        <v>0</v>
      </c>
      <c r="L1519" t="str">
        <f>"2,000"</f>
        <v>2,000</v>
      </c>
      <c r="M1519" t="str">
        <f t="shared" si="955"/>
        <v xml:space="preserve"> </v>
      </c>
      <c r="N1519" t="str">
        <f t="shared" si="976"/>
        <v>AUTRONIC</v>
      </c>
      <c r="O1519" t="str">
        <f t="shared" si="977"/>
        <v>CABLES</v>
      </c>
      <c r="P1519" t="str">
        <f t="shared" si="981"/>
        <v>0</v>
      </c>
      <c r="Q1519" t="str">
        <f t="shared" si="981"/>
        <v>0</v>
      </c>
      <c r="R1519" t="str">
        <f t="shared" si="982"/>
        <v>0,00</v>
      </c>
      <c r="S1519" t="str">
        <f t="shared" si="982"/>
        <v>0,00</v>
      </c>
      <c r="T1519" t="str">
        <f t="shared" si="980"/>
        <v xml:space="preserve"> </v>
      </c>
      <c r="U1519" t="str">
        <f t="shared" si="974"/>
        <v xml:space="preserve"> </v>
      </c>
      <c r="V1519" t="str">
        <f>"2,000"</f>
        <v>2,000</v>
      </c>
      <c r="W1519" t="str">
        <f t="shared" si="956"/>
        <v>Lista 4</v>
      </c>
      <c r="X1519" t="str">
        <f t="shared" si="957"/>
        <v>Lista 5</v>
      </c>
      <c r="Y1519" t="str">
        <f t="shared" si="958"/>
        <v>Oferta Gral.</v>
      </c>
      <c r="Z1519" t="str">
        <f t="shared" si="959"/>
        <v>Rubro</v>
      </c>
      <c r="AA1519" t="str">
        <f t="shared" si="960"/>
        <v>Cantidad por Bulto</v>
      </c>
      <c r="AB1519" t="str">
        <f t="shared" si="961"/>
        <v>INNER</v>
      </c>
      <c r="AC1519" t="str">
        <f t="shared" si="962"/>
        <v>Stock en Bultos</v>
      </c>
      <c r="AD1519" t="str">
        <f t="shared" si="963"/>
        <v>SubDepósito</v>
      </c>
      <c r="AE1519" t="str">
        <f t="shared" si="964"/>
        <v>Marca</v>
      </c>
      <c r="AF1519" t="str">
        <f t="shared" si="965"/>
        <v>Super Rubro</v>
      </c>
      <c r="AG1519" t="str">
        <f t="shared" si="966"/>
        <v>ComercioExterior</v>
      </c>
      <c r="AH1519" t="str">
        <f t="shared" si="967"/>
        <v>PrecioFOB</v>
      </c>
      <c r="AI1519" t="str">
        <f t="shared" si="968"/>
        <v>Monto II</v>
      </c>
      <c r="AJ1519" t="str">
        <f t="shared" si="969"/>
        <v>Porcentaje II</v>
      </c>
      <c r="AK1519" t="str">
        <f t="shared" si="970"/>
        <v>Foto</v>
      </c>
      <c r="AL1519" t="str">
        <f>"{\rtf1\ansi\ansicpg1252\deff0\deflang11274{\fonttbl{\f0\fnil\fcharset0 MS Sans Serif}} \viewkind4\uc1\pard\f0\fs16 CONECTOR 3 VIAS CAPTOR A/LEVA CITROEN/PEUGEOT/RENAULT\par } "</f>
        <v xml:space="preserve">{\rtf1\ansi\ansicpg1252\deff0\deflang11274{\fonttbl{\f0\fnil\fcharset0 MS Sans Serif}} \viewkind4\uc1\pard\f0\fs16 CONECTOR 3 VIAS CAPTOR A/LEVA CITROEN/PEUGEOT/RENAULT\par } </v>
      </c>
      <c r="AM1519" t="str">
        <f>" "</f>
        <v xml:space="preserve"> </v>
      </c>
    </row>
    <row r="1520" spans="1:39" x14ac:dyDescent="0.25">
      <c r="A1520" t="str">
        <f>"10434"</f>
        <v>10434</v>
      </c>
      <c r="B1520" t="str">
        <f>"CONECTOR 3 VIAS CAPTOR A/LEVAS PEUG-CITR "</f>
        <v xml:space="preserve">CONECTOR 3 VIAS CAPTOR A/LEVAS PEUG-CITR </v>
      </c>
      <c r="C1520" t="str">
        <f t="shared" si="985"/>
        <v>$ 6293,50</v>
      </c>
      <c r="D1520" t="str">
        <f t="shared" si="985"/>
        <v>$ 6293,50</v>
      </c>
      <c r="E1520" t="str">
        <f t="shared" si="985"/>
        <v>$ 6293,50</v>
      </c>
      <c r="F1520" t="str">
        <f t="shared" si="985"/>
        <v>$ 6293,50</v>
      </c>
      <c r="G1520" t="str">
        <f t="shared" si="985"/>
        <v>$ 6293,50</v>
      </c>
      <c r="H1520" t="str">
        <f t="shared" si="953"/>
        <v>$ 0,00</v>
      </c>
      <c r="I1520" t="str">
        <f t="shared" si="975"/>
        <v>FICHA CONECTOR</v>
      </c>
      <c r="J1520" t="str">
        <f t="shared" si="954"/>
        <v>1</v>
      </c>
      <c r="K1520" t="str">
        <f t="shared" si="948"/>
        <v>0</v>
      </c>
      <c r="L1520" t="str">
        <f>"10,000"</f>
        <v>10,000</v>
      </c>
      <c r="M1520" t="str">
        <f t="shared" si="955"/>
        <v xml:space="preserve"> </v>
      </c>
      <c r="N1520" t="str">
        <f t="shared" si="976"/>
        <v>AUTRONIC</v>
      </c>
      <c r="O1520" t="str">
        <f t="shared" si="977"/>
        <v>CABLES</v>
      </c>
      <c r="P1520" t="str">
        <f t="shared" si="981"/>
        <v>0</v>
      </c>
      <c r="Q1520" t="str">
        <f t="shared" si="981"/>
        <v>0</v>
      </c>
      <c r="R1520" t="str">
        <f t="shared" si="982"/>
        <v>0,00</v>
      </c>
      <c r="S1520" t="str">
        <f t="shared" si="982"/>
        <v>0,00</v>
      </c>
      <c r="T1520" t="str">
        <f t="shared" si="980"/>
        <v xml:space="preserve"> </v>
      </c>
      <c r="U1520" t="str">
        <f t="shared" si="974"/>
        <v xml:space="preserve"> </v>
      </c>
      <c r="V1520" t="str">
        <f>"10,000"</f>
        <v>10,000</v>
      </c>
      <c r="W1520" t="str">
        <f t="shared" si="956"/>
        <v>Lista 4</v>
      </c>
      <c r="X1520" t="str">
        <f t="shared" si="957"/>
        <v>Lista 5</v>
      </c>
      <c r="Y1520" t="str">
        <f t="shared" si="958"/>
        <v>Oferta Gral.</v>
      </c>
      <c r="Z1520" t="str">
        <f t="shared" si="959"/>
        <v>Rubro</v>
      </c>
      <c r="AA1520" t="str">
        <f t="shared" si="960"/>
        <v>Cantidad por Bulto</v>
      </c>
      <c r="AB1520" t="str">
        <f t="shared" si="961"/>
        <v>INNER</v>
      </c>
      <c r="AC1520" t="str">
        <f t="shared" si="962"/>
        <v>Stock en Bultos</v>
      </c>
      <c r="AD1520" t="str">
        <f t="shared" si="963"/>
        <v>SubDepósito</v>
      </c>
      <c r="AE1520" t="str">
        <f t="shared" si="964"/>
        <v>Marca</v>
      </c>
      <c r="AF1520" t="str">
        <f t="shared" si="965"/>
        <v>Super Rubro</v>
      </c>
      <c r="AG1520" t="str">
        <f t="shared" si="966"/>
        <v>ComercioExterior</v>
      </c>
      <c r="AH1520" t="str">
        <f t="shared" si="967"/>
        <v>PrecioFOB</v>
      </c>
      <c r="AI1520" t="str">
        <f t="shared" si="968"/>
        <v>Monto II</v>
      </c>
      <c r="AJ1520" t="str">
        <f t="shared" si="969"/>
        <v>Porcentaje II</v>
      </c>
      <c r="AK1520" t="str">
        <f t="shared" si="970"/>
        <v>Foto</v>
      </c>
      <c r="AL1520" t="str">
        <f>"{\rtf1\ansi\ansicpg1252\deff0\deflang11274{\fonttbl{\f0\fnil\fcharset0 MS Sans Serif}} \viewkind4\uc1\pard\f0\fs16 CONECTOR 3 VIAS CAPTOR A/LEVAS PEUG-CITR \par } "</f>
        <v xml:space="preserve">{\rtf1\ansi\ansicpg1252\deff0\deflang11274{\fonttbl{\f0\fnil\fcharset0 MS Sans Serif}} \viewkind4\uc1\pard\f0\fs16 CONECTOR 3 VIAS CAPTOR A/LEVAS PEUG-CITR \par } </v>
      </c>
      <c r="AM1520" t="str">
        <f>" "</f>
        <v xml:space="preserve"> </v>
      </c>
    </row>
    <row r="1521" spans="1:39" x14ac:dyDescent="0.25">
      <c r="A1521" t="str">
        <f>"10272"</f>
        <v>10272</v>
      </c>
      <c r="B1521" t="str">
        <f>"CONECTOR 3 VIAS CAPTOR DISTRIBUIDOR FORD - VW"</f>
        <v>CONECTOR 3 VIAS CAPTOR DISTRIBUIDOR FORD - VW</v>
      </c>
      <c r="C1521" t="str">
        <f>"$ 3741,36"</f>
        <v>$ 3741,36</v>
      </c>
      <c r="D1521" t="str">
        <f>"$ 3741,36"</f>
        <v>$ 3741,36</v>
      </c>
      <c r="E1521" t="str">
        <f>"$ 3741,36"</f>
        <v>$ 3741,36</v>
      </c>
      <c r="F1521" t="str">
        <f>"$ 3741,36"</f>
        <v>$ 3741,36</v>
      </c>
      <c r="G1521" t="str">
        <f>"$ 3741,36"</f>
        <v>$ 3741,36</v>
      </c>
      <c r="H1521" t="str">
        <f t="shared" si="953"/>
        <v>$ 0,00</v>
      </c>
      <c r="I1521" t="str">
        <f t="shared" si="975"/>
        <v>FICHA CONECTOR</v>
      </c>
      <c r="J1521" t="str">
        <f t="shared" si="954"/>
        <v>1</v>
      </c>
      <c r="K1521" t="str">
        <f t="shared" si="948"/>
        <v>0</v>
      </c>
      <c r="L1521" t="str">
        <f>"18,000"</f>
        <v>18,000</v>
      </c>
      <c r="M1521" t="str">
        <f t="shared" si="955"/>
        <v xml:space="preserve"> </v>
      </c>
      <c r="N1521" t="str">
        <f t="shared" si="976"/>
        <v>AUTRONIC</v>
      </c>
      <c r="O1521" t="str">
        <f t="shared" si="977"/>
        <v>CABLES</v>
      </c>
      <c r="P1521" t="str">
        <f t="shared" si="981"/>
        <v>0</v>
      </c>
      <c r="Q1521" t="str">
        <f t="shared" si="981"/>
        <v>0</v>
      </c>
      <c r="R1521" t="str">
        <f t="shared" si="982"/>
        <v>0,00</v>
      </c>
      <c r="S1521" t="str">
        <f t="shared" si="982"/>
        <v>0,00</v>
      </c>
      <c r="T1521" t="str">
        <f t="shared" si="980"/>
        <v xml:space="preserve"> </v>
      </c>
      <c r="U1521" t="str">
        <f t="shared" si="974"/>
        <v xml:space="preserve"> </v>
      </c>
      <c r="V1521" t="str">
        <f>"18,000"</f>
        <v>18,000</v>
      </c>
      <c r="W1521" t="str">
        <f t="shared" si="956"/>
        <v>Lista 4</v>
      </c>
      <c r="X1521" t="str">
        <f t="shared" si="957"/>
        <v>Lista 5</v>
      </c>
      <c r="Y1521" t="str">
        <f t="shared" si="958"/>
        <v>Oferta Gral.</v>
      </c>
      <c r="Z1521" t="str">
        <f t="shared" si="959"/>
        <v>Rubro</v>
      </c>
      <c r="AA1521" t="str">
        <f t="shared" si="960"/>
        <v>Cantidad por Bulto</v>
      </c>
      <c r="AB1521" t="str">
        <f t="shared" si="961"/>
        <v>INNER</v>
      </c>
      <c r="AC1521" t="str">
        <f t="shared" si="962"/>
        <v>Stock en Bultos</v>
      </c>
      <c r="AD1521" t="str">
        <f t="shared" si="963"/>
        <v>SubDepósito</v>
      </c>
      <c r="AE1521" t="str">
        <f t="shared" si="964"/>
        <v>Marca</v>
      </c>
      <c r="AF1521" t="str">
        <f t="shared" si="965"/>
        <v>Super Rubro</v>
      </c>
      <c r="AG1521" t="str">
        <f t="shared" si="966"/>
        <v>ComercioExterior</v>
      </c>
      <c r="AH1521" t="str">
        <f t="shared" si="967"/>
        <v>PrecioFOB</v>
      </c>
      <c r="AI1521" t="str">
        <f t="shared" si="968"/>
        <v>Monto II</v>
      </c>
      <c r="AJ1521" t="str">
        <f t="shared" si="969"/>
        <v>Porcentaje II</v>
      </c>
      <c r="AK1521" t="str">
        <f t="shared" si="970"/>
        <v>Foto</v>
      </c>
      <c r="AL1521" t="str">
        <f>"{\rtf1\ansi\ansicpg1252\deff0\deflang11274{\fonttbl{\f0\fnil\fcharset0 MS Sans Serif}} \viewkind4\uc1\pard\f0\fs16 CONECTOR 3 VIAS CAPTOR DISTRIBUIDOR FORD - VW\par } "</f>
        <v xml:space="preserve">{\rtf1\ansi\ansicpg1252\deff0\deflang11274{\fonttbl{\f0\fnil\fcharset0 MS Sans Serif}} \viewkind4\uc1\pard\f0\fs16 CONECTOR 3 VIAS CAPTOR DISTRIBUIDOR FORD - VW\par } </v>
      </c>
      <c r="AM1521" t="str">
        <f t="shared" ref="AM1521:AM1550" si="986">"-"</f>
        <v>-</v>
      </c>
    </row>
    <row r="1522" spans="1:39" x14ac:dyDescent="0.25">
      <c r="A1522" t="str">
        <f>"10409"</f>
        <v>10409</v>
      </c>
      <c r="B1522" t="str">
        <f>"CONECTOR 3 VIAS ELECTROVENTILADOR VW  GOL POLO HPM"</f>
        <v>CONECTOR 3 VIAS ELECTROVENTILADOR VW  GOL POLO HPM</v>
      </c>
      <c r="C1522" t="str">
        <f>"$ 8952,54"</f>
        <v>$ 8952,54</v>
      </c>
      <c r="D1522" t="str">
        <f>"$ 8952,54"</f>
        <v>$ 8952,54</v>
      </c>
      <c r="E1522" t="str">
        <f>"$ 8952,54"</f>
        <v>$ 8952,54</v>
      </c>
      <c r="F1522" t="str">
        <f>"$ 8952,54"</f>
        <v>$ 8952,54</v>
      </c>
      <c r="G1522" t="str">
        <f>"$ 8952,54"</f>
        <v>$ 8952,54</v>
      </c>
      <c r="H1522" t="str">
        <f t="shared" si="953"/>
        <v>$ 0,00</v>
      </c>
      <c r="I1522" t="str">
        <f t="shared" si="975"/>
        <v>FICHA CONECTOR</v>
      </c>
      <c r="J1522" t="str">
        <f t="shared" si="954"/>
        <v>1</v>
      </c>
      <c r="K1522" t="str">
        <f t="shared" si="948"/>
        <v>0</v>
      </c>
      <c r="L1522" t="str">
        <f>"2,000"</f>
        <v>2,000</v>
      </c>
      <c r="M1522" t="str">
        <f t="shared" si="955"/>
        <v xml:space="preserve"> </v>
      </c>
      <c r="N1522" t="str">
        <f t="shared" si="976"/>
        <v>AUTRONIC</v>
      </c>
      <c r="O1522" t="str">
        <f t="shared" si="977"/>
        <v>CABLES</v>
      </c>
      <c r="P1522" t="str">
        <f t="shared" si="981"/>
        <v>0</v>
      </c>
      <c r="Q1522" t="str">
        <f t="shared" si="981"/>
        <v>0</v>
      </c>
      <c r="R1522" t="str">
        <f t="shared" si="982"/>
        <v>0,00</v>
      </c>
      <c r="S1522" t="str">
        <f t="shared" si="982"/>
        <v>0,00</v>
      </c>
      <c r="T1522" t="str">
        <f t="shared" si="980"/>
        <v xml:space="preserve"> </v>
      </c>
      <c r="U1522" t="str">
        <f t="shared" si="974"/>
        <v xml:space="preserve"> </v>
      </c>
      <c r="V1522" t="str">
        <f>"2,000"</f>
        <v>2,000</v>
      </c>
      <c r="W1522" t="str">
        <f t="shared" si="956"/>
        <v>Lista 4</v>
      </c>
      <c r="X1522" t="str">
        <f t="shared" si="957"/>
        <v>Lista 5</v>
      </c>
      <c r="Y1522" t="str">
        <f t="shared" si="958"/>
        <v>Oferta Gral.</v>
      </c>
      <c r="Z1522" t="str">
        <f t="shared" si="959"/>
        <v>Rubro</v>
      </c>
      <c r="AA1522" t="str">
        <f t="shared" si="960"/>
        <v>Cantidad por Bulto</v>
      </c>
      <c r="AB1522" t="str">
        <f t="shared" si="961"/>
        <v>INNER</v>
      </c>
      <c r="AC1522" t="str">
        <f t="shared" si="962"/>
        <v>Stock en Bultos</v>
      </c>
      <c r="AD1522" t="str">
        <f t="shared" si="963"/>
        <v>SubDepósito</v>
      </c>
      <c r="AE1522" t="str">
        <f t="shared" si="964"/>
        <v>Marca</v>
      </c>
      <c r="AF1522" t="str">
        <f t="shared" si="965"/>
        <v>Super Rubro</v>
      </c>
      <c r="AG1522" t="str">
        <f t="shared" si="966"/>
        <v>ComercioExterior</v>
      </c>
      <c r="AH1522" t="str">
        <f t="shared" si="967"/>
        <v>PrecioFOB</v>
      </c>
      <c r="AI1522" t="str">
        <f t="shared" si="968"/>
        <v>Monto II</v>
      </c>
      <c r="AJ1522" t="str">
        <f t="shared" si="969"/>
        <v>Porcentaje II</v>
      </c>
      <c r="AK1522" t="str">
        <f t="shared" si="970"/>
        <v>Foto</v>
      </c>
      <c r="AL1522" t="str">
        <f>"{\rtf1\ansi\ansicpg1252\deff0\deflang11274{\fonttbl{\f0\fnil\fcharset0 MS Sans Serif}} \viewkind4\uc1\pard\f0\fs16 CONECTOR 3 VIAS ELECTROVENTILADOR VW  GOL POLO HPM\par } "</f>
        <v xml:space="preserve">{\rtf1\ansi\ansicpg1252\deff0\deflang11274{\fonttbl{\f0\fnil\fcharset0 MS Sans Serif}} \viewkind4\uc1\pard\f0\fs16 CONECTOR 3 VIAS ELECTROVENTILADOR VW  GOL POLO HPM\par } </v>
      </c>
      <c r="AM1522" t="str">
        <f t="shared" si="986"/>
        <v>-</v>
      </c>
    </row>
    <row r="1523" spans="1:39" x14ac:dyDescent="0.25">
      <c r="A1523" t="str">
        <f>"10279"</f>
        <v>10279</v>
      </c>
      <c r="B1523" t="str">
        <f>"CONECTOR 3 VIAS HPM VARIOS FIAT- PEUGEOT ( CONTRAFICHA 10-160 )"</f>
        <v>CONECTOR 3 VIAS HPM VARIOS FIAT- PEUGEOT ( CONTRAFICHA 10-160 )</v>
      </c>
      <c r="C1523" t="str">
        <f>"$ 3153,43"</f>
        <v>$ 3153,43</v>
      </c>
      <c r="D1523" t="str">
        <f>"$ 3153,43"</f>
        <v>$ 3153,43</v>
      </c>
      <c r="E1523" t="str">
        <f>"$ 3153,43"</f>
        <v>$ 3153,43</v>
      </c>
      <c r="F1523" t="str">
        <f>"$ 3153,43"</f>
        <v>$ 3153,43</v>
      </c>
      <c r="G1523" t="str">
        <f>"$ 3153,43"</f>
        <v>$ 3153,43</v>
      </c>
      <c r="H1523" t="str">
        <f t="shared" si="953"/>
        <v>$ 0,00</v>
      </c>
      <c r="I1523" t="str">
        <f t="shared" si="975"/>
        <v>FICHA CONECTOR</v>
      </c>
      <c r="J1523" t="str">
        <f t="shared" si="954"/>
        <v>1</v>
      </c>
      <c r="K1523" t="str">
        <f t="shared" si="948"/>
        <v>0</v>
      </c>
      <c r="L1523" t="str">
        <f>"0,000"</f>
        <v>0,000</v>
      </c>
      <c r="M1523" t="str">
        <f t="shared" si="955"/>
        <v xml:space="preserve"> </v>
      </c>
      <c r="N1523" t="str">
        <f t="shared" si="976"/>
        <v>AUTRONIC</v>
      </c>
      <c r="O1523" t="str">
        <f t="shared" si="977"/>
        <v>CABLES</v>
      </c>
      <c r="P1523" t="str">
        <f t="shared" ref="P1523:Q1542" si="987">"0"</f>
        <v>0</v>
      </c>
      <c r="Q1523" t="str">
        <f t="shared" si="987"/>
        <v>0</v>
      </c>
      <c r="R1523" t="str">
        <f t="shared" ref="R1523:S1542" si="988">"0,00"</f>
        <v>0,00</v>
      </c>
      <c r="S1523" t="str">
        <f t="shared" si="988"/>
        <v>0,00</v>
      </c>
      <c r="T1523" t="str">
        <f t="shared" si="980"/>
        <v xml:space="preserve"> </v>
      </c>
      <c r="U1523" t="str">
        <f t="shared" si="974"/>
        <v xml:space="preserve"> </v>
      </c>
      <c r="V1523" t="str">
        <f>"0,000"</f>
        <v>0,000</v>
      </c>
      <c r="W1523" t="str">
        <f t="shared" si="956"/>
        <v>Lista 4</v>
      </c>
      <c r="X1523" t="str">
        <f t="shared" si="957"/>
        <v>Lista 5</v>
      </c>
      <c r="Y1523" t="str">
        <f t="shared" si="958"/>
        <v>Oferta Gral.</v>
      </c>
      <c r="Z1523" t="str">
        <f t="shared" si="959"/>
        <v>Rubro</v>
      </c>
      <c r="AA1523" t="str">
        <f t="shared" si="960"/>
        <v>Cantidad por Bulto</v>
      </c>
      <c r="AB1523" t="str">
        <f t="shared" si="961"/>
        <v>INNER</v>
      </c>
      <c r="AC1523" t="str">
        <f t="shared" si="962"/>
        <v>Stock en Bultos</v>
      </c>
      <c r="AD1523" t="str">
        <f t="shared" si="963"/>
        <v>SubDepósito</v>
      </c>
      <c r="AE1523" t="str">
        <f t="shared" si="964"/>
        <v>Marca</v>
      </c>
      <c r="AF1523" t="str">
        <f t="shared" si="965"/>
        <v>Super Rubro</v>
      </c>
      <c r="AG1523" t="str">
        <f t="shared" si="966"/>
        <v>ComercioExterior</v>
      </c>
      <c r="AH1523" t="str">
        <f t="shared" si="967"/>
        <v>PrecioFOB</v>
      </c>
      <c r="AI1523" t="str">
        <f t="shared" si="968"/>
        <v>Monto II</v>
      </c>
      <c r="AJ1523" t="str">
        <f t="shared" si="969"/>
        <v>Porcentaje II</v>
      </c>
      <c r="AK1523" t="str">
        <f t="shared" si="970"/>
        <v>Foto</v>
      </c>
      <c r="AL1523" t="str">
        <f>"{\rtf1\ansi\ansicpg1252\deff0\deflang11274{\fonttbl{\f0\fnil\fcharset0 MS Sans Serif}} \viewkind4\uc1\pard\f0\fs16 CONECTOR 3 VIAS HPM VARIOS FIAT- PEUGEOT ( CONTRAFICHA 10-160 )\par } "</f>
        <v xml:space="preserve">{\rtf1\ansi\ansicpg1252\deff0\deflang11274{\fonttbl{\f0\fnil\fcharset0 MS Sans Serif}} \viewkind4\uc1\pard\f0\fs16 CONECTOR 3 VIAS HPM VARIOS FIAT- PEUGEOT ( CONTRAFICHA 10-160 )\par } </v>
      </c>
      <c r="AM1523" t="str">
        <f t="shared" si="986"/>
        <v>-</v>
      </c>
    </row>
    <row r="1524" spans="1:39" x14ac:dyDescent="0.25">
      <c r="A1524" t="str">
        <f>"10187"</f>
        <v>10187</v>
      </c>
      <c r="B1524" t="str">
        <f>"CONECTOR 3 VIAS MACHO ENCENDIDO ELECTRONICO RENAULT"</f>
        <v>CONECTOR 3 VIAS MACHO ENCENDIDO ELECTRONICO RENAULT</v>
      </c>
      <c r="C1524" t="str">
        <f t="shared" ref="C1524:G1525" si="989">"$ 2405,16"</f>
        <v>$ 2405,16</v>
      </c>
      <c r="D1524" t="str">
        <f t="shared" si="989"/>
        <v>$ 2405,16</v>
      </c>
      <c r="E1524" t="str">
        <f t="shared" si="989"/>
        <v>$ 2405,16</v>
      </c>
      <c r="F1524" t="str">
        <f t="shared" si="989"/>
        <v>$ 2405,16</v>
      </c>
      <c r="G1524" t="str">
        <f t="shared" si="989"/>
        <v>$ 2405,16</v>
      </c>
      <c r="H1524" t="str">
        <f t="shared" si="953"/>
        <v>$ 0,00</v>
      </c>
      <c r="I1524" t="str">
        <f t="shared" si="975"/>
        <v>FICHA CONECTOR</v>
      </c>
      <c r="J1524" t="str">
        <f t="shared" si="954"/>
        <v>1</v>
      </c>
      <c r="K1524" t="str">
        <f t="shared" ref="K1524:K1587" si="990">"0"</f>
        <v>0</v>
      </c>
      <c r="L1524" t="str">
        <f>"10,000"</f>
        <v>10,000</v>
      </c>
      <c r="M1524" t="str">
        <f t="shared" si="955"/>
        <v xml:space="preserve"> </v>
      </c>
      <c r="N1524" t="str">
        <f t="shared" si="976"/>
        <v>AUTRONIC</v>
      </c>
      <c r="O1524" t="str">
        <f t="shared" si="977"/>
        <v>CABLES</v>
      </c>
      <c r="P1524" t="str">
        <f t="shared" si="987"/>
        <v>0</v>
      </c>
      <c r="Q1524" t="str">
        <f t="shared" si="987"/>
        <v>0</v>
      </c>
      <c r="R1524" t="str">
        <f t="shared" si="988"/>
        <v>0,00</v>
      </c>
      <c r="S1524" t="str">
        <f t="shared" si="988"/>
        <v>0,00</v>
      </c>
      <c r="T1524" t="str">
        <f t="shared" si="980"/>
        <v xml:space="preserve"> </v>
      </c>
      <c r="U1524" t="str">
        <f t="shared" si="974"/>
        <v xml:space="preserve"> </v>
      </c>
      <c r="V1524" t="str">
        <f>"10,000"</f>
        <v>10,000</v>
      </c>
      <c r="W1524" t="str">
        <f t="shared" si="956"/>
        <v>Lista 4</v>
      </c>
      <c r="X1524" t="str">
        <f t="shared" si="957"/>
        <v>Lista 5</v>
      </c>
      <c r="Y1524" t="str">
        <f t="shared" si="958"/>
        <v>Oferta Gral.</v>
      </c>
      <c r="Z1524" t="str">
        <f t="shared" si="959"/>
        <v>Rubro</v>
      </c>
      <c r="AA1524" t="str">
        <f t="shared" si="960"/>
        <v>Cantidad por Bulto</v>
      </c>
      <c r="AB1524" t="str">
        <f t="shared" si="961"/>
        <v>INNER</v>
      </c>
      <c r="AC1524" t="str">
        <f t="shared" si="962"/>
        <v>Stock en Bultos</v>
      </c>
      <c r="AD1524" t="str">
        <f t="shared" si="963"/>
        <v>SubDepósito</v>
      </c>
      <c r="AE1524" t="str">
        <f t="shared" si="964"/>
        <v>Marca</v>
      </c>
      <c r="AF1524" t="str">
        <f t="shared" si="965"/>
        <v>Super Rubro</v>
      </c>
      <c r="AG1524" t="str">
        <f t="shared" si="966"/>
        <v>ComercioExterior</v>
      </c>
      <c r="AH1524" t="str">
        <f t="shared" si="967"/>
        <v>PrecioFOB</v>
      </c>
      <c r="AI1524" t="str">
        <f t="shared" si="968"/>
        <v>Monto II</v>
      </c>
      <c r="AJ1524" t="str">
        <f t="shared" si="969"/>
        <v>Porcentaje II</v>
      </c>
      <c r="AK1524" t="str">
        <f t="shared" si="970"/>
        <v>Foto</v>
      </c>
      <c r="AL1524" t="str">
        <f>"{\rtf1\ansi\ansicpg1252\deff0\deflang11274{\fonttbl{\f0\fnil\fcharset0 MS Sans Serif}} \viewkind4\uc1\pard\f0\fs16 CONECTOR 3 VIAS MACHO ENCENDIDO ELECTRONICO RENAULT\par } "</f>
        <v xml:space="preserve">{\rtf1\ansi\ansicpg1252\deff0\deflang11274{\fonttbl{\f0\fnil\fcharset0 MS Sans Serif}} \viewkind4\uc1\pard\f0\fs16 CONECTOR 3 VIAS MACHO ENCENDIDO ELECTRONICO RENAULT\par } </v>
      </c>
      <c r="AM1524" t="str">
        <f t="shared" si="986"/>
        <v>-</v>
      </c>
    </row>
    <row r="1525" spans="1:39" x14ac:dyDescent="0.25">
      <c r="A1525" t="str">
        <f>"10188"</f>
        <v>10188</v>
      </c>
      <c r="B1525" t="str">
        <f>"CONECTOR 3 VIAS MACHO INTERRUPTOR STOP RENAULT MEGANE"</f>
        <v>CONECTOR 3 VIAS MACHO INTERRUPTOR STOP RENAULT MEGANE</v>
      </c>
      <c r="C1525" t="str">
        <f t="shared" si="989"/>
        <v>$ 2405,16</v>
      </c>
      <c r="D1525" t="str">
        <f t="shared" si="989"/>
        <v>$ 2405,16</v>
      </c>
      <c r="E1525" t="str">
        <f t="shared" si="989"/>
        <v>$ 2405,16</v>
      </c>
      <c r="F1525" t="str">
        <f t="shared" si="989"/>
        <v>$ 2405,16</v>
      </c>
      <c r="G1525" t="str">
        <f t="shared" si="989"/>
        <v>$ 2405,16</v>
      </c>
      <c r="H1525" t="str">
        <f t="shared" si="953"/>
        <v>$ 0,00</v>
      </c>
      <c r="I1525" t="str">
        <f t="shared" si="975"/>
        <v>FICHA CONECTOR</v>
      </c>
      <c r="J1525" t="str">
        <f t="shared" si="954"/>
        <v>1</v>
      </c>
      <c r="K1525" t="str">
        <f t="shared" si="990"/>
        <v>0</v>
      </c>
      <c r="L1525" t="str">
        <f>"10,000"</f>
        <v>10,000</v>
      </c>
      <c r="M1525" t="str">
        <f t="shared" si="955"/>
        <v xml:space="preserve"> </v>
      </c>
      <c r="N1525" t="str">
        <f t="shared" si="976"/>
        <v>AUTRONIC</v>
      </c>
      <c r="O1525" t="str">
        <f t="shared" si="977"/>
        <v>CABLES</v>
      </c>
      <c r="P1525" t="str">
        <f t="shared" si="987"/>
        <v>0</v>
      </c>
      <c r="Q1525" t="str">
        <f t="shared" si="987"/>
        <v>0</v>
      </c>
      <c r="R1525" t="str">
        <f t="shared" si="988"/>
        <v>0,00</v>
      </c>
      <c r="S1525" t="str">
        <f t="shared" si="988"/>
        <v>0,00</v>
      </c>
      <c r="T1525" t="str">
        <f t="shared" si="980"/>
        <v xml:space="preserve"> </v>
      </c>
      <c r="U1525" t="str">
        <f t="shared" si="974"/>
        <v xml:space="preserve"> </v>
      </c>
      <c r="V1525" t="str">
        <f>"10,000"</f>
        <v>10,000</v>
      </c>
      <c r="W1525" t="str">
        <f t="shared" si="956"/>
        <v>Lista 4</v>
      </c>
      <c r="X1525" t="str">
        <f t="shared" si="957"/>
        <v>Lista 5</v>
      </c>
      <c r="Y1525" t="str">
        <f t="shared" si="958"/>
        <v>Oferta Gral.</v>
      </c>
      <c r="Z1525" t="str">
        <f t="shared" si="959"/>
        <v>Rubro</v>
      </c>
      <c r="AA1525" t="str">
        <f t="shared" si="960"/>
        <v>Cantidad por Bulto</v>
      </c>
      <c r="AB1525" t="str">
        <f t="shared" si="961"/>
        <v>INNER</v>
      </c>
      <c r="AC1525" t="str">
        <f t="shared" si="962"/>
        <v>Stock en Bultos</v>
      </c>
      <c r="AD1525" t="str">
        <f t="shared" si="963"/>
        <v>SubDepósito</v>
      </c>
      <c r="AE1525" t="str">
        <f t="shared" si="964"/>
        <v>Marca</v>
      </c>
      <c r="AF1525" t="str">
        <f t="shared" si="965"/>
        <v>Super Rubro</v>
      </c>
      <c r="AG1525" t="str">
        <f t="shared" si="966"/>
        <v>ComercioExterior</v>
      </c>
      <c r="AH1525" t="str">
        <f t="shared" si="967"/>
        <v>PrecioFOB</v>
      </c>
      <c r="AI1525" t="str">
        <f t="shared" si="968"/>
        <v>Monto II</v>
      </c>
      <c r="AJ1525" t="str">
        <f t="shared" si="969"/>
        <v>Porcentaje II</v>
      </c>
      <c r="AK1525" t="str">
        <f t="shared" si="970"/>
        <v>Foto</v>
      </c>
      <c r="AL1525" t="str">
        <f>"{\rtf1\ansi\ansicpg1252\deff0\deflang11274{\fonttbl{\f0\fnil\fcharset0 MS Sans Serif}} \viewkind4\uc1\pard\f0\fs16 CONECTOR 3 VIAS MACHO INTERRUPTOR STOP RENAULT MEGANE\par } "</f>
        <v xml:space="preserve">{\rtf1\ansi\ansicpg1252\deff0\deflang11274{\fonttbl{\f0\fnil\fcharset0 MS Sans Serif}} \viewkind4\uc1\pard\f0\fs16 CONECTOR 3 VIAS MACHO INTERRUPTOR STOP RENAULT MEGANE\par } </v>
      </c>
      <c r="AM1525" t="str">
        <f t="shared" si="986"/>
        <v>-</v>
      </c>
    </row>
    <row r="1526" spans="1:39" x14ac:dyDescent="0.25">
      <c r="A1526" t="str">
        <f>"10388"</f>
        <v>10388</v>
      </c>
      <c r="B1526" t="str">
        <f>"CONECTOR 3 VIAS MODULO ELECTRONICO VW"</f>
        <v>CONECTOR 3 VIAS MODULO ELECTRONICO VW</v>
      </c>
      <c r="C1526" t="str">
        <f>"$ 3621,10"</f>
        <v>$ 3621,10</v>
      </c>
      <c r="D1526" t="str">
        <f>"$ 3621,10"</f>
        <v>$ 3621,10</v>
      </c>
      <c r="E1526" t="str">
        <f>"$ 3621,10"</f>
        <v>$ 3621,10</v>
      </c>
      <c r="F1526" t="str">
        <f>"$ 3621,10"</f>
        <v>$ 3621,10</v>
      </c>
      <c r="G1526" t="str">
        <f>"$ 3621,10"</f>
        <v>$ 3621,10</v>
      </c>
      <c r="H1526" t="str">
        <f t="shared" si="953"/>
        <v>$ 0,00</v>
      </c>
      <c r="I1526" t="str">
        <f t="shared" si="975"/>
        <v>FICHA CONECTOR</v>
      </c>
      <c r="J1526" t="str">
        <f t="shared" si="954"/>
        <v>1</v>
      </c>
      <c r="K1526" t="str">
        <f t="shared" si="990"/>
        <v>0</v>
      </c>
      <c r="L1526" t="str">
        <f>"0,000"</f>
        <v>0,000</v>
      </c>
      <c r="M1526" t="str">
        <f t="shared" si="955"/>
        <v xml:space="preserve"> </v>
      </c>
      <c r="N1526" t="str">
        <f t="shared" si="976"/>
        <v>AUTRONIC</v>
      </c>
      <c r="O1526" t="str">
        <f t="shared" si="977"/>
        <v>CABLES</v>
      </c>
      <c r="P1526" t="str">
        <f t="shared" si="987"/>
        <v>0</v>
      </c>
      <c r="Q1526" t="str">
        <f t="shared" si="987"/>
        <v>0</v>
      </c>
      <c r="R1526" t="str">
        <f t="shared" si="988"/>
        <v>0,00</v>
      </c>
      <c r="S1526" t="str">
        <f t="shared" si="988"/>
        <v>0,00</v>
      </c>
      <c r="T1526" t="str">
        <f t="shared" si="980"/>
        <v xml:space="preserve"> </v>
      </c>
      <c r="U1526" t="str">
        <f t="shared" si="974"/>
        <v xml:space="preserve"> </v>
      </c>
      <c r="V1526" t="str">
        <f>"0,000"</f>
        <v>0,000</v>
      </c>
      <c r="W1526" t="str">
        <f t="shared" si="956"/>
        <v>Lista 4</v>
      </c>
      <c r="X1526" t="str">
        <f t="shared" si="957"/>
        <v>Lista 5</v>
      </c>
      <c r="Y1526" t="str">
        <f t="shared" si="958"/>
        <v>Oferta Gral.</v>
      </c>
      <c r="Z1526" t="str">
        <f t="shared" si="959"/>
        <v>Rubro</v>
      </c>
      <c r="AA1526" t="str">
        <f t="shared" si="960"/>
        <v>Cantidad por Bulto</v>
      </c>
      <c r="AB1526" t="str">
        <f t="shared" si="961"/>
        <v>INNER</v>
      </c>
      <c r="AC1526" t="str">
        <f t="shared" si="962"/>
        <v>Stock en Bultos</v>
      </c>
      <c r="AD1526" t="str">
        <f t="shared" si="963"/>
        <v>SubDepósito</v>
      </c>
      <c r="AE1526" t="str">
        <f t="shared" si="964"/>
        <v>Marca</v>
      </c>
      <c r="AF1526" t="str">
        <f t="shared" si="965"/>
        <v>Super Rubro</v>
      </c>
      <c r="AG1526" t="str">
        <f t="shared" si="966"/>
        <v>ComercioExterior</v>
      </c>
      <c r="AH1526" t="str">
        <f t="shared" si="967"/>
        <v>PrecioFOB</v>
      </c>
      <c r="AI1526" t="str">
        <f t="shared" si="968"/>
        <v>Monto II</v>
      </c>
      <c r="AJ1526" t="str">
        <f t="shared" si="969"/>
        <v>Porcentaje II</v>
      </c>
      <c r="AK1526" t="str">
        <f t="shared" si="970"/>
        <v>Foto</v>
      </c>
      <c r="AL1526" t="str">
        <f>"{\rtf1\ansi\ansicpg1252\deff0\deflang11274{\fonttbl{\f0\fnil\fcharset0 MS Sans Serif}} \viewkind4\uc1\pard\f0\fs16 CONECTOR 3 VIAS MODULO ELECTRONICO VW\par } "</f>
        <v xml:space="preserve">{\rtf1\ansi\ansicpg1252\deff0\deflang11274{\fonttbl{\f0\fnil\fcharset0 MS Sans Serif}} \viewkind4\uc1\pard\f0\fs16 CONECTOR 3 VIAS MODULO ELECTRONICO VW\par } </v>
      </c>
      <c r="AM1526" t="str">
        <f t="shared" si="986"/>
        <v>-</v>
      </c>
    </row>
    <row r="1527" spans="1:39" x14ac:dyDescent="0.25">
      <c r="A1527" t="str">
        <f>"10278"</f>
        <v>10278</v>
      </c>
      <c r="B1527" t="str">
        <f>"CONECTOR 3 VIAS MOTOR ELECTROV. FIAT- GM- PEUGEOT ( CONTRAFICHA 10-162 )"</f>
        <v>CONECTOR 3 VIAS MOTOR ELECTROV. FIAT- GM- PEUGEOT ( CONTRAFICHA 10-162 )</v>
      </c>
      <c r="C1527" t="str">
        <f>"$ 6734,45"</f>
        <v>$ 6734,45</v>
      </c>
      <c r="D1527" t="str">
        <f>"$ 6734,45"</f>
        <v>$ 6734,45</v>
      </c>
      <c r="E1527" t="str">
        <f>"$ 6734,45"</f>
        <v>$ 6734,45</v>
      </c>
      <c r="F1527" t="str">
        <f>"$ 6734,45"</f>
        <v>$ 6734,45</v>
      </c>
      <c r="G1527" t="str">
        <f>"$ 6734,45"</f>
        <v>$ 6734,45</v>
      </c>
      <c r="H1527" t="str">
        <f t="shared" si="953"/>
        <v>$ 0,00</v>
      </c>
      <c r="I1527" t="str">
        <f t="shared" si="975"/>
        <v>FICHA CONECTOR</v>
      </c>
      <c r="J1527" t="str">
        <f t="shared" si="954"/>
        <v>1</v>
      </c>
      <c r="K1527" t="str">
        <f t="shared" si="990"/>
        <v>0</v>
      </c>
      <c r="L1527" t="str">
        <f>"8,000"</f>
        <v>8,000</v>
      </c>
      <c r="M1527" t="str">
        <f t="shared" si="955"/>
        <v xml:space="preserve"> </v>
      </c>
      <c r="N1527" t="str">
        <f t="shared" si="976"/>
        <v>AUTRONIC</v>
      </c>
      <c r="O1527" t="str">
        <f t="shared" si="977"/>
        <v>CABLES</v>
      </c>
      <c r="P1527" t="str">
        <f t="shared" si="987"/>
        <v>0</v>
      </c>
      <c r="Q1527" t="str">
        <f t="shared" si="987"/>
        <v>0</v>
      </c>
      <c r="R1527" t="str">
        <f t="shared" si="988"/>
        <v>0,00</v>
      </c>
      <c r="S1527" t="str">
        <f t="shared" si="988"/>
        <v>0,00</v>
      </c>
      <c r="T1527" t="str">
        <f t="shared" si="980"/>
        <v xml:space="preserve"> </v>
      </c>
      <c r="U1527" t="str">
        <f t="shared" si="974"/>
        <v xml:space="preserve"> </v>
      </c>
      <c r="V1527" t="str">
        <f>"8,000"</f>
        <v>8,000</v>
      </c>
      <c r="W1527" t="str">
        <f t="shared" si="956"/>
        <v>Lista 4</v>
      </c>
      <c r="X1527" t="str">
        <f t="shared" si="957"/>
        <v>Lista 5</v>
      </c>
      <c r="Y1527" t="str">
        <f t="shared" si="958"/>
        <v>Oferta Gral.</v>
      </c>
      <c r="Z1527" t="str">
        <f t="shared" si="959"/>
        <v>Rubro</v>
      </c>
      <c r="AA1527" t="str">
        <f t="shared" si="960"/>
        <v>Cantidad por Bulto</v>
      </c>
      <c r="AB1527" t="str">
        <f t="shared" si="961"/>
        <v>INNER</v>
      </c>
      <c r="AC1527" t="str">
        <f t="shared" si="962"/>
        <v>Stock en Bultos</v>
      </c>
      <c r="AD1527" t="str">
        <f t="shared" si="963"/>
        <v>SubDepósito</v>
      </c>
      <c r="AE1527" t="str">
        <f t="shared" si="964"/>
        <v>Marca</v>
      </c>
      <c r="AF1527" t="str">
        <f t="shared" si="965"/>
        <v>Super Rubro</v>
      </c>
      <c r="AG1527" t="str">
        <f t="shared" si="966"/>
        <v>ComercioExterior</v>
      </c>
      <c r="AH1527" t="str">
        <f t="shared" si="967"/>
        <v>PrecioFOB</v>
      </c>
      <c r="AI1527" t="str">
        <f t="shared" si="968"/>
        <v>Monto II</v>
      </c>
      <c r="AJ1527" t="str">
        <f t="shared" si="969"/>
        <v>Porcentaje II</v>
      </c>
      <c r="AK1527" t="str">
        <f t="shared" si="970"/>
        <v>Foto</v>
      </c>
      <c r="AL1527" t="str">
        <f>"{\rtf1\ansi\ansicpg1252\deff0\deflang11274{\fonttbl{\f0\fnil\fcharset0 MS Sans Serif}} \viewkind4\uc1\pard\f0\fs16 CONECTOR 3 VIAS MOTOR ELECTROV. FIAT- GM- PEUGEOT ( CONTRAFICHA 10-162 )\par } "</f>
        <v xml:space="preserve">{\rtf1\ansi\ansicpg1252\deff0\deflang11274{\fonttbl{\f0\fnil\fcharset0 MS Sans Serif}} \viewkind4\uc1\pard\f0\fs16 CONECTOR 3 VIAS MOTOR ELECTROV. FIAT- GM- PEUGEOT ( CONTRAFICHA 10-162 )\par } </v>
      </c>
      <c r="AM1527" t="str">
        <f t="shared" si="986"/>
        <v>-</v>
      </c>
    </row>
    <row r="1528" spans="1:39" x14ac:dyDescent="0.25">
      <c r="A1528" t="str">
        <f>"10382"</f>
        <v>10382</v>
      </c>
      <c r="B1528" t="str">
        <f>"CONECTOR 3 VIAS MOTOR PASO A PASO GM  CORSA"</f>
        <v>CONECTOR 3 VIAS MOTOR PASO A PASO GM  CORSA</v>
      </c>
      <c r="C1528" t="str">
        <f>"$ 4489,63"</f>
        <v>$ 4489,63</v>
      </c>
      <c r="D1528" t="str">
        <f>"$ 4489,63"</f>
        <v>$ 4489,63</v>
      </c>
      <c r="E1528" t="str">
        <f>"$ 4489,63"</f>
        <v>$ 4489,63</v>
      </c>
      <c r="F1528" t="str">
        <f>"$ 4489,63"</f>
        <v>$ 4489,63</v>
      </c>
      <c r="G1528" t="str">
        <f>"$ 4489,63"</f>
        <v>$ 4489,63</v>
      </c>
      <c r="H1528" t="str">
        <f t="shared" si="953"/>
        <v>$ 0,00</v>
      </c>
      <c r="I1528" t="str">
        <f t="shared" si="975"/>
        <v>FICHA CONECTOR</v>
      </c>
      <c r="J1528" t="str">
        <f t="shared" si="954"/>
        <v>1</v>
      </c>
      <c r="K1528" t="str">
        <f t="shared" si="990"/>
        <v>0</v>
      </c>
      <c r="L1528" t="str">
        <f>"0,000"</f>
        <v>0,000</v>
      </c>
      <c r="M1528" t="str">
        <f t="shared" si="955"/>
        <v xml:space="preserve"> </v>
      </c>
      <c r="N1528" t="str">
        <f t="shared" si="976"/>
        <v>AUTRONIC</v>
      </c>
      <c r="O1528" t="str">
        <f t="shared" si="977"/>
        <v>CABLES</v>
      </c>
      <c r="P1528" t="str">
        <f t="shared" si="987"/>
        <v>0</v>
      </c>
      <c r="Q1528" t="str">
        <f t="shared" si="987"/>
        <v>0</v>
      </c>
      <c r="R1528" t="str">
        <f t="shared" si="988"/>
        <v>0,00</v>
      </c>
      <c r="S1528" t="str">
        <f t="shared" si="988"/>
        <v>0,00</v>
      </c>
      <c r="T1528" t="str">
        <f t="shared" si="980"/>
        <v xml:space="preserve"> </v>
      </c>
      <c r="U1528" t="str">
        <f t="shared" si="974"/>
        <v xml:space="preserve"> </v>
      </c>
      <c r="V1528" t="str">
        <f>"0,000"</f>
        <v>0,000</v>
      </c>
      <c r="W1528" t="str">
        <f t="shared" si="956"/>
        <v>Lista 4</v>
      </c>
      <c r="X1528" t="str">
        <f t="shared" si="957"/>
        <v>Lista 5</v>
      </c>
      <c r="Y1528" t="str">
        <f t="shared" si="958"/>
        <v>Oferta Gral.</v>
      </c>
      <c r="Z1528" t="str">
        <f t="shared" si="959"/>
        <v>Rubro</v>
      </c>
      <c r="AA1528" t="str">
        <f t="shared" si="960"/>
        <v>Cantidad por Bulto</v>
      </c>
      <c r="AB1528" t="str">
        <f t="shared" si="961"/>
        <v>INNER</v>
      </c>
      <c r="AC1528" t="str">
        <f t="shared" si="962"/>
        <v>Stock en Bultos</v>
      </c>
      <c r="AD1528" t="str">
        <f t="shared" si="963"/>
        <v>SubDepósito</v>
      </c>
      <c r="AE1528" t="str">
        <f t="shared" si="964"/>
        <v>Marca</v>
      </c>
      <c r="AF1528" t="str">
        <f t="shared" si="965"/>
        <v>Super Rubro</v>
      </c>
      <c r="AG1528" t="str">
        <f t="shared" si="966"/>
        <v>ComercioExterior</v>
      </c>
      <c r="AH1528" t="str">
        <f t="shared" si="967"/>
        <v>PrecioFOB</v>
      </c>
      <c r="AI1528" t="str">
        <f t="shared" si="968"/>
        <v>Monto II</v>
      </c>
      <c r="AJ1528" t="str">
        <f t="shared" si="969"/>
        <v>Porcentaje II</v>
      </c>
      <c r="AK1528" t="str">
        <f t="shared" si="970"/>
        <v>Foto</v>
      </c>
      <c r="AL1528" t="str">
        <f>"{\rtf1\ansi\ansicpg1252\deff0\deflang11274{\fonttbl{\f0\fnil\fcharset0 MS Sans Serif}} \viewkind4\uc1\pard\f0\fs16 CONECTOR 3 VIAS MOTOR PASO A PASO GM  CORSA\par } "</f>
        <v xml:space="preserve">{\rtf1\ansi\ansicpg1252\deff0\deflang11274{\fonttbl{\f0\fnil\fcharset0 MS Sans Serif}} \viewkind4\uc1\pard\f0\fs16 CONECTOR 3 VIAS MOTOR PASO A PASO GM  CORSA\par } </v>
      </c>
      <c r="AM1528" t="str">
        <f t="shared" si="986"/>
        <v>-</v>
      </c>
    </row>
    <row r="1529" spans="1:39" x14ac:dyDescent="0.25">
      <c r="A1529" t="str">
        <f>"10290"</f>
        <v>10290</v>
      </c>
      <c r="B1529" t="str">
        <f>"CONECTOR 3 VIAS SENSOR MARIPOSA - BOBINA IGNICION FORD FIESTA-KA"</f>
        <v>CONECTOR 3 VIAS SENSOR MARIPOSA - BOBINA IGNICION FORD FIESTA-KA</v>
      </c>
      <c r="C1529" t="str">
        <f>"$ 5772,38"</f>
        <v>$ 5772,38</v>
      </c>
      <c r="D1529" t="str">
        <f>"$ 5772,38"</f>
        <v>$ 5772,38</v>
      </c>
      <c r="E1529" t="str">
        <f>"$ 5772,38"</f>
        <v>$ 5772,38</v>
      </c>
      <c r="F1529" t="str">
        <f>"$ 5772,38"</f>
        <v>$ 5772,38</v>
      </c>
      <c r="G1529" t="str">
        <f>"$ 5772,38"</f>
        <v>$ 5772,38</v>
      </c>
      <c r="H1529" t="str">
        <f t="shared" si="953"/>
        <v>$ 0,00</v>
      </c>
      <c r="I1529" t="str">
        <f t="shared" si="975"/>
        <v>FICHA CONECTOR</v>
      </c>
      <c r="J1529" t="str">
        <f t="shared" si="954"/>
        <v>1</v>
      </c>
      <c r="K1529" t="str">
        <f t="shared" si="990"/>
        <v>0</v>
      </c>
      <c r="L1529" t="str">
        <f>"20,000"</f>
        <v>20,000</v>
      </c>
      <c r="M1529" t="str">
        <f t="shared" si="955"/>
        <v xml:space="preserve"> </v>
      </c>
      <c r="N1529" t="str">
        <f t="shared" si="976"/>
        <v>AUTRONIC</v>
      </c>
      <c r="O1529" t="str">
        <f t="shared" si="977"/>
        <v>CABLES</v>
      </c>
      <c r="P1529" t="str">
        <f t="shared" si="987"/>
        <v>0</v>
      </c>
      <c r="Q1529" t="str">
        <f t="shared" si="987"/>
        <v>0</v>
      </c>
      <c r="R1529" t="str">
        <f t="shared" si="988"/>
        <v>0,00</v>
      </c>
      <c r="S1529" t="str">
        <f t="shared" si="988"/>
        <v>0,00</v>
      </c>
      <c r="T1529" t="str">
        <f t="shared" ref="T1529:T1560" si="991">" "</f>
        <v xml:space="preserve"> </v>
      </c>
      <c r="U1529" t="str">
        <f t="shared" si="974"/>
        <v xml:space="preserve"> </v>
      </c>
      <c r="V1529" t="str">
        <f>"20,000"</f>
        <v>20,000</v>
      </c>
      <c r="W1529" t="str">
        <f t="shared" si="956"/>
        <v>Lista 4</v>
      </c>
      <c r="X1529" t="str">
        <f t="shared" si="957"/>
        <v>Lista 5</v>
      </c>
      <c r="Y1529" t="str">
        <f t="shared" si="958"/>
        <v>Oferta Gral.</v>
      </c>
      <c r="Z1529" t="str">
        <f t="shared" si="959"/>
        <v>Rubro</v>
      </c>
      <c r="AA1529" t="str">
        <f t="shared" si="960"/>
        <v>Cantidad por Bulto</v>
      </c>
      <c r="AB1529" t="str">
        <f t="shared" si="961"/>
        <v>INNER</v>
      </c>
      <c r="AC1529" t="str">
        <f t="shared" si="962"/>
        <v>Stock en Bultos</v>
      </c>
      <c r="AD1529" t="str">
        <f t="shared" si="963"/>
        <v>SubDepósito</v>
      </c>
      <c r="AE1529" t="str">
        <f t="shared" si="964"/>
        <v>Marca</v>
      </c>
      <c r="AF1529" t="str">
        <f t="shared" si="965"/>
        <v>Super Rubro</v>
      </c>
      <c r="AG1529" t="str">
        <f t="shared" si="966"/>
        <v>ComercioExterior</v>
      </c>
      <c r="AH1529" t="str">
        <f t="shared" si="967"/>
        <v>PrecioFOB</v>
      </c>
      <c r="AI1529" t="str">
        <f t="shared" si="968"/>
        <v>Monto II</v>
      </c>
      <c r="AJ1529" t="str">
        <f t="shared" si="969"/>
        <v>Porcentaje II</v>
      </c>
      <c r="AK1529" t="str">
        <f t="shared" si="970"/>
        <v>Foto</v>
      </c>
      <c r="AL1529" t="str">
        <f>"{\rtf1\ansi\ansicpg1252\deff0\deflang11274{\fonttbl{\f0\fnil\fcharset0 MS Sans Serif}} \viewkind4\uc1\pard\f0\fs16 CONECTOR 3 VIAS SENSOR MARIPOSA - BOBINA IGNICION FORD FIESTA-KA\par } "</f>
        <v xml:space="preserve">{\rtf1\ansi\ansicpg1252\deff0\deflang11274{\fonttbl{\f0\fnil\fcharset0 MS Sans Serif}} \viewkind4\uc1\pard\f0\fs16 CONECTOR 3 VIAS SENSOR MARIPOSA - BOBINA IGNICION FORD FIESTA-KA\par } </v>
      </c>
      <c r="AM1529" t="str">
        <f t="shared" si="986"/>
        <v>-</v>
      </c>
    </row>
    <row r="1530" spans="1:39" x14ac:dyDescent="0.25">
      <c r="A1530" t="str">
        <f>"10379"</f>
        <v>10379</v>
      </c>
      <c r="B1530" t="str">
        <f>"CONECTOR 3 VIAS SENSOR MARIPOSA GM / REGULADOR VOLTAJE FORD"</f>
        <v>CONECTOR 3 VIAS SENSOR MARIPOSA GM / REGULADOR VOLTAJE FORD</v>
      </c>
      <c r="C1530" t="str">
        <f>"$ 3941,79"</f>
        <v>$ 3941,79</v>
      </c>
      <c r="D1530" t="str">
        <f>"$ 3941,79"</f>
        <v>$ 3941,79</v>
      </c>
      <c r="E1530" t="str">
        <f>"$ 3941,79"</f>
        <v>$ 3941,79</v>
      </c>
      <c r="F1530" t="str">
        <f>"$ 3941,79"</f>
        <v>$ 3941,79</v>
      </c>
      <c r="G1530" t="str">
        <f>"$ 3941,79"</f>
        <v>$ 3941,79</v>
      </c>
      <c r="H1530" t="str">
        <f t="shared" si="953"/>
        <v>$ 0,00</v>
      </c>
      <c r="I1530" t="str">
        <f t="shared" si="975"/>
        <v>FICHA CONECTOR</v>
      </c>
      <c r="J1530" t="str">
        <f t="shared" si="954"/>
        <v>1</v>
      </c>
      <c r="K1530" t="str">
        <f t="shared" si="990"/>
        <v>0</v>
      </c>
      <c r="L1530" t="str">
        <f>"9,000"</f>
        <v>9,000</v>
      </c>
      <c r="M1530" t="str">
        <f t="shared" si="955"/>
        <v xml:space="preserve"> </v>
      </c>
      <c r="N1530" t="str">
        <f t="shared" si="976"/>
        <v>AUTRONIC</v>
      </c>
      <c r="O1530" t="str">
        <f t="shared" si="977"/>
        <v>CABLES</v>
      </c>
      <c r="P1530" t="str">
        <f t="shared" si="987"/>
        <v>0</v>
      </c>
      <c r="Q1530" t="str">
        <f t="shared" si="987"/>
        <v>0</v>
      </c>
      <c r="R1530" t="str">
        <f t="shared" si="988"/>
        <v>0,00</v>
      </c>
      <c r="S1530" t="str">
        <f t="shared" si="988"/>
        <v>0,00</v>
      </c>
      <c r="T1530" t="str">
        <f t="shared" si="991"/>
        <v xml:space="preserve"> </v>
      </c>
      <c r="U1530" t="str">
        <f t="shared" si="974"/>
        <v xml:space="preserve"> </v>
      </c>
      <c r="V1530" t="str">
        <f>"9,000"</f>
        <v>9,000</v>
      </c>
      <c r="W1530" t="str">
        <f t="shared" si="956"/>
        <v>Lista 4</v>
      </c>
      <c r="X1530" t="str">
        <f t="shared" si="957"/>
        <v>Lista 5</v>
      </c>
      <c r="Y1530" t="str">
        <f t="shared" si="958"/>
        <v>Oferta Gral.</v>
      </c>
      <c r="Z1530" t="str">
        <f t="shared" si="959"/>
        <v>Rubro</v>
      </c>
      <c r="AA1530" t="str">
        <f t="shared" si="960"/>
        <v>Cantidad por Bulto</v>
      </c>
      <c r="AB1530" t="str">
        <f t="shared" si="961"/>
        <v>INNER</v>
      </c>
      <c r="AC1530" t="str">
        <f t="shared" si="962"/>
        <v>Stock en Bultos</v>
      </c>
      <c r="AD1530" t="str">
        <f t="shared" si="963"/>
        <v>SubDepósito</v>
      </c>
      <c r="AE1530" t="str">
        <f t="shared" si="964"/>
        <v>Marca</v>
      </c>
      <c r="AF1530" t="str">
        <f t="shared" si="965"/>
        <v>Super Rubro</v>
      </c>
      <c r="AG1530" t="str">
        <f t="shared" si="966"/>
        <v>ComercioExterior</v>
      </c>
      <c r="AH1530" t="str">
        <f t="shared" si="967"/>
        <v>PrecioFOB</v>
      </c>
      <c r="AI1530" t="str">
        <f t="shared" si="968"/>
        <v>Monto II</v>
      </c>
      <c r="AJ1530" t="str">
        <f t="shared" si="969"/>
        <v>Porcentaje II</v>
      </c>
      <c r="AK1530" t="str">
        <f t="shared" si="970"/>
        <v>Foto</v>
      </c>
      <c r="AL1530" t="str">
        <f>"{\rtf1\ansi\ansicpg1252\deff0\deflang11274{\fonttbl{\f0\fnil\fcharset0 MS Sans Serif}} \viewkind4\uc1\pard\f0\fs16 CONECTOR 3 VIAS SENSOR MARIPOSA GM / REGULADOR VOLTAJE FORD\par } "</f>
        <v xml:space="preserve">{\rtf1\ansi\ansicpg1252\deff0\deflang11274{\fonttbl{\f0\fnil\fcharset0 MS Sans Serif}} \viewkind4\uc1\pard\f0\fs16 CONECTOR 3 VIAS SENSOR MARIPOSA GM / REGULADOR VOLTAJE FORD\par } </v>
      </c>
      <c r="AM1530" t="str">
        <f t="shared" si="986"/>
        <v>-</v>
      </c>
    </row>
    <row r="1531" spans="1:39" x14ac:dyDescent="0.25">
      <c r="A1531" t="str">
        <f>"10386"</f>
        <v>10386</v>
      </c>
      <c r="B1531" t="str">
        <f>"CONECTOR 3 VIAS SENSOR PRESION ABSOLUTA  CORSA MONZA BLAZER MAP"</f>
        <v>CONECTOR 3 VIAS SENSOR PRESION ABSOLUTA  CORSA MONZA BLAZER MAP</v>
      </c>
      <c r="C1531" t="str">
        <f>"$ 5919,37"</f>
        <v>$ 5919,37</v>
      </c>
      <c r="D1531" t="str">
        <f>"$ 5919,37"</f>
        <v>$ 5919,37</v>
      </c>
      <c r="E1531" t="str">
        <f>"$ 5919,37"</f>
        <v>$ 5919,37</v>
      </c>
      <c r="F1531" t="str">
        <f>"$ 5919,37"</f>
        <v>$ 5919,37</v>
      </c>
      <c r="G1531" t="str">
        <f>"$ 5919,37"</f>
        <v>$ 5919,37</v>
      </c>
      <c r="H1531" t="str">
        <f t="shared" si="953"/>
        <v>$ 0,00</v>
      </c>
      <c r="I1531" t="str">
        <f t="shared" si="975"/>
        <v>FICHA CONECTOR</v>
      </c>
      <c r="J1531" t="str">
        <f t="shared" si="954"/>
        <v>1</v>
      </c>
      <c r="K1531" t="str">
        <f t="shared" si="990"/>
        <v>0</v>
      </c>
      <c r="L1531" t="str">
        <f>"0,000"</f>
        <v>0,000</v>
      </c>
      <c r="M1531" t="str">
        <f t="shared" si="955"/>
        <v xml:space="preserve"> </v>
      </c>
      <c r="N1531" t="str">
        <f t="shared" si="976"/>
        <v>AUTRONIC</v>
      </c>
      <c r="O1531" t="str">
        <f t="shared" si="977"/>
        <v>CABLES</v>
      </c>
      <c r="P1531" t="str">
        <f t="shared" si="987"/>
        <v>0</v>
      </c>
      <c r="Q1531" t="str">
        <f t="shared" si="987"/>
        <v>0</v>
      </c>
      <c r="R1531" t="str">
        <f t="shared" si="988"/>
        <v>0,00</v>
      </c>
      <c r="S1531" t="str">
        <f t="shared" si="988"/>
        <v>0,00</v>
      </c>
      <c r="T1531" t="str">
        <f t="shared" si="991"/>
        <v xml:space="preserve"> </v>
      </c>
      <c r="U1531" t="str">
        <f t="shared" si="974"/>
        <v xml:space="preserve"> </v>
      </c>
      <c r="V1531" t="str">
        <f>"0,000"</f>
        <v>0,000</v>
      </c>
      <c r="W1531" t="str">
        <f t="shared" si="956"/>
        <v>Lista 4</v>
      </c>
      <c r="X1531" t="str">
        <f t="shared" si="957"/>
        <v>Lista 5</v>
      </c>
      <c r="Y1531" t="str">
        <f t="shared" si="958"/>
        <v>Oferta Gral.</v>
      </c>
      <c r="Z1531" t="str">
        <f t="shared" si="959"/>
        <v>Rubro</v>
      </c>
      <c r="AA1531" t="str">
        <f t="shared" si="960"/>
        <v>Cantidad por Bulto</v>
      </c>
      <c r="AB1531" t="str">
        <f t="shared" si="961"/>
        <v>INNER</v>
      </c>
      <c r="AC1531" t="str">
        <f t="shared" si="962"/>
        <v>Stock en Bultos</v>
      </c>
      <c r="AD1531" t="str">
        <f t="shared" si="963"/>
        <v>SubDepósito</v>
      </c>
      <c r="AE1531" t="str">
        <f t="shared" si="964"/>
        <v>Marca</v>
      </c>
      <c r="AF1531" t="str">
        <f t="shared" si="965"/>
        <v>Super Rubro</v>
      </c>
      <c r="AG1531" t="str">
        <f t="shared" si="966"/>
        <v>ComercioExterior</v>
      </c>
      <c r="AH1531" t="str">
        <f t="shared" si="967"/>
        <v>PrecioFOB</v>
      </c>
      <c r="AI1531" t="str">
        <f t="shared" si="968"/>
        <v>Monto II</v>
      </c>
      <c r="AJ1531" t="str">
        <f t="shared" si="969"/>
        <v>Porcentaje II</v>
      </c>
      <c r="AK1531" t="str">
        <f t="shared" si="970"/>
        <v>Foto</v>
      </c>
      <c r="AL1531" t="str">
        <f>"{\rtf1\ansi\ansicpg1252\deff0\deflang11274{\fonttbl{\f0\fnil\fcharset0 MS Sans Serif}} \viewkind4\uc1\pard\f0\fs16 CONECTOR 3 VIAS SENSOR PRESION ABSOLUTA  CORSA MONZA BLAZER MAP\par } "</f>
        <v xml:space="preserve">{\rtf1\ansi\ansicpg1252\deff0\deflang11274{\fonttbl{\f0\fnil\fcharset0 MS Sans Serif}} \viewkind4\uc1\pard\f0\fs16 CONECTOR 3 VIAS SENSOR PRESION ABSOLUTA  CORSA MONZA BLAZER MAP\par } </v>
      </c>
      <c r="AM1531" t="str">
        <f t="shared" si="986"/>
        <v>-</v>
      </c>
    </row>
    <row r="1532" spans="1:39" x14ac:dyDescent="0.25">
      <c r="A1532" t="str">
        <f>"10390"</f>
        <v>10390</v>
      </c>
      <c r="B1532" t="str">
        <f>"CONECTOR 3 VIAS SENSOR PUNTO MUERTO BOSCH"</f>
        <v>CONECTOR 3 VIAS SENSOR PUNTO MUERTO BOSCH</v>
      </c>
      <c r="C1532" t="str">
        <f>"$ 3474,12"</f>
        <v>$ 3474,12</v>
      </c>
      <c r="D1532" t="str">
        <f>"$ 3474,12"</f>
        <v>$ 3474,12</v>
      </c>
      <c r="E1532" t="str">
        <f>"$ 3474,12"</f>
        <v>$ 3474,12</v>
      </c>
      <c r="F1532" t="str">
        <f>"$ 3474,12"</f>
        <v>$ 3474,12</v>
      </c>
      <c r="G1532" t="str">
        <f>"$ 3474,12"</f>
        <v>$ 3474,12</v>
      </c>
      <c r="H1532" t="str">
        <f t="shared" si="953"/>
        <v>$ 0,00</v>
      </c>
      <c r="I1532" t="str">
        <f t="shared" si="975"/>
        <v>FICHA CONECTOR</v>
      </c>
      <c r="J1532" t="str">
        <f t="shared" si="954"/>
        <v>1</v>
      </c>
      <c r="K1532" t="str">
        <f t="shared" si="990"/>
        <v>0</v>
      </c>
      <c r="L1532" t="str">
        <f>"0,000"</f>
        <v>0,000</v>
      </c>
      <c r="M1532" t="str">
        <f t="shared" si="955"/>
        <v xml:space="preserve"> </v>
      </c>
      <c r="N1532" t="str">
        <f t="shared" si="976"/>
        <v>AUTRONIC</v>
      </c>
      <c r="O1532" t="str">
        <f t="shared" si="977"/>
        <v>CABLES</v>
      </c>
      <c r="P1532" t="str">
        <f t="shared" si="987"/>
        <v>0</v>
      </c>
      <c r="Q1532" t="str">
        <f t="shared" si="987"/>
        <v>0</v>
      </c>
      <c r="R1532" t="str">
        <f t="shared" si="988"/>
        <v>0,00</v>
      </c>
      <c r="S1532" t="str">
        <f t="shared" si="988"/>
        <v>0,00</v>
      </c>
      <c r="T1532" t="str">
        <f t="shared" si="991"/>
        <v xml:space="preserve"> </v>
      </c>
      <c r="U1532" t="str">
        <f t="shared" si="974"/>
        <v xml:space="preserve"> </v>
      </c>
      <c r="V1532" t="str">
        <f>"0,000"</f>
        <v>0,000</v>
      </c>
      <c r="W1532" t="str">
        <f t="shared" si="956"/>
        <v>Lista 4</v>
      </c>
      <c r="X1532" t="str">
        <f t="shared" si="957"/>
        <v>Lista 5</v>
      </c>
      <c r="Y1532" t="str">
        <f t="shared" si="958"/>
        <v>Oferta Gral.</v>
      </c>
      <c r="Z1532" t="str">
        <f t="shared" si="959"/>
        <v>Rubro</v>
      </c>
      <c r="AA1532" t="str">
        <f t="shared" si="960"/>
        <v>Cantidad por Bulto</v>
      </c>
      <c r="AB1532" t="str">
        <f t="shared" si="961"/>
        <v>INNER</v>
      </c>
      <c r="AC1532" t="str">
        <f t="shared" si="962"/>
        <v>Stock en Bultos</v>
      </c>
      <c r="AD1532" t="str">
        <f t="shared" si="963"/>
        <v>SubDepósito</v>
      </c>
      <c r="AE1532" t="str">
        <f t="shared" si="964"/>
        <v>Marca</v>
      </c>
      <c r="AF1532" t="str">
        <f t="shared" si="965"/>
        <v>Super Rubro</v>
      </c>
      <c r="AG1532" t="str">
        <f t="shared" si="966"/>
        <v>ComercioExterior</v>
      </c>
      <c r="AH1532" t="str">
        <f t="shared" si="967"/>
        <v>PrecioFOB</v>
      </c>
      <c r="AI1532" t="str">
        <f t="shared" si="968"/>
        <v>Monto II</v>
      </c>
      <c r="AJ1532" t="str">
        <f t="shared" si="969"/>
        <v>Porcentaje II</v>
      </c>
      <c r="AK1532" t="str">
        <f t="shared" si="970"/>
        <v>Foto</v>
      </c>
      <c r="AL1532" t="str">
        <f>"{\rtf1\ansi\ansicpg1252\deff0\deflang11274{\fonttbl{\f0\fnil\fcharset0 MS Sans Serif}} \viewkind4\uc1\pard\f0\fs16 CONECTOR 3 VIAS SENSOR PUNTO MUERTO BOSCH\par } "</f>
        <v xml:space="preserve">{\rtf1\ansi\ansicpg1252\deff0\deflang11274{\fonttbl{\f0\fnil\fcharset0 MS Sans Serif}} \viewkind4\uc1\pard\f0\fs16 CONECTOR 3 VIAS SENSOR PUNTO MUERTO BOSCH\par } </v>
      </c>
      <c r="AM1532" t="str">
        <f t="shared" si="986"/>
        <v>-</v>
      </c>
    </row>
    <row r="1533" spans="1:39" x14ac:dyDescent="0.25">
      <c r="A1533" t="str">
        <f>"10413"</f>
        <v>10413</v>
      </c>
      <c r="B1533" t="str">
        <f>"CONECTOR 3 VIAS SENSOR VELOCIMETRO GOLF III POLO FOX"</f>
        <v>CONECTOR 3 VIAS SENSOR VELOCIMETRO GOLF III POLO FOX</v>
      </c>
      <c r="C1533" t="str">
        <f>"$ 4275,84"</f>
        <v>$ 4275,84</v>
      </c>
      <c r="D1533" t="str">
        <f>"$ 4275,84"</f>
        <v>$ 4275,84</v>
      </c>
      <c r="E1533" t="str">
        <f>"$ 4275,84"</f>
        <v>$ 4275,84</v>
      </c>
      <c r="F1533" t="str">
        <f>"$ 4275,84"</f>
        <v>$ 4275,84</v>
      </c>
      <c r="G1533" t="str">
        <f>"$ 4275,84"</f>
        <v>$ 4275,84</v>
      </c>
      <c r="H1533" t="str">
        <f t="shared" si="953"/>
        <v>$ 0,00</v>
      </c>
      <c r="I1533" t="str">
        <f t="shared" si="975"/>
        <v>FICHA CONECTOR</v>
      </c>
      <c r="J1533" t="str">
        <f t="shared" si="954"/>
        <v>1</v>
      </c>
      <c r="K1533" t="str">
        <f t="shared" si="990"/>
        <v>0</v>
      </c>
      <c r="L1533" t="str">
        <f>"0,000"</f>
        <v>0,000</v>
      </c>
      <c r="M1533" t="str">
        <f t="shared" si="955"/>
        <v xml:space="preserve"> </v>
      </c>
      <c r="N1533" t="str">
        <f t="shared" si="976"/>
        <v>AUTRONIC</v>
      </c>
      <c r="O1533" t="str">
        <f t="shared" si="977"/>
        <v>CABLES</v>
      </c>
      <c r="P1533" t="str">
        <f t="shared" si="987"/>
        <v>0</v>
      </c>
      <c r="Q1533" t="str">
        <f t="shared" si="987"/>
        <v>0</v>
      </c>
      <c r="R1533" t="str">
        <f t="shared" si="988"/>
        <v>0,00</v>
      </c>
      <c r="S1533" t="str">
        <f t="shared" si="988"/>
        <v>0,00</v>
      </c>
      <c r="T1533" t="str">
        <f t="shared" si="991"/>
        <v xml:space="preserve"> </v>
      </c>
      <c r="U1533" t="str">
        <f t="shared" si="974"/>
        <v xml:space="preserve"> </v>
      </c>
      <c r="V1533" t="str">
        <f>"0,000"</f>
        <v>0,000</v>
      </c>
      <c r="W1533" t="str">
        <f t="shared" si="956"/>
        <v>Lista 4</v>
      </c>
      <c r="X1533" t="str">
        <f t="shared" si="957"/>
        <v>Lista 5</v>
      </c>
      <c r="Y1533" t="str">
        <f t="shared" si="958"/>
        <v>Oferta Gral.</v>
      </c>
      <c r="Z1533" t="str">
        <f t="shared" si="959"/>
        <v>Rubro</v>
      </c>
      <c r="AA1533" t="str">
        <f t="shared" si="960"/>
        <v>Cantidad por Bulto</v>
      </c>
      <c r="AB1533" t="str">
        <f t="shared" si="961"/>
        <v>INNER</v>
      </c>
      <c r="AC1533" t="str">
        <f t="shared" si="962"/>
        <v>Stock en Bultos</v>
      </c>
      <c r="AD1533" t="str">
        <f t="shared" si="963"/>
        <v>SubDepósito</v>
      </c>
      <c r="AE1533" t="str">
        <f t="shared" si="964"/>
        <v>Marca</v>
      </c>
      <c r="AF1533" t="str">
        <f t="shared" si="965"/>
        <v>Super Rubro</v>
      </c>
      <c r="AG1533" t="str">
        <f t="shared" si="966"/>
        <v>ComercioExterior</v>
      </c>
      <c r="AH1533" t="str">
        <f t="shared" si="967"/>
        <v>PrecioFOB</v>
      </c>
      <c r="AI1533" t="str">
        <f t="shared" si="968"/>
        <v>Monto II</v>
      </c>
      <c r="AJ1533" t="str">
        <f t="shared" si="969"/>
        <v>Porcentaje II</v>
      </c>
      <c r="AK1533" t="str">
        <f t="shared" si="970"/>
        <v>Foto</v>
      </c>
      <c r="AL1533" t="str">
        <f>"{\rtf1\ansi\ansicpg1252\deff0\deflang11274{\fonttbl{\f0\fnil\fcharset0 MS Sans Serif}} \viewkind4\uc1\pard\f0\fs16 CONECTOR 3 VIAS SENSOR VELOCIMETRO GOLF III POLO FOX\par } "</f>
        <v xml:space="preserve">{\rtf1\ansi\ansicpg1252\deff0\deflang11274{\fonttbl{\f0\fnil\fcharset0 MS Sans Serif}} \viewkind4\uc1\pard\f0\fs16 CONECTOR 3 VIAS SENSOR VELOCIMETRO GOLF III POLO FOX\par } </v>
      </c>
      <c r="AM1533" t="str">
        <f t="shared" si="986"/>
        <v>-</v>
      </c>
    </row>
    <row r="1534" spans="1:39" x14ac:dyDescent="0.25">
      <c r="A1534" t="str">
        <f>"10119"</f>
        <v>10119</v>
      </c>
      <c r="B1534" t="str">
        <f>"CONECTOR 3 VÍAS  - REG. VOLTAJE TIPO NASHVILLE – MERCEDES BENZ"</f>
        <v>CONECTOR 3 VÍAS  - REG. VOLTAJE TIPO NASHVILLE – MERCEDES BENZ</v>
      </c>
      <c r="C1534" t="str">
        <f>"$ 1576,72"</f>
        <v>$ 1576,72</v>
      </c>
      <c r="D1534" t="str">
        <f>"$ 1576,72"</f>
        <v>$ 1576,72</v>
      </c>
      <c r="E1534" t="str">
        <f>"$ 1576,72"</f>
        <v>$ 1576,72</v>
      </c>
      <c r="F1534" t="str">
        <f>"$ 1576,72"</f>
        <v>$ 1576,72</v>
      </c>
      <c r="G1534" t="str">
        <f>"$ 1576,72"</f>
        <v>$ 1576,72</v>
      </c>
      <c r="H1534" t="str">
        <f t="shared" si="953"/>
        <v>$ 0,00</v>
      </c>
      <c r="I1534" t="str">
        <f t="shared" si="975"/>
        <v>FICHA CONECTOR</v>
      </c>
      <c r="J1534" t="str">
        <f t="shared" si="954"/>
        <v>1</v>
      </c>
      <c r="K1534" t="str">
        <f t="shared" si="990"/>
        <v>0</v>
      </c>
      <c r="L1534" t="str">
        <f>"0,000"</f>
        <v>0,000</v>
      </c>
      <c r="M1534" t="str">
        <f t="shared" si="955"/>
        <v xml:space="preserve"> </v>
      </c>
      <c r="N1534" t="str">
        <f t="shared" si="976"/>
        <v>AUTRONIC</v>
      </c>
      <c r="O1534" t="str">
        <f t="shared" si="977"/>
        <v>CABLES</v>
      </c>
      <c r="P1534" t="str">
        <f t="shared" si="987"/>
        <v>0</v>
      </c>
      <c r="Q1534" t="str">
        <f t="shared" si="987"/>
        <v>0</v>
      </c>
      <c r="R1534" t="str">
        <f t="shared" si="988"/>
        <v>0,00</v>
      </c>
      <c r="S1534" t="str">
        <f t="shared" si="988"/>
        <v>0,00</v>
      </c>
      <c r="T1534" t="str">
        <f t="shared" si="991"/>
        <v xml:space="preserve"> </v>
      </c>
      <c r="U1534" t="str">
        <f t="shared" si="974"/>
        <v xml:space="preserve"> </v>
      </c>
      <c r="V1534" t="str">
        <f>"0,000"</f>
        <v>0,000</v>
      </c>
      <c r="W1534" t="str">
        <f t="shared" si="956"/>
        <v>Lista 4</v>
      </c>
      <c r="X1534" t="str">
        <f t="shared" si="957"/>
        <v>Lista 5</v>
      </c>
      <c r="Y1534" t="str">
        <f t="shared" si="958"/>
        <v>Oferta Gral.</v>
      </c>
      <c r="Z1534" t="str">
        <f t="shared" si="959"/>
        <v>Rubro</v>
      </c>
      <c r="AA1534" t="str">
        <f t="shared" si="960"/>
        <v>Cantidad por Bulto</v>
      </c>
      <c r="AB1534" t="str">
        <f t="shared" si="961"/>
        <v>INNER</v>
      </c>
      <c r="AC1534" t="str">
        <f t="shared" si="962"/>
        <v>Stock en Bultos</v>
      </c>
      <c r="AD1534" t="str">
        <f t="shared" si="963"/>
        <v>SubDepósito</v>
      </c>
      <c r="AE1534" t="str">
        <f t="shared" si="964"/>
        <v>Marca</v>
      </c>
      <c r="AF1534" t="str">
        <f t="shared" si="965"/>
        <v>Super Rubro</v>
      </c>
      <c r="AG1534" t="str">
        <f t="shared" si="966"/>
        <v>ComercioExterior</v>
      </c>
      <c r="AH1534" t="str">
        <f t="shared" si="967"/>
        <v>PrecioFOB</v>
      </c>
      <c r="AI1534" t="str">
        <f t="shared" si="968"/>
        <v>Monto II</v>
      </c>
      <c r="AJ1534" t="str">
        <f t="shared" si="969"/>
        <v>Porcentaje II</v>
      </c>
      <c r="AK1534" t="str">
        <f t="shared" si="970"/>
        <v>Foto</v>
      </c>
      <c r="AL1534" t="str">
        <f>"{\rtf1\ansi\ansicpg1252\deff0\deflang11274{\fonttbl{\f0\fnil\fcharset0 MS Sans Serif}} \viewkind4\uc1\pard\f0\fs16 CONECTOR 3 V\'cdAS  - REG. VOLTAJE TIPO NASHVILLE \endash  MERCEDES BENZ\par } "</f>
        <v xml:space="preserve">{\rtf1\ansi\ansicpg1252\deff0\deflang11274{\fonttbl{\f0\fnil\fcharset0 MS Sans Serif}} \viewkind4\uc1\pard\f0\fs16 CONECTOR 3 V\'cdAS  - REG. VOLTAJE TIPO NASHVILLE \endash  MERCEDES BENZ\par } </v>
      </c>
      <c r="AM1534" t="str">
        <f t="shared" si="986"/>
        <v>-</v>
      </c>
    </row>
    <row r="1535" spans="1:39" x14ac:dyDescent="0.25">
      <c r="A1535" t="str">
        <f>"10161"</f>
        <v>10161</v>
      </c>
      <c r="B1535" t="str">
        <f>"CONECTOR 3 VÍAS BULBO ELECTROV. PALIO – SIENA – TIPO - TEMPRA"</f>
        <v>CONECTOR 3 VÍAS BULBO ELECTROV. PALIO – SIENA – TIPO - TEMPRA</v>
      </c>
      <c r="C1535" t="str">
        <f>"$ 6213,33"</f>
        <v>$ 6213,33</v>
      </c>
      <c r="D1535" t="str">
        <f>"$ 6213,33"</f>
        <v>$ 6213,33</v>
      </c>
      <c r="E1535" t="str">
        <f>"$ 6213,33"</f>
        <v>$ 6213,33</v>
      </c>
      <c r="F1535" t="str">
        <f>"$ 6213,33"</f>
        <v>$ 6213,33</v>
      </c>
      <c r="G1535" t="str">
        <f>"$ 6213,33"</f>
        <v>$ 6213,33</v>
      </c>
      <c r="H1535" t="str">
        <f t="shared" si="953"/>
        <v>$ 0,00</v>
      </c>
      <c r="I1535" t="str">
        <f t="shared" si="975"/>
        <v>FICHA CONECTOR</v>
      </c>
      <c r="J1535" t="str">
        <f t="shared" si="954"/>
        <v>1</v>
      </c>
      <c r="K1535" t="str">
        <f t="shared" si="990"/>
        <v>0</v>
      </c>
      <c r="L1535" t="str">
        <f>"10,000"</f>
        <v>10,000</v>
      </c>
      <c r="M1535" t="str">
        <f t="shared" si="955"/>
        <v xml:space="preserve"> </v>
      </c>
      <c r="N1535" t="str">
        <f t="shared" si="976"/>
        <v>AUTRONIC</v>
      </c>
      <c r="O1535" t="str">
        <f t="shared" si="977"/>
        <v>CABLES</v>
      </c>
      <c r="P1535" t="str">
        <f t="shared" si="987"/>
        <v>0</v>
      </c>
      <c r="Q1535" t="str">
        <f t="shared" si="987"/>
        <v>0</v>
      </c>
      <c r="R1535" t="str">
        <f t="shared" si="988"/>
        <v>0,00</v>
      </c>
      <c r="S1535" t="str">
        <f t="shared" si="988"/>
        <v>0,00</v>
      </c>
      <c r="T1535" t="str">
        <f t="shared" si="991"/>
        <v xml:space="preserve"> </v>
      </c>
      <c r="U1535" t="str">
        <f t="shared" si="974"/>
        <v xml:space="preserve"> </v>
      </c>
      <c r="V1535" t="str">
        <f>"10,000"</f>
        <v>10,000</v>
      </c>
      <c r="W1535" t="str">
        <f t="shared" si="956"/>
        <v>Lista 4</v>
      </c>
      <c r="X1535" t="str">
        <f t="shared" si="957"/>
        <v>Lista 5</v>
      </c>
      <c r="Y1535" t="str">
        <f t="shared" si="958"/>
        <v>Oferta Gral.</v>
      </c>
      <c r="Z1535" t="str">
        <f t="shared" si="959"/>
        <v>Rubro</v>
      </c>
      <c r="AA1535" t="str">
        <f t="shared" si="960"/>
        <v>Cantidad por Bulto</v>
      </c>
      <c r="AB1535" t="str">
        <f t="shared" si="961"/>
        <v>INNER</v>
      </c>
      <c r="AC1535" t="str">
        <f t="shared" si="962"/>
        <v>Stock en Bultos</v>
      </c>
      <c r="AD1535" t="str">
        <f t="shared" si="963"/>
        <v>SubDepósito</v>
      </c>
      <c r="AE1535" t="str">
        <f t="shared" si="964"/>
        <v>Marca</v>
      </c>
      <c r="AF1535" t="str">
        <f t="shared" si="965"/>
        <v>Super Rubro</v>
      </c>
      <c r="AG1535" t="str">
        <f t="shared" si="966"/>
        <v>ComercioExterior</v>
      </c>
      <c r="AH1535" t="str">
        <f t="shared" si="967"/>
        <v>PrecioFOB</v>
      </c>
      <c r="AI1535" t="str">
        <f t="shared" si="968"/>
        <v>Monto II</v>
      </c>
      <c r="AJ1535" t="str">
        <f t="shared" si="969"/>
        <v>Porcentaje II</v>
      </c>
      <c r="AK1535" t="str">
        <f t="shared" si="970"/>
        <v>Foto</v>
      </c>
      <c r="AL1535" t="str">
        <f>"{\rtf1\ansi\ansicpg1252\deff0\deflang11274{\fonttbl{\f0\fnil\fcharset0 MS Sans Serif}} \viewkind4\uc1\pard\f0\fs16 CONECTOR 3 V\'cdAS BULBO ELECTROV. PALIO \endash  SIENA \endash  TIPO - TEMPRA\par } "</f>
        <v xml:space="preserve">{\rtf1\ansi\ansicpg1252\deff0\deflang11274{\fonttbl{\f0\fnil\fcharset0 MS Sans Serif}} \viewkind4\uc1\pard\f0\fs16 CONECTOR 3 V\'cdAS BULBO ELECTROV. PALIO \endash  SIENA \endash  TIPO - TEMPRA\par } </v>
      </c>
      <c r="AM1535" t="str">
        <f t="shared" si="986"/>
        <v>-</v>
      </c>
    </row>
    <row r="1536" spans="1:39" x14ac:dyDescent="0.25">
      <c r="A1536" t="str">
        <f>"10118"</f>
        <v>10118</v>
      </c>
      <c r="B1536" t="str">
        <f>"CONECTOR 3 VÍAS FARO PT – CABLE REFORZADO"</f>
        <v>CONECTOR 3 VÍAS FARO PT – CABLE REFORZADO</v>
      </c>
      <c r="C1536" t="str">
        <f>"$ 1737,06"</f>
        <v>$ 1737,06</v>
      </c>
      <c r="D1536" t="str">
        <f>"$ 1737,06"</f>
        <v>$ 1737,06</v>
      </c>
      <c r="E1536" t="str">
        <f>"$ 1737,06"</f>
        <v>$ 1737,06</v>
      </c>
      <c r="F1536" t="str">
        <f>"$ 1737,06"</f>
        <v>$ 1737,06</v>
      </c>
      <c r="G1536" t="str">
        <f>"$ 1737,06"</f>
        <v>$ 1737,06</v>
      </c>
      <c r="H1536" t="str">
        <f t="shared" si="953"/>
        <v>$ 0,00</v>
      </c>
      <c r="I1536" t="str">
        <f t="shared" si="975"/>
        <v>FICHA CONECTOR</v>
      </c>
      <c r="J1536" t="str">
        <f t="shared" si="954"/>
        <v>1</v>
      </c>
      <c r="K1536" t="str">
        <f t="shared" si="990"/>
        <v>0</v>
      </c>
      <c r="L1536" t="str">
        <f>"10,000"</f>
        <v>10,000</v>
      </c>
      <c r="M1536" t="str">
        <f t="shared" si="955"/>
        <v xml:space="preserve"> </v>
      </c>
      <c r="N1536" t="str">
        <f t="shared" si="976"/>
        <v>AUTRONIC</v>
      </c>
      <c r="O1536" t="str">
        <f t="shared" si="977"/>
        <v>CABLES</v>
      </c>
      <c r="P1536" t="str">
        <f t="shared" si="987"/>
        <v>0</v>
      </c>
      <c r="Q1536" t="str">
        <f t="shared" si="987"/>
        <v>0</v>
      </c>
      <c r="R1536" t="str">
        <f t="shared" si="988"/>
        <v>0,00</v>
      </c>
      <c r="S1536" t="str">
        <f t="shared" si="988"/>
        <v>0,00</v>
      </c>
      <c r="T1536" t="str">
        <f t="shared" si="991"/>
        <v xml:space="preserve"> </v>
      </c>
      <c r="U1536" t="str">
        <f t="shared" si="974"/>
        <v xml:space="preserve"> </v>
      </c>
      <c r="V1536" t="str">
        <f>"10,000"</f>
        <v>10,000</v>
      </c>
      <c r="W1536" t="str">
        <f t="shared" si="956"/>
        <v>Lista 4</v>
      </c>
      <c r="X1536" t="str">
        <f t="shared" si="957"/>
        <v>Lista 5</v>
      </c>
      <c r="Y1536" t="str">
        <f t="shared" si="958"/>
        <v>Oferta Gral.</v>
      </c>
      <c r="Z1536" t="str">
        <f t="shared" si="959"/>
        <v>Rubro</v>
      </c>
      <c r="AA1536" t="str">
        <f t="shared" si="960"/>
        <v>Cantidad por Bulto</v>
      </c>
      <c r="AB1536" t="str">
        <f t="shared" si="961"/>
        <v>INNER</v>
      </c>
      <c r="AC1536" t="str">
        <f t="shared" si="962"/>
        <v>Stock en Bultos</v>
      </c>
      <c r="AD1536" t="str">
        <f t="shared" si="963"/>
        <v>SubDepósito</v>
      </c>
      <c r="AE1536" t="str">
        <f t="shared" si="964"/>
        <v>Marca</v>
      </c>
      <c r="AF1536" t="str">
        <f t="shared" si="965"/>
        <v>Super Rubro</v>
      </c>
      <c r="AG1536" t="str">
        <f t="shared" si="966"/>
        <v>ComercioExterior</v>
      </c>
      <c r="AH1536" t="str">
        <f t="shared" si="967"/>
        <v>PrecioFOB</v>
      </c>
      <c r="AI1536" t="str">
        <f t="shared" si="968"/>
        <v>Monto II</v>
      </c>
      <c r="AJ1536" t="str">
        <f t="shared" si="969"/>
        <v>Porcentaje II</v>
      </c>
      <c r="AK1536" t="str">
        <f t="shared" si="970"/>
        <v>Foto</v>
      </c>
      <c r="AL1536" t="str">
        <f>"{\rtf1\ansi\ansicpg1252\deff0\deflang11274{\fonttbl{\f0\fnil\fcharset0 MS Sans Serif}} \viewkind4\uc1\pard\f0\fs16 CONECTOR 3 V\'cdAS FARO PT \endash  CABLE REFORZADO\par } "</f>
        <v xml:space="preserve">{\rtf1\ansi\ansicpg1252\deff0\deflang11274{\fonttbl{\f0\fnil\fcharset0 MS Sans Serif}} \viewkind4\uc1\pard\f0\fs16 CONECTOR 3 V\'cdAS FARO PT \endash  CABLE REFORZADO\par } </v>
      </c>
      <c r="AM1536" t="str">
        <f t="shared" si="986"/>
        <v>-</v>
      </c>
    </row>
    <row r="1537" spans="1:39" x14ac:dyDescent="0.25">
      <c r="A1537" t="str">
        <f>"10108"</f>
        <v>10108</v>
      </c>
      <c r="B1537" t="str">
        <f>"CONECTOR 3 VÍAS HEMBRA – PORTA MACHO T:  6.35 MM.- UNIVERSAL"</f>
        <v>CONECTOR 3 VÍAS HEMBRA – PORTA MACHO T:  6.35 MM.- UNIVERSAL</v>
      </c>
      <c r="C1537" t="str">
        <f>"$ 1456,46"</f>
        <v>$ 1456,46</v>
      </c>
      <c r="D1537" t="str">
        <f>"$ 1456,46"</f>
        <v>$ 1456,46</v>
      </c>
      <c r="E1537" t="str">
        <f>"$ 1456,46"</f>
        <v>$ 1456,46</v>
      </c>
      <c r="F1537" t="str">
        <f>"$ 1456,46"</f>
        <v>$ 1456,46</v>
      </c>
      <c r="G1537" t="str">
        <f>"$ 1456,46"</f>
        <v>$ 1456,46</v>
      </c>
      <c r="H1537" t="str">
        <f t="shared" si="953"/>
        <v>$ 0,00</v>
      </c>
      <c r="I1537" t="str">
        <f t="shared" si="975"/>
        <v>FICHA CONECTOR</v>
      </c>
      <c r="J1537" t="str">
        <f t="shared" si="954"/>
        <v>1</v>
      </c>
      <c r="K1537" t="str">
        <f t="shared" si="990"/>
        <v>0</v>
      </c>
      <c r="L1537" t="str">
        <f>"9,000"</f>
        <v>9,000</v>
      </c>
      <c r="M1537" t="str">
        <f t="shared" si="955"/>
        <v xml:space="preserve"> </v>
      </c>
      <c r="N1537" t="str">
        <f t="shared" si="976"/>
        <v>AUTRONIC</v>
      </c>
      <c r="O1537" t="str">
        <f t="shared" si="977"/>
        <v>CABLES</v>
      </c>
      <c r="P1537" t="str">
        <f t="shared" si="987"/>
        <v>0</v>
      </c>
      <c r="Q1537" t="str">
        <f t="shared" si="987"/>
        <v>0</v>
      </c>
      <c r="R1537" t="str">
        <f t="shared" si="988"/>
        <v>0,00</v>
      </c>
      <c r="S1537" t="str">
        <f t="shared" si="988"/>
        <v>0,00</v>
      </c>
      <c r="T1537" t="str">
        <f t="shared" si="991"/>
        <v xml:space="preserve"> </v>
      </c>
      <c r="U1537" t="str">
        <f t="shared" si="974"/>
        <v xml:space="preserve"> </v>
      </c>
      <c r="V1537" t="str">
        <f>"9,000"</f>
        <v>9,000</v>
      </c>
      <c r="W1537" t="str">
        <f t="shared" si="956"/>
        <v>Lista 4</v>
      </c>
      <c r="X1537" t="str">
        <f t="shared" si="957"/>
        <v>Lista 5</v>
      </c>
      <c r="Y1537" t="str">
        <f t="shared" si="958"/>
        <v>Oferta Gral.</v>
      </c>
      <c r="Z1537" t="str">
        <f t="shared" si="959"/>
        <v>Rubro</v>
      </c>
      <c r="AA1537" t="str">
        <f t="shared" si="960"/>
        <v>Cantidad por Bulto</v>
      </c>
      <c r="AB1537" t="str">
        <f t="shared" si="961"/>
        <v>INNER</v>
      </c>
      <c r="AC1537" t="str">
        <f t="shared" si="962"/>
        <v>Stock en Bultos</v>
      </c>
      <c r="AD1537" t="str">
        <f t="shared" si="963"/>
        <v>SubDepósito</v>
      </c>
      <c r="AE1537" t="str">
        <f t="shared" si="964"/>
        <v>Marca</v>
      </c>
      <c r="AF1537" t="str">
        <f t="shared" si="965"/>
        <v>Super Rubro</v>
      </c>
      <c r="AG1537" t="str">
        <f t="shared" si="966"/>
        <v>ComercioExterior</v>
      </c>
      <c r="AH1537" t="str">
        <f t="shared" si="967"/>
        <v>PrecioFOB</v>
      </c>
      <c r="AI1537" t="str">
        <f t="shared" si="968"/>
        <v>Monto II</v>
      </c>
      <c r="AJ1537" t="str">
        <f t="shared" si="969"/>
        <v>Porcentaje II</v>
      </c>
      <c r="AK1537" t="str">
        <f t="shared" si="970"/>
        <v>Foto</v>
      </c>
      <c r="AL1537" t="str">
        <f>"{\rtf1\ansi\ansicpg1252\deff0\deflang11274{\fonttbl{\f0\fnil\fcharset0 MS Sans Serif}} \viewkind4\uc1\pard\f0\fs16 CONECTOR 3 V\'cdAS HEMBRA \endash  PORTA MACHO T:  6.35 MM.- UNIVERSAL\par } "</f>
        <v xml:space="preserve">{\rtf1\ansi\ansicpg1252\deff0\deflang11274{\fonttbl{\f0\fnil\fcharset0 MS Sans Serif}} \viewkind4\uc1\pard\f0\fs16 CONECTOR 3 V\'cdAS HEMBRA \endash  PORTA MACHO T:  6.35 MM.- UNIVERSAL\par } </v>
      </c>
      <c r="AM1537" t="str">
        <f t="shared" si="986"/>
        <v>-</v>
      </c>
    </row>
    <row r="1538" spans="1:39" x14ac:dyDescent="0.25">
      <c r="A1538" t="str">
        <f>"10159"</f>
        <v>10159</v>
      </c>
      <c r="B1538" t="str">
        <f>"CONECTOR 3 VÍAS INT. STOP – FIAT TEMPRA – TIPO"</f>
        <v>CONECTOR 3 VÍAS INT. STOP – FIAT TEMPRA – TIPO</v>
      </c>
      <c r="C1538" t="str">
        <f>"$ 3046,54"</f>
        <v>$ 3046,54</v>
      </c>
      <c r="D1538" t="str">
        <f>"$ 3046,54"</f>
        <v>$ 3046,54</v>
      </c>
      <c r="E1538" t="str">
        <f>"$ 3046,54"</f>
        <v>$ 3046,54</v>
      </c>
      <c r="F1538" t="str">
        <f>"$ 3046,54"</f>
        <v>$ 3046,54</v>
      </c>
      <c r="G1538" t="str">
        <f>"$ 3046,54"</f>
        <v>$ 3046,54</v>
      </c>
      <c r="H1538" t="str">
        <f t="shared" si="953"/>
        <v>$ 0,00</v>
      </c>
      <c r="I1538" t="str">
        <f t="shared" si="975"/>
        <v>FICHA CONECTOR</v>
      </c>
      <c r="J1538" t="str">
        <f t="shared" si="954"/>
        <v>1</v>
      </c>
      <c r="K1538" t="str">
        <f t="shared" si="990"/>
        <v>0</v>
      </c>
      <c r="L1538" t="str">
        <f>"0,000"</f>
        <v>0,000</v>
      </c>
      <c r="M1538" t="str">
        <f t="shared" si="955"/>
        <v xml:space="preserve"> </v>
      </c>
      <c r="N1538" t="str">
        <f t="shared" si="976"/>
        <v>AUTRONIC</v>
      </c>
      <c r="O1538" t="str">
        <f t="shared" si="977"/>
        <v>CABLES</v>
      </c>
      <c r="P1538" t="str">
        <f t="shared" si="987"/>
        <v>0</v>
      </c>
      <c r="Q1538" t="str">
        <f t="shared" si="987"/>
        <v>0</v>
      </c>
      <c r="R1538" t="str">
        <f t="shared" si="988"/>
        <v>0,00</v>
      </c>
      <c r="S1538" t="str">
        <f t="shared" si="988"/>
        <v>0,00</v>
      </c>
      <c r="T1538" t="str">
        <f t="shared" si="991"/>
        <v xml:space="preserve"> </v>
      </c>
      <c r="U1538" t="str">
        <f t="shared" si="974"/>
        <v xml:space="preserve"> </v>
      </c>
      <c r="V1538" t="str">
        <f>"0,000"</f>
        <v>0,000</v>
      </c>
      <c r="W1538" t="str">
        <f t="shared" si="956"/>
        <v>Lista 4</v>
      </c>
      <c r="X1538" t="str">
        <f t="shared" si="957"/>
        <v>Lista 5</v>
      </c>
      <c r="Y1538" t="str">
        <f t="shared" si="958"/>
        <v>Oferta Gral.</v>
      </c>
      <c r="Z1538" t="str">
        <f t="shared" si="959"/>
        <v>Rubro</v>
      </c>
      <c r="AA1538" t="str">
        <f t="shared" si="960"/>
        <v>Cantidad por Bulto</v>
      </c>
      <c r="AB1538" t="str">
        <f t="shared" si="961"/>
        <v>INNER</v>
      </c>
      <c r="AC1538" t="str">
        <f t="shared" si="962"/>
        <v>Stock en Bultos</v>
      </c>
      <c r="AD1538" t="str">
        <f t="shared" si="963"/>
        <v>SubDepósito</v>
      </c>
      <c r="AE1538" t="str">
        <f t="shared" si="964"/>
        <v>Marca</v>
      </c>
      <c r="AF1538" t="str">
        <f t="shared" si="965"/>
        <v>Super Rubro</v>
      </c>
      <c r="AG1538" t="str">
        <f t="shared" si="966"/>
        <v>ComercioExterior</v>
      </c>
      <c r="AH1538" t="str">
        <f t="shared" si="967"/>
        <v>PrecioFOB</v>
      </c>
      <c r="AI1538" t="str">
        <f t="shared" si="968"/>
        <v>Monto II</v>
      </c>
      <c r="AJ1538" t="str">
        <f t="shared" si="969"/>
        <v>Porcentaje II</v>
      </c>
      <c r="AK1538" t="str">
        <f t="shared" si="970"/>
        <v>Foto</v>
      </c>
      <c r="AL1538" t="str">
        <f>"{\rtf1\ansi\ansicpg1252\deff0\deflang11274{\fonttbl{\f0\fnil\fcharset0 MS Sans Serif}} \viewkind4\uc1\pard\f0\fs16 CONECTOR 3 V\'cdAS INT. STOP \endash  FIAT TEMPRA \endash  TIPO\par } "</f>
        <v xml:space="preserve">{\rtf1\ansi\ansicpg1252\deff0\deflang11274{\fonttbl{\f0\fnil\fcharset0 MS Sans Serif}} \viewkind4\uc1\pard\f0\fs16 CONECTOR 3 V\'cdAS INT. STOP \endash  FIAT TEMPRA \endash  TIPO\par } </v>
      </c>
      <c r="AM1538" t="str">
        <f t="shared" si="986"/>
        <v>-</v>
      </c>
    </row>
    <row r="1539" spans="1:39" x14ac:dyDescent="0.25">
      <c r="A1539" t="str">
        <f>"10146"</f>
        <v>10146</v>
      </c>
      <c r="B1539" t="str">
        <f>"CONECTOR 3 VÍAS INYECTORES SENSORES/MÓDULO DISTRIBUCIÓN – UNIVERSAL"</f>
        <v>CONECTOR 3 VÍAS INYECTORES SENSORES/MÓDULO DISTRIBUCIÓN – UNIVERSAL</v>
      </c>
      <c r="C1539" t="str">
        <f>"$ 3273,69"</f>
        <v>$ 3273,69</v>
      </c>
      <c r="D1539" t="str">
        <f>"$ 3273,69"</f>
        <v>$ 3273,69</v>
      </c>
      <c r="E1539" t="str">
        <f>"$ 3273,69"</f>
        <v>$ 3273,69</v>
      </c>
      <c r="F1539" t="str">
        <f>"$ 3273,69"</f>
        <v>$ 3273,69</v>
      </c>
      <c r="G1539" t="str">
        <f>"$ 3273,69"</f>
        <v>$ 3273,69</v>
      </c>
      <c r="H1539" t="str">
        <f t="shared" ref="H1539:H1602" si="992">"$ 0,00"</f>
        <v>$ 0,00</v>
      </c>
      <c r="I1539" t="str">
        <f t="shared" si="975"/>
        <v>FICHA CONECTOR</v>
      </c>
      <c r="J1539" t="str">
        <f t="shared" ref="J1539:J1602" si="993">"1"</f>
        <v>1</v>
      </c>
      <c r="K1539" t="str">
        <f t="shared" si="990"/>
        <v>0</v>
      </c>
      <c r="L1539" t="str">
        <f>"24,000"</f>
        <v>24,000</v>
      </c>
      <c r="M1539" t="str">
        <f t="shared" ref="M1539:M1602" si="994">" "</f>
        <v xml:space="preserve"> </v>
      </c>
      <c r="N1539" t="str">
        <f t="shared" si="976"/>
        <v>AUTRONIC</v>
      </c>
      <c r="O1539" t="str">
        <f t="shared" si="977"/>
        <v>CABLES</v>
      </c>
      <c r="P1539" t="str">
        <f t="shared" si="987"/>
        <v>0</v>
      </c>
      <c r="Q1539" t="str">
        <f t="shared" si="987"/>
        <v>0</v>
      </c>
      <c r="R1539" t="str">
        <f t="shared" si="988"/>
        <v>0,00</v>
      </c>
      <c r="S1539" t="str">
        <f t="shared" si="988"/>
        <v>0,00</v>
      </c>
      <c r="T1539" t="str">
        <f t="shared" si="991"/>
        <v xml:space="preserve"> </v>
      </c>
      <c r="U1539" t="str">
        <f t="shared" si="974"/>
        <v xml:space="preserve"> </v>
      </c>
      <c r="V1539" t="str">
        <f>"24,000"</f>
        <v>24,000</v>
      </c>
      <c r="W1539" t="str">
        <f t="shared" ref="W1539:W1602" si="995">"Lista 4"</f>
        <v>Lista 4</v>
      </c>
      <c r="X1539" t="str">
        <f t="shared" ref="X1539:X1602" si="996">"Lista 5"</f>
        <v>Lista 5</v>
      </c>
      <c r="Y1539" t="str">
        <f t="shared" ref="Y1539:Y1602" si="997">"Oferta Gral."</f>
        <v>Oferta Gral.</v>
      </c>
      <c r="Z1539" t="str">
        <f t="shared" ref="Z1539:Z1602" si="998">"Rubro"</f>
        <v>Rubro</v>
      </c>
      <c r="AA1539" t="str">
        <f t="shared" ref="AA1539:AA1602" si="999">"Cantidad por Bulto"</f>
        <v>Cantidad por Bulto</v>
      </c>
      <c r="AB1539" t="str">
        <f t="shared" ref="AB1539:AB1602" si="1000">"INNER"</f>
        <v>INNER</v>
      </c>
      <c r="AC1539" t="str">
        <f t="shared" ref="AC1539:AC1602" si="1001">"Stock en Bultos"</f>
        <v>Stock en Bultos</v>
      </c>
      <c r="AD1539" t="str">
        <f t="shared" ref="AD1539:AD1602" si="1002">"SubDepósito"</f>
        <v>SubDepósito</v>
      </c>
      <c r="AE1539" t="str">
        <f t="shared" ref="AE1539:AE1602" si="1003">"Marca"</f>
        <v>Marca</v>
      </c>
      <c r="AF1539" t="str">
        <f t="shared" ref="AF1539:AF1602" si="1004">"Super Rubro"</f>
        <v>Super Rubro</v>
      </c>
      <c r="AG1539" t="str">
        <f t="shared" ref="AG1539:AG1602" si="1005">"ComercioExterior"</f>
        <v>ComercioExterior</v>
      </c>
      <c r="AH1539" t="str">
        <f t="shared" ref="AH1539:AH1602" si="1006">"PrecioFOB"</f>
        <v>PrecioFOB</v>
      </c>
      <c r="AI1539" t="str">
        <f t="shared" ref="AI1539:AI1602" si="1007">"Monto II"</f>
        <v>Monto II</v>
      </c>
      <c r="AJ1539" t="str">
        <f t="shared" ref="AJ1539:AJ1602" si="1008">"Porcentaje II"</f>
        <v>Porcentaje II</v>
      </c>
      <c r="AK1539" t="str">
        <f t="shared" ref="AK1539:AK1602" si="1009">"Foto"</f>
        <v>Foto</v>
      </c>
      <c r="AL1539" t="str">
        <f>"{\rtf1\ansi\ansicpg1252\deff0\deflang11274{\fonttbl{\f0\fnil\fcharset0 MS Sans Serif}} \viewkind4\uc1\pard\f0\fs16 CONECTOR 3 V\'cdAS INYECTORES SENSORES/M\'d3DULO DISTRIBUCI\'d3N \endash  UNIVERSAL\par } "</f>
        <v xml:space="preserve">{\rtf1\ansi\ansicpg1252\deff0\deflang11274{\fonttbl{\f0\fnil\fcharset0 MS Sans Serif}} \viewkind4\uc1\pard\f0\fs16 CONECTOR 3 V\'cdAS INYECTORES SENSORES/M\'d3DULO DISTRIBUCI\'d3N \endash  UNIVERSAL\par } </v>
      </c>
      <c r="AM1539" t="str">
        <f t="shared" si="986"/>
        <v>-</v>
      </c>
    </row>
    <row r="1540" spans="1:39" x14ac:dyDescent="0.25">
      <c r="A1540" t="str">
        <f>"10180"</f>
        <v>10180</v>
      </c>
      <c r="B1540" t="str">
        <f>"CONECTOR 3 VÍAS LÁMPARA FARO Nº 9004"</f>
        <v>CONECTOR 3 VÍAS LÁMPARA FARO Nº 9004</v>
      </c>
      <c r="C1540" t="str">
        <f>"$ 4182,31"</f>
        <v>$ 4182,31</v>
      </c>
      <c r="D1540" t="str">
        <f>"$ 4182,31"</f>
        <v>$ 4182,31</v>
      </c>
      <c r="E1540" t="str">
        <f>"$ 4182,31"</f>
        <v>$ 4182,31</v>
      </c>
      <c r="F1540" t="str">
        <f>"$ 4182,31"</f>
        <v>$ 4182,31</v>
      </c>
      <c r="G1540" t="str">
        <f>"$ 4182,31"</f>
        <v>$ 4182,31</v>
      </c>
      <c r="H1540" t="str">
        <f t="shared" si="992"/>
        <v>$ 0,00</v>
      </c>
      <c r="I1540" t="str">
        <f t="shared" si="975"/>
        <v>FICHA CONECTOR</v>
      </c>
      <c r="J1540" t="str">
        <f t="shared" si="993"/>
        <v>1</v>
      </c>
      <c r="K1540" t="str">
        <f t="shared" si="990"/>
        <v>0</v>
      </c>
      <c r="L1540" t="str">
        <f>"10,000"</f>
        <v>10,000</v>
      </c>
      <c r="M1540" t="str">
        <f t="shared" si="994"/>
        <v xml:space="preserve"> </v>
      </c>
      <c r="N1540" t="str">
        <f t="shared" si="976"/>
        <v>AUTRONIC</v>
      </c>
      <c r="O1540" t="str">
        <f t="shared" si="977"/>
        <v>CABLES</v>
      </c>
      <c r="P1540" t="str">
        <f t="shared" si="987"/>
        <v>0</v>
      </c>
      <c r="Q1540" t="str">
        <f t="shared" si="987"/>
        <v>0</v>
      </c>
      <c r="R1540" t="str">
        <f t="shared" si="988"/>
        <v>0,00</v>
      </c>
      <c r="S1540" t="str">
        <f t="shared" si="988"/>
        <v>0,00</v>
      </c>
      <c r="T1540" t="str">
        <f t="shared" si="991"/>
        <v xml:space="preserve"> </v>
      </c>
      <c r="U1540" t="str">
        <f t="shared" si="974"/>
        <v xml:space="preserve"> </v>
      </c>
      <c r="V1540" t="str">
        <f>"10,000"</f>
        <v>10,000</v>
      </c>
      <c r="W1540" t="str">
        <f t="shared" si="995"/>
        <v>Lista 4</v>
      </c>
      <c r="X1540" t="str">
        <f t="shared" si="996"/>
        <v>Lista 5</v>
      </c>
      <c r="Y1540" t="str">
        <f t="shared" si="997"/>
        <v>Oferta Gral.</v>
      </c>
      <c r="Z1540" t="str">
        <f t="shared" si="998"/>
        <v>Rubro</v>
      </c>
      <c r="AA1540" t="str">
        <f t="shared" si="999"/>
        <v>Cantidad por Bulto</v>
      </c>
      <c r="AB1540" t="str">
        <f t="shared" si="1000"/>
        <v>INNER</v>
      </c>
      <c r="AC1540" t="str">
        <f t="shared" si="1001"/>
        <v>Stock en Bultos</v>
      </c>
      <c r="AD1540" t="str">
        <f t="shared" si="1002"/>
        <v>SubDepósito</v>
      </c>
      <c r="AE1540" t="str">
        <f t="shared" si="1003"/>
        <v>Marca</v>
      </c>
      <c r="AF1540" t="str">
        <f t="shared" si="1004"/>
        <v>Super Rubro</v>
      </c>
      <c r="AG1540" t="str">
        <f t="shared" si="1005"/>
        <v>ComercioExterior</v>
      </c>
      <c r="AH1540" t="str">
        <f t="shared" si="1006"/>
        <v>PrecioFOB</v>
      </c>
      <c r="AI1540" t="str">
        <f t="shared" si="1007"/>
        <v>Monto II</v>
      </c>
      <c r="AJ1540" t="str">
        <f t="shared" si="1008"/>
        <v>Porcentaje II</v>
      </c>
      <c r="AK1540" t="str">
        <f t="shared" si="1009"/>
        <v>Foto</v>
      </c>
      <c r="AL1540" t="str">
        <f>"{\rtf1\ansi\ansicpg1252\deff0\deflang11274{\fonttbl{\f0\fnil\fcharset0 MS Sans Serif}} \viewkind4\uc1\pard\f0\fs16 CONECTOR 3 V\'cdAS L\'c1MPARA FARO N\'ba 9004\par } "</f>
        <v xml:space="preserve">{\rtf1\ansi\ansicpg1252\deff0\deflang11274{\fonttbl{\f0\fnil\fcharset0 MS Sans Serif}} \viewkind4\uc1\pard\f0\fs16 CONECTOR 3 V\'cdAS L\'c1MPARA FARO N\'ba 9004\par } </v>
      </c>
      <c r="AM1540" t="str">
        <f t="shared" si="986"/>
        <v>-</v>
      </c>
    </row>
    <row r="1541" spans="1:39" x14ac:dyDescent="0.25">
      <c r="A1541" t="str">
        <f>"10177"</f>
        <v>10177</v>
      </c>
      <c r="B1541" t="str">
        <f>"CONECTOR 3 VÍAS MACHO BULBO ELECTROVENTILADOR – RENAULT"</f>
        <v>CONECTOR 3 VÍAS MACHO BULBO ELECTROVENTILADOR – RENAULT</v>
      </c>
      <c r="C1541" t="str">
        <f>"$ 5585,32"</f>
        <v>$ 5585,32</v>
      </c>
      <c r="D1541" t="str">
        <f>"$ 5585,32"</f>
        <v>$ 5585,32</v>
      </c>
      <c r="E1541" t="str">
        <f>"$ 5585,32"</f>
        <v>$ 5585,32</v>
      </c>
      <c r="F1541" t="str">
        <f>"$ 5585,32"</f>
        <v>$ 5585,32</v>
      </c>
      <c r="G1541" t="str">
        <f>"$ 5585,32"</f>
        <v>$ 5585,32</v>
      </c>
      <c r="H1541" t="str">
        <f t="shared" si="992"/>
        <v>$ 0,00</v>
      </c>
      <c r="I1541" t="str">
        <f t="shared" si="975"/>
        <v>FICHA CONECTOR</v>
      </c>
      <c r="J1541" t="str">
        <f t="shared" si="993"/>
        <v>1</v>
      </c>
      <c r="K1541" t="str">
        <f t="shared" si="990"/>
        <v>0</v>
      </c>
      <c r="L1541" t="str">
        <f>"28,000"</f>
        <v>28,000</v>
      </c>
      <c r="M1541" t="str">
        <f t="shared" si="994"/>
        <v xml:space="preserve"> </v>
      </c>
      <c r="N1541" t="str">
        <f t="shared" si="976"/>
        <v>AUTRONIC</v>
      </c>
      <c r="O1541" t="str">
        <f t="shared" si="977"/>
        <v>CABLES</v>
      </c>
      <c r="P1541" t="str">
        <f t="shared" si="987"/>
        <v>0</v>
      </c>
      <c r="Q1541" t="str">
        <f t="shared" si="987"/>
        <v>0</v>
      </c>
      <c r="R1541" t="str">
        <f t="shared" si="988"/>
        <v>0,00</v>
      </c>
      <c r="S1541" t="str">
        <f t="shared" si="988"/>
        <v>0,00</v>
      </c>
      <c r="T1541" t="str">
        <f t="shared" si="991"/>
        <v xml:space="preserve"> </v>
      </c>
      <c r="U1541" t="str">
        <f t="shared" si="974"/>
        <v xml:space="preserve"> </v>
      </c>
      <c r="V1541" t="str">
        <f>"28,000"</f>
        <v>28,000</v>
      </c>
      <c r="W1541" t="str">
        <f t="shared" si="995"/>
        <v>Lista 4</v>
      </c>
      <c r="X1541" t="str">
        <f t="shared" si="996"/>
        <v>Lista 5</v>
      </c>
      <c r="Y1541" t="str">
        <f t="shared" si="997"/>
        <v>Oferta Gral.</v>
      </c>
      <c r="Z1541" t="str">
        <f t="shared" si="998"/>
        <v>Rubro</v>
      </c>
      <c r="AA1541" t="str">
        <f t="shared" si="999"/>
        <v>Cantidad por Bulto</v>
      </c>
      <c r="AB1541" t="str">
        <f t="shared" si="1000"/>
        <v>INNER</v>
      </c>
      <c r="AC1541" t="str">
        <f t="shared" si="1001"/>
        <v>Stock en Bultos</v>
      </c>
      <c r="AD1541" t="str">
        <f t="shared" si="1002"/>
        <v>SubDepósito</v>
      </c>
      <c r="AE1541" t="str">
        <f t="shared" si="1003"/>
        <v>Marca</v>
      </c>
      <c r="AF1541" t="str">
        <f t="shared" si="1004"/>
        <v>Super Rubro</v>
      </c>
      <c r="AG1541" t="str">
        <f t="shared" si="1005"/>
        <v>ComercioExterior</v>
      </c>
      <c r="AH1541" t="str">
        <f t="shared" si="1006"/>
        <v>PrecioFOB</v>
      </c>
      <c r="AI1541" t="str">
        <f t="shared" si="1007"/>
        <v>Monto II</v>
      </c>
      <c r="AJ1541" t="str">
        <f t="shared" si="1008"/>
        <v>Porcentaje II</v>
      </c>
      <c r="AK1541" t="str">
        <f t="shared" si="1009"/>
        <v>Foto</v>
      </c>
      <c r="AL1541" t="str">
        <f>"{\rtf1\ansi\ansicpg1252\deff0\deflang11274{\fonttbl{\f0\fnil\fcharset0 MS Sans Serif}} \viewkind4\uc1\pard\f0\fs16 CONECTOR 3 V\'cdAS MACHO BULBO ELECTROVENTILADOR \endash  RENAULT\par } "</f>
        <v xml:space="preserve">{\rtf1\ansi\ansicpg1252\deff0\deflang11274{\fonttbl{\f0\fnil\fcharset0 MS Sans Serif}} \viewkind4\uc1\pard\f0\fs16 CONECTOR 3 V\'cdAS MACHO BULBO ELECTROVENTILADOR \endash  RENAULT\par } </v>
      </c>
      <c r="AM1541" t="str">
        <f t="shared" si="986"/>
        <v>-</v>
      </c>
    </row>
    <row r="1542" spans="1:39" x14ac:dyDescent="0.25">
      <c r="A1542" t="str">
        <f>"10107"</f>
        <v>10107</v>
      </c>
      <c r="B1542" t="str">
        <f>"CONECTOR 3 VÍAS MACHO – PORTA HEMBRA T:  6.35 MM.- UNIVERSAL"</f>
        <v>CONECTOR 3 VÍAS MACHO – PORTA HEMBRA T:  6.35 MM.- UNIVERSAL</v>
      </c>
      <c r="C1542" t="str">
        <f>"$ 1382,97"</f>
        <v>$ 1382,97</v>
      </c>
      <c r="D1542" t="str">
        <f>"$ 1382,97"</f>
        <v>$ 1382,97</v>
      </c>
      <c r="E1542" t="str">
        <f>"$ 1382,97"</f>
        <v>$ 1382,97</v>
      </c>
      <c r="F1542" t="str">
        <f>"$ 1382,97"</f>
        <v>$ 1382,97</v>
      </c>
      <c r="G1542" t="str">
        <f>"$ 1382,97"</f>
        <v>$ 1382,97</v>
      </c>
      <c r="H1542" t="str">
        <f t="shared" si="992"/>
        <v>$ 0,00</v>
      </c>
      <c r="I1542" t="str">
        <f t="shared" si="975"/>
        <v>FICHA CONECTOR</v>
      </c>
      <c r="J1542" t="str">
        <f t="shared" si="993"/>
        <v>1</v>
      </c>
      <c r="K1542" t="str">
        <f t="shared" si="990"/>
        <v>0</v>
      </c>
      <c r="L1542" t="str">
        <f>"20,000"</f>
        <v>20,000</v>
      </c>
      <c r="M1542" t="str">
        <f t="shared" si="994"/>
        <v xml:space="preserve"> </v>
      </c>
      <c r="N1542" t="str">
        <f t="shared" si="976"/>
        <v>AUTRONIC</v>
      </c>
      <c r="O1542" t="str">
        <f t="shared" si="977"/>
        <v>CABLES</v>
      </c>
      <c r="P1542" t="str">
        <f t="shared" si="987"/>
        <v>0</v>
      </c>
      <c r="Q1542" t="str">
        <f t="shared" si="987"/>
        <v>0</v>
      </c>
      <c r="R1542" t="str">
        <f t="shared" si="988"/>
        <v>0,00</v>
      </c>
      <c r="S1542" t="str">
        <f t="shared" si="988"/>
        <v>0,00</v>
      </c>
      <c r="T1542" t="str">
        <f t="shared" si="991"/>
        <v xml:space="preserve"> </v>
      </c>
      <c r="U1542" t="str">
        <f t="shared" si="974"/>
        <v xml:space="preserve"> </v>
      </c>
      <c r="V1542" t="str">
        <f>"20,000"</f>
        <v>20,000</v>
      </c>
      <c r="W1542" t="str">
        <f t="shared" si="995"/>
        <v>Lista 4</v>
      </c>
      <c r="X1542" t="str">
        <f t="shared" si="996"/>
        <v>Lista 5</v>
      </c>
      <c r="Y1542" t="str">
        <f t="shared" si="997"/>
        <v>Oferta Gral.</v>
      </c>
      <c r="Z1542" t="str">
        <f t="shared" si="998"/>
        <v>Rubro</v>
      </c>
      <c r="AA1542" t="str">
        <f t="shared" si="999"/>
        <v>Cantidad por Bulto</v>
      </c>
      <c r="AB1542" t="str">
        <f t="shared" si="1000"/>
        <v>INNER</v>
      </c>
      <c r="AC1542" t="str">
        <f t="shared" si="1001"/>
        <v>Stock en Bultos</v>
      </c>
      <c r="AD1542" t="str">
        <f t="shared" si="1002"/>
        <v>SubDepósito</v>
      </c>
      <c r="AE1542" t="str">
        <f t="shared" si="1003"/>
        <v>Marca</v>
      </c>
      <c r="AF1542" t="str">
        <f t="shared" si="1004"/>
        <v>Super Rubro</v>
      </c>
      <c r="AG1542" t="str">
        <f t="shared" si="1005"/>
        <v>ComercioExterior</v>
      </c>
      <c r="AH1542" t="str">
        <f t="shared" si="1006"/>
        <v>PrecioFOB</v>
      </c>
      <c r="AI1542" t="str">
        <f t="shared" si="1007"/>
        <v>Monto II</v>
      </c>
      <c r="AJ1542" t="str">
        <f t="shared" si="1008"/>
        <v>Porcentaje II</v>
      </c>
      <c r="AK1542" t="str">
        <f t="shared" si="1009"/>
        <v>Foto</v>
      </c>
      <c r="AL1542" t="str">
        <f>"{\rtf1\ansi\ansicpg1252\deff0\deflang11274{\fonttbl{\f0\fnil\fcharset0 MS Sans Serif}} \viewkind4\uc1\pard\f0\fs16 CONECTOR 3 V\'cdAS MACHO \endash  PORTA HEMBRA T:  6.35 MM.- UNIVERSAL\par } "</f>
        <v xml:space="preserve">{\rtf1\ansi\ansicpg1252\deff0\deflang11274{\fonttbl{\f0\fnil\fcharset0 MS Sans Serif}} \viewkind4\uc1\pard\f0\fs16 CONECTOR 3 V\'cdAS MACHO \endash  PORTA HEMBRA T:  6.35 MM.- UNIVERSAL\par } </v>
      </c>
      <c r="AM1542" t="str">
        <f t="shared" si="986"/>
        <v>-</v>
      </c>
    </row>
    <row r="1543" spans="1:39" x14ac:dyDescent="0.25">
      <c r="A1543" t="str">
        <f>"10162"</f>
        <v>10162</v>
      </c>
      <c r="B1543" t="str">
        <f>"CONECTOR 3 VÍAS MOTOR ELECTROVENTILADOR – FIAT – GENERAL MOTORS"</f>
        <v>CONECTOR 3 VÍAS MOTOR ELECTROVENTILADOR – FIAT – GENERAL MOTORS</v>
      </c>
      <c r="C1543" t="str">
        <f>"$ 7683,15"</f>
        <v>$ 7683,15</v>
      </c>
      <c r="D1543" t="str">
        <f>"$ 7683,15"</f>
        <v>$ 7683,15</v>
      </c>
      <c r="E1543" t="str">
        <f>"$ 7683,15"</f>
        <v>$ 7683,15</v>
      </c>
      <c r="F1543" t="str">
        <f>"$ 7683,15"</f>
        <v>$ 7683,15</v>
      </c>
      <c r="G1543" t="str">
        <f>"$ 7683,15"</f>
        <v>$ 7683,15</v>
      </c>
      <c r="H1543" t="str">
        <f t="shared" si="992"/>
        <v>$ 0,00</v>
      </c>
      <c r="I1543" t="str">
        <f t="shared" si="975"/>
        <v>FICHA CONECTOR</v>
      </c>
      <c r="J1543" t="str">
        <f t="shared" si="993"/>
        <v>1</v>
      </c>
      <c r="K1543" t="str">
        <f t="shared" si="990"/>
        <v>0</v>
      </c>
      <c r="L1543" t="str">
        <f>"10,000"</f>
        <v>10,000</v>
      </c>
      <c r="M1543" t="str">
        <f t="shared" si="994"/>
        <v xml:space="preserve"> </v>
      </c>
      <c r="N1543" t="str">
        <f t="shared" si="976"/>
        <v>AUTRONIC</v>
      </c>
      <c r="O1543" t="str">
        <f t="shared" si="977"/>
        <v>CABLES</v>
      </c>
      <c r="P1543" t="str">
        <f t="shared" ref="P1543:Q1562" si="1010">"0"</f>
        <v>0</v>
      </c>
      <c r="Q1543" t="str">
        <f t="shared" si="1010"/>
        <v>0</v>
      </c>
      <c r="R1543" t="str">
        <f t="shared" ref="R1543:S1562" si="1011">"0,00"</f>
        <v>0,00</v>
      </c>
      <c r="S1543" t="str">
        <f t="shared" si="1011"/>
        <v>0,00</v>
      </c>
      <c r="T1543" t="str">
        <f t="shared" si="991"/>
        <v xml:space="preserve"> </v>
      </c>
      <c r="U1543" t="str">
        <f t="shared" si="974"/>
        <v xml:space="preserve"> </v>
      </c>
      <c r="V1543" t="str">
        <f>"10,000"</f>
        <v>10,000</v>
      </c>
      <c r="W1543" t="str">
        <f t="shared" si="995"/>
        <v>Lista 4</v>
      </c>
      <c r="X1543" t="str">
        <f t="shared" si="996"/>
        <v>Lista 5</v>
      </c>
      <c r="Y1543" t="str">
        <f t="shared" si="997"/>
        <v>Oferta Gral.</v>
      </c>
      <c r="Z1543" t="str">
        <f t="shared" si="998"/>
        <v>Rubro</v>
      </c>
      <c r="AA1543" t="str">
        <f t="shared" si="999"/>
        <v>Cantidad por Bulto</v>
      </c>
      <c r="AB1543" t="str">
        <f t="shared" si="1000"/>
        <v>INNER</v>
      </c>
      <c r="AC1543" t="str">
        <f t="shared" si="1001"/>
        <v>Stock en Bultos</v>
      </c>
      <c r="AD1543" t="str">
        <f t="shared" si="1002"/>
        <v>SubDepósito</v>
      </c>
      <c r="AE1543" t="str">
        <f t="shared" si="1003"/>
        <v>Marca</v>
      </c>
      <c r="AF1543" t="str">
        <f t="shared" si="1004"/>
        <v>Super Rubro</v>
      </c>
      <c r="AG1543" t="str">
        <f t="shared" si="1005"/>
        <v>ComercioExterior</v>
      </c>
      <c r="AH1543" t="str">
        <f t="shared" si="1006"/>
        <v>PrecioFOB</v>
      </c>
      <c r="AI1543" t="str">
        <f t="shared" si="1007"/>
        <v>Monto II</v>
      </c>
      <c r="AJ1543" t="str">
        <f t="shared" si="1008"/>
        <v>Porcentaje II</v>
      </c>
      <c r="AK1543" t="str">
        <f t="shared" si="1009"/>
        <v>Foto</v>
      </c>
      <c r="AL1543" t="str">
        <f>"{\rtf1\ansi\ansicpg1252\deff0\deflang11274{\fonttbl{\f0\fnil\fcharset0 MS Sans Serif}} \viewkind4\uc1\pard\f0\fs16 CONECTOR 3 V\'cdAS MOTOR ELECTROVENTILADOR \endash  FIAT \endash  GENERAL MOTORS\par } "</f>
        <v xml:space="preserve">{\rtf1\ansi\ansicpg1252\deff0\deflang11274{\fonttbl{\f0\fnil\fcharset0 MS Sans Serif}} \viewkind4\uc1\pard\f0\fs16 CONECTOR 3 V\'cdAS MOTOR ELECTROVENTILADOR \endash  FIAT \endash  GENERAL MOTORS\par } </v>
      </c>
      <c r="AM1543" t="str">
        <f t="shared" si="986"/>
        <v>-</v>
      </c>
    </row>
    <row r="1544" spans="1:39" x14ac:dyDescent="0.25">
      <c r="A1544" t="str">
        <f>"10176"</f>
        <v>10176</v>
      </c>
      <c r="B1544" t="str">
        <f>"CONECTOR 3 VÍAS MOTOR ELECTROVENTILADOR – RENAULT"</f>
        <v>CONECTOR 3 VÍAS MOTOR ELECTROVENTILADOR – RENAULT</v>
      </c>
      <c r="C1544" t="str">
        <f>"$ 6881,43"</f>
        <v>$ 6881,43</v>
      </c>
      <c r="D1544" t="str">
        <f>"$ 6881,43"</f>
        <v>$ 6881,43</v>
      </c>
      <c r="E1544" t="str">
        <f>"$ 6881,43"</f>
        <v>$ 6881,43</v>
      </c>
      <c r="F1544" t="str">
        <f>"$ 6881,43"</f>
        <v>$ 6881,43</v>
      </c>
      <c r="G1544" t="str">
        <f>"$ 6881,43"</f>
        <v>$ 6881,43</v>
      </c>
      <c r="H1544" t="str">
        <f t="shared" si="992"/>
        <v>$ 0,00</v>
      </c>
      <c r="I1544" t="str">
        <f t="shared" si="975"/>
        <v>FICHA CONECTOR</v>
      </c>
      <c r="J1544" t="str">
        <f t="shared" si="993"/>
        <v>1</v>
      </c>
      <c r="K1544" t="str">
        <f t="shared" si="990"/>
        <v>0</v>
      </c>
      <c r="L1544" t="str">
        <f>"6,000"</f>
        <v>6,000</v>
      </c>
      <c r="M1544" t="str">
        <f t="shared" si="994"/>
        <v xml:space="preserve"> </v>
      </c>
      <c r="N1544" t="str">
        <f t="shared" si="976"/>
        <v>AUTRONIC</v>
      </c>
      <c r="O1544" t="str">
        <f t="shared" si="977"/>
        <v>CABLES</v>
      </c>
      <c r="P1544" t="str">
        <f t="shared" si="1010"/>
        <v>0</v>
      </c>
      <c r="Q1544" t="str">
        <f t="shared" si="1010"/>
        <v>0</v>
      </c>
      <c r="R1544" t="str">
        <f t="shared" si="1011"/>
        <v>0,00</v>
      </c>
      <c r="S1544" t="str">
        <f t="shared" si="1011"/>
        <v>0,00</v>
      </c>
      <c r="T1544" t="str">
        <f t="shared" si="991"/>
        <v xml:space="preserve"> </v>
      </c>
      <c r="U1544" t="str">
        <f t="shared" si="974"/>
        <v xml:space="preserve"> </v>
      </c>
      <c r="V1544" t="str">
        <f>"6,000"</f>
        <v>6,000</v>
      </c>
      <c r="W1544" t="str">
        <f t="shared" si="995"/>
        <v>Lista 4</v>
      </c>
      <c r="X1544" t="str">
        <f t="shared" si="996"/>
        <v>Lista 5</v>
      </c>
      <c r="Y1544" t="str">
        <f t="shared" si="997"/>
        <v>Oferta Gral.</v>
      </c>
      <c r="Z1544" t="str">
        <f t="shared" si="998"/>
        <v>Rubro</v>
      </c>
      <c r="AA1544" t="str">
        <f t="shared" si="999"/>
        <v>Cantidad por Bulto</v>
      </c>
      <c r="AB1544" t="str">
        <f t="shared" si="1000"/>
        <v>INNER</v>
      </c>
      <c r="AC1544" t="str">
        <f t="shared" si="1001"/>
        <v>Stock en Bultos</v>
      </c>
      <c r="AD1544" t="str">
        <f t="shared" si="1002"/>
        <v>SubDepósito</v>
      </c>
      <c r="AE1544" t="str">
        <f t="shared" si="1003"/>
        <v>Marca</v>
      </c>
      <c r="AF1544" t="str">
        <f t="shared" si="1004"/>
        <v>Super Rubro</v>
      </c>
      <c r="AG1544" t="str">
        <f t="shared" si="1005"/>
        <v>ComercioExterior</v>
      </c>
      <c r="AH1544" t="str">
        <f t="shared" si="1006"/>
        <v>PrecioFOB</v>
      </c>
      <c r="AI1544" t="str">
        <f t="shared" si="1007"/>
        <v>Monto II</v>
      </c>
      <c r="AJ1544" t="str">
        <f t="shared" si="1008"/>
        <v>Porcentaje II</v>
      </c>
      <c r="AK1544" t="str">
        <f t="shared" si="1009"/>
        <v>Foto</v>
      </c>
      <c r="AL1544" t="str">
        <f>"{\rtf1\ansi\ansicpg1252\deff0\deflang11274{\fonttbl{\f0\fnil\fcharset0 MS Sans Serif}} \viewkind4\uc1\pard\f0\fs16 CONECTOR 3 V\'cdAS MOTOR ELECTROVENTILADOR \endash  RENAULT\par } "</f>
        <v xml:space="preserve">{\rtf1\ansi\ansicpg1252\deff0\deflang11274{\fonttbl{\f0\fnil\fcharset0 MS Sans Serif}} \viewkind4\uc1\pard\f0\fs16 CONECTOR 3 V\'cdAS MOTOR ELECTROVENTILADOR \endash  RENAULT\par } </v>
      </c>
      <c r="AM1544" t="str">
        <f t="shared" si="986"/>
        <v>-</v>
      </c>
    </row>
    <row r="1545" spans="1:39" x14ac:dyDescent="0.25">
      <c r="A1545" t="str">
        <f>"10163"</f>
        <v>10163</v>
      </c>
      <c r="B1545" t="str">
        <f>"CONECTOR 3 VÍAS REG. VOLTAJE – ORIG. FORD - VW"</f>
        <v>CONECTOR 3 VÍAS REG. VOLTAJE – ORIG. FORD - VW</v>
      </c>
      <c r="C1545" t="str">
        <f>"$ 6814,62"</f>
        <v>$ 6814,62</v>
      </c>
      <c r="D1545" t="str">
        <f>"$ 6814,62"</f>
        <v>$ 6814,62</v>
      </c>
      <c r="E1545" t="str">
        <f>"$ 6814,62"</f>
        <v>$ 6814,62</v>
      </c>
      <c r="F1545" t="str">
        <f>"$ 6814,62"</f>
        <v>$ 6814,62</v>
      </c>
      <c r="G1545" t="str">
        <f>"$ 6814,62"</f>
        <v>$ 6814,62</v>
      </c>
      <c r="H1545" t="str">
        <f t="shared" si="992"/>
        <v>$ 0,00</v>
      </c>
      <c r="I1545" t="str">
        <f t="shared" si="975"/>
        <v>FICHA CONECTOR</v>
      </c>
      <c r="J1545" t="str">
        <f t="shared" si="993"/>
        <v>1</v>
      </c>
      <c r="K1545" t="str">
        <f t="shared" si="990"/>
        <v>0</v>
      </c>
      <c r="L1545" t="str">
        <f>"0,000"</f>
        <v>0,000</v>
      </c>
      <c r="M1545" t="str">
        <f t="shared" si="994"/>
        <v xml:space="preserve"> </v>
      </c>
      <c r="N1545" t="str">
        <f t="shared" si="976"/>
        <v>AUTRONIC</v>
      </c>
      <c r="O1545" t="str">
        <f t="shared" si="977"/>
        <v>CABLES</v>
      </c>
      <c r="P1545" t="str">
        <f t="shared" si="1010"/>
        <v>0</v>
      </c>
      <c r="Q1545" t="str">
        <f t="shared" si="1010"/>
        <v>0</v>
      </c>
      <c r="R1545" t="str">
        <f t="shared" si="1011"/>
        <v>0,00</v>
      </c>
      <c r="S1545" t="str">
        <f t="shared" si="1011"/>
        <v>0,00</v>
      </c>
      <c r="T1545" t="str">
        <f t="shared" si="991"/>
        <v xml:space="preserve"> </v>
      </c>
      <c r="U1545" t="str">
        <f t="shared" si="974"/>
        <v xml:space="preserve"> </v>
      </c>
      <c r="V1545" t="str">
        <f>"0,000"</f>
        <v>0,000</v>
      </c>
      <c r="W1545" t="str">
        <f t="shared" si="995"/>
        <v>Lista 4</v>
      </c>
      <c r="X1545" t="str">
        <f t="shared" si="996"/>
        <v>Lista 5</v>
      </c>
      <c r="Y1545" t="str">
        <f t="shared" si="997"/>
        <v>Oferta Gral.</v>
      </c>
      <c r="Z1545" t="str">
        <f t="shared" si="998"/>
        <v>Rubro</v>
      </c>
      <c r="AA1545" t="str">
        <f t="shared" si="999"/>
        <v>Cantidad por Bulto</v>
      </c>
      <c r="AB1545" t="str">
        <f t="shared" si="1000"/>
        <v>INNER</v>
      </c>
      <c r="AC1545" t="str">
        <f t="shared" si="1001"/>
        <v>Stock en Bultos</v>
      </c>
      <c r="AD1545" t="str">
        <f t="shared" si="1002"/>
        <v>SubDepósito</v>
      </c>
      <c r="AE1545" t="str">
        <f t="shared" si="1003"/>
        <v>Marca</v>
      </c>
      <c r="AF1545" t="str">
        <f t="shared" si="1004"/>
        <v>Super Rubro</v>
      </c>
      <c r="AG1545" t="str">
        <f t="shared" si="1005"/>
        <v>ComercioExterior</v>
      </c>
      <c r="AH1545" t="str">
        <f t="shared" si="1006"/>
        <v>PrecioFOB</v>
      </c>
      <c r="AI1545" t="str">
        <f t="shared" si="1007"/>
        <v>Monto II</v>
      </c>
      <c r="AJ1545" t="str">
        <f t="shared" si="1008"/>
        <v>Porcentaje II</v>
      </c>
      <c r="AK1545" t="str">
        <f t="shared" si="1009"/>
        <v>Foto</v>
      </c>
      <c r="AL1545" t="str">
        <f>"{\rtf1\ansi\ansicpg1252\deff0\deflang11274{\fonttbl{\f0\fnil\fcharset0 MS Sans Serif}} \viewkind4\uc1\pard\f0\fs16 CONECTOR 3 V\'cdAS REG. VOLTAJE - ORIG. FORD - VW\par } "</f>
        <v xml:space="preserve">{\rtf1\ansi\ansicpg1252\deff0\deflang11274{\fonttbl{\f0\fnil\fcharset0 MS Sans Serif}} \viewkind4\uc1\pard\f0\fs16 CONECTOR 3 V\'cdAS REG. VOLTAJE - ORIG. FORD - VW\par } </v>
      </c>
      <c r="AM1545" t="str">
        <f t="shared" si="986"/>
        <v>-</v>
      </c>
    </row>
    <row r="1546" spans="1:39" x14ac:dyDescent="0.25">
      <c r="A1546" t="str">
        <f>"10120"</f>
        <v>10120</v>
      </c>
      <c r="B1546" t="str">
        <f>"CONECTOR 3 VÍAS RELAY – ORIG. FORD"</f>
        <v>CONECTOR 3 VÍAS RELAY – ORIG. FORD</v>
      </c>
      <c r="C1546" t="str">
        <f>"$ 1576,72"</f>
        <v>$ 1576,72</v>
      </c>
      <c r="D1546" t="str">
        <f>"$ 1576,72"</f>
        <v>$ 1576,72</v>
      </c>
      <c r="E1546" t="str">
        <f>"$ 1576,72"</f>
        <v>$ 1576,72</v>
      </c>
      <c r="F1546" t="str">
        <f>"$ 1576,72"</f>
        <v>$ 1576,72</v>
      </c>
      <c r="G1546" t="str">
        <f>"$ 1576,72"</f>
        <v>$ 1576,72</v>
      </c>
      <c r="H1546" t="str">
        <f t="shared" si="992"/>
        <v>$ 0,00</v>
      </c>
      <c r="I1546" t="str">
        <f t="shared" si="975"/>
        <v>FICHA CONECTOR</v>
      </c>
      <c r="J1546" t="str">
        <f t="shared" si="993"/>
        <v>1</v>
      </c>
      <c r="K1546" t="str">
        <f t="shared" si="990"/>
        <v>0</v>
      </c>
      <c r="L1546" t="str">
        <f>"0,000"</f>
        <v>0,000</v>
      </c>
      <c r="M1546" t="str">
        <f t="shared" si="994"/>
        <v xml:space="preserve"> </v>
      </c>
      <c r="N1546" t="str">
        <f t="shared" si="976"/>
        <v>AUTRONIC</v>
      </c>
      <c r="O1546" t="str">
        <f t="shared" si="977"/>
        <v>CABLES</v>
      </c>
      <c r="P1546" t="str">
        <f t="shared" si="1010"/>
        <v>0</v>
      </c>
      <c r="Q1546" t="str">
        <f t="shared" si="1010"/>
        <v>0</v>
      </c>
      <c r="R1546" t="str">
        <f t="shared" si="1011"/>
        <v>0,00</v>
      </c>
      <c r="S1546" t="str">
        <f t="shared" si="1011"/>
        <v>0,00</v>
      </c>
      <c r="T1546" t="str">
        <f t="shared" si="991"/>
        <v xml:space="preserve"> </v>
      </c>
      <c r="U1546" t="str">
        <f t="shared" si="974"/>
        <v xml:space="preserve"> </v>
      </c>
      <c r="V1546" t="str">
        <f>"0,000"</f>
        <v>0,000</v>
      </c>
      <c r="W1546" t="str">
        <f t="shared" si="995"/>
        <v>Lista 4</v>
      </c>
      <c r="X1546" t="str">
        <f t="shared" si="996"/>
        <v>Lista 5</v>
      </c>
      <c r="Y1546" t="str">
        <f t="shared" si="997"/>
        <v>Oferta Gral.</v>
      </c>
      <c r="Z1546" t="str">
        <f t="shared" si="998"/>
        <v>Rubro</v>
      </c>
      <c r="AA1546" t="str">
        <f t="shared" si="999"/>
        <v>Cantidad por Bulto</v>
      </c>
      <c r="AB1546" t="str">
        <f t="shared" si="1000"/>
        <v>INNER</v>
      </c>
      <c r="AC1546" t="str">
        <f t="shared" si="1001"/>
        <v>Stock en Bultos</v>
      </c>
      <c r="AD1546" t="str">
        <f t="shared" si="1002"/>
        <v>SubDepósito</v>
      </c>
      <c r="AE1546" t="str">
        <f t="shared" si="1003"/>
        <v>Marca</v>
      </c>
      <c r="AF1546" t="str">
        <f t="shared" si="1004"/>
        <v>Super Rubro</v>
      </c>
      <c r="AG1546" t="str">
        <f t="shared" si="1005"/>
        <v>ComercioExterior</v>
      </c>
      <c r="AH1546" t="str">
        <f t="shared" si="1006"/>
        <v>PrecioFOB</v>
      </c>
      <c r="AI1546" t="str">
        <f t="shared" si="1007"/>
        <v>Monto II</v>
      </c>
      <c r="AJ1546" t="str">
        <f t="shared" si="1008"/>
        <v>Porcentaje II</v>
      </c>
      <c r="AK1546" t="str">
        <f t="shared" si="1009"/>
        <v>Foto</v>
      </c>
      <c r="AL1546" t="str">
        <f>"{\rtf1\ansi\ansicpg1252\deff0\deflang11274{\fonttbl{\f0\fnil\fcharset0 MS Sans Serif}} \viewkind4\uc1\pard\f0\fs16 CONECTOR 3 V\'cdAS RELAY \endash  ORIG. FORD\par } "</f>
        <v xml:space="preserve">{\rtf1\ansi\ansicpg1252\deff0\deflang11274{\fonttbl{\f0\fnil\fcharset0 MS Sans Serif}} \viewkind4\uc1\pard\f0\fs16 CONECTOR 3 V\'cdAS RELAY \endash  ORIG. FORD\par } </v>
      </c>
      <c r="AM1546" t="str">
        <f t="shared" si="986"/>
        <v>-</v>
      </c>
    </row>
    <row r="1547" spans="1:39" x14ac:dyDescent="0.25">
      <c r="A1547" t="str">
        <f>"10160"</f>
        <v>10160</v>
      </c>
      <c r="B1547" t="str">
        <f>"CONECTOR 3 VÍAS – ORIG. FIAT – GENERAL MOTORS"</f>
        <v>CONECTOR 3 VÍAS – ORIG. FIAT – GENERAL MOTORS</v>
      </c>
      <c r="C1547" t="str">
        <f>"$ 3981,88"</f>
        <v>$ 3981,88</v>
      </c>
      <c r="D1547" t="str">
        <f>"$ 3981,88"</f>
        <v>$ 3981,88</v>
      </c>
      <c r="E1547" t="str">
        <f>"$ 3981,88"</f>
        <v>$ 3981,88</v>
      </c>
      <c r="F1547" t="str">
        <f>"$ 3981,88"</f>
        <v>$ 3981,88</v>
      </c>
      <c r="G1547" t="str">
        <f>"$ 3981,88"</f>
        <v>$ 3981,88</v>
      </c>
      <c r="H1547" t="str">
        <f t="shared" si="992"/>
        <v>$ 0,00</v>
      </c>
      <c r="I1547" t="str">
        <f t="shared" si="975"/>
        <v>FICHA CONECTOR</v>
      </c>
      <c r="J1547" t="str">
        <f t="shared" si="993"/>
        <v>1</v>
      </c>
      <c r="K1547" t="str">
        <f t="shared" si="990"/>
        <v>0</v>
      </c>
      <c r="L1547" t="str">
        <f>"-1,000"</f>
        <v>-1,000</v>
      </c>
      <c r="M1547" t="str">
        <f t="shared" si="994"/>
        <v xml:space="preserve"> </v>
      </c>
      <c r="N1547" t="str">
        <f t="shared" si="976"/>
        <v>AUTRONIC</v>
      </c>
      <c r="O1547" t="str">
        <f t="shared" si="977"/>
        <v>CABLES</v>
      </c>
      <c r="P1547" t="str">
        <f t="shared" si="1010"/>
        <v>0</v>
      </c>
      <c r="Q1547" t="str">
        <f t="shared" si="1010"/>
        <v>0</v>
      </c>
      <c r="R1547" t="str">
        <f t="shared" si="1011"/>
        <v>0,00</v>
      </c>
      <c r="S1547" t="str">
        <f t="shared" si="1011"/>
        <v>0,00</v>
      </c>
      <c r="T1547" t="str">
        <f t="shared" si="991"/>
        <v xml:space="preserve"> </v>
      </c>
      <c r="U1547" t="str">
        <f t="shared" si="974"/>
        <v xml:space="preserve"> </v>
      </c>
      <c r="V1547" t="str">
        <f>"-1,000"</f>
        <v>-1,000</v>
      </c>
      <c r="W1547" t="str">
        <f t="shared" si="995"/>
        <v>Lista 4</v>
      </c>
      <c r="X1547" t="str">
        <f t="shared" si="996"/>
        <v>Lista 5</v>
      </c>
      <c r="Y1547" t="str">
        <f t="shared" si="997"/>
        <v>Oferta Gral.</v>
      </c>
      <c r="Z1547" t="str">
        <f t="shared" si="998"/>
        <v>Rubro</v>
      </c>
      <c r="AA1547" t="str">
        <f t="shared" si="999"/>
        <v>Cantidad por Bulto</v>
      </c>
      <c r="AB1547" t="str">
        <f t="shared" si="1000"/>
        <v>INNER</v>
      </c>
      <c r="AC1547" t="str">
        <f t="shared" si="1001"/>
        <v>Stock en Bultos</v>
      </c>
      <c r="AD1547" t="str">
        <f t="shared" si="1002"/>
        <v>SubDepósito</v>
      </c>
      <c r="AE1547" t="str">
        <f t="shared" si="1003"/>
        <v>Marca</v>
      </c>
      <c r="AF1547" t="str">
        <f t="shared" si="1004"/>
        <v>Super Rubro</v>
      </c>
      <c r="AG1547" t="str">
        <f t="shared" si="1005"/>
        <v>ComercioExterior</v>
      </c>
      <c r="AH1547" t="str">
        <f t="shared" si="1006"/>
        <v>PrecioFOB</v>
      </c>
      <c r="AI1547" t="str">
        <f t="shared" si="1007"/>
        <v>Monto II</v>
      </c>
      <c r="AJ1547" t="str">
        <f t="shared" si="1008"/>
        <v>Porcentaje II</v>
      </c>
      <c r="AK1547" t="str">
        <f t="shared" si="1009"/>
        <v>Foto</v>
      </c>
      <c r="AL1547" t="str">
        <f>"{\rtf1\ansi\ansicpg1252\deff0\deflang11274{\fonttbl{\f0\fnil\fcharset0 MS Sans Serif}} \viewkind4\uc1\pard\f0\fs16 CONECTOR 3 V\'cdAS - ORIG. FIAT - GENERAL MOTORS\par } "</f>
        <v xml:space="preserve">{\rtf1\ansi\ansicpg1252\deff0\deflang11274{\fonttbl{\f0\fnil\fcharset0 MS Sans Serif}} \viewkind4\uc1\pard\f0\fs16 CONECTOR 3 V\'cdAS - ORIG. FIAT - GENERAL MOTORS\par } </v>
      </c>
      <c r="AM1547" t="str">
        <f t="shared" si="986"/>
        <v>-</v>
      </c>
    </row>
    <row r="1548" spans="1:39" x14ac:dyDescent="0.25">
      <c r="A1548" t="str">
        <f>"10398"</f>
        <v>10398</v>
      </c>
      <c r="B1548" t="str">
        <f>"CONECTOR 4 VIAS ALTERNADOR  BOSCH M. BENZ 85 AMPERES"</f>
        <v>CONECTOR 4 VIAS ALTERNADOR  BOSCH M. BENZ 85 AMPERES</v>
      </c>
      <c r="C1548" t="str">
        <f>"$ 11477,96"</f>
        <v>$ 11477,96</v>
      </c>
      <c r="D1548" t="str">
        <f>"$ 11477,96"</f>
        <v>$ 11477,96</v>
      </c>
      <c r="E1548" t="str">
        <f>"$ 11477,96"</f>
        <v>$ 11477,96</v>
      </c>
      <c r="F1548" t="str">
        <f>"$ 11477,96"</f>
        <v>$ 11477,96</v>
      </c>
      <c r="G1548" t="str">
        <f>"$ 11477,96"</f>
        <v>$ 11477,96</v>
      </c>
      <c r="H1548" t="str">
        <f t="shared" si="992"/>
        <v>$ 0,00</v>
      </c>
      <c r="I1548" t="str">
        <f t="shared" si="975"/>
        <v>FICHA CONECTOR</v>
      </c>
      <c r="J1548" t="str">
        <f t="shared" si="993"/>
        <v>1</v>
      </c>
      <c r="K1548" t="str">
        <f t="shared" si="990"/>
        <v>0</v>
      </c>
      <c r="L1548" t="str">
        <f>"0,000"</f>
        <v>0,000</v>
      </c>
      <c r="M1548" t="str">
        <f t="shared" si="994"/>
        <v xml:space="preserve"> </v>
      </c>
      <c r="N1548" t="str">
        <f t="shared" si="976"/>
        <v>AUTRONIC</v>
      </c>
      <c r="O1548" t="str">
        <f t="shared" si="977"/>
        <v>CABLES</v>
      </c>
      <c r="P1548" t="str">
        <f t="shared" si="1010"/>
        <v>0</v>
      </c>
      <c r="Q1548" t="str">
        <f t="shared" si="1010"/>
        <v>0</v>
      </c>
      <c r="R1548" t="str">
        <f t="shared" si="1011"/>
        <v>0,00</v>
      </c>
      <c r="S1548" t="str">
        <f t="shared" si="1011"/>
        <v>0,00</v>
      </c>
      <c r="T1548" t="str">
        <f t="shared" si="991"/>
        <v xml:space="preserve"> </v>
      </c>
      <c r="U1548" t="str">
        <f t="shared" ref="U1548:U1611" si="1012">" "</f>
        <v xml:space="preserve"> </v>
      </c>
      <c r="V1548" t="str">
        <f>"0,000"</f>
        <v>0,000</v>
      </c>
      <c r="W1548" t="str">
        <f t="shared" si="995"/>
        <v>Lista 4</v>
      </c>
      <c r="X1548" t="str">
        <f t="shared" si="996"/>
        <v>Lista 5</v>
      </c>
      <c r="Y1548" t="str">
        <f t="shared" si="997"/>
        <v>Oferta Gral.</v>
      </c>
      <c r="Z1548" t="str">
        <f t="shared" si="998"/>
        <v>Rubro</v>
      </c>
      <c r="AA1548" t="str">
        <f t="shared" si="999"/>
        <v>Cantidad por Bulto</v>
      </c>
      <c r="AB1548" t="str">
        <f t="shared" si="1000"/>
        <v>INNER</v>
      </c>
      <c r="AC1548" t="str">
        <f t="shared" si="1001"/>
        <v>Stock en Bultos</v>
      </c>
      <c r="AD1548" t="str">
        <f t="shared" si="1002"/>
        <v>SubDepósito</v>
      </c>
      <c r="AE1548" t="str">
        <f t="shared" si="1003"/>
        <v>Marca</v>
      </c>
      <c r="AF1548" t="str">
        <f t="shared" si="1004"/>
        <v>Super Rubro</v>
      </c>
      <c r="AG1548" t="str">
        <f t="shared" si="1005"/>
        <v>ComercioExterior</v>
      </c>
      <c r="AH1548" t="str">
        <f t="shared" si="1006"/>
        <v>PrecioFOB</v>
      </c>
      <c r="AI1548" t="str">
        <f t="shared" si="1007"/>
        <v>Monto II</v>
      </c>
      <c r="AJ1548" t="str">
        <f t="shared" si="1008"/>
        <v>Porcentaje II</v>
      </c>
      <c r="AK1548" t="str">
        <f t="shared" si="1009"/>
        <v>Foto</v>
      </c>
      <c r="AL1548" t="str">
        <f>"{\rtf1\ansi\ansicpg1252\deff0\deflang11274{\fonttbl{\f0\fnil\fcharset0 MS Sans Serif}} \viewkind4\uc1\pard\f0\fs16 CONECTOR 4 VIAS ALTERNADOR  BOSCH M. BENZ 85 AMPERES\par } "</f>
        <v xml:space="preserve">{\rtf1\ansi\ansicpg1252\deff0\deflang11274{\fonttbl{\f0\fnil\fcharset0 MS Sans Serif}} \viewkind4\uc1\pard\f0\fs16 CONECTOR 4 VIAS ALTERNADOR  BOSCH M. BENZ 85 AMPERES\par } </v>
      </c>
      <c r="AM1548" t="str">
        <f t="shared" si="986"/>
        <v>-</v>
      </c>
    </row>
    <row r="1549" spans="1:39" x14ac:dyDescent="0.25">
      <c r="A1549" t="str">
        <f>"10396"</f>
        <v>10396</v>
      </c>
      <c r="B1549" t="str">
        <f>"CONECTOR 4 VIAS ALTERNADOR REGULADOR DELCO GM"</f>
        <v>CONECTOR 4 VIAS ALTERNADOR REGULADOR DELCO GM</v>
      </c>
      <c r="C1549" t="str">
        <f>"$ 5211,18"</f>
        <v>$ 5211,18</v>
      </c>
      <c r="D1549" t="str">
        <f>"$ 5211,18"</f>
        <v>$ 5211,18</v>
      </c>
      <c r="E1549" t="str">
        <f>"$ 5211,18"</f>
        <v>$ 5211,18</v>
      </c>
      <c r="F1549" t="str">
        <f>"$ 5211,18"</f>
        <v>$ 5211,18</v>
      </c>
      <c r="G1549" t="str">
        <f>"$ 5211,18"</f>
        <v>$ 5211,18</v>
      </c>
      <c r="H1549" t="str">
        <f t="shared" si="992"/>
        <v>$ 0,00</v>
      </c>
      <c r="I1549" t="str">
        <f t="shared" si="975"/>
        <v>FICHA CONECTOR</v>
      </c>
      <c r="J1549" t="str">
        <f t="shared" si="993"/>
        <v>1</v>
      </c>
      <c r="K1549" t="str">
        <f t="shared" si="990"/>
        <v>0</v>
      </c>
      <c r="L1549" t="str">
        <f>"0,000"</f>
        <v>0,000</v>
      </c>
      <c r="M1549" t="str">
        <f t="shared" si="994"/>
        <v xml:space="preserve"> </v>
      </c>
      <c r="N1549" t="str">
        <f t="shared" si="976"/>
        <v>AUTRONIC</v>
      </c>
      <c r="O1549" t="str">
        <f t="shared" si="977"/>
        <v>CABLES</v>
      </c>
      <c r="P1549" t="str">
        <f t="shared" si="1010"/>
        <v>0</v>
      </c>
      <c r="Q1549" t="str">
        <f t="shared" si="1010"/>
        <v>0</v>
      </c>
      <c r="R1549" t="str">
        <f t="shared" si="1011"/>
        <v>0,00</v>
      </c>
      <c r="S1549" t="str">
        <f t="shared" si="1011"/>
        <v>0,00</v>
      </c>
      <c r="T1549" t="str">
        <f t="shared" si="991"/>
        <v xml:space="preserve"> </v>
      </c>
      <c r="U1549" t="str">
        <f t="shared" si="1012"/>
        <v xml:space="preserve"> </v>
      </c>
      <c r="V1549" t="str">
        <f>"0,000"</f>
        <v>0,000</v>
      </c>
      <c r="W1549" t="str">
        <f t="shared" si="995"/>
        <v>Lista 4</v>
      </c>
      <c r="X1549" t="str">
        <f t="shared" si="996"/>
        <v>Lista 5</v>
      </c>
      <c r="Y1549" t="str">
        <f t="shared" si="997"/>
        <v>Oferta Gral.</v>
      </c>
      <c r="Z1549" t="str">
        <f t="shared" si="998"/>
        <v>Rubro</v>
      </c>
      <c r="AA1549" t="str">
        <f t="shared" si="999"/>
        <v>Cantidad por Bulto</v>
      </c>
      <c r="AB1549" t="str">
        <f t="shared" si="1000"/>
        <v>INNER</v>
      </c>
      <c r="AC1549" t="str">
        <f t="shared" si="1001"/>
        <v>Stock en Bultos</v>
      </c>
      <c r="AD1549" t="str">
        <f t="shared" si="1002"/>
        <v>SubDepósito</v>
      </c>
      <c r="AE1549" t="str">
        <f t="shared" si="1003"/>
        <v>Marca</v>
      </c>
      <c r="AF1549" t="str">
        <f t="shared" si="1004"/>
        <v>Super Rubro</v>
      </c>
      <c r="AG1549" t="str">
        <f t="shared" si="1005"/>
        <v>ComercioExterior</v>
      </c>
      <c r="AH1549" t="str">
        <f t="shared" si="1006"/>
        <v>PrecioFOB</v>
      </c>
      <c r="AI1549" t="str">
        <f t="shared" si="1007"/>
        <v>Monto II</v>
      </c>
      <c r="AJ1549" t="str">
        <f t="shared" si="1008"/>
        <v>Porcentaje II</v>
      </c>
      <c r="AK1549" t="str">
        <f t="shared" si="1009"/>
        <v>Foto</v>
      </c>
      <c r="AL1549" t="str">
        <f>"{\rtf1\ansi\ansicpg1252\deff0\deflang11274{\fonttbl{\f0\fnil\fcharset0 MS Sans Serif}} \viewkind4\uc1\pard\f0\fs16 CONECTOR 4 VIAS ALTERNADOR REGULADOR DELCO GM\par } "</f>
        <v xml:space="preserve">{\rtf1\ansi\ansicpg1252\deff0\deflang11274{\fonttbl{\f0\fnil\fcharset0 MS Sans Serif}} \viewkind4\uc1\pard\f0\fs16 CONECTOR 4 VIAS ALTERNADOR REGULADOR DELCO GM\par } </v>
      </c>
      <c r="AM1549" t="str">
        <f t="shared" si="986"/>
        <v>-</v>
      </c>
    </row>
    <row r="1550" spans="1:39" x14ac:dyDescent="0.25">
      <c r="A1550" t="str">
        <f>"10414"</f>
        <v>10414</v>
      </c>
      <c r="B1550" t="str">
        <f>"CONECTOR 4 VIAS BOBINA 1/2 CAÑA GM CORSA ASTRA  FIAT PALIO 1,8"</f>
        <v>CONECTOR 4 VIAS BOBINA 1/2 CAÑA GM CORSA ASTRA  FIAT PALIO 1,8</v>
      </c>
      <c r="C1550" t="str">
        <f>"$ 4502,99"</f>
        <v>$ 4502,99</v>
      </c>
      <c r="D1550" t="str">
        <f>"$ 4502,99"</f>
        <v>$ 4502,99</v>
      </c>
      <c r="E1550" t="str">
        <f>"$ 4502,99"</f>
        <v>$ 4502,99</v>
      </c>
      <c r="F1550" t="str">
        <f>"$ 4502,99"</f>
        <v>$ 4502,99</v>
      </c>
      <c r="G1550" t="str">
        <f>"$ 4502,99"</f>
        <v>$ 4502,99</v>
      </c>
      <c r="H1550" t="str">
        <f t="shared" si="992"/>
        <v>$ 0,00</v>
      </c>
      <c r="I1550" t="str">
        <f t="shared" si="975"/>
        <v>FICHA CONECTOR</v>
      </c>
      <c r="J1550" t="str">
        <f t="shared" si="993"/>
        <v>1</v>
      </c>
      <c r="K1550" t="str">
        <f t="shared" si="990"/>
        <v>0</v>
      </c>
      <c r="L1550" t="str">
        <f>"0,000"</f>
        <v>0,000</v>
      </c>
      <c r="M1550" t="str">
        <f t="shared" si="994"/>
        <v xml:space="preserve"> </v>
      </c>
      <c r="N1550" t="str">
        <f t="shared" si="976"/>
        <v>AUTRONIC</v>
      </c>
      <c r="O1550" t="str">
        <f t="shared" si="977"/>
        <v>CABLES</v>
      </c>
      <c r="P1550" t="str">
        <f t="shared" si="1010"/>
        <v>0</v>
      </c>
      <c r="Q1550" t="str">
        <f t="shared" si="1010"/>
        <v>0</v>
      </c>
      <c r="R1550" t="str">
        <f t="shared" si="1011"/>
        <v>0,00</v>
      </c>
      <c r="S1550" t="str">
        <f t="shared" si="1011"/>
        <v>0,00</v>
      </c>
      <c r="T1550" t="str">
        <f t="shared" si="991"/>
        <v xml:space="preserve"> </v>
      </c>
      <c r="U1550" t="str">
        <f t="shared" si="1012"/>
        <v xml:space="preserve"> </v>
      </c>
      <c r="V1550" t="str">
        <f>"0,000"</f>
        <v>0,000</v>
      </c>
      <c r="W1550" t="str">
        <f t="shared" si="995"/>
        <v>Lista 4</v>
      </c>
      <c r="X1550" t="str">
        <f t="shared" si="996"/>
        <v>Lista 5</v>
      </c>
      <c r="Y1550" t="str">
        <f t="shared" si="997"/>
        <v>Oferta Gral.</v>
      </c>
      <c r="Z1550" t="str">
        <f t="shared" si="998"/>
        <v>Rubro</v>
      </c>
      <c r="AA1550" t="str">
        <f t="shared" si="999"/>
        <v>Cantidad por Bulto</v>
      </c>
      <c r="AB1550" t="str">
        <f t="shared" si="1000"/>
        <v>INNER</v>
      </c>
      <c r="AC1550" t="str">
        <f t="shared" si="1001"/>
        <v>Stock en Bultos</v>
      </c>
      <c r="AD1550" t="str">
        <f t="shared" si="1002"/>
        <v>SubDepósito</v>
      </c>
      <c r="AE1550" t="str">
        <f t="shared" si="1003"/>
        <v>Marca</v>
      </c>
      <c r="AF1550" t="str">
        <f t="shared" si="1004"/>
        <v>Super Rubro</v>
      </c>
      <c r="AG1550" t="str">
        <f t="shared" si="1005"/>
        <v>ComercioExterior</v>
      </c>
      <c r="AH1550" t="str">
        <f t="shared" si="1006"/>
        <v>PrecioFOB</v>
      </c>
      <c r="AI1550" t="str">
        <f t="shared" si="1007"/>
        <v>Monto II</v>
      </c>
      <c r="AJ1550" t="str">
        <f t="shared" si="1008"/>
        <v>Porcentaje II</v>
      </c>
      <c r="AK1550" t="str">
        <f t="shared" si="1009"/>
        <v>Foto</v>
      </c>
      <c r="AL1550" t="str">
        <f>"{\rtf1\ansi\ansicpg1252\deff0\deflang11274{\fonttbl{\f0\fnil\fcharset0 MS Sans Serif}} \viewkind4\uc1\pard\f0\fs16 CONECTOR 4 VIAS BOBINA 1/2 CA\'d1A GM CORSA ASTRA  FIAT PALIO 1,8\par } "</f>
        <v xml:space="preserve">{\rtf1\ansi\ansicpg1252\deff0\deflang11274{\fonttbl{\f0\fnil\fcharset0 MS Sans Serif}} \viewkind4\uc1\pard\f0\fs16 CONECTOR 4 VIAS BOBINA 1/2 CA\'d1A GM CORSA ASTRA  FIAT PALIO 1,8\par } </v>
      </c>
      <c r="AM1550" t="str">
        <f t="shared" si="986"/>
        <v>-</v>
      </c>
    </row>
    <row r="1551" spans="1:39" x14ac:dyDescent="0.25">
      <c r="A1551" t="str">
        <f>"10435"</f>
        <v>10435</v>
      </c>
      <c r="B1551" t="str">
        <f>"CONECTOR 4 VIAS BOBINA AUDI VW SEAT"</f>
        <v>CONECTOR 4 VIAS BOBINA AUDI VW SEAT</v>
      </c>
      <c r="C1551" t="str">
        <f>"$ 5745,66"</f>
        <v>$ 5745,66</v>
      </c>
      <c r="D1551" t="str">
        <f>"$ 5745,66"</f>
        <v>$ 5745,66</v>
      </c>
      <c r="E1551" t="str">
        <f>"$ 5745,66"</f>
        <v>$ 5745,66</v>
      </c>
      <c r="F1551" t="str">
        <f>"$ 5745,66"</f>
        <v>$ 5745,66</v>
      </c>
      <c r="G1551" t="str">
        <f>"$ 5745,66"</f>
        <v>$ 5745,66</v>
      </c>
      <c r="H1551" t="str">
        <f t="shared" si="992"/>
        <v>$ 0,00</v>
      </c>
      <c r="I1551" t="str">
        <f t="shared" si="975"/>
        <v>FICHA CONECTOR</v>
      </c>
      <c r="J1551" t="str">
        <f t="shared" si="993"/>
        <v>1</v>
      </c>
      <c r="K1551" t="str">
        <f t="shared" si="990"/>
        <v>0</v>
      </c>
      <c r="L1551" t="str">
        <f>"0,000"</f>
        <v>0,000</v>
      </c>
      <c r="M1551" t="str">
        <f t="shared" si="994"/>
        <v xml:space="preserve"> </v>
      </c>
      <c r="N1551" t="str">
        <f t="shared" si="976"/>
        <v>AUTRONIC</v>
      </c>
      <c r="O1551" t="str">
        <f t="shared" si="977"/>
        <v>CABLES</v>
      </c>
      <c r="P1551" t="str">
        <f t="shared" si="1010"/>
        <v>0</v>
      </c>
      <c r="Q1551" t="str">
        <f t="shared" si="1010"/>
        <v>0</v>
      </c>
      <c r="R1551" t="str">
        <f t="shared" si="1011"/>
        <v>0,00</v>
      </c>
      <c r="S1551" t="str">
        <f t="shared" si="1011"/>
        <v>0,00</v>
      </c>
      <c r="T1551" t="str">
        <f t="shared" si="991"/>
        <v xml:space="preserve"> </v>
      </c>
      <c r="U1551" t="str">
        <f t="shared" si="1012"/>
        <v xml:space="preserve"> </v>
      </c>
      <c r="V1551" t="str">
        <f>"0,000"</f>
        <v>0,000</v>
      </c>
      <c r="W1551" t="str">
        <f t="shared" si="995"/>
        <v>Lista 4</v>
      </c>
      <c r="X1551" t="str">
        <f t="shared" si="996"/>
        <v>Lista 5</v>
      </c>
      <c r="Y1551" t="str">
        <f t="shared" si="997"/>
        <v>Oferta Gral.</v>
      </c>
      <c r="Z1551" t="str">
        <f t="shared" si="998"/>
        <v>Rubro</v>
      </c>
      <c r="AA1551" t="str">
        <f t="shared" si="999"/>
        <v>Cantidad por Bulto</v>
      </c>
      <c r="AB1551" t="str">
        <f t="shared" si="1000"/>
        <v>INNER</v>
      </c>
      <c r="AC1551" t="str">
        <f t="shared" si="1001"/>
        <v>Stock en Bultos</v>
      </c>
      <c r="AD1551" t="str">
        <f t="shared" si="1002"/>
        <v>SubDepósito</v>
      </c>
      <c r="AE1551" t="str">
        <f t="shared" si="1003"/>
        <v>Marca</v>
      </c>
      <c r="AF1551" t="str">
        <f t="shared" si="1004"/>
        <v>Super Rubro</v>
      </c>
      <c r="AG1551" t="str">
        <f t="shared" si="1005"/>
        <v>ComercioExterior</v>
      </c>
      <c r="AH1551" t="str">
        <f t="shared" si="1006"/>
        <v>PrecioFOB</v>
      </c>
      <c r="AI1551" t="str">
        <f t="shared" si="1007"/>
        <v>Monto II</v>
      </c>
      <c r="AJ1551" t="str">
        <f t="shared" si="1008"/>
        <v>Porcentaje II</v>
      </c>
      <c r="AK1551" t="str">
        <f t="shared" si="1009"/>
        <v>Foto</v>
      </c>
      <c r="AL1551" t="str">
        <f>"{\rtf1\ansi\ansicpg1252\deff0\deflang11274{\fonttbl{\f0\fnil\fcharset0 MS Sans Serif}} \viewkind4\uc1\pard\f0\fs16 CONECTOR 4 VIAS BOBINA AUDI VW SEAT\par } "</f>
        <v xml:space="preserve">{\rtf1\ansi\ansicpg1252\deff0\deflang11274{\fonttbl{\f0\fnil\fcharset0 MS Sans Serif}} \viewkind4\uc1\pard\f0\fs16 CONECTOR 4 VIAS BOBINA AUDI VW SEAT\par } </v>
      </c>
      <c r="AM1551" t="str">
        <f>" "</f>
        <v xml:space="preserve"> </v>
      </c>
    </row>
    <row r="1552" spans="1:39" x14ac:dyDescent="0.25">
      <c r="A1552" t="str">
        <f>"10285"</f>
        <v>10285</v>
      </c>
      <c r="B1552" t="str">
        <f>"CONECTOR 4 VIAS BOBINA ELECTRONICA PEUGEOT"</f>
        <v>CONECTOR 4 VIAS BOBINA ELECTRONICA PEUGEOT</v>
      </c>
      <c r="C1552" t="str">
        <f>"$ 5064,20"</f>
        <v>$ 5064,20</v>
      </c>
      <c r="D1552" t="str">
        <f>"$ 5064,20"</f>
        <v>$ 5064,20</v>
      </c>
      <c r="E1552" t="str">
        <f>"$ 5064,20"</f>
        <v>$ 5064,20</v>
      </c>
      <c r="F1552" t="str">
        <f>"$ 5064,20"</f>
        <v>$ 5064,20</v>
      </c>
      <c r="G1552" t="str">
        <f>"$ 5064,20"</f>
        <v>$ 5064,20</v>
      </c>
      <c r="H1552" t="str">
        <f t="shared" si="992"/>
        <v>$ 0,00</v>
      </c>
      <c r="I1552" t="str">
        <f t="shared" ref="I1552:I1615" si="1013">"FICHA CONECTOR"</f>
        <v>FICHA CONECTOR</v>
      </c>
      <c r="J1552" t="str">
        <f t="shared" si="993"/>
        <v>1</v>
      </c>
      <c r="K1552" t="str">
        <f t="shared" si="990"/>
        <v>0</v>
      </c>
      <c r="L1552" t="str">
        <f>"6,000"</f>
        <v>6,000</v>
      </c>
      <c r="M1552" t="str">
        <f t="shared" si="994"/>
        <v xml:space="preserve"> </v>
      </c>
      <c r="N1552" t="str">
        <f t="shared" ref="N1552:N1615" si="1014">"AUTRONIC"</f>
        <v>AUTRONIC</v>
      </c>
      <c r="O1552" t="str">
        <f t="shared" ref="O1552:O1615" si="1015">"CABLES"</f>
        <v>CABLES</v>
      </c>
      <c r="P1552" t="str">
        <f t="shared" si="1010"/>
        <v>0</v>
      </c>
      <c r="Q1552" t="str">
        <f t="shared" si="1010"/>
        <v>0</v>
      </c>
      <c r="R1552" t="str">
        <f t="shared" si="1011"/>
        <v>0,00</v>
      </c>
      <c r="S1552" t="str">
        <f t="shared" si="1011"/>
        <v>0,00</v>
      </c>
      <c r="T1552" t="str">
        <f t="shared" si="991"/>
        <v xml:space="preserve"> </v>
      </c>
      <c r="U1552" t="str">
        <f t="shared" si="1012"/>
        <v xml:space="preserve"> </v>
      </c>
      <c r="V1552" t="str">
        <f>"6,000"</f>
        <v>6,000</v>
      </c>
      <c r="W1552" t="str">
        <f t="shared" si="995"/>
        <v>Lista 4</v>
      </c>
      <c r="X1552" t="str">
        <f t="shared" si="996"/>
        <v>Lista 5</v>
      </c>
      <c r="Y1552" t="str">
        <f t="shared" si="997"/>
        <v>Oferta Gral.</v>
      </c>
      <c r="Z1552" t="str">
        <f t="shared" si="998"/>
        <v>Rubro</v>
      </c>
      <c r="AA1552" t="str">
        <f t="shared" si="999"/>
        <v>Cantidad por Bulto</v>
      </c>
      <c r="AB1552" t="str">
        <f t="shared" si="1000"/>
        <v>INNER</v>
      </c>
      <c r="AC1552" t="str">
        <f t="shared" si="1001"/>
        <v>Stock en Bultos</v>
      </c>
      <c r="AD1552" t="str">
        <f t="shared" si="1002"/>
        <v>SubDepósito</v>
      </c>
      <c r="AE1552" t="str">
        <f t="shared" si="1003"/>
        <v>Marca</v>
      </c>
      <c r="AF1552" t="str">
        <f t="shared" si="1004"/>
        <v>Super Rubro</v>
      </c>
      <c r="AG1552" t="str">
        <f t="shared" si="1005"/>
        <v>ComercioExterior</v>
      </c>
      <c r="AH1552" t="str">
        <f t="shared" si="1006"/>
        <v>PrecioFOB</v>
      </c>
      <c r="AI1552" t="str">
        <f t="shared" si="1007"/>
        <v>Monto II</v>
      </c>
      <c r="AJ1552" t="str">
        <f t="shared" si="1008"/>
        <v>Porcentaje II</v>
      </c>
      <c r="AK1552" t="str">
        <f t="shared" si="1009"/>
        <v>Foto</v>
      </c>
      <c r="AL1552" t="str">
        <f>"{\rtf1\ansi\ansicpg1252\deff0\deflang11274{\fonttbl{\f0\fnil\fcharset0 MS Sans Serif}} \viewkind4\uc1\pard\f0\fs16 CONECTOR 4 VIAS BOBINA ELECTRONICA PEUGEOT\par } "</f>
        <v xml:space="preserve">{\rtf1\ansi\ansicpg1252\deff0\deflang11274{\fonttbl{\f0\fnil\fcharset0 MS Sans Serif}} \viewkind4\uc1\pard\f0\fs16 CONECTOR 4 VIAS BOBINA ELECTRONICA PEUGEOT\par } </v>
      </c>
      <c r="AM1552" t="str">
        <f t="shared" ref="AM1552:AM1566" si="1016">"-"</f>
        <v>-</v>
      </c>
    </row>
    <row r="1553" spans="1:39" x14ac:dyDescent="0.25">
      <c r="A1553" t="str">
        <f>"10306"</f>
        <v>10306</v>
      </c>
      <c r="B1553" t="str">
        <f>"CONECTOR 4 VIAS BOBINA ELECTRONICA PEUGEOT 307  GRIS"</f>
        <v>CONECTOR 4 VIAS BOBINA ELECTRONICA PEUGEOT 307  GRIS</v>
      </c>
      <c r="C1553" t="str">
        <f>"$ 13990,01"</f>
        <v>$ 13990,01</v>
      </c>
      <c r="D1553" t="str">
        <f>"$ 13990,01"</f>
        <v>$ 13990,01</v>
      </c>
      <c r="E1553" t="str">
        <f>"$ 13990,01"</f>
        <v>$ 13990,01</v>
      </c>
      <c r="F1553" t="str">
        <f>"$ 13990,01"</f>
        <v>$ 13990,01</v>
      </c>
      <c r="G1553" t="str">
        <f>"$ 13990,01"</f>
        <v>$ 13990,01</v>
      </c>
      <c r="H1553" t="str">
        <f t="shared" si="992"/>
        <v>$ 0,00</v>
      </c>
      <c r="I1553" t="str">
        <f t="shared" si="1013"/>
        <v>FICHA CONECTOR</v>
      </c>
      <c r="J1553" t="str">
        <f t="shared" si="993"/>
        <v>1</v>
      </c>
      <c r="K1553" t="str">
        <f t="shared" si="990"/>
        <v>0</v>
      </c>
      <c r="L1553" t="str">
        <f>"6,000"</f>
        <v>6,000</v>
      </c>
      <c r="M1553" t="str">
        <f t="shared" si="994"/>
        <v xml:space="preserve"> </v>
      </c>
      <c r="N1553" t="str">
        <f t="shared" si="1014"/>
        <v>AUTRONIC</v>
      </c>
      <c r="O1553" t="str">
        <f t="shared" si="1015"/>
        <v>CABLES</v>
      </c>
      <c r="P1553" t="str">
        <f t="shared" si="1010"/>
        <v>0</v>
      </c>
      <c r="Q1553" t="str">
        <f t="shared" si="1010"/>
        <v>0</v>
      </c>
      <c r="R1553" t="str">
        <f t="shared" si="1011"/>
        <v>0,00</v>
      </c>
      <c r="S1553" t="str">
        <f t="shared" si="1011"/>
        <v>0,00</v>
      </c>
      <c r="T1553" t="str">
        <f t="shared" si="991"/>
        <v xml:space="preserve"> </v>
      </c>
      <c r="U1553" t="str">
        <f t="shared" si="1012"/>
        <v xml:space="preserve"> </v>
      </c>
      <c r="V1553" t="str">
        <f>"6,000"</f>
        <v>6,000</v>
      </c>
      <c r="W1553" t="str">
        <f t="shared" si="995"/>
        <v>Lista 4</v>
      </c>
      <c r="X1553" t="str">
        <f t="shared" si="996"/>
        <v>Lista 5</v>
      </c>
      <c r="Y1553" t="str">
        <f t="shared" si="997"/>
        <v>Oferta Gral.</v>
      </c>
      <c r="Z1553" t="str">
        <f t="shared" si="998"/>
        <v>Rubro</v>
      </c>
      <c r="AA1553" t="str">
        <f t="shared" si="999"/>
        <v>Cantidad por Bulto</v>
      </c>
      <c r="AB1553" t="str">
        <f t="shared" si="1000"/>
        <v>INNER</v>
      </c>
      <c r="AC1553" t="str">
        <f t="shared" si="1001"/>
        <v>Stock en Bultos</v>
      </c>
      <c r="AD1553" t="str">
        <f t="shared" si="1002"/>
        <v>SubDepósito</v>
      </c>
      <c r="AE1553" t="str">
        <f t="shared" si="1003"/>
        <v>Marca</v>
      </c>
      <c r="AF1553" t="str">
        <f t="shared" si="1004"/>
        <v>Super Rubro</v>
      </c>
      <c r="AG1553" t="str">
        <f t="shared" si="1005"/>
        <v>ComercioExterior</v>
      </c>
      <c r="AH1553" t="str">
        <f t="shared" si="1006"/>
        <v>PrecioFOB</v>
      </c>
      <c r="AI1553" t="str">
        <f t="shared" si="1007"/>
        <v>Monto II</v>
      </c>
      <c r="AJ1553" t="str">
        <f t="shared" si="1008"/>
        <v>Porcentaje II</v>
      </c>
      <c r="AK1553" t="str">
        <f t="shared" si="1009"/>
        <v>Foto</v>
      </c>
      <c r="AL1553" t="str">
        <f>"{\rtf1\ansi\ansicpg1252\deff0\deflang11274{\fonttbl{\f0\fnil\fcharset0 MS Sans Serif}} \viewkind4\uc1\pard\f0\fs16 CONECTOR 4 VIAS BOBINA ELECTRONICA PEUGEOT 307  GRIS\par } "</f>
        <v xml:space="preserve">{\rtf1\ansi\ansicpg1252\deff0\deflang11274{\fonttbl{\f0\fnil\fcharset0 MS Sans Serif}} \viewkind4\uc1\pard\f0\fs16 CONECTOR 4 VIAS BOBINA ELECTRONICA PEUGEOT 307  GRIS\par } </v>
      </c>
      <c r="AM1553" t="str">
        <f t="shared" si="1016"/>
        <v>-</v>
      </c>
    </row>
    <row r="1554" spans="1:39" x14ac:dyDescent="0.25">
      <c r="A1554" t="str">
        <f>"10326"</f>
        <v>10326</v>
      </c>
      <c r="B1554" t="str">
        <f>"CONECTOR 4 VIAS BULBO ELECTROVENTILADOR  FORD FOCUS"</f>
        <v>CONECTOR 4 VIAS BULBO ELECTROVENTILADOR  FORD FOCUS</v>
      </c>
      <c r="C1554" t="str">
        <f>"$ 5225,96"</f>
        <v>$ 5225,96</v>
      </c>
      <c r="D1554" t="str">
        <f>"$ 5225,96"</f>
        <v>$ 5225,96</v>
      </c>
      <c r="E1554" t="str">
        <f>"$ 5225,96"</f>
        <v>$ 5225,96</v>
      </c>
      <c r="F1554" t="str">
        <f>"$ 5225,96"</f>
        <v>$ 5225,96</v>
      </c>
      <c r="G1554" t="str">
        <f>"$ 5225,96"</f>
        <v>$ 5225,96</v>
      </c>
      <c r="H1554" t="str">
        <f t="shared" si="992"/>
        <v>$ 0,00</v>
      </c>
      <c r="I1554" t="str">
        <f t="shared" si="1013"/>
        <v>FICHA CONECTOR</v>
      </c>
      <c r="J1554" t="str">
        <f t="shared" si="993"/>
        <v>1</v>
      </c>
      <c r="K1554" t="str">
        <f t="shared" si="990"/>
        <v>0</v>
      </c>
      <c r="L1554" t="str">
        <f>"0,000"</f>
        <v>0,000</v>
      </c>
      <c r="M1554" t="str">
        <f t="shared" si="994"/>
        <v xml:space="preserve"> </v>
      </c>
      <c r="N1554" t="str">
        <f t="shared" si="1014"/>
        <v>AUTRONIC</v>
      </c>
      <c r="O1554" t="str">
        <f t="shared" si="1015"/>
        <v>CABLES</v>
      </c>
      <c r="P1554" t="str">
        <f t="shared" si="1010"/>
        <v>0</v>
      </c>
      <c r="Q1554" t="str">
        <f t="shared" si="1010"/>
        <v>0</v>
      </c>
      <c r="R1554" t="str">
        <f t="shared" si="1011"/>
        <v>0,00</v>
      </c>
      <c r="S1554" t="str">
        <f t="shared" si="1011"/>
        <v>0,00</v>
      </c>
      <c r="T1554" t="str">
        <f t="shared" si="991"/>
        <v xml:space="preserve"> </v>
      </c>
      <c r="U1554" t="str">
        <f t="shared" si="1012"/>
        <v xml:space="preserve"> </v>
      </c>
      <c r="V1554" t="str">
        <f>"0,000"</f>
        <v>0,000</v>
      </c>
      <c r="W1554" t="str">
        <f t="shared" si="995"/>
        <v>Lista 4</v>
      </c>
      <c r="X1554" t="str">
        <f t="shared" si="996"/>
        <v>Lista 5</v>
      </c>
      <c r="Y1554" t="str">
        <f t="shared" si="997"/>
        <v>Oferta Gral.</v>
      </c>
      <c r="Z1554" t="str">
        <f t="shared" si="998"/>
        <v>Rubro</v>
      </c>
      <c r="AA1554" t="str">
        <f t="shared" si="999"/>
        <v>Cantidad por Bulto</v>
      </c>
      <c r="AB1554" t="str">
        <f t="shared" si="1000"/>
        <v>INNER</v>
      </c>
      <c r="AC1554" t="str">
        <f t="shared" si="1001"/>
        <v>Stock en Bultos</v>
      </c>
      <c r="AD1554" t="str">
        <f t="shared" si="1002"/>
        <v>SubDepósito</v>
      </c>
      <c r="AE1554" t="str">
        <f t="shared" si="1003"/>
        <v>Marca</v>
      </c>
      <c r="AF1554" t="str">
        <f t="shared" si="1004"/>
        <v>Super Rubro</v>
      </c>
      <c r="AG1554" t="str">
        <f t="shared" si="1005"/>
        <v>ComercioExterior</v>
      </c>
      <c r="AH1554" t="str">
        <f t="shared" si="1006"/>
        <v>PrecioFOB</v>
      </c>
      <c r="AI1554" t="str">
        <f t="shared" si="1007"/>
        <v>Monto II</v>
      </c>
      <c r="AJ1554" t="str">
        <f t="shared" si="1008"/>
        <v>Porcentaje II</v>
      </c>
      <c r="AK1554" t="str">
        <f t="shared" si="1009"/>
        <v>Foto</v>
      </c>
      <c r="AL1554" t="str">
        <f>"{\rtf1\ansi\ansicpg1252\deff0\deflang11274{\fonttbl{\f0\fnil\fcharset0 MS Sans Serif}} \viewkind4\uc1\pard\f0\fs16 CONECTOR 4 VIAS BULBO ELECTROVENTILADOR  FORD FOCUS\par } "</f>
        <v xml:space="preserve">{\rtf1\ansi\ansicpg1252\deff0\deflang11274{\fonttbl{\f0\fnil\fcharset0 MS Sans Serif}} \viewkind4\uc1\pard\f0\fs16 CONECTOR 4 VIAS BULBO ELECTROVENTILADOR  FORD FOCUS\par } </v>
      </c>
      <c r="AM1554" t="str">
        <f t="shared" si="1016"/>
        <v>-</v>
      </c>
    </row>
    <row r="1555" spans="1:39" x14ac:dyDescent="0.25">
      <c r="A1555" t="str">
        <f>"10313"</f>
        <v>10313</v>
      </c>
      <c r="B1555" t="str">
        <f>"CONECTOR 4 VIAS BULBO TEMPERATURA RENAULT MEGANE VERDE"</f>
        <v>CONECTOR 4 VIAS BULBO TEMPERATURA RENAULT MEGANE VERDE</v>
      </c>
      <c r="C1555" t="str">
        <f>"$ 5277,99"</f>
        <v>$ 5277,99</v>
      </c>
      <c r="D1555" t="str">
        <f>"$ 5277,99"</f>
        <v>$ 5277,99</v>
      </c>
      <c r="E1555" t="str">
        <f>"$ 5277,99"</f>
        <v>$ 5277,99</v>
      </c>
      <c r="F1555" t="str">
        <f>"$ 5277,99"</f>
        <v>$ 5277,99</v>
      </c>
      <c r="G1555" t="str">
        <f>"$ 5277,99"</f>
        <v>$ 5277,99</v>
      </c>
      <c r="H1555" t="str">
        <f t="shared" si="992"/>
        <v>$ 0,00</v>
      </c>
      <c r="I1555" t="str">
        <f t="shared" si="1013"/>
        <v>FICHA CONECTOR</v>
      </c>
      <c r="J1555" t="str">
        <f t="shared" si="993"/>
        <v>1</v>
      </c>
      <c r="K1555" t="str">
        <f t="shared" si="990"/>
        <v>0</v>
      </c>
      <c r="L1555" t="str">
        <f>"16,000"</f>
        <v>16,000</v>
      </c>
      <c r="M1555" t="str">
        <f t="shared" si="994"/>
        <v xml:space="preserve"> </v>
      </c>
      <c r="N1555" t="str">
        <f t="shared" si="1014"/>
        <v>AUTRONIC</v>
      </c>
      <c r="O1555" t="str">
        <f t="shared" si="1015"/>
        <v>CABLES</v>
      </c>
      <c r="P1555" t="str">
        <f t="shared" si="1010"/>
        <v>0</v>
      </c>
      <c r="Q1555" t="str">
        <f t="shared" si="1010"/>
        <v>0</v>
      </c>
      <c r="R1555" t="str">
        <f t="shared" si="1011"/>
        <v>0,00</v>
      </c>
      <c r="S1555" t="str">
        <f t="shared" si="1011"/>
        <v>0,00</v>
      </c>
      <c r="T1555" t="str">
        <f t="shared" si="991"/>
        <v xml:space="preserve"> </v>
      </c>
      <c r="U1555" t="str">
        <f t="shared" si="1012"/>
        <v xml:space="preserve"> </v>
      </c>
      <c r="V1555" t="str">
        <f>"16,000"</f>
        <v>16,000</v>
      </c>
      <c r="W1555" t="str">
        <f t="shared" si="995"/>
        <v>Lista 4</v>
      </c>
      <c r="X1555" t="str">
        <f t="shared" si="996"/>
        <v>Lista 5</v>
      </c>
      <c r="Y1555" t="str">
        <f t="shared" si="997"/>
        <v>Oferta Gral.</v>
      </c>
      <c r="Z1555" t="str">
        <f t="shared" si="998"/>
        <v>Rubro</v>
      </c>
      <c r="AA1555" t="str">
        <f t="shared" si="999"/>
        <v>Cantidad por Bulto</v>
      </c>
      <c r="AB1555" t="str">
        <f t="shared" si="1000"/>
        <v>INNER</v>
      </c>
      <c r="AC1555" t="str">
        <f t="shared" si="1001"/>
        <v>Stock en Bultos</v>
      </c>
      <c r="AD1555" t="str">
        <f t="shared" si="1002"/>
        <v>SubDepósito</v>
      </c>
      <c r="AE1555" t="str">
        <f t="shared" si="1003"/>
        <v>Marca</v>
      </c>
      <c r="AF1555" t="str">
        <f t="shared" si="1004"/>
        <v>Super Rubro</v>
      </c>
      <c r="AG1555" t="str">
        <f t="shared" si="1005"/>
        <v>ComercioExterior</v>
      </c>
      <c r="AH1555" t="str">
        <f t="shared" si="1006"/>
        <v>PrecioFOB</v>
      </c>
      <c r="AI1555" t="str">
        <f t="shared" si="1007"/>
        <v>Monto II</v>
      </c>
      <c r="AJ1555" t="str">
        <f t="shared" si="1008"/>
        <v>Porcentaje II</v>
      </c>
      <c r="AK1555" t="str">
        <f t="shared" si="1009"/>
        <v>Foto</v>
      </c>
      <c r="AL1555" t="str">
        <f>"{\rtf1\ansi\ansicpg1252\deff0\deflang11274{\fonttbl{\f0\fnil\fcharset0 MS Sans Serif}} \viewkind4\uc1\pard\f0\fs16 CONECTOR 4 VIAS BULBO TEMPERATURA RENAULT MEGANE VERDE\par } "</f>
        <v xml:space="preserve">{\rtf1\ansi\ansicpg1252\deff0\deflang11274{\fonttbl{\f0\fnil\fcharset0 MS Sans Serif}} \viewkind4\uc1\pard\f0\fs16 CONECTOR 4 VIAS BULBO TEMPERATURA RENAULT MEGANE VERDE\par } </v>
      </c>
      <c r="AM1555" t="str">
        <f t="shared" si="1016"/>
        <v>-</v>
      </c>
    </row>
    <row r="1556" spans="1:39" x14ac:dyDescent="0.25">
      <c r="A1556" t="str">
        <f>"10336"</f>
        <v>10336</v>
      </c>
      <c r="B1556" t="str">
        <f>"CONECTOR 4 VIAS C. IMPRESO  FAROS TRASEROS FIAT PALIO SIENA"</f>
        <v>CONECTOR 4 VIAS C. IMPRESO  FAROS TRASEROS FIAT PALIO SIENA</v>
      </c>
      <c r="C1556" t="str">
        <f>"$ 4038,24"</f>
        <v>$ 4038,24</v>
      </c>
      <c r="D1556" t="str">
        <f>"$ 4038,24"</f>
        <v>$ 4038,24</v>
      </c>
      <c r="E1556" t="str">
        <f>"$ 4038,24"</f>
        <v>$ 4038,24</v>
      </c>
      <c r="F1556" t="str">
        <f>"$ 4038,24"</f>
        <v>$ 4038,24</v>
      </c>
      <c r="G1556" t="str">
        <f>"$ 4038,24"</f>
        <v>$ 4038,24</v>
      </c>
      <c r="H1556" t="str">
        <f t="shared" si="992"/>
        <v>$ 0,00</v>
      </c>
      <c r="I1556" t="str">
        <f t="shared" si="1013"/>
        <v>FICHA CONECTOR</v>
      </c>
      <c r="J1556" t="str">
        <f t="shared" si="993"/>
        <v>1</v>
      </c>
      <c r="K1556" t="str">
        <f t="shared" si="990"/>
        <v>0</v>
      </c>
      <c r="L1556" t="str">
        <f>"0,000"</f>
        <v>0,000</v>
      </c>
      <c r="M1556" t="str">
        <f t="shared" si="994"/>
        <v xml:space="preserve"> </v>
      </c>
      <c r="N1556" t="str">
        <f t="shared" si="1014"/>
        <v>AUTRONIC</v>
      </c>
      <c r="O1556" t="str">
        <f t="shared" si="1015"/>
        <v>CABLES</v>
      </c>
      <c r="P1556" t="str">
        <f t="shared" si="1010"/>
        <v>0</v>
      </c>
      <c r="Q1556" t="str">
        <f t="shared" si="1010"/>
        <v>0</v>
      </c>
      <c r="R1556" t="str">
        <f t="shared" si="1011"/>
        <v>0,00</v>
      </c>
      <c r="S1556" t="str">
        <f t="shared" si="1011"/>
        <v>0,00</v>
      </c>
      <c r="T1556" t="str">
        <f t="shared" si="991"/>
        <v xml:space="preserve"> </v>
      </c>
      <c r="U1556" t="str">
        <f t="shared" si="1012"/>
        <v xml:space="preserve"> </v>
      </c>
      <c r="V1556" t="str">
        <f>"0,000"</f>
        <v>0,000</v>
      </c>
      <c r="W1556" t="str">
        <f t="shared" si="995"/>
        <v>Lista 4</v>
      </c>
      <c r="X1556" t="str">
        <f t="shared" si="996"/>
        <v>Lista 5</v>
      </c>
      <c r="Y1556" t="str">
        <f t="shared" si="997"/>
        <v>Oferta Gral.</v>
      </c>
      <c r="Z1556" t="str">
        <f t="shared" si="998"/>
        <v>Rubro</v>
      </c>
      <c r="AA1556" t="str">
        <f t="shared" si="999"/>
        <v>Cantidad por Bulto</v>
      </c>
      <c r="AB1556" t="str">
        <f t="shared" si="1000"/>
        <v>INNER</v>
      </c>
      <c r="AC1556" t="str">
        <f t="shared" si="1001"/>
        <v>Stock en Bultos</v>
      </c>
      <c r="AD1556" t="str">
        <f t="shared" si="1002"/>
        <v>SubDepósito</v>
      </c>
      <c r="AE1556" t="str">
        <f t="shared" si="1003"/>
        <v>Marca</v>
      </c>
      <c r="AF1556" t="str">
        <f t="shared" si="1004"/>
        <v>Super Rubro</v>
      </c>
      <c r="AG1556" t="str">
        <f t="shared" si="1005"/>
        <v>ComercioExterior</v>
      </c>
      <c r="AH1556" t="str">
        <f t="shared" si="1006"/>
        <v>PrecioFOB</v>
      </c>
      <c r="AI1556" t="str">
        <f t="shared" si="1007"/>
        <v>Monto II</v>
      </c>
      <c r="AJ1556" t="str">
        <f t="shared" si="1008"/>
        <v>Porcentaje II</v>
      </c>
      <c r="AK1556" t="str">
        <f t="shared" si="1009"/>
        <v>Foto</v>
      </c>
      <c r="AL1556" t="str">
        <f>"{\rtf1\ansi\ansicpg1252\deff0\deflang11274{\fonttbl{\f0\fnil\fcharset0 MS Sans Serif}} \viewkind4\uc1\pard\f0\fs16 CONECTOR 4 VIAS C. IMPRESO  FAROS TRASEROS FIAT PALIO SIENA\par } "</f>
        <v xml:space="preserve">{\rtf1\ansi\ansicpg1252\deff0\deflang11274{\fonttbl{\f0\fnil\fcharset0 MS Sans Serif}} \viewkind4\uc1\pard\f0\fs16 CONECTOR 4 VIAS C. IMPRESO  FAROS TRASEROS FIAT PALIO SIENA\par } </v>
      </c>
      <c r="AM1556" t="str">
        <f t="shared" si="1016"/>
        <v>-</v>
      </c>
    </row>
    <row r="1557" spans="1:39" x14ac:dyDescent="0.25">
      <c r="A1557" t="str">
        <f>"10197"</f>
        <v>10197</v>
      </c>
      <c r="B1557" t="str">
        <f>"CONECTOR 4 VIAS CIRCUITO IMPRESO RENAULT"</f>
        <v>CONECTOR 4 VIAS CIRCUITO IMPRESO RENAULT</v>
      </c>
      <c r="C1557" t="str">
        <f>"$ 1579,66"</f>
        <v>$ 1579,66</v>
      </c>
      <c r="D1557" t="str">
        <f>"$ 1579,66"</f>
        <v>$ 1579,66</v>
      </c>
      <c r="E1557" t="str">
        <f>"$ 1579,66"</f>
        <v>$ 1579,66</v>
      </c>
      <c r="F1557" t="str">
        <f>"$ 1579,66"</f>
        <v>$ 1579,66</v>
      </c>
      <c r="G1557" t="str">
        <f>"$ 1579,66"</f>
        <v>$ 1579,66</v>
      </c>
      <c r="H1557" t="str">
        <f t="shared" si="992"/>
        <v>$ 0,00</v>
      </c>
      <c r="I1557" t="str">
        <f t="shared" si="1013"/>
        <v>FICHA CONECTOR</v>
      </c>
      <c r="J1557" t="str">
        <f t="shared" si="993"/>
        <v>1</v>
      </c>
      <c r="K1557" t="str">
        <f t="shared" si="990"/>
        <v>0</v>
      </c>
      <c r="L1557" t="str">
        <f>"0,000"</f>
        <v>0,000</v>
      </c>
      <c r="M1557" t="str">
        <f t="shared" si="994"/>
        <v xml:space="preserve"> </v>
      </c>
      <c r="N1557" t="str">
        <f t="shared" si="1014"/>
        <v>AUTRONIC</v>
      </c>
      <c r="O1557" t="str">
        <f t="shared" si="1015"/>
        <v>CABLES</v>
      </c>
      <c r="P1557" t="str">
        <f t="shared" si="1010"/>
        <v>0</v>
      </c>
      <c r="Q1557" t="str">
        <f t="shared" si="1010"/>
        <v>0</v>
      </c>
      <c r="R1557" t="str">
        <f t="shared" si="1011"/>
        <v>0,00</v>
      </c>
      <c r="S1557" t="str">
        <f t="shared" si="1011"/>
        <v>0,00</v>
      </c>
      <c r="T1557" t="str">
        <f t="shared" si="991"/>
        <v xml:space="preserve"> </v>
      </c>
      <c r="U1557" t="str">
        <f t="shared" si="1012"/>
        <v xml:space="preserve"> </v>
      </c>
      <c r="V1557" t="str">
        <f>"0,000"</f>
        <v>0,000</v>
      </c>
      <c r="W1557" t="str">
        <f t="shared" si="995"/>
        <v>Lista 4</v>
      </c>
      <c r="X1557" t="str">
        <f t="shared" si="996"/>
        <v>Lista 5</v>
      </c>
      <c r="Y1557" t="str">
        <f t="shared" si="997"/>
        <v>Oferta Gral.</v>
      </c>
      <c r="Z1557" t="str">
        <f t="shared" si="998"/>
        <v>Rubro</v>
      </c>
      <c r="AA1557" t="str">
        <f t="shared" si="999"/>
        <v>Cantidad por Bulto</v>
      </c>
      <c r="AB1557" t="str">
        <f t="shared" si="1000"/>
        <v>INNER</v>
      </c>
      <c r="AC1557" t="str">
        <f t="shared" si="1001"/>
        <v>Stock en Bultos</v>
      </c>
      <c r="AD1557" t="str">
        <f t="shared" si="1002"/>
        <v>SubDepósito</v>
      </c>
      <c r="AE1557" t="str">
        <f t="shared" si="1003"/>
        <v>Marca</v>
      </c>
      <c r="AF1557" t="str">
        <f t="shared" si="1004"/>
        <v>Super Rubro</v>
      </c>
      <c r="AG1557" t="str">
        <f t="shared" si="1005"/>
        <v>ComercioExterior</v>
      </c>
      <c r="AH1557" t="str">
        <f t="shared" si="1006"/>
        <v>PrecioFOB</v>
      </c>
      <c r="AI1557" t="str">
        <f t="shared" si="1007"/>
        <v>Monto II</v>
      </c>
      <c r="AJ1557" t="str">
        <f t="shared" si="1008"/>
        <v>Porcentaje II</v>
      </c>
      <c r="AK1557" t="str">
        <f t="shared" si="1009"/>
        <v>Foto</v>
      </c>
      <c r="AL1557" t="str">
        <f>"{\rtf1\ansi\ansicpg1252\deff0\deflang11274{\fonttbl{\f0\fnil\fcharset0 MS Sans Serif}} \viewkind4\uc1\pard\f0\fs16 CONECTOR 4 VIAS CIRCUITO IMPRESO RENAULT\par } "</f>
        <v xml:space="preserve">{\rtf1\ansi\ansicpg1252\deff0\deflang11274{\fonttbl{\f0\fnil\fcharset0 MS Sans Serif}} \viewkind4\uc1\pard\f0\fs16 CONECTOR 4 VIAS CIRCUITO IMPRESO RENAULT\par } </v>
      </c>
      <c r="AM1557" t="str">
        <f t="shared" si="1016"/>
        <v>-</v>
      </c>
    </row>
    <row r="1558" spans="1:39" x14ac:dyDescent="0.25">
      <c r="A1558" t="str">
        <f>"10410"</f>
        <v>10410</v>
      </c>
      <c r="B1558" t="str">
        <f>"CONECTOR 4 VIAS ELECTROVENTILADOR VW  GOL POLO MPH"</f>
        <v>CONECTOR 4 VIAS ELECTROVENTILADOR VW  GOL POLO MPH</v>
      </c>
      <c r="C1558" t="str">
        <f>"$ 7830,13"</f>
        <v>$ 7830,13</v>
      </c>
      <c r="D1558" t="str">
        <f>"$ 7830,13"</f>
        <v>$ 7830,13</v>
      </c>
      <c r="E1558" t="str">
        <f>"$ 7830,13"</f>
        <v>$ 7830,13</v>
      </c>
      <c r="F1558" t="str">
        <f>"$ 7830,13"</f>
        <v>$ 7830,13</v>
      </c>
      <c r="G1558" t="str">
        <f>"$ 7830,13"</f>
        <v>$ 7830,13</v>
      </c>
      <c r="H1558" t="str">
        <f t="shared" si="992"/>
        <v>$ 0,00</v>
      </c>
      <c r="I1558" t="str">
        <f t="shared" si="1013"/>
        <v>FICHA CONECTOR</v>
      </c>
      <c r="J1558" t="str">
        <f t="shared" si="993"/>
        <v>1</v>
      </c>
      <c r="K1558" t="str">
        <f t="shared" si="990"/>
        <v>0</v>
      </c>
      <c r="L1558" t="str">
        <f>"0,000"</f>
        <v>0,000</v>
      </c>
      <c r="M1558" t="str">
        <f t="shared" si="994"/>
        <v xml:space="preserve"> </v>
      </c>
      <c r="N1558" t="str">
        <f t="shared" si="1014"/>
        <v>AUTRONIC</v>
      </c>
      <c r="O1558" t="str">
        <f t="shared" si="1015"/>
        <v>CABLES</v>
      </c>
      <c r="P1558" t="str">
        <f t="shared" si="1010"/>
        <v>0</v>
      </c>
      <c r="Q1558" t="str">
        <f t="shared" si="1010"/>
        <v>0</v>
      </c>
      <c r="R1558" t="str">
        <f t="shared" si="1011"/>
        <v>0,00</v>
      </c>
      <c r="S1558" t="str">
        <f t="shared" si="1011"/>
        <v>0,00</v>
      </c>
      <c r="T1558" t="str">
        <f t="shared" si="991"/>
        <v xml:space="preserve"> </v>
      </c>
      <c r="U1558" t="str">
        <f t="shared" si="1012"/>
        <v xml:space="preserve"> </v>
      </c>
      <c r="V1558" t="str">
        <f>"0,000"</f>
        <v>0,000</v>
      </c>
      <c r="W1558" t="str">
        <f t="shared" si="995"/>
        <v>Lista 4</v>
      </c>
      <c r="X1558" t="str">
        <f t="shared" si="996"/>
        <v>Lista 5</v>
      </c>
      <c r="Y1558" t="str">
        <f t="shared" si="997"/>
        <v>Oferta Gral.</v>
      </c>
      <c r="Z1558" t="str">
        <f t="shared" si="998"/>
        <v>Rubro</v>
      </c>
      <c r="AA1558" t="str">
        <f t="shared" si="999"/>
        <v>Cantidad por Bulto</v>
      </c>
      <c r="AB1558" t="str">
        <f t="shared" si="1000"/>
        <v>INNER</v>
      </c>
      <c r="AC1558" t="str">
        <f t="shared" si="1001"/>
        <v>Stock en Bultos</v>
      </c>
      <c r="AD1558" t="str">
        <f t="shared" si="1002"/>
        <v>SubDepósito</v>
      </c>
      <c r="AE1558" t="str">
        <f t="shared" si="1003"/>
        <v>Marca</v>
      </c>
      <c r="AF1558" t="str">
        <f t="shared" si="1004"/>
        <v>Super Rubro</v>
      </c>
      <c r="AG1558" t="str">
        <f t="shared" si="1005"/>
        <v>ComercioExterior</v>
      </c>
      <c r="AH1558" t="str">
        <f t="shared" si="1006"/>
        <v>PrecioFOB</v>
      </c>
      <c r="AI1558" t="str">
        <f t="shared" si="1007"/>
        <v>Monto II</v>
      </c>
      <c r="AJ1558" t="str">
        <f t="shared" si="1008"/>
        <v>Porcentaje II</v>
      </c>
      <c r="AK1558" t="str">
        <f t="shared" si="1009"/>
        <v>Foto</v>
      </c>
      <c r="AL1558" t="str">
        <f>"{\rtf1\ansi\ansicpg1252\deff0\deflang11274{\fonttbl{\f0\fnil\fcharset0 MS Sans Serif}} \viewkind4\uc1\pard\f0\fs16 CONECTOR 4 VIAS ELECTROVENTILADOR VW  GOL POLO MPH\par } "</f>
        <v xml:space="preserve">{\rtf1\ansi\ansicpg1252\deff0\deflang11274{\fonttbl{\f0\fnil\fcharset0 MS Sans Serif}} \viewkind4\uc1\pard\f0\fs16 CONECTOR 4 VIAS ELECTROVENTILADOR VW  GOL POLO MPH\par } </v>
      </c>
      <c r="AM1558" t="str">
        <f t="shared" si="1016"/>
        <v>-</v>
      </c>
    </row>
    <row r="1559" spans="1:39" x14ac:dyDescent="0.25">
      <c r="A1559" t="str">
        <f>"10385"</f>
        <v>10385</v>
      </c>
      <c r="B1559" t="str">
        <f>"CONECTOR 4 VIAS FLOTANTE DE BOMBA DE NAFTA GM"</f>
        <v>CONECTOR 4 VIAS FLOTANTE DE BOMBA DE NAFTA GM</v>
      </c>
      <c r="C1559" t="str">
        <f>"$ 5224,54"</f>
        <v>$ 5224,54</v>
      </c>
      <c r="D1559" t="str">
        <f>"$ 5224,54"</f>
        <v>$ 5224,54</v>
      </c>
      <c r="E1559" t="str">
        <f>"$ 5224,54"</f>
        <v>$ 5224,54</v>
      </c>
      <c r="F1559" t="str">
        <f>"$ 5224,54"</f>
        <v>$ 5224,54</v>
      </c>
      <c r="G1559" t="str">
        <f>"$ 5224,54"</f>
        <v>$ 5224,54</v>
      </c>
      <c r="H1559" t="str">
        <f t="shared" si="992"/>
        <v>$ 0,00</v>
      </c>
      <c r="I1559" t="str">
        <f t="shared" si="1013"/>
        <v>FICHA CONECTOR</v>
      </c>
      <c r="J1559" t="str">
        <f t="shared" si="993"/>
        <v>1</v>
      </c>
      <c r="K1559" t="str">
        <f t="shared" si="990"/>
        <v>0</v>
      </c>
      <c r="L1559" t="str">
        <f>"7,000"</f>
        <v>7,000</v>
      </c>
      <c r="M1559" t="str">
        <f t="shared" si="994"/>
        <v xml:space="preserve"> </v>
      </c>
      <c r="N1559" t="str">
        <f t="shared" si="1014"/>
        <v>AUTRONIC</v>
      </c>
      <c r="O1559" t="str">
        <f t="shared" si="1015"/>
        <v>CABLES</v>
      </c>
      <c r="P1559" t="str">
        <f t="shared" si="1010"/>
        <v>0</v>
      </c>
      <c r="Q1559" t="str">
        <f t="shared" si="1010"/>
        <v>0</v>
      </c>
      <c r="R1559" t="str">
        <f t="shared" si="1011"/>
        <v>0,00</v>
      </c>
      <c r="S1559" t="str">
        <f t="shared" si="1011"/>
        <v>0,00</v>
      </c>
      <c r="T1559" t="str">
        <f t="shared" si="991"/>
        <v xml:space="preserve"> </v>
      </c>
      <c r="U1559" t="str">
        <f t="shared" si="1012"/>
        <v xml:space="preserve"> </v>
      </c>
      <c r="V1559" t="str">
        <f>"7,000"</f>
        <v>7,000</v>
      </c>
      <c r="W1559" t="str">
        <f t="shared" si="995"/>
        <v>Lista 4</v>
      </c>
      <c r="X1559" t="str">
        <f t="shared" si="996"/>
        <v>Lista 5</v>
      </c>
      <c r="Y1559" t="str">
        <f t="shared" si="997"/>
        <v>Oferta Gral.</v>
      </c>
      <c r="Z1559" t="str">
        <f t="shared" si="998"/>
        <v>Rubro</v>
      </c>
      <c r="AA1559" t="str">
        <f t="shared" si="999"/>
        <v>Cantidad por Bulto</v>
      </c>
      <c r="AB1559" t="str">
        <f t="shared" si="1000"/>
        <v>INNER</v>
      </c>
      <c r="AC1559" t="str">
        <f t="shared" si="1001"/>
        <v>Stock en Bultos</v>
      </c>
      <c r="AD1559" t="str">
        <f t="shared" si="1002"/>
        <v>SubDepósito</v>
      </c>
      <c r="AE1559" t="str">
        <f t="shared" si="1003"/>
        <v>Marca</v>
      </c>
      <c r="AF1559" t="str">
        <f t="shared" si="1004"/>
        <v>Super Rubro</v>
      </c>
      <c r="AG1559" t="str">
        <f t="shared" si="1005"/>
        <v>ComercioExterior</v>
      </c>
      <c r="AH1559" t="str">
        <f t="shared" si="1006"/>
        <v>PrecioFOB</v>
      </c>
      <c r="AI1559" t="str">
        <f t="shared" si="1007"/>
        <v>Monto II</v>
      </c>
      <c r="AJ1559" t="str">
        <f t="shared" si="1008"/>
        <v>Porcentaje II</v>
      </c>
      <c r="AK1559" t="str">
        <f t="shared" si="1009"/>
        <v>Foto</v>
      </c>
      <c r="AL1559" t="str">
        <f>"{\rtf1\ansi\ansicpg1252\deff0\deflang11274{\fonttbl{\f0\fnil\fcharset0 MS Sans Serif}} \viewkind4\uc1\pard\f0\fs16 CONECTOR 4 VIAS FLOTANTE DE BOMBA DE NAFTA GM\par } "</f>
        <v xml:space="preserve">{\rtf1\ansi\ansicpg1252\deff0\deflang11274{\fonttbl{\f0\fnil\fcharset0 MS Sans Serif}} \viewkind4\uc1\pard\f0\fs16 CONECTOR 4 VIAS FLOTANTE DE BOMBA DE NAFTA GM\par } </v>
      </c>
      <c r="AM1559" t="str">
        <f t="shared" si="1016"/>
        <v>-</v>
      </c>
    </row>
    <row r="1560" spans="1:39" x14ac:dyDescent="0.25">
      <c r="A1560" t="str">
        <f>"10419"</f>
        <v>10419</v>
      </c>
      <c r="B1560" t="str">
        <f>"CONECTOR 4 VIAS FLOTANTE NAFTA MEGANE II"</f>
        <v>CONECTOR 4 VIAS FLOTANTE NAFTA MEGANE II</v>
      </c>
      <c r="C1560" t="str">
        <f>"$ 7135,31"</f>
        <v>$ 7135,31</v>
      </c>
      <c r="D1560" t="str">
        <f>"$ 7135,31"</f>
        <v>$ 7135,31</v>
      </c>
      <c r="E1560" t="str">
        <f>"$ 7135,31"</f>
        <v>$ 7135,31</v>
      </c>
      <c r="F1560" t="str">
        <f>"$ 7135,31"</f>
        <v>$ 7135,31</v>
      </c>
      <c r="G1560" t="str">
        <f>"$ 7135,31"</f>
        <v>$ 7135,31</v>
      </c>
      <c r="H1560" t="str">
        <f t="shared" si="992"/>
        <v>$ 0,00</v>
      </c>
      <c r="I1560" t="str">
        <f t="shared" si="1013"/>
        <v>FICHA CONECTOR</v>
      </c>
      <c r="J1560" t="str">
        <f t="shared" si="993"/>
        <v>1</v>
      </c>
      <c r="K1560" t="str">
        <f t="shared" si="990"/>
        <v>0</v>
      </c>
      <c r="L1560" t="str">
        <f>"0,000"</f>
        <v>0,000</v>
      </c>
      <c r="M1560" t="str">
        <f t="shared" si="994"/>
        <v xml:space="preserve"> </v>
      </c>
      <c r="N1560" t="str">
        <f t="shared" si="1014"/>
        <v>AUTRONIC</v>
      </c>
      <c r="O1560" t="str">
        <f t="shared" si="1015"/>
        <v>CABLES</v>
      </c>
      <c r="P1560" t="str">
        <f t="shared" si="1010"/>
        <v>0</v>
      </c>
      <c r="Q1560" t="str">
        <f t="shared" si="1010"/>
        <v>0</v>
      </c>
      <c r="R1560" t="str">
        <f t="shared" si="1011"/>
        <v>0,00</v>
      </c>
      <c r="S1560" t="str">
        <f t="shared" si="1011"/>
        <v>0,00</v>
      </c>
      <c r="T1560" t="str">
        <f t="shared" si="991"/>
        <v xml:space="preserve"> </v>
      </c>
      <c r="U1560" t="str">
        <f t="shared" si="1012"/>
        <v xml:space="preserve"> </v>
      </c>
      <c r="V1560" t="str">
        <f>"0,000"</f>
        <v>0,000</v>
      </c>
      <c r="W1560" t="str">
        <f t="shared" si="995"/>
        <v>Lista 4</v>
      </c>
      <c r="X1560" t="str">
        <f t="shared" si="996"/>
        <v>Lista 5</v>
      </c>
      <c r="Y1560" t="str">
        <f t="shared" si="997"/>
        <v>Oferta Gral.</v>
      </c>
      <c r="Z1560" t="str">
        <f t="shared" si="998"/>
        <v>Rubro</v>
      </c>
      <c r="AA1560" t="str">
        <f t="shared" si="999"/>
        <v>Cantidad por Bulto</v>
      </c>
      <c r="AB1560" t="str">
        <f t="shared" si="1000"/>
        <v>INNER</v>
      </c>
      <c r="AC1560" t="str">
        <f t="shared" si="1001"/>
        <v>Stock en Bultos</v>
      </c>
      <c r="AD1560" t="str">
        <f t="shared" si="1002"/>
        <v>SubDepósito</v>
      </c>
      <c r="AE1560" t="str">
        <f t="shared" si="1003"/>
        <v>Marca</v>
      </c>
      <c r="AF1560" t="str">
        <f t="shared" si="1004"/>
        <v>Super Rubro</v>
      </c>
      <c r="AG1560" t="str">
        <f t="shared" si="1005"/>
        <v>ComercioExterior</v>
      </c>
      <c r="AH1560" t="str">
        <f t="shared" si="1006"/>
        <v>PrecioFOB</v>
      </c>
      <c r="AI1560" t="str">
        <f t="shared" si="1007"/>
        <v>Monto II</v>
      </c>
      <c r="AJ1560" t="str">
        <f t="shared" si="1008"/>
        <v>Porcentaje II</v>
      </c>
      <c r="AK1560" t="str">
        <f t="shared" si="1009"/>
        <v>Foto</v>
      </c>
      <c r="AL1560" t="str">
        <f>"{\rtf1\ansi\ansicpg1252\deff0\deflang11274{\fonttbl{\f0\fnil\fcharset0 MS Sans Serif}} \viewkind4\uc1\pard\f0\fs16 CONECTOR 4 VIAS FLOTANTE NAFTA MEGANE II\par } "</f>
        <v xml:space="preserve">{\rtf1\ansi\ansicpg1252\deff0\deflang11274{\fonttbl{\f0\fnil\fcharset0 MS Sans Serif}} \viewkind4\uc1\pard\f0\fs16 CONECTOR 4 VIAS FLOTANTE NAFTA MEGANE II\par } </v>
      </c>
      <c r="AM1560" t="str">
        <f t="shared" si="1016"/>
        <v>-</v>
      </c>
    </row>
    <row r="1561" spans="1:39" x14ac:dyDescent="0.25">
      <c r="A1561" t="str">
        <f>"10378"</f>
        <v>10378</v>
      </c>
      <c r="B1561" t="str">
        <f>"CONECTOR 4 VIAS INYECCION ELECTRONICA"</f>
        <v>CONECTOR 4 VIAS INYECCION ELECTRONICA</v>
      </c>
      <c r="C1561" t="str">
        <f>"$ 3503,77"</f>
        <v>$ 3503,77</v>
      </c>
      <c r="D1561" t="str">
        <f>"$ 3503,77"</f>
        <v>$ 3503,77</v>
      </c>
      <c r="E1561" t="str">
        <f>"$ 3503,77"</f>
        <v>$ 3503,77</v>
      </c>
      <c r="F1561" t="str">
        <f>"$ 3503,77"</f>
        <v>$ 3503,77</v>
      </c>
      <c r="G1561" t="str">
        <f>"$ 3503,77"</f>
        <v>$ 3503,77</v>
      </c>
      <c r="H1561" t="str">
        <f t="shared" si="992"/>
        <v>$ 0,00</v>
      </c>
      <c r="I1561" t="str">
        <f t="shared" si="1013"/>
        <v>FICHA CONECTOR</v>
      </c>
      <c r="J1561" t="str">
        <f t="shared" si="993"/>
        <v>1</v>
      </c>
      <c r="K1561" t="str">
        <f t="shared" si="990"/>
        <v>0</v>
      </c>
      <c r="L1561" t="str">
        <f>"0,000"</f>
        <v>0,000</v>
      </c>
      <c r="M1561" t="str">
        <f t="shared" si="994"/>
        <v xml:space="preserve"> </v>
      </c>
      <c r="N1561" t="str">
        <f t="shared" si="1014"/>
        <v>AUTRONIC</v>
      </c>
      <c r="O1561" t="str">
        <f t="shared" si="1015"/>
        <v>CABLES</v>
      </c>
      <c r="P1561" t="str">
        <f t="shared" si="1010"/>
        <v>0</v>
      </c>
      <c r="Q1561" t="str">
        <f t="shared" si="1010"/>
        <v>0</v>
      </c>
      <c r="R1561" t="str">
        <f t="shared" si="1011"/>
        <v>0,00</v>
      </c>
      <c r="S1561" t="str">
        <f t="shared" si="1011"/>
        <v>0,00</v>
      </c>
      <c r="T1561" t="str">
        <f t="shared" ref="T1561:T1592" si="1017">" "</f>
        <v xml:space="preserve"> </v>
      </c>
      <c r="U1561" t="str">
        <f t="shared" si="1012"/>
        <v xml:space="preserve"> </v>
      </c>
      <c r="V1561" t="str">
        <f>"0,000"</f>
        <v>0,000</v>
      </c>
      <c r="W1561" t="str">
        <f t="shared" si="995"/>
        <v>Lista 4</v>
      </c>
      <c r="X1561" t="str">
        <f t="shared" si="996"/>
        <v>Lista 5</v>
      </c>
      <c r="Y1561" t="str">
        <f t="shared" si="997"/>
        <v>Oferta Gral.</v>
      </c>
      <c r="Z1561" t="str">
        <f t="shared" si="998"/>
        <v>Rubro</v>
      </c>
      <c r="AA1561" t="str">
        <f t="shared" si="999"/>
        <v>Cantidad por Bulto</v>
      </c>
      <c r="AB1561" t="str">
        <f t="shared" si="1000"/>
        <v>INNER</v>
      </c>
      <c r="AC1561" t="str">
        <f t="shared" si="1001"/>
        <v>Stock en Bultos</v>
      </c>
      <c r="AD1561" t="str">
        <f t="shared" si="1002"/>
        <v>SubDepósito</v>
      </c>
      <c r="AE1561" t="str">
        <f t="shared" si="1003"/>
        <v>Marca</v>
      </c>
      <c r="AF1561" t="str">
        <f t="shared" si="1004"/>
        <v>Super Rubro</v>
      </c>
      <c r="AG1561" t="str">
        <f t="shared" si="1005"/>
        <v>ComercioExterior</v>
      </c>
      <c r="AH1561" t="str">
        <f t="shared" si="1006"/>
        <v>PrecioFOB</v>
      </c>
      <c r="AI1561" t="str">
        <f t="shared" si="1007"/>
        <v>Monto II</v>
      </c>
      <c r="AJ1561" t="str">
        <f t="shared" si="1008"/>
        <v>Porcentaje II</v>
      </c>
      <c r="AK1561" t="str">
        <f t="shared" si="1009"/>
        <v>Foto</v>
      </c>
      <c r="AL1561" t="str">
        <f>"{\rtf1\ansi\ansicpg1252\deff0\deflang11274{\fonttbl{\f0\fnil\fcharset0 MS Sans Serif}} \viewkind4\uc1\pard\f0\fs16 CONECTOR 4 VIAS INYECCION ELECTRONICA\par } "</f>
        <v xml:space="preserve">{\rtf1\ansi\ansicpg1252\deff0\deflang11274{\fonttbl{\f0\fnil\fcharset0 MS Sans Serif}} \viewkind4\uc1\pard\f0\fs16 CONECTOR 4 VIAS INYECCION ELECTRONICA\par } </v>
      </c>
      <c r="AM1561" t="str">
        <f t="shared" si="1016"/>
        <v>-</v>
      </c>
    </row>
    <row r="1562" spans="1:39" x14ac:dyDescent="0.25">
      <c r="A1562" t="str">
        <f>"10192"</f>
        <v>10192</v>
      </c>
      <c r="B1562" t="str">
        <f>"CONECTOR 4 VIAS MACHO SONDA LAMBDA FIAT"</f>
        <v>CONECTOR 4 VIAS MACHO SONDA LAMBDA FIAT</v>
      </c>
      <c r="C1562" t="str">
        <f>"$ 3981,88"</f>
        <v>$ 3981,88</v>
      </c>
      <c r="D1562" t="str">
        <f>"$ 3981,88"</f>
        <v>$ 3981,88</v>
      </c>
      <c r="E1562" t="str">
        <f>"$ 3981,88"</f>
        <v>$ 3981,88</v>
      </c>
      <c r="F1562" t="str">
        <f>"$ 3981,88"</f>
        <v>$ 3981,88</v>
      </c>
      <c r="G1562" t="str">
        <f>"$ 3981,88"</f>
        <v>$ 3981,88</v>
      </c>
      <c r="H1562" t="str">
        <f t="shared" si="992"/>
        <v>$ 0,00</v>
      </c>
      <c r="I1562" t="str">
        <f t="shared" si="1013"/>
        <v>FICHA CONECTOR</v>
      </c>
      <c r="J1562" t="str">
        <f t="shared" si="993"/>
        <v>1</v>
      </c>
      <c r="K1562" t="str">
        <f t="shared" si="990"/>
        <v>0</v>
      </c>
      <c r="L1562" t="str">
        <f>"20,000"</f>
        <v>20,000</v>
      </c>
      <c r="M1562" t="str">
        <f t="shared" si="994"/>
        <v xml:space="preserve"> </v>
      </c>
      <c r="N1562" t="str">
        <f t="shared" si="1014"/>
        <v>AUTRONIC</v>
      </c>
      <c r="O1562" t="str">
        <f t="shared" si="1015"/>
        <v>CABLES</v>
      </c>
      <c r="P1562" t="str">
        <f t="shared" si="1010"/>
        <v>0</v>
      </c>
      <c r="Q1562" t="str">
        <f t="shared" si="1010"/>
        <v>0</v>
      </c>
      <c r="R1562" t="str">
        <f t="shared" si="1011"/>
        <v>0,00</v>
      </c>
      <c r="S1562" t="str">
        <f t="shared" si="1011"/>
        <v>0,00</v>
      </c>
      <c r="T1562" t="str">
        <f t="shared" si="1017"/>
        <v xml:space="preserve"> </v>
      </c>
      <c r="U1562" t="str">
        <f t="shared" si="1012"/>
        <v xml:space="preserve"> </v>
      </c>
      <c r="V1562" t="str">
        <f>"20,000"</f>
        <v>20,000</v>
      </c>
      <c r="W1562" t="str">
        <f t="shared" si="995"/>
        <v>Lista 4</v>
      </c>
      <c r="X1562" t="str">
        <f t="shared" si="996"/>
        <v>Lista 5</v>
      </c>
      <c r="Y1562" t="str">
        <f t="shared" si="997"/>
        <v>Oferta Gral.</v>
      </c>
      <c r="Z1562" t="str">
        <f t="shared" si="998"/>
        <v>Rubro</v>
      </c>
      <c r="AA1562" t="str">
        <f t="shared" si="999"/>
        <v>Cantidad por Bulto</v>
      </c>
      <c r="AB1562" t="str">
        <f t="shared" si="1000"/>
        <v>INNER</v>
      </c>
      <c r="AC1562" t="str">
        <f t="shared" si="1001"/>
        <v>Stock en Bultos</v>
      </c>
      <c r="AD1562" t="str">
        <f t="shared" si="1002"/>
        <v>SubDepósito</v>
      </c>
      <c r="AE1562" t="str">
        <f t="shared" si="1003"/>
        <v>Marca</v>
      </c>
      <c r="AF1562" t="str">
        <f t="shared" si="1004"/>
        <v>Super Rubro</v>
      </c>
      <c r="AG1562" t="str">
        <f t="shared" si="1005"/>
        <v>ComercioExterior</v>
      </c>
      <c r="AH1562" t="str">
        <f t="shared" si="1006"/>
        <v>PrecioFOB</v>
      </c>
      <c r="AI1562" t="str">
        <f t="shared" si="1007"/>
        <v>Monto II</v>
      </c>
      <c r="AJ1562" t="str">
        <f t="shared" si="1008"/>
        <v>Porcentaje II</v>
      </c>
      <c r="AK1562" t="str">
        <f t="shared" si="1009"/>
        <v>Foto</v>
      </c>
      <c r="AL1562" t="str">
        <f>"{\rtf1\ansi\ansicpg1252\deff0\deflang11274{\fonttbl{\f0\fnil\fcharset0 MS Sans Serif}} \viewkind4\uc1\pard\f0\fs16 CONECTOR 4 VIAS MACHO SONDA LAMBDA FIAT\par } "</f>
        <v xml:space="preserve">{\rtf1\ansi\ansicpg1252\deff0\deflang11274{\fonttbl{\f0\fnil\fcharset0 MS Sans Serif}} \viewkind4\uc1\pard\f0\fs16 CONECTOR 4 VIAS MACHO SONDA LAMBDA FIAT\par } </v>
      </c>
      <c r="AM1562" t="str">
        <f t="shared" si="1016"/>
        <v>-</v>
      </c>
    </row>
    <row r="1563" spans="1:39" x14ac:dyDescent="0.25">
      <c r="A1563" t="str">
        <f>"10185"</f>
        <v>10185</v>
      </c>
      <c r="B1563" t="str">
        <f>"CONECTOR 4 VIAS MACHO- TRABA CENTRALIZADA- SONDA LAMBDA FORD ESCORT"</f>
        <v>CONECTOR 4 VIAS MACHO- TRABA CENTRALIZADA- SONDA LAMBDA FORD ESCORT</v>
      </c>
      <c r="C1563" t="str">
        <f>"$ 3340,50"</f>
        <v>$ 3340,50</v>
      </c>
      <c r="D1563" t="str">
        <f>"$ 3340,50"</f>
        <v>$ 3340,50</v>
      </c>
      <c r="E1563" t="str">
        <f>"$ 3340,50"</f>
        <v>$ 3340,50</v>
      </c>
      <c r="F1563" t="str">
        <f>"$ 3340,50"</f>
        <v>$ 3340,50</v>
      </c>
      <c r="G1563" t="str">
        <f>"$ 3340,50"</f>
        <v>$ 3340,50</v>
      </c>
      <c r="H1563" t="str">
        <f t="shared" si="992"/>
        <v>$ 0,00</v>
      </c>
      <c r="I1563" t="str">
        <f t="shared" si="1013"/>
        <v>FICHA CONECTOR</v>
      </c>
      <c r="J1563" t="str">
        <f t="shared" si="993"/>
        <v>1</v>
      </c>
      <c r="K1563" t="str">
        <f t="shared" si="990"/>
        <v>0</v>
      </c>
      <c r="L1563" t="str">
        <f>"10,000"</f>
        <v>10,000</v>
      </c>
      <c r="M1563" t="str">
        <f t="shared" si="994"/>
        <v xml:space="preserve"> </v>
      </c>
      <c r="N1563" t="str">
        <f t="shared" si="1014"/>
        <v>AUTRONIC</v>
      </c>
      <c r="O1563" t="str">
        <f t="shared" si="1015"/>
        <v>CABLES</v>
      </c>
      <c r="P1563" t="str">
        <f t="shared" ref="P1563:Q1582" si="1018">"0"</f>
        <v>0</v>
      </c>
      <c r="Q1563" t="str">
        <f t="shared" si="1018"/>
        <v>0</v>
      </c>
      <c r="R1563" t="str">
        <f t="shared" ref="R1563:S1582" si="1019">"0,00"</f>
        <v>0,00</v>
      </c>
      <c r="S1563" t="str">
        <f t="shared" si="1019"/>
        <v>0,00</v>
      </c>
      <c r="T1563" t="str">
        <f t="shared" si="1017"/>
        <v xml:space="preserve"> </v>
      </c>
      <c r="U1563" t="str">
        <f t="shared" si="1012"/>
        <v xml:space="preserve"> </v>
      </c>
      <c r="V1563" t="str">
        <f>"10,000"</f>
        <v>10,000</v>
      </c>
      <c r="W1563" t="str">
        <f t="shared" si="995"/>
        <v>Lista 4</v>
      </c>
      <c r="X1563" t="str">
        <f t="shared" si="996"/>
        <v>Lista 5</v>
      </c>
      <c r="Y1563" t="str">
        <f t="shared" si="997"/>
        <v>Oferta Gral.</v>
      </c>
      <c r="Z1563" t="str">
        <f t="shared" si="998"/>
        <v>Rubro</v>
      </c>
      <c r="AA1563" t="str">
        <f t="shared" si="999"/>
        <v>Cantidad por Bulto</v>
      </c>
      <c r="AB1563" t="str">
        <f t="shared" si="1000"/>
        <v>INNER</v>
      </c>
      <c r="AC1563" t="str">
        <f t="shared" si="1001"/>
        <v>Stock en Bultos</v>
      </c>
      <c r="AD1563" t="str">
        <f t="shared" si="1002"/>
        <v>SubDepósito</v>
      </c>
      <c r="AE1563" t="str">
        <f t="shared" si="1003"/>
        <v>Marca</v>
      </c>
      <c r="AF1563" t="str">
        <f t="shared" si="1004"/>
        <v>Super Rubro</v>
      </c>
      <c r="AG1563" t="str">
        <f t="shared" si="1005"/>
        <v>ComercioExterior</v>
      </c>
      <c r="AH1563" t="str">
        <f t="shared" si="1006"/>
        <v>PrecioFOB</v>
      </c>
      <c r="AI1563" t="str">
        <f t="shared" si="1007"/>
        <v>Monto II</v>
      </c>
      <c r="AJ1563" t="str">
        <f t="shared" si="1008"/>
        <v>Porcentaje II</v>
      </c>
      <c r="AK1563" t="str">
        <f t="shared" si="1009"/>
        <v>Foto</v>
      </c>
      <c r="AL1563" t="str">
        <f>"{\rtf1\ansi\ansicpg1252\deff0\deflang11274{\fonttbl{\f0\fnil\fcharset0 MS Sans Serif}} \viewkind4\uc1\pard\f0\fs16 CONECTOR 4 VIAS MACHO- TRABA CENTRALIZADA- SONDA LAMBDA FORD ESCORT\par } "</f>
        <v xml:space="preserve">{\rtf1\ansi\ansicpg1252\deff0\deflang11274{\fonttbl{\f0\fnil\fcharset0 MS Sans Serif}} \viewkind4\uc1\pard\f0\fs16 CONECTOR 4 VIAS MACHO- TRABA CENTRALIZADA- SONDA LAMBDA FORD ESCORT\par } </v>
      </c>
      <c r="AM1563" t="str">
        <f t="shared" si="1016"/>
        <v>-</v>
      </c>
    </row>
    <row r="1564" spans="1:39" x14ac:dyDescent="0.25">
      <c r="A1564" t="str">
        <f>"10327"</f>
        <v>10327</v>
      </c>
      <c r="B1564" t="str">
        <f>"CONECTOR 4 VIAS MICRO RELAY UNIVERSAL"</f>
        <v>CONECTOR 4 VIAS MICRO RELAY UNIVERSAL</v>
      </c>
      <c r="C1564" t="str">
        <f>"$ 1722,19"</f>
        <v>$ 1722,19</v>
      </c>
      <c r="D1564" t="str">
        <f>"$ 1722,19"</f>
        <v>$ 1722,19</v>
      </c>
      <c r="E1564" t="str">
        <f>"$ 1722,19"</f>
        <v>$ 1722,19</v>
      </c>
      <c r="F1564" t="str">
        <f>"$ 1722,19"</f>
        <v>$ 1722,19</v>
      </c>
      <c r="G1564" t="str">
        <f>"$ 1722,19"</f>
        <v>$ 1722,19</v>
      </c>
      <c r="H1564" t="str">
        <f t="shared" si="992"/>
        <v>$ 0,00</v>
      </c>
      <c r="I1564" t="str">
        <f t="shared" si="1013"/>
        <v>FICHA CONECTOR</v>
      </c>
      <c r="J1564" t="str">
        <f t="shared" si="993"/>
        <v>1</v>
      </c>
      <c r="K1564" t="str">
        <f t="shared" si="990"/>
        <v>0</v>
      </c>
      <c r="L1564" t="str">
        <f>"0,000"</f>
        <v>0,000</v>
      </c>
      <c r="M1564" t="str">
        <f t="shared" si="994"/>
        <v xml:space="preserve"> </v>
      </c>
      <c r="N1564" t="str">
        <f t="shared" si="1014"/>
        <v>AUTRONIC</v>
      </c>
      <c r="O1564" t="str">
        <f t="shared" si="1015"/>
        <v>CABLES</v>
      </c>
      <c r="P1564" t="str">
        <f t="shared" si="1018"/>
        <v>0</v>
      </c>
      <c r="Q1564" t="str">
        <f t="shared" si="1018"/>
        <v>0</v>
      </c>
      <c r="R1564" t="str">
        <f t="shared" si="1019"/>
        <v>0,00</v>
      </c>
      <c r="S1564" t="str">
        <f t="shared" si="1019"/>
        <v>0,00</v>
      </c>
      <c r="T1564" t="str">
        <f t="shared" si="1017"/>
        <v xml:space="preserve"> </v>
      </c>
      <c r="U1564" t="str">
        <f t="shared" si="1012"/>
        <v xml:space="preserve"> </v>
      </c>
      <c r="V1564" t="str">
        <f>"0,000"</f>
        <v>0,000</v>
      </c>
      <c r="W1564" t="str">
        <f t="shared" si="995"/>
        <v>Lista 4</v>
      </c>
      <c r="X1564" t="str">
        <f t="shared" si="996"/>
        <v>Lista 5</v>
      </c>
      <c r="Y1564" t="str">
        <f t="shared" si="997"/>
        <v>Oferta Gral.</v>
      </c>
      <c r="Z1564" t="str">
        <f t="shared" si="998"/>
        <v>Rubro</v>
      </c>
      <c r="AA1564" t="str">
        <f t="shared" si="999"/>
        <v>Cantidad por Bulto</v>
      </c>
      <c r="AB1564" t="str">
        <f t="shared" si="1000"/>
        <v>INNER</v>
      </c>
      <c r="AC1564" t="str">
        <f t="shared" si="1001"/>
        <v>Stock en Bultos</v>
      </c>
      <c r="AD1564" t="str">
        <f t="shared" si="1002"/>
        <v>SubDepósito</v>
      </c>
      <c r="AE1564" t="str">
        <f t="shared" si="1003"/>
        <v>Marca</v>
      </c>
      <c r="AF1564" t="str">
        <f t="shared" si="1004"/>
        <v>Super Rubro</v>
      </c>
      <c r="AG1564" t="str">
        <f t="shared" si="1005"/>
        <v>ComercioExterior</v>
      </c>
      <c r="AH1564" t="str">
        <f t="shared" si="1006"/>
        <v>PrecioFOB</v>
      </c>
      <c r="AI1564" t="str">
        <f t="shared" si="1007"/>
        <v>Monto II</v>
      </c>
      <c r="AJ1564" t="str">
        <f t="shared" si="1008"/>
        <v>Porcentaje II</v>
      </c>
      <c r="AK1564" t="str">
        <f t="shared" si="1009"/>
        <v>Foto</v>
      </c>
      <c r="AL1564" t="str">
        <f>"{\rtf1\ansi\ansicpg1252\deff0\deflang11274{\fonttbl{\f0\fnil\fcharset0 MS Sans Serif}} \viewkind4\uc1\pard\f0\fs16 CONECTOR 4 VIAS MICRO RELAY UNIVERSAL\par } "</f>
        <v xml:space="preserve">{\rtf1\ansi\ansicpg1252\deff0\deflang11274{\fonttbl{\f0\fnil\fcharset0 MS Sans Serif}} \viewkind4\uc1\pard\f0\fs16 CONECTOR 4 VIAS MICRO RELAY UNIVERSAL\par } </v>
      </c>
      <c r="AM1564" t="str">
        <f t="shared" si="1016"/>
        <v>-</v>
      </c>
    </row>
    <row r="1565" spans="1:39" x14ac:dyDescent="0.25">
      <c r="A1565" t="str">
        <f>"10269"</f>
        <v>10269</v>
      </c>
      <c r="B1565" t="str">
        <f>"CONECTOR 4 VIAS RELAY 50 AMPERES ORIGINAL RENAULT"</f>
        <v>CONECTOR 4 VIAS RELAY 50 AMPERES ORIGINAL RENAULT</v>
      </c>
      <c r="C1565" t="str">
        <f>"$ 2850,52"</f>
        <v>$ 2850,52</v>
      </c>
      <c r="D1565" t="str">
        <f>"$ 2850,52"</f>
        <v>$ 2850,52</v>
      </c>
      <c r="E1565" t="str">
        <f>"$ 2850,52"</f>
        <v>$ 2850,52</v>
      </c>
      <c r="F1565" t="str">
        <f>"$ 2850,52"</f>
        <v>$ 2850,52</v>
      </c>
      <c r="G1565" t="str">
        <f>"$ 2850,52"</f>
        <v>$ 2850,52</v>
      </c>
      <c r="H1565" t="str">
        <f t="shared" si="992"/>
        <v>$ 0,00</v>
      </c>
      <c r="I1565" t="str">
        <f t="shared" si="1013"/>
        <v>FICHA CONECTOR</v>
      </c>
      <c r="J1565" t="str">
        <f t="shared" si="993"/>
        <v>1</v>
      </c>
      <c r="K1565" t="str">
        <f t="shared" si="990"/>
        <v>0</v>
      </c>
      <c r="L1565" t="str">
        <f>"-1,000"</f>
        <v>-1,000</v>
      </c>
      <c r="M1565" t="str">
        <f t="shared" si="994"/>
        <v xml:space="preserve"> </v>
      </c>
      <c r="N1565" t="str">
        <f t="shared" si="1014"/>
        <v>AUTRONIC</v>
      </c>
      <c r="O1565" t="str">
        <f t="shared" si="1015"/>
        <v>CABLES</v>
      </c>
      <c r="P1565" t="str">
        <f t="shared" si="1018"/>
        <v>0</v>
      </c>
      <c r="Q1565" t="str">
        <f t="shared" si="1018"/>
        <v>0</v>
      </c>
      <c r="R1565" t="str">
        <f t="shared" si="1019"/>
        <v>0,00</v>
      </c>
      <c r="S1565" t="str">
        <f t="shared" si="1019"/>
        <v>0,00</v>
      </c>
      <c r="T1565" t="str">
        <f t="shared" si="1017"/>
        <v xml:space="preserve"> </v>
      </c>
      <c r="U1565" t="str">
        <f t="shared" si="1012"/>
        <v xml:space="preserve"> </v>
      </c>
      <c r="V1565" t="str">
        <f>"-1,000"</f>
        <v>-1,000</v>
      </c>
      <c r="W1565" t="str">
        <f t="shared" si="995"/>
        <v>Lista 4</v>
      </c>
      <c r="X1565" t="str">
        <f t="shared" si="996"/>
        <v>Lista 5</v>
      </c>
      <c r="Y1565" t="str">
        <f t="shared" si="997"/>
        <v>Oferta Gral.</v>
      </c>
      <c r="Z1565" t="str">
        <f t="shared" si="998"/>
        <v>Rubro</v>
      </c>
      <c r="AA1565" t="str">
        <f t="shared" si="999"/>
        <v>Cantidad por Bulto</v>
      </c>
      <c r="AB1565" t="str">
        <f t="shared" si="1000"/>
        <v>INNER</v>
      </c>
      <c r="AC1565" t="str">
        <f t="shared" si="1001"/>
        <v>Stock en Bultos</v>
      </c>
      <c r="AD1565" t="str">
        <f t="shared" si="1002"/>
        <v>SubDepósito</v>
      </c>
      <c r="AE1565" t="str">
        <f t="shared" si="1003"/>
        <v>Marca</v>
      </c>
      <c r="AF1565" t="str">
        <f t="shared" si="1004"/>
        <v>Super Rubro</v>
      </c>
      <c r="AG1565" t="str">
        <f t="shared" si="1005"/>
        <v>ComercioExterior</v>
      </c>
      <c r="AH1565" t="str">
        <f t="shared" si="1006"/>
        <v>PrecioFOB</v>
      </c>
      <c r="AI1565" t="str">
        <f t="shared" si="1007"/>
        <v>Monto II</v>
      </c>
      <c r="AJ1565" t="str">
        <f t="shared" si="1008"/>
        <v>Porcentaje II</v>
      </c>
      <c r="AK1565" t="str">
        <f t="shared" si="1009"/>
        <v>Foto</v>
      </c>
      <c r="AL1565" t="str">
        <f>"{\rtf1\ansi\ansicpg1252\deff0\deflang11274{\fonttbl{\f0\fnil\fcharset0 MS Sans Serif}} \viewkind4\uc1\pard\f0\fs16 CONECTOR 4 VIAS RELAY 50 AMPERES ORIGINAL RENAULT\par } "</f>
        <v xml:space="preserve">{\rtf1\ansi\ansicpg1252\deff0\deflang11274{\fonttbl{\f0\fnil\fcharset0 MS Sans Serif}} \viewkind4\uc1\pard\f0\fs16 CONECTOR 4 VIAS RELAY 50 AMPERES ORIGINAL RENAULT\par } </v>
      </c>
      <c r="AM1565" t="str">
        <f t="shared" si="1016"/>
        <v>-</v>
      </c>
    </row>
    <row r="1566" spans="1:39" x14ac:dyDescent="0.25">
      <c r="A1566" t="str">
        <f>"10295"</f>
        <v>10295</v>
      </c>
      <c r="B1566" t="str">
        <f>"CONECTOR 4 VIAS RELAY 70 AMPERES UNIVERSAL"</f>
        <v>CONECTOR 4 VIAS RELAY 70 AMPERES UNIVERSAL</v>
      </c>
      <c r="C1566" t="str">
        <f>"$ 3140,07"</f>
        <v>$ 3140,07</v>
      </c>
      <c r="D1566" t="str">
        <f>"$ 3140,07"</f>
        <v>$ 3140,07</v>
      </c>
      <c r="E1566" t="str">
        <f>"$ 3140,07"</f>
        <v>$ 3140,07</v>
      </c>
      <c r="F1566" t="str">
        <f>"$ 3140,07"</f>
        <v>$ 3140,07</v>
      </c>
      <c r="G1566" t="str">
        <f>"$ 3140,07"</f>
        <v>$ 3140,07</v>
      </c>
      <c r="H1566" t="str">
        <f t="shared" si="992"/>
        <v>$ 0,00</v>
      </c>
      <c r="I1566" t="str">
        <f t="shared" si="1013"/>
        <v>FICHA CONECTOR</v>
      </c>
      <c r="J1566" t="str">
        <f t="shared" si="993"/>
        <v>1</v>
      </c>
      <c r="K1566" t="str">
        <f t="shared" si="990"/>
        <v>0</v>
      </c>
      <c r="L1566" t="str">
        <f>"0,000"</f>
        <v>0,000</v>
      </c>
      <c r="M1566" t="str">
        <f t="shared" si="994"/>
        <v xml:space="preserve"> </v>
      </c>
      <c r="N1566" t="str">
        <f t="shared" si="1014"/>
        <v>AUTRONIC</v>
      </c>
      <c r="O1566" t="str">
        <f t="shared" si="1015"/>
        <v>CABLES</v>
      </c>
      <c r="P1566" t="str">
        <f t="shared" si="1018"/>
        <v>0</v>
      </c>
      <c r="Q1566" t="str">
        <f t="shared" si="1018"/>
        <v>0</v>
      </c>
      <c r="R1566" t="str">
        <f t="shared" si="1019"/>
        <v>0,00</v>
      </c>
      <c r="S1566" t="str">
        <f t="shared" si="1019"/>
        <v>0,00</v>
      </c>
      <c r="T1566" t="str">
        <f t="shared" si="1017"/>
        <v xml:space="preserve"> </v>
      </c>
      <c r="U1566" t="str">
        <f t="shared" si="1012"/>
        <v xml:space="preserve"> </v>
      </c>
      <c r="V1566" t="str">
        <f>"0,000"</f>
        <v>0,000</v>
      </c>
      <c r="W1566" t="str">
        <f t="shared" si="995"/>
        <v>Lista 4</v>
      </c>
      <c r="X1566" t="str">
        <f t="shared" si="996"/>
        <v>Lista 5</v>
      </c>
      <c r="Y1566" t="str">
        <f t="shared" si="997"/>
        <v>Oferta Gral.</v>
      </c>
      <c r="Z1566" t="str">
        <f t="shared" si="998"/>
        <v>Rubro</v>
      </c>
      <c r="AA1566" t="str">
        <f t="shared" si="999"/>
        <v>Cantidad por Bulto</v>
      </c>
      <c r="AB1566" t="str">
        <f t="shared" si="1000"/>
        <v>INNER</v>
      </c>
      <c r="AC1566" t="str">
        <f t="shared" si="1001"/>
        <v>Stock en Bultos</v>
      </c>
      <c r="AD1566" t="str">
        <f t="shared" si="1002"/>
        <v>SubDepósito</v>
      </c>
      <c r="AE1566" t="str">
        <f t="shared" si="1003"/>
        <v>Marca</v>
      </c>
      <c r="AF1566" t="str">
        <f t="shared" si="1004"/>
        <v>Super Rubro</v>
      </c>
      <c r="AG1566" t="str">
        <f t="shared" si="1005"/>
        <v>ComercioExterior</v>
      </c>
      <c r="AH1566" t="str">
        <f t="shared" si="1006"/>
        <v>PrecioFOB</v>
      </c>
      <c r="AI1566" t="str">
        <f t="shared" si="1007"/>
        <v>Monto II</v>
      </c>
      <c r="AJ1566" t="str">
        <f t="shared" si="1008"/>
        <v>Porcentaje II</v>
      </c>
      <c r="AK1566" t="str">
        <f t="shared" si="1009"/>
        <v>Foto</v>
      </c>
      <c r="AL1566" t="str">
        <f>"{\rtf1\ansi\ansicpg1252\deff0\deflang11274{\fonttbl{\f0\fnil\fcharset0 MS Sans Serif}} \viewkind4\uc1\pard\f0\fs16 CONECTOR 4 VIAS RELAY 70 AMPERES UNIVERSAL\par } "</f>
        <v xml:space="preserve">{\rtf1\ansi\ansicpg1252\deff0\deflang11274{\fonttbl{\f0\fnil\fcharset0 MS Sans Serif}} \viewkind4\uc1\pard\f0\fs16 CONECTOR 4 VIAS RELAY 70 AMPERES UNIVERSAL\par } </v>
      </c>
      <c r="AM1566" t="str">
        <f t="shared" si="1016"/>
        <v>-</v>
      </c>
    </row>
    <row r="1567" spans="1:39" x14ac:dyDescent="0.25">
      <c r="A1567" t="str">
        <f>"10428"</f>
        <v>10428</v>
      </c>
      <c r="B1567" t="str">
        <f>"CONECTOR 4 VIAS SENSOR MAP BOSCH"</f>
        <v>CONECTOR 4 VIAS SENSOR MAP BOSCH</v>
      </c>
      <c r="C1567" t="str">
        <f>"$ 4356,01"</f>
        <v>$ 4356,01</v>
      </c>
      <c r="D1567" t="str">
        <f>"$ 4356,01"</f>
        <v>$ 4356,01</v>
      </c>
      <c r="E1567" t="str">
        <f>"$ 4356,01"</f>
        <v>$ 4356,01</v>
      </c>
      <c r="F1567" t="str">
        <f>"$ 4356,01"</f>
        <v>$ 4356,01</v>
      </c>
      <c r="G1567" t="str">
        <f>"$ 4356,01"</f>
        <v>$ 4356,01</v>
      </c>
      <c r="H1567" t="str">
        <f t="shared" si="992"/>
        <v>$ 0,00</v>
      </c>
      <c r="I1567" t="str">
        <f t="shared" si="1013"/>
        <v>FICHA CONECTOR</v>
      </c>
      <c r="J1567" t="str">
        <f t="shared" si="993"/>
        <v>1</v>
      </c>
      <c r="K1567" t="str">
        <f t="shared" si="990"/>
        <v>0</v>
      </c>
      <c r="L1567" t="str">
        <f>"0,000"</f>
        <v>0,000</v>
      </c>
      <c r="M1567" t="str">
        <f t="shared" si="994"/>
        <v xml:space="preserve"> </v>
      </c>
      <c r="N1567" t="str">
        <f t="shared" si="1014"/>
        <v>AUTRONIC</v>
      </c>
      <c r="O1567" t="str">
        <f t="shared" si="1015"/>
        <v>CABLES</v>
      </c>
      <c r="P1567" t="str">
        <f t="shared" si="1018"/>
        <v>0</v>
      </c>
      <c r="Q1567" t="str">
        <f t="shared" si="1018"/>
        <v>0</v>
      </c>
      <c r="R1567" t="str">
        <f t="shared" si="1019"/>
        <v>0,00</v>
      </c>
      <c r="S1567" t="str">
        <f t="shared" si="1019"/>
        <v>0,00</v>
      </c>
      <c r="T1567" t="str">
        <f t="shared" si="1017"/>
        <v xml:space="preserve"> </v>
      </c>
      <c r="U1567" t="str">
        <f t="shared" si="1012"/>
        <v xml:space="preserve"> </v>
      </c>
      <c r="V1567" t="str">
        <f>"0,000"</f>
        <v>0,000</v>
      </c>
      <c r="W1567" t="str">
        <f t="shared" si="995"/>
        <v>Lista 4</v>
      </c>
      <c r="X1567" t="str">
        <f t="shared" si="996"/>
        <v>Lista 5</v>
      </c>
      <c r="Y1567" t="str">
        <f t="shared" si="997"/>
        <v>Oferta Gral.</v>
      </c>
      <c r="Z1567" t="str">
        <f t="shared" si="998"/>
        <v>Rubro</v>
      </c>
      <c r="AA1567" t="str">
        <f t="shared" si="999"/>
        <v>Cantidad por Bulto</v>
      </c>
      <c r="AB1567" t="str">
        <f t="shared" si="1000"/>
        <v>INNER</v>
      </c>
      <c r="AC1567" t="str">
        <f t="shared" si="1001"/>
        <v>Stock en Bultos</v>
      </c>
      <c r="AD1567" t="str">
        <f t="shared" si="1002"/>
        <v>SubDepósito</v>
      </c>
      <c r="AE1567" t="str">
        <f t="shared" si="1003"/>
        <v>Marca</v>
      </c>
      <c r="AF1567" t="str">
        <f t="shared" si="1004"/>
        <v>Super Rubro</v>
      </c>
      <c r="AG1567" t="str">
        <f t="shared" si="1005"/>
        <v>ComercioExterior</v>
      </c>
      <c r="AH1567" t="str">
        <f t="shared" si="1006"/>
        <v>PrecioFOB</v>
      </c>
      <c r="AI1567" t="str">
        <f t="shared" si="1007"/>
        <v>Monto II</v>
      </c>
      <c r="AJ1567" t="str">
        <f t="shared" si="1008"/>
        <v>Porcentaje II</v>
      </c>
      <c r="AK1567" t="str">
        <f t="shared" si="1009"/>
        <v>Foto</v>
      </c>
      <c r="AL1567" t="str">
        <f>"{\rtf1\ansi\ansicpg1252\deff0\deflang11274{\fonttbl{\f0\fnil\fcharset0 MS Sans Serif}} \viewkind4\uc1\pard\f0\fs16 CONECTOR 4 VIAS SENSOR MAP BOSCH\par } "</f>
        <v xml:space="preserve">{\rtf1\ansi\ansicpg1252\deff0\deflang11274{\fonttbl{\f0\fnil\fcharset0 MS Sans Serif}} \viewkind4\uc1\pard\f0\fs16 CONECTOR 4 VIAS SENSOR MAP BOSCH\par } </v>
      </c>
      <c r="AM1567" t="str">
        <f>" "</f>
        <v xml:space="preserve"> </v>
      </c>
    </row>
    <row r="1568" spans="1:39" x14ac:dyDescent="0.25">
      <c r="A1568" t="str">
        <f>"10287"</f>
        <v>10287</v>
      </c>
      <c r="B1568" t="str">
        <f>"CONECTOR 4 VIAS SENSOR TEMPERATURA AIRE GOL"</f>
        <v>CONECTOR 4 VIAS SENSOR TEMPERATURA AIRE GOL</v>
      </c>
      <c r="C1568" t="str">
        <f>"$ 5505,14"</f>
        <v>$ 5505,14</v>
      </c>
      <c r="D1568" t="str">
        <f>"$ 5505,14"</f>
        <v>$ 5505,14</v>
      </c>
      <c r="E1568" t="str">
        <f>"$ 5505,14"</f>
        <v>$ 5505,14</v>
      </c>
      <c r="F1568" t="str">
        <f>"$ 5505,14"</f>
        <v>$ 5505,14</v>
      </c>
      <c r="G1568" t="str">
        <f>"$ 5505,14"</f>
        <v>$ 5505,14</v>
      </c>
      <c r="H1568" t="str">
        <f t="shared" si="992"/>
        <v>$ 0,00</v>
      </c>
      <c r="I1568" t="str">
        <f t="shared" si="1013"/>
        <v>FICHA CONECTOR</v>
      </c>
      <c r="J1568" t="str">
        <f t="shared" si="993"/>
        <v>1</v>
      </c>
      <c r="K1568" t="str">
        <f t="shared" si="990"/>
        <v>0</v>
      </c>
      <c r="L1568" t="str">
        <f>"18,000"</f>
        <v>18,000</v>
      </c>
      <c r="M1568" t="str">
        <f t="shared" si="994"/>
        <v xml:space="preserve"> </v>
      </c>
      <c r="N1568" t="str">
        <f t="shared" si="1014"/>
        <v>AUTRONIC</v>
      </c>
      <c r="O1568" t="str">
        <f t="shared" si="1015"/>
        <v>CABLES</v>
      </c>
      <c r="P1568" t="str">
        <f t="shared" si="1018"/>
        <v>0</v>
      </c>
      <c r="Q1568" t="str">
        <f t="shared" si="1018"/>
        <v>0</v>
      </c>
      <c r="R1568" t="str">
        <f t="shared" si="1019"/>
        <v>0,00</v>
      </c>
      <c r="S1568" t="str">
        <f t="shared" si="1019"/>
        <v>0,00</v>
      </c>
      <c r="T1568" t="str">
        <f t="shared" si="1017"/>
        <v xml:space="preserve"> </v>
      </c>
      <c r="U1568" t="str">
        <f t="shared" si="1012"/>
        <v xml:space="preserve"> </v>
      </c>
      <c r="V1568" t="str">
        <f>"18,000"</f>
        <v>18,000</v>
      </c>
      <c r="W1568" t="str">
        <f t="shared" si="995"/>
        <v>Lista 4</v>
      </c>
      <c r="X1568" t="str">
        <f t="shared" si="996"/>
        <v>Lista 5</v>
      </c>
      <c r="Y1568" t="str">
        <f t="shared" si="997"/>
        <v>Oferta Gral.</v>
      </c>
      <c r="Z1568" t="str">
        <f t="shared" si="998"/>
        <v>Rubro</v>
      </c>
      <c r="AA1568" t="str">
        <f t="shared" si="999"/>
        <v>Cantidad por Bulto</v>
      </c>
      <c r="AB1568" t="str">
        <f t="shared" si="1000"/>
        <v>INNER</v>
      </c>
      <c r="AC1568" t="str">
        <f t="shared" si="1001"/>
        <v>Stock en Bultos</v>
      </c>
      <c r="AD1568" t="str">
        <f t="shared" si="1002"/>
        <v>SubDepósito</v>
      </c>
      <c r="AE1568" t="str">
        <f t="shared" si="1003"/>
        <v>Marca</v>
      </c>
      <c r="AF1568" t="str">
        <f t="shared" si="1004"/>
        <v>Super Rubro</v>
      </c>
      <c r="AG1568" t="str">
        <f t="shared" si="1005"/>
        <v>ComercioExterior</v>
      </c>
      <c r="AH1568" t="str">
        <f t="shared" si="1006"/>
        <v>PrecioFOB</v>
      </c>
      <c r="AI1568" t="str">
        <f t="shared" si="1007"/>
        <v>Monto II</v>
      </c>
      <c r="AJ1568" t="str">
        <f t="shared" si="1008"/>
        <v>Porcentaje II</v>
      </c>
      <c r="AK1568" t="str">
        <f t="shared" si="1009"/>
        <v>Foto</v>
      </c>
      <c r="AL1568" t="str">
        <f>"{\rtf1\ansi\ansicpg1252\deff0\deflang11274{\fonttbl{\f0\fnil\fcharset0 MS Sans Serif}} \viewkind4\uc1\pard\f0\fs16 CONECTOR 4 VIAS SENSOR TEMPERATURA AIRE GOL\par } "</f>
        <v xml:space="preserve">{\rtf1\ansi\ansicpg1252\deff0\deflang11274{\fonttbl{\f0\fnil\fcharset0 MS Sans Serif}} \viewkind4\uc1\pard\f0\fs16 CONECTOR 4 VIAS SENSOR TEMPERATURA AIRE GOL\par } </v>
      </c>
      <c r="AM1568" t="str">
        <f t="shared" ref="AM1568:AM1596" si="1020">"-"</f>
        <v>-</v>
      </c>
    </row>
    <row r="1569" spans="1:39" x14ac:dyDescent="0.25">
      <c r="A1569" t="str">
        <f>"10387"</f>
        <v>10387</v>
      </c>
      <c r="B1569" t="str">
        <f>"CONECTOR 4 VIAS SONDA LAMBDA VW"</f>
        <v>CONECTOR 4 VIAS SONDA LAMBDA VW</v>
      </c>
      <c r="C1569" t="str">
        <f>"$ 7055,14"</f>
        <v>$ 7055,14</v>
      </c>
      <c r="D1569" t="str">
        <f>"$ 7055,14"</f>
        <v>$ 7055,14</v>
      </c>
      <c r="E1569" t="str">
        <f>"$ 7055,14"</f>
        <v>$ 7055,14</v>
      </c>
      <c r="F1569" t="str">
        <f>"$ 7055,14"</f>
        <v>$ 7055,14</v>
      </c>
      <c r="G1569" t="str">
        <f>"$ 7055,14"</f>
        <v>$ 7055,14</v>
      </c>
      <c r="H1569" t="str">
        <f t="shared" si="992"/>
        <v>$ 0,00</v>
      </c>
      <c r="I1569" t="str">
        <f t="shared" si="1013"/>
        <v>FICHA CONECTOR</v>
      </c>
      <c r="J1569" t="str">
        <f t="shared" si="993"/>
        <v>1</v>
      </c>
      <c r="K1569" t="str">
        <f t="shared" si="990"/>
        <v>0</v>
      </c>
      <c r="L1569" t="str">
        <f>"14,000"</f>
        <v>14,000</v>
      </c>
      <c r="M1569" t="str">
        <f t="shared" si="994"/>
        <v xml:space="preserve"> </v>
      </c>
      <c r="N1569" t="str">
        <f t="shared" si="1014"/>
        <v>AUTRONIC</v>
      </c>
      <c r="O1569" t="str">
        <f t="shared" si="1015"/>
        <v>CABLES</v>
      </c>
      <c r="P1569" t="str">
        <f t="shared" si="1018"/>
        <v>0</v>
      </c>
      <c r="Q1569" t="str">
        <f t="shared" si="1018"/>
        <v>0</v>
      </c>
      <c r="R1569" t="str">
        <f t="shared" si="1019"/>
        <v>0,00</v>
      </c>
      <c r="S1569" t="str">
        <f t="shared" si="1019"/>
        <v>0,00</v>
      </c>
      <c r="T1569" t="str">
        <f t="shared" si="1017"/>
        <v xml:space="preserve"> </v>
      </c>
      <c r="U1569" t="str">
        <f t="shared" si="1012"/>
        <v xml:space="preserve"> </v>
      </c>
      <c r="V1569" t="str">
        <f>"14,000"</f>
        <v>14,000</v>
      </c>
      <c r="W1569" t="str">
        <f t="shared" si="995"/>
        <v>Lista 4</v>
      </c>
      <c r="X1569" t="str">
        <f t="shared" si="996"/>
        <v>Lista 5</v>
      </c>
      <c r="Y1569" t="str">
        <f t="shared" si="997"/>
        <v>Oferta Gral.</v>
      </c>
      <c r="Z1569" t="str">
        <f t="shared" si="998"/>
        <v>Rubro</v>
      </c>
      <c r="AA1569" t="str">
        <f t="shared" si="999"/>
        <v>Cantidad por Bulto</v>
      </c>
      <c r="AB1569" t="str">
        <f t="shared" si="1000"/>
        <v>INNER</v>
      </c>
      <c r="AC1569" t="str">
        <f t="shared" si="1001"/>
        <v>Stock en Bultos</v>
      </c>
      <c r="AD1569" t="str">
        <f t="shared" si="1002"/>
        <v>SubDepósito</v>
      </c>
      <c r="AE1569" t="str">
        <f t="shared" si="1003"/>
        <v>Marca</v>
      </c>
      <c r="AF1569" t="str">
        <f t="shared" si="1004"/>
        <v>Super Rubro</v>
      </c>
      <c r="AG1569" t="str">
        <f t="shared" si="1005"/>
        <v>ComercioExterior</v>
      </c>
      <c r="AH1569" t="str">
        <f t="shared" si="1006"/>
        <v>PrecioFOB</v>
      </c>
      <c r="AI1569" t="str">
        <f t="shared" si="1007"/>
        <v>Monto II</v>
      </c>
      <c r="AJ1569" t="str">
        <f t="shared" si="1008"/>
        <v>Porcentaje II</v>
      </c>
      <c r="AK1569" t="str">
        <f t="shared" si="1009"/>
        <v>Foto</v>
      </c>
      <c r="AL1569" t="str">
        <f>"{\rtf1\ansi\ansicpg1252\deff0\deflang11274{\fonttbl{\f0\fnil\fcharset0 MS Sans Serif}} \viewkind4\uc1\pard\f0\fs16 CONECTOR 4 VIAS SONDA LAMBDA VW\par } "</f>
        <v xml:space="preserve">{\rtf1\ansi\ansicpg1252\deff0\deflang11274{\fonttbl{\f0\fnil\fcharset0 MS Sans Serif}} \viewkind4\uc1\pard\f0\fs16 CONECTOR 4 VIAS SONDA LAMBDA VW\par } </v>
      </c>
      <c r="AM1569" t="str">
        <f t="shared" si="1020"/>
        <v>-</v>
      </c>
    </row>
    <row r="1570" spans="1:39" x14ac:dyDescent="0.25">
      <c r="A1570" t="str">
        <f>"10170"</f>
        <v>10170</v>
      </c>
      <c r="B1570" t="str">
        <f>"CONECTOR 4 VÍAS FARO DELANTERO – VW – POLO"</f>
        <v>CONECTOR 4 VÍAS FARO DELANTERO – VW – POLO</v>
      </c>
      <c r="C1570" t="str">
        <f>"$ 10555,98"</f>
        <v>$ 10555,98</v>
      </c>
      <c r="D1570" t="str">
        <f>"$ 10555,98"</f>
        <v>$ 10555,98</v>
      </c>
      <c r="E1570" t="str">
        <f>"$ 10555,98"</f>
        <v>$ 10555,98</v>
      </c>
      <c r="F1570" t="str">
        <f>"$ 10555,98"</f>
        <v>$ 10555,98</v>
      </c>
      <c r="G1570" t="str">
        <f>"$ 10555,98"</f>
        <v>$ 10555,98</v>
      </c>
      <c r="H1570" t="str">
        <f t="shared" si="992"/>
        <v>$ 0,00</v>
      </c>
      <c r="I1570" t="str">
        <f t="shared" si="1013"/>
        <v>FICHA CONECTOR</v>
      </c>
      <c r="J1570" t="str">
        <f t="shared" si="993"/>
        <v>1</v>
      </c>
      <c r="K1570" t="str">
        <f t="shared" si="990"/>
        <v>0</v>
      </c>
      <c r="L1570" t="str">
        <f>"6,000"</f>
        <v>6,000</v>
      </c>
      <c r="M1570" t="str">
        <f t="shared" si="994"/>
        <v xml:space="preserve"> </v>
      </c>
      <c r="N1570" t="str">
        <f t="shared" si="1014"/>
        <v>AUTRONIC</v>
      </c>
      <c r="O1570" t="str">
        <f t="shared" si="1015"/>
        <v>CABLES</v>
      </c>
      <c r="P1570" t="str">
        <f t="shared" si="1018"/>
        <v>0</v>
      </c>
      <c r="Q1570" t="str">
        <f t="shared" si="1018"/>
        <v>0</v>
      </c>
      <c r="R1570" t="str">
        <f t="shared" si="1019"/>
        <v>0,00</v>
      </c>
      <c r="S1570" t="str">
        <f t="shared" si="1019"/>
        <v>0,00</v>
      </c>
      <c r="T1570" t="str">
        <f t="shared" si="1017"/>
        <v xml:space="preserve"> </v>
      </c>
      <c r="U1570" t="str">
        <f t="shared" si="1012"/>
        <v xml:space="preserve"> </v>
      </c>
      <c r="V1570" t="str">
        <f>"6,000"</f>
        <v>6,000</v>
      </c>
      <c r="W1570" t="str">
        <f t="shared" si="995"/>
        <v>Lista 4</v>
      </c>
      <c r="X1570" t="str">
        <f t="shared" si="996"/>
        <v>Lista 5</v>
      </c>
      <c r="Y1570" t="str">
        <f t="shared" si="997"/>
        <v>Oferta Gral.</v>
      </c>
      <c r="Z1570" t="str">
        <f t="shared" si="998"/>
        <v>Rubro</v>
      </c>
      <c r="AA1570" t="str">
        <f t="shared" si="999"/>
        <v>Cantidad por Bulto</v>
      </c>
      <c r="AB1570" t="str">
        <f t="shared" si="1000"/>
        <v>INNER</v>
      </c>
      <c r="AC1570" t="str">
        <f t="shared" si="1001"/>
        <v>Stock en Bultos</v>
      </c>
      <c r="AD1570" t="str">
        <f t="shared" si="1002"/>
        <v>SubDepósito</v>
      </c>
      <c r="AE1570" t="str">
        <f t="shared" si="1003"/>
        <v>Marca</v>
      </c>
      <c r="AF1570" t="str">
        <f t="shared" si="1004"/>
        <v>Super Rubro</v>
      </c>
      <c r="AG1570" t="str">
        <f t="shared" si="1005"/>
        <v>ComercioExterior</v>
      </c>
      <c r="AH1570" t="str">
        <f t="shared" si="1006"/>
        <v>PrecioFOB</v>
      </c>
      <c r="AI1570" t="str">
        <f t="shared" si="1007"/>
        <v>Monto II</v>
      </c>
      <c r="AJ1570" t="str">
        <f t="shared" si="1008"/>
        <v>Porcentaje II</v>
      </c>
      <c r="AK1570" t="str">
        <f t="shared" si="1009"/>
        <v>Foto</v>
      </c>
      <c r="AL1570" t="str">
        <f>"{\rtf1\ansi\ansicpg1252\deff0\deflang11274{\fonttbl{\f0\fnil\fcharset0 MS Sans Serif}} \viewkind4\uc1\pard\f0\fs16 CONECTOR 4 V\'cdAS FARO DELANTERO \endash  VW \endash  POLO\par } "</f>
        <v xml:space="preserve">{\rtf1\ansi\ansicpg1252\deff0\deflang11274{\fonttbl{\f0\fnil\fcharset0 MS Sans Serif}} \viewkind4\uc1\pard\f0\fs16 CONECTOR 4 V\'cdAS FARO DELANTERO \endash  VW \endash  POLO\par } </v>
      </c>
      <c r="AM1570" t="str">
        <f t="shared" si="1020"/>
        <v>-</v>
      </c>
    </row>
    <row r="1571" spans="1:39" x14ac:dyDescent="0.25">
      <c r="A1571" t="str">
        <f>"10110"</f>
        <v>10110</v>
      </c>
      <c r="B1571" t="str">
        <f>"CONECTOR 4 VÍAS HEMBRA– PORTA MACHO T:  6.35 MM.- UNIVERSAL"</f>
        <v>CONECTOR 4 VÍAS HEMBRA– PORTA MACHO T:  6.35 MM.- UNIVERSAL</v>
      </c>
      <c r="C1571" t="str">
        <f>"$ 1803,87"</f>
        <v>$ 1803,87</v>
      </c>
      <c r="D1571" t="str">
        <f>"$ 1803,87"</f>
        <v>$ 1803,87</v>
      </c>
      <c r="E1571" t="str">
        <f>"$ 1803,87"</f>
        <v>$ 1803,87</v>
      </c>
      <c r="F1571" t="str">
        <f>"$ 1803,87"</f>
        <v>$ 1803,87</v>
      </c>
      <c r="G1571" t="str">
        <f>"$ 1803,87"</f>
        <v>$ 1803,87</v>
      </c>
      <c r="H1571" t="str">
        <f t="shared" si="992"/>
        <v>$ 0,00</v>
      </c>
      <c r="I1571" t="str">
        <f t="shared" si="1013"/>
        <v>FICHA CONECTOR</v>
      </c>
      <c r="J1571" t="str">
        <f t="shared" si="993"/>
        <v>1</v>
      </c>
      <c r="K1571" t="str">
        <f t="shared" si="990"/>
        <v>0</v>
      </c>
      <c r="L1571" t="str">
        <f>"20,000"</f>
        <v>20,000</v>
      </c>
      <c r="M1571" t="str">
        <f t="shared" si="994"/>
        <v xml:space="preserve"> </v>
      </c>
      <c r="N1571" t="str">
        <f t="shared" si="1014"/>
        <v>AUTRONIC</v>
      </c>
      <c r="O1571" t="str">
        <f t="shared" si="1015"/>
        <v>CABLES</v>
      </c>
      <c r="P1571" t="str">
        <f t="shared" si="1018"/>
        <v>0</v>
      </c>
      <c r="Q1571" t="str">
        <f t="shared" si="1018"/>
        <v>0</v>
      </c>
      <c r="R1571" t="str">
        <f t="shared" si="1019"/>
        <v>0,00</v>
      </c>
      <c r="S1571" t="str">
        <f t="shared" si="1019"/>
        <v>0,00</v>
      </c>
      <c r="T1571" t="str">
        <f t="shared" si="1017"/>
        <v xml:space="preserve"> </v>
      </c>
      <c r="U1571" t="str">
        <f t="shared" si="1012"/>
        <v xml:space="preserve"> </v>
      </c>
      <c r="V1571" t="str">
        <f>"20,000"</f>
        <v>20,000</v>
      </c>
      <c r="W1571" t="str">
        <f t="shared" si="995"/>
        <v>Lista 4</v>
      </c>
      <c r="X1571" t="str">
        <f t="shared" si="996"/>
        <v>Lista 5</v>
      </c>
      <c r="Y1571" t="str">
        <f t="shared" si="997"/>
        <v>Oferta Gral.</v>
      </c>
      <c r="Z1571" t="str">
        <f t="shared" si="998"/>
        <v>Rubro</v>
      </c>
      <c r="AA1571" t="str">
        <f t="shared" si="999"/>
        <v>Cantidad por Bulto</v>
      </c>
      <c r="AB1571" t="str">
        <f t="shared" si="1000"/>
        <v>INNER</v>
      </c>
      <c r="AC1571" t="str">
        <f t="shared" si="1001"/>
        <v>Stock en Bultos</v>
      </c>
      <c r="AD1571" t="str">
        <f t="shared" si="1002"/>
        <v>SubDepósito</v>
      </c>
      <c r="AE1571" t="str">
        <f t="shared" si="1003"/>
        <v>Marca</v>
      </c>
      <c r="AF1571" t="str">
        <f t="shared" si="1004"/>
        <v>Super Rubro</v>
      </c>
      <c r="AG1571" t="str">
        <f t="shared" si="1005"/>
        <v>ComercioExterior</v>
      </c>
      <c r="AH1571" t="str">
        <f t="shared" si="1006"/>
        <v>PrecioFOB</v>
      </c>
      <c r="AI1571" t="str">
        <f t="shared" si="1007"/>
        <v>Monto II</v>
      </c>
      <c r="AJ1571" t="str">
        <f t="shared" si="1008"/>
        <v>Porcentaje II</v>
      </c>
      <c r="AK1571" t="str">
        <f t="shared" si="1009"/>
        <v>Foto</v>
      </c>
      <c r="AL1571" t="str">
        <f>"{\rtf1\ansi\ansicpg1252\deff0\deflang11274{\fonttbl{\f0\fnil\fcharset0 MS Sans Serif}} \viewkind4\uc1\pard\f0\fs16 CONECTOR 4 V\'cdAS HEMBRA\endash  PORTA MACHO T:  6.35 MM.- UNIVERSAL\par } "</f>
        <v xml:space="preserve">{\rtf1\ansi\ansicpg1252\deff0\deflang11274{\fonttbl{\f0\fnil\fcharset0 MS Sans Serif}} \viewkind4\uc1\pard\f0\fs16 CONECTOR 4 V\'cdAS HEMBRA\endash  PORTA MACHO T:  6.35 MM.- UNIVERSAL\par } </v>
      </c>
      <c r="AM1571" t="str">
        <f t="shared" si="1020"/>
        <v>-</v>
      </c>
    </row>
    <row r="1572" spans="1:39" x14ac:dyDescent="0.25">
      <c r="A1572" t="str">
        <f>"10171"</f>
        <v>10171</v>
      </c>
      <c r="B1572" t="str">
        <f>"CONECTOR 4 VÍAS LLAVE DE CONTACTO – FIAT DUNA – UNO"</f>
        <v>CONECTOR 4 VÍAS LLAVE DE CONTACTO – FIAT DUNA – UNO</v>
      </c>
      <c r="C1572" t="str">
        <f>"$ 2338,35"</f>
        <v>$ 2338,35</v>
      </c>
      <c r="D1572" t="str">
        <f>"$ 2338,35"</f>
        <v>$ 2338,35</v>
      </c>
      <c r="E1572" t="str">
        <f>"$ 2338,35"</f>
        <v>$ 2338,35</v>
      </c>
      <c r="F1572" t="str">
        <f>"$ 2338,35"</f>
        <v>$ 2338,35</v>
      </c>
      <c r="G1572" t="str">
        <f>"$ 2338,35"</f>
        <v>$ 2338,35</v>
      </c>
      <c r="H1572" t="str">
        <f t="shared" si="992"/>
        <v>$ 0,00</v>
      </c>
      <c r="I1572" t="str">
        <f t="shared" si="1013"/>
        <v>FICHA CONECTOR</v>
      </c>
      <c r="J1572" t="str">
        <f t="shared" si="993"/>
        <v>1</v>
      </c>
      <c r="K1572" t="str">
        <f t="shared" si="990"/>
        <v>0</v>
      </c>
      <c r="L1572" t="str">
        <f>"0,000"</f>
        <v>0,000</v>
      </c>
      <c r="M1572" t="str">
        <f t="shared" si="994"/>
        <v xml:space="preserve"> </v>
      </c>
      <c r="N1572" t="str">
        <f t="shared" si="1014"/>
        <v>AUTRONIC</v>
      </c>
      <c r="O1572" t="str">
        <f t="shared" si="1015"/>
        <v>CABLES</v>
      </c>
      <c r="P1572" t="str">
        <f t="shared" si="1018"/>
        <v>0</v>
      </c>
      <c r="Q1572" t="str">
        <f t="shared" si="1018"/>
        <v>0</v>
      </c>
      <c r="R1572" t="str">
        <f t="shared" si="1019"/>
        <v>0,00</v>
      </c>
      <c r="S1572" t="str">
        <f t="shared" si="1019"/>
        <v>0,00</v>
      </c>
      <c r="T1572" t="str">
        <f t="shared" si="1017"/>
        <v xml:space="preserve"> </v>
      </c>
      <c r="U1572" t="str">
        <f t="shared" si="1012"/>
        <v xml:space="preserve"> </v>
      </c>
      <c r="V1572" t="str">
        <f>"0,000"</f>
        <v>0,000</v>
      </c>
      <c r="W1572" t="str">
        <f t="shared" si="995"/>
        <v>Lista 4</v>
      </c>
      <c r="X1572" t="str">
        <f t="shared" si="996"/>
        <v>Lista 5</v>
      </c>
      <c r="Y1572" t="str">
        <f t="shared" si="997"/>
        <v>Oferta Gral.</v>
      </c>
      <c r="Z1572" t="str">
        <f t="shared" si="998"/>
        <v>Rubro</v>
      </c>
      <c r="AA1572" t="str">
        <f t="shared" si="999"/>
        <v>Cantidad por Bulto</v>
      </c>
      <c r="AB1572" t="str">
        <f t="shared" si="1000"/>
        <v>INNER</v>
      </c>
      <c r="AC1572" t="str">
        <f t="shared" si="1001"/>
        <v>Stock en Bultos</v>
      </c>
      <c r="AD1572" t="str">
        <f t="shared" si="1002"/>
        <v>SubDepósito</v>
      </c>
      <c r="AE1572" t="str">
        <f t="shared" si="1003"/>
        <v>Marca</v>
      </c>
      <c r="AF1572" t="str">
        <f t="shared" si="1004"/>
        <v>Super Rubro</v>
      </c>
      <c r="AG1572" t="str">
        <f t="shared" si="1005"/>
        <v>ComercioExterior</v>
      </c>
      <c r="AH1572" t="str">
        <f t="shared" si="1006"/>
        <v>PrecioFOB</v>
      </c>
      <c r="AI1572" t="str">
        <f t="shared" si="1007"/>
        <v>Monto II</v>
      </c>
      <c r="AJ1572" t="str">
        <f t="shared" si="1008"/>
        <v>Porcentaje II</v>
      </c>
      <c r="AK1572" t="str">
        <f t="shared" si="1009"/>
        <v>Foto</v>
      </c>
      <c r="AL1572" t="str">
        <f>"{\rtf1\ansi\ansicpg1252\deff0\deflang11274{\fonttbl{\f0\fnil\fcharset0 MS Sans Serif}} \viewkind4\uc1\pard\f0\fs16 CONECTOR 4 V\'cdAS LLAVE DE CONTACTO \endash  FIAT DUNA \endash  UNO\par } "</f>
        <v xml:space="preserve">{\rtf1\ansi\ansicpg1252\deff0\deflang11274{\fonttbl{\f0\fnil\fcharset0 MS Sans Serif}} \viewkind4\uc1\pard\f0\fs16 CONECTOR 4 V\'cdAS LLAVE DE CONTACTO \endash  FIAT DUNA \endash  UNO\par } </v>
      </c>
      <c r="AM1572" t="str">
        <f t="shared" si="1020"/>
        <v>-</v>
      </c>
    </row>
    <row r="1573" spans="1:39" x14ac:dyDescent="0.25">
      <c r="A1573" t="str">
        <f>"10109"</f>
        <v>10109</v>
      </c>
      <c r="B1573" t="str">
        <f>"CONECTOR 4 VÍAS MACHO – PORTA HEMBRA T:  6.35 MM.- UNIVERSAL"</f>
        <v>CONECTOR 4 VÍAS MACHO – PORTA HEMBRA T:  6.35 MM.- UNIVERSAL</v>
      </c>
      <c r="C1573" t="str">
        <f>"$ 1663,57"</f>
        <v>$ 1663,57</v>
      </c>
      <c r="D1573" t="str">
        <f>"$ 1663,57"</f>
        <v>$ 1663,57</v>
      </c>
      <c r="E1573" t="str">
        <f>"$ 1663,57"</f>
        <v>$ 1663,57</v>
      </c>
      <c r="F1573" t="str">
        <f>"$ 1663,57"</f>
        <v>$ 1663,57</v>
      </c>
      <c r="G1573" t="str">
        <f>"$ 1663,57"</f>
        <v>$ 1663,57</v>
      </c>
      <c r="H1573" t="str">
        <f t="shared" si="992"/>
        <v>$ 0,00</v>
      </c>
      <c r="I1573" t="str">
        <f t="shared" si="1013"/>
        <v>FICHA CONECTOR</v>
      </c>
      <c r="J1573" t="str">
        <f t="shared" si="993"/>
        <v>1</v>
      </c>
      <c r="K1573" t="str">
        <f t="shared" si="990"/>
        <v>0</v>
      </c>
      <c r="L1573" t="str">
        <f>"18,000"</f>
        <v>18,000</v>
      </c>
      <c r="M1573" t="str">
        <f t="shared" si="994"/>
        <v xml:space="preserve"> </v>
      </c>
      <c r="N1573" t="str">
        <f t="shared" si="1014"/>
        <v>AUTRONIC</v>
      </c>
      <c r="O1573" t="str">
        <f t="shared" si="1015"/>
        <v>CABLES</v>
      </c>
      <c r="P1573" t="str">
        <f t="shared" si="1018"/>
        <v>0</v>
      </c>
      <c r="Q1573" t="str">
        <f t="shared" si="1018"/>
        <v>0</v>
      </c>
      <c r="R1573" t="str">
        <f t="shared" si="1019"/>
        <v>0,00</v>
      </c>
      <c r="S1573" t="str">
        <f t="shared" si="1019"/>
        <v>0,00</v>
      </c>
      <c r="T1573" t="str">
        <f t="shared" si="1017"/>
        <v xml:space="preserve"> </v>
      </c>
      <c r="U1573" t="str">
        <f t="shared" si="1012"/>
        <v xml:space="preserve"> </v>
      </c>
      <c r="V1573" t="str">
        <f>"18,000"</f>
        <v>18,000</v>
      </c>
      <c r="W1573" t="str">
        <f t="shared" si="995"/>
        <v>Lista 4</v>
      </c>
      <c r="X1573" t="str">
        <f t="shared" si="996"/>
        <v>Lista 5</v>
      </c>
      <c r="Y1573" t="str">
        <f t="shared" si="997"/>
        <v>Oferta Gral.</v>
      </c>
      <c r="Z1573" t="str">
        <f t="shared" si="998"/>
        <v>Rubro</v>
      </c>
      <c r="AA1573" t="str">
        <f t="shared" si="999"/>
        <v>Cantidad por Bulto</v>
      </c>
      <c r="AB1573" t="str">
        <f t="shared" si="1000"/>
        <v>INNER</v>
      </c>
      <c r="AC1573" t="str">
        <f t="shared" si="1001"/>
        <v>Stock en Bultos</v>
      </c>
      <c r="AD1573" t="str">
        <f t="shared" si="1002"/>
        <v>SubDepósito</v>
      </c>
      <c r="AE1573" t="str">
        <f t="shared" si="1003"/>
        <v>Marca</v>
      </c>
      <c r="AF1573" t="str">
        <f t="shared" si="1004"/>
        <v>Super Rubro</v>
      </c>
      <c r="AG1573" t="str">
        <f t="shared" si="1005"/>
        <v>ComercioExterior</v>
      </c>
      <c r="AH1573" t="str">
        <f t="shared" si="1006"/>
        <v>PrecioFOB</v>
      </c>
      <c r="AI1573" t="str">
        <f t="shared" si="1007"/>
        <v>Monto II</v>
      </c>
      <c r="AJ1573" t="str">
        <f t="shared" si="1008"/>
        <v>Porcentaje II</v>
      </c>
      <c r="AK1573" t="str">
        <f t="shared" si="1009"/>
        <v>Foto</v>
      </c>
      <c r="AL1573" t="str">
        <f>"{\rtf1\ansi\ansicpg1252\deff0\deflang11274{\fonttbl{\f0\fnil\fcharset0 MS Sans Serif}} \viewkind4\uc1\pard\f0\fs16 CONECTOR 4 V\'cdAS MACHO \endash  PORTA HEMBRA T:  6.35 MM.- UNIVERSAL\par } "</f>
        <v xml:space="preserve">{\rtf1\ansi\ansicpg1252\deff0\deflang11274{\fonttbl{\f0\fnil\fcharset0 MS Sans Serif}} \viewkind4\uc1\pard\f0\fs16 CONECTOR 4 V\'cdAS MACHO \endash  PORTA HEMBRA T:  6.35 MM.- UNIVERSAL\par } </v>
      </c>
      <c r="AM1573" t="str">
        <f t="shared" si="1020"/>
        <v>-</v>
      </c>
    </row>
    <row r="1574" spans="1:39" x14ac:dyDescent="0.25">
      <c r="A1574" t="str">
        <f>"10175"</f>
        <v>10175</v>
      </c>
      <c r="B1574" t="str">
        <f>"CONECTOR 4 VÍAS MOTOR ELECTROVENTILADOR – VW – POLO"</f>
        <v>CONECTOR 4 VÍAS MOTOR ELECTROVENTILADOR – VW – POLO</v>
      </c>
      <c r="C1574" t="str">
        <f>"$ 18305,94"</f>
        <v>$ 18305,94</v>
      </c>
      <c r="D1574" t="str">
        <f>"$ 18305,94"</f>
        <v>$ 18305,94</v>
      </c>
      <c r="E1574" t="str">
        <f>"$ 18305,94"</f>
        <v>$ 18305,94</v>
      </c>
      <c r="F1574" t="str">
        <f>"$ 18305,94"</f>
        <v>$ 18305,94</v>
      </c>
      <c r="G1574" t="str">
        <f>"$ 18305,94"</f>
        <v>$ 18305,94</v>
      </c>
      <c r="H1574" t="str">
        <f t="shared" si="992"/>
        <v>$ 0,00</v>
      </c>
      <c r="I1574" t="str">
        <f t="shared" si="1013"/>
        <v>FICHA CONECTOR</v>
      </c>
      <c r="J1574" t="str">
        <f t="shared" si="993"/>
        <v>1</v>
      </c>
      <c r="K1574" t="str">
        <f t="shared" si="990"/>
        <v>0</v>
      </c>
      <c r="L1574" t="str">
        <f>"0,000"</f>
        <v>0,000</v>
      </c>
      <c r="M1574" t="str">
        <f t="shared" si="994"/>
        <v xml:space="preserve"> </v>
      </c>
      <c r="N1574" t="str">
        <f t="shared" si="1014"/>
        <v>AUTRONIC</v>
      </c>
      <c r="O1574" t="str">
        <f t="shared" si="1015"/>
        <v>CABLES</v>
      </c>
      <c r="P1574" t="str">
        <f t="shared" si="1018"/>
        <v>0</v>
      </c>
      <c r="Q1574" t="str">
        <f t="shared" si="1018"/>
        <v>0</v>
      </c>
      <c r="R1574" t="str">
        <f t="shared" si="1019"/>
        <v>0,00</v>
      </c>
      <c r="S1574" t="str">
        <f t="shared" si="1019"/>
        <v>0,00</v>
      </c>
      <c r="T1574" t="str">
        <f t="shared" si="1017"/>
        <v xml:space="preserve"> </v>
      </c>
      <c r="U1574" t="str">
        <f t="shared" si="1012"/>
        <v xml:space="preserve"> </v>
      </c>
      <c r="V1574" t="str">
        <f>"0,000"</f>
        <v>0,000</v>
      </c>
      <c r="W1574" t="str">
        <f t="shared" si="995"/>
        <v>Lista 4</v>
      </c>
      <c r="X1574" t="str">
        <f t="shared" si="996"/>
        <v>Lista 5</v>
      </c>
      <c r="Y1574" t="str">
        <f t="shared" si="997"/>
        <v>Oferta Gral.</v>
      </c>
      <c r="Z1574" t="str">
        <f t="shared" si="998"/>
        <v>Rubro</v>
      </c>
      <c r="AA1574" t="str">
        <f t="shared" si="999"/>
        <v>Cantidad por Bulto</v>
      </c>
      <c r="AB1574" t="str">
        <f t="shared" si="1000"/>
        <v>INNER</v>
      </c>
      <c r="AC1574" t="str">
        <f t="shared" si="1001"/>
        <v>Stock en Bultos</v>
      </c>
      <c r="AD1574" t="str">
        <f t="shared" si="1002"/>
        <v>SubDepósito</v>
      </c>
      <c r="AE1574" t="str">
        <f t="shared" si="1003"/>
        <v>Marca</v>
      </c>
      <c r="AF1574" t="str">
        <f t="shared" si="1004"/>
        <v>Super Rubro</v>
      </c>
      <c r="AG1574" t="str">
        <f t="shared" si="1005"/>
        <v>ComercioExterior</v>
      </c>
      <c r="AH1574" t="str">
        <f t="shared" si="1006"/>
        <v>PrecioFOB</v>
      </c>
      <c r="AI1574" t="str">
        <f t="shared" si="1007"/>
        <v>Monto II</v>
      </c>
      <c r="AJ1574" t="str">
        <f t="shared" si="1008"/>
        <v>Porcentaje II</v>
      </c>
      <c r="AK1574" t="str">
        <f t="shared" si="1009"/>
        <v>Foto</v>
      </c>
      <c r="AL1574" t="str">
        <f>"{\rtf1\ansi\ansicpg1252\deff0\deflang11274{\fonttbl{\f0\fnil\fcharset0 MS Sans Serif}} \viewkind4\uc1\pard\f0\fs16 CONECTOR 4 V\'cdAS MOTOR ELECTROVENTILADOR \endash  VW \endash  POLO\par } "</f>
        <v xml:space="preserve">{\rtf1\ansi\ansicpg1252\deff0\deflang11274{\fonttbl{\f0\fnil\fcharset0 MS Sans Serif}} \viewkind4\uc1\pard\f0\fs16 CONECTOR 4 V\'cdAS MOTOR ELECTROVENTILADOR \endash  VW \endash  POLO\par } </v>
      </c>
      <c r="AM1574" t="str">
        <f t="shared" si="1020"/>
        <v>-</v>
      </c>
    </row>
    <row r="1575" spans="1:39" x14ac:dyDescent="0.25">
      <c r="A1575" t="str">
        <f>"10111"</f>
        <v>10111</v>
      </c>
      <c r="B1575" t="str">
        <f>"CONECTOR 4 VÍAS PLANA – REGULADOR DE VOLTAJE - FORD"</f>
        <v>CONECTOR 4 VÍAS PLANA – REGULADOR DE VOLTAJE - FORD</v>
      </c>
      <c r="C1575" t="str">
        <f>"$ 2137,92"</f>
        <v>$ 2137,92</v>
      </c>
      <c r="D1575" t="str">
        <f>"$ 2137,92"</f>
        <v>$ 2137,92</v>
      </c>
      <c r="E1575" t="str">
        <f>"$ 2137,92"</f>
        <v>$ 2137,92</v>
      </c>
      <c r="F1575" t="str">
        <f>"$ 2137,92"</f>
        <v>$ 2137,92</v>
      </c>
      <c r="G1575" t="str">
        <f>"$ 2137,92"</f>
        <v>$ 2137,92</v>
      </c>
      <c r="H1575" t="str">
        <f t="shared" si="992"/>
        <v>$ 0,00</v>
      </c>
      <c r="I1575" t="str">
        <f t="shared" si="1013"/>
        <v>FICHA CONECTOR</v>
      </c>
      <c r="J1575" t="str">
        <f t="shared" si="993"/>
        <v>1</v>
      </c>
      <c r="K1575" t="str">
        <f t="shared" si="990"/>
        <v>0</v>
      </c>
      <c r="L1575" t="str">
        <f>"8,000"</f>
        <v>8,000</v>
      </c>
      <c r="M1575" t="str">
        <f t="shared" si="994"/>
        <v xml:space="preserve"> </v>
      </c>
      <c r="N1575" t="str">
        <f t="shared" si="1014"/>
        <v>AUTRONIC</v>
      </c>
      <c r="O1575" t="str">
        <f t="shared" si="1015"/>
        <v>CABLES</v>
      </c>
      <c r="P1575" t="str">
        <f t="shared" si="1018"/>
        <v>0</v>
      </c>
      <c r="Q1575" t="str">
        <f t="shared" si="1018"/>
        <v>0</v>
      </c>
      <c r="R1575" t="str">
        <f t="shared" si="1019"/>
        <v>0,00</v>
      </c>
      <c r="S1575" t="str">
        <f t="shared" si="1019"/>
        <v>0,00</v>
      </c>
      <c r="T1575" t="str">
        <f t="shared" si="1017"/>
        <v xml:space="preserve"> </v>
      </c>
      <c r="U1575" t="str">
        <f t="shared" si="1012"/>
        <v xml:space="preserve"> </v>
      </c>
      <c r="V1575" t="str">
        <f>"8,000"</f>
        <v>8,000</v>
      </c>
      <c r="W1575" t="str">
        <f t="shared" si="995"/>
        <v>Lista 4</v>
      </c>
      <c r="X1575" t="str">
        <f t="shared" si="996"/>
        <v>Lista 5</v>
      </c>
      <c r="Y1575" t="str">
        <f t="shared" si="997"/>
        <v>Oferta Gral.</v>
      </c>
      <c r="Z1575" t="str">
        <f t="shared" si="998"/>
        <v>Rubro</v>
      </c>
      <c r="AA1575" t="str">
        <f t="shared" si="999"/>
        <v>Cantidad por Bulto</v>
      </c>
      <c r="AB1575" t="str">
        <f t="shared" si="1000"/>
        <v>INNER</v>
      </c>
      <c r="AC1575" t="str">
        <f t="shared" si="1001"/>
        <v>Stock en Bultos</v>
      </c>
      <c r="AD1575" t="str">
        <f t="shared" si="1002"/>
        <v>SubDepósito</v>
      </c>
      <c r="AE1575" t="str">
        <f t="shared" si="1003"/>
        <v>Marca</v>
      </c>
      <c r="AF1575" t="str">
        <f t="shared" si="1004"/>
        <v>Super Rubro</v>
      </c>
      <c r="AG1575" t="str">
        <f t="shared" si="1005"/>
        <v>ComercioExterior</v>
      </c>
      <c r="AH1575" t="str">
        <f t="shared" si="1006"/>
        <v>PrecioFOB</v>
      </c>
      <c r="AI1575" t="str">
        <f t="shared" si="1007"/>
        <v>Monto II</v>
      </c>
      <c r="AJ1575" t="str">
        <f t="shared" si="1008"/>
        <v>Porcentaje II</v>
      </c>
      <c r="AK1575" t="str">
        <f t="shared" si="1009"/>
        <v>Foto</v>
      </c>
      <c r="AL1575" t="str">
        <f>"{\rtf1\ansi\ansicpg1252\deff0\deflang11274{\fonttbl{\f0\fnil\fcharset0 MS Sans Serif}} \viewkind4\uc1\pard\f0\fs16 CONECTOR 4 V\'cdAS PLANA \endash  REGULADOR DE VOLTAJE - FORD\par } "</f>
        <v xml:space="preserve">{\rtf1\ansi\ansicpg1252\deff0\deflang11274{\fonttbl{\f0\fnil\fcharset0 MS Sans Serif}} \viewkind4\uc1\pard\f0\fs16 CONECTOR 4 V\'cdAS PLANA \endash  REGULADOR DE VOLTAJE - FORD\par } </v>
      </c>
      <c r="AM1575" t="str">
        <f t="shared" si="1020"/>
        <v>-</v>
      </c>
    </row>
    <row r="1576" spans="1:39" x14ac:dyDescent="0.25">
      <c r="A1576" t="str">
        <f>"10121"</f>
        <v>10121</v>
      </c>
      <c r="B1576" t="str">
        <f>"CONECTOR 4 VÍAS PORTARELAY 70 A.TERM. PALA 9,5 MM.ORIG. FIAT/VW/RENAULT"</f>
        <v>CONECTOR 4 VÍAS PORTARELAY 70 A.TERM. PALA 9,5 MM.ORIG. FIAT/VW/RENAULT</v>
      </c>
      <c r="C1576" t="str">
        <f>"$ 3073,26"</f>
        <v>$ 3073,26</v>
      </c>
      <c r="D1576" t="str">
        <f>"$ 3073,26"</f>
        <v>$ 3073,26</v>
      </c>
      <c r="E1576" t="str">
        <f>"$ 3073,26"</f>
        <v>$ 3073,26</v>
      </c>
      <c r="F1576" t="str">
        <f>"$ 3073,26"</f>
        <v>$ 3073,26</v>
      </c>
      <c r="G1576" t="str">
        <f>"$ 3073,26"</f>
        <v>$ 3073,26</v>
      </c>
      <c r="H1576" t="str">
        <f t="shared" si="992"/>
        <v>$ 0,00</v>
      </c>
      <c r="I1576" t="str">
        <f t="shared" si="1013"/>
        <v>FICHA CONECTOR</v>
      </c>
      <c r="J1576" t="str">
        <f t="shared" si="993"/>
        <v>1</v>
      </c>
      <c r="K1576" t="str">
        <f t="shared" si="990"/>
        <v>0</v>
      </c>
      <c r="L1576" t="str">
        <f t="shared" ref="L1576:L1583" si="1021">"0,000"</f>
        <v>0,000</v>
      </c>
      <c r="M1576" t="str">
        <f t="shared" si="994"/>
        <v xml:space="preserve"> </v>
      </c>
      <c r="N1576" t="str">
        <f t="shared" si="1014"/>
        <v>AUTRONIC</v>
      </c>
      <c r="O1576" t="str">
        <f t="shared" si="1015"/>
        <v>CABLES</v>
      </c>
      <c r="P1576" t="str">
        <f t="shared" si="1018"/>
        <v>0</v>
      </c>
      <c r="Q1576" t="str">
        <f t="shared" si="1018"/>
        <v>0</v>
      </c>
      <c r="R1576" t="str">
        <f t="shared" si="1019"/>
        <v>0,00</v>
      </c>
      <c r="S1576" t="str">
        <f t="shared" si="1019"/>
        <v>0,00</v>
      </c>
      <c r="T1576" t="str">
        <f t="shared" si="1017"/>
        <v xml:space="preserve"> </v>
      </c>
      <c r="U1576" t="str">
        <f t="shared" si="1012"/>
        <v xml:space="preserve"> </v>
      </c>
      <c r="V1576" t="str">
        <f t="shared" ref="V1576:V1583" si="1022">"0,000"</f>
        <v>0,000</v>
      </c>
      <c r="W1576" t="str">
        <f t="shared" si="995"/>
        <v>Lista 4</v>
      </c>
      <c r="X1576" t="str">
        <f t="shared" si="996"/>
        <v>Lista 5</v>
      </c>
      <c r="Y1576" t="str">
        <f t="shared" si="997"/>
        <v>Oferta Gral.</v>
      </c>
      <c r="Z1576" t="str">
        <f t="shared" si="998"/>
        <v>Rubro</v>
      </c>
      <c r="AA1576" t="str">
        <f t="shared" si="999"/>
        <v>Cantidad por Bulto</v>
      </c>
      <c r="AB1576" t="str">
        <f t="shared" si="1000"/>
        <v>INNER</v>
      </c>
      <c r="AC1576" t="str">
        <f t="shared" si="1001"/>
        <v>Stock en Bultos</v>
      </c>
      <c r="AD1576" t="str">
        <f t="shared" si="1002"/>
        <v>SubDepósito</v>
      </c>
      <c r="AE1576" t="str">
        <f t="shared" si="1003"/>
        <v>Marca</v>
      </c>
      <c r="AF1576" t="str">
        <f t="shared" si="1004"/>
        <v>Super Rubro</v>
      </c>
      <c r="AG1576" t="str">
        <f t="shared" si="1005"/>
        <v>ComercioExterior</v>
      </c>
      <c r="AH1576" t="str">
        <f t="shared" si="1006"/>
        <v>PrecioFOB</v>
      </c>
      <c r="AI1576" t="str">
        <f t="shared" si="1007"/>
        <v>Monto II</v>
      </c>
      <c r="AJ1576" t="str">
        <f t="shared" si="1008"/>
        <v>Porcentaje II</v>
      </c>
      <c r="AK1576" t="str">
        <f t="shared" si="1009"/>
        <v>Foto</v>
      </c>
      <c r="AL1576" t="str">
        <f>"{\rtf1\ansi\ansicpg1252\deff0\deflang11274{\fonttbl{\f0\fnil\fcharset0 MS Sans Serif}} \viewkind4\uc1\pard\f0\fs16 CONECTOR 4 V\'cdAS PORTARELAY 70 A.TERM. PALA 9,5 MM.ORIG. FIAT/VW/RENAULT\par } "</f>
        <v xml:space="preserve">{\rtf1\ansi\ansicpg1252\deff0\deflang11274{\fonttbl{\f0\fnil\fcharset0 MS Sans Serif}} \viewkind4\uc1\pard\f0\fs16 CONECTOR 4 V\'cdAS PORTARELAY 70 A.TERM. PALA 9,5 MM.ORIG. FIAT/VW/RENAULT\par } </v>
      </c>
      <c r="AM1576" t="str">
        <f t="shared" si="1020"/>
        <v>-</v>
      </c>
    </row>
    <row r="1577" spans="1:39" x14ac:dyDescent="0.25">
      <c r="A1577" t="str">
        <f>"10401"</f>
        <v>10401</v>
      </c>
      <c r="B1577" t="str">
        <f>"CONECTOR 5 VIAS FAROS TRASEROS VW GOL"</f>
        <v>CONECTOR 5 VIAS FAROS TRASEROS VW GOL</v>
      </c>
      <c r="C1577" t="str">
        <f>"$ 3340,50"</f>
        <v>$ 3340,50</v>
      </c>
      <c r="D1577" t="str">
        <f>"$ 3340,50"</f>
        <v>$ 3340,50</v>
      </c>
      <c r="E1577" t="str">
        <f>"$ 3340,50"</f>
        <v>$ 3340,50</v>
      </c>
      <c r="F1577" t="str">
        <f>"$ 3340,50"</f>
        <v>$ 3340,50</v>
      </c>
      <c r="G1577" t="str">
        <f>"$ 3340,50"</f>
        <v>$ 3340,50</v>
      </c>
      <c r="H1577" t="str">
        <f t="shared" si="992"/>
        <v>$ 0,00</v>
      </c>
      <c r="I1577" t="str">
        <f t="shared" si="1013"/>
        <v>FICHA CONECTOR</v>
      </c>
      <c r="J1577" t="str">
        <f t="shared" si="993"/>
        <v>1</v>
      </c>
      <c r="K1577" t="str">
        <f t="shared" si="990"/>
        <v>0</v>
      </c>
      <c r="L1577" t="str">
        <f t="shared" si="1021"/>
        <v>0,000</v>
      </c>
      <c r="M1577" t="str">
        <f t="shared" si="994"/>
        <v xml:space="preserve"> </v>
      </c>
      <c r="N1577" t="str">
        <f t="shared" si="1014"/>
        <v>AUTRONIC</v>
      </c>
      <c r="O1577" t="str">
        <f t="shared" si="1015"/>
        <v>CABLES</v>
      </c>
      <c r="P1577" t="str">
        <f t="shared" si="1018"/>
        <v>0</v>
      </c>
      <c r="Q1577" t="str">
        <f t="shared" si="1018"/>
        <v>0</v>
      </c>
      <c r="R1577" t="str">
        <f t="shared" si="1019"/>
        <v>0,00</v>
      </c>
      <c r="S1577" t="str">
        <f t="shared" si="1019"/>
        <v>0,00</v>
      </c>
      <c r="T1577" t="str">
        <f t="shared" si="1017"/>
        <v xml:space="preserve"> </v>
      </c>
      <c r="U1577" t="str">
        <f t="shared" si="1012"/>
        <v xml:space="preserve"> </v>
      </c>
      <c r="V1577" t="str">
        <f t="shared" si="1022"/>
        <v>0,000</v>
      </c>
      <c r="W1577" t="str">
        <f t="shared" si="995"/>
        <v>Lista 4</v>
      </c>
      <c r="X1577" t="str">
        <f t="shared" si="996"/>
        <v>Lista 5</v>
      </c>
      <c r="Y1577" t="str">
        <f t="shared" si="997"/>
        <v>Oferta Gral.</v>
      </c>
      <c r="Z1577" t="str">
        <f t="shared" si="998"/>
        <v>Rubro</v>
      </c>
      <c r="AA1577" t="str">
        <f t="shared" si="999"/>
        <v>Cantidad por Bulto</v>
      </c>
      <c r="AB1577" t="str">
        <f t="shared" si="1000"/>
        <v>INNER</v>
      </c>
      <c r="AC1577" t="str">
        <f t="shared" si="1001"/>
        <v>Stock en Bultos</v>
      </c>
      <c r="AD1577" t="str">
        <f t="shared" si="1002"/>
        <v>SubDepósito</v>
      </c>
      <c r="AE1577" t="str">
        <f t="shared" si="1003"/>
        <v>Marca</v>
      </c>
      <c r="AF1577" t="str">
        <f t="shared" si="1004"/>
        <v>Super Rubro</v>
      </c>
      <c r="AG1577" t="str">
        <f t="shared" si="1005"/>
        <v>ComercioExterior</v>
      </c>
      <c r="AH1577" t="str">
        <f t="shared" si="1006"/>
        <v>PrecioFOB</v>
      </c>
      <c r="AI1577" t="str">
        <f t="shared" si="1007"/>
        <v>Monto II</v>
      </c>
      <c r="AJ1577" t="str">
        <f t="shared" si="1008"/>
        <v>Porcentaje II</v>
      </c>
      <c r="AK1577" t="str">
        <f t="shared" si="1009"/>
        <v>Foto</v>
      </c>
      <c r="AL1577" t="str">
        <f>"{\rtf1\ansi\ansicpg1252\deff0\deflang11274{\fonttbl{\f0\fnil\fcharset0 MS Sans Serif}} \viewkind4\uc1\pard\f0\fs16 CONECTOR 5 VIAS FAROS TRASEROS VW GOL\par } "</f>
        <v xml:space="preserve">{\rtf1\ansi\ansicpg1252\deff0\deflang11274{\fonttbl{\f0\fnil\fcharset0 MS Sans Serif}} \viewkind4\uc1\pard\f0\fs16 CONECTOR 5 VIAS FAROS TRASEROS VW GOL\par } </v>
      </c>
      <c r="AM1577" t="str">
        <f t="shared" si="1020"/>
        <v>-</v>
      </c>
    </row>
    <row r="1578" spans="1:39" x14ac:dyDescent="0.25">
      <c r="A1578" t="str">
        <f>"10377"</f>
        <v>10377</v>
      </c>
      <c r="B1578" t="str">
        <f>"CONECTOR 5 VIAS INYECCION ELECTRONICA FIAT PALIO SIENA"</f>
        <v>CONECTOR 5 VIAS INYECCION ELECTRONICA FIAT PALIO SIENA</v>
      </c>
      <c r="C1578" t="str">
        <f>"$ 6226,69"</f>
        <v>$ 6226,69</v>
      </c>
      <c r="D1578" t="str">
        <f>"$ 6226,69"</f>
        <v>$ 6226,69</v>
      </c>
      <c r="E1578" t="str">
        <f>"$ 6226,69"</f>
        <v>$ 6226,69</v>
      </c>
      <c r="F1578" t="str">
        <f>"$ 6226,69"</f>
        <v>$ 6226,69</v>
      </c>
      <c r="G1578" t="str">
        <f>"$ 6226,69"</f>
        <v>$ 6226,69</v>
      </c>
      <c r="H1578" t="str">
        <f t="shared" si="992"/>
        <v>$ 0,00</v>
      </c>
      <c r="I1578" t="str">
        <f t="shared" si="1013"/>
        <v>FICHA CONECTOR</v>
      </c>
      <c r="J1578" t="str">
        <f t="shared" si="993"/>
        <v>1</v>
      </c>
      <c r="K1578" t="str">
        <f t="shared" si="990"/>
        <v>0</v>
      </c>
      <c r="L1578" t="str">
        <f t="shared" si="1021"/>
        <v>0,000</v>
      </c>
      <c r="M1578" t="str">
        <f t="shared" si="994"/>
        <v xml:space="preserve"> </v>
      </c>
      <c r="N1578" t="str">
        <f t="shared" si="1014"/>
        <v>AUTRONIC</v>
      </c>
      <c r="O1578" t="str">
        <f t="shared" si="1015"/>
        <v>CABLES</v>
      </c>
      <c r="P1578" t="str">
        <f t="shared" si="1018"/>
        <v>0</v>
      </c>
      <c r="Q1578" t="str">
        <f t="shared" si="1018"/>
        <v>0</v>
      </c>
      <c r="R1578" t="str">
        <f t="shared" si="1019"/>
        <v>0,00</v>
      </c>
      <c r="S1578" t="str">
        <f t="shared" si="1019"/>
        <v>0,00</v>
      </c>
      <c r="T1578" t="str">
        <f t="shared" si="1017"/>
        <v xml:space="preserve"> </v>
      </c>
      <c r="U1578" t="str">
        <f t="shared" si="1012"/>
        <v xml:space="preserve"> </v>
      </c>
      <c r="V1578" t="str">
        <f t="shared" si="1022"/>
        <v>0,000</v>
      </c>
      <c r="W1578" t="str">
        <f t="shared" si="995"/>
        <v>Lista 4</v>
      </c>
      <c r="X1578" t="str">
        <f t="shared" si="996"/>
        <v>Lista 5</v>
      </c>
      <c r="Y1578" t="str">
        <f t="shared" si="997"/>
        <v>Oferta Gral.</v>
      </c>
      <c r="Z1578" t="str">
        <f t="shared" si="998"/>
        <v>Rubro</v>
      </c>
      <c r="AA1578" t="str">
        <f t="shared" si="999"/>
        <v>Cantidad por Bulto</v>
      </c>
      <c r="AB1578" t="str">
        <f t="shared" si="1000"/>
        <v>INNER</v>
      </c>
      <c r="AC1578" t="str">
        <f t="shared" si="1001"/>
        <v>Stock en Bultos</v>
      </c>
      <c r="AD1578" t="str">
        <f t="shared" si="1002"/>
        <v>SubDepósito</v>
      </c>
      <c r="AE1578" t="str">
        <f t="shared" si="1003"/>
        <v>Marca</v>
      </c>
      <c r="AF1578" t="str">
        <f t="shared" si="1004"/>
        <v>Super Rubro</v>
      </c>
      <c r="AG1578" t="str">
        <f t="shared" si="1005"/>
        <v>ComercioExterior</v>
      </c>
      <c r="AH1578" t="str">
        <f t="shared" si="1006"/>
        <v>PrecioFOB</v>
      </c>
      <c r="AI1578" t="str">
        <f t="shared" si="1007"/>
        <v>Monto II</v>
      </c>
      <c r="AJ1578" t="str">
        <f t="shared" si="1008"/>
        <v>Porcentaje II</v>
      </c>
      <c r="AK1578" t="str">
        <f t="shared" si="1009"/>
        <v>Foto</v>
      </c>
      <c r="AL1578" t="str">
        <f>"{\rtf1\ansi\ansicpg1252\deff0\deflang11274{\fonttbl{\f0\fnil\fcharset0 MS Sans Serif}} \viewkind4\uc1\pard\f0\fs16 CONECTOR 5 VIAS INYECCION ELECTRONICA FIAT PALIO SIENA\par } "</f>
        <v xml:space="preserve">{\rtf1\ansi\ansicpg1252\deff0\deflang11274{\fonttbl{\f0\fnil\fcharset0 MS Sans Serif}} \viewkind4\uc1\pard\f0\fs16 CONECTOR 5 VIAS INYECCION ELECTRONICA FIAT PALIO SIENA\par } </v>
      </c>
      <c r="AM1578" t="str">
        <f t="shared" si="1020"/>
        <v>-</v>
      </c>
    </row>
    <row r="1579" spans="1:39" x14ac:dyDescent="0.25">
      <c r="A1579" t="str">
        <f>"10196"</f>
        <v>10196</v>
      </c>
      <c r="B1579" t="str">
        <f>"CONECTOR 5 VIAS LEVANTA VIDRIOS PEUGEOT 505"</f>
        <v>CONECTOR 5 VIAS LEVANTA VIDRIOS PEUGEOT 505</v>
      </c>
      <c r="C1579" t="str">
        <f>"$ 2909,91"</f>
        <v>$ 2909,91</v>
      </c>
      <c r="D1579" t="str">
        <f>"$ 2909,91"</f>
        <v>$ 2909,91</v>
      </c>
      <c r="E1579" t="str">
        <f>"$ 2909,91"</f>
        <v>$ 2909,91</v>
      </c>
      <c r="F1579" t="str">
        <f>"$ 2909,91"</f>
        <v>$ 2909,91</v>
      </c>
      <c r="G1579" t="str">
        <f>"$ 2909,91"</f>
        <v>$ 2909,91</v>
      </c>
      <c r="H1579" t="str">
        <f t="shared" si="992"/>
        <v>$ 0,00</v>
      </c>
      <c r="I1579" t="str">
        <f t="shared" si="1013"/>
        <v>FICHA CONECTOR</v>
      </c>
      <c r="J1579" t="str">
        <f t="shared" si="993"/>
        <v>1</v>
      </c>
      <c r="K1579" t="str">
        <f t="shared" si="990"/>
        <v>0</v>
      </c>
      <c r="L1579" t="str">
        <f t="shared" si="1021"/>
        <v>0,000</v>
      </c>
      <c r="M1579" t="str">
        <f t="shared" si="994"/>
        <v xml:space="preserve"> </v>
      </c>
      <c r="N1579" t="str">
        <f t="shared" si="1014"/>
        <v>AUTRONIC</v>
      </c>
      <c r="O1579" t="str">
        <f t="shared" si="1015"/>
        <v>CABLES</v>
      </c>
      <c r="P1579" t="str">
        <f t="shared" si="1018"/>
        <v>0</v>
      </c>
      <c r="Q1579" t="str">
        <f t="shared" si="1018"/>
        <v>0</v>
      </c>
      <c r="R1579" t="str">
        <f t="shared" si="1019"/>
        <v>0,00</v>
      </c>
      <c r="S1579" t="str">
        <f t="shared" si="1019"/>
        <v>0,00</v>
      </c>
      <c r="T1579" t="str">
        <f t="shared" si="1017"/>
        <v xml:space="preserve"> </v>
      </c>
      <c r="U1579" t="str">
        <f t="shared" si="1012"/>
        <v xml:space="preserve"> </v>
      </c>
      <c r="V1579" t="str">
        <f t="shared" si="1022"/>
        <v>0,000</v>
      </c>
      <c r="W1579" t="str">
        <f t="shared" si="995"/>
        <v>Lista 4</v>
      </c>
      <c r="X1579" t="str">
        <f t="shared" si="996"/>
        <v>Lista 5</v>
      </c>
      <c r="Y1579" t="str">
        <f t="shared" si="997"/>
        <v>Oferta Gral.</v>
      </c>
      <c r="Z1579" t="str">
        <f t="shared" si="998"/>
        <v>Rubro</v>
      </c>
      <c r="AA1579" t="str">
        <f t="shared" si="999"/>
        <v>Cantidad por Bulto</v>
      </c>
      <c r="AB1579" t="str">
        <f t="shared" si="1000"/>
        <v>INNER</v>
      </c>
      <c r="AC1579" t="str">
        <f t="shared" si="1001"/>
        <v>Stock en Bultos</v>
      </c>
      <c r="AD1579" t="str">
        <f t="shared" si="1002"/>
        <v>SubDepósito</v>
      </c>
      <c r="AE1579" t="str">
        <f t="shared" si="1003"/>
        <v>Marca</v>
      </c>
      <c r="AF1579" t="str">
        <f t="shared" si="1004"/>
        <v>Super Rubro</v>
      </c>
      <c r="AG1579" t="str">
        <f t="shared" si="1005"/>
        <v>ComercioExterior</v>
      </c>
      <c r="AH1579" t="str">
        <f t="shared" si="1006"/>
        <v>PrecioFOB</v>
      </c>
      <c r="AI1579" t="str">
        <f t="shared" si="1007"/>
        <v>Monto II</v>
      </c>
      <c r="AJ1579" t="str">
        <f t="shared" si="1008"/>
        <v>Porcentaje II</v>
      </c>
      <c r="AK1579" t="str">
        <f t="shared" si="1009"/>
        <v>Foto</v>
      </c>
      <c r="AL1579" t="str">
        <f>"{\rtf1\ansi\ansicpg1252\deff0\deflang11274{\fonttbl{\f0\fnil\fcharset0 MS Sans Serif}} \viewkind4\uc1\pard\f0\fs16 CONECTOR 5 VIAS LEVANTA VIDRIOS PEUGEOT 505\par } "</f>
        <v xml:space="preserve">{\rtf1\ansi\ansicpg1252\deff0\deflang11274{\fonttbl{\f0\fnil\fcharset0 MS Sans Serif}} \viewkind4\uc1\pard\f0\fs16 CONECTOR 5 VIAS LEVANTA VIDRIOS PEUGEOT 505\par } </v>
      </c>
      <c r="AM1579" t="str">
        <f t="shared" si="1020"/>
        <v>-</v>
      </c>
    </row>
    <row r="1580" spans="1:39" x14ac:dyDescent="0.25">
      <c r="A1580" t="str">
        <f>"10193"</f>
        <v>10193</v>
      </c>
      <c r="B1580" t="str">
        <f>"CONECTOR 5 VIAS MACHO LEVANTA VIDRIOS PEUGEOT 405-505"</f>
        <v>CONECTOR 5 VIAS MACHO LEVANTA VIDRIOS PEUGEOT 405-505</v>
      </c>
      <c r="C1580" t="str">
        <f>"$ 3901,70"</f>
        <v>$ 3901,70</v>
      </c>
      <c r="D1580" t="str">
        <f>"$ 3901,70"</f>
        <v>$ 3901,70</v>
      </c>
      <c r="E1580" t="str">
        <f>"$ 3901,70"</f>
        <v>$ 3901,70</v>
      </c>
      <c r="F1580" t="str">
        <f>"$ 3901,70"</f>
        <v>$ 3901,70</v>
      </c>
      <c r="G1580" t="str">
        <f>"$ 3901,70"</f>
        <v>$ 3901,70</v>
      </c>
      <c r="H1580" t="str">
        <f t="shared" si="992"/>
        <v>$ 0,00</v>
      </c>
      <c r="I1580" t="str">
        <f t="shared" si="1013"/>
        <v>FICHA CONECTOR</v>
      </c>
      <c r="J1580" t="str">
        <f t="shared" si="993"/>
        <v>1</v>
      </c>
      <c r="K1580" t="str">
        <f t="shared" si="990"/>
        <v>0</v>
      </c>
      <c r="L1580" t="str">
        <f t="shared" si="1021"/>
        <v>0,000</v>
      </c>
      <c r="M1580" t="str">
        <f t="shared" si="994"/>
        <v xml:space="preserve"> </v>
      </c>
      <c r="N1580" t="str">
        <f t="shared" si="1014"/>
        <v>AUTRONIC</v>
      </c>
      <c r="O1580" t="str">
        <f t="shared" si="1015"/>
        <v>CABLES</v>
      </c>
      <c r="P1580" t="str">
        <f t="shared" si="1018"/>
        <v>0</v>
      </c>
      <c r="Q1580" t="str">
        <f t="shared" si="1018"/>
        <v>0</v>
      </c>
      <c r="R1580" t="str">
        <f t="shared" si="1019"/>
        <v>0,00</v>
      </c>
      <c r="S1580" t="str">
        <f t="shared" si="1019"/>
        <v>0,00</v>
      </c>
      <c r="T1580" t="str">
        <f t="shared" si="1017"/>
        <v xml:space="preserve"> </v>
      </c>
      <c r="U1580" t="str">
        <f t="shared" si="1012"/>
        <v xml:space="preserve"> </v>
      </c>
      <c r="V1580" t="str">
        <f t="shared" si="1022"/>
        <v>0,000</v>
      </c>
      <c r="W1580" t="str">
        <f t="shared" si="995"/>
        <v>Lista 4</v>
      </c>
      <c r="X1580" t="str">
        <f t="shared" si="996"/>
        <v>Lista 5</v>
      </c>
      <c r="Y1580" t="str">
        <f t="shared" si="997"/>
        <v>Oferta Gral.</v>
      </c>
      <c r="Z1580" t="str">
        <f t="shared" si="998"/>
        <v>Rubro</v>
      </c>
      <c r="AA1580" t="str">
        <f t="shared" si="999"/>
        <v>Cantidad por Bulto</v>
      </c>
      <c r="AB1580" t="str">
        <f t="shared" si="1000"/>
        <v>INNER</v>
      </c>
      <c r="AC1580" t="str">
        <f t="shared" si="1001"/>
        <v>Stock en Bultos</v>
      </c>
      <c r="AD1580" t="str">
        <f t="shared" si="1002"/>
        <v>SubDepósito</v>
      </c>
      <c r="AE1580" t="str">
        <f t="shared" si="1003"/>
        <v>Marca</v>
      </c>
      <c r="AF1580" t="str">
        <f t="shared" si="1004"/>
        <v>Super Rubro</v>
      </c>
      <c r="AG1580" t="str">
        <f t="shared" si="1005"/>
        <v>ComercioExterior</v>
      </c>
      <c r="AH1580" t="str">
        <f t="shared" si="1006"/>
        <v>PrecioFOB</v>
      </c>
      <c r="AI1580" t="str">
        <f t="shared" si="1007"/>
        <v>Monto II</v>
      </c>
      <c r="AJ1580" t="str">
        <f t="shared" si="1008"/>
        <v>Porcentaje II</v>
      </c>
      <c r="AK1580" t="str">
        <f t="shared" si="1009"/>
        <v>Foto</v>
      </c>
      <c r="AL1580" t="str">
        <f>"{\rtf1\ansi\ansicpg1252\deff0\deflang11274{\fonttbl{\f0\fnil\fcharset0 MS Sans Serif}} \viewkind4\uc1\pard\f0\fs16 CONECTOR 5 VIAS MACHO LEVANTA VIDRIOS PEUGEOT 405-505\par } "</f>
        <v xml:space="preserve">{\rtf1\ansi\ansicpg1252\deff0\deflang11274{\fonttbl{\f0\fnil\fcharset0 MS Sans Serif}} \viewkind4\uc1\pard\f0\fs16 CONECTOR 5 VIAS MACHO LEVANTA VIDRIOS PEUGEOT 405-505\par } </v>
      </c>
      <c r="AM1580" t="str">
        <f t="shared" si="1020"/>
        <v>-</v>
      </c>
    </row>
    <row r="1581" spans="1:39" x14ac:dyDescent="0.25">
      <c r="A1581" t="str">
        <f>"10411"</f>
        <v>10411</v>
      </c>
      <c r="B1581" t="str">
        <f>"CONECTOR 5 VIAS MICRO RELAY UNIVERSAL"</f>
        <v>CONECTOR 5 VIAS MICRO RELAY UNIVERSAL</v>
      </c>
      <c r="C1581" t="str">
        <f>"$ 2806,02"</f>
        <v>$ 2806,02</v>
      </c>
      <c r="D1581" t="str">
        <f>"$ 2806,02"</f>
        <v>$ 2806,02</v>
      </c>
      <c r="E1581" t="str">
        <f>"$ 2806,02"</f>
        <v>$ 2806,02</v>
      </c>
      <c r="F1581" t="str">
        <f>"$ 2806,02"</f>
        <v>$ 2806,02</v>
      </c>
      <c r="G1581" t="str">
        <f>"$ 2806,02"</f>
        <v>$ 2806,02</v>
      </c>
      <c r="H1581" t="str">
        <f t="shared" si="992"/>
        <v>$ 0,00</v>
      </c>
      <c r="I1581" t="str">
        <f t="shared" si="1013"/>
        <v>FICHA CONECTOR</v>
      </c>
      <c r="J1581" t="str">
        <f t="shared" si="993"/>
        <v>1</v>
      </c>
      <c r="K1581" t="str">
        <f t="shared" si="990"/>
        <v>0</v>
      </c>
      <c r="L1581" t="str">
        <f t="shared" si="1021"/>
        <v>0,000</v>
      </c>
      <c r="M1581" t="str">
        <f t="shared" si="994"/>
        <v xml:space="preserve"> </v>
      </c>
      <c r="N1581" t="str">
        <f t="shared" si="1014"/>
        <v>AUTRONIC</v>
      </c>
      <c r="O1581" t="str">
        <f t="shared" si="1015"/>
        <v>CABLES</v>
      </c>
      <c r="P1581" t="str">
        <f t="shared" si="1018"/>
        <v>0</v>
      </c>
      <c r="Q1581" t="str">
        <f t="shared" si="1018"/>
        <v>0</v>
      </c>
      <c r="R1581" t="str">
        <f t="shared" si="1019"/>
        <v>0,00</v>
      </c>
      <c r="S1581" t="str">
        <f t="shared" si="1019"/>
        <v>0,00</v>
      </c>
      <c r="T1581" t="str">
        <f t="shared" si="1017"/>
        <v xml:space="preserve"> </v>
      </c>
      <c r="U1581" t="str">
        <f t="shared" si="1012"/>
        <v xml:space="preserve"> </v>
      </c>
      <c r="V1581" t="str">
        <f t="shared" si="1022"/>
        <v>0,000</v>
      </c>
      <c r="W1581" t="str">
        <f t="shared" si="995"/>
        <v>Lista 4</v>
      </c>
      <c r="X1581" t="str">
        <f t="shared" si="996"/>
        <v>Lista 5</v>
      </c>
      <c r="Y1581" t="str">
        <f t="shared" si="997"/>
        <v>Oferta Gral.</v>
      </c>
      <c r="Z1581" t="str">
        <f t="shared" si="998"/>
        <v>Rubro</v>
      </c>
      <c r="AA1581" t="str">
        <f t="shared" si="999"/>
        <v>Cantidad por Bulto</v>
      </c>
      <c r="AB1581" t="str">
        <f t="shared" si="1000"/>
        <v>INNER</v>
      </c>
      <c r="AC1581" t="str">
        <f t="shared" si="1001"/>
        <v>Stock en Bultos</v>
      </c>
      <c r="AD1581" t="str">
        <f t="shared" si="1002"/>
        <v>SubDepósito</v>
      </c>
      <c r="AE1581" t="str">
        <f t="shared" si="1003"/>
        <v>Marca</v>
      </c>
      <c r="AF1581" t="str">
        <f t="shared" si="1004"/>
        <v>Super Rubro</v>
      </c>
      <c r="AG1581" t="str">
        <f t="shared" si="1005"/>
        <v>ComercioExterior</v>
      </c>
      <c r="AH1581" t="str">
        <f t="shared" si="1006"/>
        <v>PrecioFOB</v>
      </c>
      <c r="AI1581" t="str">
        <f t="shared" si="1007"/>
        <v>Monto II</v>
      </c>
      <c r="AJ1581" t="str">
        <f t="shared" si="1008"/>
        <v>Porcentaje II</v>
      </c>
      <c r="AK1581" t="str">
        <f t="shared" si="1009"/>
        <v>Foto</v>
      </c>
      <c r="AL1581" t="str">
        <f>"{\rtf1\ansi\ansicpg1252\deff0\deflang11274{\fonttbl{\f0\fnil\fcharset0 MS Sans Serif}} \viewkind4\uc1\pard\f0\fs16 CONECTOR 5 VIAS MICRO RELAY UNIVERSAL\par } "</f>
        <v xml:space="preserve">{\rtf1\ansi\ansicpg1252\deff0\deflang11274{\fonttbl{\f0\fnil\fcharset0 MS Sans Serif}} \viewkind4\uc1\pard\f0\fs16 CONECTOR 5 VIAS MICRO RELAY UNIVERSAL\par } </v>
      </c>
      <c r="AM1581" t="str">
        <f t="shared" si="1020"/>
        <v>-</v>
      </c>
    </row>
    <row r="1582" spans="1:39" x14ac:dyDescent="0.25">
      <c r="A1582" t="str">
        <f>"10294"</f>
        <v>10294</v>
      </c>
      <c r="B1582" t="str">
        <f>"CONECTOR 5 VIAS TECLAS TABLERO CLIO MEGANE ROJA"</f>
        <v>CONECTOR 5 VIAS TECLAS TABLERO CLIO MEGANE ROJA</v>
      </c>
      <c r="C1582" t="str">
        <f>"$ 2672,37"</f>
        <v>$ 2672,37</v>
      </c>
      <c r="D1582" t="str">
        <f>"$ 2672,37"</f>
        <v>$ 2672,37</v>
      </c>
      <c r="E1582" t="str">
        <f>"$ 2672,37"</f>
        <v>$ 2672,37</v>
      </c>
      <c r="F1582" t="str">
        <f>"$ 2672,37"</f>
        <v>$ 2672,37</v>
      </c>
      <c r="G1582" t="str">
        <f>"$ 2672,37"</f>
        <v>$ 2672,37</v>
      </c>
      <c r="H1582" t="str">
        <f t="shared" si="992"/>
        <v>$ 0,00</v>
      </c>
      <c r="I1582" t="str">
        <f t="shared" si="1013"/>
        <v>FICHA CONECTOR</v>
      </c>
      <c r="J1582" t="str">
        <f t="shared" si="993"/>
        <v>1</v>
      </c>
      <c r="K1582" t="str">
        <f t="shared" si="990"/>
        <v>0</v>
      </c>
      <c r="L1582" t="str">
        <f t="shared" si="1021"/>
        <v>0,000</v>
      </c>
      <c r="M1582" t="str">
        <f t="shared" si="994"/>
        <v xml:space="preserve"> </v>
      </c>
      <c r="N1582" t="str">
        <f t="shared" si="1014"/>
        <v>AUTRONIC</v>
      </c>
      <c r="O1582" t="str">
        <f t="shared" si="1015"/>
        <v>CABLES</v>
      </c>
      <c r="P1582" t="str">
        <f t="shared" si="1018"/>
        <v>0</v>
      </c>
      <c r="Q1582" t="str">
        <f t="shared" si="1018"/>
        <v>0</v>
      </c>
      <c r="R1582" t="str">
        <f t="shared" si="1019"/>
        <v>0,00</v>
      </c>
      <c r="S1582" t="str">
        <f t="shared" si="1019"/>
        <v>0,00</v>
      </c>
      <c r="T1582" t="str">
        <f t="shared" si="1017"/>
        <v xml:space="preserve"> </v>
      </c>
      <c r="U1582" t="str">
        <f t="shared" si="1012"/>
        <v xml:space="preserve"> </v>
      </c>
      <c r="V1582" t="str">
        <f t="shared" si="1022"/>
        <v>0,000</v>
      </c>
      <c r="W1582" t="str">
        <f t="shared" si="995"/>
        <v>Lista 4</v>
      </c>
      <c r="X1582" t="str">
        <f t="shared" si="996"/>
        <v>Lista 5</v>
      </c>
      <c r="Y1582" t="str">
        <f t="shared" si="997"/>
        <v>Oferta Gral.</v>
      </c>
      <c r="Z1582" t="str">
        <f t="shared" si="998"/>
        <v>Rubro</v>
      </c>
      <c r="AA1582" t="str">
        <f t="shared" si="999"/>
        <v>Cantidad por Bulto</v>
      </c>
      <c r="AB1582" t="str">
        <f t="shared" si="1000"/>
        <v>INNER</v>
      </c>
      <c r="AC1582" t="str">
        <f t="shared" si="1001"/>
        <v>Stock en Bultos</v>
      </c>
      <c r="AD1582" t="str">
        <f t="shared" si="1002"/>
        <v>SubDepósito</v>
      </c>
      <c r="AE1582" t="str">
        <f t="shared" si="1003"/>
        <v>Marca</v>
      </c>
      <c r="AF1582" t="str">
        <f t="shared" si="1004"/>
        <v>Super Rubro</v>
      </c>
      <c r="AG1582" t="str">
        <f t="shared" si="1005"/>
        <v>ComercioExterior</v>
      </c>
      <c r="AH1582" t="str">
        <f t="shared" si="1006"/>
        <v>PrecioFOB</v>
      </c>
      <c r="AI1582" t="str">
        <f t="shared" si="1007"/>
        <v>Monto II</v>
      </c>
      <c r="AJ1582" t="str">
        <f t="shared" si="1008"/>
        <v>Porcentaje II</v>
      </c>
      <c r="AK1582" t="str">
        <f t="shared" si="1009"/>
        <v>Foto</v>
      </c>
      <c r="AL1582" t="str">
        <f>"{\rtf1\ansi\ansicpg1252\deff0\deflang11274{\fonttbl{\f0\fnil\fcharset0 MS Sans Serif}} \viewkind4\uc1\pard\f0\fs16 CONECTOR 5 VIAS TECLAS TABLERO CLIO MEGANE ROJA\par } "</f>
        <v xml:space="preserve">{\rtf1\ansi\ansicpg1252\deff0\deflang11274{\fonttbl{\f0\fnil\fcharset0 MS Sans Serif}} \viewkind4\uc1\pard\f0\fs16 CONECTOR 5 VIAS TECLAS TABLERO CLIO MEGANE ROJA\par } </v>
      </c>
      <c r="AM1582" t="str">
        <f t="shared" si="1020"/>
        <v>-</v>
      </c>
    </row>
    <row r="1583" spans="1:39" x14ac:dyDescent="0.25">
      <c r="A1583" t="str">
        <f>"10293"</f>
        <v>10293</v>
      </c>
      <c r="B1583" t="str">
        <f>"CONECTOR 5 VIAS TECLAS TABLERO CLIO MEGANE VERDE"</f>
        <v>CONECTOR 5 VIAS TECLAS TABLERO CLIO MEGANE VERDE</v>
      </c>
      <c r="C1583" t="str">
        <f>"$ 2850,52"</f>
        <v>$ 2850,52</v>
      </c>
      <c r="D1583" t="str">
        <f>"$ 2850,52"</f>
        <v>$ 2850,52</v>
      </c>
      <c r="E1583" t="str">
        <f>"$ 2850,52"</f>
        <v>$ 2850,52</v>
      </c>
      <c r="F1583" t="str">
        <f>"$ 2850,52"</f>
        <v>$ 2850,52</v>
      </c>
      <c r="G1583" t="str">
        <f>"$ 2850,52"</f>
        <v>$ 2850,52</v>
      </c>
      <c r="H1583" t="str">
        <f t="shared" si="992"/>
        <v>$ 0,00</v>
      </c>
      <c r="I1583" t="str">
        <f t="shared" si="1013"/>
        <v>FICHA CONECTOR</v>
      </c>
      <c r="J1583" t="str">
        <f t="shared" si="993"/>
        <v>1</v>
      </c>
      <c r="K1583" t="str">
        <f t="shared" si="990"/>
        <v>0</v>
      </c>
      <c r="L1583" t="str">
        <f t="shared" si="1021"/>
        <v>0,000</v>
      </c>
      <c r="M1583" t="str">
        <f t="shared" si="994"/>
        <v xml:space="preserve"> </v>
      </c>
      <c r="N1583" t="str">
        <f t="shared" si="1014"/>
        <v>AUTRONIC</v>
      </c>
      <c r="O1583" t="str">
        <f t="shared" si="1015"/>
        <v>CABLES</v>
      </c>
      <c r="P1583" t="str">
        <f t="shared" ref="P1583:Q1602" si="1023">"0"</f>
        <v>0</v>
      </c>
      <c r="Q1583" t="str">
        <f t="shared" si="1023"/>
        <v>0</v>
      </c>
      <c r="R1583" t="str">
        <f t="shared" ref="R1583:S1602" si="1024">"0,00"</f>
        <v>0,00</v>
      </c>
      <c r="S1583" t="str">
        <f t="shared" si="1024"/>
        <v>0,00</v>
      </c>
      <c r="T1583" t="str">
        <f t="shared" si="1017"/>
        <v xml:space="preserve"> </v>
      </c>
      <c r="U1583" t="str">
        <f t="shared" si="1012"/>
        <v xml:space="preserve"> </v>
      </c>
      <c r="V1583" t="str">
        <f t="shared" si="1022"/>
        <v>0,000</v>
      </c>
      <c r="W1583" t="str">
        <f t="shared" si="995"/>
        <v>Lista 4</v>
      </c>
      <c r="X1583" t="str">
        <f t="shared" si="996"/>
        <v>Lista 5</v>
      </c>
      <c r="Y1583" t="str">
        <f t="shared" si="997"/>
        <v>Oferta Gral.</v>
      </c>
      <c r="Z1583" t="str">
        <f t="shared" si="998"/>
        <v>Rubro</v>
      </c>
      <c r="AA1583" t="str">
        <f t="shared" si="999"/>
        <v>Cantidad por Bulto</v>
      </c>
      <c r="AB1583" t="str">
        <f t="shared" si="1000"/>
        <v>INNER</v>
      </c>
      <c r="AC1583" t="str">
        <f t="shared" si="1001"/>
        <v>Stock en Bultos</v>
      </c>
      <c r="AD1583" t="str">
        <f t="shared" si="1002"/>
        <v>SubDepósito</v>
      </c>
      <c r="AE1583" t="str">
        <f t="shared" si="1003"/>
        <v>Marca</v>
      </c>
      <c r="AF1583" t="str">
        <f t="shared" si="1004"/>
        <v>Super Rubro</v>
      </c>
      <c r="AG1583" t="str">
        <f t="shared" si="1005"/>
        <v>ComercioExterior</v>
      </c>
      <c r="AH1583" t="str">
        <f t="shared" si="1006"/>
        <v>PrecioFOB</v>
      </c>
      <c r="AI1583" t="str">
        <f t="shared" si="1007"/>
        <v>Monto II</v>
      </c>
      <c r="AJ1583" t="str">
        <f t="shared" si="1008"/>
        <v>Porcentaje II</v>
      </c>
      <c r="AK1583" t="str">
        <f t="shared" si="1009"/>
        <v>Foto</v>
      </c>
      <c r="AL1583" t="str">
        <f>"{\rtf1\ansi\ansicpg1252\deff0\deflang11274{\fonttbl{\f0\fnil\fcharset0 MS Sans Serif}} \viewkind4\uc1\pard\f0\fs16 CONECTOR 5 VIAS TECLAS TABLERO CLIO MEGANE VERDE\par } "</f>
        <v xml:space="preserve">{\rtf1\ansi\ansicpg1252\deff0\deflang11274{\fonttbl{\f0\fnil\fcharset0 MS Sans Serif}} \viewkind4\uc1\pard\f0\fs16 CONECTOR 5 VIAS TECLAS TABLERO CLIO MEGANE VERDE\par } </v>
      </c>
      <c r="AM1583" t="str">
        <f t="shared" si="1020"/>
        <v>-</v>
      </c>
    </row>
    <row r="1584" spans="1:39" x14ac:dyDescent="0.25">
      <c r="A1584" t="str">
        <f>"10168"</f>
        <v>10168</v>
      </c>
      <c r="B1584" t="str">
        <f>"CONECTOR 5 VÍAS BLANCA TECLA ALZACRISTAL – R19 – CLIO - MEGANE"</f>
        <v>CONECTOR 5 VÍAS BLANCA TECLA ALZACRISTAL – R19 – CLIO - MEGANE</v>
      </c>
      <c r="C1584" t="str">
        <f t="shared" ref="C1584:G1585" si="1025">"$ 4943,94"</f>
        <v>$ 4943,94</v>
      </c>
      <c r="D1584" t="str">
        <f t="shared" si="1025"/>
        <v>$ 4943,94</v>
      </c>
      <c r="E1584" t="str">
        <f t="shared" si="1025"/>
        <v>$ 4943,94</v>
      </c>
      <c r="F1584" t="str">
        <f t="shared" si="1025"/>
        <v>$ 4943,94</v>
      </c>
      <c r="G1584" t="str">
        <f t="shared" si="1025"/>
        <v>$ 4943,94</v>
      </c>
      <c r="H1584" t="str">
        <f t="shared" si="992"/>
        <v>$ 0,00</v>
      </c>
      <c r="I1584" t="str">
        <f t="shared" si="1013"/>
        <v>FICHA CONECTOR</v>
      </c>
      <c r="J1584" t="str">
        <f t="shared" si="993"/>
        <v>1</v>
      </c>
      <c r="K1584" t="str">
        <f t="shared" si="990"/>
        <v>0</v>
      </c>
      <c r="L1584" t="str">
        <f>"6,000"</f>
        <v>6,000</v>
      </c>
      <c r="M1584" t="str">
        <f t="shared" si="994"/>
        <v xml:space="preserve"> </v>
      </c>
      <c r="N1584" t="str">
        <f t="shared" si="1014"/>
        <v>AUTRONIC</v>
      </c>
      <c r="O1584" t="str">
        <f t="shared" si="1015"/>
        <v>CABLES</v>
      </c>
      <c r="P1584" t="str">
        <f t="shared" si="1023"/>
        <v>0</v>
      </c>
      <c r="Q1584" t="str">
        <f t="shared" si="1023"/>
        <v>0</v>
      </c>
      <c r="R1584" t="str">
        <f t="shared" si="1024"/>
        <v>0,00</v>
      </c>
      <c r="S1584" t="str">
        <f t="shared" si="1024"/>
        <v>0,00</v>
      </c>
      <c r="T1584" t="str">
        <f t="shared" si="1017"/>
        <v xml:space="preserve"> </v>
      </c>
      <c r="U1584" t="str">
        <f t="shared" si="1012"/>
        <v xml:space="preserve"> </v>
      </c>
      <c r="V1584" t="str">
        <f>"6,000"</f>
        <v>6,000</v>
      </c>
      <c r="W1584" t="str">
        <f t="shared" si="995"/>
        <v>Lista 4</v>
      </c>
      <c r="X1584" t="str">
        <f t="shared" si="996"/>
        <v>Lista 5</v>
      </c>
      <c r="Y1584" t="str">
        <f t="shared" si="997"/>
        <v>Oferta Gral.</v>
      </c>
      <c r="Z1584" t="str">
        <f t="shared" si="998"/>
        <v>Rubro</v>
      </c>
      <c r="AA1584" t="str">
        <f t="shared" si="999"/>
        <v>Cantidad por Bulto</v>
      </c>
      <c r="AB1584" t="str">
        <f t="shared" si="1000"/>
        <v>INNER</v>
      </c>
      <c r="AC1584" t="str">
        <f t="shared" si="1001"/>
        <v>Stock en Bultos</v>
      </c>
      <c r="AD1584" t="str">
        <f t="shared" si="1002"/>
        <v>SubDepósito</v>
      </c>
      <c r="AE1584" t="str">
        <f t="shared" si="1003"/>
        <v>Marca</v>
      </c>
      <c r="AF1584" t="str">
        <f t="shared" si="1004"/>
        <v>Super Rubro</v>
      </c>
      <c r="AG1584" t="str">
        <f t="shared" si="1005"/>
        <v>ComercioExterior</v>
      </c>
      <c r="AH1584" t="str">
        <f t="shared" si="1006"/>
        <v>PrecioFOB</v>
      </c>
      <c r="AI1584" t="str">
        <f t="shared" si="1007"/>
        <v>Monto II</v>
      </c>
      <c r="AJ1584" t="str">
        <f t="shared" si="1008"/>
        <v>Porcentaje II</v>
      </c>
      <c r="AK1584" t="str">
        <f t="shared" si="1009"/>
        <v>Foto</v>
      </c>
      <c r="AL1584" t="str">
        <f>"{\rtf1\ansi\ansicpg1252\deff0\deflang11274{\fonttbl{\f0\fnil\fcharset0 MS Sans Serif}} \viewkind4\uc1\pard\f0\fs16 CONECTOR 5 V\'cdAS BLANCA TECLA ALZACRISTAL \endash  R19 \endash  CLIO - MEGANE\par } "</f>
        <v xml:space="preserve">{\rtf1\ansi\ansicpg1252\deff0\deflang11274{\fonttbl{\f0\fnil\fcharset0 MS Sans Serif}} \viewkind4\uc1\pard\f0\fs16 CONECTOR 5 V\'cdAS BLANCA TECLA ALZACRISTAL \endash  R19 \endash  CLIO - MEGANE\par } </v>
      </c>
      <c r="AM1584" t="str">
        <f t="shared" si="1020"/>
        <v>-</v>
      </c>
    </row>
    <row r="1585" spans="1:39" x14ac:dyDescent="0.25">
      <c r="A1585" t="str">
        <f>"10167"</f>
        <v>10167</v>
      </c>
      <c r="B1585" t="str">
        <f>"CONECTOR 5 VÍAS MARRÓN TECLA ALZACRISTAL – PEUGEOT 306 – 405 - 205"</f>
        <v>CONECTOR 5 VÍAS MARRÓN TECLA ALZACRISTAL – PEUGEOT 306 – 405 - 205</v>
      </c>
      <c r="C1585" t="str">
        <f t="shared" si="1025"/>
        <v>$ 4943,94</v>
      </c>
      <c r="D1585" t="str">
        <f t="shared" si="1025"/>
        <v>$ 4943,94</v>
      </c>
      <c r="E1585" t="str">
        <f t="shared" si="1025"/>
        <v>$ 4943,94</v>
      </c>
      <c r="F1585" t="str">
        <f t="shared" si="1025"/>
        <v>$ 4943,94</v>
      </c>
      <c r="G1585" t="str">
        <f t="shared" si="1025"/>
        <v>$ 4943,94</v>
      </c>
      <c r="H1585" t="str">
        <f t="shared" si="992"/>
        <v>$ 0,00</v>
      </c>
      <c r="I1585" t="str">
        <f t="shared" si="1013"/>
        <v>FICHA CONECTOR</v>
      </c>
      <c r="J1585" t="str">
        <f t="shared" si="993"/>
        <v>1</v>
      </c>
      <c r="K1585" t="str">
        <f t="shared" si="990"/>
        <v>0</v>
      </c>
      <c r="L1585" t="str">
        <f>"2,000"</f>
        <v>2,000</v>
      </c>
      <c r="M1585" t="str">
        <f t="shared" si="994"/>
        <v xml:space="preserve"> </v>
      </c>
      <c r="N1585" t="str">
        <f t="shared" si="1014"/>
        <v>AUTRONIC</v>
      </c>
      <c r="O1585" t="str">
        <f t="shared" si="1015"/>
        <v>CABLES</v>
      </c>
      <c r="P1585" t="str">
        <f t="shared" si="1023"/>
        <v>0</v>
      </c>
      <c r="Q1585" t="str">
        <f t="shared" si="1023"/>
        <v>0</v>
      </c>
      <c r="R1585" t="str">
        <f t="shared" si="1024"/>
        <v>0,00</v>
      </c>
      <c r="S1585" t="str">
        <f t="shared" si="1024"/>
        <v>0,00</v>
      </c>
      <c r="T1585" t="str">
        <f t="shared" si="1017"/>
        <v xml:space="preserve"> </v>
      </c>
      <c r="U1585" t="str">
        <f t="shared" si="1012"/>
        <v xml:space="preserve"> </v>
      </c>
      <c r="V1585" t="str">
        <f>"2,000"</f>
        <v>2,000</v>
      </c>
      <c r="W1585" t="str">
        <f t="shared" si="995"/>
        <v>Lista 4</v>
      </c>
      <c r="X1585" t="str">
        <f t="shared" si="996"/>
        <v>Lista 5</v>
      </c>
      <c r="Y1585" t="str">
        <f t="shared" si="997"/>
        <v>Oferta Gral.</v>
      </c>
      <c r="Z1585" t="str">
        <f t="shared" si="998"/>
        <v>Rubro</v>
      </c>
      <c r="AA1585" t="str">
        <f t="shared" si="999"/>
        <v>Cantidad por Bulto</v>
      </c>
      <c r="AB1585" t="str">
        <f t="shared" si="1000"/>
        <v>INNER</v>
      </c>
      <c r="AC1585" t="str">
        <f t="shared" si="1001"/>
        <v>Stock en Bultos</v>
      </c>
      <c r="AD1585" t="str">
        <f t="shared" si="1002"/>
        <v>SubDepósito</v>
      </c>
      <c r="AE1585" t="str">
        <f t="shared" si="1003"/>
        <v>Marca</v>
      </c>
      <c r="AF1585" t="str">
        <f t="shared" si="1004"/>
        <v>Super Rubro</v>
      </c>
      <c r="AG1585" t="str">
        <f t="shared" si="1005"/>
        <v>ComercioExterior</v>
      </c>
      <c r="AH1585" t="str">
        <f t="shared" si="1006"/>
        <v>PrecioFOB</v>
      </c>
      <c r="AI1585" t="str">
        <f t="shared" si="1007"/>
        <v>Monto II</v>
      </c>
      <c r="AJ1585" t="str">
        <f t="shared" si="1008"/>
        <v>Porcentaje II</v>
      </c>
      <c r="AK1585" t="str">
        <f t="shared" si="1009"/>
        <v>Foto</v>
      </c>
      <c r="AL1585" t="str">
        <f>"{\rtf1\ansi\ansicpg1252\deff0\deflang11274{\fonttbl{\f0\fnil\fcharset0 MS Sans Serif}} \viewkind4\uc1\pard\f0\fs16 CONECTOR 5 V\'cdAS MARR\'d3N TECLA ALZACRISTAL \endash  PEUGEOT 306 \endash  405 - 205\par } "</f>
        <v xml:space="preserve">{\rtf1\ansi\ansicpg1252\deff0\deflang11274{\fonttbl{\f0\fnil\fcharset0 MS Sans Serif}} \viewkind4\uc1\pard\f0\fs16 CONECTOR 5 V\'cdAS MARR\'d3N TECLA ALZACRISTAL \endash  PEUGEOT 306 \endash  405 - 205\par } </v>
      </c>
      <c r="AM1585" t="str">
        <f t="shared" si="1020"/>
        <v>-</v>
      </c>
    </row>
    <row r="1586" spans="1:39" x14ac:dyDescent="0.25">
      <c r="A1586" t="str">
        <f>"10123"</f>
        <v>10123</v>
      </c>
      <c r="B1586" t="str">
        <f>"CONECTOR 5 VÍAS MINI RELAY   - CABLE REFORZADO"</f>
        <v>CONECTOR 5 VÍAS MINI RELAY   - CABLE REFORZADO</v>
      </c>
      <c r="C1586" t="str">
        <f>"$ 2271,54"</f>
        <v>$ 2271,54</v>
      </c>
      <c r="D1586" t="str">
        <f>"$ 2271,54"</f>
        <v>$ 2271,54</v>
      </c>
      <c r="E1586" t="str">
        <f>"$ 2271,54"</f>
        <v>$ 2271,54</v>
      </c>
      <c r="F1586" t="str">
        <f>"$ 2271,54"</f>
        <v>$ 2271,54</v>
      </c>
      <c r="G1586" t="str">
        <f>"$ 2271,54"</f>
        <v>$ 2271,54</v>
      </c>
      <c r="H1586" t="str">
        <f t="shared" si="992"/>
        <v>$ 0,00</v>
      </c>
      <c r="I1586" t="str">
        <f t="shared" si="1013"/>
        <v>FICHA CONECTOR</v>
      </c>
      <c r="J1586" t="str">
        <f t="shared" si="993"/>
        <v>1</v>
      </c>
      <c r="K1586" t="str">
        <f t="shared" si="990"/>
        <v>0</v>
      </c>
      <c r="L1586" t="str">
        <f>"1,000"</f>
        <v>1,000</v>
      </c>
      <c r="M1586" t="str">
        <f t="shared" si="994"/>
        <v xml:space="preserve"> </v>
      </c>
      <c r="N1586" t="str">
        <f t="shared" si="1014"/>
        <v>AUTRONIC</v>
      </c>
      <c r="O1586" t="str">
        <f t="shared" si="1015"/>
        <v>CABLES</v>
      </c>
      <c r="P1586" t="str">
        <f t="shared" si="1023"/>
        <v>0</v>
      </c>
      <c r="Q1586" t="str">
        <f t="shared" si="1023"/>
        <v>0</v>
      </c>
      <c r="R1586" t="str">
        <f t="shared" si="1024"/>
        <v>0,00</v>
      </c>
      <c r="S1586" t="str">
        <f t="shared" si="1024"/>
        <v>0,00</v>
      </c>
      <c r="T1586" t="str">
        <f t="shared" si="1017"/>
        <v xml:space="preserve"> </v>
      </c>
      <c r="U1586" t="str">
        <f t="shared" si="1012"/>
        <v xml:space="preserve"> </v>
      </c>
      <c r="V1586" t="str">
        <f>"1,000"</f>
        <v>1,000</v>
      </c>
      <c r="W1586" t="str">
        <f t="shared" si="995"/>
        <v>Lista 4</v>
      </c>
      <c r="X1586" t="str">
        <f t="shared" si="996"/>
        <v>Lista 5</v>
      </c>
      <c r="Y1586" t="str">
        <f t="shared" si="997"/>
        <v>Oferta Gral.</v>
      </c>
      <c r="Z1586" t="str">
        <f t="shared" si="998"/>
        <v>Rubro</v>
      </c>
      <c r="AA1586" t="str">
        <f t="shared" si="999"/>
        <v>Cantidad por Bulto</v>
      </c>
      <c r="AB1586" t="str">
        <f t="shared" si="1000"/>
        <v>INNER</v>
      </c>
      <c r="AC1586" t="str">
        <f t="shared" si="1001"/>
        <v>Stock en Bultos</v>
      </c>
      <c r="AD1586" t="str">
        <f t="shared" si="1002"/>
        <v>SubDepósito</v>
      </c>
      <c r="AE1586" t="str">
        <f t="shared" si="1003"/>
        <v>Marca</v>
      </c>
      <c r="AF1586" t="str">
        <f t="shared" si="1004"/>
        <v>Super Rubro</v>
      </c>
      <c r="AG1586" t="str">
        <f t="shared" si="1005"/>
        <v>ComercioExterior</v>
      </c>
      <c r="AH1586" t="str">
        <f t="shared" si="1006"/>
        <v>PrecioFOB</v>
      </c>
      <c r="AI1586" t="str">
        <f t="shared" si="1007"/>
        <v>Monto II</v>
      </c>
      <c r="AJ1586" t="str">
        <f t="shared" si="1008"/>
        <v>Porcentaje II</v>
      </c>
      <c r="AK1586" t="str">
        <f t="shared" si="1009"/>
        <v>Foto</v>
      </c>
      <c r="AL1586" t="str">
        <f>"{\rtf1\ansi\ansicpg1252\deff0\deflang11274{\fonttbl{\f0\fnil\fcharset0 MS Sans Serif}} \viewkind4\uc1\pard\f0\fs16 CONECTOR 5 V\'cdAS MINI RELAY   - CABLE REFORZADO\par } "</f>
        <v xml:space="preserve">{\rtf1\ansi\ansicpg1252\deff0\deflang11274{\fonttbl{\f0\fnil\fcharset0 MS Sans Serif}} \viewkind4\uc1\pard\f0\fs16 CONECTOR 5 V\'cdAS MINI RELAY   - CABLE REFORZADO\par } </v>
      </c>
      <c r="AM1586" t="str">
        <f t="shared" si="1020"/>
        <v>-</v>
      </c>
    </row>
    <row r="1587" spans="1:39" x14ac:dyDescent="0.25">
      <c r="A1587" t="str">
        <f>"10126"</f>
        <v>10126</v>
      </c>
      <c r="B1587" t="str">
        <f>"CONECTOR 5 VÍAS PORTA RELAY ACOPLABLE CON FIJACIÓN – CABLE REFORZADO"</f>
        <v>CONECTOR 5 VÍAS PORTA RELAY ACOPLABLE CON FIJACIÓN – CABLE REFORZADO</v>
      </c>
      <c r="C1587" t="str">
        <f>"$ 3581,02"</f>
        <v>$ 3581,02</v>
      </c>
      <c r="D1587" t="str">
        <f>"$ 3581,02"</f>
        <v>$ 3581,02</v>
      </c>
      <c r="E1587" t="str">
        <f>"$ 3581,02"</f>
        <v>$ 3581,02</v>
      </c>
      <c r="F1587" t="str">
        <f>"$ 3581,02"</f>
        <v>$ 3581,02</v>
      </c>
      <c r="G1587" t="str">
        <f>"$ 3581,02"</f>
        <v>$ 3581,02</v>
      </c>
      <c r="H1587" t="str">
        <f t="shared" si="992"/>
        <v>$ 0,00</v>
      </c>
      <c r="I1587" t="str">
        <f t="shared" si="1013"/>
        <v>FICHA CONECTOR</v>
      </c>
      <c r="J1587" t="str">
        <f t="shared" si="993"/>
        <v>1</v>
      </c>
      <c r="K1587" t="str">
        <f t="shared" si="990"/>
        <v>0</v>
      </c>
      <c r="L1587" t="str">
        <f>"0,000"</f>
        <v>0,000</v>
      </c>
      <c r="M1587" t="str">
        <f t="shared" si="994"/>
        <v xml:space="preserve"> </v>
      </c>
      <c r="N1587" t="str">
        <f t="shared" si="1014"/>
        <v>AUTRONIC</v>
      </c>
      <c r="O1587" t="str">
        <f t="shared" si="1015"/>
        <v>CABLES</v>
      </c>
      <c r="P1587" t="str">
        <f t="shared" si="1023"/>
        <v>0</v>
      </c>
      <c r="Q1587" t="str">
        <f t="shared" si="1023"/>
        <v>0</v>
      </c>
      <c r="R1587" t="str">
        <f t="shared" si="1024"/>
        <v>0,00</v>
      </c>
      <c r="S1587" t="str">
        <f t="shared" si="1024"/>
        <v>0,00</v>
      </c>
      <c r="T1587" t="str">
        <f t="shared" si="1017"/>
        <v xml:space="preserve"> </v>
      </c>
      <c r="U1587" t="str">
        <f t="shared" si="1012"/>
        <v xml:space="preserve"> </v>
      </c>
      <c r="V1587" t="str">
        <f>"0,000"</f>
        <v>0,000</v>
      </c>
      <c r="W1587" t="str">
        <f t="shared" si="995"/>
        <v>Lista 4</v>
      </c>
      <c r="X1587" t="str">
        <f t="shared" si="996"/>
        <v>Lista 5</v>
      </c>
      <c r="Y1587" t="str">
        <f t="shared" si="997"/>
        <v>Oferta Gral.</v>
      </c>
      <c r="Z1587" t="str">
        <f t="shared" si="998"/>
        <v>Rubro</v>
      </c>
      <c r="AA1587" t="str">
        <f t="shared" si="999"/>
        <v>Cantidad por Bulto</v>
      </c>
      <c r="AB1587" t="str">
        <f t="shared" si="1000"/>
        <v>INNER</v>
      </c>
      <c r="AC1587" t="str">
        <f t="shared" si="1001"/>
        <v>Stock en Bultos</v>
      </c>
      <c r="AD1587" t="str">
        <f t="shared" si="1002"/>
        <v>SubDepósito</v>
      </c>
      <c r="AE1587" t="str">
        <f t="shared" si="1003"/>
        <v>Marca</v>
      </c>
      <c r="AF1587" t="str">
        <f t="shared" si="1004"/>
        <v>Super Rubro</v>
      </c>
      <c r="AG1587" t="str">
        <f t="shared" si="1005"/>
        <v>ComercioExterior</v>
      </c>
      <c r="AH1587" t="str">
        <f t="shared" si="1006"/>
        <v>PrecioFOB</v>
      </c>
      <c r="AI1587" t="str">
        <f t="shared" si="1007"/>
        <v>Monto II</v>
      </c>
      <c r="AJ1587" t="str">
        <f t="shared" si="1008"/>
        <v>Porcentaje II</v>
      </c>
      <c r="AK1587" t="str">
        <f t="shared" si="1009"/>
        <v>Foto</v>
      </c>
      <c r="AL1587" t="str">
        <f>"{\rtf1\ansi\ansicpg1252\deff0\deflang11274{\fonttbl{\f0\fnil\fcharset0 MS Sans Serif}} \viewkind4\uc1\pard\f0\fs16 CONECTOR 5 V\'cdAS PORTA RELAY ACOPLABLE CON FIJACI\'d3N \endash  CABLE REFORZADO\par } "</f>
        <v xml:space="preserve">{\rtf1\ansi\ansicpg1252\deff0\deflang11274{\fonttbl{\f0\fnil\fcharset0 MS Sans Serif}} \viewkind4\uc1\pard\f0\fs16 CONECTOR 5 V\'cdAS PORTA RELAY ACOPLABLE CON FIJACI\'d3N \endash  CABLE REFORZADO\par } </v>
      </c>
      <c r="AM1587" t="str">
        <f t="shared" si="1020"/>
        <v>-</v>
      </c>
    </row>
    <row r="1588" spans="1:39" x14ac:dyDescent="0.25">
      <c r="A1588" t="str">
        <f>"10124"</f>
        <v>10124</v>
      </c>
      <c r="B1588" t="str">
        <f>"CONECTOR 5 VÍAS PORTA RELAY ACOPLABLE – ORIG. FIAT 147 – DUNA - UNO"</f>
        <v>CONECTOR 5 VÍAS PORTA RELAY ACOPLABLE – ORIG. FIAT 147 – DUNA - UNO</v>
      </c>
      <c r="C1588" t="str">
        <f>"$ 3287,05"</f>
        <v>$ 3287,05</v>
      </c>
      <c r="D1588" t="str">
        <f>"$ 3287,05"</f>
        <v>$ 3287,05</v>
      </c>
      <c r="E1588" t="str">
        <f>"$ 3287,05"</f>
        <v>$ 3287,05</v>
      </c>
      <c r="F1588" t="str">
        <f>"$ 3287,05"</f>
        <v>$ 3287,05</v>
      </c>
      <c r="G1588" t="str">
        <f>"$ 3287,05"</f>
        <v>$ 3287,05</v>
      </c>
      <c r="H1588" t="str">
        <f t="shared" si="992"/>
        <v>$ 0,00</v>
      </c>
      <c r="I1588" t="str">
        <f t="shared" si="1013"/>
        <v>FICHA CONECTOR</v>
      </c>
      <c r="J1588" t="str">
        <f t="shared" si="993"/>
        <v>1</v>
      </c>
      <c r="K1588" t="str">
        <f t="shared" ref="K1588:K1651" si="1026">"0"</f>
        <v>0</v>
      </c>
      <c r="L1588" t="str">
        <f>"10,000"</f>
        <v>10,000</v>
      </c>
      <c r="M1588" t="str">
        <f t="shared" si="994"/>
        <v xml:space="preserve"> </v>
      </c>
      <c r="N1588" t="str">
        <f t="shared" si="1014"/>
        <v>AUTRONIC</v>
      </c>
      <c r="O1588" t="str">
        <f t="shared" si="1015"/>
        <v>CABLES</v>
      </c>
      <c r="P1588" t="str">
        <f t="shared" si="1023"/>
        <v>0</v>
      </c>
      <c r="Q1588" t="str">
        <f t="shared" si="1023"/>
        <v>0</v>
      </c>
      <c r="R1588" t="str">
        <f t="shared" si="1024"/>
        <v>0,00</v>
      </c>
      <c r="S1588" t="str">
        <f t="shared" si="1024"/>
        <v>0,00</v>
      </c>
      <c r="T1588" t="str">
        <f t="shared" si="1017"/>
        <v xml:space="preserve"> </v>
      </c>
      <c r="U1588" t="str">
        <f t="shared" si="1012"/>
        <v xml:space="preserve"> </v>
      </c>
      <c r="V1588" t="str">
        <f>"10,000"</f>
        <v>10,000</v>
      </c>
      <c r="W1588" t="str">
        <f t="shared" si="995"/>
        <v>Lista 4</v>
      </c>
      <c r="X1588" t="str">
        <f t="shared" si="996"/>
        <v>Lista 5</v>
      </c>
      <c r="Y1588" t="str">
        <f t="shared" si="997"/>
        <v>Oferta Gral.</v>
      </c>
      <c r="Z1588" t="str">
        <f t="shared" si="998"/>
        <v>Rubro</v>
      </c>
      <c r="AA1588" t="str">
        <f t="shared" si="999"/>
        <v>Cantidad por Bulto</v>
      </c>
      <c r="AB1588" t="str">
        <f t="shared" si="1000"/>
        <v>INNER</v>
      </c>
      <c r="AC1588" t="str">
        <f t="shared" si="1001"/>
        <v>Stock en Bultos</v>
      </c>
      <c r="AD1588" t="str">
        <f t="shared" si="1002"/>
        <v>SubDepósito</v>
      </c>
      <c r="AE1588" t="str">
        <f t="shared" si="1003"/>
        <v>Marca</v>
      </c>
      <c r="AF1588" t="str">
        <f t="shared" si="1004"/>
        <v>Super Rubro</v>
      </c>
      <c r="AG1588" t="str">
        <f t="shared" si="1005"/>
        <v>ComercioExterior</v>
      </c>
      <c r="AH1588" t="str">
        <f t="shared" si="1006"/>
        <v>PrecioFOB</v>
      </c>
      <c r="AI1588" t="str">
        <f t="shared" si="1007"/>
        <v>Monto II</v>
      </c>
      <c r="AJ1588" t="str">
        <f t="shared" si="1008"/>
        <v>Porcentaje II</v>
      </c>
      <c r="AK1588" t="str">
        <f t="shared" si="1009"/>
        <v>Foto</v>
      </c>
      <c r="AL1588" t="str">
        <f>"{\rtf1\ansi\ansicpg1252\deff0\deflang11274{\fonttbl{\f0\fnil\fcharset0 MS Sans Serif}} \viewkind4\uc1\pard\f0\fs16 CONECTOR 5 V\'cdAS PORTA RELAY ACOPLABLE - ORIG. FIAT 147 - DUNA - UNO\par } "</f>
        <v xml:space="preserve">{\rtf1\ansi\ansicpg1252\deff0\deflang11274{\fonttbl{\f0\fnil\fcharset0 MS Sans Serif}} \viewkind4\uc1\pard\f0\fs16 CONECTOR 5 V\'cdAS PORTA RELAY ACOPLABLE - ORIG. FIAT 147 - DUNA - UNO\par } </v>
      </c>
      <c r="AM1588" t="str">
        <f t="shared" si="1020"/>
        <v>-</v>
      </c>
    </row>
    <row r="1589" spans="1:39" x14ac:dyDescent="0.25">
      <c r="A1589" t="str">
        <f>"10172"</f>
        <v>10172</v>
      </c>
      <c r="B1589" t="str">
        <f>"CONECTOR 5 VÍAS SENSOR ELECTRÓNICO – GENERAL MOTORS – VW"</f>
        <v>CONECTOR 5 VÍAS SENSOR ELECTRÓNICO – GENERAL MOTORS – VW</v>
      </c>
      <c r="C1589" t="str">
        <f>"$ 5358,16"</f>
        <v>$ 5358,16</v>
      </c>
      <c r="D1589" t="str">
        <f>"$ 5358,16"</f>
        <v>$ 5358,16</v>
      </c>
      <c r="E1589" t="str">
        <f>"$ 5358,16"</f>
        <v>$ 5358,16</v>
      </c>
      <c r="F1589" t="str">
        <f>"$ 5358,16"</f>
        <v>$ 5358,16</v>
      </c>
      <c r="G1589" t="str">
        <f>"$ 5358,16"</f>
        <v>$ 5358,16</v>
      </c>
      <c r="H1589" t="str">
        <f t="shared" si="992"/>
        <v>$ 0,00</v>
      </c>
      <c r="I1589" t="str">
        <f t="shared" si="1013"/>
        <v>FICHA CONECTOR</v>
      </c>
      <c r="J1589" t="str">
        <f t="shared" si="993"/>
        <v>1</v>
      </c>
      <c r="K1589" t="str">
        <f t="shared" si="1026"/>
        <v>0</v>
      </c>
      <c r="L1589" t="str">
        <f>"13,000"</f>
        <v>13,000</v>
      </c>
      <c r="M1589" t="str">
        <f t="shared" si="994"/>
        <v xml:space="preserve"> </v>
      </c>
      <c r="N1589" t="str">
        <f t="shared" si="1014"/>
        <v>AUTRONIC</v>
      </c>
      <c r="O1589" t="str">
        <f t="shared" si="1015"/>
        <v>CABLES</v>
      </c>
      <c r="P1589" t="str">
        <f t="shared" si="1023"/>
        <v>0</v>
      </c>
      <c r="Q1589" t="str">
        <f t="shared" si="1023"/>
        <v>0</v>
      </c>
      <c r="R1589" t="str">
        <f t="shared" si="1024"/>
        <v>0,00</v>
      </c>
      <c r="S1589" t="str">
        <f t="shared" si="1024"/>
        <v>0,00</v>
      </c>
      <c r="T1589" t="str">
        <f t="shared" si="1017"/>
        <v xml:space="preserve"> </v>
      </c>
      <c r="U1589" t="str">
        <f t="shared" si="1012"/>
        <v xml:space="preserve"> </v>
      </c>
      <c r="V1589" t="str">
        <f>"13,000"</f>
        <v>13,000</v>
      </c>
      <c r="W1589" t="str">
        <f t="shared" si="995"/>
        <v>Lista 4</v>
      </c>
      <c r="X1589" t="str">
        <f t="shared" si="996"/>
        <v>Lista 5</v>
      </c>
      <c r="Y1589" t="str">
        <f t="shared" si="997"/>
        <v>Oferta Gral.</v>
      </c>
      <c r="Z1589" t="str">
        <f t="shared" si="998"/>
        <v>Rubro</v>
      </c>
      <c r="AA1589" t="str">
        <f t="shared" si="999"/>
        <v>Cantidad por Bulto</v>
      </c>
      <c r="AB1589" t="str">
        <f t="shared" si="1000"/>
        <v>INNER</v>
      </c>
      <c r="AC1589" t="str">
        <f t="shared" si="1001"/>
        <v>Stock en Bultos</v>
      </c>
      <c r="AD1589" t="str">
        <f t="shared" si="1002"/>
        <v>SubDepósito</v>
      </c>
      <c r="AE1589" t="str">
        <f t="shared" si="1003"/>
        <v>Marca</v>
      </c>
      <c r="AF1589" t="str">
        <f t="shared" si="1004"/>
        <v>Super Rubro</v>
      </c>
      <c r="AG1589" t="str">
        <f t="shared" si="1005"/>
        <v>ComercioExterior</v>
      </c>
      <c r="AH1589" t="str">
        <f t="shared" si="1006"/>
        <v>PrecioFOB</v>
      </c>
      <c r="AI1589" t="str">
        <f t="shared" si="1007"/>
        <v>Monto II</v>
      </c>
      <c r="AJ1589" t="str">
        <f t="shared" si="1008"/>
        <v>Porcentaje II</v>
      </c>
      <c r="AK1589" t="str">
        <f t="shared" si="1009"/>
        <v>Foto</v>
      </c>
      <c r="AL1589" t="str">
        <f>"{\rtf1\ansi\ansicpg1252\deff0\deflang11274{\fonttbl{\f0\fnil\fcharset0 MS Sans Serif}} \viewkind4\uc1\pard\f0\fs16 CONECTOR 5 V\'cdAS SENSOR ELECTR\'d3NICO \endash  GENERAL MOTORS \endash  VW\par } "</f>
        <v xml:space="preserve">{\rtf1\ansi\ansicpg1252\deff0\deflang11274{\fonttbl{\f0\fnil\fcharset0 MS Sans Serif}} \viewkind4\uc1\pard\f0\fs16 CONECTOR 5 V\'cdAS SENSOR ELECTR\'d3NICO \endash  GENERAL MOTORS \endash  VW\par } </v>
      </c>
      <c r="AM1589" t="str">
        <f t="shared" si="1020"/>
        <v>-</v>
      </c>
    </row>
    <row r="1590" spans="1:39" x14ac:dyDescent="0.25">
      <c r="A1590" t="str">
        <f>"10286"</f>
        <v>10286</v>
      </c>
      <c r="B1590" t="str">
        <f>"CONECTOR 6 VIAS C. IMPRESO FARO TRASERO DUNA"</f>
        <v>CONECTOR 6 VIAS C. IMPRESO FARO TRASERO DUNA</v>
      </c>
      <c r="C1590" t="str">
        <f>"$ 5759,02"</f>
        <v>$ 5759,02</v>
      </c>
      <c r="D1590" t="str">
        <f>"$ 5759,02"</f>
        <v>$ 5759,02</v>
      </c>
      <c r="E1590" t="str">
        <f>"$ 5759,02"</f>
        <v>$ 5759,02</v>
      </c>
      <c r="F1590" t="str">
        <f>"$ 5759,02"</f>
        <v>$ 5759,02</v>
      </c>
      <c r="G1590" t="str">
        <f>"$ 5759,02"</f>
        <v>$ 5759,02</v>
      </c>
      <c r="H1590" t="str">
        <f t="shared" si="992"/>
        <v>$ 0,00</v>
      </c>
      <c r="I1590" t="str">
        <f t="shared" si="1013"/>
        <v>FICHA CONECTOR</v>
      </c>
      <c r="J1590" t="str">
        <f t="shared" si="993"/>
        <v>1</v>
      </c>
      <c r="K1590" t="str">
        <f t="shared" si="1026"/>
        <v>0</v>
      </c>
      <c r="L1590" t="str">
        <f>"16,000"</f>
        <v>16,000</v>
      </c>
      <c r="M1590" t="str">
        <f t="shared" si="994"/>
        <v xml:space="preserve"> </v>
      </c>
      <c r="N1590" t="str">
        <f t="shared" si="1014"/>
        <v>AUTRONIC</v>
      </c>
      <c r="O1590" t="str">
        <f t="shared" si="1015"/>
        <v>CABLES</v>
      </c>
      <c r="P1590" t="str">
        <f t="shared" si="1023"/>
        <v>0</v>
      </c>
      <c r="Q1590" t="str">
        <f t="shared" si="1023"/>
        <v>0</v>
      </c>
      <c r="R1590" t="str">
        <f t="shared" si="1024"/>
        <v>0,00</v>
      </c>
      <c r="S1590" t="str">
        <f t="shared" si="1024"/>
        <v>0,00</v>
      </c>
      <c r="T1590" t="str">
        <f t="shared" si="1017"/>
        <v xml:space="preserve"> </v>
      </c>
      <c r="U1590" t="str">
        <f t="shared" si="1012"/>
        <v xml:space="preserve"> </v>
      </c>
      <c r="V1590" t="str">
        <f>"16,000"</f>
        <v>16,000</v>
      </c>
      <c r="W1590" t="str">
        <f t="shared" si="995"/>
        <v>Lista 4</v>
      </c>
      <c r="X1590" t="str">
        <f t="shared" si="996"/>
        <v>Lista 5</v>
      </c>
      <c r="Y1590" t="str">
        <f t="shared" si="997"/>
        <v>Oferta Gral.</v>
      </c>
      <c r="Z1590" t="str">
        <f t="shared" si="998"/>
        <v>Rubro</v>
      </c>
      <c r="AA1590" t="str">
        <f t="shared" si="999"/>
        <v>Cantidad por Bulto</v>
      </c>
      <c r="AB1590" t="str">
        <f t="shared" si="1000"/>
        <v>INNER</v>
      </c>
      <c r="AC1590" t="str">
        <f t="shared" si="1001"/>
        <v>Stock en Bultos</v>
      </c>
      <c r="AD1590" t="str">
        <f t="shared" si="1002"/>
        <v>SubDepósito</v>
      </c>
      <c r="AE1590" t="str">
        <f t="shared" si="1003"/>
        <v>Marca</v>
      </c>
      <c r="AF1590" t="str">
        <f t="shared" si="1004"/>
        <v>Super Rubro</v>
      </c>
      <c r="AG1590" t="str">
        <f t="shared" si="1005"/>
        <v>ComercioExterior</v>
      </c>
      <c r="AH1590" t="str">
        <f t="shared" si="1006"/>
        <v>PrecioFOB</v>
      </c>
      <c r="AI1590" t="str">
        <f t="shared" si="1007"/>
        <v>Monto II</v>
      </c>
      <c r="AJ1590" t="str">
        <f t="shared" si="1008"/>
        <v>Porcentaje II</v>
      </c>
      <c r="AK1590" t="str">
        <f t="shared" si="1009"/>
        <v>Foto</v>
      </c>
      <c r="AL1590" t="str">
        <f>"{\rtf1\ansi\ansicpg1252\deff0\deflang11274{\fonttbl{\f0\fnil\fcharset0 MS Sans Serif}} \viewkind4\uc1\pard\f0\fs16 CONECTOR 6 VIAS C. IMPRESO FARO TRASERO DUNA\par } "</f>
        <v xml:space="preserve">{\rtf1\ansi\ansicpg1252\deff0\deflang11274{\fonttbl{\f0\fnil\fcharset0 MS Sans Serif}} \viewkind4\uc1\pard\f0\fs16 CONECTOR 6 VIAS C. IMPRESO FARO TRASERO DUNA\par } </v>
      </c>
      <c r="AM1590" t="str">
        <f t="shared" si="1020"/>
        <v>-</v>
      </c>
    </row>
    <row r="1591" spans="1:39" x14ac:dyDescent="0.25">
      <c r="A1591" t="str">
        <f>"10186"</f>
        <v>10186</v>
      </c>
      <c r="B1591" t="str">
        <f>"CONECTOR 6 VIAS HEMBRA TRABA CENTRALIZADA ESCORT"</f>
        <v>CONECTOR 6 VIAS HEMBRA TRABA CENTRALIZADA ESCORT</v>
      </c>
      <c r="C1591" t="str">
        <f>"$ 3978,86"</f>
        <v>$ 3978,86</v>
      </c>
      <c r="D1591" t="str">
        <f>"$ 3978,86"</f>
        <v>$ 3978,86</v>
      </c>
      <c r="E1591" t="str">
        <f>"$ 3978,86"</f>
        <v>$ 3978,86</v>
      </c>
      <c r="F1591" t="str">
        <f>"$ 3978,86"</f>
        <v>$ 3978,86</v>
      </c>
      <c r="G1591" t="str">
        <f>"$ 3978,86"</f>
        <v>$ 3978,86</v>
      </c>
      <c r="H1591" t="str">
        <f t="shared" si="992"/>
        <v>$ 0,00</v>
      </c>
      <c r="I1591" t="str">
        <f t="shared" si="1013"/>
        <v>FICHA CONECTOR</v>
      </c>
      <c r="J1591" t="str">
        <f t="shared" si="993"/>
        <v>1</v>
      </c>
      <c r="K1591" t="str">
        <f t="shared" si="1026"/>
        <v>0</v>
      </c>
      <c r="L1591" t="str">
        <f>"0,000"</f>
        <v>0,000</v>
      </c>
      <c r="M1591" t="str">
        <f t="shared" si="994"/>
        <v xml:space="preserve"> </v>
      </c>
      <c r="N1591" t="str">
        <f t="shared" si="1014"/>
        <v>AUTRONIC</v>
      </c>
      <c r="O1591" t="str">
        <f t="shared" si="1015"/>
        <v>CABLES</v>
      </c>
      <c r="P1591" t="str">
        <f t="shared" si="1023"/>
        <v>0</v>
      </c>
      <c r="Q1591" t="str">
        <f t="shared" si="1023"/>
        <v>0</v>
      </c>
      <c r="R1591" t="str">
        <f t="shared" si="1024"/>
        <v>0,00</v>
      </c>
      <c r="S1591" t="str">
        <f t="shared" si="1024"/>
        <v>0,00</v>
      </c>
      <c r="T1591" t="str">
        <f t="shared" si="1017"/>
        <v xml:space="preserve"> </v>
      </c>
      <c r="U1591" t="str">
        <f t="shared" si="1012"/>
        <v xml:space="preserve"> </v>
      </c>
      <c r="V1591" t="str">
        <f>"0,000"</f>
        <v>0,000</v>
      </c>
      <c r="W1591" t="str">
        <f t="shared" si="995"/>
        <v>Lista 4</v>
      </c>
      <c r="X1591" t="str">
        <f t="shared" si="996"/>
        <v>Lista 5</v>
      </c>
      <c r="Y1591" t="str">
        <f t="shared" si="997"/>
        <v>Oferta Gral.</v>
      </c>
      <c r="Z1591" t="str">
        <f t="shared" si="998"/>
        <v>Rubro</v>
      </c>
      <c r="AA1591" t="str">
        <f t="shared" si="999"/>
        <v>Cantidad por Bulto</v>
      </c>
      <c r="AB1591" t="str">
        <f t="shared" si="1000"/>
        <v>INNER</v>
      </c>
      <c r="AC1591" t="str">
        <f t="shared" si="1001"/>
        <v>Stock en Bultos</v>
      </c>
      <c r="AD1591" t="str">
        <f t="shared" si="1002"/>
        <v>SubDepósito</v>
      </c>
      <c r="AE1591" t="str">
        <f t="shared" si="1003"/>
        <v>Marca</v>
      </c>
      <c r="AF1591" t="str">
        <f t="shared" si="1004"/>
        <v>Super Rubro</v>
      </c>
      <c r="AG1591" t="str">
        <f t="shared" si="1005"/>
        <v>ComercioExterior</v>
      </c>
      <c r="AH1591" t="str">
        <f t="shared" si="1006"/>
        <v>PrecioFOB</v>
      </c>
      <c r="AI1591" t="str">
        <f t="shared" si="1007"/>
        <v>Monto II</v>
      </c>
      <c r="AJ1591" t="str">
        <f t="shared" si="1008"/>
        <v>Porcentaje II</v>
      </c>
      <c r="AK1591" t="str">
        <f t="shared" si="1009"/>
        <v>Foto</v>
      </c>
      <c r="AL1591" t="str">
        <f>"{\rtf1\ansi\ansicpg1252\deff0\deflang11274{\fonttbl{\f0\fnil\fcharset0 MS Sans Serif}} \viewkind4\uc1\pard\f0\fs16 CONECTOR 6 VIAS HEMBRA TRABA CENTRALIZADA ESCORT\par } "</f>
        <v xml:space="preserve">{\rtf1\ansi\ansicpg1252\deff0\deflang11274{\fonttbl{\f0\fnil\fcharset0 MS Sans Serif}} \viewkind4\uc1\pard\f0\fs16 CONECTOR 6 VIAS HEMBRA TRABA CENTRALIZADA ESCORT\par } </v>
      </c>
      <c r="AM1591" t="str">
        <f t="shared" si="1020"/>
        <v>-</v>
      </c>
    </row>
    <row r="1592" spans="1:39" x14ac:dyDescent="0.25">
      <c r="A1592" t="str">
        <f>"10194"</f>
        <v>10194</v>
      </c>
      <c r="B1592" t="str">
        <f>"CONECTOR 6 VIAS MACHO LEVANTA VIDRIOS RENAULT 19-21"</f>
        <v>CONECTOR 6 VIAS MACHO LEVANTA VIDRIOS RENAULT 19-21</v>
      </c>
      <c r="C1592" t="str">
        <f>"$ 5077,56"</f>
        <v>$ 5077,56</v>
      </c>
      <c r="D1592" t="str">
        <f>"$ 5077,56"</f>
        <v>$ 5077,56</v>
      </c>
      <c r="E1592" t="str">
        <f>"$ 5077,56"</f>
        <v>$ 5077,56</v>
      </c>
      <c r="F1592" t="str">
        <f>"$ 5077,56"</f>
        <v>$ 5077,56</v>
      </c>
      <c r="G1592" t="str">
        <f>"$ 5077,56"</f>
        <v>$ 5077,56</v>
      </c>
      <c r="H1592" t="str">
        <f t="shared" si="992"/>
        <v>$ 0,00</v>
      </c>
      <c r="I1592" t="str">
        <f t="shared" si="1013"/>
        <v>FICHA CONECTOR</v>
      </c>
      <c r="J1592" t="str">
        <f t="shared" si="993"/>
        <v>1</v>
      </c>
      <c r="K1592" t="str">
        <f t="shared" si="1026"/>
        <v>0</v>
      </c>
      <c r="L1592" t="str">
        <f>"0,000"</f>
        <v>0,000</v>
      </c>
      <c r="M1592" t="str">
        <f t="shared" si="994"/>
        <v xml:space="preserve"> </v>
      </c>
      <c r="N1592" t="str">
        <f t="shared" si="1014"/>
        <v>AUTRONIC</v>
      </c>
      <c r="O1592" t="str">
        <f t="shared" si="1015"/>
        <v>CABLES</v>
      </c>
      <c r="P1592" t="str">
        <f t="shared" si="1023"/>
        <v>0</v>
      </c>
      <c r="Q1592" t="str">
        <f t="shared" si="1023"/>
        <v>0</v>
      </c>
      <c r="R1592" t="str">
        <f t="shared" si="1024"/>
        <v>0,00</v>
      </c>
      <c r="S1592" t="str">
        <f t="shared" si="1024"/>
        <v>0,00</v>
      </c>
      <c r="T1592" t="str">
        <f t="shared" si="1017"/>
        <v xml:space="preserve"> </v>
      </c>
      <c r="U1592" t="str">
        <f t="shared" si="1012"/>
        <v xml:space="preserve"> </v>
      </c>
      <c r="V1592" t="str">
        <f>"0,000"</f>
        <v>0,000</v>
      </c>
      <c r="W1592" t="str">
        <f t="shared" si="995"/>
        <v>Lista 4</v>
      </c>
      <c r="X1592" t="str">
        <f t="shared" si="996"/>
        <v>Lista 5</v>
      </c>
      <c r="Y1592" t="str">
        <f t="shared" si="997"/>
        <v>Oferta Gral.</v>
      </c>
      <c r="Z1592" t="str">
        <f t="shared" si="998"/>
        <v>Rubro</v>
      </c>
      <c r="AA1592" t="str">
        <f t="shared" si="999"/>
        <v>Cantidad por Bulto</v>
      </c>
      <c r="AB1592" t="str">
        <f t="shared" si="1000"/>
        <v>INNER</v>
      </c>
      <c r="AC1592" t="str">
        <f t="shared" si="1001"/>
        <v>Stock en Bultos</v>
      </c>
      <c r="AD1592" t="str">
        <f t="shared" si="1002"/>
        <v>SubDepósito</v>
      </c>
      <c r="AE1592" t="str">
        <f t="shared" si="1003"/>
        <v>Marca</v>
      </c>
      <c r="AF1592" t="str">
        <f t="shared" si="1004"/>
        <v>Super Rubro</v>
      </c>
      <c r="AG1592" t="str">
        <f t="shared" si="1005"/>
        <v>ComercioExterior</v>
      </c>
      <c r="AH1592" t="str">
        <f t="shared" si="1006"/>
        <v>PrecioFOB</v>
      </c>
      <c r="AI1592" t="str">
        <f t="shared" si="1007"/>
        <v>Monto II</v>
      </c>
      <c r="AJ1592" t="str">
        <f t="shared" si="1008"/>
        <v>Porcentaje II</v>
      </c>
      <c r="AK1592" t="str">
        <f t="shared" si="1009"/>
        <v>Foto</v>
      </c>
      <c r="AL1592" t="str">
        <f>"{\rtf1\ansi\ansicpg1252\deff0\deflang11274{\fonttbl{\f0\fnil\fcharset0 MS Sans Serif}} \viewkind4\uc1\pard\f0\fs16 CONECTOR 6 VIAS MACHO LEVANTA VIDRIOS RENAULT 19-21\par } "</f>
        <v xml:space="preserve">{\rtf1\ansi\ansicpg1252\deff0\deflang11274{\fonttbl{\f0\fnil\fcharset0 MS Sans Serif}} \viewkind4\uc1\pard\f0\fs16 CONECTOR 6 VIAS MACHO LEVANTA VIDRIOS RENAULT 19-21\par } </v>
      </c>
      <c r="AM1592" t="str">
        <f t="shared" si="1020"/>
        <v>-</v>
      </c>
    </row>
    <row r="1593" spans="1:39" x14ac:dyDescent="0.25">
      <c r="A1593" t="str">
        <f>"10389"</f>
        <v>10389</v>
      </c>
      <c r="B1593" t="str">
        <f>"CONECTOR 6 VIAS MODULO ELECTRONICO VW"</f>
        <v>CONECTOR 6 VIAS MODULO ELECTRONICO VW</v>
      </c>
      <c r="C1593" t="str">
        <f>"$ 6271,15"</f>
        <v>$ 6271,15</v>
      </c>
      <c r="D1593" t="str">
        <f>"$ 6271,15"</f>
        <v>$ 6271,15</v>
      </c>
      <c r="E1593" t="str">
        <f>"$ 6271,15"</f>
        <v>$ 6271,15</v>
      </c>
      <c r="F1593" t="str">
        <f>"$ 6271,15"</f>
        <v>$ 6271,15</v>
      </c>
      <c r="G1593" t="str">
        <f>"$ 6271,15"</f>
        <v>$ 6271,15</v>
      </c>
      <c r="H1593" t="str">
        <f t="shared" si="992"/>
        <v>$ 0,00</v>
      </c>
      <c r="I1593" t="str">
        <f t="shared" si="1013"/>
        <v>FICHA CONECTOR</v>
      </c>
      <c r="J1593" t="str">
        <f t="shared" si="993"/>
        <v>1</v>
      </c>
      <c r="K1593" t="str">
        <f t="shared" si="1026"/>
        <v>0</v>
      </c>
      <c r="L1593" t="str">
        <f>"0,000"</f>
        <v>0,000</v>
      </c>
      <c r="M1593" t="str">
        <f t="shared" si="994"/>
        <v xml:space="preserve"> </v>
      </c>
      <c r="N1593" t="str">
        <f t="shared" si="1014"/>
        <v>AUTRONIC</v>
      </c>
      <c r="O1593" t="str">
        <f t="shared" si="1015"/>
        <v>CABLES</v>
      </c>
      <c r="P1593" t="str">
        <f t="shared" si="1023"/>
        <v>0</v>
      </c>
      <c r="Q1593" t="str">
        <f t="shared" si="1023"/>
        <v>0</v>
      </c>
      <c r="R1593" t="str">
        <f t="shared" si="1024"/>
        <v>0,00</v>
      </c>
      <c r="S1593" t="str">
        <f t="shared" si="1024"/>
        <v>0,00</v>
      </c>
      <c r="T1593" t="str">
        <f t="shared" ref="T1593:T1598" si="1027">" "</f>
        <v xml:space="preserve"> </v>
      </c>
      <c r="U1593" t="str">
        <f t="shared" si="1012"/>
        <v xml:space="preserve"> </v>
      </c>
      <c r="V1593" t="str">
        <f>"0,000"</f>
        <v>0,000</v>
      </c>
      <c r="W1593" t="str">
        <f t="shared" si="995"/>
        <v>Lista 4</v>
      </c>
      <c r="X1593" t="str">
        <f t="shared" si="996"/>
        <v>Lista 5</v>
      </c>
      <c r="Y1593" t="str">
        <f t="shared" si="997"/>
        <v>Oferta Gral.</v>
      </c>
      <c r="Z1593" t="str">
        <f t="shared" si="998"/>
        <v>Rubro</v>
      </c>
      <c r="AA1593" t="str">
        <f t="shared" si="999"/>
        <v>Cantidad por Bulto</v>
      </c>
      <c r="AB1593" t="str">
        <f t="shared" si="1000"/>
        <v>INNER</v>
      </c>
      <c r="AC1593" t="str">
        <f t="shared" si="1001"/>
        <v>Stock en Bultos</v>
      </c>
      <c r="AD1593" t="str">
        <f t="shared" si="1002"/>
        <v>SubDepósito</v>
      </c>
      <c r="AE1593" t="str">
        <f t="shared" si="1003"/>
        <v>Marca</v>
      </c>
      <c r="AF1593" t="str">
        <f t="shared" si="1004"/>
        <v>Super Rubro</v>
      </c>
      <c r="AG1593" t="str">
        <f t="shared" si="1005"/>
        <v>ComercioExterior</v>
      </c>
      <c r="AH1593" t="str">
        <f t="shared" si="1006"/>
        <v>PrecioFOB</v>
      </c>
      <c r="AI1593" t="str">
        <f t="shared" si="1007"/>
        <v>Monto II</v>
      </c>
      <c r="AJ1593" t="str">
        <f t="shared" si="1008"/>
        <v>Porcentaje II</v>
      </c>
      <c r="AK1593" t="str">
        <f t="shared" si="1009"/>
        <v>Foto</v>
      </c>
      <c r="AL1593" t="str">
        <f>"{\rtf1\ansi\ansicpg1252\deff0\deflang11274{\fonttbl{\f0\fnil\fcharset0 MS Sans Serif}} \viewkind4\uc1\pard\f0\fs16 CONECTOR 6 VIAS MODULO ELECTRONICO VW\par } "</f>
        <v xml:space="preserve">{\rtf1\ansi\ansicpg1252\deff0\deflang11274{\fonttbl{\f0\fnil\fcharset0 MS Sans Serif}} \viewkind4\uc1\pard\f0\fs16 CONECTOR 6 VIAS MODULO ELECTRONICO VW\par } </v>
      </c>
      <c r="AM1593" t="str">
        <f t="shared" si="1020"/>
        <v>-</v>
      </c>
    </row>
    <row r="1594" spans="1:39" x14ac:dyDescent="0.25">
      <c r="A1594" t="str">
        <f>"10376"</f>
        <v>10376</v>
      </c>
      <c r="B1594" t="str">
        <f>"CONECTOR 6 VIAS MODULO INYECCION ELECTRONICA FIAT PALIO SIENA"</f>
        <v>CONECTOR 6 VIAS MODULO INYECCION ELECTRONICA FIAT PALIO SIENA</v>
      </c>
      <c r="C1594" t="str">
        <f>"$ 5318,08"</f>
        <v>$ 5318,08</v>
      </c>
      <c r="D1594" t="str">
        <f>"$ 5318,08"</f>
        <v>$ 5318,08</v>
      </c>
      <c r="E1594" t="str">
        <f>"$ 5318,08"</f>
        <v>$ 5318,08</v>
      </c>
      <c r="F1594" t="str">
        <f>"$ 5318,08"</f>
        <v>$ 5318,08</v>
      </c>
      <c r="G1594" t="str">
        <f>"$ 5318,08"</f>
        <v>$ 5318,08</v>
      </c>
      <c r="H1594" t="str">
        <f t="shared" si="992"/>
        <v>$ 0,00</v>
      </c>
      <c r="I1594" t="str">
        <f t="shared" si="1013"/>
        <v>FICHA CONECTOR</v>
      </c>
      <c r="J1594" t="str">
        <f t="shared" si="993"/>
        <v>1</v>
      </c>
      <c r="K1594" t="str">
        <f t="shared" si="1026"/>
        <v>0</v>
      </c>
      <c r="L1594" t="str">
        <f>"0,000"</f>
        <v>0,000</v>
      </c>
      <c r="M1594" t="str">
        <f t="shared" si="994"/>
        <v xml:space="preserve"> </v>
      </c>
      <c r="N1594" t="str">
        <f t="shared" si="1014"/>
        <v>AUTRONIC</v>
      </c>
      <c r="O1594" t="str">
        <f t="shared" si="1015"/>
        <v>CABLES</v>
      </c>
      <c r="P1594" t="str">
        <f t="shared" si="1023"/>
        <v>0</v>
      </c>
      <c r="Q1594" t="str">
        <f t="shared" si="1023"/>
        <v>0</v>
      </c>
      <c r="R1594" t="str">
        <f t="shared" si="1024"/>
        <v>0,00</v>
      </c>
      <c r="S1594" t="str">
        <f t="shared" si="1024"/>
        <v>0,00</v>
      </c>
      <c r="T1594" t="str">
        <f t="shared" si="1027"/>
        <v xml:space="preserve"> </v>
      </c>
      <c r="U1594" t="str">
        <f t="shared" si="1012"/>
        <v xml:space="preserve"> </v>
      </c>
      <c r="V1594" t="str">
        <f>"0,000"</f>
        <v>0,000</v>
      </c>
      <c r="W1594" t="str">
        <f t="shared" si="995"/>
        <v>Lista 4</v>
      </c>
      <c r="X1594" t="str">
        <f t="shared" si="996"/>
        <v>Lista 5</v>
      </c>
      <c r="Y1594" t="str">
        <f t="shared" si="997"/>
        <v>Oferta Gral.</v>
      </c>
      <c r="Z1594" t="str">
        <f t="shared" si="998"/>
        <v>Rubro</v>
      </c>
      <c r="AA1594" t="str">
        <f t="shared" si="999"/>
        <v>Cantidad por Bulto</v>
      </c>
      <c r="AB1594" t="str">
        <f t="shared" si="1000"/>
        <v>INNER</v>
      </c>
      <c r="AC1594" t="str">
        <f t="shared" si="1001"/>
        <v>Stock en Bultos</v>
      </c>
      <c r="AD1594" t="str">
        <f t="shared" si="1002"/>
        <v>SubDepósito</v>
      </c>
      <c r="AE1594" t="str">
        <f t="shared" si="1003"/>
        <v>Marca</v>
      </c>
      <c r="AF1594" t="str">
        <f t="shared" si="1004"/>
        <v>Super Rubro</v>
      </c>
      <c r="AG1594" t="str">
        <f t="shared" si="1005"/>
        <v>ComercioExterior</v>
      </c>
      <c r="AH1594" t="str">
        <f t="shared" si="1006"/>
        <v>PrecioFOB</v>
      </c>
      <c r="AI1594" t="str">
        <f t="shared" si="1007"/>
        <v>Monto II</v>
      </c>
      <c r="AJ1594" t="str">
        <f t="shared" si="1008"/>
        <v>Porcentaje II</v>
      </c>
      <c r="AK1594" t="str">
        <f t="shared" si="1009"/>
        <v>Foto</v>
      </c>
      <c r="AL1594" t="str">
        <f>"{\rtf1\ansi\ansicpg1252\deff0\deflang11274{\fonttbl{\f0\fnil\fcharset0 MS Sans Serif}} \viewkind4\uc1\pard\f0\fs16 CONECTOR 6 VIAS MODULO INYECCION ELECTRONICA FIAT PALIO SIENA\par } "</f>
        <v xml:space="preserve">{\rtf1\ansi\ansicpg1252\deff0\deflang11274{\fonttbl{\f0\fnil\fcharset0 MS Sans Serif}} \viewkind4\uc1\pard\f0\fs16 CONECTOR 6 VIAS MODULO INYECCION ELECTRONICA FIAT PALIO SIENA\par } </v>
      </c>
      <c r="AM1594" t="str">
        <f t="shared" si="1020"/>
        <v>-</v>
      </c>
    </row>
    <row r="1595" spans="1:39" x14ac:dyDescent="0.25">
      <c r="A1595" t="str">
        <f>"10345"</f>
        <v>10345</v>
      </c>
      <c r="B1595" t="str">
        <f>"CONECTOR 6 VIAS PRESOSTATO A/A FIAT PALIO SIENA"</f>
        <v>CONECTOR 6 VIAS PRESOSTATO A/A FIAT PALIO SIENA</v>
      </c>
      <c r="C1595" t="str">
        <f>"$ 6240,05"</f>
        <v>$ 6240,05</v>
      </c>
      <c r="D1595" t="str">
        <f>"$ 6240,05"</f>
        <v>$ 6240,05</v>
      </c>
      <c r="E1595" t="str">
        <f>"$ 6240,05"</f>
        <v>$ 6240,05</v>
      </c>
      <c r="F1595" t="str">
        <f>"$ 6240,05"</f>
        <v>$ 6240,05</v>
      </c>
      <c r="G1595" t="str">
        <f>"$ 6240,05"</f>
        <v>$ 6240,05</v>
      </c>
      <c r="H1595" t="str">
        <f t="shared" si="992"/>
        <v>$ 0,00</v>
      </c>
      <c r="I1595" t="str">
        <f t="shared" si="1013"/>
        <v>FICHA CONECTOR</v>
      </c>
      <c r="J1595" t="str">
        <f t="shared" si="993"/>
        <v>1</v>
      </c>
      <c r="K1595" t="str">
        <f t="shared" si="1026"/>
        <v>0</v>
      </c>
      <c r="L1595" t="str">
        <f>"0,000"</f>
        <v>0,000</v>
      </c>
      <c r="M1595" t="str">
        <f t="shared" si="994"/>
        <v xml:space="preserve"> </v>
      </c>
      <c r="N1595" t="str">
        <f t="shared" si="1014"/>
        <v>AUTRONIC</v>
      </c>
      <c r="O1595" t="str">
        <f t="shared" si="1015"/>
        <v>CABLES</v>
      </c>
      <c r="P1595" t="str">
        <f t="shared" si="1023"/>
        <v>0</v>
      </c>
      <c r="Q1595" t="str">
        <f t="shared" si="1023"/>
        <v>0</v>
      </c>
      <c r="R1595" t="str">
        <f t="shared" si="1024"/>
        <v>0,00</v>
      </c>
      <c r="S1595" t="str">
        <f t="shared" si="1024"/>
        <v>0,00</v>
      </c>
      <c r="T1595" t="str">
        <f t="shared" si="1027"/>
        <v xml:space="preserve"> </v>
      </c>
      <c r="U1595" t="str">
        <f t="shared" si="1012"/>
        <v xml:space="preserve"> </v>
      </c>
      <c r="V1595" t="str">
        <f>"0,000"</f>
        <v>0,000</v>
      </c>
      <c r="W1595" t="str">
        <f t="shared" si="995"/>
        <v>Lista 4</v>
      </c>
      <c r="X1595" t="str">
        <f t="shared" si="996"/>
        <v>Lista 5</v>
      </c>
      <c r="Y1595" t="str">
        <f t="shared" si="997"/>
        <v>Oferta Gral.</v>
      </c>
      <c r="Z1595" t="str">
        <f t="shared" si="998"/>
        <v>Rubro</v>
      </c>
      <c r="AA1595" t="str">
        <f t="shared" si="999"/>
        <v>Cantidad por Bulto</v>
      </c>
      <c r="AB1595" t="str">
        <f t="shared" si="1000"/>
        <v>INNER</v>
      </c>
      <c r="AC1595" t="str">
        <f t="shared" si="1001"/>
        <v>Stock en Bultos</v>
      </c>
      <c r="AD1595" t="str">
        <f t="shared" si="1002"/>
        <v>SubDepósito</v>
      </c>
      <c r="AE1595" t="str">
        <f t="shared" si="1003"/>
        <v>Marca</v>
      </c>
      <c r="AF1595" t="str">
        <f t="shared" si="1004"/>
        <v>Super Rubro</v>
      </c>
      <c r="AG1595" t="str">
        <f t="shared" si="1005"/>
        <v>ComercioExterior</v>
      </c>
      <c r="AH1595" t="str">
        <f t="shared" si="1006"/>
        <v>PrecioFOB</v>
      </c>
      <c r="AI1595" t="str">
        <f t="shared" si="1007"/>
        <v>Monto II</v>
      </c>
      <c r="AJ1595" t="str">
        <f t="shared" si="1008"/>
        <v>Porcentaje II</v>
      </c>
      <c r="AK1595" t="str">
        <f t="shared" si="1009"/>
        <v>Foto</v>
      </c>
      <c r="AL1595" t="str">
        <f>"{\rtf1\ansi\ansicpg1252\deff0\deflang11274{\fonttbl{\f0\fnil\fcharset0 MS Sans Serif}} \viewkind4\uc1\pard\f0\fs16 CONECTOR 6 VIAS PRESOSTATO A/A FIAT PALIO SIENA\par } "</f>
        <v xml:space="preserve">{\rtf1\ansi\ansicpg1252\deff0\deflang11274{\fonttbl{\f0\fnil\fcharset0 MS Sans Serif}} \viewkind4\uc1\pard\f0\fs16 CONECTOR 6 VIAS PRESOSTATO A/A FIAT PALIO SIENA\par } </v>
      </c>
      <c r="AM1595" t="str">
        <f t="shared" si="1020"/>
        <v>-</v>
      </c>
    </row>
    <row r="1596" spans="1:39" x14ac:dyDescent="0.25">
      <c r="A1596" t="str">
        <f>"10404"</f>
        <v>10404</v>
      </c>
      <c r="B1596" t="str">
        <f>"CONECTOR 6 VIAS SENSOR MARIPOSA ELECTRONICO FIRE"</f>
        <v>CONECTOR 6 VIAS SENSOR MARIPOSA ELECTRONICO FIRE</v>
      </c>
      <c r="C1596" t="str">
        <f>"$ 10275,38"</f>
        <v>$ 10275,38</v>
      </c>
      <c r="D1596" t="str">
        <f>"$ 10275,38"</f>
        <v>$ 10275,38</v>
      </c>
      <c r="E1596" t="str">
        <f>"$ 10275,38"</f>
        <v>$ 10275,38</v>
      </c>
      <c r="F1596" t="str">
        <f>"$ 10275,38"</f>
        <v>$ 10275,38</v>
      </c>
      <c r="G1596" t="str">
        <f>"$ 10275,38"</f>
        <v>$ 10275,38</v>
      </c>
      <c r="H1596" t="str">
        <f t="shared" si="992"/>
        <v>$ 0,00</v>
      </c>
      <c r="I1596" t="str">
        <f t="shared" si="1013"/>
        <v>FICHA CONECTOR</v>
      </c>
      <c r="J1596" t="str">
        <f t="shared" si="993"/>
        <v>1</v>
      </c>
      <c r="K1596" t="str">
        <f t="shared" si="1026"/>
        <v>0</v>
      </c>
      <c r="L1596" t="str">
        <f>"6,000"</f>
        <v>6,000</v>
      </c>
      <c r="M1596" t="str">
        <f t="shared" si="994"/>
        <v xml:space="preserve"> </v>
      </c>
      <c r="N1596" t="str">
        <f t="shared" si="1014"/>
        <v>AUTRONIC</v>
      </c>
      <c r="O1596" t="str">
        <f t="shared" si="1015"/>
        <v>CABLES</v>
      </c>
      <c r="P1596" t="str">
        <f t="shared" si="1023"/>
        <v>0</v>
      </c>
      <c r="Q1596" t="str">
        <f t="shared" si="1023"/>
        <v>0</v>
      </c>
      <c r="R1596" t="str">
        <f t="shared" si="1024"/>
        <v>0,00</v>
      </c>
      <c r="S1596" t="str">
        <f t="shared" si="1024"/>
        <v>0,00</v>
      </c>
      <c r="T1596" t="str">
        <f t="shared" si="1027"/>
        <v xml:space="preserve"> </v>
      </c>
      <c r="U1596" t="str">
        <f t="shared" si="1012"/>
        <v xml:space="preserve"> </v>
      </c>
      <c r="V1596" t="str">
        <f>"6,000"</f>
        <v>6,000</v>
      </c>
      <c r="W1596" t="str">
        <f t="shared" si="995"/>
        <v>Lista 4</v>
      </c>
      <c r="X1596" t="str">
        <f t="shared" si="996"/>
        <v>Lista 5</v>
      </c>
      <c r="Y1596" t="str">
        <f t="shared" si="997"/>
        <v>Oferta Gral.</v>
      </c>
      <c r="Z1596" t="str">
        <f t="shared" si="998"/>
        <v>Rubro</v>
      </c>
      <c r="AA1596" t="str">
        <f t="shared" si="999"/>
        <v>Cantidad por Bulto</v>
      </c>
      <c r="AB1596" t="str">
        <f t="shared" si="1000"/>
        <v>INNER</v>
      </c>
      <c r="AC1596" t="str">
        <f t="shared" si="1001"/>
        <v>Stock en Bultos</v>
      </c>
      <c r="AD1596" t="str">
        <f t="shared" si="1002"/>
        <v>SubDepósito</v>
      </c>
      <c r="AE1596" t="str">
        <f t="shared" si="1003"/>
        <v>Marca</v>
      </c>
      <c r="AF1596" t="str">
        <f t="shared" si="1004"/>
        <v>Super Rubro</v>
      </c>
      <c r="AG1596" t="str">
        <f t="shared" si="1005"/>
        <v>ComercioExterior</v>
      </c>
      <c r="AH1596" t="str">
        <f t="shared" si="1006"/>
        <v>PrecioFOB</v>
      </c>
      <c r="AI1596" t="str">
        <f t="shared" si="1007"/>
        <v>Monto II</v>
      </c>
      <c r="AJ1596" t="str">
        <f t="shared" si="1008"/>
        <v>Porcentaje II</v>
      </c>
      <c r="AK1596" t="str">
        <f t="shared" si="1009"/>
        <v>Foto</v>
      </c>
      <c r="AL1596" t="str">
        <f>"{\rtf1\ansi\ansicpg1252\deff0\deflang11274{\fonttbl{\f0\fnil\fcharset0 MS Sans Serif}} \viewkind4\uc1\pard\f0\fs16 CONECTOR 6 VIAS SENSOR MARIPOSA ELECTRONICO FIRE\par } "</f>
        <v xml:space="preserve">{\rtf1\ansi\ansicpg1252\deff0\deflang11274{\fonttbl{\f0\fnil\fcharset0 MS Sans Serif}} \viewkind4\uc1\pard\f0\fs16 CONECTOR 6 VIAS SENSOR MARIPOSA ELECTRONICO FIRE\par } </v>
      </c>
      <c r="AM1596" t="str">
        <f t="shared" si="1020"/>
        <v>-</v>
      </c>
    </row>
    <row r="1597" spans="1:39" x14ac:dyDescent="0.25">
      <c r="A1597" t="str">
        <f>"10426"</f>
        <v>10426</v>
      </c>
      <c r="B1597" t="str">
        <f>"CONECTOR 6 VIAS SENSOR MARIPOSA MEGANE"</f>
        <v>CONECTOR 6 VIAS SENSOR MARIPOSA MEGANE</v>
      </c>
      <c r="C1597" t="str">
        <f>"$ 9687,45"</f>
        <v>$ 9687,45</v>
      </c>
      <c r="D1597" t="str">
        <f>"$ 9687,45"</f>
        <v>$ 9687,45</v>
      </c>
      <c r="E1597" t="str">
        <f>"$ 9687,45"</f>
        <v>$ 9687,45</v>
      </c>
      <c r="F1597" t="str">
        <f>"$ 9687,45"</f>
        <v>$ 9687,45</v>
      </c>
      <c r="G1597" t="str">
        <f>"$ 9687,45"</f>
        <v>$ 9687,45</v>
      </c>
      <c r="H1597" t="str">
        <f t="shared" si="992"/>
        <v>$ 0,00</v>
      </c>
      <c r="I1597" t="str">
        <f t="shared" si="1013"/>
        <v>FICHA CONECTOR</v>
      </c>
      <c r="J1597" t="str">
        <f t="shared" si="993"/>
        <v>1</v>
      </c>
      <c r="K1597" t="str">
        <f t="shared" si="1026"/>
        <v>0</v>
      </c>
      <c r="L1597" t="str">
        <f>"10,000"</f>
        <v>10,000</v>
      </c>
      <c r="M1597" t="str">
        <f t="shared" si="994"/>
        <v xml:space="preserve"> </v>
      </c>
      <c r="N1597" t="str">
        <f t="shared" si="1014"/>
        <v>AUTRONIC</v>
      </c>
      <c r="O1597" t="str">
        <f t="shared" si="1015"/>
        <v>CABLES</v>
      </c>
      <c r="P1597" t="str">
        <f t="shared" si="1023"/>
        <v>0</v>
      </c>
      <c r="Q1597" t="str">
        <f t="shared" si="1023"/>
        <v>0</v>
      </c>
      <c r="R1597" t="str">
        <f t="shared" si="1024"/>
        <v>0,00</v>
      </c>
      <c r="S1597" t="str">
        <f t="shared" si="1024"/>
        <v>0,00</v>
      </c>
      <c r="T1597" t="str">
        <f t="shared" si="1027"/>
        <v xml:space="preserve"> </v>
      </c>
      <c r="U1597" t="str">
        <f t="shared" si="1012"/>
        <v xml:space="preserve"> </v>
      </c>
      <c r="V1597" t="str">
        <f>"10,000"</f>
        <v>10,000</v>
      </c>
      <c r="W1597" t="str">
        <f t="shared" si="995"/>
        <v>Lista 4</v>
      </c>
      <c r="X1597" t="str">
        <f t="shared" si="996"/>
        <v>Lista 5</v>
      </c>
      <c r="Y1597" t="str">
        <f t="shared" si="997"/>
        <v>Oferta Gral.</v>
      </c>
      <c r="Z1597" t="str">
        <f t="shared" si="998"/>
        <v>Rubro</v>
      </c>
      <c r="AA1597" t="str">
        <f t="shared" si="999"/>
        <v>Cantidad por Bulto</v>
      </c>
      <c r="AB1597" t="str">
        <f t="shared" si="1000"/>
        <v>INNER</v>
      </c>
      <c r="AC1597" t="str">
        <f t="shared" si="1001"/>
        <v>Stock en Bultos</v>
      </c>
      <c r="AD1597" t="str">
        <f t="shared" si="1002"/>
        <v>SubDepósito</v>
      </c>
      <c r="AE1597" t="str">
        <f t="shared" si="1003"/>
        <v>Marca</v>
      </c>
      <c r="AF1597" t="str">
        <f t="shared" si="1004"/>
        <v>Super Rubro</v>
      </c>
      <c r="AG1597" t="str">
        <f t="shared" si="1005"/>
        <v>ComercioExterior</v>
      </c>
      <c r="AH1597" t="str">
        <f t="shared" si="1006"/>
        <v>PrecioFOB</v>
      </c>
      <c r="AI1597" t="str">
        <f t="shared" si="1007"/>
        <v>Monto II</v>
      </c>
      <c r="AJ1597" t="str">
        <f t="shared" si="1008"/>
        <v>Porcentaje II</v>
      </c>
      <c r="AK1597" t="str">
        <f t="shared" si="1009"/>
        <v>Foto</v>
      </c>
      <c r="AL1597" t="str">
        <f>"{\rtf1\ansi\ansicpg1252\deff0\deflang11274{\fonttbl{\f0\fnil\fcharset0 MS Sans Serif}} \viewkind4\uc1\pard\f0\fs16 CONECTOR 6 VIAS SENSOR MARIPOSA MEGANE\par } "</f>
        <v xml:space="preserve">{\rtf1\ansi\ansicpg1252\deff0\deflang11274{\fonttbl{\f0\fnil\fcharset0 MS Sans Serif}} \viewkind4\uc1\pard\f0\fs16 CONECTOR 6 VIAS SENSOR MARIPOSA MEGANE\par } </v>
      </c>
      <c r="AM1597" t="str">
        <f>" "</f>
        <v xml:space="preserve"> </v>
      </c>
    </row>
    <row r="1598" spans="1:39" x14ac:dyDescent="0.25">
      <c r="A1598" t="str">
        <f>"10369"</f>
        <v>10369</v>
      </c>
      <c r="B1598" t="str">
        <f>"CONECTOR 6 VIAS TRABA CENTRALIZADA FORD ESCORT"</f>
        <v>CONECTOR 6 VIAS TRABA CENTRALIZADA FORD ESCORT</v>
      </c>
      <c r="C1598" t="str">
        <f>"$ 4097,63"</f>
        <v>$ 4097,63</v>
      </c>
      <c r="D1598" t="str">
        <f>"$ 4097,63"</f>
        <v>$ 4097,63</v>
      </c>
      <c r="E1598" t="str">
        <f>"$ 4097,63"</f>
        <v>$ 4097,63</v>
      </c>
      <c r="F1598" t="str">
        <f>"$ 4097,63"</f>
        <v>$ 4097,63</v>
      </c>
      <c r="G1598" t="str">
        <f>"$ 4097,63"</f>
        <v>$ 4097,63</v>
      </c>
      <c r="H1598" t="str">
        <f t="shared" si="992"/>
        <v>$ 0,00</v>
      </c>
      <c r="I1598" t="str">
        <f t="shared" si="1013"/>
        <v>FICHA CONECTOR</v>
      </c>
      <c r="J1598" t="str">
        <f t="shared" si="993"/>
        <v>1</v>
      </c>
      <c r="K1598" t="str">
        <f t="shared" si="1026"/>
        <v>0</v>
      </c>
      <c r="L1598" t="str">
        <f>"0,000"</f>
        <v>0,000</v>
      </c>
      <c r="M1598" t="str">
        <f t="shared" si="994"/>
        <v xml:space="preserve"> </v>
      </c>
      <c r="N1598" t="str">
        <f t="shared" si="1014"/>
        <v>AUTRONIC</v>
      </c>
      <c r="O1598" t="str">
        <f t="shared" si="1015"/>
        <v>CABLES</v>
      </c>
      <c r="P1598" t="str">
        <f t="shared" si="1023"/>
        <v>0</v>
      </c>
      <c r="Q1598" t="str">
        <f t="shared" si="1023"/>
        <v>0</v>
      </c>
      <c r="R1598" t="str">
        <f t="shared" si="1024"/>
        <v>0,00</v>
      </c>
      <c r="S1598" t="str">
        <f t="shared" si="1024"/>
        <v>0,00</v>
      </c>
      <c r="T1598" t="str">
        <f t="shared" si="1027"/>
        <v xml:space="preserve"> </v>
      </c>
      <c r="U1598" t="str">
        <f t="shared" si="1012"/>
        <v xml:space="preserve"> </v>
      </c>
      <c r="V1598" t="str">
        <f>"0,000"</f>
        <v>0,000</v>
      </c>
      <c r="W1598" t="str">
        <f t="shared" si="995"/>
        <v>Lista 4</v>
      </c>
      <c r="X1598" t="str">
        <f t="shared" si="996"/>
        <v>Lista 5</v>
      </c>
      <c r="Y1598" t="str">
        <f t="shared" si="997"/>
        <v>Oferta Gral.</v>
      </c>
      <c r="Z1598" t="str">
        <f t="shared" si="998"/>
        <v>Rubro</v>
      </c>
      <c r="AA1598" t="str">
        <f t="shared" si="999"/>
        <v>Cantidad por Bulto</v>
      </c>
      <c r="AB1598" t="str">
        <f t="shared" si="1000"/>
        <v>INNER</v>
      </c>
      <c r="AC1598" t="str">
        <f t="shared" si="1001"/>
        <v>Stock en Bultos</v>
      </c>
      <c r="AD1598" t="str">
        <f t="shared" si="1002"/>
        <v>SubDepósito</v>
      </c>
      <c r="AE1598" t="str">
        <f t="shared" si="1003"/>
        <v>Marca</v>
      </c>
      <c r="AF1598" t="str">
        <f t="shared" si="1004"/>
        <v>Super Rubro</v>
      </c>
      <c r="AG1598" t="str">
        <f t="shared" si="1005"/>
        <v>ComercioExterior</v>
      </c>
      <c r="AH1598" t="str">
        <f t="shared" si="1006"/>
        <v>PrecioFOB</v>
      </c>
      <c r="AI1598" t="str">
        <f t="shared" si="1007"/>
        <v>Monto II</v>
      </c>
      <c r="AJ1598" t="str">
        <f t="shared" si="1008"/>
        <v>Porcentaje II</v>
      </c>
      <c r="AK1598" t="str">
        <f t="shared" si="1009"/>
        <v>Foto</v>
      </c>
      <c r="AL1598" t="str">
        <f>"{\rtf1\ansi\ansicpg1252\deff0\deflang11274{\fonttbl{\f0\fnil\fcharset0 MS Sans Serif}} \viewkind4\uc1\pard\f0\fs16 CONECTOR 6 VIAS TRABA CENTRALIZADA FORD ESCORT\par } "</f>
        <v xml:space="preserve">{\rtf1\ansi\ansicpg1252\deff0\deflang11274{\fonttbl{\f0\fnil\fcharset0 MS Sans Serif}} \viewkind4\uc1\pard\f0\fs16 CONECTOR 6 VIAS TRABA CENTRALIZADA FORD ESCORT\par } </v>
      </c>
      <c r="AM1598" t="str">
        <f t="shared" ref="AM1598:AM1629" si="1028">"-"</f>
        <v>-</v>
      </c>
    </row>
    <row r="1599" spans="1:39" x14ac:dyDescent="0.25">
      <c r="A1599" t="str">
        <f>"10128"</f>
        <v>10128</v>
      </c>
      <c r="B1599" t="str">
        <f>"CONECTOR 6 VÍAS CIRCUITO IMPRESO AMARILLA – PEUGEOT – RENAULT"</f>
        <v>CONECTOR 6 VÍAS CIRCUITO IMPRESO AMARILLA – PEUGEOT – RENAULT</v>
      </c>
      <c r="C1599" t="str">
        <f>"$ 10662,88"</f>
        <v>$ 10662,88</v>
      </c>
      <c r="D1599" t="str">
        <f>"$ 10662,88"</f>
        <v>$ 10662,88</v>
      </c>
      <c r="E1599" t="str">
        <f>"$ 10662,88"</f>
        <v>$ 10662,88</v>
      </c>
      <c r="F1599" t="str">
        <f>"$ 10662,88"</f>
        <v>$ 10662,88</v>
      </c>
      <c r="G1599" t="str">
        <f>"$ 10662,88"</f>
        <v>$ 10662,88</v>
      </c>
      <c r="H1599" t="str">
        <f t="shared" si="992"/>
        <v>$ 0,00</v>
      </c>
      <c r="I1599" t="str">
        <f t="shared" si="1013"/>
        <v>FICHA CONECTOR</v>
      </c>
      <c r="J1599" t="str">
        <f t="shared" si="993"/>
        <v>1</v>
      </c>
      <c r="K1599" t="str">
        <f t="shared" si="1026"/>
        <v>0</v>
      </c>
      <c r="L1599" t="str">
        <f>"10,000"</f>
        <v>10,000</v>
      </c>
      <c r="M1599" t="str">
        <f t="shared" si="994"/>
        <v xml:space="preserve"> </v>
      </c>
      <c r="N1599" t="str">
        <f t="shared" si="1014"/>
        <v>AUTRONIC</v>
      </c>
      <c r="O1599" t="str">
        <f t="shared" si="1015"/>
        <v>CABLES</v>
      </c>
      <c r="P1599" t="str">
        <f t="shared" si="1023"/>
        <v>0</v>
      </c>
      <c r="Q1599" t="str">
        <f t="shared" si="1023"/>
        <v>0</v>
      </c>
      <c r="R1599" t="str">
        <f t="shared" si="1024"/>
        <v>0,00</v>
      </c>
      <c r="S1599" t="str">
        <f t="shared" si="1024"/>
        <v>0,00</v>
      </c>
      <c r="T1599" t="str">
        <f>"C^\Users\info\Desktop\imagenes_catalogo\10128.jpg"</f>
        <v>C^\Users\info\Desktop\imagenes_catalogo\10128.jpg</v>
      </c>
      <c r="U1599" t="str">
        <f t="shared" si="1012"/>
        <v xml:space="preserve"> </v>
      </c>
      <c r="V1599" t="str">
        <f>"10,000"</f>
        <v>10,000</v>
      </c>
      <c r="W1599" t="str">
        <f t="shared" si="995"/>
        <v>Lista 4</v>
      </c>
      <c r="X1599" t="str">
        <f t="shared" si="996"/>
        <v>Lista 5</v>
      </c>
      <c r="Y1599" t="str">
        <f t="shared" si="997"/>
        <v>Oferta Gral.</v>
      </c>
      <c r="Z1599" t="str">
        <f t="shared" si="998"/>
        <v>Rubro</v>
      </c>
      <c r="AA1599" t="str">
        <f t="shared" si="999"/>
        <v>Cantidad por Bulto</v>
      </c>
      <c r="AB1599" t="str">
        <f t="shared" si="1000"/>
        <v>INNER</v>
      </c>
      <c r="AC1599" t="str">
        <f t="shared" si="1001"/>
        <v>Stock en Bultos</v>
      </c>
      <c r="AD1599" t="str">
        <f t="shared" si="1002"/>
        <v>SubDepósito</v>
      </c>
      <c r="AE1599" t="str">
        <f t="shared" si="1003"/>
        <v>Marca</v>
      </c>
      <c r="AF1599" t="str">
        <f t="shared" si="1004"/>
        <v>Super Rubro</v>
      </c>
      <c r="AG1599" t="str">
        <f t="shared" si="1005"/>
        <v>ComercioExterior</v>
      </c>
      <c r="AH1599" t="str">
        <f t="shared" si="1006"/>
        <v>PrecioFOB</v>
      </c>
      <c r="AI1599" t="str">
        <f t="shared" si="1007"/>
        <v>Monto II</v>
      </c>
      <c r="AJ1599" t="str">
        <f t="shared" si="1008"/>
        <v>Porcentaje II</v>
      </c>
      <c r="AK1599" t="str">
        <f t="shared" si="1009"/>
        <v>Foto</v>
      </c>
      <c r="AL1599" t="str">
        <f>"{\rtf1\ansi\ansicpg1252\deff0\deflang11274{\fonttbl{\f0\fnil\fcharset0 MS Sans Serif}} \viewkind4\uc1\pard\f0\fs16 CONECTOR 6 V\'cdAS CIRCUITO IMPRESO AMARILLA \endash  PEUGEOT \endash  RENAULT\par } "</f>
        <v xml:space="preserve">{\rtf1\ansi\ansicpg1252\deff0\deflang11274{\fonttbl{\f0\fnil\fcharset0 MS Sans Serif}} \viewkind4\uc1\pard\f0\fs16 CONECTOR 6 V\'cdAS CIRCUITO IMPRESO AMARILLA \endash  PEUGEOT \endash  RENAULT\par } </v>
      </c>
      <c r="AM1599" t="str">
        <f t="shared" si="1028"/>
        <v>-</v>
      </c>
    </row>
    <row r="1600" spans="1:39" x14ac:dyDescent="0.25">
      <c r="A1600" t="str">
        <f>"10113"</f>
        <v>10113</v>
      </c>
      <c r="B1600" t="str">
        <f>"CONECTOR 6 VÍAS HEMBRA – PORTA MACHO T:  6.35 MM.- UNIVERSAL"</f>
        <v>CONECTOR 6 VÍAS HEMBRA – PORTA MACHO T:  6.35 MM.- UNIVERSAL</v>
      </c>
      <c r="C1600" t="str">
        <f>"$ 2618,95"</f>
        <v>$ 2618,95</v>
      </c>
      <c r="D1600" t="str">
        <f>"$ 2618,95"</f>
        <v>$ 2618,95</v>
      </c>
      <c r="E1600" t="str">
        <f>"$ 2618,95"</f>
        <v>$ 2618,95</v>
      </c>
      <c r="F1600" t="str">
        <f>"$ 2618,95"</f>
        <v>$ 2618,95</v>
      </c>
      <c r="G1600" t="str">
        <f>"$ 2618,95"</f>
        <v>$ 2618,95</v>
      </c>
      <c r="H1600" t="str">
        <f t="shared" si="992"/>
        <v>$ 0,00</v>
      </c>
      <c r="I1600" t="str">
        <f t="shared" si="1013"/>
        <v>FICHA CONECTOR</v>
      </c>
      <c r="J1600" t="str">
        <f t="shared" si="993"/>
        <v>1</v>
      </c>
      <c r="K1600" t="str">
        <f t="shared" si="1026"/>
        <v>0</v>
      </c>
      <c r="L1600" t="str">
        <f>"0,000"</f>
        <v>0,000</v>
      </c>
      <c r="M1600" t="str">
        <f t="shared" si="994"/>
        <v xml:space="preserve"> </v>
      </c>
      <c r="N1600" t="str">
        <f t="shared" si="1014"/>
        <v>AUTRONIC</v>
      </c>
      <c r="O1600" t="str">
        <f t="shared" si="1015"/>
        <v>CABLES</v>
      </c>
      <c r="P1600" t="str">
        <f t="shared" si="1023"/>
        <v>0</v>
      </c>
      <c r="Q1600" t="str">
        <f t="shared" si="1023"/>
        <v>0</v>
      </c>
      <c r="R1600" t="str">
        <f t="shared" si="1024"/>
        <v>0,00</v>
      </c>
      <c r="S1600" t="str">
        <f t="shared" si="1024"/>
        <v>0,00</v>
      </c>
      <c r="T1600" t="str">
        <f t="shared" ref="T1600:T1663" si="1029">" "</f>
        <v xml:space="preserve"> </v>
      </c>
      <c r="U1600" t="str">
        <f t="shared" si="1012"/>
        <v xml:space="preserve"> </v>
      </c>
      <c r="V1600" t="str">
        <f>"0,000"</f>
        <v>0,000</v>
      </c>
      <c r="W1600" t="str">
        <f t="shared" si="995"/>
        <v>Lista 4</v>
      </c>
      <c r="X1600" t="str">
        <f t="shared" si="996"/>
        <v>Lista 5</v>
      </c>
      <c r="Y1600" t="str">
        <f t="shared" si="997"/>
        <v>Oferta Gral.</v>
      </c>
      <c r="Z1600" t="str">
        <f t="shared" si="998"/>
        <v>Rubro</v>
      </c>
      <c r="AA1600" t="str">
        <f t="shared" si="999"/>
        <v>Cantidad por Bulto</v>
      </c>
      <c r="AB1600" t="str">
        <f t="shared" si="1000"/>
        <v>INNER</v>
      </c>
      <c r="AC1600" t="str">
        <f t="shared" si="1001"/>
        <v>Stock en Bultos</v>
      </c>
      <c r="AD1600" t="str">
        <f t="shared" si="1002"/>
        <v>SubDepósito</v>
      </c>
      <c r="AE1600" t="str">
        <f t="shared" si="1003"/>
        <v>Marca</v>
      </c>
      <c r="AF1600" t="str">
        <f t="shared" si="1004"/>
        <v>Super Rubro</v>
      </c>
      <c r="AG1600" t="str">
        <f t="shared" si="1005"/>
        <v>ComercioExterior</v>
      </c>
      <c r="AH1600" t="str">
        <f t="shared" si="1006"/>
        <v>PrecioFOB</v>
      </c>
      <c r="AI1600" t="str">
        <f t="shared" si="1007"/>
        <v>Monto II</v>
      </c>
      <c r="AJ1600" t="str">
        <f t="shared" si="1008"/>
        <v>Porcentaje II</v>
      </c>
      <c r="AK1600" t="str">
        <f t="shared" si="1009"/>
        <v>Foto</v>
      </c>
      <c r="AL1600" t="str">
        <f>"{\rtf1\ansi\ansicpg1252\deff0\deflang11274{\fonttbl{\f0\fnil\fcharset0 MS Sans Serif}} \viewkind4\uc1\pard\f0\fs16 CONECTOR 6 V\'cdAS HEMBRA \endash  PORTA MACHO T:  6.35 MM.- UNIVERSAL\par } "</f>
        <v xml:space="preserve">{\rtf1\ansi\ansicpg1252\deff0\deflang11274{\fonttbl{\f0\fnil\fcharset0 MS Sans Serif}} \viewkind4\uc1\pard\f0\fs16 CONECTOR 6 V\'cdAS HEMBRA \endash  PORTA MACHO T:  6.35 MM.- UNIVERSAL\par } </v>
      </c>
      <c r="AM1600" t="str">
        <f t="shared" si="1028"/>
        <v>-</v>
      </c>
    </row>
    <row r="1601" spans="1:39" x14ac:dyDescent="0.25">
      <c r="A1601" t="str">
        <f>"10112"</f>
        <v>10112</v>
      </c>
      <c r="B1601" t="str">
        <f>"CONECTOR 6 VÍAS MACHO – PORTA HEMBRA T:  6.35 MM.- UNIVERSAL"</f>
        <v>CONECTOR 6 VÍAS MACHO – PORTA HEMBRA T:  6.35 MM.- UNIVERSAL</v>
      </c>
      <c r="C1601" t="str">
        <f>"$ 2405,16"</f>
        <v>$ 2405,16</v>
      </c>
      <c r="D1601" t="str">
        <f>"$ 2405,16"</f>
        <v>$ 2405,16</v>
      </c>
      <c r="E1601" t="str">
        <f>"$ 2405,16"</f>
        <v>$ 2405,16</v>
      </c>
      <c r="F1601" t="str">
        <f>"$ 2405,16"</f>
        <v>$ 2405,16</v>
      </c>
      <c r="G1601" t="str">
        <f>"$ 2405,16"</f>
        <v>$ 2405,16</v>
      </c>
      <c r="H1601" t="str">
        <f t="shared" si="992"/>
        <v>$ 0,00</v>
      </c>
      <c r="I1601" t="str">
        <f t="shared" si="1013"/>
        <v>FICHA CONECTOR</v>
      </c>
      <c r="J1601" t="str">
        <f t="shared" si="993"/>
        <v>1</v>
      </c>
      <c r="K1601" t="str">
        <f t="shared" si="1026"/>
        <v>0</v>
      </c>
      <c r="L1601" t="str">
        <f>"6,000"</f>
        <v>6,000</v>
      </c>
      <c r="M1601" t="str">
        <f t="shared" si="994"/>
        <v xml:space="preserve"> </v>
      </c>
      <c r="N1601" t="str">
        <f t="shared" si="1014"/>
        <v>AUTRONIC</v>
      </c>
      <c r="O1601" t="str">
        <f t="shared" si="1015"/>
        <v>CABLES</v>
      </c>
      <c r="P1601" t="str">
        <f t="shared" si="1023"/>
        <v>0</v>
      </c>
      <c r="Q1601" t="str">
        <f t="shared" si="1023"/>
        <v>0</v>
      </c>
      <c r="R1601" t="str">
        <f t="shared" si="1024"/>
        <v>0,00</v>
      </c>
      <c r="S1601" t="str">
        <f t="shared" si="1024"/>
        <v>0,00</v>
      </c>
      <c r="T1601" t="str">
        <f t="shared" si="1029"/>
        <v xml:space="preserve"> </v>
      </c>
      <c r="U1601" t="str">
        <f t="shared" si="1012"/>
        <v xml:space="preserve"> </v>
      </c>
      <c r="V1601" t="str">
        <f>"6,000"</f>
        <v>6,000</v>
      </c>
      <c r="W1601" t="str">
        <f t="shared" si="995"/>
        <v>Lista 4</v>
      </c>
      <c r="X1601" t="str">
        <f t="shared" si="996"/>
        <v>Lista 5</v>
      </c>
      <c r="Y1601" t="str">
        <f t="shared" si="997"/>
        <v>Oferta Gral.</v>
      </c>
      <c r="Z1601" t="str">
        <f t="shared" si="998"/>
        <v>Rubro</v>
      </c>
      <c r="AA1601" t="str">
        <f t="shared" si="999"/>
        <v>Cantidad por Bulto</v>
      </c>
      <c r="AB1601" t="str">
        <f t="shared" si="1000"/>
        <v>INNER</v>
      </c>
      <c r="AC1601" t="str">
        <f t="shared" si="1001"/>
        <v>Stock en Bultos</v>
      </c>
      <c r="AD1601" t="str">
        <f t="shared" si="1002"/>
        <v>SubDepósito</v>
      </c>
      <c r="AE1601" t="str">
        <f t="shared" si="1003"/>
        <v>Marca</v>
      </c>
      <c r="AF1601" t="str">
        <f t="shared" si="1004"/>
        <v>Super Rubro</v>
      </c>
      <c r="AG1601" t="str">
        <f t="shared" si="1005"/>
        <v>ComercioExterior</v>
      </c>
      <c r="AH1601" t="str">
        <f t="shared" si="1006"/>
        <v>PrecioFOB</v>
      </c>
      <c r="AI1601" t="str">
        <f t="shared" si="1007"/>
        <v>Monto II</v>
      </c>
      <c r="AJ1601" t="str">
        <f t="shared" si="1008"/>
        <v>Porcentaje II</v>
      </c>
      <c r="AK1601" t="str">
        <f t="shared" si="1009"/>
        <v>Foto</v>
      </c>
      <c r="AL1601" t="str">
        <f>"{\rtf1\ansi\ansicpg1252\deff0\deflang11274{\fonttbl{\f0\fnil\fcharset0 MS Sans Serif}} \viewkind4\uc1\pard\f0\fs16 CONECTOR 6 V\'cdAS MACHO \endash  PORTA HEMBRA T:  6.35 MM.- UNIVERSAL\par } "</f>
        <v xml:space="preserve">{\rtf1\ansi\ansicpg1252\deff0\deflang11274{\fonttbl{\f0\fnil\fcharset0 MS Sans Serif}} \viewkind4\uc1\pard\f0\fs16 CONECTOR 6 V\'cdAS MACHO \endash  PORTA HEMBRA T:  6.35 MM.- UNIVERSAL\par } </v>
      </c>
      <c r="AM1601" t="str">
        <f t="shared" si="1028"/>
        <v>-</v>
      </c>
    </row>
    <row r="1602" spans="1:39" x14ac:dyDescent="0.25">
      <c r="A1602" t="str">
        <f>"10144"</f>
        <v>10144</v>
      </c>
      <c r="B1602" t="str">
        <f>"CONECTOR 6 VÍAS MOTOR ALZACRISTAL – 6 PINES - – FIAT DUNA – UNO - PALIO"</f>
        <v>CONECTOR 6 VÍAS MOTOR ALZACRISTAL – 6 PINES - – FIAT DUNA – UNO - PALIO</v>
      </c>
      <c r="C1602" t="str">
        <f>"$ 3474,12"</f>
        <v>$ 3474,12</v>
      </c>
      <c r="D1602" t="str">
        <f>"$ 3474,12"</f>
        <v>$ 3474,12</v>
      </c>
      <c r="E1602" t="str">
        <f>"$ 3474,12"</f>
        <v>$ 3474,12</v>
      </c>
      <c r="F1602" t="str">
        <f>"$ 3474,12"</f>
        <v>$ 3474,12</v>
      </c>
      <c r="G1602" t="str">
        <f>"$ 3474,12"</f>
        <v>$ 3474,12</v>
      </c>
      <c r="H1602" t="str">
        <f t="shared" si="992"/>
        <v>$ 0,00</v>
      </c>
      <c r="I1602" t="str">
        <f t="shared" si="1013"/>
        <v>FICHA CONECTOR</v>
      </c>
      <c r="J1602" t="str">
        <f t="shared" si="993"/>
        <v>1</v>
      </c>
      <c r="K1602" t="str">
        <f t="shared" si="1026"/>
        <v>0</v>
      </c>
      <c r="L1602" t="str">
        <f>"6,000"</f>
        <v>6,000</v>
      </c>
      <c r="M1602" t="str">
        <f t="shared" si="994"/>
        <v xml:space="preserve"> </v>
      </c>
      <c r="N1602" t="str">
        <f t="shared" si="1014"/>
        <v>AUTRONIC</v>
      </c>
      <c r="O1602" t="str">
        <f t="shared" si="1015"/>
        <v>CABLES</v>
      </c>
      <c r="P1602" t="str">
        <f t="shared" si="1023"/>
        <v>0</v>
      </c>
      <c r="Q1602" t="str">
        <f t="shared" si="1023"/>
        <v>0</v>
      </c>
      <c r="R1602" t="str">
        <f t="shared" si="1024"/>
        <v>0,00</v>
      </c>
      <c r="S1602" t="str">
        <f t="shared" si="1024"/>
        <v>0,00</v>
      </c>
      <c r="T1602" t="str">
        <f t="shared" si="1029"/>
        <v xml:space="preserve"> </v>
      </c>
      <c r="U1602" t="str">
        <f t="shared" si="1012"/>
        <v xml:space="preserve"> </v>
      </c>
      <c r="V1602" t="str">
        <f>"6,000"</f>
        <v>6,000</v>
      </c>
      <c r="W1602" t="str">
        <f t="shared" si="995"/>
        <v>Lista 4</v>
      </c>
      <c r="X1602" t="str">
        <f t="shared" si="996"/>
        <v>Lista 5</v>
      </c>
      <c r="Y1602" t="str">
        <f t="shared" si="997"/>
        <v>Oferta Gral.</v>
      </c>
      <c r="Z1602" t="str">
        <f t="shared" si="998"/>
        <v>Rubro</v>
      </c>
      <c r="AA1602" t="str">
        <f t="shared" si="999"/>
        <v>Cantidad por Bulto</v>
      </c>
      <c r="AB1602" t="str">
        <f t="shared" si="1000"/>
        <v>INNER</v>
      </c>
      <c r="AC1602" t="str">
        <f t="shared" si="1001"/>
        <v>Stock en Bultos</v>
      </c>
      <c r="AD1602" t="str">
        <f t="shared" si="1002"/>
        <v>SubDepósito</v>
      </c>
      <c r="AE1602" t="str">
        <f t="shared" si="1003"/>
        <v>Marca</v>
      </c>
      <c r="AF1602" t="str">
        <f t="shared" si="1004"/>
        <v>Super Rubro</v>
      </c>
      <c r="AG1602" t="str">
        <f t="shared" si="1005"/>
        <v>ComercioExterior</v>
      </c>
      <c r="AH1602" t="str">
        <f t="shared" si="1006"/>
        <v>PrecioFOB</v>
      </c>
      <c r="AI1602" t="str">
        <f t="shared" si="1007"/>
        <v>Monto II</v>
      </c>
      <c r="AJ1602" t="str">
        <f t="shared" si="1008"/>
        <v>Porcentaje II</v>
      </c>
      <c r="AK1602" t="str">
        <f t="shared" si="1009"/>
        <v>Foto</v>
      </c>
      <c r="AL1602" t="str">
        <f>"{\rtf1\ansi\ansicpg1252\deff0\deflang11274{\fonttbl{\f0\fnil\fcharset0 MS Sans Serif}} \viewkind4\uc1\pard\f0\fs16 CONECTOR 6 V\'cdAS MOTOR ALZACRISTAL \endash  6 PINES - \endash  FIAT DUNA \endash  UNO - PALIO\par } "</f>
        <v xml:space="preserve">{\rtf1\ansi\ansicpg1252\deff0\deflang11274{\fonttbl{\f0\fnil\fcharset0 MS Sans Serif}} \viewkind4\uc1\pard\f0\fs16 CONECTOR 6 V\'cdAS MOTOR ALZACRISTAL \endash  6 PINES - \endash  FIAT DUNA \endash  UNO - PALIO\par } </v>
      </c>
      <c r="AM1602" t="str">
        <f t="shared" si="1028"/>
        <v>-</v>
      </c>
    </row>
    <row r="1603" spans="1:39" x14ac:dyDescent="0.25">
      <c r="A1603" t="str">
        <f>"10116"</f>
        <v>10116</v>
      </c>
      <c r="B1603" t="str">
        <f>"CONECTOR 6 VÍAS TECLA ALZACRISTAL– VARIOS – ORIG. FIAT - PEUGEOT"</f>
        <v>CONECTOR 6 VÍAS TECLA ALZACRISTAL– VARIOS – ORIG. FIAT - PEUGEOT</v>
      </c>
      <c r="C1603" t="str">
        <f>"$ 2645,68"</f>
        <v>$ 2645,68</v>
      </c>
      <c r="D1603" t="str">
        <f>"$ 2645,68"</f>
        <v>$ 2645,68</v>
      </c>
      <c r="E1603" t="str">
        <f>"$ 2645,68"</f>
        <v>$ 2645,68</v>
      </c>
      <c r="F1603" t="str">
        <f>"$ 2645,68"</f>
        <v>$ 2645,68</v>
      </c>
      <c r="G1603" t="str">
        <f>"$ 2645,68"</f>
        <v>$ 2645,68</v>
      </c>
      <c r="H1603" t="str">
        <f t="shared" ref="H1603:H1666" si="1030">"$ 0,00"</f>
        <v>$ 0,00</v>
      </c>
      <c r="I1603" t="str">
        <f t="shared" si="1013"/>
        <v>FICHA CONECTOR</v>
      </c>
      <c r="J1603" t="str">
        <f t="shared" ref="J1603:J1666" si="1031">"1"</f>
        <v>1</v>
      </c>
      <c r="K1603" t="str">
        <f t="shared" si="1026"/>
        <v>0</v>
      </c>
      <c r="L1603" t="str">
        <f>"8,000"</f>
        <v>8,000</v>
      </c>
      <c r="M1603" t="str">
        <f t="shared" ref="M1603:M1666" si="1032">" "</f>
        <v xml:space="preserve"> </v>
      </c>
      <c r="N1603" t="str">
        <f t="shared" si="1014"/>
        <v>AUTRONIC</v>
      </c>
      <c r="O1603" t="str">
        <f t="shared" si="1015"/>
        <v>CABLES</v>
      </c>
      <c r="P1603" t="str">
        <f t="shared" ref="P1603:Q1622" si="1033">"0"</f>
        <v>0</v>
      </c>
      <c r="Q1603" t="str">
        <f t="shared" si="1033"/>
        <v>0</v>
      </c>
      <c r="R1603" t="str">
        <f t="shared" ref="R1603:S1622" si="1034">"0,00"</f>
        <v>0,00</v>
      </c>
      <c r="S1603" t="str">
        <f t="shared" si="1034"/>
        <v>0,00</v>
      </c>
      <c r="T1603" t="str">
        <f t="shared" si="1029"/>
        <v xml:space="preserve"> </v>
      </c>
      <c r="U1603" t="str">
        <f t="shared" si="1012"/>
        <v xml:space="preserve"> </v>
      </c>
      <c r="V1603" t="str">
        <f>"8,000"</f>
        <v>8,000</v>
      </c>
      <c r="W1603" t="str">
        <f t="shared" ref="W1603:W1666" si="1035">"Lista 4"</f>
        <v>Lista 4</v>
      </c>
      <c r="X1603" t="str">
        <f t="shared" ref="X1603:X1666" si="1036">"Lista 5"</f>
        <v>Lista 5</v>
      </c>
      <c r="Y1603" t="str">
        <f t="shared" ref="Y1603:Y1666" si="1037">"Oferta Gral."</f>
        <v>Oferta Gral.</v>
      </c>
      <c r="Z1603" t="str">
        <f t="shared" ref="Z1603:Z1666" si="1038">"Rubro"</f>
        <v>Rubro</v>
      </c>
      <c r="AA1603" t="str">
        <f t="shared" ref="AA1603:AA1666" si="1039">"Cantidad por Bulto"</f>
        <v>Cantidad por Bulto</v>
      </c>
      <c r="AB1603" t="str">
        <f t="shared" ref="AB1603:AB1666" si="1040">"INNER"</f>
        <v>INNER</v>
      </c>
      <c r="AC1603" t="str">
        <f t="shared" ref="AC1603:AC1666" si="1041">"Stock en Bultos"</f>
        <v>Stock en Bultos</v>
      </c>
      <c r="AD1603" t="str">
        <f t="shared" ref="AD1603:AD1666" si="1042">"SubDepósito"</f>
        <v>SubDepósito</v>
      </c>
      <c r="AE1603" t="str">
        <f t="shared" ref="AE1603:AE1666" si="1043">"Marca"</f>
        <v>Marca</v>
      </c>
      <c r="AF1603" t="str">
        <f t="shared" ref="AF1603:AF1666" si="1044">"Super Rubro"</f>
        <v>Super Rubro</v>
      </c>
      <c r="AG1603" t="str">
        <f t="shared" ref="AG1603:AG1666" si="1045">"ComercioExterior"</f>
        <v>ComercioExterior</v>
      </c>
      <c r="AH1603" t="str">
        <f t="shared" ref="AH1603:AH1666" si="1046">"PrecioFOB"</f>
        <v>PrecioFOB</v>
      </c>
      <c r="AI1603" t="str">
        <f t="shared" ref="AI1603:AI1666" si="1047">"Monto II"</f>
        <v>Monto II</v>
      </c>
      <c r="AJ1603" t="str">
        <f t="shared" ref="AJ1603:AJ1666" si="1048">"Porcentaje II"</f>
        <v>Porcentaje II</v>
      </c>
      <c r="AK1603" t="str">
        <f t="shared" ref="AK1603:AK1666" si="1049">"Foto"</f>
        <v>Foto</v>
      </c>
      <c r="AL1603" t="str">
        <f>"{\rtf1\ansi\ansicpg1252\deff0\deflang11274{\fonttbl{\f0\fnil\fcharset0 MS Sans Serif}} \viewkind4\uc1\pard\f0\fs16 CONECTOR 6 V\'cdAS TECLA ALZACRISTAL\endash  VARIOS \endash  ORIG. FIAT - PEUGEOT\par } "</f>
        <v xml:space="preserve">{\rtf1\ansi\ansicpg1252\deff0\deflang11274{\fonttbl{\f0\fnil\fcharset0 MS Sans Serif}} \viewkind4\uc1\pard\f0\fs16 CONECTOR 6 V\'cdAS TECLA ALZACRISTAL\endash  VARIOS \endash  ORIG. FIAT - PEUGEOT\par } </v>
      </c>
      <c r="AM1603" t="str">
        <f t="shared" si="1028"/>
        <v>-</v>
      </c>
    </row>
    <row r="1604" spans="1:39" x14ac:dyDescent="0.25">
      <c r="A1604" t="str">
        <f>"10337"</f>
        <v>10337</v>
      </c>
      <c r="B1604" t="str">
        <f>"CONECTOR 7 VIAS C. IMPRESO FAROS TRASEROS FIAT PALIO SIENA"</f>
        <v>CONECTOR 7 VIAS C. IMPRESO FAROS TRASEROS FIAT PALIO SIENA</v>
      </c>
      <c r="C1604" t="str">
        <f>"$ 5344,73"</f>
        <v>$ 5344,73</v>
      </c>
      <c r="D1604" t="str">
        <f>"$ 5344,73"</f>
        <v>$ 5344,73</v>
      </c>
      <c r="E1604" t="str">
        <f>"$ 5344,73"</f>
        <v>$ 5344,73</v>
      </c>
      <c r="F1604" t="str">
        <f>"$ 5344,73"</f>
        <v>$ 5344,73</v>
      </c>
      <c r="G1604" t="str">
        <f>"$ 5344,73"</f>
        <v>$ 5344,73</v>
      </c>
      <c r="H1604" t="str">
        <f t="shared" si="1030"/>
        <v>$ 0,00</v>
      </c>
      <c r="I1604" t="str">
        <f t="shared" si="1013"/>
        <v>FICHA CONECTOR</v>
      </c>
      <c r="J1604" t="str">
        <f t="shared" si="1031"/>
        <v>1</v>
      </c>
      <c r="K1604" t="str">
        <f t="shared" si="1026"/>
        <v>0</v>
      </c>
      <c r="L1604" t="str">
        <f>"0,000"</f>
        <v>0,000</v>
      </c>
      <c r="M1604" t="str">
        <f t="shared" si="1032"/>
        <v xml:space="preserve"> </v>
      </c>
      <c r="N1604" t="str">
        <f t="shared" si="1014"/>
        <v>AUTRONIC</v>
      </c>
      <c r="O1604" t="str">
        <f t="shared" si="1015"/>
        <v>CABLES</v>
      </c>
      <c r="P1604" t="str">
        <f t="shared" si="1033"/>
        <v>0</v>
      </c>
      <c r="Q1604" t="str">
        <f t="shared" si="1033"/>
        <v>0</v>
      </c>
      <c r="R1604" t="str">
        <f t="shared" si="1034"/>
        <v>0,00</v>
      </c>
      <c r="S1604" t="str">
        <f t="shared" si="1034"/>
        <v>0,00</v>
      </c>
      <c r="T1604" t="str">
        <f t="shared" si="1029"/>
        <v xml:space="preserve"> </v>
      </c>
      <c r="U1604" t="str">
        <f t="shared" si="1012"/>
        <v xml:space="preserve"> </v>
      </c>
      <c r="V1604" t="str">
        <f>"0,000"</f>
        <v>0,000</v>
      </c>
      <c r="W1604" t="str">
        <f t="shared" si="1035"/>
        <v>Lista 4</v>
      </c>
      <c r="X1604" t="str">
        <f t="shared" si="1036"/>
        <v>Lista 5</v>
      </c>
      <c r="Y1604" t="str">
        <f t="shared" si="1037"/>
        <v>Oferta Gral.</v>
      </c>
      <c r="Z1604" t="str">
        <f t="shared" si="1038"/>
        <v>Rubro</v>
      </c>
      <c r="AA1604" t="str">
        <f t="shared" si="1039"/>
        <v>Cantidad por Bulto</v>
      </c>
      <c r="AB1604" t="str">
        <f t="shared" si="1040"/>
        <v>INNER</v>
      </c>
      <c r="AC1604" t="str">
        <f t="shared" si="1041"/>
        <v>Stock en Bultos</v>
      </c>
      <c r="AD1604" t="str">
        <f t="shared" si="1042"/>
        <v>SubDepósito</v>
      </c>
      <c r="AE1604" t="str">
        <f t="shared" si="1043"/>
        <v>Marca</v>
      </c>
      <c r="AF1604" t="str">
        <f t="shared" si="1044"/>
        <v>Super Rubro</v>
      </c>
      <c r="AG1604" t="str">
        <f t="shared" si="1045"/>
        <v>ComercioExterior</v>
      </c>
      <c r="AH1604" t="str">
        <f t="shared" si="1046"/>
        <v>PrecioFOB</v>
      </c>
      <c r="AI1604" t="str">
        <f t="shared" si="1047"/>
        <v>Monto II</v>
      </c>
      <c r="AJ1604" t="str">
        <f t="shared" si="1048"/>
        <v>Porcentaje II</v>
      </c>
      <c r="AK1604" t="str">
        <f t="shared" si="1049"/>
        <v>Foto</v>
      </c>
      <c r="AL1604" t="str">
        <f>"{\rtf1\ansi\ansicpg1252\deff0\deflang11274{\fonttbl{\f0\fnil\fcharset0 MS Sans Serif}} \viewkind4\uc1\pard\f0\fs16 CONECTOR 7 VIAS C. IMPRESO FAROS TRASEROS FIAT PALIO SIENA\par } "</f>
        <v xml:space="preserve">{\rtf1\ansi\ansicpg1252\deff0\deflang11274{\fonttbl{\f0\fnil\fcharset0 MS Sans Serif}} \viewkind4\uc1\pard\f0\fs16 CONECTOR 7 VIAS C. IMPRESO FAROS TRASEROS FIAT PALIO SIENA\par } </v>
      </c>
      <c r="AM1604" t="str">
        <f t="shared" si="1028"/>
        <v>-</v>
      </c>
    </row>
    <row r="1605" spans="1:39" x14ac:dyDescent="0.25">
      <c r="A1605" t="str">
        <f>"10312"</f>
        <v>10312</v>
      </c>
      <c r="B1605" t="str">
        <f>"CONECTOR 7 VIAS FORD FOCUS DELANTEROS"</f>
        <v>CONECTOR 7 VIAS FORD FOCUS DELANTEROS</v>
      </c>
      <c r="C1605" t="str">
        <f>"$ 7749,96"</f>
        <v>$ 7749,96</v>
      </c>
      <c r="D1605" t="str">
        <f>"$ 7749,96"</f>
        <v>$ 7749,96</v>
      </c>
      <c r="E1605" t="str">
        <f>"$ 7749,96"</f>
        <v>$ 7749,96</v>
      </c>
      <c r="F1605" t="str">
        <f>"$ 7749,96"</f>
        <v>$ 7749,96</v>
      </c>
      <c r="G1605" t="str">
        <f>"$ 7749,96"</f>
        <v>$ 7749,96</v>
      </c>
      <c r="H1605" t="str">
        <f t="shared" si="1030"/>
        <v>$ 0,00</v>
      </c>
      <c r="I1605" t="str">
        <f t="shared" si="1013"/>
        <v>FICHA CONECTOR</v>
      </c>
      <c r="J1605" t="str">
        <f t="shared" si="1031"/>
        <v>1</v>
      </c>
      <c r="K1605" t="str">
        <f t="shared" si="1026"/>
        <v>0</v>
      </c>
      <c r="L1605" t="str">
        <f>"0,000"</f>
        <v>0,000</v>
      </c>
      <c r="M1605" t="str">
        <f t="shared" si="1032"/>
        <v xml:space="preserve"> </v>
      </c>
      <c r="N1605" t="str">
        <f t="shared" si="1014"/>
        <v>AUTRONIC</v>
      </c>
      <c r="O1605" t="str">
        <f t="shared" si="1015"/>
        <v>CABLES</v>
      </c>
      <c r="P1605" t="str">
        <f t="shared" si="1033"/>
        <v>0</v>
      </c>
      <c r="Q1605" t="str">
        <f t="shared" si="1033"/>
        <v>0</v>
      </c>
      <c r="R1605" t="str">
        <f t="shared" si="1034"/>
        <v>0,00</v>
      </c>
      <c r="S1605" t="str">
        <f t="shared" si="1034"/>
        <v>0,00</v>
      </c>
      <c r="T1605" t="str">
        <f t="shared" si="1029"/>
        <v xml:space="preserve"> </v>
      </c>
      <c r="U1605" t="str">
        <f t="shared" si="1012"/>
        <v xml:space="preserve"> </v>
      </c>
      <c r="V1605" t="str">
        <f>"0,000"</f>
        <v>0,000</v>
      </c>
      <c r="W1605" t="str">
        <f t="shared" si="1035"/>
        <v>Lista 4</v>
      </c>
      <c r="X1605" t="str">
        <f t="shared" si="1036"/>
        <v>Lista 5</v>
      </c>
      <c r="Y1605" t="str">
        <f t="shared" si="1037"/>
        <v>Oferta Gral.</v>
      </c>
      <c r="Z1605" t="str">
        <f t="shared" si="1038"/>
        <v>Rubro</v>
      </c>
      <c r="AA1605" t="str">
        <f t="shared" si="1039"/>
        <v>Cantidad por Bulto</v>
      </c>
      <c r="AB1605" t="str">
        <f t="shared" si="1040"/>
        <v>INNER</v>
      </c>
      <c r="AC1605" t="str">
        <f t="shared" si="1041"/>
        <v>Stock en Bultos</v>
      </c>
      <c r="AD1605" t="str">
        <f t="shared" si="1042"/>
        <v>SubDepósito</v>
      </c>
      <c r="AE1605" t="str">
        <f t="shared" si="1043"/>
        <v>Marca</v>
      </c>
      <c r="AF1605" t="str">
        <f t="shared" si="1044"/>
        <v>Super Rubro</v>
      </c>
      <c r="AG1605" t="str">
        <f t="shared" si="1045"/>
        <v>ComercioExterior</v>
      </c>
      <c r="AH1605" t="str">
        <f t="shared" si="1046"/>
        <v>PrecioFOB</v>
      </c>
      <c r="AI1605" t="str">
        <f t="shared" si="1047"/>
        <v>Monto II</v>
      </c>
      <c r="AJ1605" t="str">
        <f t="shared" si="1048"/>
        <v>Porcentaje II</v>
      </c>
      <c r="AK1605" t="str">
        <f t="shared" si="1049"/>
        <v>Foto</v>
      </c>
      <c r="AL1605" t="str">
        <f>"{\rtf1\ansi\ansicpg1252\deff0\deflang11274{\fonttbl{\f0\fnil\fcharset0 MS Sans Serif}} \viewkind4\uc1\pard\f0\fs16 CONECTOR 7 VIAS FORD FOCUS DELANTEROS\par } "</f>
        <v xml:space="preserve">{\rtf1\ansi\ansicpg1252\deff0\deflang11274{\fonttbl{\f0\fnil\fcharset0 MS Sans Serif}} \viewkind4\uc1\pard\f0\fs16 CONECTOR 7 VIAS FORD FOCUS DELANTEROS\par } </v>
      </c>
      <c r="AM1605" t="str">
        <f t="shared" si="1028"/>
        <v>-</v>
      </c>
    </row>
    <row r="1606" spans="1:39" x14ac:dyDescent="0.25">
      <c r="A1606" t="str">
        <f>"10129"</f>
        <v>10129</v>
      </c>
      <c r="B1606" t="str">
        <f>"CONECTOR 7 VÍAS CIRCUITO IMPRESO AZUL – PEUGEOT – RENAULT"</f>
        <v>CONECTOR 7 VÍAS CIRCUITO IMPRESO AZUL – PEUGEOT – RENAULT</v>
      </c>
      <c r="C1606" t="str">
        <f>"$ 11491,32"</f>
        <v>$ 11491,32</v>
      </c>
      <c r="D1606" t="str">
        <f>"$ 11491,32"</f>
        <v>$ 11491,32</v>
      </c>
      <c r="E1606" t="str">
        <f>"$ 11491,32"</f>
        <v>$ 11491,32</v>
      </c>
      <c r="F1606" t="str">
        <f>"$ 11491,32"</f>
        <v>$ 11491,32</v>
      </c>
      <c r="G1606" t="str">
        <f>"$ 11491,32"</f>
        <v>$ 11491,32</v>
      </c>
      <c r="H1606" t="str">
        <f t="shared" si="1030"/>
        <v>$ 0,00</v>
      </c>
      <c r="I1606" t="str">
        <f t="shared" si="1013"/>
        <v>FICHA CONECTOR</v>
      </c>
      <c r="J1606" t="str">
        <f t="shared" si="1031"/>
        <v>1</v>
      </c>
      <c r="K1606" t="str">
        <f t="shared" si="1026"/>
        <v>0</v>
      </c>
      <c r="L1606" t="str">
        <f>"0,000"</f>
        <v>0,000</v>
      </c>
      <c r="M1606" t="str">
        <f t="shared" si="1032"/>
        <v xml:space="preserve"> </v>
      </c>
      <c r="N1606" t="str">
        <f t="shared" si="1014"/>
        <v>AUTRONIC</v>
      </c>
      <c r="O1606" t="str">
        <f t="shared" si="1015"/>
        <v>CABLES</v>
      </c>
      <c r="P1606" t="str">
        <f t="shared" si="1033"/>
        <v>0</v>
      </c>
      <c r="Q1606" t="str">
        <f t="shared" si="1033"/>
        <v>0</v>
      </c>
      <c r="R1606" t="str">
        <f t="shared" si="1034"/>
        <v>0,00</v>
      </c>
      <c r="S1606" t="str">
        <f t="shared" si="1034"/>
        <v>0,00</v>
      </c>
      <c r="T1606" t="str">
        <f t="shared" si="1029"/>
        <v xml:space="preserve"> </v>
      </c>
      <c r="U1606" t="str">
        <f t="shared" si="1012"/>
        <v xml:space="preserve"> </v>
      </c>
      <c r="V1606" t="str">
        <f>"0,000"</f>
        <v>0,000</v>
      </c>
      <c r="W1606" t="str">
        <f t="shared" si="1035"/>
        <v>Lista 4</v>
      </c>
      <c r="X1606" t="str">
        <f t="shared" si="1036"/>
        <v>Lista 5</v>
      </c>
      <c r="Y1606" t="str">
        <f t="shared" si="1037"/>
        <v>Oferta Gral.</v>
      </c>
      <c r="Z1606" t="str">
        <f t="shared" si="1038"/>
        <v>Rubro</v>
      </c>
      <c r="AA1606" t="str">
        <f t="shared" si="1039"/>
        <v>Cantidad por Bulto</v>
      </c>
      <c r="AB1606" t="str">
        <f t="shared" si="1040"/>
        <v>INNER</v>
      </c>
      <c r="AC1606" t="str">
        <f t="shared" si="1041"/>
        <v>Stock en Bultos</v>
      </c>
      <c r="AD1606" t="str">
        <f t="shared" si="1042"/>
        <v>SubDepósito</v>
      </c>
      <c r="AE1606" t="str">
        <f t="shared" si="1043"/>
        <v>Marca</v>
      </c>
      <c r="AF1606" t="str">
        <f t="shared" si="1044"/>
        <v>Super Rubro</v>
      </c>
      <c r="AG1606" t="str">
        <f t="shared" si="1045"/>
        <v>ComercioExterior</v>
      </c>
      <c r="AH1606" t="str">
        <f t="shared" si="1046"/>
        <v>PrecioFOB</v>
      </c>
      <c r="AI1606" t="str">
        <f t="shared" si="1047"/>
        <v>Monto II</v>
      </c>
      <c r="AJ1606" t="str">
        <f t="shared" si="1048"/>
        <v>Porcentaje II</v>
      </c>
      <c r="AK1606" t="str">
        <f t="shared" si="1049"/>
        <v>Foto</v>
      </c>
      <c r="AL1606" t="str">
        <f>"{\rtf1\ansi\ansicpg1252\deff0\deflang11274{\fonttbl{\f0\fnil\fcharset0 MS Sans Serif}} \viewkind4\uc1\pard\f0\fs16 CONECTOR 7 V\'cdAS CIRCUITO IMPRESO AZUL \endash  PEUGEOT \endash  RENAULT\par } "</f>
        <v xml:space="preserve">{\rtf1\ansi\ansicpg1252\deff0\deflang11274{\fonttbl{\f0\fnil\fcharset0 MS Sans Serif}} \viewkind4\uc1\pard\f0\fs16 CONECTOR 7 V\'cdAS CIRCUITO IMPRESO AZUL \endash  PEUGEOT \endash  RENAULT\par } </v>
      </c>
      <c r="AM1606" t="str">
        <f t="shared" si="1028"/>
        <v>-</v>
      </c>
    </row>
    <row r="1607" spans="1:39" x14ac:dyDescent="0.25">
      <c r="A1607" t="str">
        <f>"10147"</f>
        <v>10147</v>
      </c>
      <c r="B1607" t="str">
        <f>"CONECTOR 7 VÍAS MÓDULO ELECTRÓNICO INDIEL – FIAT – VW - FORD"</f>
        <v>CONECTOR 7 VÍAS MÓDULO ELECTRÓNICO INDIEL – FIAT – VW - FORD</v>
      </c>
      <c r="C1607" t="str">
        <f t="shared" ref="C1607:G1608" si="1050">"$ 6226,69"</f>
        <v>$ 6226,69</v>
      </c>
      <c r="D1607" t="str">
        <f t="shared" si="1050"/>
        <v>$ 6226,69</v>
      </c>
      <c r="E1607" t="str">
        <f t="shared" si="1050"/>
        <v>$ 6226,69</v>
      </c>
      <c r="F1607" t="str">
        <f t="shared" si="1050"/>
        <v>$ 6226,69</v>
      </c>
      <c r="G1607" t="str">
        <f t="shared" si="1050"/>
        <v>$ 6226,69</v>
      </c>
      <c r="H1607" t="str">
        <f t="shared" si="1030"/>
        <v>$ 0,00</v>
      </c>
      <c r="I1607" t="str">
        <f t="shared" si="1013"/>
        <v>FICHA CONECTOR</v>
      </c>
      <c r="J1607" t="str">
        <f t="shared" si="1031"/>
        <v>1</v>
      </c>
      <c r="K1607" t="str">
        <f t="shared" si="1026"/>
        <v>0</v>
      </c>
      <c r="L1607" t="str">
        <f>"8,000"</f>
        <v>8,000</v>
      </c>
      <c r="M1607" t="str">
        <f t="shared" si="1032"/>
        <v xml:space="preserve"> </v>
      </c>
      <c r="N1607" t="str">
        <f t="shared" si="1014"/>
        <v>AUTRONIC</v>
      </c>
      <c r="O1607" t="str">
        <f t="shared" si="1015"/>
        <v>CABLES</v>
      </c>
      <c r="P1607" t="str">
        <f t="shared" si="1033"/>
        <v>0</v>
      </c>
      <c r="Q1607" t="str">
        <f t="shared" si="1033"/>
        <v>0</v>
      </c>
      <c r="R1607" t="str">
        <f t="shared" si="1034"/>
        <v>0,00</v>
      </c>
      <c r="S1607" t="str">
        <f t="shared" si="1034"/>
        <v>0,00</v>
      </c>
      <c r="T1607" t="str">
        <f t="shared" si="1029"/>
        <v xml:space="preserve"> </v>
      </c>
      <c r="U1607" t="str">
        <f t="shared" si="1012"/>
        <v xml:space="preserve"> </v>
      </c>
      <c r="V1607" t="str">
        <f>"8,000"</f>
        <v>8,000</v>
      </c>
      <c r="W1607" t="str">
        <f t="shared" si="1035"/>
        <v>Lista 4</v>
      </c>
      <c r="X1607" t="str">
        <f t="shared" si="1036"/>
        <v>Lista 5</v>
      </c>
      <c r="Y1607" t="str">
        <f t="shared" si="1037"/>
        <v>Oferta Gral.</v>
      </c>
      <c r="Z1607" t="str">
        <f t="shared" si="1038"/>
        <v>Rubro</v>
      </c>
      <c r="AA1607" t="str">
        <f t="shared" si="1039"/>
        <v>Cantidad por Bulto</v>
      </c>
      <c r="AB1607" t="str">
        <f t="shared" si="1040"/>
        <v>INNER</v>
      </c>
      <c r="AC1607" t="str">
        <f t="shared" si="1041"/>
        <v>Stock en Bultos</v>
      </c>
      <c r="AD1607" t="str">
        <f t="shared" si="1042"/>
        <v>SubDepósito</v>
      </c>
      <c r="AE1607" t="str">
        <f t="shared" si="1043"/>
        <v>Marca</v>
      </c>
      <c r="AF1607" t="str">
        <f t="shared" si="1044"/>
        <v>Super Rubro</v>
      </c>
      <c r="AG1607" t="str">
        <f t="shared" si="1045"/>
        <v>ComercioExterior</v>
      </c>
      <c r="AH1607" t="str">
        <f t="shared" si="1046"/>
        <v>PrecioFOB</v>
      </c>
      <c r="AI1607" t="str">
        <f t="shared" si="1047"/>
        <v>Monto II</v>
      </c>
      <c r="AJ1607" t="str">
        <f t="shared" si="1048"/>
        <v>Porcentaje II</v>
      </c>
      <c r="AK1607" t="str">
        <f t="shared" si="1049"/>
        <v>Foto</v>
      </c>
      <c r="AL1607" t="str">
        <f>"{\rtf1\ansi\ansicpg1252\deff0\deflang11274{\fonttbl{\f0\fnil\fcharset0 MS Sans Serif}} \viewkind4\uc1\pard\f0\fs16 CONECTOR 7 V\'cdAS M\'d3DULO ELECTR\'d3NICO INDIEL \endash  FIAT \endash  VW - FORD\par } "</f>
        <v xml:space="preserve">{\rtf1\ansi\ansicpg1252\deff0\deflang11274{\fonttbl{\f0\fnil\fcharset0 MS Sans Serif}} \viewkind4\uc1\pard\f0\fs16 CONECTOR 7 V\'cdAS M\'d3DULO ELECTR\'d3NICO INDIEL \endash  FIAT \endash  VW - FORD\par } </v>
      </c>
      <c r="AM1607" t="str">
        <f t="shared" si="1028"/>
        <v>-</v>
      </c>
    </row>
    <row r="1608" spans="1:39" x14ac:dyDescent="0.25">
      <c r="A1608" t="str">
        <f>"10173"</f>
        <v>10173</v>
      </c>
      <c r="B1608" t="str">
        <f>"CONECTOR 7 VÍAS MÓDULO ELECTRÓNICO – FORD – VW"</f>
        <v>CONECTOR 7 VÍAS MÓDULO ELECTRÓNICO – FORD – VW</v>
      </c>
      <c r="C1608" t="str">
        <f t="shared" si="1050"/>
        <v>$ 6226,69</v>
      </c>
      <c r="D1608" t="str">
        <f t="shared" si="1050"/>
        <v>$ 6226,69</v>
      </c>
      <c r="E1608" t="str">
        <f t="shared" si="1050"/>
        <v>$ 6226,69</v>
      </c>
      <c r="F1608" t="str">
        <f t="shared" si="1050"/>
        <v>$ 6226,69</v>
      </c>
      <c r="G1608" t="str">
        <f t="shared" si="1050"/>
        <v>$ 6226,69</v>
      </c>
      <c r="H1608" t="str">
        <f t="shared" si="1030"/>
        <v>$ 0,00</v>
      </c>
      <c r="I1608" t="str">
        <f t="shared" si="1013"/>
        <v>FICHA CONECTOR</v>
      </c>
      <c r="J1608" t="str">
        <f t="shared" si="1031"/>
        <v>1</v>
      </c>
      <c r="K1608" t="str">
        <f t="shared" si="1026"/>
        <v>0</v>
      </c>
      <c r="L1608" t="str">
        <f>"0,000"</f>
        <v>0,000</v>
      </c>
      <c r="M1608" t="str">
        <f t="shared" si="1032"/>
        <v xml:space="preserve"> </v>
      </c>
      <c r="N1608" t="str">
        <f t="shared" si="1014"/>
        <v>AUTRONIC</v>
      </c>
      <c r="O1608" t="str">
        <f t="shared" si="1015"/>
        <v>CABLES</v>
      </c>
      <c r="P1608" t="str">
        <f t="shared" si="1033"/>
        <v>0</v>
      </c>
      <c r="Q1608" t="str">
        <f t="shared" si="1033"/>
        <v>0</v>
      </c>
      <c r="R1608" t="str">
        <f t="shared" si="1034"/>
        <v>0,00</v>
      </c>
      <c r="S1608" t="str">
        <f t="shared" si="1034"/>
        <v>0,00</v>
      </c>
      <c r="T1608" t="str">
        <f t="shared" si="1029"/>
        <v xml:space="preserve"> </v>
      </c>
      <c r="U1608" t="str">
        <f t="shared" si="1012"/>
        <v xml:space="preserve"> </v>
      </c>
      <c r="V1608" t="str">
        <f>"0,000"</f>
        <v>0,000</v>
      </c>
      <c r="W1608" t="str">
        <f t="shared" si="1035"/>
        <v>Lista 4</v>
      </c>
      <c r="X1608" t="str">
        <f t="shared" si="1036"/>
        <v>Lista 5</v>
      </c>
      <c r="Y1608" t="str">
        <f t="shared" si="1037"/>
        <v>Oferta Gral.</v>
      </c>
      <c r="Z1608" t="str">
        <f t="shared" si="1038"/>
        <v>Rubro</v>
      </c>
      <c r="AA1608" t="str">
        <f t="shared" si="1039"/>
        <v>Cantidad por Bulto</v>
      </c>
      <c r="AB1608" t="str">
        <f t="shared" si="1040"/>
        <v>INNER</v>
      </c>
      <c r="AC1608" t="str">
        <f t="shared" si="1041"/>
        <v>Stock en Bultos</v>
      </c>
      <c r="AD1608" t="str">
        <f t="shared" si="1042"/>
        <v>SubDepósito</v>
      </c>
      <c r="AE1608" t="str">
        <f t="shared" si="1043"/>
        <v>Marca</v>
      </c>
      <c r="AF1608" t="str">
        <f t="shared" si="1044"/>
        <v>Super Rubro</v>
      </c>
      <c r="AG1608" t="str">
        <f t="shared" si="1045"/>
        <v>ComercioExterior</v>
      </c>
      <c r="AH1608" t="str">
        <f t="shared" si="1046"/>
        <v>PrecioFOB</v>
      </c>
      <c r="AI1608" t="str">
        <f t="shared" si="1047"/>
        <v>Monto II</v>
      </c>
      <c r="AJ1608" t="str">
        <f t="shared" si="1048"/>
        <v>Porcentaje II</v>
      </c>
      <c r="AK1608" t="str">
        <f t="shared" si="1049"/>
        <v>Foto</v>
      </c>
      <c r="AL1608" t="str">
        <f>"{\rtf1\ansi\ansicpg1252\deff0\deflang11274{\fonttbl{\f0\fnil\fcharset0 MS Sans Serif}} \viewkind4\uc1\pard\f0\fs16 CONECTOR 7 V\'cdAS M\'d3DULO ELECTR\'d3NICO \endash  FORD \endash  VW\par } "</f>
        <v xml:space="preserve">{\rtf1\ansi\ansicpg1252\deff0\deflang11274{\fonttbl{\f0\fnil\fcharset0 MS Sans Serif}} \viewkind4\uc1\pard\f0\fs16 CONECTOR 7 V\'cdAS M\'d3DULO ELECTR\'d3NICO \endash  FORD \endash  VW\par } </v>
      </c>
      <c r="AM1608" t="str">
        <f t="shared" si="1028"/>
        <v>-</v>
      </c>
    </row>
    <row r="1609" spans="1:39" x14ac:dyDescent="0.25">
      <c r="A1609" t="str">
        <f>"10271"</f>
        <v>10271</v>
      </c>
      <c r="B1609" t="str">
        <f>"CONECTOR 7VIAS NEGRA PRESOSTATO RENAULT"</f>
        <v>CONECTOR 7VIAS NEGRA PRESOSTATO RENAULT</v>
      </c>
      <c r="C1609" t="str">
        <f>"$ 4302,56"</f>
        <v>$ 4302,56</v>
      </c>
      <c r="D1609" t="str">
        <f>"$ 4302,56"</f>
        <v>$ 4302,56</v>
      </c>
      <c r="E1609" t="str">
        <f>"$ 4302,56"</f>
        <v>$ 4302,56</v>
      </c>
      <c r="F1609" t="str">
        <f>"$ 4302,56"</f>
        <v>$ 4302,56</v>
      </c>
      <c r="G1609" t="str">
        <f>"$ 4302,56"</f>
        <v>$ 4302,56</v>
      </c>
      <c r="H1609" t="str">
        <f t="shared" si="1030"/>
        <v>$ 0,00</v>
      </c>
      <c r="I1609" t="str">
        <f t="shared" si="1013"/>
        <v>FICHA CONECTOR</v>
      </c>
      <c r="J1609" t="str">
        <f t="shared" si="1031"/>
        <v>1</v>
      </c>
      <c r="K1609" t="str">
        <f t="shared" si="1026"/>
        <v>0</v>
      </c>
      <c r="L1609" t="str">
        <f>"4,000"</f>
        <v>4,000</v>
      </c>
      <c r="M1609" t="str">
        <f t="shared" si="1032"/>
        <v xml:space="preserve"> </v>
      </c>
      <c r="N1609" t="str">
        <f t="shared" si="1014"/>
        <v>AUTRONIC</v>
      </c>
      <c r="O1609" t="str">
        <f t="shared" si="1015"/>
        <v>CABLES</v>
      </c>
      <c r="P1609" t="str">
        <f t="shared" si="1033"/>
        <v>0</v>
      </c>
      <c r="Q1609" t="str">
        <f t="shared" si="1033"/>
        <v>0</v>
      </c>
      <c r="R1609" t="str">
        <f t="shared" si="1034"/>
        <v>0,00</v>
      </c>
      <c r="S1609" t="str">
        <f t="shared" si="1034"/>
        <v>0,00</v>
      </c>
      <c r="T1609" t="str">
        <f t="shared" si="1029"/>
        <v xml:space="preserve"> </v>
      </c>
      <c r="U1609" t="str">
        <f t="shared" si="1012"/>
        <v xml:space="preserve"> </v>
      </c>
      <c r="V1609" t="str">
        <f>"4,000"</f>
        <v>4,000</v>
      </c>
      <c r="W1609" t="str">
        <f t="shared" si="1035"/>
        <v>Lista 4</v>
      </c>
      <c r="X1609" t="str">
        <f t="shared" si="1036"/>
        <v>Lista 5</v>
      </c>
      <c r="Y1609" t="str">
        <f t="shared" si="1037"/>
        <v>Oferta Gral.</v>
      </c>
      <c r="Z1609" t="str">
        <f t="shared" si="1038"/>
        <v>Rubro</v>
      </c>
      <c r="AA1609" t="str">
        <f t="shared" si="1039"/>
        <v>Cantidad por Bulto</v>
      </c>
      <c r="AB1609" t="str">
        <f t="shared" si="1040"/>
        <v>INNER</v>
      </c>
      <c r="AC1609" t="str">
        <f t="shared" si="1041"/>
        <v>Stock en Bultos</v>
      </c>
      <c r="AD1609" t="str">
        <f t="shared" si="1042"/>
        <v>SubDepósito</v>
      </c>
      <c r="AE1609" t="str">
        <f t="shared" si="1043"/>
        <v>Marca</v>
      </c>
      <c r="AF1609" t="str">
        <f t="shared" si="1044"/>
        <v>Super Rubro</v>
      </c>
      <c r="AG1609" t="str">
        <f t="shared" si="1045"/>
        <v>ComercioExterior</v>
      </c>
      <c r="AH1609" t="str">
        <f t="shared" si="1046"/>
        <v>PrecioFOB</v>
      </c>
      <c r="AI1609" t="str">
        <f t="shared" si="1047"/>
        <v>Monto II</v>
      </c>
      <c r="AJ1609" t="str">
        <f t="shared" si="1048"/>
        <v>Porcentaje II</v>
      </c>
      <c r="AK1609" t="str">
        <f t="shared" si="1049"/>
        <v>Foto</v>
      </c>
      <c r="AL1609" t="str">
        <f>"{\rtf1\ansi\ansicpg1252\deff0\deflang11274{\fonttbl{\f0\fnil\fcharset0 MS Sans Serif}} \viewkind4\uc1\pard\f0\fs16 CONECTOR 7VIAS NEGRA PRESOSTATO RENAULT\par } "</f>
        <v xml:space="preserve">{\rtf1\ansi\ansicpg1252\deff0\deflang11274{\fonttbl{\f0\fnil\fcharset0 MS Sans Serif}} \viewkind4\uc1\pard\f0\fs16 CONECTOR 7VIAS NEGRA PRESOSTATO RENAULT\par } </v>
      </c>
      <c r="AM1609" t="str">
        <f t="shared" si="1028"/>
        <v>-</v>
      </c>
    </row>
    <row r="1610" spans="1:39" x14ac:dyDescent="0.25">
      <c r="A1610" t="str">
        <f>"10298"</f>
        <v>10298</v>
      </c>
      <c r="B1610" t="str">
        <f>"CONECTOR 8 VIAS FUSIBLERA CLIO MEGANE NEGRA 2 CABLES"</f>
        <v>CONECTOR 8 VIAS FUSIBLERA CLIO MEGANE NEGRA 2 CABLES</v>
      </c>
      <c r="C1610" t="str">
        <f>"$ 2553,59"</f>
        <v>$ 2553,59</v>
      </c>
      <c r="D1610" t="str">
        <f>"$ 2553,59"</f>
        <v>$ 2553,59</v>
      </c>
      <c r="E1610" t="str">
        <f>"$ 2553,59"</f>
        <v>$ 2553,59</v>
      </c>
      <c r="F1610" t="str">
        <f>"$ 2553,59"</f>
        <v>$ 2553,59</v>
      </c>
      <c r="G1610" t="str">
        <f>"$ 2553,59"</f>
        <v>$ 2553,59</v>
      </c>
      <c r="H1610" t="str">
        <f t="shared" si="1030"/>
        <v>$ 0,00</v>
      </c>
      <c r="I1610" t="str">
        <f t="shared" si="1013"/>
        <v>FICHA CONECTOR</v>
      </c>
      <c r="J1610" t="str">
        <f t="shared" si="1031"/>
        <v>1</v>
      </c>
      <c r="K1610" t="str">
        <f t="shared" si="1026"/>
        <v>0</v>
      </c>
      <c r="L1610" t="str">
        <f>"0,000"</f>
        <v>0,000</v>
      </c>
      <c r="M1610" t="str">
        <f t="shared" si="1032"/>
        <v xml:space="preserve"> </v>
      </c>
      <c r="N1610" t="str">
        <f t="shared" si="1014"/>
        <v>AUTRONIC</v>
      </c>
      <c r="O1610" t="str">
        <f t="shared" si="1015"/>
        <v>CABLES</v>
      </c>
      <c r="P1610" t="str">
        <f t="shared" si="1033"/>
        <v>0</v>
      </c>
      <c r="Q1610" t="str">
        <f t="shared" si="1033"/>
        <v>0</v>
      </c>
      <c r="R1610" t="str">
        <f t="shared" si="1034"/>
        <v>0,00</v>
      </c>
      <c r="S1610" t="str">
        <f t="shared" si="1034"/>
        <v>0,00</v>
      </c>
      <c r="T1610" t="str">
        <f t="shared" si="1029"/>
        <v xml:space="preserve"> </v>
      </c>
      <c r="U1610" t="str">
        <f t="shared" si="1012"/>
        <v xml:space="preserve"> </v>
      </c>
      <c r="V1610" t="str">
        <f>"0,000"</f>
        <v>0,000</v>
      </c>
      <c r="W1610" t="str">
        <f t="shared" si="1035"/>
        <v>Lista 4</v>
      </c>
      <c r="X1610" t="str">
        <f t="shared" si="1036"/>
        <v>Lista 5</v>
      </c>
      <c r="Y1610" t="str">
        <f t="shared" si="1037"/>
        <v>Oferta Gral.</v>
      </c>
      <c r="Z1610" t="str">
        <f t="shared" si="1038"/>
        <v>Rubro</v>
      </c>
      <c r="AA1610" t="str">
        <f t="shared" si="1039"/>
        <v>Cantidad por Bulto</v>
      </c>
      <c r="AB1610" t="str">
        <f t="shared" si="1040"/>
        <v>INNER</v>
      </c>
      <c r="AC1610" t="str">
        <f t="shared" si="1041"/>
        <v>Stock en Bultos</v>
      </c>
      <c r="AD1610" t="str">
        <f t="shared" si="1042"/>
        <v>SubDepósito</v>
      </c>
      <c r="AE1610" t="str">
        <f t="shared" si="1043"/>
        <v>Marca</v>
      </c>
      <c r="AF1610" t="str">
        <f t="shared" si="1044"/>
        <v>Super Rubro</v>
      </c>
      <c r="AG1610" t="str">
        <f t="shared" si="1045"/>
        <v>ComercioExterior</v>
      </c>
      <c r="AH1610" t="str">
        <f t="shared" si="1046"/>
        <v>PrecioFOB</v>
      </c>
      <c r="AI1610" t="str">
        <f t="shared" si="1047"/>
        <v>Monto II</v>
      </c>
      <c r="AJ1610" t="str">
        <f t="shared" si="1048"/>
        <v>Porcentaje II</v>
      </c>
      <c r="AK1610" t="str">
        <f t="shared" si="1049"/>
        <v>Foto</v>
      </c>
      <c r="AL1610" t="str">
        <f>"{\rtf1\ansi\ansicpg1252\deff0\deflang11274{\fonttbl{\f0\fnil\fcharset0 MS Sans Serif}} \viewkind4\uc1\pard\f0\fs16 CONECTOR 8 VIAS FUSIBLERA CLIO MEGANE NEGRA 2 CABLES\par } "</f>
        <v xml:space="preserve">{\rtf1\ansi\ansicpg1252\deff0\deflang11274{\fonttbl{\f0\fnil\fcharset0 MS Sans Serif}} \viewkind4\uc1\pard\f0\fs16 CONECTOR 8 VIAS FUSIBLERA CLIO MEGANE NEGRA 2 CABLES\par } </v>
      </c>
      <c r="AM1610" t="str">
        <f t="shared" si="1028"/>
        <v>-</v>
      </c>
    </row>
    <row r="1611" spans="1:39" x14ac:dyDescent="0.25">
      <c r="A1611" t="str">
        <f>"10372"</f>
        <v>10372</v>
      </c>
      <c r="B1611" t="str">
        <f>"CONECTOR 8 VIAS HPM CONEXIONES VARIAS FORD"</f>
        <v>CONECTOR 8 VIAS HPM CONEXIONES VARIAS FORD</v>
      </c>
      <c r="C1611" t="str">
        <f>"$ 8729,73"</f>
        <v>$ 8729,73</v>
      </c>
      <c r="D1611" t="str">
        <f>"$ 8729,73"</f>
        <v>$ 8729,73</v>
      </c>
      <c r="E1611" t="str">
        <f>"$ 8729,73"</f>
        <v>$ 8729,73</v>
      </c>
      <c r="F1611" t="str">
        <f>"$ 8729,73"</f>
        <v>$ 8729,73</v>
      </c>
      <c r="G1611" t="str">
        <f>"$ 8729,73"</f>
        <v>$ 8729,73</v>
      </c>
      <c r="H1611" t="str">
        <f t="shared" si="1030"/>
        <v>$ 0,00</v>
      </c>
      <c r="I1611" t="str">
        <f t="shared" si="1013"/>
        <v>FICHA CONECTOR</v>
      </c>
      <c r="J1611" t="str">
        <f t="shared" si="1031"/>
        <v>1</v>
      </c>
      <c r="K1611" t="str">
        <f t="shared" si="1026"/>
        <v>0</v>
      </c>
      <c r="L1611" t="str">
        <f>"0,000"</f>
        <v>0,000</v>
      </c>
      <c r="M1611" t="str">
        <f t="shared" si="1032"/>
        <v xml:space="preserve"> </v>
      </c>
      <c r="N1611" t="str">
        <f t="shared" si="1014"/>
        <v>AUTRONIC</v>
      </c>
      <c r="O1611" t="str">
        <f t="shared" si="1015"/>
        <v>CABLES</v>
      </c>
      <c r="P1611" t="str">
        <f t="shared" si="1033"/>
        <v>0</v>
      </c>
      <c r="Q1611" t="str">
        <f t="shared" si="1033"/>
        <v>0</v>
      </c>
      <c r="R1611" t="str">
        <f t="shared" si="1034"/>
        <v>0,00</v>
      </c>
      <c r="S1611" t="str">
        <f t="shared" si="1034"/>
        <v>0,00</v>
      </c>
      <c r="T1611" t="str">
        <f t="shared" si="1029"/>
        <v xml:space="preserve"> </v>
      </c>
      <c r="U1611" t="str">
        <f t="shared" si="1012"/>
        <v xml:space="preserve"> </v>
      </c>
      <c r="V1611" t="str">
        <f>"0,000"</f>
        <v>0,000</v>
      </c>
      <c r="W1611" t="str">
        <f t="shared" si="1035"/>
        <v>Lista 4</v>
      </c>
      <c r="X1611" t="str">
        <f t="shared" si="1036"/>
        <v>Lista 5</v>
      </c>
      <c r="Y1611" t="str">
        <f t="shared" si="1037"/>
        <v>Oferta Gral.</v>
      </c>
      <c r="Z1611" t="str">
        <f t="shared" si="1038"/>
        <v>Rubro</v>
      </c>
      <c r="AA1611" t="str">
        <f t="shared" si="1039"/>
        <v>Cantidad por Bulto</v>
      </c>
      <c r="AB1611" t="str">
        <f t="shared" si="1040"/>
        <v>INNER</v>
      </c>
      <c r="AC1611" t="str">
        <f t="shared" si="1041"/>
        <v>Stock en Bultos</v>
      </c>
      <c r="AD1611" t="str">
        <f t="shared" si="1042"/>
        <v>SubDepósito</v>
      </c>
      <c r="AE1611" t="str">
        <f t="shared" si="1043"/>
        <v>Marca</v>
      </c>
      <c r="AF1611" t="str">
        <f t="shared" si="1044"/>
        <v>Super Rubro</v>
      </c>
      <c r="AG1611" t="str">
        <f t="shared" si="1045"/>
        <v>ComercioExterior</v>
      </c>
      <c r="AH1611" t="str">
        <f t="shared" si="1046"/>
        <v>PrecioFOB</v>
      </c>
      <c r="AI1611" t="str">
        <f t="shared" si="1047"/>
        <v>Monto II</v>
      </c>
      <c r="AJ1611" t="str">
        <f t="shared" si="1048"/>
        <v>Porcentaje II</v>
      </c>
      <c r="AK1611" t="str">
        <f t="shared" si="1049"/>
        <v>Foto</v>
      </c>
      <c r="AL1611" t="str">
        <f>"{\rtf1\ansi\ansicpg1252\deff0\deflang11274{\fonttbl{\f0\fnil\fcharset0 MS Sans Serif}} \viewkind4\uc1\pard\f0\fs16 CONECTOR 8 VIAS HPM CONEXIONES VARIAS FORD\par } "</f>
        <v xml:space="preserve">{\rtf1\ansi\ansicpg1252\deff0\deflang11274{\fonttbl{\f0\fnil\fcharset0 MS Sans Serif}} \viewkind4\uc1\pard\f0\fs16 CONECTOR 8 VIAS HPM CONEXIONES VARIAS FORD\par } </v>
      </c>
      <c r="AM1611" t="str">
        <f t="shared" si="1028"/>
        <v>-</v>
      </c>
    </row>
    <row r="1612" spans="1:39" x14ac:dyDescent="0.25">
      <c r="A1612" t="str">
        <f>"10289"</f>
        <v>10289</v>
      </c>
      <c r="B1612" t="str">
        <f>"CONECTOR 8 VIAS MOTOR PASO A PASO  GOL AT 1,0"</f>
        <v>CONECTOR 8 VIAS MOTOR PASO A PASO  GOL AT 1,0</v>
      </c>
      <c r="C1612" t="str">
        <f>"$ 7883,58"</f>
        <v>$ 7883,58</v>
      </c>
      <c r="D1612" t="str">
        <f>"$ 7883,58"</f>
        <v>$ 7883,58</v>
      </c>
      <c r="E1612" t="str">
        <f>"$ 7883,58"</f>
        <v>$ 7883,58</v>
      </c>
      <c r="F1612" t="str">
        <f>"$ 7883,58"</f>
        <v>$ 7883,58</v>
      </c>
      <c r="G1612" t="str">
        <f>"$ 7883,58"</f>
        <v>$ 7883,58</v>
      </c>
      <c r="H1612" t="str">
        <f t="shared" si="1030"/>
        <v>$ 0,00</v>
      </c>
      <c r="I1612" t="str">
        <f t="shared" si="1013"/>
        <v>FICHA CONECTOR</v>
      </c>
      <c r="J1612" t="str">
        <f t="shared" si="1031"/>
        <v>1</v>
      </c>
      <c r="K1612" t="str">
        <f t="shared" si="1026"/>
        <v>0</v>
      </c>
      <c r="L1612" t="str">
        <f>"8,000"</f>
        <v>8,000</v>
      </c>
      <c r="M1612" t="str">
        <f t="shared" si="1032"/>
        <v xml:space="preserve"> </v>
      </c>
      <c r="N1612" t="str">
        <f t="shared" si="1014"/>
        <v>AUTRONIC</v>
      </c>
      <c r="O1612" t="str">
        <f t="shared" si="1015"/>
        <v>CABLES</v>
      </c>
      <c r="P1612" t="str">
        <f t="shared" si="1033"/>
        <v>0</v>
      </c>
      <c r="Q1612" t="str">
        <f t="shared" si="1033"/>
        <v>0</v>
      </c>
      <c r="R1612" t="str">
        <f t="shared" si="1034"/>
        <v>0,00</v>
      </c>
      <c r="S1612" t="str">
        <f t="shared" si="1034"/>
        <v>0,00</v>
      </c>
      <c r="T1612" t="str">
        <f t="shared" si="1029"/>
        <v xml:space="preserve"> </v>
      </c>
      <c r="U1612" t="str">
        <f t="shared" ref="U1612:U1675" si="1051">" "</f>
        <v xml:space="preserve"> </v>
      </c>
      <c r="V1612" t="str">
        <f>"8,000"</f>
        <v>8,000</v>
      </c>
      <c r="W1612" t="str">
        <f t="shared" si="1035"/>
        <v>Lista 4</v>
      </c>
      <c r="X1612" t="str">
        <f t="shared" si="1036"/>
        <v>Lista 5</v>
      </c>
      <c r="Y1612" t="str">
        <f t="shared" si="1037"/>
        <v>Oferta Gral.</v>
      </c>
      <c r="Z1612" t="str">
        <f t="shared" si="1038"/>
        <v>Rubro</v>
      </c>
      <c r="AA1612" t="str">
        <f t="shared" si="1039"/>
        <v>Cantidad por Bulto</v>
      </c>
      <c r="AB1612" t="str">
        <f t="shared" si="1040"/>
        <v>INNER</v>
      </c>
      <c r="AC1612" t="str">
        <f t="shared" si="1041"/>
        <v>Stock en Bultos</v>
      </c>
      <c r="AD1612" t="str">
        <f t="shared" si="1042"/>
        <v>SubDepósito</v>
      </c>
      <c r="AE1612" t="str">
        <f t="shared" si="1043"/>
        <v>Marca</v>
      </c>
      <c r="AF1612" t="str">
        <f t="shared" si="1044"/>
        <v>Super Rubro</v>
      </c>
      <c r="AG1612" t="str">
        <f t="shared" si="1045"/>
        <v>ComercioExterior</v>
      </c>
      <c r="AH1612" t="str">
        <f t="shared" si="1046"/>
        <v>PrecioFOB</v>
      </c>
      <c r="AI1612" t="str">
        <f t="shared" si="1047"/>
        <v>Monto II</v>
      </c>
      <c r="AJ1612" t="str">
        <f t="shared" si="1048"/>
        <v>Porcentaje II</v>
      </c>
      <c r="AK1612" t="str">
        <f t="shared" si="1049"/>
        <v>Foto</v>
      </c>
      <c r="AL1612" t="str">
        <f>"{\rtf1\ansi\ansicpg1252\deff0\deflang11274{\fonttbl{\f0\fnil\fcharset0 MS Sans Serif}} \viewkind4\uc1\pard\f0\fs16 CONECTOR 8 VIAS MOTOR PASO A PASO  GOL AT 1,0\par } "</f>
        <v xml:space="preserve">{\rtf1\ansi\ansicpg1252\deff0\deflang11274{\fonttbl{\f0\fnil\fcharset0 MS Sans Serif}} \viewkind4\uc1\pard\f0\fs16 CONECTOR 8 VIAS MOTOR PASO A PASO  GOL AT 1,0\par } </v>
      </c>
      <c r="AM1612" t="str">
        <f t="shared" si="1028"/>
        <v>-</v>
      </c>
    </row>
    <row r="1613" spans="1:39" x14ac:dyDescent="0.25">
      <c r="A1613" t="str">
        <f>"10371"</f>
        <v>10371</v>
      </c>
      <c r="B1613" t="str">
        <f>"CONECTOR 8 VIAS MPH CONEXIONES VARIAS FORD"</f>
        <v>CONECTOR 8 VIAS MPH CONEXIONES VARIAS FORD</v>
      </c>
      <c r="C1613" t="str">
        <f>"$ 8729,73"</f>
        <v>$ 8729,73</v>
      </c>
      <c r="D1613" t="str">
        <f>"$ 8729,73"</f>
        <v>$ 8729,73</v>
      </c>
      <c r="E1613" t="str">
        <f>"$ 8729,73"</f>
        <v>$ 8729,73</v>
      </c>
      <c r="F1613" t="str">
        <f>"$ 8729,73"</f>
        <v>$ 8729,73</v>
      </c>
      <c r="G1613" t="str">
        <f>"$ 8729,73"</f>
        <v>$ 8729,73</v>
      </c>
      <c r="H1613" t="str">
        <f t="shared" si="1030"/>
        <v>$ 0,00</v>
      </c>
      <c r="I1613" t="str">
        <f t="shared" si="1013"/>
        <v>FICHA CONECTOR</v>
      </c>
      <c r="J1613" t="str">
        <f t="shared" si="1031"/>
        <v>1</v>
      </c>
      <c r="K1613" t="str">
        <f t="shared" si="1026"/>
        <v>0</v>
      </c>
      <c r="L1613" t="str">
        <f>"0,000"</f>
        <v>0,000</v>
      </c>
      <c r="M1613" t="str">
        <f t="shared" si="1032"/>
        <v xml:space="preserve"> </v>
      </c>
      <c r="N1613" t="str">
        <f t="shared" si="1014"/>
        <v>AUTRONIC</v>
      </c>
      <c r="O1613" t="str">
        <f t="shared" si="1015"/>
        <v>CABLES</v>
      </c>
      <c r="P1613" t="str">
        <f t="shared" si="1033"/>
        <v>0</v>
      </c>
      <c r="Q1613" t="str">
        <f t="shared" si="1033"/>
        <v>0</v>
      </c>
      <c r="R1613" t="str">
        <f t="shared" si="1034"/>
        <v>0,00</v>
      </c>
      <c r="S1613" t="str">
        <f t="shared" si="1034"/>
        <v>0,00</v>
      </c>
      <c r="T1613" t="str">
        <f t="shared" si="1029"/>
        <v xml:space="preserve"> </v>
      </c>
      <c r="U1613" t="str">
        <f t="shared" si="1051"/>
        <v xml:space="preserve"> </v>
      </c>
      <c r="V1613" t="str">
        <f>"0,000"</f>
        <v>0,000</v>
      </c>
      <c r="W1613" t="str">
        <f t="shared" si="1035"/>
        <v>Lista 4</v>
      </c>
      <c r="X1613" t="str">
        <f t="shared" si="1036"/>
        <v>Lista 5</v>
      </c>
      <c r="Y1613" t="str">
        <f t="shared" si="1037"/>
        <v>Oferta Gral.</v>
      </c>
      <c r="Z1613" t="str">
        <f t="shared" si="1038"/>
        <v>Rubro</v>
      </c>
      <c r="AA1613" t="str">
        <f t="shared" si="1039"/>
        <v>Cantidad por Bulto</v>
      </c>
      <c r="AB1613" t="str">
        <f t="shared" si="1040"/>
        <v>INNER</v>
      </c>
      <c r="AC1613" t="str">
        <f t="shared" si="1041"/>
        <v>Stock en Bultos</v>
      </c>
      <c r="AD1613" t="str">
        <f t="shared" si="1042"/>
        <v>SubDepósito</v>
      </c>
      <c r="AE1613" t="str">
        <f t="shared" si="1043"/>
        <v>Marca</v>
      </c>
      <c r="AF1613" t="str">
        <f t="shared" si="1044"/>
        <v>Super Rubro</v>
      </c>
      <c r="AG1613" t="str">
        <f t="shared" si="1045"/>
        <v>ComercioExterior</v>
      </c>
      <c r="AH1613" t="str">
        <f t="shared" si="1046"/>
        <v>PrecioFOB</v>
      </c>
      <c r="AI1613" t="str">
        <f t="shared" si="1047"/>
        <v>Monto II</v>
      </c>
      <c r="AJ1613" t="str">
        <f t="shared" si="1048"/>
        <v>Porcentaje II</v>
      </c>
      <c r="AK1613" t="str">
        <f t="shared" si="1049"/>
        <v>Foto</v>
      </c>
      <c r="AL1613" t="str">
        <f>"{\rtf1\ansi\ansicpg1252\deff0\deflang11274{\fonttbl{\f0\fnil\fcharset0 MS Sans Serif}} \viewkind4\uc1\pard\f0\fs16 CONECTOR 8 VIAS MPH CONEXIONES VARIAS FORD\par } "</f>
        <v xml:space="preserve">{\rtf1\ansi\ansicpg1252\deff0\deflang11274{\fonttbl{\f0\fnil\fcharset0 MS Sans Serif}} \viewkind4\uc1\pard\f0\fs16 CONECTOR 8 VIAS MPH CONEXIONES VARIAS FORD\par } </v>
      </c>
      <c r="AM1613" t="str">
        <f t="shared" si="1028"/>
        <v>-</v>
      </c>
    </row>
    <row r="1614" spans="1:39" x14ac:dyDescent="0.25">
      <c r="A1614" t="str">
        <f>"10283"</f>
        <v>10283</v>
      </c>
      <c r="B1614" t="str">
        <f>"CONECTOR 8 VIAS MPH TECLA M. BENZ ORIGINAL"</f>
        <v>CONECTOR 8 VIAS MPH TECLA M. BENZ ORIGINAL</v>
      </c>
      <c r="C1614" t="str">
        <f>"$ 9976,83"</f>
        <v>$ 9976,83</v>
      </c>
      <c r="D1614" t="str">
        <f>"$ 9976,83"</f>
        <v>$ 9976,83</v>
      </c>
      <c r="E1614" t="str">
        <f>"$ 9976,83"</f>
        <v>$ 9976,83</v>
      </c>
      <c r="F1614" t="str">
        <f>"$ 9976,83"</f>
        <v>$ 9976,83</v>
      </c>
      <c r="G1614" t="str">
        <f>"$ 9976,83"</f>
        <v>$ 9976,83</v>
      </c>
      <c r="H1614" t="str">
        <f t="shared" si="1030"/>
        <v>$ 0,00</v>
      </c>
      <c r="I1614" t="str">
        <f t="shared" si="1013"/>
        <v>FICHA CONECTOR</v>
      </c>
      <c r="J1614" t="str">
        <f t="shared" si="1031"/>
        <v>1</v>
      </c>
      <c r="K1614" t="str">
        <f t="shared" si="1026"/>
        <v>0</v>
      </c>
      <c r="L1614" t="str">
        <f>"0,000"</f>
        <v>0,000</v>
      </c>
      <c r="M1614" t="str">
        <f t="shared" si="1032"/>
        <v xml:space="preserve"> </v>
      </c>
      <c r="N1614" t="str">
        <f t="shared" si="1014"/>
        <v>AUTRONIC</v>
      </c>
      <c r="O1614" t="str">
        <f t="shared" si="1015"/>
        <v>CABLES</v>
      </c>
      <c r="P1614" t="str">
        <f t="shared" si="1033"/>
        <v>0</v>
      </c>
      <c r="Q1614" t="str">
        <f t="shared" si="1033"/>
        <v>0</v>
      </c>
      <c r="R1614" t="str">
        <f t="shared" si="1034"/>
        <v>0,00</v>
      </c>
      <c r="S1614" t="str">
        <f t="shared" si="1034"/>
        <v>0,00</v>
      </c>
      <c r="T1614" t="str">
        <f t="shared" si="1029"/>
        <v xml:space="preserve"> </v>
      </c>
      <c r="U1614" t="str">
        <f t="shared" si="1051"/>
        <v xml:space="preserve"> </v>
      </c>
      <c r="V1614" t="str">
        <f>"0,000"</f>
        <v>0,000</v>
      </c>
      <c r="W1614" t="str">
        <f t="shared" si="1035"/>
        <v>Lista 4</v>
      </c>
      <c r="X1614" t="str">
        <f t="shared" si="1036"/>
        <v>Lista 5</v>
      </c>
      <c r="Y1614" t="str">
        <f t="shared" si="1037"/>
        <v>Oferta Gral.</v>
      </c>
      <c r="Z1614" t="str">
        <f t="shared" si="1038"/>
        <v>Rubro</v>
      </c>
      <c r="AA1614" t="str">
        <f t="shared" si="1039"/>
        <v>Cantidad por Bulto</v>
      </c>
      <c r="AB1614" t="str">
        <f t="shared" si="1040"/>
        <v>INNER</v>
      </c>
      <c r="AC1614" t="str">
        <f t="shared" si="1041"/>
        <v>Stock en Bultos</v>
      </c>
      <c r="AD1614" t="str">
        <f t="shared" si="1042"/>
        <v>SubDepósito</v>
      </c>
      <c r="AE1614" t="str">
        <f t="shared" si="1043"/>
        <v>Marca</v>
      </c>
      <c r="AF1614" t="str">
        <f t="shared" si="1044"/>
        <v>Super Rubro</v>
      </c>
      <c r="AG1614" t="str">
        <f t="shared" si="1045"/>
        <v>ComercioExterior</v>
      </c>
      <c r="AH1614" t="str">
        <f t="shared" si="1046"/>
        <v>PrecioFOB</v>
      </c>
      <c r="AI1614" t="str">
        <f t="shared" si="1047"/>
        <v>Monto II</v>
      </c>
      <c r="AJ1614" t="str">
        <f t="shared" si="1048"/>
        <v>Porcentaje II</v>
      </c>
      <c r="AK1614" t="str">
        <f t="shared" si="1049"/>
        <v>Foto</v>
      </c>
      <c r="AL1614" t="str">
        <f>"{\rtf1\ansi\ansicpg1252\deff0\deflang11274{\fonttbl{\f0\fnil\fcharset0 MS Sans Serif}} \viewkind4\uc1\pard\f0\fs16 CONECTOR 8 VIAS MPH TECLA M. BENZ ORIGINAL\par } "</f>
        <v xml:space="preserve">{\rtf1\ansi\ansicpg1252\deff0\deflang11274{\fonttbl{\f0\fnil\fcharset0 MS Sans Serif}} \viewkind4\uc1\pard\f0\fs16 CONECTOR 8 VIAS MPH TECLA M. BENZ ORIGINAL\par } </v>
      </c>
      <c r="AM1614" t="str">
        <f t="shared" si="1028"/>
        <v>-</v>
      </c>
    </row>
    <row r="1615" spans="1:39" x14ac:dyDescent="0.25">
      <c r="A1615" t="str">
        <f>"10405"</f>
        <v>10405</v>
      </c>
      <c r="B1615" t="str">
        <f>"CONECTOR 8 VIAS TECLA FARO AUXILIAR FORD ECOSPORT KA FIESTA"</f>
        <v>CONECTOR 8 VIAS TECLA FARO AUXILIAR FORD ECOSPORT KA FIESTA</v>
      </c>
      <c r="C1615" t="str">
        <f>"$ 4035,32"</f>
        <v>$ 4035,32</v>
      </c>
      <c r="D1615" t="str">
        <f>"$ 4035,32"</f>
        <v>$ 4035,32</v>
      </c>
      <c r="E1615" t="str">
        <f>"$ 4035,32"</f>
        <v>$ 4035,32</v>
      </c>
      <c r="F1615" t="str">
        <f>"$ 4035,32"</f>
        <v>$ 4035,32</v>
      </c>
      <c r="G1615" t="str">
        <f>"$ 4035,32"</f>
        <v>$ 4035,32</v>
      </c>
      <c r="H1615" t="str">
        <f t="shared" si="1030"/>
        <v>$ 0,00</v>
      </c>
      <c r="I1615" t="str">
        <f t="shared" si="1013"/>
        <v>FICHA CONECTOR</v>
      </c>
      <c r="J1615" t="str">
        <f t="shared" si="1031"/>
        <v>1</v>
      </c>
      <c r="K1615" t="str">
        <f t="shared" si="1026"/>
        <v>0</v>
      </c>
      <c r="L1615" t="str">
        <f>"0,000"</f>
        <v>0,000</v>
      </c>
      <c r="M1615" t="str">
        <f t="shared" si="1032"/>
        <v xml:space="preserve"> </v>
      </c>
      <c r="N1615" t="str">
        <f t="shared" si="1014"/>
        <v>AUTRONIC</v>
      </c>
      <c r="O1615" t="str">
        <f t="shared" si="1015"/>
        <v>CABLES</v>
      </c>
      <c r="P1615" t="str">
        <f t="shared" si="1033"/>
        <v>0</v>
      </c>
      <c r="Q1615" t="str">
        <f t="shared" si="1033"/>
        <v>0</v>
      </c>
      <c r="R1615" t="str">
        <f t="shared" si="1034"/>
        <v>0,00</v>
      </c>
      <c r="S1615" t="str">
        <f t="shared" si="1034"/>
        <v>0,00</v>
      </c>
      <c r="T1615" t="str">
        <f t="shared" si="1029"/>
        <v xml:space="preserve"> </v>
      </c>
      <c r="U1615" t="str">
        <f t="shared" si="1051"/>
        <v xml:space="preserve"> </v>
      </c>
      <c r="V1615" t="str">
        <f>"0,000"</f>
        <v>0,000</v>
      </c>
      <c r="W1615" t="str">
        <f t="shared" si="1035"/>
        <v>Lista 4</v>
      </c>
      <c r="X1615" t="str">
        <f t="shared" si="1036"/>
        <v>Lista 5</v>
      </c>
      <c r="Y1615" t="str">
        <f t="shared" si="1037"/>
        <v>Oferta Gral.</v>
      </c>
      <c r="Z1615" t="str">
        <f t="shared" si="1038"/>
        <v>Rubro</v>
      </c>
      <c r="AA1615" t="str">
        <f t="shared" si="1039"/>
        <v>Cantidad por Bulto</v>
      </c>
      <c r="AB1615" t="str">
        <f t="shared" si="1040"/>
        <v>INNER</v>
      </c>
      <c r="AC1615" t="str">
        <f t="shared" si="1041"/>
        <v>Stock en Bultos</v>
      </c>
      <c r="AD1615" t="str">
        <f t="shared" si="1042"/>
        <v>SubDepósito</v>
      </c>
      <c r="AE1615" t="str">
        <f t="shared" si="1043"/>
        <v>Marca</v>
      </c>
      <c r="AF1615" t="str">
        <f t="shared" si="1044"/>
        <v>Super Rubro</v>
      </c>
      <c r="AG1615" t="str">
        <f t="shared" si="1045"/>
        <v>ComercioExterior</v>
      </c>
      <c r="AH1615" t="str">
        <f t="shared" si="1046"/>
        <v>PrecioFOB</v>
      </c>
      <c r="AI1615" t="str">
        <f t="shared" si="1047"/>
        <v>Monto II</v>
      </c>
      <c r="AJ1615" t="str">
        <f t="shared" si="1048"/>
        <v>Porcentaje II</v>
      </c>
      <c r="AK1615" t="str">
        <f t="shared" si="1049"/>
        <v>Foto</v>
      </c>
      <c r="AL1615" t="str">
        <f>"{\rtf1\ansi\ansicpg1252\deff0\deflang11274{\fonttbl{\f0\fnil\fcharset0 MS Sans Serif}} \viewkind4\uc1\pard\f0\fs16 CONECTOR 8 VIAS TECLA FARO AUXILIAR FORD ECOSPORT KA FIESTA\par } "</f>
        <v xml:space="preserve">{\rtf1\ansi\ansicpg1252\deff0\deflang11274{\fonttbl{\f0\fnil\fcharset0 MS Sans Serif}} \viewkind4\uc1\pard\f0\fs16 CONECTOR 8 VIAS TECLA FARO AUXILIAR FORD ECOSPORT KA FIESTA\par } </v>
      </c>
      <c r="AM1615" t="str">
        <f t="shared" si="1028"/>
        <v>-</v>
      </c>
    </row>
    <row r="1616" spans="1:39" x14ac:dyDescent="0.25">
      <c r="A1616" t="str">
        <f>"10189"</f>
        <v>10189</v>
      </c>
      <c r="B1616" t="str">
        <f>"CONECTOR 8 VIAS TECLA PEUGEOT 405-505"</f>
        <v>CONECTOR 8 VIAS TECLA PEUGEOT 405-505</v>
      </c>
      <c r="C1616" t="str">
        <f>"$ 6520,66"</f>
        <v>$ 6520,66</v>
      </c>
      <c r="D1616" t="str">
        <f>"$ 6520,66"</f>
        <v>$ 6520,66</v>
      </c>
      <c r="E1616" t="str">
        <f>"$ 6520,66"</f>
        <v>$ 6520,66</v>
      </c>
      <c r="F1616" t="str">
        <f>"$ 6520,66"</f>
        <v>$ 6520,66</v>
      </c>
      <c r="G1616" t="str">
        <f>"$ 6520,66"</f>
        <v>$ 6520,66</v>
      </c>
      <c r="H1616" t="str">
        <f t="shared" si="1030"/>
        <v>$ 0,00</v>
      </c>
      <c r="I1616" t="str">
        <f t="shared" ref="I1616:I1679" si="1052">"FICHA CONECTOR"</f>
        <v>FICHA CONECTOR</v>
      </c>
      <c r="J1616" t="str">
        <f t="shared" si="1031"/>
        <v>1</v>
      </c>
      <c r="K1616" t="str">
        <f t="shared" si="1026"/>
        <v>0</v>
      </c>
      <c r="L1616" t="str">
        <f>"0,000"</f>
        <v>0,000</v>
      </c>
      <c r="M1616" t="str">
        <f t="shared" si="1032"/>
        <v xml:space="preserve"> </v>
      </c>
      <c r="N1616" t="str">
        <f t="shared" ref="N1616:N1679" si="1053">"AUTRONIC"</f>
        <v>AUTRONIC</v>
      </c>
      <c r="O1616" t="str">
        <f t="shared" ref="O1616:O1679" si="1054">"CABLES"</f>
        <v>CABLES</v>
      </c>
      <c r="P1616" t="str">
        <f t="shared" si="1033"/>
        <v>0</v>
      </c>
      <c r="Q1616" t="str">
        <f t="shared" si="1033"/>
        <v>0</v>
      </c>
      <c r="R1616" t="str">
        <f t="shared" si="1034"/>
        <v>0,00</v>
      </c>
      <c r="S1616" t="str">
        <f t="shared" si="1034"/>
        <v>0,00</v>
      </c>
      <c r="T1616" t="str">
        <f t="shared" si="1029"/>
        <v xml:space="preserve"> </v>
      </c>
      <c r="U1616" t="str">
        <f t="shared" si="1051"/>
        <v xml:space="preserve"> </v>
      </c>
      <c r="V1616" t="str">
        <f>"0,000"</f>
        <v>0,000</v>
      </c>
      <c r="W1616" t="str">
        <f t="shared" si="1035"/>
        <v>Lista 4</v>
      </c>
      <c r="X1616" t="str">
        <f t="shared" si="1036"/>
        <v>Lista 5</v>
      </c>
      <c r="Y1616" t="str">
        <f t="shared" si="1037"/>
        <v>Oferta Gral.</v>
      </c>
      <c r="Z1616" t="str">
        <f t="shared" si="1038"/>
        <v>Rubro</v>
      </c>
      <c r="AA1616" t="str">
        <f t="shared" si="1039"/>
        <v>Cantidad por Bulto</v>
      </c>
      <c r="AB1616" t="str">
        <f t="shared" si="1040"/>
        <v>INNER</v>
      </c>
      <c r="AC1616" t="str">
        <f t="shared" si="1041"/>
        <v>Stock en Bultos</v>
      </c>
      <c r="AD1616" t="str">
        <f t="shared" si="1042"/>
        <v>SubDepósito</v>
      </c>
      <c r="AE1616" t="str">
        <f t="shared" si="1043"/>
        <v>Marca</v>
      </c>
      <c r="AF1616" t="str">
        <f t="shared" si="1044"/>
        <v>Super Rubro</v>
      </c>
      <c r="AG1616" t="str">
        <f t="shared" si="1045"/>
        <v>ComercioExterior</v>
      </c>
      <c r="AH1616" t="str">
        <f t="shared" si="1046"/>
        <v>PrecioFOB</v>
      </c>
      <c r="AI1616" t="str">
        <f t="shared" si="1047"/>
        <v>Monto II</v>
      </c>
      <c r="AJ1616" t="str">
        <f t="shared" si="1048"/>
        <v>Porcentaje II</v>
      </c>
      <c r="AK1616" t="str">
        <f t="shared" si="1049"/>
        <v>Foto</v>
      </c>
      <c r="AL1616" t="str">
        <f>"{\rtf1\ansi\ansicpg1252\deff0\deflang11274{\fonttbl{\f0\fnil\fcharset0 MS Sans Serif}} \viewkind4\uc1\pard\f0\fs16 CONECTOR 8 VIAS TECLA PEUGEOT 405-505\par } "</f>
        <v xml:space="preserve">{\rtf1\ansi\ansicpg1252\deff0\deflang11274{\fonttbl{\f0\fnil\fcharset0 MS Sans Serif}} \viewkind4\uc1\pard\f0\fs16 CONECTOR 8 VIAS TECLA PEUGEOT 405-505\par } </v>
      </c>
      <c r="AM1616" t="str">
        <f t="shared" si="1028"/>
        <v>-</v>
      </c>
    </row>
    <row r="1617" spans="1:39" x14ac:dyDescent="0.25">
      <c r="A1617" t="str">
        <f>"10130"</f>
        <v>10130</v>
      </c>
      <c r="B1617" t="str">
        <f>"CONECTOR 8 VÍAS CIRCUITO IMPRESO  PEUGEOT – RENAULT"</f>
        <v>CONECTOR 8 VÍAS CIRCUITO IMPRESO  PEUGEOT – RENAULT</v>
      </c>
      <c r="C1617" t="str">
        <f>"$ 14030,10"</f>
        <v>$ 14030,10</v>
      </c>
      <c r="D1617" t="str">
        <f>"$ 14030,10"</f>
        <v>$ 14030,10</v>
      </c>
      <c r="E1617" t="str">
        <f>"$ 14030,10"</f>
        <v>$ 14030,10</v>
      </c>
      <c r="F1617" t="str">
        <f>"$ 14030,10"</f>
        <v>$ 14030,10</v>
      </c>
      <c r="G1617" t="str">
        <f>"$ 14030,10"</f>
        <v>$ 14030,10</v>
      </c>
      <c r="H1617" t="str">
        <f t="shared" si="1030"/>
        <v>$ 0,00</v>
      </c>
      <c r="I1617" t="str">
        <f t="shared" si="1052"/>
        <v>FICHA CONECTOR</v>
      </c>
      <c r="J1617" t="str">
        <f t="shared" si="1031"/>
        <v>1</v>
      </c>
      <c r="K1617" t="str">
        <f t="shared" si="1026"/>
        <v>0</v>
      </c>
      <c r="L1617" t="str">
        <f>"0,000"</f>
        <v>0,000</v>
      </c>
      <c r="M1617" t="str">
        <f t="shared" si="1032"/>
        <v xml:space="preserve"> </v>
      </c>
      <c r="N1617" t="str">
        <f t="shared" si="1053"/>
        <v>AUTRONIC</v>
      </c>
      <c r="O1617" t="str">
        <f t="shared" si="1054"/>
        <v>CABLES</v>
      </c>
      <c r="P1617" t="str">
        <f t="shared" si="1033"/>
        <v>0</v>
      </c>
      <c r="Q1617" t="str">
        <f t="shared" si="1033"/>
        <v>0</v>
      </c>
      <c r="R1617" t="str">
        <f t="shared" si="1034"/>
        <v>0,00</v>
      </c>
      <c r="S1617" t="str">
        <f t="shared" si="1034"/>
        <v>0,00</v>
      </c>
      <c r="T1617" t="str">
        <f t="shared" si="1029"/>
        <v xml:space="preserve"> </v>
      </c>
      <c r="U1617" t="str">
        <f t="shared" si="1051"/>
        <v xml:space="preserve"> </v>
      </c>
      <c r="V1617" t="str">
        <f>"0,000"</f>
        <v>0,000</v>
      </c>
      <c r="W1617" t="str">
        <f t="shared" si="1035"/>
        <v>Lista 4</v>
      </c>
      <c r="X1617" t="str">
        <f t="shared" si="1036"/>
        <v>Lista 5</v>
      </c>
      <c r="Y1617" t="str">
        <f t="shared" si="1037"/>
        <v>Oferta Gral.</v>
      </c>
      <c r="Z1617" t="str">
        <f t="shared" si="1038"/>
        <v>Rubro</v>
      </c>
      <c r="AA1617" t="str">
        <f t="shared" si="1039"/>
        <v>Cantidad por Bulto</v>
      </c>
      <c r="AB1617" t="str">
        <f t="shared" si="1040"/>
        <v>INNER</v>
      </c>
      <c r="AC1617" t="str">
        <f t="shared" si="1041"/>
        <v>Stock en Bultos</v>
      </c>
      <c r="AD1617" t="str">
        <f t="shared" si="1042"/>
        <v>SubDepósito</v>
      </c>
      <c r="AE1617" t="str">
        <f t="shared" si="1043"/>
        <v>Marca</v>
      </c>
      <c r="AF1617" t="str">
        <f t="shared" si="1044"/>
        <v>Super Rubro</v>
      </c>
      <c r="AG1617" t="str">
        <f t="shared" si="1045"/>
        <v>ComercioExterior</v>
      </c>
      <c r="AH1617" t="str">
        <f t="shared" si="1046"/>
        <v>PrecioFOB</v>
      </c>
      <c r="AI1617" t="str">
        <f t="shared" si="1047"/>
        <v>Monto II</v>
      </c>
      <c r="AJ1617" t="str">
        <f t="shared" si="1048"/>
        <v>Porcentaje II</v>
      </c>
      <c r="AK1617" t="str">
        <f t="shared" si="1049"/>
        <v>Foto</v>
      </c>
      <c r="AL1617" t="str">
        <f>"{\rtf1\ansi\ansicpg1252\deff0\deflang11274{\fonttbl{\f0\fnil\fcharset0 MS Sans Serif}} \viewkind4\uc1\pard\f0\fs16 CONECTOR 8 V\'cdAS CIRCUITO IMPRESO  PEUGEOT \endash  RENAULT\par } "</f>
        <v xml:space="preserve">{\rtf1\ansi\ansicpg1252\deff0\deflang11274{\fonttbl{\f0\fnil\fcharset0 MS Sans Serif}} \viewkind4\uc1\pard\f0\fs16 CONECTOR 8 V\'cdAS CIRCUITO IMPRESO  PEUGEOT \endash  RENAULT\par } </v>
      </c>
      <c r="AM1617" t="str">
        <f t="shared" si="1028"/>
        <v>-</v>
      </c>
    </row>
    <row r="1618" spans="1:39" x14ac:dyDescent="0.25">
      <c r="A1618" t="str">
        <f>"10115"</f>
        <v>10115</v>
      </c>
      <c r="B1618" t="str">
        <f>"CONECTOR 8 VÍAS HEMBRA – PORTA MACHO T:  6.35 MM.- UNIVERSAL"</f>
        <v>CONECTOR 8 VÍAS HEMBRA – PORTA MACHO T:  6.35 MM.- UNIVERSAL</v>
      </c>
      <c r="C1618" t="str">
        <f>"$ 3500,84"</f>
        <v>$ 3500,84</v>
      </c>
      <c r="D1618" t="str">
        <f>"$ 3500,84"</f>
        <v>$ 3500,84</v>
      </c>
      <c r="E1618" t="str">
        <f>"$ 3500,84"</f>
        <v>$ 3500,84</v>
      </c>
      <c r="F1618" t="str">
        <f>"$ 3500,84"</f>
        <v>$ 3500,84</v>
      </c>
      <c r="G1618" t="str">
        <f>"$ 3500,84"</f>
        <v>$ 3500,84</v>
      </c>
      <c r="H1618" t="str">
        <f t="shared" si="1030"/>
        <v>$ 0,00</v>
      </c>
      <c r="I1618" t="str">
        <f t="shared" si="1052"/>
        <v>FICHA CONECTOR</v>
      </c>
      <c r="J1618" t="str">
        <f t="shared" si="1031"/>
        <v>1</v>
      </c>
      <c r="K1618" t="str">
        <f t="shared" si="1026"/>
        <v>0</v>
      </c>
      <c r="L1618" t="str">
        <f>"10,000"</f>
        <v>10,000</v>
      </c>
      <c r="M1618" t="str">
        <f t="shared" si="1032"/>
        <v xml:space="preserve"> </v>
      </c>
      <c r="N1618" t="str">
        <f t="shared" si="1053"/>
        <v>AUTRONIC</v>
      </c>
      <c r="O1618" t="str">
        <f t="shared" si="1054"/>
        <v>CABLES</v>
      </c>
      <c r="P1618" t="str">
        <f t="shared" si="1033"/>
        <v>0</v>
      </c>
      <c r="Q1618" t="str">
        <f t="shared" si="1033"/>
        <v>0</v>
      </c>
      <c r="R1618" t="str">
        <f t="shared" si="1034"/>
        <v>0,00</v>
      </c>
      <c r="S1618" t="str">
        <f t="shared" si="1034"/>
        <v>0,00</v>
      </c>
      <c r="T1618" t="str">
        <f t="shared" si="1029"/>
        <v xml:space="preserve"> </v>
      </c>
      <c r="U1618" t="str">
        <f t="shared" si="1051"/>
        <v xml:space="preserve"> </v>
      </c>
      <c r="V1618" t="str">
        <f>"10,000"</f>
        <v>10,000</v>
      </c>
      <c r="W1618" t="str">
        <f t="shared" si="1035"/>
        <v>Lista 4</v>
      </c>
      <c r="X1618" t="str">
        <f t="shared" si="1036"/>
        <v>Lista 5</v>
      </c>
      <c r="Y1618" t="str">
        <f t="shared" si="1037"/>
        <v>Oferta Gral.</v>
      </c>
      <c r="Z1618" t="str">
        <f t="shared" si="1038"/>
        <v>Rubro</v>
      </c>
      <c r="AA1618" t="str">
        <f t="shared" si="1039"/>
        <v>Cantidad por Bulto</v>
      </c>
      <c r="AB1618" t="str">
        <f t="shared" si="1040"/>
        <v>INNER</v>
      </c>
      <c r="AC1618" t="str">
        <f t="shared" si="1041"/>
        <v>Stock en Bultos</v>
      </c>
      <c r="AD1618" t="str">
        <f t="shared" si="1042"/>
        <v>SubDepósito</v>
      </c>
      <c r="AE1618" t="str">
        <f t="shared" si="1043"/>
        <v>Marca</v>
      </c>
      <c r="AF1618" t="str">
        <f t="shared" si="1044"/>
        <v>Super Rubro</v>
      </c>
      <c r="AG1618" t="str">
        <f t="shared" si="1045"/>
        <v>ComercioExterior</v>
      </c>
      <c r="AH1618" t="str">
        <f t="shared" si="1046"/>
        <v>PrecioFOB</v>
      </c>
      <c r="AI1618" t="str">
        <f t="shared" si="1047"/>
        <v>Monto II</v>
      </c>
      <c r="AJ1618" t="str">
        <f t="shared" si="1048"/>
        <v>Porcentaje II</v>
      </c>
      <c r="AK1618" t="str">
        <f t="shared" si="1049"/>
        <v>Foto</v>
      </c>
      <c r="AL1618" t="str">
        <f>"{\rtf1\ansi\ansicpg1252\deff0\deflang11274{\fonttbl{\f0\fnil\fcharset0 MS Sans Serif}} \viewkind4\uc1\pard\f0\fs16 CONECTOR 8 V\'cdAS HEMBRA \endash  PORTA MACHO T:  6.35 MM.- UNIVERSAL\par } "</f>
        <v xml:space="preserve">{\rtf1\ansi\ansicpg1252\deff0\deflang11274{\fonttbl{\f0\fnil\fcharset0 MS Sans Serif}} \viewkind4\uc1\pard\f0\fs16 CONECTOR 8 V\'cdAS HEMBRA \endash  PORTA MACHO T:  6.35 MM.- UNIVERSAL\par } </v>
      </c>
      <c r="AM1618" t="str">
        <f t="shared" si="1028"/>
        <v>-</v>
      </c>
    </row>
    <row r="1619" spans="1:39" x14ac:dyDescent="0.25">
      <c r="A1619" t="str">
        <f>"10114"</f>
        <v>10114</v>
      </c>
      <c r="B1619" t="str">
        <f>"CONECTOR 8 VÍAS MACHO – PORTA HEMBRA T:  6.35 MM.- UNIVERSAL"</f>
        <v>CONECTOR 8 VÍAS MACHO – PORTA HEMBRA T:  6.35 MM.- UNIVERSAL</v>
      </c>
      <c r="C1619" t="str">
        <f>"$ 3180,16"</f>
        <v>$ 3180,16</v>
      </c>
      <c r="D1619" t="str">
        <f>"$ 3180,16"</f>
        <v>$ 3180,16</v>
      </c>
      <c r="E1619" t="str">
        <f>"$ 3180,16"</f>
        <v>$ 3180,16</v>
      </c>
      <c r="F1619" t="str">
        <f>"$ 3180,16"</f>
        <v>$ 3180,16</v>
      </c>
      <c r="G1619" t="str">
        <f>"$ 3180,16"</f>
        <v>$ 3180,16</v>
      </c>
      <c r="H1619" t="str">
        <f t="shared" si="1030"/>
        <v>$ 0,00</v>
      </c>
      <c r="I1619" t="str">
        <f t="shared" si="1052"/>
        <v>FICHA CONECTOR</v>
      </c>
      <c r="J1619" t="str">
        <f t="shared" si="1031"/>
        <v>1</v>
      </c>
      <c r="K1619" t="str">
        <f t="shared" si="1026"/>
        <v>0</v>
      </c>
      <c r="L1619" t="str">
        <f>"0,000"</f>
        <v>0,000</v>
      </c>
      <c r="M1619" t="str">
        <f t="shared" si="1032"/>
        <v xml:space="preserve"> </v>
      </c>
      <c r="N1619" t="str">
        <f t="shared" si="1053"/>
        <v>AUTRONIC</v>
      </c>
      <c r="O1619" t="str">
        <f t="shared" si="1054"/>
        <v>CABLES</v>
      </c>
      <c r="P1619" t="str">
        <f t="shared" si="1033"/>
        <v>0</v>
      </c>
      <c r="Q1619" t="str">
        <f t="shared" si="1033"/>
        <v>0</v>
      </c>
      <c r="R1619" t="str">
        <f t="shared" si="1034"/>
        <v>0,00</v>
      </c>
      <c r="S1619" t="str">
        <f t="shared" si="1034"/>
        <v>0,00</v>
      </c>
      <c r="T1619" t="str">
        <f t="shared" si="1029"/>
        <v xml:space="preserve"> </v>
      </c>
      <c r="U1619" t="str">
        <f t="shared" si="1051"/>
        <v xml:space="preserve"> </v>
      </c>
      <c r="V1619" t="str">
        <f>"0,000"</f>
        <v>0,000</v>
      </c>
      <c r="W1619" t="str">
        <f t="shared" si="1035"/>
        <v>Lista 4</v>
      </c>
      <c r="X1619" t="str">
        <f t="shared" si="1036"/>
        <v>Lista 5</v>
      </c>
      <c r="Y1619" t="str">
        <f t="shared" si="1037"/>
        <v>Oferta Gral.</v>
      </c>
      <c r="Z1619" t="str">
        <f t="shared" si="1038"/>
        <v>Rubro</v>
      </c>
      <c r="AA1619" t="str">
        <f t="shared" si="1039"/>
        <v>Cantidad por Bulto</v>
      </c>
      <c r="AB1619" t="str">
        <f t="shared" si="1040"/>
        <v>INNER</v>
      </c>
      <c r="AC1619" t="str">
        <f t="shared" si="1041"/>
        <v>Stock en Bultos</v>
      </c>
      <c r="AD1619" t="str">
        <f t="shared" si="1042"/>
        <v>SubDepósito</v>
      </c>
      <c r="AE1619" t="str">
        <f t="shared" si="1043"/>
        <v>Marca</v>
      </c>
      <c r="AF1619" t="str">
        <f t="shared" si="1044"/>
        <v>Super Rubro</v>
      </c>
      <c r="AG1619" t="str">
        <f t="shared" si="1045"/>
        <v>ComercioExterior</v>
      </c>
      <c r="AH1619" t="str">
        <f t="shared" si="1046"/>
        <v>PrecioFOB</v>
      </c>
      <c r="AI1619" t="str">
        <f t="shared" si="1047"/>
        <v>Monto II</v>
      </c>
      <c r="AJ1619" t="str">
        <f t="shared" si="1048"/>
        <v>Porcentaje II</v>
      </c>
      <c r="AK1619" t="str">
        <f t="shared" si="1049"/>
        <v>Foto</v>
      </c>
      <c r="AL1619" t="str">
        <f>"{\rtf1\ansi\ansicpg1252\deff0\deflang11274{\fonttbl{\f0\fnil\fcharset0 MS Sans Serif}} \viewkind4\uc1\pard\f0\fs16 CONECTOR 8 V\'cdAS MACHO \endash  PORTA HEMBRA T:  6.35 MM.- UNIVERSAL\par } "</f>
        <v xml:space="preserve">{\rtf1\ansi\ansicpg1252\deff0\deflang11274{\fonttbl{\f0\fnil\fcharset0 MS Sans Serif}} \viewkind4\uc1\pard\f0\fs16 CONECTOR 8 V\'cdAS MACHO \endash  PORTA HEMBRA T:  6.35 MM.- UNIVERSAL\par } </v>
      </c>
      <c r="AM1619" t="str">
        <f t="shared" si="1028"/>
        <v>-</v>
      </c>
    </row>
    <row r="1620" spans="1:39" x14ac:dyDescent="0.25">
      <c r="A1620" t="str">
        <f>"10140"</f>
        <v>10140</v>
      </c>
      <c r="B1620" t="str">
        <f>"CONECTOR 8 VÍAS MARRÓN STEREO – UNIVERSAL"</f>
        <v>CONECTOR 8 VÍAS MARRÓN STEREO – UNIVERSAL</v>
      </c>
      <c r="C1620" t="str">
        <f>"$ 2806,02"</f>
        <v>$ 2806,02</v>
      </c>
      <c r="D1620" t="str">
        <f>"$ 2806,02"</f>
        <v>$ 2806,02</v>
      </c>
      <c r="E1620" t="str">
        <f>"$ 2806,02"</f>
        <v>$ 2806,02</v>
      </c>
      <c r="F1620" t="str">
        <f>"$ 2806,02"</f>
        <v>$ 2806,02</v>
      </c>
      <c r="G1620" t="str">
        <f>"$ 2806,02"</f>
        <v>$ 2806,02</v>
      </c>
      <c r="H1620" t="str">
        <f t="shared" si="1030"/>
        <v>$ 0,00</v>
      </c>
      <c r="I1620" t="str">
        <f t="shared" si="1052"/>
        <v>FICHA CONECTOR</v>
      </c>
      <c r="J1620" t="str">
        <f t="shared" si="1031"/>
        <v>1</v>
      </c>
      <c r="K1620" t="str">
        <f t="shared" si="1026"/>
        <v>0</v>
      </c>
      <c r="L1620" t="str">
        <f>"6,000"</f>
        <v>6,000</v>
      </c>
      <c r="M1620" t="str">
        <f t="shared" si="1032"/>
        <v xml:space="preserve"> </v>
      </c>
      <c r="N1620" t="str">
        <f t="shared" si="1053"/>
        <v>AUTRONIC</v>
      </c>
      <c r="O1620" t="str">
        <f t="shared" si="1054"/>
        <v>CABLES</v>
      </c>
      <c r="P1620" t="str">
        <f t="shared" si="1033"/>
        <v>0</v>
      </c>
      <c r="Q1620" t="str">
        <f t="shared" si="1033"/>
        <v>0</v>
      </c>
      <c r="R1620" t="str">
        <f t="shared" si="1034"/>
        <v>0,00</v>
      </c>
      <c r="S1620" t="str">
        <f t="shared" si="1034"/>
        <v>0,00</v>
      </c>
      <c r="T1620" t="str">
        <f t="shared" si="1029"/>
        <v xml:space="preserve"> </v>
      </c>
      <c r="U1620" t="str">
        <f t="shared" si="1051"/>
        <v xml:space="preserve"> </v>
      </c>
      <c r="V1620" t="str">
        <f>"6,000"</f>
        <v>6,000</v>
      </c>
      <c r="W1620" t="str">
        <f t="shared" si="1035"/>
        <v>Lista 4</v>
      </c>
      <c r="X1620" t="str">
        <f t="shared" si="1036"/>
        <v>Lista 5</v>
      </c>
      <c r="Y1620" t="str">
        <f t="shared" si="1037"/>
        <v>Oferta Gral.</v>
      </c>
      <c r="Z1620" t="str">
        <f t="shared" si="1038"/>
        <v>Rubro</v>
      </c>
      <c r="AA1620" t="str">
        <f t="shared" si="1039"/>
        <v>Cantidad por Bulto</v>
      </c>
      <c r="AB1620" t="str">
        <f t="shared" si="1040"/>
        <v>INNER</v>
      </c>
      <c r="AC1620" t="str">
        <f t="shared" si="1041"/>
        <v>Stock en Bultos</v>
      </c>
      <c r="AD1620" t="str">
        <f t="shared" si="1042"/>
        <v>SubDepósito</v>
      </c>
      <c r="AE1620" t="str">
        <f t="shared" si="1043"/>
        <v>Marca</v>
      </c>
      <c r="AF1620" t="str">
        <f t="shared" si="1044"/>
        <v>Super Rubro</v>
      </c>
      <c r="AG1620" t="str">
        <f t="shared" si="1045"/>
        <v>ComercioExterior</v>
      </c>
      <c r="AH1620" t="str">
        <f t="shared" si="1046"/>
        <v>PrecioFOB</v>
      </c>
      <c r="AI1620" t="str">
        <f t="shared" si="1047"/>
        <v>Monto II</v>
      </c>
      <c r="AJ1620" t="str">
        <f t="shared" si="1048"/>
        <v>Porcentaje II</v>
      </c>
      <c r="AK1620" t="str">
        <f t="shared" si="1049"/>
        <v>Foto</v>
      </c>
      <c r="AL1620" t="str">
        <f>"{\rtf1\ansi\ansicpg1252\deff0\deflang11274{\fonttbl{\f0\fnil\fcharset0 MS Sans Serif}} \viewkind4\uc1\pard\f0\fs16 CONECTOR 8 V\'cdAS MARR\'d3N STEREO \endash  UNIVERSAL\par } "</f>
        <v xml:space="preserve">{\rtf1\ansi\ansicpg1252\deff0\deflang11274{\fonttbl{\f0\fnil\fcharset0 MS Sans Serif}} \viewkind4\uc1\pard\f0\fs16 CONECTOR 8 V\'cdAS MARR\'d3N STEREO \endash  UNIVERSAL\par } </v>
      </c>
      <c r="AM1620" t="str">
        <f t="shared" si="1028"/>
        <v>-</v>
      </c>
    </row>
    <row r="1621" spans="1:39" x14ac:dyDescent="0.25">
      <c r="A1621" t="str">
        <f>"10141"</f>
        <v>10141</v>
      </c>
      <c r="B1621" t="str">
        <f>"CONECTOR 8 VÍAS NEGRA STEREO – UNIVERSAL"</f>
        <v>CONECTOR 8 VÍAS NEGRA STEREO – UNIVERSAL</v>
      </c>
      <c r="C1621" t="str">
        <f>"$ 2004,30"</f>
        <v>$ 2004,30</v>
      </c>
      <c r="D1621" t="str">
        <f>"$ 2004,30"</f>
        <v>$ 2004,30</v>
      </c>
      <c r="E1621" t="str">
        <f>"$ 2004,30"</f>
        <v>$ 2004,30</v>
      </c>
      <c r="F1621" t="str">
        <f>"$ 2004,30"</f>
        <v>$ 2004,30</v>
      </c>
      <c r="G1621" t="str">
        <f>"$ 2004,30"</f>
        <v>$ 2004,30</v>
      </c>
      <c r="H1621" t="str">
        <f t="shared" si="1030"/>
        <v>$ 0,00</v>
      </c>
      <c r="I1621" t="str">
        <f t="shared" si="1052"/>
        <v>FICHA CONECTOR</v>
      </c>
      <c r="J1621" t="str">
        <f t="shared" si="1031"/>
        <v>1</v>
      </c>
      <c r="K1621" t="str">
        <f t="shared" si="1026"/>
        <v>0</v>
      </c>
      <c r="L1621" t="str">
        <f>"6,000"</f>
        <v>6,000</v>
      </c>
      <c r="M1621" t="str">
        <f t="shared" si="1032"/>
        <v xml:space="preserve"> </v>
      </c>
      <c r="N1621" t="str">
        <f t="shared" si="1053"/>
        <v>AUTRONIC</v>
      </c>
      <c r="O1621" t="str">
        <f t="shared" si="1054"/>
        <v>CABLES</v>
      </c>
      <c r="P1621" t="str">
        <f t="shared" si="1033"/>
        <v>0</v>
      </c>
      <c r="Q1621" t="str">
        <f t="shared" si="1033"/>
        <v>0</v>
      </c>
      <c r="R1621" t="str">
        <f t="shared" si="1034"/>
        <v>0,00</v>
      </c>
      <c r="S1621" t="str">
        <f t="shared" si="1034"/>
        <v>0,00</v>
      </c>
      <c r="T1621" t="str">
        <f t="shared" si="1029"/>
        <v xml:space="preserve"> </v>
      </c>
      <c r="U1621" t="str">
        <f t="shared" si="1051"/>
        <v xml:space="preserve"> </v>
      </c>
      <c r="V1621" t="str">
        <f>"6,000"</f>
        <v>6,000</v>
      </c>
      <c r="W1621" t="str">
        <f t="shared" si="1035"/>
        <v>Lista 4</v>
      </c>
      <c r="X1621" t="str">
        <f t="shared" si="1036"/>
        <v>Lista 5</v>
      </c>
      <c r="Y1621" t="str">
        <f t="shared" si="1037"/>
        <v>Oferta Gral.</v>
      </c>
      <c r="Z1621" t="str">
        <f t="shared" si="1038"/>
        <v>Rubro</v>
      </c>
      <c r="AA1621" t="str">
        <f t="shared" si="1039"/>
        <v>Cantidad por Bulto</v>
      </c>
      <c r="AB1621" t="str">
        <f t="shared" si="1040"/>
        <v>INNER</v>
      </c>
      <c r="AC1621" t="str">
        <f t="shared" si="1041"/>
        <v>Stock en Bultos</v>
      </c>
      <c r="AD1621" t="str">
        <f t="shared" si="1042"/>
        <v>SubDepósito</v>
      </c>
      <c r="AE1621" t="str">
        <f t="shared" si="1043"/>
        <v>Marca</v>
      </c>
      <c r="AF1621" t="str">
        <f t="shared" si="1044"/>
        <v>Super Rubro</v>
      </c>
      <c r="AG1621" t="str">
        <f t="shared" si="1045"/>
        <v>ComercioExterior</v>
      </c>
      <c r="AH1621" t="str">
        <f t="shared" si="1046"/>
        <v>PrecioFOB</v>
      </c>
      <c r="AI1621" t="str">
        <f t="shared" si="1047"/>
        <v>Monto II</v>
      </c>
      <c r="AJ1621" t="str">
        <f t="shared" si="1048"/>
        <v>Porcentaje II</v>
      </c>
      <c r="AK1621" t="str">
        <f t="shared" si="1049"/>
        <v>Foto</v>
      </c>
      <c r="AL1621" t="str">
        <f>"{\rtf1\ansi\ansicpg1252\deff0\deflang11274{\fonttbl{\f0\fnil\fcharset0 MS Sans Serif}} \viewkind4\uc1\pard\f0\fs16 CONECTOR 8 V\'cdAS NEGRA STEREO \endash  UNIVERSAL\par } "</f>
        <v xml:space="preserve">{\rtf1\ansi\ansicpg1252\deff0\deflang11274{\fonttbl{\f0\fnil\fcharset0 MS Sans Serif}} \viewkind4\uc1\pard\f0\fs16 CONECTOR 8 V\'cdAS NEGRA STEREO \endash  UNIVERSAL\par } </v>
      </c>
      <c r="AM1621" t="str">
        <f t="shared" si="1028"/>
        <v>-</v>
      </c>
    </row>
    <row r="1622" spans="1:39" x14ac:dyDescent="0.25">
      <c r="A1622" t="str">
        <f>"10270"</f>
        <v>10270</v>
      </c>
      <c r="B1622" t="str">
        <f>"CONECTOR 9 VIAS BLANCA INSTRUMENTAL RENAULT"</f>
        <v>CONECTOR 9 VIAS BLANCA INSTRUMENTAL RENAULT</v>
      </c>
      <c r="C1622" t="str">
        <f>"$ 11117,18"</f>
        <v>$ 11117,18</v>
      </c>
      <c r="D1622" t="str">
        <f>"$ 11117,18"</f>
        <v>$ 11117,18</v>
      </c>
      <c r="E1622" t="str">
        <f>"$ 11117,18"</f>
        <v>$ 11117,18</v>
      </c>
      <c r="F1622" t="str">
        <f>"$ 11117,18"</f>
        <v>$ 11117,18</v>
      </c>
      <c r="G1622" t="str">
        <f>"$ 11117,18"</f>
        <v>$ 11117,18</v>
      </c>
      <c r="H1622" t="str">
        <f t="shared" si="1030"/>
        <v>$ 0,00</v>
      </c>
      <c r="I1622" t="str">
        <f t="shared" si="1052"/>
        <v>FICHA CONECTOR</v>
      </c>
      <c r="J1622" t="str">
        <f t="shared" si="1031"/>
        <v>1</v>
      </c>
      <c r="K1622" t="str">
        <f t="shared" si="1026"/>
        <v>0</v>
      </c>
      <c r="L1622" t="str">
        <f>"9,000"</f>
        <v>9,000</v>
      </c>
      <c r="M1622" t="str">
        <f t="shared" si="1032"/>
        <v xml:space="preserve"> </v>
      </c>
      <c r="N1622" t="str">
        <f t="shared" si="1053"/>
        <v>AUTRONIC</v>
      </c>
      <c r="O1622" t="str">
        <f t="shared" si="1054"/>
        <v>CABLES</v>
      </c>
      <c r="P1622" t="str">
        <f t="shared" si="1033"/>
        <v>0</v>
      </c>
      <c r="Q1622" t="str">
        <f t="shared" si="1033"/>
        <v>0</v>
      </c>
      <c r="R1622" t="str">
        <f t="shared" si="1034"/>
        <v>0,00</v>
      </c>
      <c r="S1622" t="str">
        <f t="shared" si="1034"/>
        <v>0,00</v>
      </c>
      <c r="T1622" t="str">
        <f t="shared" si="1029"/>
        <v xml:space="preserve"> </v>
      </c>
      <c r="U1622" t="str">
        <f t="shared" si="1051"/>
        <v xml:space="preserve"> </v>
      </c>
      <c r="V1622" t="str">
        <f>"9,000"</f>
        <v>9,000</v>
      </c>
      <c r="W1622" t="str">
        <f t="shared" si="1035"/>
        <v>Lista 4</v>
      </c>
      <c r="X1622" t="str">
        <f t="shared" si="1036"/>
        <v>Lista 5</v>
      </c>
      <c r="Y1622" t="str">
        <f t="shared" si="1037"/>
        <v>Oferta Gral.</v>
      </c>
      <c r="Z1622" t="str">
        <f t="shared" si="1038"/>
        <v>Rubro</v>
      </c>
      <c r="AA1622" t="str">
        <f t="shared" si="1039"/>
        <v>Cantidad por Bulto</v>
      </c>
      <c r="AB1622" t="str">
        <f t="shared" si="1040"/>
        <v>INNER</v>
      </c>
      <c r="AC1622" t="str">
        <f t="shared" si="1041"/>
        <v>Stock en Bultos</v>
      </c>
      <c r="AD1622" t="str">
        <f t="shared" si="1042"/>
        <v>SubDepósito</v>
      </c>
      <c r="AE1622" t="str">
        <f t="shared" si="1043"/>
        <v>Marca</v>
      </c>
      <c r="AF1622" t="str">
        <f t="shared" si="1044"/>
        <v>Super Rubro</v>
      </c>
      <c r="AG1622" t="str">
        <f t="shared" si="1045"/>
        <v>ComercioExterior</v>
      </c>
      <c r="AH1622" t="str">
        <f t="shared" si="1046"/>
        <v>PrecioFOB</v>
      </c>
      <c r="AI1622" t="str">
        <f t="shared" si="1047"/>
        <v>Monto II</v>
      </c>
      <c r="AJ1622" t="str">
        <f t="shared" si="1048"/>
        <v>Porcentaje II</v>
      </c>
      <c r="AK1622" t="str">
        <f t="shared" si="1049"/>
        <v>Foto</v>
      </c>
      <c r="AL1622" t="str">
        <f>"{\rtf1\ansi\ansicpg1252\deff0\deflang11274{\fonttbl{\f0\fnil\fcharset0 MS Sans Serif}} \viewkind4\uc1\pard\f0\fs16 CONECTOR 9 VIAS BLANCA INSTRUMENTAL RENAULT\par } "</f>
        <v xml:space="preserve">{\rtf1\ansi\ansicpg1252\deff0\deflang11274{\fonttbl{\f0\fnil\fcharset0 MS Sans Serif}} \viewkind4\uc1\pard\f0\fs16 CONECTOR 9 VIAS BLANCA INSTRUMENTAL RENAULT\par } </v>
      </c>
      <c r="AM1622" t="str">
        <f t="shared" si="1028"/>
        <v>-</v>
      </c>
    </row>
    <row r="1623" spans="1:39" x14ac:dyDescent="0.25">
      <c r="A1623" t="str">
        <f>"10291"</f>
        <v>10291</v>
      </c>
      <c r="B1623" t="str">
        <f>"CONECTOR 9 VIAS TEMPORIZADOR PRECALENTAMIENTO ARRANQUE"</f>
        <v>CONECTOR 9 VIAS TEMPORIZADOR PRECALENTAMIENTO ARRANQUE</v>
      </c>
      <c r="C1623" t="str">
        <f>"$ 2605,59"</f>
        <v>$ 2605,59</v>
      </c>
      <c r="D1623" t="str">
        <f>"$ 2605,59"</f>
        <v>$ 2605,59</v>
      </c>
      <c r="E1623" t="str">
        <f>"$ 2605,59"</f>
        <v>$ 2605,59</v>
      </c>
      <c r="F1623" t="str">
        <f>"$ 2605,59"</f>
        <v>$ 2605,59</v>
      </c>
      <c r="G1623" t="str">
        <f>"$ 2605,59"</f>
        <v>$ 2605,59</v>
      </c>
      <c r="H1623" t="str">
        <f t="shared" si="1030"/>
        <v>$ 0,00</v>
      </c>
      <c r="I1623" t="str">
        <f t="shared" si="1052"/>
        <v>FICHA CONECTOR</v>
      </c>
      <c r="J1623" t="str">
        <f t="shared" si="1031"/>
        <v>1</v>
      </c>
      <c r="K1623" t="str">
        <f t="shared" si="1026"/>
        <v>0</v>
      </c>
      <c r="L1623" t="str">
        <f>"3,000"</f>
        <v>3,000</v>
      </c>
      <c r="M1623" t="str">
        <f t="shared" si="1032"/>
        <v xml:space="preserve"> </v>
      </c>
      <c r="N1623" t="str">
        <f t="shared" si="1053"/>
        <v>AUTRONIC</v>
      </c>
      <c r="O1623" t="str">
        <f t="shared" si="1054"/>
        <v>CABLES</v>
      </c>
      <c r="P1623" t="str">
        <f t="shared" ref="P1623:Q1642" si="1055">"0"</f>
        <v>0</v>
      </c>
      <c r="Q1623" t="str">
        <f t="shared" si="1055"/>
        <v>0</v>
      </c>
      <c r="R1623" t="str">
        <f t="shared" ref="R1623:S1642" si="1056">"0,00"</f>
        <v>0,00</v>
      </c>
      <c r="S1623" t="str">
        <f t="shared" si="1056"/>
        <v>0,00</v>
      </c>
      <c r="T1623" t="str">
        <f t="shared" si="1029"/>
        <v xml:space="preserve"> </v>
      </c>
      <c r="U1623" t="str">
        <f t="shared" si="1051"/>
        <v xml:space="preserve"> </v>
      </c>
      <c r="V1623" t="str">
        <f>"3,000"</f>
        <v>3,000</v>
      </c>
      <c r="W1623" t="str">
        <f t="shared" si="1035"/>
        <v>Lista 4</v>
      </c>
      <c r="X1623" t="str">
        <f t="shared" si="1036"/>
        <v>Lista 5</v>
      </c>
      <c r="Y1623" t="str">
        <f t="shared" si="1037"/>
        <v>Oferta Gral.</v>
      </c>
      <c r="Z1623" t="str">
        <f t="shared" si="1038"/>
        <v>Rubro</v>
      </c>
      <c r="AA1623" t="str">
        <f t="shared" si="1039"/>
        <v>Cantidad por Bulto</v>
      </c>
      <c r="AB1623" t="str">
        <f t="shared" si="1040"/>
        <v>INNER</v>
      </c>
      <c r="AC1623" t="str">
        <f t="shared" si="1041"/>
        <v>Stock en Bultos</v>
      </c>
      <c r="AD1623" t="str">
        <f t="shared" si="1042"/>
        <v>SubDepósito</v>
      </c>
      <c r="AE1623" t="str">
        <f t="shared" si="1043"/>
        <v>Marca</v>
      </c>
      <c r="AF1623" t="str">
        <f t="shared" si="1044"/>
        <v>Super Rubro</v>
      </c>
      <c r="AG1623" t="str">
        <f t="shared" si="1045"/>
        <v>ComercioExterior</v>
      </c>
      <c r="AH1623" t="str">
        <f t="shared" si="1046"/>
        <v>PrecioFOB</v>
      </c>
      <c r="AI1623" t="str">
        <f t="shared" si="1047"/>
        <v>Monto II</v>
      </c>
      <c r="AJ1623" t="str">
        <f t="shared" si="1048"/>
        <v>Porcentaje II</v>
      </c>
      <c r="AK1623" t="str">
        <f t="shared" si="1049"/>
        <v>Foto</v>
      </c>
      <c r="AL1623" t="str">
        <f>"{\rtf1\ansi\ansicpg1252\deff0\deflang11274{\fonttbl{\f0\fnil\fcharset0 MS Sans Serif}} \viewkind4\uc1\pard\f0\fs16 CONECTOR 9 VIAS TEMPORIZADOR PRECALENTAMIENTO ARRANQUE\par } "</f>
        <v xml:space="preserve">{\rtf1\ansi\ansicpg1252\deff0\deflang11274{\fonttbl{\f0\fnil\fcharset0 MS Sans Serif}} \viewkind4\uc1\pard\f0\fs16 CONECTOR 9 VIAS TEMPORIZADOR PRECALENTAMIENTO ARRANQUE\par } </v>
      </c>
      <c r="AM1623" t="str">
        <f t="shared" si="1028"/>
        <v>-</v>
      </c>
    </row>
    <row r="1624" spans="1:39" x14ac:dyDescent="0.25">
      <c r="A1624" t="str">
        <f>"10131"</f>
        <v>10131</v>
      </c>
      <c r="B1624" t="str">
        <f>"CONECTOR 9 VÍAS CIRCUITO IMPRESO VERDE – PEUGEOT – RENAULT"</f>
        <v>CONECTOR 9 VÍAS CIRCUITO IMPRESO VERDE – PEUGEOT – RENAULT</v>
      </c>
      <c r="C1624" t="str">
        <f>"$ 15900,78"</f>
        <v>$ 15900,78</v>
      </c>
      <c r="D1624" t="str">
        <f>"$ 15900,78"</f>
        <v>$ 15900,78</v>
      </c>
      <c r="E1624" t="str">
        <f>"$ 15900,78"</f>
        <v>$ 15900,78</v>
      </c>
      <c r="F1624" t="str">
        <f>"$ 15900,78"</f>
        <v>$ 15900,78</v>
      </c>
      <c r="G1624" t="str">
        <f>"$ 15900,78"</f>
        <v>$ 15900,78</v>
      </c>
      <c r="H1624" t="str">
        <f t="shared" si="1030"/>
        <v>$ 0,00</v>
      </c>
      <c r="I1624" t="str">
        <f t="shared" si="1052"/>
        <v>FICHA CONECTOR</v>
      </c>
      <c r="J1624" t="str">
        <f t="shared" si="1031"/>
        <v>1</v>
      </c>
      <c r="K1624" t="str">
        <f t="shared" si="1026"/>
        <v>0</v>
      </c>
      <c r="L1624" t="str">
        <f>"8,000"</f>
        <v>8,000</v>
      </c>
      <c r="M1624" t="str">
        <f t="shared" si="1032"/>
        <v xml:space="preserve"> </v>
      </c>
      <c r="N1624" t="str">
        <f t="shared" si="1053"/>
        <v>AUTRONIC</v>
      </c>
      <c r="O1624" t="str">
        <f t="shared" si="1054"/>
        <v>CABLES</v>
      </c>
      <c r="P1624" t="str">
        <f t="shared" si="1055"/>
        <v>0</v>
      </c>
      <c r="Q1624" t="str">
        <f t="shared" si="1055"/>
        <v>0</v>
      </c>
      <c r="R1624" t="str">
        <f t="shared" si="1056"/>
        <v>0,00</v>
      </c>
      <c r="S1624" t="str">
        <f t="shared" si="1056"/>
        <v>0,00</v>
      </c>
      <c r="T1624" t="str">
        <f t="shared" si="1029"/>
        <v xml:space="preserve"> </v>
      </c>
      <c r="U1624" t="str">
        <f t="shared" si="1051"/>
        <v xml:space="preserve"> </v>
      </c>
      <c r="V1624" t="str">
        <f>"8,000"</f>
        <v>8,000</v>
      </c>
      <c r="W1624" t="str">
        <f t="shared" si="1035"/>
        <v>Lista 4</v>
      </c>
      <c r="X1624" t="str">
        <f t="shared" si="1036"/>
        <v>Lista 5</v>
      </c>
      <c r="Y1624" t="str">
        <f t="shared" si="1037"/>
        <v>Oferta Gral.</v>
      </c>
      <c r="Z1624" t="str">
        <f t="shared" si="1038"/>
        <v>Rubro</v>
      </c>
      <c r="AA1624" t="str">
        <f t="shared" si="1039"/>
        <v>Cantidad por Bulto</v>
      </c>
      <c r="AB1624" t="str">
        <f t="shared" si="1040"/>
        <v>INNER</v>
      </c>
      <c r="AC1624" t="str">
        <f t="shared" si="1041"/>
        <v>Stock en Bultos</v>
      </c>
      <c r="AD1624" t="str">
        <f t="shared" si="1042"/>
        <v>SubDepósito</v>
      </c>
      <c r="AE1624" t="str">
        <f t="shared" si="1043"/>
        <v>Marca</v>
      </c>
      <c r="AF1624" t="str">
        <f t="shared" si="1044"/>
        <v>Super Rubro</v>
      </c>
      <c r="AG1624" t="str">
        <f t="shared" si="1045"/>
        <v>ComercioExterior</v>
      </c>
      <c r="AH1624" t="str">
        <f t="shared" si="1046"/>
        <v>PrecioFOB</v>
      </c>
      <c r="AI1624" t="str">
        <f t="shared" si="1047"/>
        <v>Monto II</v>
      </c>
      <c r="AJ1624" t="str">
        <f t="shared" si="1048"/>
        <v>Porcentaje II</v>
      </c>
      <c r="AK1624" t="str">
        <f t="shared" si="1049"/>
        <v>Foto</v>
      </c>
      <c r="AL1624" t="str">
        <f>"{\rtf1\ansi\ansicpg1252\deff0\deflang11274{\fonttbl{\f0\fnil\fcharset0 MS Sans Serif}} \viewkind4\uc1\pard\f0\fs16 CONECTOR 9 V\'cdAS CIRCUITO IMPRESO VERDE \endash  PEUGEOT \endash  RENAULT\par } "</f>
        <v xml:space="preserve">{\rtf1\ansi\ansicpg1252\deff0\deflang11274{\fonttbl{\f0\fnil\fcharset0 MS Sans Serif}} \viewkind4\uc1\pard\f0\fs16 CONECTOR 9 V\'cdAS CIRCUITO IMPRESO VERDE \endash  PEUGEOT \endash  RENAULT\par } </v>
      </c>
      <c r="AM1624" t="str">
        <f t="shared" si="1028"/>
        <v>-</v>
      </c>
    </row>
    <row r="1625" spans="1:39" x14ac:dyDescent="0.25">
      <c r="A1625" t="str">
        <f>"10352"</f>
        <v>10352</v>
      </c>
      <c r="B1625" t="str">
        <f>"CONECTOR CABLE DISTRIB. RENAULT 18 MOTOR 2.0  2.2  MARELLI (LARGO 30 CM)"</f>
        <v>CONECTOR CABLE DISTRIB. RENAULT 18 MOTOR 2.0  2.2  MARELLI (LARGO 30 CM)</v>
      </c>
      <c r="C1625" t="str">
        <f>"$ 9994,78"</f>
        <v>$ 9994,78</v>
      </c>
      <c r="D1625" t="str">
        <f>"$ 9994,78"</f>
        <v>$ 9994,78</v>
      </c>
      <c r="E1625" t="str">
        <f>"$ 9994,78"</f>
        <v>$ 9994,78</v>
      </c>
      <c r="F1625" t="str">
        <f>"$ 9994,78"</f>
        <v>$ 9994,78</v>
      </c>
      <c r="G1625" t="str">
        <f>"$ 9994,78"</f>
        <v>$ 9994,78</v>
      </c>
      <c r="H1625" t="str">
        <f t="shared" si="1030"/>
        <v>$ 0,00</v>
      </c>
      <c r="I1625" t="str">
        <f t="shared" si="1052"/>
        <v>FICHA CONECTOR</v>
      </c>
      <c r="J1625" t="str">
        <f t="shared" si="1031"/>
        <v>1</v>
      </c>
      <c r="K1625" t="str">
        <f t="shared" si="1026"/>
        <v>0</v>
      </c>
      <c r="L1625" t="str">
        <f>"4,000"</f>
        <v>4,000</v>
      </c>
      <c r="M1625" t="str">
        <f t="shared" si="1032"/>
        <v xml:space="preserve"> </v>
      </c>
      <c r="N1625" t="str">
        <f t="shared" si="1053"/>
        <v>AUTRONIC</v>
      </c>
      <c r="O1625" t="str">
        <f t="shared" si="1054"/>
        <v>CABLES</v>
      </c>
      <c r="P1625" t="str">
        <f t="shared" si="1055"/>
        <v>0</v>
      </c>
      <c r="Q1625" t="str">
        <f t="shared" si="1055"/>
        <v>0</v>
      </c>
      <c r="R1625" t="str">
        <f t="shared" si="1056"/>
        <v>0,00</v>
      </c>
      <c r="S1625" t="str">
        <f t="shared" si="1056"/>
        <v>0,00</v>
      </c>
      <c r="T1625" t="str">
        <f t="shared" si="1029"/>
        <v xml:space="preserve"> </v>
      </c>
      <c r="U1625" t="str">
        <f t="shared" si="1051"/>
        <v xml:space="preserve"> </v>
      </c>
      <c r="V1625" t="str">
        <f>"4,000"</f>
        <v>4,000</v>
      </c>
      <c r="W1625" t="str">
        <f t="shared" si="1035"/>
        <v>Lista 4</v>
      </c>
      <c r="X1625" t="str">
        <f t="shared" si="1036"/>
        <v>Lista 5</v>
      </c>
      <c r="Y1625" t="str">
        <f t="shared" si="1037"/>
        <v>Oferta Gral.</v>
      </c>
      <c r="Z1625" t="str">
        <f t="shared" si="1038"/>
        <v>Rubro</v>
      </c>
      <c r="AA1625" t="str">
        <f t="shared" si="1039"/>
        <v>Cantidad por Bulto</v>
      </c>
      <c r="AB1625" t="str">
        <f t="shared" si="1040"/>
        <v>INNER</v>
      </c>
      <c r="AC1625" t="str">
        <f t="shared" si="1041"/>
        <v>Stock en Bultos</v>
      </c>
      <c r="AD1625" t="str">
        <f t="shared" si="1042"/>
        <v>SubDepósito</v>
      </c>
      <c r="AE1625" t="str">
        <f t="shared" si="1043"/>
        <v>Marca</v>
      </c>
      <c r="AF1625" t="str">
        <f t="shared" si="1044"/>
        <v>Super Rubro</v>
      </c>
      <c r="AG1625" t="str">
        <f t="shared" si="1045"/>
        <v>ComercioExterior</v>
      </c>
      <c r="AH1625" t="str">
        <f t="shared" si="1046"/>
        <v>PrecioFOB</v>
      </c>
      <c r="AI1625" t="str">
        <f t="shared" si="1047"/>
        <v>Monto II</v>
      </c>
      <c r="AJ1625" t="str">
        <f t="shared" si="1048"/>
        <v>Porcentaje II</v>
      </c>
      <c r="AK1625" t="str">
        <f t="shared" si="1049"/>
        <v>Foto</v>
      </c>
      <c r="AL1625" t="str">
        <f>"{\rtf1\ansi\ansicpg1252\deff0\deflang11274{\fonttbl{\f0\fnil\fcharset0 MS Sans Serif}} \viewkind4\uc1\pard\f0\fs16 CONECTOR CABLE DISTRIB. RENAULT 18 MOTOR 2.0  2.2  MARELLI (LARGO 30 CM)\par } "</f>
        <v xml:space="preserve">{\rtf1\ansi\ansicpg1252\deff0\deflang11274{\fonttbl{\f0\fnil\fcharset0 MS Sans Serif}} \viewkind4\uc1\pard\f0\fs16 CONECTOR CABLE DISTRIB. RENAULT 18 MOTOR 2.0  2.2  MARELLI (LARGO 30 CM)\par } </v>
      </c>
      <c r="AM1625" t="str">
        <f t="shared" si="1028"/>
        <v>-</v>
      </c>
    </row>
    <row r="1626" spans="1:39" x14ac:dyDescent="0.25">
      <c r="A1626" t="str">
        <f>"10351"</f>
        <v>10351</v>
      </c>
      <c r="B1626" t="str">
        <f>"CONECTOR CABLE DISTRIB. RENAULT 9/11/12 MOTOR 1600 MARELLI (LARGO 25 CM)"</f>
        <v>CONECTOR CABLE DISTRIB. RENAULT 9/11/12 MOTOR 1600 MARELLI (LARGO 25 CM)</v>
      </c>
      <c r="C1626" t="str">
        <f>"$ 14430,96"</f>
        <v>$ 14430,96</v>
      </c>
      <c r="D1626" t="str">
        <f>"$ 14430,96"</f>
        <v>$ 14430,96</v>
      </c>
      <c r="E1626" t="str">
        <f>"$ 14430,96"</f>
        <v>$ 14430,96</v>
      </c>
      <c r="F1626" t="str">
        <f>"$ 14430,96"</f>
        <v>$ 14430,96</v>
      </c>
      <c r="G1626" t="str">
        <f>"$ 14430,96"</f>
        <v>$ 14430,96</v>
      </c>
      <c r="H1626" t="str">
        <f t="shared" si="1030"/>
        <v>$ 0,00</v>
      </c>
      <c r="I1626" t="str">
        <f t="shared" si="1052"/>
        <v>FICHA CONECTOR</v>
      </c>
      <c r="J1626" t="str">
        <f t="shared" si="1031"/>
        <v>1</v>
      </c>
      <c r="K1626" t="str">
        <f t="shared" si="1026"/>
        <v>0</v>
      </c>
      <c r="L1626" t="str">
        <f>"13,000"</f>
        <v>13,000</v>
      </c>
      <c r="M1626" t="str">
        <f t="shared" si="1032"/>
        <v xml:space="preserve"> </v>
      </c>
      <c r="N1626" t="str">
        <f t="shared" si="1053"/>
        <v>AUTRONIC</v>
      </c>
      <c r="O1626" t="str">
        <f t="shared" si="1054"/>
        <v>CABLES</v>
      </c>
      <c r="P1626" t="str">
        <f t="shared" si="1055"/>
        <v>0</v>
      </c>
      <c r="Q1626" t="str">
        <f t="shared" si="1055"/>
        <v>0</v>
      </c>
      <c r="R1626" t="str">
        <f t="shared" si="1056"/>
        <v>0,00</v>
      </c>
      <c r="S1626" t="str">
        <f t="shared" si="1056"/>
        <v>0,00</v>
      </c>
      <c r="T1626" t="str">
        <f t="shared" si="1029"/>
        <v xml:space="preserve"> </v>
      </c>
      <c r="U1626" t="str">
        <f t="shared" si="1051"/>
        <v xml:space="preserve"> </v>
      </c>
      <c r="V1626" t="str">
        <f>"13,000"</f>
        <v>13,000</v>
      </c>
      <c r="W1626" t="str">
        <f t="shared" si="1035"/>
        <v>Lista 4</v>
      </c>
      <c r="X1626" t="str">
        <f t="shared" si="1036"/>
        <v>Lista 5</v>
      </c>
      <c r="Y1626" t="str">
        <f t="shared" si="1037"/>
        <v>Oferta Gral.</v>
      </c>
      <c r="Z1626" t="str">
        <f t="shared" si="1038"/>
        <v>Rubro</v>
      </c>
      <c r="AA1626" t="str">
        <f t="shared" si="1039"/>
        <v>Cantidad por Bulto</v>
      </c>
      <c r="AB1626" t="str">
        <f t="shared" si="1040"/>
        <v>INNER</v>
      </c>
      <c r="AC1626" t="str">
        <f t="shared" si="1041"/>
        <v>Stock en Bultos</v>
      </c>
      <c r="AD1626" t="str">
        <f t="shared" si="1042"/>
        <v>SubDepósito</v>
      </c>
      <c r="AE1626" t="str">
        <f t="shared" si="1043"/>
        <v>Marca</v>
      </c>
      <c r="AF1626" t="str">
        <f t="shared" si="1044"/>
        <v>Super Rubro</v>
      </c>
      <c r="AG1626" t="str">
        <f t="shared" si="1045"/>
        <v>ComercioExterior</v>
      </c>
      <c r="AH1626" t="str">
        <f t="shared" si="1046"/>
        <v>PrecioFOB</v>
      </c>
      <c r="AI1626" t="str">
        <f t="shared" si="1047"/>
        <v>Monto II</v>
      </c>
      <c r="AJ1626" t="str">
        <f t="shared" si="1048"/>
        <v>Porcentaje II</v>
      </c>
      <c r="AK1626" t="str">
        <f t="shared" si="1049"/>
        <v>Foto</v>
      </c>
      <c r="AL1626" t="str">
        <f>"{\rtf1\ansi\ansicpg1252\deff0\deflang11274{\fonttbl{\f0\fnil\fcharset0 MS Sans Serif}} \viewkind4\uc1\pard\f0\fs16 CONECTOR CABLE DISTRIB. RENAULT 9/11/12 MOTOR 1600 MARELLI (LARGO 25 CM)\par } "</f>
        <v xml:space="preserve">{\rtf1\ansi\ansicpg1252\deff0\deflang11274{\fonttbl{\f0\fnil\fcharset0 MS Sans Serif}} \viewkind4\uc1\pard\f0\fs16 CONECTOR CABLE DISTRIB. RENAULT 9/11/12 MOTOR 1600 MARELLI (LARGO 25 CM)\par } </v>
      </c>
      <c r="AM1626" t="str">
        <f t="shared" si="1028"/>
        <v>-</v>
      </c>
    </row>
    <row r="1627" spans="1:39" x14ac:dyDescent="0.25">
      <c r="A1627" t="str">
        <f>"10350"</f>
        <v>10350</v>
      </c>
      <c r="B1627" t="str">
        <f>"CONECTOR CABLE DISTRIBUIDOR FIAT MOTOR TIPO 1.4 MARELLI (LARGO 32 CM)"</f>
        <v>CONECTOR CABLE DISTRIBUIDOR FIAT MOTOR TIPO 1.4 MARELLI (LARGO 32 CM)</v>
      </c>
      <c r="C1627" t="str">
        <f>"$ 6012,90"</f>
        <v>$ 6012,90</v>
      </c>
      <c r="D1627" t="str">
        <f>"$ 6012,90"</f>
        <v>$ 6012,90</v>
      </c>
      <c r="E1627" t="str">
        <f>"$ 6012,90"</f>
        <v>$ 6012,90</v>
      </c>
      <c r="F1627" t="str">
        <f>"$ 6012,90"</f>
        <v>$ 6012,90</v>
      </c>
      <c r="G1627" t="str">
        <f>"$ 6012,90"</f>
        <v>$ 6012,90</v>
      </c>
      <c r="H1627" t="str">
        <f t="shared" si="1030"/>
        <v>$ 0,00</v>
      </c>
      <c r="I1627" t="str">
        <f t="shared" si="1052"/>
        <v>FICHA CONECTOR</v>
      </c>
      <c r="J1627" t="str">
        <f t="shared" si="1031"/>
        <v>1</v>
      </c>
      <c r="K1627" t="str">
        <f t="shared" si="1026"/>
        <v>0</v>
      </c>
      <c r="L1627" t="str">
        <f>"9,000"</f>
        <v>9,000</v>
      </c>
      <c r="M1627" t="str">
        <f t="shared" si="1032"/>
        <v xml:space="preserve"> </v>
      </c>
      <c r="N1627" t="str">
        <f t="shared" si="1053"/>
        <v>AUTRONIC</v>
      </c>
      <c r="O1627" t="str">
        <f t="shared" si="1054"/>
        <v>CABLES</v>
      </c>
      <c r="P1627" t="str">
        <f t="shared" si="1055"/>
        <v>0</v>
      </c>
      <c r="Q1627" t="str">
        <f t="shared" si="1055"/>
        <v>0</v>
      </c>
      <c r="R1627" t="str">
        <f t="shared" si="1056"/>
        <v>0,00</v>
      </c>
      <c r="S1627" t="str">
        <f t="shared" si="1056"/>
        <v>0,00</v>
      </c>
      <c r="T1627" t="str">
        <f t="shared" si="1029"/>
        <v xml:space="preserve"> </v>
      </c>
      <c r="U1627" t="str">
        <f t="shared" si="1051"/>
        <v xml:space="preserve"> </v>
      </c>
      <c r="V1627" t="str">
        <f>"9,000"</f>
        <v>9,000</v>
      </c>
      <c r="W1627" t="str">
        <f t="shared" si="1035"/>
        <v>Lista 4</v>
      </c>
      <c r="X1627" t="str">
        <f t="shared" si="1036"/>
        <v>Lista 5</v>
      </c>
      <c r="Y1627" t="str">
        <f t="shared" si="1037"/>
        <v>Oferta Gral.</v>
      </c>
      <c r="Z1627" t="str">
        <f t="shared" si="1038"/>
        <v>Rubro</v>
      </c>
      <c r="AA1627" t="str">
        <f t="shared" si="1039"/>
        <v>Cantidad por Bulto</v>
      </c>
      <c r="AB1627" t="str">
        <f t="shared" si="1040"/>
        <v>INNER</v>
      </c>
      <c r="AC1627" t="str">
        <f t="shared" si="1041"/>
        <v>Stock en Bultos</v>
      </c>
      <c r="AD1627" t="str">
        <f t="shared" si="1042"/>
        <v>SubDepósito</v>
      </c>
      <c r="AE1627" t="str">
        <f t="shared" si="1043"/>
        <v>Marca</v>
      </c>
      <c r="AF1627" t="str">
        <f t="shared" si="1044"/>
        <v>Super Rubro</v>
      </c>
      <c r="AG1627" t="str">
        <f t="shared" si="1045"/>
        <v>ComercioExterior</v>
      </c>
      <c r="AH1627" t="str">
        <f t="shared" si="1046"/>
        <v>PrecioFOB</v>
      </c>
      <c r="AI1627" t="str">
        <f t="shared" si="1047"/>
        <v>Monto II</v>
      </c>
      <c r="AJ1627" t="str">
        <f t="shared" si="1048"/>
        <v>Porcentaje II</v>
      </c>
      <c r="AK1627" t="str">
        <f t="shared" si="1049"/>
        <v>Foto</v>
      </c>
      <c r="AL1627" t="str">
        <f>"{\rtf1\ansi\ansicpg1252\deff0\deflang11274{\fonttbl{\f0\fnil\fcharset0 MS Sans Serif}} \viewkind4\uc1\pard\f0\fs16 CONECTOR CABLE DISTRIBUIDOR FIAT MOTOR TIPO 1.4 MARELLI (LARGO 32 CM)\par } "</f>
        <v xml:space="preserve">{\rtf1\ansi\ansicpg1252\deff0\deflang11274{\fonttbl{\f0\fnil\fcharset0 MS Sans Serif}} \viewkind4\uc1\pard\f0\fs16 CONECTOR CABLE DISTRIBUIDOR FIAT MOTOR TIPO 1.4 MARELLI (LARGO 32 CM)\par } </v>
      </c>
      <c r="AM1627" t="str">
        <f t="shared" si="1028"/>
        <v>-</v>
      </c>
    </row>
    <row r="1628" spans="1:39" x14ac:dyDescent="0.25">
      <c r="A1628" t="str">
        <f>"10349"</f>
        <v>10349</v>
      </c>
      <c r="B1628" t="str">
        <f>"CONECTOR CABLE DISTRIBUIDOR FIAT MOTOR TIPO 1.6 MARELLI (LARGO 70 CM)"</f>
        <v>CONECTOR CABLE DISTRIBUIDOR FIAT MOTOR TIPO 1.6 MARELLI (LARGO 70 CM)</v>
      </c>
      <c r="C1628" t="str">
        <f>"$ 8110,73"</f>
        <v>$ 8110,73</v>
      </c>
      <c r="D1628" t="str">
        <f>"$ 8110,73"</f>
        <v>$ 8110,73</v>
      </c>
      <c r="E1628" t="str">
        <f>"$ 8110,73"</f>
        <v>$ 8110,73</v>
      </c>
      <c r="F1628" t="str">
        <f>"$ 8110,73"</f>
        <v>$ 8110,73</v>
      </c>
      <c r="G1628" t="str">
        <f>"$ 8110,73"</f>
        <v>$ 8110,73</v>
      </c>
      <c r="H1628" t="str">
        <f t="shared" si="1030"/>
        <v>$ 0,00</v>
      </c>
      <c r="I1628" t="str">
        <f t="shared" si="1052"/>
        <v>FICHA CONECTOR</v>
      </c>
      <c r="J1628" t="str">
        <f t="shared" si="1031"/>
        <v>1</v>
      </c>
      <c r="K1628" t="str">
        <f t="shared" si="1026"/>
        <v>0</v>
      </c>
      <c r="L1628" t="str">
        <f>"5,000"</f>
        <v>5,000</v>
      </c>
      <c r="M1628" t="str">
        <f t="shared" si="1032"/>
        <v xml:space="preserve"> </v>
      </c>
      <c r="N1628" t="str">
        <f t="shared" si="1053"/>
        <v>AUTRONIC</v>
      </c>
      <c r="O1628" t="str">
        <f t="shared" si="1054"/>
        <v>CABLES</v>
      </c>
      <c r="P1628" t="str">
        <f t="shared" si="1055"/>
        <v>0</v>
      </c>
      <c r="Q1628" t="str">
        <f t="shared" si="1055"/>
        <v>0</v>
      </c>
      <c r="R1628" t="str">
        <f t="shared" si="1056"/>
        <v>0,00</v>
      </c>
      <c r="S1628" t="str">
        <f t="shared" si="1056"/>
        <v>0,00</v>
      </c>
      <c r="T1628" t="str">
        <f t="shared" si="1029"/>
        <v xml:space="preserve"> </v>
      </c>
      <c r="U1628" t="str">
        <f t="shared" si="1051"/>
        <v xml:space="preserve"> </v>
      </c>
      <c r="V1628" t="str">
        <f>"5,000"</f>
        <v>5,000</v>
      </c>
      <c r="W1628" t="str">
        <f t="shared" si="1035"/>
        <v>Lista 4</v>
      </c>
      <c r="X1628" t="str">
        <f t="shared" si="1036"/>
        <v>Lista 5</v>
      </c>
      <c r="Y1628" t="str">
        <f t="shared" si="1037"/>
        <v>Oferta Gral.</v>
      </c>
      <c r="Z1628" t="str">
        <f t="shared" si="1038"/>
        <v>Rubro</v>
      </c>
      <c r="AA1628" t="str">
        <f t="shared" si="1039"/>
        <v>Cantidad por Bulto</v>
      </c>
      <c r="AB1628" t="str">
        <f t="shared" si="1040"/>
        <v>INNER</v>
      </c>
      <c r="AC1628" t="str">
        <f t="shared" si="1041"/>
        <v>Stock en Bultos</v>
      </c>
      <c r="AD1628" t="str">
        <f t="shared" si="1042"/>
        <v>SubDepósito</v>
      </c>
      <c r="AE1628" t="str">
        <f t="shared" si="1043"/>
        <v>Marca</v>
      </c>
      <c r="AF1628" t="str">
        <f t="shared" si="1044"/>
        <v>Super Rubro</v>
      </c>
      <c r="AG1628" t="str">
        <f t="shared" si="1045"/>
        <v>ComercioExterior</v>
      </c>
      <c r="AH1628" t="str">
        <f t="shared" si="1046"/>
        <v>PrecioFOB</v>
      </c>
      <c r="AI1628" t="str">
        <f t="shared" si="1047"/>
        <v>Monto II</v>
      </c>
      <c r="AJ1628" t="str">
        <f t="shared" si="1048"/>
        <v>Porcentaje II</v>
      </c>
      <c r="AK1628" t="str">
        <f t="shared" si="1049"/>
        <v>Foto</v>
      </c>
      <c r="AL1628" t="str">
        <f>"{\rtf1\ansi\ansicpg1252\deff0\deflang11274{\fonttbl{\f0\fnil\fcharset0 MS Sans Serif}} \viewkind4\uc1\pard\f0\fs16 CONECTOR CABLE DISTRIBUIDOR FIAT MOTOR TIPO 1.6 MARELLI (LARGO 70 CM)\par } "</f>
        <v xml:space="preserve">{\rtf1\ansi\ansicpg1252\deff0\deflang11274{\fonttbl{\f0\fnil\fcharset0 MS Sans Serif}} \viewkind4\uc1\pard\f0\fs16 CONECTOR CABLE DISTRIBUIDOR FIAT MOTOR TIPO 1.6 MARELLI (LARGO 70 CM)\par } </v>
      </c>
      <c r="AM1628" t="str">
        <f t="shared" si="1028"/>
        <v>-</v>
      </c>
    </row>
    <row r="1629" spans="1:39" x14ac:dyDescent="0.25">
      <c r="A1629" t="str">
        <f>"10357"</f>
        <v>10357</v>
      </c>
      <c r="B1629" t="str">
        <f>"CONECTOR CABLE DISTRIBUIDOR FIAT SPAZIO (LARGO 22 CM)"</f>
        <v>CONECTOR CABLE DISTRIBUIDOR FIAT SPAZIO (LARGO 22 CM)</v>
      </c>
      <c r="C1629" t="str">
        <f>"$ 9086,16"</f>
        <v>$ 9086,16</v>
      </c>
      <c r="D1629" t="str">
        <f>"$ 9086,16"</f>
        <v>$ 9086,16</v>
      </c>
      <c r="E1629" t="str">
        <f>"$ 9086,16"</f>
        <v>$ 9086,16</v>
      </c>
      <c r="F1629" t="str">
        <f>"$ 9086,16"</f>
        <v>$ 9086,16</v>
      </c>
      <c r="G1629" t="str">
        <f>"$ 9086,16"</f>
        <v>$ 9086,16</v>
      </c>
      <c r="H1629" t="str">
        <f t="shared" si="1030"/>
        <v>$ 0,00</v>
      </c>
      <c r="I1629" t="str">
        <f t="shared" si="1052"/>
        <v>FICHA CONECTOR</v>
      </c>
      <c r="J1629" t="str">
        <f t="shared" si="1031"/>
        <v>1</v>
      </c>
      <c r="K1629" t="str">
        <f t="shared" si="1026"/>
        <v>0</v>
      </c>
      <c r="L1629" t="str">
        <f>"10,000"</f>
        <v>10,000</v>
      </c>
      <c r="M1629" t="str">
        <f t="shared" si="1032"/>
        <v xml:space="preserve"> </v>
      </c>
      <c r="N1629" t="str">
        <f t="shared" si="1053"/>
        <v>AUTRONIC</v>
      </c>
      <c r="O1629" t="str">
        <f t="shared" si="1054"/>
        <v>CABLES</v>
      </c>
      <c r="P1629" t="str">
        <f t="shared" si="1055"/>
        <v>0</v>
      </c>
      <c r="Q1629" t="str">
        <f t="shared" si="1055"/>
        <v>0</v>
      </c>
      <c r="R1629" t="str">
        <f t="shared" si="1056"/>
        <v>0,00</v>
      </c>
      <c r="S1629" t="str">
        <f t="shared" si="1056"/>
        <v>0,00</v>
      </c>
      <c r="T1629" t="str">
        <f t="shared" si="1029"/>
        <v xml:space="preserve"> </v>
      </c>
      <c r="U1629" t="str">
        <f t="shared" si="1051"/>
        <v xml:space="preserve"> </v>
      </c>
      <c r="V1629" t="str">
        <f>"10,000"</f>
        <v>10,000</v>
      </c>
      <c r="W1629" t="str">
        <f t="shared" si="1035"/>
        <v>Lista 4</v>
      </c>
      <c r="X1629" t="str">
        <f t="shared" si="1036"/>
        <v>Lista 5</v>
      </c>
      <c r="Y1629" t="str">
        <f t="shared" si="1037"/>
        <v>Oferta Gral.</v>
      </c>
      <c r="Z1629" t="str">
        <f t="shared" si="1038"/>
        <v>Rubro</v>
      </c>
      <c r="AA1629" t="str">
        <f t="shared" si="1039"/>
        <v>Cantidad por Bulto</v>
      </c>
      <c r="AB1629" t="str">
        <f t="shared" si="1040"/>
        <v>INNER</v>
      </c>
      <c r="AC1629" t="str">
        <f t="shared" si="1041"/>
        <v>Stock en Bultos</v>
      </c>
      <c r="AD1629" t="str">
        <f t="shared" si="1042"/>
        <v>SubDepósito</v>
      </c>
      <c r="AE1629" t="str">
        <f t="shared" si="1043"/>
        <v>Marca</v>
      </c>
      <c r="AF1629" t="str">
        <f t="shared" si="1044"/>
        <v>Super Rubro</v>
      </c>
      <c r="AG1629" t="str">
        <f t="shared" si="1045"/>
        <v>ComercioExterior</v>
      </c>
      <c r="AH1629" t="str">
        <f t="shared" si="1046"/>
        <v>PrecioFOB</v>
      </c>
      <c r="AI1629" t="str">
        <f t="shared" si="1047"/>
        <v>Monto II</v>
      </c>
      <c r="AJ1629" t="str">
        <f t="shared" si="1048"/>
        <v>Porcentaje II</v>
      </c>
      <c r="AK1629" t="str">
        <f t="shared" si="1049"/>
        <v>Foto</v>
      </c>
      <c r="AL1629" t="str">
        <f>"{\rtf1\ansi\ansicpg1252\deff0\deflang11274{\fonttbl{\f0\fnil\fcharset0 MS Sans Serif}} \viewkind4\uc1\pard\f0\fs16 CONECTOR CABLE DISTRIBUIDOR FIAT SPAZIO (LARGO 22 CM)\par } "</f>
        <v xml:space="preserve">{\rtf1\ansi\ansicpg1252\deff0\deflang11274{\fonttbl{\f0\fnil\fcharset0 MS Sans Serif}} \viewkind4\uc1\pard\f0\fs16 CONECTOR CABLE DISTRIBUIDOR FIAT SPAZIO (LARGO 22 CM)\par } </v>
      </c>
      <c r="AM1629" t="str">
        <f t="shared" si="1028"/>
        <v>-</v>
      </c>
    </row>
    <row r="1630" spans="1:39" x14ac:dyDescent="0.25">
      <c r="A1630" t="str">
        <f>"10358"</f>
        <v>10358</v>
      </c>
      <c r="B1630" t="str">
        <f>"CONECTOR CABLE DISTRIBUIDOR FIAT SPAZIO MOTOR TIPO 1.4 INDIEL"</f>
        <v>CONECTOR CABLE DISTRIBUIDOR FIAT SPAZIO MOTOR TIPO 1.4 INDIEL</v>
      </c>
      <c r="C1630" t="str">
        <f>"$ 9887,88"</f>
        <v>$ 9887,88</v>
      </c>
      <c r="D1630" t="str">
        <f>"$ 9887,88"</f>
        <v>$ 9887,88</v>
      </c>
      <c r="E1630" t="str">
        <f>"$ 9887,88"</f>
        <v>$ 9887,88</v>
      </c>
      <c r="F1630" t="str">
        <f>"$ 9887,88"</f>
        <v>$ 9887,88</v>
      </c>
      <c r="G1630" t="str">
        <f>"$ 9887,88"</f>
        <v>$ 9887,88</v>
      </c>
      <c r="H1630" t="str">
        <f t="shared" si="1030"/>
        <v>$ 0,00</v>
      </c>
      <c r="I1630" t="str">
        <f t="shared" si="1052"/>
        <v>FICHA CONECTOR</v>
      </c>
      <c r="J1630" t="str">
        <f t="shared" si="1031"/>
        <v>1</v>
      </c>
      <c r="K1630" t="str">
        <f t="shared" si="1026"/>
        <v>0</v>
      </c>
      <c r="L1630" t="str">
        <f>"3,000"</f>
        <v>3,000</v>
      </c>
      <c r="M1630" t="str">
        <f t="shared" si="1032"/>
        <v xml:space="preserve"> </v>
      </c>
      <c r="N1630" t="str">
        <f t="shared" si="1053"/>
        <v>AUTRONIC</v>
      </c>
      <c r="O1630" t="str">
        <f t="shared" si="1054"/>
        <v>CABLES</v>
      </c>
      <c r="P1630" t="str">
        <f t="shared" si="1055"/>
        <v>0</v>
      </c>
      <c r="Q1630" t="str">
        <f t="shared" si="1055"/>
        <v>0</v>
      </c>
      <c r="R1630" t="str">
        <f t="shared" si="1056"/>
        <v>0,00</v>
      </c>
      <c r="S1630" t="str">
        <f t="shared" si="1056"/>
        <v>0,00</v>
      </c>
      <c r="T1630" t="str">
        <f t="shared" si="1029"/>
        <v xml:space="preserve"> </v>
      </c>
      <c r="U1630" t="str">
        <f t="shared" si="1051"/>
        <v xml:space="preserve"> </v>
      </c>
      <c r="V1630" t="str">
        <f>"3,000"</f>
        <v>3,000</v>
      </c>
      <c r="W1630" t="str">
        <f t="shared" si="1035"/>
        <v>Lista 4</v>
      </c>
      <c r="X1630" t="str">
        <f t="shared" si="1036"/>
        <v>Lista 5</v>
      </c>
      <c r="Y1630" t="str">
        <f t="shared" si="1037"/>
        <v>Oferta Gral.</v>
      </c>
      <c r="Z1630" t="str">
        <f t="shared" si="1038"/>
        <v>Rubro</v>
      </c>
      <c r="AA1630" t="str">
        <f t="shared" si="1039"/>
        <v>Cantidad por Bulto</v>
      </c>
      <c r="AB1630" t="str">
        <f t="shared" si="1040"/>
        <v>INNER</v>
      </c>
      <c r="AC1630" t="str">
        <f t="shared" si="1041"/>
        <v>Stock en Bultos</v>
      </c>
      <c r="AD1630" t="str">
        <f t="shared" si="1042"/>
        <v>SubDepósito</v>
      </c>
      <c r="AE1630" t="str">
        <f t="shared" si="1043"/>
        <v>Marca</v>
      </c>
      <c r="AF1630" t="str">
        <f t="shared" si="1044"/>
        <v>Super Rubro</v>
      </c>
      <c r="AG1630" t="str">
        <f t="shared" si="1045"/>
        <v>ComercioExterior</v>
      </c>
      <c r="AH1630" t="str">
        <f t="shared" si="1046"/>
        <v>PrecioFOB</v>
      </c>
      <c r="AI1630" t="str">
        <f t="shared" si="1047"/>
        <v>Monto II</v>
      </c>
      <c r="AJ1630" t="str">
        <f t="shared" si="1048"/>
        <v>Porcentaje II</v>
      </c>
      <c r="AK1630" t="str">
        <f t="shared" si="1049"/>
        <v>Foto</v>
      </c>
      <c r="AL1630" t="str">
        <f>"{\rtf1\ansi\ansicpg1252\deff0\deflang11274{\fonttbl{\f0\fnil\fcharset0 MS Sans Serif}} \viewkind4\uc1\pard\f0\fs16 CONECTOR CABLE DISTRIBUIDOR FIAT SPAZIO MOTOR TIPO 1.4 INDIEL\par } "</f>
        <v xml:space="preserve">{\rtf1\ansi\ansicpg1252\deff0\deflang11274{\fonttbl{\f0\fnil\fcharset0 MS Sans Serif}} \viewkind4\uc1\pard\f0\fs16 CONECTOR CABLE DISTRIBUIDOR FIAT SPAZIO MOTOR TIPO 1.4 INDIEL\par } </v>
      </c>
      <c r="AM1630" t="str">
        <f t="shared" ref="AM1630:AM1661" si="1057">"-"</f>
        <v>-</v>
      </c>
    </row>
    <row r="1631" spans="1:39" x14ac:dyDescent="0.25">
      <c r="A1631" t="str">
        <f>"10354"</f>
        <v>10354</v>
      </c>
      <c r="B1631" t="str">
        <f>"CONECTOR CABLE DISTRIBUIDOR PEUGEOT 504 MOTOR 2000 (LARGO 65 CM)"</f>
        <v>CONECTOR CABLE DISTRIBUIDOR PEUGEOT 504 MOTOR 2000 (LARGO 65 CM)</v>
      </c>
      <c r="C1631" t="str">
        <f>"$ 7870,22"</f>
        <v>$ 7870,22</v>
      </c>
      <c r="D1631" t="str">
        <f>"$ 7870,22"</f>
        <v>$ 7870,22</v>
      </c>
      <c r="E1631" t="str">
        <f>"$ 7870,22"</f>
        <v>$ 7870,22</v>
      </c>
      <c r="F1631" t="str">
        <f>"$ 7870,22"</f>
        <v>$ 7870,22</v>
      </c>
      <c r="G1631" t="str">
        <f>"$ 7870,22"</f>
        <v>$ 7870,22</v>
      </c>
      <c r="H1631" t="str">
        <f t="shared" si="1030"/>
        <v>$ 0,00</v>
      </c>
      <c r="I1631" t="str">
        <f t="shared" si="1052"/>
        <v>FICHA CONECTOR</v>
      </c>
      <c r="J1631" t="str">
        <f t="shared" si="1031"/>
        <v>1</v>
      </c>
      <c r="K1631" t="str">
        <f t="shared" si="1026"/>
        <v>0</v>
      </c>
      <c r="L1631" t="str">
        <f>"10,000"</f>
        <v>10,000</v>
      </c>
      <c r="M1631" t="str">
        <f t="shared" si="1032"/>
        <v xml:space="preserve"> </v>
      </c>
      <c r="N1631" t="str">
        <f t="shared" si="1053"/>
        <v>AUTRONIC</v>
      </c>
      <c r="O1631" t="str">
        <f t="shared" si="1054"/>
        <v>CABLES</v>
      </c>
      <c r="P1631" t="str">
        <f t="shared" si="1055"/>
        <v>0</v>
      </c>
      <c r="Q1631" t="str">
        <f t="shared" si="1055"/>
        <v>0</v>
      </c>
      <c r="R1631" t="str">
        <f t="shared" si="1056"/>
        <v>0,00</v>
      </c>
      <c r="S1631" t="str">
        <f t="shared" si="1056"/>
        <v>0,00</v>
      </c>
      <c r="T1631" t="str">
        <f t="shared" si="1029"/>
        <v xml:space="preserve"> </v>
      </c>
      <c r="U1631" t="str">
        <f t="shared" si="1051"/>
        <v xml:space="preserve"> </v>
      </c>
      <c r="V1631" t="str">
        <f>"10,000"</f>
        <v>10,000</v>
      </c>
      <c r="W1631" t="str">
        <f t="shared" si="1035"/>
        <v>Lista 4</v>
      </c>
      <c r="X1631" t="str">
        <f t="shared" si="1036"/>
        <v>Lista 5</v>
      </c>
      <c r="Y1631" t="str">
        <f t="shared" si="1037"/>
        <v>Oferta Gral.</v>
      </c>
      <c r="Z1631" t="str">
        <f t="shared" si="1038"/>
        <v>Rubro</v>
      </c>
      <c r="AA1631" t="str">
        <f t="shared" si="1039"/>
        <v>Cantidad por Bulto</v>
      </c>
      <c r="AB1631" t="str">
        <f t="shared" si="1040"/>
        <v>INNER</v>
      </c>
      <c r="AC1631" t="str">
        <f t="shared" si="1041"/>
        <v>Stock en Bultos</v>
      </c>
      <c r="AD1631" t="str">
        <f t="shared" si="1042"/>
        <v>SubDepósito</v>
      </c>
      <c r="AE1631" t="str">
        <f t="shared" si="1043"/>
        <v>Marca</v>
      </c>
      <c r="AF1631" t="str">
        <f t="shared" si="1044"/>
        <v>Super Rubro</v>
      </c>
      <c r="AG1631" t="str">
        <f t="shared" si="1045"/>
        <v>ComercioExterior</v>
      </c>
      <c r="AH1631" t="str">
        <f t="shared" si="1046"/>
        <v>PrecioFOB</v>
      </c>
      <c r="AI1631" t="str">
        <f t="shared" si="1047"/>
        <v>Monto II</v>
      </c>
      <c r="AJ1631" t="str">
        <f t="shared" si="1048"/>
        <v>Porcentaje II</v>
      </c>
      <c r="AK1631" t="str">
        <f t="shared" si="1049"/>
        <v>Foto</v>
      </c>
      <c r="AL1631" t="str">
        <f>"{\rtf1\ansi\ansicpg1252\deff0\deflang11274{\fonttbl{\f0\fnil\fcharset0 MS Sans Serif}} \viewkind4\uc1\pard\f0\fs16 CONECTOR CABLE DISTRIBUIDOR PEUGEOT 504 MOTOR 2000 (LARGO 65 CM)\par } "</f>
        <v xml:space="preserve">{\rtf1\ansi\ansicpg1252\deff0\deflang11274{\fonttbl{\f0\fnil\fcharset0 MS Sans Serif}} \viewkind4\uc1\pard\f0\fs16 CONECTOR CABLE DISTRIBUIDOR PEUGEOT 504 MOTOR 2000 (LARGO 65 CM)\par } </v>
      </c>
      <c r="AM1631" t="str">
        <f t="shared" si="1057"/>
        <v>-</v>
      </c>
    </row>
    <row r="1632" spans="1:39" x14ac:dyDescent="0.25">
      <c r="A1632" t="str">
        <f>"10359"</f>
        <v>10359</v>
      </c>
      <c r="B1632" t="str">
        <f>"CONECTOR CABLE DISTRIBUIDOR PEUGEOT 504 MOTOR 2000 INDIEL (LARGO 50 CM)"</f>
        <v>CONECTOR CABLE DISTRIBUIDOR PEUGEOT 504 MOTOR 2000 INDIEL (LARGO 50 CM)</v>
      </c>
      <c r="C1632" t="str">
        <f>"$ 11357,70"</f>
        <v>$ 11357,70</v>
      </c>
      <c r="D1632" t="str">
        <f>"$ 11357,70"</f>
        <v>$ 11357,70</v>
      </c>
      <c r="E1632" t="str">
        <f>"$ 11357,70"</f>
        <v>$ 11357,70</v>
      </c>
      <c r="F1632" t="str">
        <f>"$ 11357,70"</f>
        <v>$ 11357,70</v>
      </c>
      <c r="G1632" t="str">
        <f>"$ 11357,70"</f>
        <v>$ 11357,70</v>
      </c>
      <c r="H1632" t="str">
        <f t="shared" si="1030"/>
        <v>$ 0,00</v>
      </c>
      <c r="I1632" t="str">
        <f t="shared" si="1052"/>
        <v>FICHA CONECTOR</v>
      </c>
      <c r="J1632" t="str">
        <f t="shared" si="1031"/>
        <v>1</v>
      </c>
      <c r="K1632" t="str">
        <f t="shared" si="1026"/>
        <v>0</v>
      </c>
      <c r="L1632" t="str">
        <f t="shared" ref="L1632:L1639" si="1058">"0,000"</f>
        <v>0,000</v>
      </c>
      <c r="M1632" t="str">
        <f t="shared" si="1032"/>
        <v xml:space="preserve"> </v>
      </c>
      <c r="N1632" t="str">
        <f t="shared" si="1053"/>
        <v>AUTRONIC</v>
      </c>
      <c r="O1632" t="str">
        <f t="shared" si="1054"/>
        <v>CABLES</v>
      </c>
      <c r="P1632" t="str">
        <f t="shared" si="1055"/>
        <v>0</v>
      </c>
      <c r="Q1632" t="str">
        <f t="shared" si="1055"/>
        <v>0</v>
      </c>
      <c r="R1632" t="str">
        <f t="shared" si="1056"/>
        <v>0,00</v>
      </c>
      <c r="S1632" t="str">
        <f t="shared" si="1056"/>
        <v>0,00</v>
      </c>
      <c r="T1632" t="str">
        <f t="shared" si="1029"/>
        <v xml:space="preserve"> </v>
      </c>
      <c r="U1632" t="str">
        <f t="shared" si="1051"/>
        <v xml:space="preserve"> </v>
      </c>
      <c r="V1632" t="str">
        <f t="shared" ref="V1632:V1639" si="1059">"0,000"</f>
        <v>0,000</v>
      </c>
      <c r="W1632" t="str">
        <f t="shared" si="1035"/>
        <v>Lista 4</v>
      </c>
      <c r="X1632" t="str">
        <f t="shared" si="1036"/>
        <v>Lista 5</v>
      </c>
      <c r="Y1632" t="str">
        <f t="shared" si="1037"/>
        <v>Oferta Gral.</v>
      </c>
      <c r="Z1632" t="str">
        <f t="shared" si="1038"/>
        <v>Rubro</v>
      </c>
      <c r="AA1632" t="str">
        <f t="shared" si="1039"/>
        <v>Cantidad por Bulto</v>
      </c>
      <c r="AB1632" t="str">
        <f t="shared" si="1040"/>
        <v>INNER</v>
      </c>
      <c r="AC1632" t="str">
        <f t="shared" si="1041"/>
        <v>Stock en Bultos</v>
      </c>
      <c r="AD1632" t="str">
        <f t="shared" si="1042"/>
        <v>SubDepósito</v>
      </c>
      <c r="AE1632" t="str">
        <f t="shared" si="1043"/>
        <v>Marca</v>
      </c>
      <c r="AF1632" t="str">
        <f t="shared" si="1044"/>
        <v>Super Rubro</v>
      </c>
      <c r="AG1632" t="str">
        <f t="shared" si="1045"/>
        <v>ComercioExterior</v>
      </c>
      <c r="AH1632" t="str">
        <f t="shared" si="1046"/>
        <v>PrecioFOB</v>
      </c>
      <c r="AI1632" t="str">
        <f t="shared" si="1047"/>
        <v>Monto II</v>
      </c>
      <c r="AJ1632" t="str">
        <f t="shared" si="1048"/>
        <v>Porcentaje II</v>
      </c>
      <c r="AK1632" t="str">
        <f t="shared" si="1049"/>
        <v>Foto</v>
      </c>
      <c r="AL1632" t="str">
        <f>"{\rtf1\ansi\ansicpg1252\deff0\deflang11274{\fonttbl{\f0\fnil\fcharset0 MS Sans Serif}} \viewkind4\uc1\pard\f0\fs16 CONECTOR CABLE DISTRIBUIDOR PEUGEOT 504 MOTOR 2000 INDIEL (LARGO 50 CM)\par } "</f>
        <v xml:space="preserve">{\rtf1\ansi\ansicpg1252\deff0\deflang11274{\fonttbl{\f0\fnil\fcharset0 MS Sans Serif}} \viewkind4\uc1\pard\f0\fs16 CONECTOR CABLE DISTRIBUIDOR PEUGEOT 504 MOTOR 2000 INDIEL (LARGO 50 CM)\par } </v>
      </c>
      <c r="AM1632" t="str">
        <f t="shared" si="1057"/>
        <v>-</v>
      </c>
    </row>
    <row r="1633" spans="1:39" x14ac:dyDescent="0.25">
      <c r="A1633" t="str">
        <f>"10360"</f>
        <v>10360</v>
      </c>
      <c r="B1633" t="str">
        <f>"CONECTOR CABLE DISTRIBUIDOR PEUGEOT 505 INDIEL (LARGO 75 CM)"</f>
        <v>CONECTOR CABLE DISTRIBUIDOR PEUGEOT 505 INDIEL (LARGO 75 CM)</v>
      </c>
      <c r="C1633" t="str">
        <f>"$ 11758,56"</f>
        <v>$ 11758,56</v>
      </c>
      <c r="D1633" t="str">
        <f>"$ 11758,56"</f>
        <v>$ 11758,56</v>
      </c>
      <c r="E1633" t="str">
        <f>"$ 11758,56"</f>
        <v>$ 11758,56</v>
      </c>
      <c r="F1633" t="str">
        <f>"$ 11758,56"</f>
        <v>$ 11758,56</v>
      </c>
      <c r="G1633" t="str">
        <f>"$ 11758,56"</f>
        <v>$ 11758,56</v>
      </c>
      <c r="H1633" t="str">
        <f t="shared" si="1030"/>
        <v>$ 0,00</v>
      </c>
      <c r="I1633" t="str">
        <f t="shared" si="1052"/>
        <v>FICHA CONECTOR</v>
      </c>
      <c r="J1633" t="str">
        <f t="shared" si="1031"/>
        <v>1</v>
      </c>
      <c r="K1633" t="str">
        <f t="shared" si="1026"/>
        <v>0</v>
      </c>
      <c r="L1633" t="str">
        <f t="shared" si="1058"/>
        <v>0,000</v>
      </c>
      <c r="M1633" t="str">
        <f t="shared" si="1032"/>
        <v xml:space="preserve"> </v>
      </c>
      <c r="N1633" t="str">
        <f t="shared" si="1053"/>
        <v>AUTRONIC</v>
      </c>
      <c r="O1633" t="str">
        <f t="shared" si="1054"/>
        <v>CABLES</v>
      </c>
      <c r="P1633" t="str">
        <f t="shared" si="1055"/>
        <v>0</v>
      </c>
      <c r="Q1633" t="str">
        <f t="shared" si="1055"/>
        <v>0</v>
      </c>
      <c r="R1633" t="str">
        <f t="shared" si="1056"/>
        <v>0,00</v>
      </c>
      <c r="S1633" t="str">
        <f t="shared" si="1056"/>
        <v>0,00</v>
      </c>
      <c r="T1633" t="str">
        <f t="shared" si="1029"/>
        <v xml:space="preserve"> </v>
      </c>
      <c r="U1633" t="str">
        <f t="shared" si="1051"/>
        <v xml:space="preserve"> </v>
      </c>
      <c r="V1633" t="str">
        <f t="shared" si="1059"/>
        <v>0,000</v>
      </c>
      <c r="W1633" t="str">
        <f t="shared" si="1035"/>
        <v>Lista 4</v>
      </c>
      <c r="X1633" t="str">
        <f t="shared" si="1036"/>
        <v>Lista 5</v>
      </c>
      <c r="Y1633" t="str">
        <f t="shared" si="1037"/>
        <v>Oferta Gral.</v>
      </c>
      <c r="Z1633" t="str">
        <f t="shared" si="1038"/>
        <v>Rubro</v>
      </c>
      <c r="AA1633" t="str">
        <f t="shared" si="1039"/>
        <v>Cantidad por Bulto</v>
      </c>
      <c r="AB1633" t="str">
        <f t="shared" si="1040"/>
        <v>INNER</v>
      </c>
      <c r="AC1633" t="str">
        <f t="shared" si="1041"/>
        <v>Stock en Bultos</v>
      </c>
      <c r="AD1633" t="str">
        <f t="shared" si="1042"/>
        <v>SubDepósito</v>
      </c>
      <c r="AE1633" t="str">
        <f t="shared" si="1043"/>
        <v>Marca</v>
      </c>
      <c r="AF1633" t="str">
        <f t="shared" si="1044"/>
        <v>Super Rubro</v>
      </c>
      <c r="AG1633" t="str">
        <f t="shared" si="1045"/>
        <v>ComercioExterior</v>
      </c>
      <c r="AH1633" t="str">
        <f t="shared" si="1046"/>
        <v>PrecioFOB</v>
      </c>
      <c r="AI1633" t="str">
        <f t="shared" si="1047"/>
        <v>Monto II</v>
      </c>
      <c r="AJ1633" t="str">
        <f t="shared" si="1048"/>
        <v>Porcentaje II</v>
      </c>
      <c r="AK1633" t="str">
        <f t="shared" si="1049"/>
        <v>Foto</v>
      </c>
      <c r="AL1633" t="str">
        <f>"{\rtf1\ansi\ansicpg1252\deff0\deflang11274{\fonttbl{\f0\fnil\fcharset0 MS Sans Serif}} \viewkind4\uc1\pard\f0\fs16 CONECTOR CABLE DISTRIBUIDOR PEUGEOT 505 INDIEL (LARGO 75 CM)\par } "</f>
        <v xml:space="preserve">{\rtf1\ansi\ansicpg1252\deff0\deflang11274{\fonttbl{\f0\fnil\fcharset0 MS Sans Serif}} \viewkind4\uc1\pard\f0\fs16 CONECTOR CABLE DISTRIBUIDOR PEUGEOT 505 INDIEL (LARGO 75 CM)\par } </v>
      </c>
      <c r="AM1633" t="str">
        <f t="shared" si="1057"/>
        <v>-</v>
      </c>
    </row>
    <row r="1634" spans="1:39" x14ac:dyDescent="0.25">
      <c r="A1634" t="str">
        <f>"10355"</f>
        <v>10355</v>
      </c>
      <c r="B1634" t="str">
        <f>"CONECTOR CABLE DISTRIBUIDOR RENAULT 18 INDIEL (LARGO 30 CM)"</f>
        <v>CONECTOR CABLE DISTRIBUIDOR RENAULT 18 INDIEL (LARGO 30 CM)</v>
      </c>
      <c r="C1634" t="str">
        <f>"$ 10622,79"</f>
        <v>$ 10622,79</v>
      </c>
      <c r="D1634" t="str">
        <f>"$ 10622,79"</f>
        <v>$ 10622,79</v>
      </c>
      <c r="E1634" t="str">
        <f>"$ 10622,79"</f>
        <v>$ 10622,79</v>
      </c>
      <c r="F1634" t="str">
        <f>"$ 10622,79"</f>
        <v>$ 10622,79</v>
      </c>
      <c r="G1634" t="str">
        <f>"$ 10622,79"</f>
        <v>$ 10622,79</v>
      </c>
      <c r="H1634" t="str">
        <f t="shared" si="1030"/>
        <v>$ 0,00</v>
      </c>
      <c r="I1634" t="str">
        <f t="shared" si="1052"/>
        <v>FICHA CONECTOR</v>
      </c>
      <c r="J1634" t="str">
        <f t="shared" si="1031"/>
        <v>1</v>
      </c>
      <c r="K1634" t="str">
        <f t="shared" si="1026"/>
        <v>0</v>
      </c>
      <c r="L1634" t="str">
        <f t="shared" si="1058"/>
        <v>0,000</v>
      </c>
      <c r="M1634" t="str">
        <f t="shared" si="1032"/>
        <v xml:space="preserve"> </v>
      </c>
      <c r="N1634" t="str">
        <f t="shared" si="1053"/>
        <v>AUTRONIC</v>
      </c>
      <c r="O1634" t="str">
        <f t="shared" si="1054"/>
        <v>CABLES</v>
      </c>
      <c r="P1634" t="str">
        <f t="shared" si="1055"/>
        <v>0</v>
      </c>
      <c r="Q1634" t="str">
        <f t="shared" si="1055"/>
        <v>0</v>
      </c>
      <c r="R1634" t="str">
        <f t="shared" si="1056"/>
        <v>0,00</v>
      </c>
      <c r="S1634" t="str">
        <f t="shared" si="1056"/>
        <v>0,00</v>
      </c>
      <c r="T1634" t="str">
        <f t="shared" si="1029"/>
        <v xml:space="preserve"> </v>
      </c>
      <c r="U1634" t="str">
        <f t="shared" si="1051"/>
        <v xml:space="preserve"> </v>
      </c>
      <c r="V1634" t="str">
        <f t="shared" si="1059"/>
        <v>0,000</v>
      </c>
      <c r="W1634" t="str">
        <f t="shared" si="1035"/>
        <v>Lista 4</v>
      </c>
      <c r="X1634" t="str">
        <f t="shared" si="1036"/>
        <v>Lista 5</v>
      </c>
      <c r="Y1634" t="str">
        <f t="shared" si="1037"/>
        <v>Oferta Gral.</v>
      </c>
      <c r="Z1634" t="str">
        <f t="shared" si="1038"/>
        <v>Rubro</v>
      </c>
      <c r="AA1634" t="str">
        <f t="shared" si="1039"/>
        <v>Cantidad por Bulto</v>
      </c>
      <c r="AB1634" t="str">
        <f t="shared" si="1040"/>
        <v>INNER</v>
      </c>
      <c r="AC1634" t="str">
        <f t="shared" si="1041"/>
        <v>Stock en Bultos</v>
      </c>
      <c r="AD1634" t="str">
        <f t="shared" si="1042"/>
        <v>SubDepósito</v>
      </c>
      <c r="AE1634" t="str">
        <f t="shared" si="1043"/>
        <v>Marca</v>
      </c>
      <c r="AF1634" t="str">
        <f t="shared" si="1044"/>
        <v>Super Rubro</v>
      </c>
      <c r="AG1634" t="str">
        <f t="shared" si="1045"/>
        <v>ComercioExterior</v>
      </c>
      <c r="AH1634" t="str">
        <f t="shared" si="1046"/>
        <v>PrecioFOB</v>
      </c>
      <c r="AI1634" t="str">
        <f t="shared" si="1047"/>
        <v>Monto II</v>
      </c>
      <c r="AJ1634" t="str">
        <f t="shared" si="1048"/>
        <v>Porcentaje II</v>
      </c>
      <c r="AK1634" t="str">
        <f t="shared" si="1049"/>
        <v>Foto</v>
      </c>
      <c r="AL1634" t="str">
        <f>"{\rtf1\ansi\ansicpg1252\deff0\deflang11274{\fonttbl{\f0\fnil\fcharset0 MS Sans Serif}} \viewkind4\uc1\pard\f0\fs16 CONECTOR CABLE DISTRIBUIDOR RENAULT 18 INDIEL (LARGO 30 CM)\par } "</f>
        <v xml:space="preserve">{\rtf1\ansi\ansicpg1252\deff0\deflang11274{\fonttbl{\f0\fnil\fcharset0 MS Sans Serif}} \viewkind4\uc1\pard\f0\fs16 CONECTOR CABLE DISTRIBUIDOR RENAULT 18 INDIEL (LARGO 30 CM)\par } </v>
      </c>
      <c r="AM1634" t="str">
        <f t="shared" si="1057"/>
        <v>-</v>
      </c>
    </row>
    <row r="1635" spans="1:39" x14ac:dyDescent="0.25">
      <c r="A1635" t="str">
        <f>"10361"</f>
        <v>10361</v>
      </c>
      <c r="B1635" t="str">
        <f>"CONECTOR CABLE DISTRIBUIDOR RENAULT 19 INDIEL (LARGO 55 CM)"</f>
        <v>CONECTOR CABLE DISTRIBUIDOR RENAULT 19 INDIEL (LARGO 55 CM)</v>
      </c>
      <c r="C1635" t="str">
        <f>"$ 10422,36"</f>
        <v>$ 10422,36</v>
      </c>
      <c r="D1635" t="str">
        <f>"$ 10422,36"</f>
        <v>$ 10422,36</v>
      </c>
      <c r="E1635" t="str">
        <f>"$ 10422,36"</f>
        <v>$ 10422,36</v>
      </c>
      <c r="F1635" t="str">
        <f>"$ 10422,36"</f>
        <v>$ 10422,36</v>
      </c>
      <c r="G1635" t="str">
        <f>"$ 10422,36"</f>
        <v>$ 10422,36</v>
      </c>
      <c r="H1635" t="str">
        <f t="shared" si="1030"/>
        <v>$ 0,00</v>
      </c>
      <c r="I1635" t="str">
        <f t="shared" si="1052"/>
        <v>FICHA CONECTOR</v>
      </c>
      <c r="J1635" t="str">
        <f t="shared" si="1031"/>
        <v>1</v>
      </c>
      <c r="K1635" t="str">
        <f t="shared" si="1026"/>
        <v>0</v>
      </c>
      <c r="L1635" t="str">
        <f t="shared" si="1058"/>
        <v>0,000</v>
      </c>
      <c r="M1635" t="str">
        <f t="shared" si="1032"/>
        <v xml:space="preserve"> </v>
      </c>
      <c r="N1635" t="str">
        <f t="shared" si="1053"/>
        <v>AUTRONIC</v>
      </c>
      <c r="O1635" t="str">
        <f t="shared" si="1054"/>
        <v>CABLES</v>
      </c>
      <c r="P1635" t="str">
        <f t="shared" si="1055"/>
        <v>0</v>
      </c>
      <c r="Q1635" t="str">
        <f t="shared" si="1055"/>
        <v>0</v>
      </c>
      <c r="R1635" t="str">
        <f t="shared" si="1056"/>
        <v>0,00</v>
      </c>
      <c r="S1635" t="str">
        <f t="shared" si="1056"/>
        <v>0,00</v>
      </c>
      <c r="T1635" t="str">
        <f t="shared" si="1029"/>
        <v xml:space="preserve"> </v>
      </c>
      <c r="U1635" t="str">
        <f t="shared" si="1051"/>
        <v xml:space="preserve"> </v>
      </c>
      <c r="V1635" t="str">
        <f t="shared" si="1059"/>
        <v>0,000</v>
      </c>
      <c r="W1635" t="str">
        <f t="shared" si="1035"/>
        <v>Lista 4</v>
      </c>
      <c r="X1635" t="str">
        <f t="shared" si="1036"/>
        <v>Lista 5</v>
      </c>
      <c r="Y1635" t="str">
        <f t="shared" si="1037"/>
        <v>Oferta Gral.</v>
      </c>
      <c r="Z1635" t="str">
        <f t="shared" si="1038"/>
        <v>Rubro</v>
      </c>
      <c r="AA1635" t="str">
        <f t="shared" si="1039"/>
        <v>Cantidad por Bulto</v>
      </c>
      <c r="AB1635" t="str">
        <f t="shared" si="1040"/>
        <v>INNER</v>
      </c>
      <c r="AC1635" t="str">
        <f t="shared" si="1041"/>
        <v>Stock en Bultos</v>
      </c>
      <c r="AD1635" t="str">
        <f t="shared" si="1042"/>
        <v>SubDepósito</v>
      </c>
      <c r="AE1635" t="str">
        <f t="shared" si="1043"/>
        <v>Marca</v>
      </c>
      <c r="AF1635" t="str">
        <f t="shared" si="1044"/>
        <v>Super Rubro</v>
      </c>
      <c r="AG1635" t="str">
        <f t="shared" si="1045"/>
        <v>ComercioExterior</v>
      </c>
      <c r="AH1635" t="str">
        <f t="shared" si="1046"/>
        <v>PrecioFOB</v>
      </c>
      <c r="AI1635" t="str">
        <f t="shared" si="1047"/>
        <v>Monto II</v>
      </c>
      <c r="AJ1635" t="str">
        <f t="shared" si="1048"/>
        <v>Porcentaje II</v>
      </c>
      <c r="AK1635" t="str">
        <f t="shared" si="1049"/>
        <v>Foto</v>
      </c>
      <c r="AL1635" t="str">
        <f>"{\rtf1\ansi\ansicpg1252\deff0\deflang11274{\fonttbl{\f0\fnil\fcharset0 MS Sans Serif}} \viewkind4\uc1\pard\f0\fs16 CONECTOR CABLE DISTRIBUIDOR RENAULT 19 INDIEL (LARGO 55 CM)\par } "</f>
        <v xml:space="preserve">{\rtf1\ansi\ansicpg1252\deff0\deflang11274{\fonttbl{\f0\fnil\fcharset0 MS Sans Serif}} \viewkind4\uc1\pard\f0\fs16 CONECTOR CABLE DISTRIBUIDOR RENAULT 19 INDIEL (LARGO 55 CM)\par } </v>
      </c>
      <c r="AM1635" t="str">
        <f t="shared" si="1057"/>
        <v>-</v>
      </c>
    </row>
    <row r="1636" spans="1:39" x14ac:dyDescent="0.25">
      <c r="A1636" t="str">
        <f>"10356"</f>
        <v>10356</v>
      </c>
      <c r="B1636" t="str">
        <f>"CONECTOR CABLE DISTRIBUIDOR RENAULT 9, 11, 18 INDIEL (LARGO 30 CM)"</f>
        <v>CONECTOR CABLE DISTRIBUIDOR RENAULT 9, 11, 18 INDIEL (LARGO 30 CM)</v>
      </c>
      <c r="C1636" t="str">
        <f>"$ 11958,99"</f>
        <v>$ 11958,99</v>
      </c>
      <c r="D1636" t="str">
        <f>"$ 11958,99"</f>
        <v>$ 11958,99</v>
      </c>
      <c r="E1636" t="str">
        <f>"$ 11958,99"</f>
        <v>$ 11958,99</v>
      </c>
      <c r="F1636" t="str">
        <f>"$ 11958,99"</f>
        <v>$ 11958,99</v>
      </c>
      <c r="G1636" t="str">
        <f>"$ 11958,99"</f>
        <v>$ 11958,99</v>
      </c>
      <c r="H1636" t="str">
        <f t="shared" si="1030"/>
        <v>$ 0,00</v>
      </c>
      <c r="I1636" t="str">
        <f t="shared" si="1052"/>
        <v>FICHA CONECTOR</v>
      </c>
      <c r="J1636" t="str">
        <f t="shared" si="1031"/>
        <v>1</v>
      </c>
      <c r="K1636" t="str">
        <f t="shared" si="1026"/>
        <v>0</v>
      </c>
      <c r="L1636" t="str">
        <f t="shared" si="1058"/>
        <v>0,000</v>
      </c>
      <c r="M1636" t="str">
        <f t="shared" si="1032"/>
        <v xml:space="preserve"> </v>
      </c>
      <c r="N1636" t="str">
        <f t="shared" si="1053"/>
        <v>AUTRONIC</v>
      </c>
      <c r="O1636" t="str">
        <f t="shared" si="1054"/>
        <v>CABLES</v>
      </c>
      <c r="P1636" t="str">
        <f t="shared" si="1055"/>
        <v>0</v>
      </c>
      <c r="Q1636" t="str">
        <f t="shared" si="1055"/>
        <v>0</v>
      </c>
      <c r="R1636" t="str">
        <f t="shared" si="1056"/>
        <v>0,00</v>
      </c>
      <c r="S1636" t="str">
        <f t="shared" si="1056"/>
        <v>0,00</v>
      </c>
      <c r="T1636" t="str">
        <f t="shared" si="1029"/>
        <v xml:space="preserve"> </v>
      </c>
      <c r="U1636" t="str">
        <f t="shared" si="1051"/>
        <v xml:space="preserve"> </v>
      </c>
      <c r="V1636" t="str">
        <f t="shared" si="1059"/>
        <v>0,000</v>
      </c>
      <c r="W1636" t="str">
        <f t="shared" si="1035"/>
        <v>Lista 4</v>
      </c>
      <c r="X1636" t="str">
        <f t="shared" si="1036"/>
        <v>Lista 5</v>
      </c>
      <c r="Y1636" t="str">
        <f t="shared" si="1037"/>
        <v>Oferta Gral.</v>
      </c>
      <c r="Z1636" t="str">
        <f t="shared" si="1038"/>
        <v>Rubro</v>
      </c>
      <c r="AA1636" t="str">
        <f t="shared" si="1039"/>
        <v>Cantidad por Bulto</v>
      </c>
      <c r="AB1636" t="str">
        <f t="shared" si="1040"/>
        <v>INNER</v>
      </c>
      <c r="AC1636" t="str">
        <f t="shared" si="1041"/>
        <v>Stock en Bultos</v>
      </c>
      <c r="AD1636" t="str">
        <f t="shared" si="1042"/>
        <v>SubDepósito</v>
      </c>
      <c r="AE1636" t="str">
        <f t="shared" si="1043"/>
        <v>Marca</v>
      </c>
      <c r="AF1636" t="str">
        <f t="shared" si="1044"/>
        <v>Super Rubro</v>
      </c>
      <c r="AG1636" t="str">
        <f t="shared" si="1045"/>
        <v>ComercioExterior</v>
      </c>
      <c r="AH1636" t="str">
        <f t="shared" si="1046"/>
        <v>PrecioFOB</v>
      </c>
      <c r="AI1636" t="str">
        <f t="shared" si="1047"/>
        <v>Monto II</v>
      </c>
      <c r="AJ1636" t="str">
        <f t="shared" si="1048"/>
        <v>Porcentaje II</v>
      </c>
      <c r="AK1636" t="str">
        <f t="shared" si="1049"/>
        <v>Foto</v>
      </c>
      <c r="AL1636" t="str">
        <f>"{\rtf1\ansi\ansicpg1252\deff0\deflang11274{\fonttbl{\f0\fnil\fcharset0 MS Sans Serif}} \viewkind4\uc1\pard\f0\fs16 CONECTOR CABLE DISTRIBUIDOR RENAULT 9, 11, 18 INDIEL (LARGO 30 CM)\par } "</f>
        <v xml:space="preserve">{\rtf1\ansi\ansicpg1252\deff0\deflang11274{\fonttbl{\f0\fnil\fcharset0 MS Sans Serif}} \viewkind4\uc1\pard\f0\fs16 CONECTOR CABLE DISTRIBUIDOR RENAULT 9, 11, 18 INDIEL (LARGO 30 CM)\par } </v>
      </c>
      <c r="AM1636" t="str">
        <f t="shared" si="1057"/>
        <v>-</v>
      </c>
    </row>
    <row r="1637" spans="1:39" x14ac:dyDescent="0.25">
      <c r="A1637" t="str">
        <f>"10353"</f>
        <v>10353</v>
      </c>
      <c r="B1637" t="str">
        <f>"CONECTOR CABLE DISTRIBUIDOR RENAULT TRAFIC 2.2 MARELLI (LARGO 32CM)"</f>
        <v>CONECTOR CABLE DISTRIBUIDOR RENAULT TRAFIC 2.2 MARELLI (LARGO 32CM)</v>
      </c>
      <c r="C1637" t="str">
        <f>"$ 14430,96"</f>
        <v>$ 14430,96</v>
      </c>
      <c r="D1637" t="str">
        <f>"$ 14430,96"</f>
        <v>$ 14430,96</v>
      </c>
      <c r="E1637" t="str">
        <f>"$ 14430,96"</f>
        <v>$ 14430,96</v>
      </c>
      <c r="F1637" t="str">
        <f>"$ 14430,96"</f>
        <v>$ 14430,96</v>
      </c>
      <c r="G1637" t="str">
        <f>"$ 14430,96"</f>
        <v>$ 14430,96</v>
      </c>
      <c r="H1637" t="str">
        <f t="shared" si="1030"/>
        <v>$ 0,00</v>
      </c>
      <c r="I1637" t="str">
        <f t="shared" si="1052"/>
        <v>FICHA CONECTOR</v>
      </c>
      <c r="J1637" t="str">
        <f t="shared" si="1031"/>
        <v>1</v>
      </c>
      <c r="K1637" t="str">
        <f t="shared" si="1026"/>
        <v>0</v>
      </c>
      <c r="L1637" t="str">
        <f t="shared" si="1058"/>
        <v>0,000</v>
      </c>
      <c r="M1637" t="str">
        <f t="shared" si="1032"/>
        <v xml:space="preserve"> </v>
      </c>
      <c r="N1637" t="str">
        <f t="shared" si="1053"/>
        <v>AUTRONIC</v>
      </c>
      <c r="O1637" t="str">
        <f t="shared" si="1054"/>
        <v>CABLES</v>
      </c>
      <c r="P1637" t="str">
        <f t="shared" si="1055"/>
        <v>0</v>
      </c>
      <c r="Q1637" t="str">
        <f t="shared" si="1055"/>
        <v>0</v>
      </c>
      <c r="R1637" t="str">
        <f t="shared" si="1056"/>
        <v>0,00</v>
      </c>
      <c r="S1637" t="str">
        <f t="shared" si="1056"/>
        <v>0,00</v>
      </c>
      <c r="T1637" t="str">
        <f t="shared" si="1029"/>
        <v xml:space="preserve"> </v>
      </c>
      <c r="U1637" t="str">
        <f t="shared" si="1051"/>
        <v xml:space="preserve"> </v>
      </c>
      <c r="V1637" t="str">
        <f t="shared" si="1059"/>
        <v>0,000</v>
      </c>
      <c r="W1637" t="str">
        <f t="shared" si="1035"/>
        <v>Lista 4</v>
      </c>
      <c r="X1637" t="str">
        <f t="shared" si="1036"/>
        <v>Lista 5</v>
      </c>
      <c r="Y1637" t="str">
        <f t="shared" si="1037"/>
        <v>Oferta Gral.</v>
      </c>
      <c r="Z1637" t="str">
        <f t="shared" si="1038"/>
        <v>Rubro</v>
      </c>
      <c r="AA1637" t="str">
        <f t="shared" si="1039"/>
        <v>Cantidad por Bulto</v>
      </c>
      <c r="AB1637" t="str">
        <f t="shared" si="1040"/>
        <v>INNER</v>
      </c>
      <c r="AC1637" t="str">
        <f t="shared" si="1041"/>
        <v>Stock en Bultos</v>
      </c>
      <c r="AD1637" t="str">
        <f t="shared" si="1042"/>
        <v>SubDepósito</v>
      </c>
      <c r="AE1637" t="str">
        <f t="shared" si="1043"/>
        <v>Marca</v>
      </c>
      <c r="AF1637" t="str">
        <f t="shared" si="1044"/>
        <v>Super Rubro</v>
      </c>
      <c r="AG1637" t="str">
        <f t="shared" si="1045"/>
        <v>ComercioExterior</v>
      </c>
      <c r="AH1637" t="str">
        <f t="shared" si="1046"/>
        <v>PrecioFOB</v>
      </c>
      <c r="AI1637" t="str">
        <f t="shared" si="1047"/>
        <v>Monto II</v>
      </c>
      <c r="AJ1637" t="str">
        <f t="shared" si="1048"/>
        <v>Porcentaje II</v>
      </c>
      <c r="AK1637" t="str">
        <f t="shared" si="1049"/>
        <v>Foto</v>
      </c>
      <c r="AL1637" t="str">
        <f>"{\rtf1\ansi\ansicpg1252\deff0\deflang11274{\fonttbl{\f0\fnil\fcharset0 MS Sans Serif}} \viewkind4\uc1\pard\f0\fs16 CONECTOR CABLE DISTRIBUIDOR RENAULT TRAFIC 2.2 MARELLI (LARGO 32CM)\par } "</f>
        <v xml:space="preserve">{\rtf1\ansi\ansicpg1252\deff0\deflang11274{\fonttbl{\f0\fnil\fcharset0 MS Sans Serif}} \viewkind4\uc1\pard\f0\fs16 CONECTOR CABLE DISTRIBUIDOR RENAULT TRAFIC 2.2 MARELLI (LARGO 32CM)\par } </v>
      </c>
      <c r="AM1637" t="str">
        <f t="shared" si="1057"/>
        <v>-</v>
      </c>
    </row>
    <row r="1638" spans="1:39" x14ac:dyDescent="0.25">
      <c r="A1638" t="str">
        <f>"10374"</f>
        <v>10374</v>
      </c>
      <c r="B1638" t="str">
        <f>"CONECTOR DIODO A. ACONDICIONADO FORD ESCORT 91-98"</f>
        <v>CONECTOR DIODO A. ACONDICIONADO FORD ESCORT 91-98</v>
      </c>
      <c r="C1638" t="str">
        <f>"$ 4038,24"</f>
        <v>$ 4038,24</v>
      </c>
      <c r="D1638" t="str">
        <f>"$ 4038,24"</f>
        <v>$ 4038,24</v>
      </c>
      <c r="E1638" t="str">
        <f>"$ 4038,24"</f>
        <v>$ 4038,24</v>
      </c>
      <c r="F1638" t="str">
        <f>"$ 4038,24"</f>
        <v>$ 4038,24</v>
      </c>
      <c r="G1638" t="str">
        <f>"$ 4038,24"</f>
        <v>$ 4038,24</v>
      </c>
      <c r="H1638" t="str">
        <f t="shared" si="1030"/>
        <v>$ 0,00</v>
      </c>
      <c r="I1638" t="str">
        <f t="shared" si="1052"/>
        <v>FICHA CONECTOR</v>
      </c>
      <c r="J1638" t="str">
        <f t="shared" si="1031"/>
        <v>1</v>
      </c>
      <c r="K1638" t="str">
        <f t="shared" si="1026"/>
        <v>0</v>
      </c>
      <c r="L1638" t="str">
        <f t="shared" si="1058"/>
        <v>0,000</v>
      </c>
      <c r="M1638" t="str">
        <f t="shared" si="1032"/>
        <v xml:space="preserve"> </v>
      </c>
      <c r="N1638" t="str">
        <f t="shared" si="1053"/>
        <v>AUTRONIC</v>
      </c>
      <c r="O1638" t="str">
        <f t="shared" si="1054"/>
        <v>CABLES</v>
      </c>
      <c r="P1638" t="str">
        <f t="shared" si="1055"/>
        <v>0</v>
      </c>
      <c r="Q1638" t="str">
        <f t="shared" si="1055"/>
        <v>0</v>
      </c>
      <c r="R1638" t="str">
        <f t="shared" si="1056"/>
        <v>0,00</v>
      </c>
      <c r="S1638" t="str">
        <f t="shared" si="1056"/>
        <v>0,00</v>
      </c>
      <c r="T1638" t="str">
        <f t="shared" si="1029"/>
        <v xml:space="preserve"> </v>
      </c>
      <c r="U1638" t="str">
        <f t="shared" si="1051"/>
        <v xml:space="preserve"> </v>
      </c>
      <c r="V1638" t="str">
        <f t="shared" si="1059"/>
        <v>0,000</v>
      </c>
      <c r="W1638" t="str">
        <f t="shared" si="1035"/>
        <v>Lista 4</v>
      </c>
      <c r="X1638" t="str">
        <f t="shared" si="1036"/>
        <v>Lista 5</v>
      </c>
      <c r="Y1638" t="str">
        <f t="shared" si="1037"/>
        <v>Oferta Gral.</v>
      </c>
      <c r="Z1638" t="str">
        <f t="shared" si="1038"/>
        <v>Rubro</v>
      </c>
      <c r="AA1638" t="str">
        <f t="shared" si="1039"/>
        <v>Cantidad por Bulto</v>
      </c>
      <c r="AB1638" t="str">
        <f t="shared" si="1040"/>
        <v>INNER</v>
      </c>
      <c r="AC1638" t="str">
        <f t="shared" si="1041"/>
        <v>Stock en Bultos</v>
      </c>
      <c r="AD1638" t="str">
        <f t="shared" si="1042"/>
        <v>SubDepósito</v>
      </c>
      <c r="AE1638" t="str">
        <f t="shared" si="1043"/>
        <v>Marca</v>
      </c>
      <c r="AF1638" t="str">
        <f t="shared" si="1044"/>
        <v>Super Rubro</v>
      </c>
      <c r="AG1638" t="str">
        <f t="shared" si="1045"/>
        <v>ComercioExterior</v>
      </c>
      <c r="AH1638" t="str">
        <f t="shared" si="1046"/>
        <v>PrecioFOB</v>
      </c>
      <c r="AI1638" t="str">
        <f t="shared" si="1047"/>
        <v>Monto II</v>
      </c>
      <c r="AJ1638" t="str">
        <f t="shared" si="1048"/>
        <v>Porcentaje II</v>
      </c>
      <c r="AK1638" t="str">
        <f t="shared" si="1049"/>
        <v>Foto</v>
      </c>
      <c r="AL1638" t="str">
        <f>"{\rtf1\ansi\ansicpg1252\deff0\deflang11274{\fonttbl{\f0\fnil\fcharset0 MS Sans Serif}} \viewkind4\uc1\pard\f0\fs16 CONECTOR DIODO A. ACONDICIONADO FORD ESCORT 91-98\par } "</f>
        <v xml:space="preserve">{\rtf1\ansi\ansicpg1252\deff0\deflang11274{\fonttbl{\f0\fnil\fcharset0 MS Sans Serif}} \viewkind4\uc1\pard\f0\fs16 CONECTOR DIODO A. ACONDICIONADO FORD ESCORT 91-98\par } </v>
      </c>
      <c r="AM1638" t="str">
        <f t="shared" si="1057"/>
        <v>-</v>
      </c>
    </row>
    <row r="1639" spans="1:39" x14ac:dyDescent="0.25">
      <c r="A1639" t="str">
        <f>"10236"</f>
        <v>10236</v>
      </c>
      <c r="B1639" t="str">
        <f>"CONECTOR FICHA  12 VIAS ESPEJO LATERAL VW POLO"</f>
        <v>CONECTOR FICHA  12 VIAS ESPEJO LATERAL VW POLO</v>
      </c>
      <c r="C1639" t="str">
        <f>"$ 3874,98"</f>
        <v>$ 3874,98</v>
      </c>
      <c r="D1639" t="str">
        <f>"$ 3874,98"</f>
        <v>$ 3874,98</v>
      </c>
      <c r="E1639" t="str">
        <f>"$ 3874,98"</f>
        <v>$ 3874,98</v>
      </c>
      <c r="F1639" t="str">
        <f>"$ 3874,98"</f>
        <v>$ 3874,98</v>
      </c>
      <c r="G1639" t="str">
        <f>"$ 3874,98"</f>
        <v>$ 3874,98</v>
      </c>
      <c r="H1639" t="str">
        <f t="shared" si="1030"/>
        <v>$ 0,00</v>
      </c>
      <c r="I1639" t="str">
        <f t="shared" si="1052"/>
        <v>FICHA CONECTOR</v>
      </c>
      <c r="J1639" t="str">
        <f t="shared" si="1031"/>
        <v>1</v>
      </c>
      <c r="K1639" t="str">
        <f t="shared" si="1026"/>
        <v>0</v>
      </c>
      <c r="L1639" t="str">
        <f t="shared" si="1058"/>
        <v>0,000</v>
      </c>
      <c r="M1639" t="str">
        <f t="shared" si="1032"/>
        <v xml:space="preserve"> </v>
      </c>
      <c r="N1639" t="str">
        <f t="shared" si="1053"/>
        <v>AUTRONIC</v>
      </c>
      <c r="O1639" t="str">
        <f t="shared" si="1054"/>
        <v>CABLES</v>
      </c>
      <c r="P1639" t="str">
        <f t="shared" si="1055"/>
        <v>0</v>
      </c>
      <c r="Q1639" t="str">
        <f t="shared" si="1055"/>
        <v>0</v>
      </c>
      <c r="R1639" t="str">
        <f t="shared" si="1056"/>
        <v>0,00</v>
      </c>
      <c r="S1639" t="str">
        <f t="shared" si="1056"/>
        <v>0,00</v>
      </c>
      <c r="T1639" t="str">
        <f t="shared" si="1029"/>
        <v xml:space="preserve"> </v>
      </c>
      <c r="U1639" t="str">
        <f t="shared" si="1051"/>
        <v xml:space="preserve"> </v>
      </c>
      <c r="V1639" t="str">
        <f t="shared" si="1059"/>
        <v>0,000</v>
      </c>
      <c r="W1639" t="str">
        <f t="shared" si="1035"/>
        <v>Lista 4</v>
      </c>
      <c r="X1639" t="str">
        <f t="shared" si="1036"/>
        <v>Lista 5</v>
      </c>
      <c r="Y1639" t="str">
        <f t="shared" si="1037"/>
        <v>Oferta Gral.</v>
      </c>
      <c r="Z1639" t="str">
        <f t="shared" si="1038"/>
        <v>Rubro</v>
      </c>
      <c r="AA1639" t="str">
        <f t="shared" si="1039"/>
        <v>Cantidad por Bulto</v>
      </c>
      <c r="AB1639" t="str">
        <f t="shared" si="1040"/>
        <v>INNER</v>
      </c>
      <c r="AC1639" t="str">
        <f t="shared" si="1041"/>
        <v>Stock en Bultos</v>
      </c>
      <c r="AD1639" t="str">
        <f t="shared" si="1042"/>
        <v>SubDepósito</v>
      </c>
      <c r="AE1639" t="str">
        <f t="shared" si="1043"/>
        <v>Marca</v>
      </c>
      <c r="AF1639" t="str">
        <f t="shared" si="1044"/>
        <v>Super Rubro</v>
      </c>
      <c r="AG1639" t="str">
        <f t="shared" si="1045"/>
        <v>ComercioExterior</v>
      </c>
      <c r="AH1639" t="str">
        <f t="shared" si="1046"/>
        <v>PrecioFOB</v>
      </c>
      <c r="AI1639" t="str">
        <f t="shared" si="1047"/>
        <v>Monto II</v>
      </c>
      <c r="AJ1639" t="str">
        <f t="shared" si="1048"/>
        <v>Porcentaje II</v>
      </c>
      <c r="AK1639" t="str">
        <f t="shared" si="1049"/>
        <v>Foto</v>
      </c>
      <c r="AL1639" t="str">
        <f>"{\rtf1\ansi\ansicpg1252\deff0\deflang11274{\fonttbl{\f0\fnil\fcharset0 MS Sans Serif}} \viewkind4\uc1\pard\f0\fs16 CONECTOR FICHA  12 VIAS ESPEJO LATERAL VW POLO\par } "</f>
        <v xml:space="preserve">{\rtf1\ansi\ansicpg1252\deff0\deflang11274{\fonttbl{\f0\fnil\fcharset0 MS Sans Serif}} \viewkind4\uc1\pard\f0\fs16 CONECTOR FICHA  12 VIAS ESPEJO LATERAL VW POLO\par } </v>
      </c>
      <c r="AM1639" t="str">
        <f t="shared" si="1057"/>
        <v>-</v>
      </c>
    </row>
    <row r="1640" spans="1:39" x14ac:dyDescent="0.25">
      <c r="A1640" t="str">
        <f>"10206"</f>
        <v>10206</v>
      </c>
      <c r="B1640" t="str">
        <f>"CONECTOR FICHA 1 VÍA BULBO TEMPERATURA – VW - FORD"</f>
        <v>CONECTOR FICHA 1 VÍA BULBO TEMPERATURA – VW - FORD</v>
      </c>
      <c r="C1640" t="str">
        <f>"$ 2338,35"</f>
        <v>$ 2338,35</v>
      </c>
      <c r="D1640" t="str">
        <f>"$ 2338,35"</f>
        <v>$ 2338,35</v>
      </c>
      <c r="E1640" t="str">
        <f>"$ 2338,35"</f>
        <v>$ 2338,35</v>
      </c>
      <c r="F1640" t="str">
        <f>"$ 2338,35"</f>
        <v>$ 2338,35</v>
      </c>
      <c r="G1640" t="str">
        <f>"$ 2338,35"</f>
        <v>$ 2338,35</v>
      </c>
      <c r="H1640" t="str">
        <f t="shared" si="1030"/>
        <v>$ 0,00</v>
      </c>
      <c r="I1640" t="str">
        <f t="shared" si="1052"/>
        <v>FICHA CONECTOR</v>
      </c>
      <c r="J1640" t="str">
        <f t="shared" si="1031"/>
        <v>1</v>
      </c>
      <c r="K1640" t="str">
        <f t="shared" si="1026"/>
        <v>0</v>
      </c>
      <c r="L1640" t="str">
        <f>"10,000"</f>
        <v>10,000</v>
      </c>
      <c r="M1640" t="str">
        <f t="shared" si="1032"/>
        <v xml:space="preserve"> </v>
      </c>
      <c r="N1640" t="str">
        <f t="shared" si="1053"/>
        <v>AUTRONIC</v>
      </c>
      <c r="O1640" t="str">
        <f t="shared" si="1054"/>
        <v>CABLES</v>
      </c>
      <c r="P1640" t="str">
        <f t="shared" si="1055"/>
        <v>0</v>
      </c>
      <c r="Q1640" t="str">
        <f t="shared" si="1055"/>
        <v>0</v>
      </c>
      <c r="R1640" t="str">
        <f t="shared" si="1056"/>
        <v>0,00</v>
      </c>
      <c r="S1640" t="str">
        <f t="shared" si="1056"/>
        <v>0,00</v>
      </c>
      <c r="T1640" t="str">
        <f t="shared" si="1029"/>
        <v xml:space="preserve"> </v>
      </c>
      <c r="U1640" t="str">
        <f t="shared" si="1051"/>
        <v xml:space="preserve"> </v>
      </c>
      <c r="V1640" t="str">
        <f>"10,000"</f>
        <v>10,000</v>
      </c>
      <c r="W1640" t="str">
        <f t="shared" si="1035"/>
        <v>Lista 4</v>
      </c>
      <c r="X1640" t="str">
        <f t="shared" si="1036"/>
        <v>Lista 5</v>
      </c>
      <c r="Y1640" t="str">
        <f t="shared" si="1037"/>
        <v>Oferta Gral.</v>
      </c>
      <c r="Z1640" t="str">
        <f t="shared" si="1038"/>
        <v>Rubro</v>
      </c>
      <c r="AA1640" t="str">
        <f t="shared" si="1039"/>
        <v>Cantidad por Bulto</v>
      </c>
      <c r="AB1640" t="str">
        <f t="shared" si="1040"/>
        <v>INNER</v>
      </c>
      <c r="AC1640" t="str">
        <f t="shared" si="1041"/>
        <v>Stock en Bultos</v>
      </c>
      <c r="AD1640" t="str">
        <f t="shared" si="1042"/>
        <v>SubDepósito</v>
      </c>
      <c r="AE1640" t="str">
        <f t="shared" si="1043"/>
        <v>Marca</v>
      </c>
      <c r="AF1640" t="str">
        <f t="shared" si="1044"/>
        <v>Super Rubro</v>
      </c>
      <c r="AG1640" t="str">
        <f t="shared" si="1045"/>
        <v>ComercioExterior</v>
      </c>
      <c r="AH1640" t="str">
        <f t="shared" si="1046"/>
        <v>PrecioFOB</v>
      </c>
      <c r="AI1640" t="str">
        <f t="shared" si="1047"/>
        <v>Monto II</v>
      </c>
      <c r="AJ1640" t="str">
        <f t="shared" si="1048"/>
        <v>Porcentaje II</v>
      </c>
      <c r="AK1640" t="str">
        <f t="shared" si="1049"/>
        <v>Foto</v>
      </c>
      <c r="AL1640" t="str">
        <f>"{\rtf1\ansi\ansicpg1252\deff0\deflang11274{\fonttbl{\f0\fnil\fcharset0 MS Sans Serif}} \viewkind4\uc1\pard\f0\fs16 CONECTOR FICHA 1 V\'cdA BULBO TEMPERATURA \endash  VW - FORD\par } "</f>
        <v xml:space="preserve">{\rtf1\ansi\ansicpg1252\deff0\deflang11274{\fonttbl{\f0\fnil\fcharset0 MS Sans Serif}} \viewkind4\uc1\pard\f0\fs16 CONECTOR FICHA 1 V\'cdA BULBO TEMPERATURA \endash  VW - FORD\par } </v>
      </c>
      <c r="AM1640" t="str">
        <f t="shared" si="1057"/>
        <v>-</v>
      </c>
    </row>
    <row r="1641" spans="1:39" x14ac:dyDescent="0.25">
      <c r="A1641" t="str">
        <f>"10241"</f>
        <v>10241</v>
      </c>
      <c r="B1641" t="str">
        <f>"CONECTOR FICHA 10 VIAS INSTRUMENTAL RENAULT – PEUGEOT"</f>
        <v>CONECTOR FICHA 10 VIAS INSTRUMENTAL RENAULT – PEUGEOT</v>
      </c>
      <c r="C1641" t="str">
        <f>"$ 3741,31"</f>
        <v>$ 3741,31</v>
      </c>
      <c r="D1641" t="str">
        <f>"$ 3741,31"</f>
        <v>$ 3741,31</v>
      </c>
      <c r="E1641" t="str">
        <f>"$ 3741,31"</f>
        <v>$ 3741,31</v>
      </c>
      <c r="F1641" t="str">
        <f>"$ 3741,31"</f>
        <v>$ 3741,31</v>
      </c>
      <c r="G1641" t="str">
        <f>"$ 3741,31"</f>
        <v>$ 3741,31</v>
      </c>
      <c r="H1641" t="str">
        <f t="shared" si="1030"/>
        <v>$ 0,00</v>
      </c>
      <c r="I1641" t="str">
        <f t="shared" si="1052"/>
        <v>FICHA CONECTOR</v>
      </c>
      <c r="J1641" t="str">
        <f t="shared" si="1031"/>
        <v>1</v>
      </c>
      <c r="K1641" t="str">
        <f t="shared" si="1026"/>
        <v>0</v>
      </c>
      <c r="L1641" t="str">
        <f>"0,000"</f>
        <v>0,000</v>
      </c>
      <c r="M1641" t="str">
        <f t="shared" si="1032"/>
        <v xml:space="preserve"> </v>
      </c>
      <c r="N1641" t="str">
        <f t="shared" si="1053"/>
        <v>AUTRONIC</v>
      </c>
      <c r="O1641" t="str">
        <f t="shared" si="1054"/>
        <v>CABLES</v>
      </c>
      <c r="P1641" t="str">
        <f t="shared" si="1055"/>
        <v>0</v>
      </c>
      <c r="Q1641" t="str">
        <f t="shared" si="1055"/>
        <v>0</v>
      </c>
      <c r="R1641" t="str">
        <f t="shared" si="1056"/>
        <v>0,00</v>
      </c>
      <c r="S1641" t="str">
        <f t="shared" si="1056"/>
        <v>0,00</v>
      </c>
      <c r="T1641" t="str">
        <f t="shared" si="1029"/>
        <v xml:space="preserve"> </v>
      </c>
      <c r="U1641" t="str">
        <f t="shared" si="1051"/>
        <v xml:space="preserve"> </v>
      </c>
      <c r="V1641" t="str">
        <f>"0,000"</f>
        <v>0,000</v>
      </c>
      <c r="W1641" t="str">
        <f t="shared" si="1035"/>
        <v>Lista 4</v>
      </c>
      <c r="X1641" t="str">
        <f t="shared" si="1036"/>
        <v>Lista 5</v>
      </c>
      <c r="Y1641" t="str">
        <f t="shared" si="1037"/>
        <v>Oferta Gral.</v>
      </c>
      <c r="Z1641" t="str">
        <f t="shared" si="1038"/>
        <v>Rubro</v>
      </c>
      <c r="AA1641" t="str">
        <f t="shared" si="1039"/>
        <v>Cantidad por Bulto</v>
      </c>
      <c r="AB1641" t="str">
        <f t="shared" si="1040"/>
        <v>INNER</v>
      </c>
      <c r="AC1641" t="str">
        <f t="shared" si="1041"/>
        <v>Stock en Bultos</v>
      </c>
      <c r="AD1641" t="str">
        <f t="shared" si="1042"/>
        <v>SubDepósito</v>
      </c>
      <c r="AE1641" t="str">
        <f t="shared" si="1043"/>
        <v>Marca</v>
      </c>
      <c r="AF1641" t="str">
        <f t="shared" si="1044"/>
        <v>Super Rubro</v>
      </c>
      <c r="AG1641" t="str">
        <f t="shared" si="1045"/>
        <v>ComercioExterior</v>
      </c>
      <c r="AH1641" t="str">
        <f t="shared" si="1046"/>
        <v>PrecioFOB</v>
      </c>
      <c r="AI1641" t="str">
        <f t="shared" si="1047"/>
        <v>Monto II</v>
      </c>
      <c r="AJ1641" t="str">
        <f t="shared" si="1048"/>
        <v>Porcentaje II</v>
      </c>
      <c r="AK1641" t="str">
        <f t="shared" si="1049"/>
        <v>Foto</v>
      </c>
      <c r="AL1641" t="str">
        <f>"{\rtf1\ansi\ansicpg1252\deff0\deflang11274{\fonttbl{\f0\fnil\fcharset0 MS Sans Serif}} \viewkind4\uc1\pard\f0\fs16 CONECTOR FICHA 10 VIAS INSTRUMENTAL RENAULT \endash  PEUGEOT\par } "</f>
        <v xml:space="preserve">{\rtf1\ansi\ansicpg1252\deff0\deflang11274{\fonttbl{\f0\fnil\fcharset0 MS Sans Serif}} \viewkind4\uc1\pard\f0\fs16 CONECTOR FICHA 10 VIAS INSTRUMENTAL RENAULT \endash  PEUGEOT\par } </v>
      </c>
      <c r="AM1641" t="str">
        <f t="shared" si="1057"/>
        <v>-</v>
      </c>
    </row>
    <row r="1642" spans="1:39" x14ac:dyDescent="0.25">
      <c r="A1642" t="str">
        <f>"10253"</f>
        <v>10253</v>
      </c>
      <c r="B1642" t="str">
        <f>"CONECTOR FICHA 12 VIAS A / ACONDICIONADO RENAULT"</f>
        <v>CONECTOR FICHA 12 VIAS A / ACONDICIONADO RENAULT</v>
      </c>
      <c r="C1642" t="str">
        <f>"$ 8671,94"</f>
        <v>$ 8671,94</v>
      </c>
      <c r="D1642" t="str">
        <f>"$ 8671,94"</f>
        <v>$ 8671,94</v>
      </c>
      <c r="E1642" t="str">
        <f>"$ 8671,94"</f>
        <v>$ 8671,94</v>
      </c>
      <c r="F1642" t="str">
        <f>"$ 8671,94"</f>
        <v>$ 8671,94</v>
      </c>
      <c r="G1642" t="str">
        <f>"$ 8671,94"</f>
        <v>$ 8671,94</v>
      </c>
      <c r="H1642" t="str">
        <f t="shared" si="1030"/>
        <v>$ 0,00</v>
      </c>
      <c r="I1642" t="str">
        <f t="shared" si="1052"/>
        <v>FICHA CONECTOR</v>
      </c>
      <c r="J1642" t="str">
        <f t="shared" si="1031"/>
        <v>1</v>
      </c>
      <c r="K1642" t="str">
        <f t="shared" si="1026"/>
        <v>0</v>
      </c>
      <c r="L1642" t="str">
        <f>"6,000"</f>
        <v>6,000</v>
      </c>
      <c r="M1642" t="str">
        <f t="shared" si="1032"/>
        <v xml:space="preserve"> </v>
      </c>
      <c r="N1642" t="str">
        <f t="shared" si="1053"/>
        <v>AUTRONIC</v>
      </c>
      <c r="O1642" t="str">
        <f t="shared" si="1054"/>
        <v>CABLES</v>
      </c>
      <c r="P1642" t="str">
        <f t="shared" si="1055"/>
        <v>0</v>
      </c>
      <c r="Q1642" t="str">
        <f t="shared" si="1055"/>
        <v>0</v>
      </c>
      <c r="R1642" t="str">
        <f t="shared" si="1056"/>
        <v>0,00</v>
      </c>
      <c r="S1642" t="str">
        <f t="shared" si="1056"/>
        <v>0,00</v>
      </c>
      <c r="T1642" t="str">
        <f t="shared" si="1029"/>
        <v xml:space="preserve"> </v>
      </c>
      <c r="U1642" t="str">
        <f t="shared" si="1051"/>
        <v xml:space="preserve"> </v>
      </c>
      <c r="V1642" t="str">
        <f>"6,000"</f>
        <v>6,000</v>
      </c>
      <c r="W1642" t="str">
        <f t="shared" si="1035"/>
        <v>Lista 4</v>
      </c>
      <c r="X1642" t="str">
        <f t="shared" si="1036"/>
        <v>Lista 5</v>
      </c>
      <c r="Y1642" t="str">
        <f t="shared" si="1037"/>
        <v>Oferta Gral.</v>
      </c>
      <c r="Z1642" t="str">
        <f t="shared" si="1038"/>
        <v>Rubro</v>
      </c>
      <c r="AA1642" t="str">
        <f t="shared" si="1039"/>
        <v>Cantidad por Bulto</v>
      </c>
      <c r="AB1642" t="str">
        <f t="shared" si="1040"/>
        <v>INNER</v>
      </c>
      <c r="AC1642" t="str">
        <f t="shared" si="1041"/>
        <v>Stock en Bultos</v>
      </c>
      <c r="AD1642" t="str">
        <f t="shared" si="1042"/>
        <v>SubDepósito</v>
      </c>
      <c r="AE1642" t="str">
        <f t="shared" si="1043"/>
        <v>Marca</v>
      </c>
      <c r="AF1642" t="str">
        <f t="shared" si="1044"/>
        <v>Super Rubro</v>
      </c>
      <c r="AG1642" t="str">
        <f t="shared" si="1045"/>
        <v>ComercioExterior</v>
      </c>
      <c r="AH1642" t="str">
        <f t="shared" si="1046"/>
        <v>PrecioFOB</v>
      </c>
      <c r="AI1642" t="str">
        <f t="shared" si="1047"/>
        <v>Monto II</v>
      </c>
      <c r="AJ1642" t="str">
        <f t="shared" si="1048"/>
        <v>Porcentaje II</v>
      </c>
      <c r="AK1642" t="str">
        <f t="shared" si="1049"/>
        <v>Foto</v>
      </c>
      <c r="AL1642" t="str">
        <f>"{\rtf1\ansi\ansicpg1252\deff0\deflang11274{\fonttbl{\f0\fnil\fcharset0 MS Sans Serif}} \viewkind4\uc1\pard\f0\fs16 CONECTOR FICHA 12 VIAS A / ACONDICIONADO RENAULT\par } "</f>
        <v xml:space="preserve">{\rtf1\ansi\ansicpg1252\deff0\deflang11274{\fonttbl{\f0\fnil\fcharset0 MS Sans Serif}} \viewkind4\uc1\pard\f0\fs16 CONECTOR FICHA 12 VIAS A / ACONDICIONADO RENAULT\par } </v>
      </c>
      <c r="AM1642" t="str">
        <f t="shared" si="1057"/>
        <v>-</v>
      </c>
    </row>
    <row r="1643" spans="1:39" x14ac:dyDescent="0.25">
      <c r="A1643" t="str">
        <f>"10245"</f>
        <v>10245</v>
      </c>
      <c r="B1643" t="str">
        <f>"CONECTOR FICHA 12 VIAS AIRE ACONDICIONADO RENAULT"</f>
        <v>CONECTOR FICHA 12 VIAS AIRE ACONDICIONADO RENAULT</v>
      </c>
      <c r="C1643" t="str">
        <f>"$ 5237,90"</f>
        <v>$ 5237,90</v>
      </c>
      <c r="D1643" t="str">
        <f>"$ 5237,90"</f>
        <v>$ 5237,90</v>
      </c>
      <c r="E1643" t="str">
        <f>"$ 5237,90"</f>
        <v>$ 5237,90</v>
      </c>
      <c r="F1643" t="str">
        <f>"$ 5237,90"</f>
        <v>$ 5237,90</v>
      </c>
      <c r="G1643" t="str">
        <f>"$ 5237,90"</f>
        <v>$ 5237,90</v>
      </c>
      <c r="H1643" t="str">
        <f t="shared" si="1030"/>
        <v>$ 0,00</v>
      </c>
      <c r="I1643" t="str">
        <f t="shared" si="1052"/>
        <v>FICHA CONECTOR</v>
      </c>
      <c r="J1643" t="str">
        <f t="shared" si="1031"/>
        <v>1</v>
      </c>
      <c r="K1643" t="str">
        <f t="shared" si="1026"/>
        <v>0</v>
      </c>
      <c r="L1643" t="str">
        <f>"8,000"</f>
        <v>8,000</v>
      </c>
      <c r="M1643" t="str">
        <f t="shared" si="1032"/>
        <v xml:space="preserve"> </v>
      </c>
      <c r="N1643" t="str">
        <f t="shared" si="1053"/>
        <v>AUTRONIC</v>
      </c>
      <c r="O1643" t="str">
        <f t="shared" si="1054"/>
        <v>CABLES</v>
      </c>
      <c r="P1643" t="str">
        <f t="shared" ref="P1643:Q1662" si="1060">"0"</f>
        <v>0</v>
      </c>
      <c r="Q1643" t="str">
        <f t="shared" si="1060"/>
        <v>0</v>
      </c>
      <c r="R1643" t="str">
        <f t="shared" ref="R1643:S1662" si="1061">"0,00"</f>
        <v>0,00</v>
      </c>
      <c r="S1643" t="str">
        <f t="shared" si="1061"/>
        <v>0,00</v>
      </c>
      <c r="T1643" t="str">
        <f t="shared" si="1029"/>
        <v xml:space="preserve"> </v>
      </c>
      <c r="U1643" t="str">
        <f t="shared" si="1051"/>
        <v xml:space="preserve"> </v>
      </c>
      <c r="V1643" t="str">
        <f>"8,000"</f>
        <v>8,000</v>
      </c>
      <c r="W1643" t="str">
        <f t="shared" si="1035"/>
        <v>Lista 4</v>
      </c>
      <c r="X1643" t="str">
        <f t="shared" si="1036"/>
        <v>Lista 5</v>
      </c>
      <c r="Y1643" t="str">
        <f t="shared" si="1037"/>
        <v>Oferta Gral.</v>
      </c>
      <c r="Z1643" t="str">
        <f t="shared" si="1038"/>
        <v>Rubro</v>
      </c>
      <c r="AA1643" t="str">
        <f t="shared" si="1039"/>
        <v>Cantidad por Bulto</v>
      </c>
      <c r="AB1643" t="str">
        <f t="shared" si="1040"/>
        <v>INNER</v>
      </c>
      <c r="AC1643" t="str">
        <f t="shared" si="1041"/>
        <v>Stock en Bultos</v>
      </c>
      <c r="AD1643" t="str">
        <f t="shared" si="1042"/>
        <v>SubDepósito</v>
      </c>
      <c r="AE1643" t="str">
        <f t="shared" si="1043"/>
        <v>Marca</v>
      </c>
      <c r="AF1643" t="str">
        <f t="shared" si="1044"/>
        <v>Super Rubro</v>
      </c>
      <c r="AG1643" t="str">
        <f t="shared" si="1045"/>
        <v>ComercioExterior</v>
      </c>
      <c r="AH1643" t="str">
        <f t="shared" si="1046"/>
        <v>PrecioFOB</v>
      </c>
      <c r="AI1643" t="str">
        <f t="shared" si="1047"/>
        <v>Monto II</v>
      </c>
      <c r="AJ1643" t="str">
        <f t="shared" si="1048"/>
        <v>Porcentaje II</v>
      </c>
      <c r="AK1643" t="str">
        <f t="shared" si="1049"/>
        <v>Foto</v>
      </c>
      <c r="AL1643" t="str">
        <f>"{\rtf1\ansi\ansicpg1252\deff0\deflang11274{\fonttbl{\f0\fnil\fcharset0 MS Sans Serif}} \viewkind4\uc1\pard\f0\fs16 CONECTOR FICHA 12 VIAS AIRE ACONDICIONADO RENAULT\par } "</f>
        <v xml:space="preserve">{\rtf1\ansi\ansicpg1252\deff0\deflang11274{\fonttbl{\f0\fnil\fcharset0 MS Sans Serif}} \viewkind4\uc1\pard\f0\fs16 CONECTOR FICHA 12 VIAS AIRE ACONDICIONADO RENAULT\par } </v>
      </c>
      <c r="AM1643" t="str">
        <f t="shared" si="1057"/>
        <v>-</v>
      </c>
    </row>
    <row r="1644" spans="1:39" x14ac:dyDescent="0.25">
      <c r="A1644" t="str">
        <f>"10257"</f>
        <v>10257</v>
      </c>
      <c r="B1644" t="str">
        <f>"CONECTOR FICHA 2 VIAS  LLAVE CONTACTO RENAULT 21  BAT. POS. PEUGEOT NEGRA"</f>
        <v>CONECTOR FICHA 2 VIAS  LLAVE CONTACTO RENAULT 21  BAT. POS. PEUGEOT NEGRA</v>
      </c>
      <c r="C1644" t="str">
        <f>"$ 1722,19"</f>
        <v>$ 1722,19</v>
      </c>
      <c r="D1644" t="str">
        <f>"$ 1722,19"</f>
        <v>$ 1722,19</v>
      </c>
      <c r="E1644" t="str">
        <f>"$ 1722,19"</f>
        <v>$ 1722,19</v>
      </c>
      <c r="F1644" t="str">
        <f>"$ 1722,19"</f>
        <v>$ 1722,19</v>
      </c>
      <c r="G1644" t="str">
        <f>"$ 1722,19"</f>
        <v>$ 1722,19</v>
      </c>
      <c r="H1644" t="str">
        <f t="shared" si="1030"/>
        <v>$ 0,00</v>
      </c>
      <c r="I1644" t="str">
        <f t="shared" si="1052"/>
        <v>FICHA CONECTOR</v>
      </c>
      <c r="J1644" t="str">
        <f t="shared" si="1031"/>
        <v>1</v>
      </c>
      <c r="K1644" t="str">
        <f t="shared" si="1026"/>
        <v>0</v>
      </c>
      <c r="L1644" t="str">
        <f>"0,000"</f>
        <v>0,000</v>
      </c>
      <c r="M1644" t="str">
        <f t="shared" si="1032"/>
        <v xml:space="preserve"> </v>
      </c>
      <c r="N1644" t="str">
        <f t="shared" si="1053"/>
        <v>AUTRONIC</v>
      </c>
      <c r="O1644" t="str">
        <f t="shared" si="1054"/>
        <v>CABLES</v>
      </c>
      <c r="P1644" t="str">
        <f t="shared" si="1060"/>
        <v>0</v>
      </c>
      <c r="Q1644" t="str">
        <f t="shared" si="1060"/>
        <v>0</v>
      </c>
      <c r="R1644" t="str">
        <f t="shared" si="1061"/>
        <v>0,00</v>
      </c>
      <c r="S1644" t="str">
        <f t="shared" si="1061"/>
        <v>0,00</v>
      </c>
      <c r="T1644" t="str">
        <f t="shared" si="1029"/>
        <v xml:space="preserve"> </v>
      </c>
      <c r="U1644" t="str">
        <f t="shared" si="1051"/>
        <v xml:space="preserve"> </v>
      </c>
      <c r="V1644" t="str">
        <f>"0,000"</f>
        <v>0,000</v>
      </c>
      <c r="W1644" t="str">
        <f t="shared" si="1035"/>
        <v>Lista 4</v>
      </c>
      <c r="X1644" t="str">
        <f t="shared" si="1036"/>
        <v>Lista 5</v>
      </c>
      <c r="Y1644" t="str">
        <f t="shared" si="1037"/>
        <v>Oferta Gral.</v>
      </c>
      <c r="Z1644" t="str">
        <f t="shared" si="1038"/>
        <v>Rubro</v>
      </c>
      <c r="AA1644" t="str">
        <f t="shared" si="1039"/>
        <v>Cantidad por Bulto</v>
      </c>
      <c r="AB1644" t="str">
        <f t="shared" si="1040"/>
        <v>INNER</v>
      </c>
      <c r="AC1644" t="str">
        <f t="shared" si="1041"/>
        <v>Stock en Bultos</v>
      </c>
      <c r="AD1644" t="str">
        <f t="shared" si="1042"/>
        <v>SubDepósito</v>
      </c>
      <c r="AE1644" t="str">
        <f t="shared" si="1043"/>
        <v>Marca</v>
      </c>
      <c r="AF1644" t="str">
        <f t="shared" si="1044"/>
        <v>Super Rubro</v>
      </c>
      <c r="AG1644" t="str">
        <f t="shared" si="1045"/>
        <v>ComercioExterior</v>
      </c>
      <c r="AH1644" t="str">
        <f t="shared" si="1046"/>
        <v>PrecioFOB</v>
      </c>
      <c r="AI1644" t="str">
        <f t="shared" si="1047"/>
        <v>Monto II</v>
      </c>
      <c r="AJ1644" t="str">
        <f t="shared" si="1048"/>
        <v>Porcentaje II</v>
      </c>
      <c r="AK1644" t="str">
        <f t="shared" si="1049"/>
        <v>Foto</v>
      </c>
      <c r="AL1644" t="str">
        <f>"{\rtf1\ansi\ansicpg1252\deff0\deflang11274{\fonttbl{\f0\fnil\fcharset0 MS Sans Serif}} \viewkind4\uc1\pard\f0\fs16 CONECTOR FICHA 2 VIAS  LLAVE CONTACTO RENAULT 21  BAT. POS. PEUGEOT NEGRA\par } "</f>
        <v xml:space="preserve">{\rtf1\ansi\ansicpg1252\deff0\deflang11274{\fonttbl{\f0\fnil\fcharset0 MS Sans Serif}} \viewkind4\uc1\pard\f0\fs16 CONECTOR FICHA 2 VIAS  LLAVE CONTACTO RENAULT 21  BAT. POS. PEUGEOT NEGRA\par } </v>
      </c>
      <c r="AM1644" t="str">
        <f t="shared" si="1057"/>
        <v>-</v>
      </c>
    </row>
    <row r="1645" spans="1:39" x14ac:dyDescent="0.25">
      <c r="A1645" t="str">
        <f>"10263"</f>
        <v>10263</v>
      </c>
      <c r="B1645" t="str">
        <f>"CONECTOR FICHA 2 VIAS BULBO ELECTROVENTILADOR FORD TODOS"</f>
        <v>CONECTOR FICHA 2 VIAS BULBO ELECTROVENTILADOR FORD TODOS</v>
      </c>
      <c r="C1645" t="str">
        <f>"$ 3503,77"</f>
        <v>$ 3503,77</v>
      </c>
      <c r="D1645" t="str">
        <f>"$ 3503,77"</f>
        <v>$ 3503,77</v>
      </c>
      <c r="E1645" t="str">
        <f>"$ 3503,77"</f>
        <v>$ 3503,77</v>
      </c>
      <c r="F1645" t="str">
        <f>"$ 3503,77"</f>
        <v>$ 3503,77</v>
      </c>
      <c r="G1645" t="str">
        <f>"$ 3503,77"</f>
        <v>$ 3503,77</v>
      </c>
      <c r="H1645" t="str">
        <f t="shared" si="1030"/>
        <v>$ 0,00</v>
      </c>
      <c r="I1645" t="str">
        <f t="shared" si="1052"/>
        <v>FICHA CONECTOR</v>
      </c>
      <c r="J1645" t="str">
        <f t="shared" si="1031"/>
        <v>1</v>
      </c>
      <c r="K1645" t="str">
        <f t="shared" si="1026"/>
        <v>0</v>
      </c>
      <c r="L1645" t="str">
        <f>"0,000"</f>
        <v>0,000</v>
      </c>
      <c r="M1645" t="str">
        <f t="shared" si="1032"/>
        <v xml:space="preserve"> </v>
      </c>
      <c r="N1645" t="str">
        <f t="shared" si="1053"/>
        <v>AUTRONIC</v>
      </c>
      <c r="O1645" t="str">
        <f t="shared" si="1054"/>
        <v>CABLES</v>
      </c>
      <c r="P1645" t="str">
        <f t="shared" si="1060"/>
        <v>0</v>
      </c>
      <c r="Q1645" t="str">
        <f t="shared" si="1060"/>
        <v>0</v>
      </c>
      <c r="R1645" t="str">
        <f t="shared" si="1061"/>
        <v>0,00</v>
      </c>
      <c r="S1645" t="str">
        <f t="shared" si="1061"/>
        <v>0,00</v>
      </c>
      <c r="T1645" t="str">
        <f t="shared" si="1029"/>
        <v xml:space="preserve"> </v>
      </c>
      <c r="U1645" t="str">
        <f t="shared" si="1051"/>
        <v xml:space="preserve"> </v>
      </c>
      <c r="V1645" t="str">
        <f>"0,000"</f>
        <v>0,000</v>
      </c>
      <c r="W1645" t="str">
        <f t="shared" si="1035"/>
        <v>Lista 4</v>
      </c>
      <c r="X1645" t="str">
        <f t="shared" si="1036"/>
        <v>Lista 5</v>
      </c>
      <c r="Y1645" t="str">
        <f t="shared" si="1037"/>
        <v>Oferta Gral.</v>
      </c>
      <c r="Z1645" t="str">
        <f t="shared" si="1038"/>
        <v>Rubro</v>
      </c>
      <c r="AA1645" t="str">
        <f t="shared" si="1039"/>
        <v>Cantidad por Bulto</v>
      </c>
      <c r="AB1645" t="str">
        <f t="shared" si="1040"/>
        <v>INNER</v>
      </c>
      <c r="AC1645" t="str">
        <f t="shared" si="1041"/>
        <v>Stock en Bultos</v>
      </c>
      <c r="AD1645" t="str">
        <f t="shared" si="1042"/>
        <v>SubDepósito</v>
      </c>
      <c r="AE1645" t="str">
        <f t="shared" si="1043"/>
        <v>Marca</v>
      </c>
      <c r="AF1645" t="str">
        <f t="shared" si="1044"/>
        <v>Super Rubro</v>
      </c>
      <c r="AG1645" t="str">
        <f t="shared" si="1045"/>
        <v>ComercioExterior</v>
      </c>
      <c r="AH1645" t="str">
        <f t="shared" si="1046"/>
        <v>PrecioFOB</v>
      </c>
      <c r="AI1645" t="str">
        <f t="shared" si="1047"/>
        <v>Monto II</v>
      </c>
      <c r="AJ1645" t="str">
        <f t="shared" si="1048"/>
        <v>Porcentaje II</v>
      </c>
      <c r="AK1645" t="str">
        <f t="shared" si="1049"/>
        <v>Foto</v>
      </c>
      <c r="AL1645" t="str">
        <f>"{\rtf1\ansi\ansicpg1252\deff0\deflang11274{\fonttbl{\f0\fnil\fcharset0 MS Sans Serif}} \viewkind4\uc1\pard\f0\fs16 CONECTOR FICHA 2 VIAS BULBO ELECTROVENTILADOR FORD TODOS\par } "</f>
        <v xml:space="preserve">{\rtf1\ansi\ansicpg1252\deff0\deflang11274{\fonttbl{\f0\fnil\fcharset0 MS Sans Serif}} \viewkind4\uc1\pard\f0\fs16 CONECTOR FICHA 2 VIAS BULBO ELECTROVENTILADOR FORD TODOS\par } </v>
      </c>
      <c r="AM1645" t="str">
        <f t="shared" si="1057"/>
        <v>-</v>
      </c>
    </row>
    <row r="1646" spans="1:39" x14ac:dyDescent="0.25">
      <c r="A1646" t="str">
        <f>"10255"</f>
        <v>10255</v>
      </c>
      <c r="B1646" t="str">
        <f>"CONECTOR FICHA 2 VIAS ELECTROVENTILADOR PEUGEOT 405-306  8MM"</f>
        <v>CONECTOR FICHA 2 VIAS ELECTROVENTILADOR PEUGEOT 405-306  8MM</v>
      </c>
      <c r="C1646" t="str">
        <f>"$ 4984,03"</f>
        <v>$ 4984,03</v>
      </c>
      <c r="D1646" t="str">
        <f>"$ 4984,03"</f>
        <v>$ 4984,03</v>
      </c>
      <c r="E1646" t="str">
        <f>"$ 4984,03"</f>
        <v>$ 4984,03</v>
      </c>
      <c r="F1646" t="str">
        <f>"$ 4984,03"</f>
        <v>$ 4984,03</v>
      </c>
      <c r="G1646" t="str">
        <f>"$ 4984,03"</f>
        <v>$ 4984,03</v>
      </c>
      <c r="H1646" t="str">
        <f t="shared" si="1030"/>
        <v>$ 0,00</v>
      </c>
      <c r="I1646" t="str">
        <f t="shared" si="1052"/>
        <v>FICHA CONECTOR</v>
      </c>
      <c r="J1646" t="str">
        <f t="shared" si="1031"/>
        <v>1</v>
      </c>
      <c r="K1646" t="str">
        <f t="shared" si="1026"/>
        <v>0</v>
      </c>
      <c r="L1646" t="str">
        <f>"4,000"</f>
        <v>4,000</v>
      </c>
      <c r="M1646" t="str">
        <f t="shared" si="1032"/>
        <v xml:space="preserve"> </v>
      </c>
      <c r="N1646" t="str">
        <f t="shared" si="1053"/>
        <v>AUTRONIC</v>
      </c>
      <c r="O1646" t="str">
        <f t="shared" si="1054"/>
        <v>CABLES</v>
      </c>
      <c r="P1646" t="str">
        <f t="shared" si="1060"/>
        <v>0</v>
      </c>
      <c r="Q1646" t="str">
        <f t="shared" si="1060"/>
        <v>0</v>
      </c>
      <c r="R1646" t="str">
        <f t="shared" si="1061"/>
        <v>0,00</v>
      </c>
      <c r="S1646" t="str">
        <f t="shared" si="1061"/>
        <v>0,00</v>
      </c>
      <c r="T1646" t="str">
        <f t="shared" si="1029"/>
        <v xml:space="preserve"> </v>
      </c>
      <c r="U1646" t="str">
        <f t="shared" si="1051"/>
        <v xml:space="preserve"> </v>
      </c>
      <c r="V1646" t="str">
        <f>"4,000"</f>
        <v>4,000</v>
      </c>
      <c r="W1646" t="str">
        <f t="shared" si="1035"/>
        <v>Lista 4</v>
      </c>
      <c r="X1646" t="str">
        <f t="shared" si="1036"/>
        <v>Lista 5</v>
      </c>
      <c r="Y1646" t="str">
        <f t="shared" si="1037"/>
        <v>Oferta Gral.</v>
      </c>
      <c r="Z1646" t="str">
        <f t="shared" si="1038"/>
        <v>Rubro</v>
      </c>
      <c r="AA1646" t="str">
        <f t="shared" si="1039"/>
        <v>Cantidad por Bulto</v>
      </c>
      <c r="AB1646" t="str">
        <f t="shared" si="1040"/>
        <v>INNER</v>
      </c>
      <c r="AC1646" t="str">
        <f t="shared" si="1041"/>
        <v>Stock en Bultos</v>
      </c>
      <c r="AD1646" t="str">
        <f t="shared" si="1042"/>
        <v>SubDepósito</v>
      </c>
      <c r="AE1646" t="str">
        <f t="shared" si="1043"/>
        <v>Marca</v>
      </c>
      <c r="AF1646" t="str">
        <f t="shared" si="1044"/>
        <v>Super Rubro</v>
      </c>
      <c r="AG1646" t="str">
        <f t="shared" si="1045"/>
        <v>ComercioExterior</v>
      </c>
      <c r="AH1646" t="str">
        <f t="shared" si="1046"/>
        <v>PrecioFOB</v>
      </c>
      <c r="AI1646" t="str">
        <f t="shared" si="1047"/>
        <v>Monto II</v>
      </c>
      <c r="AJ1646" t="str">
        <f t="shared" si="1048"/>
        <v>Porcentaje II</v>
      </c>
      <c r="AK1646" t="str">
        <f t="shared" si="1049"/>
        <v>Foto</v>
      </c>
      <c r="AL1646" t="str">
        <f>"{\rtf1\ansi\ansicpg1252\deff0\deflang11274{\fonttbl{\f0\fnil\fcharset0 MS Sans Serif}} \viewkind4\uc1\pard\f0\fs16 CONECTOR FICHA 2 VIAS ELECTROVENTILADOR PEUGEOT 405-306  8MM\par } "</f>
        <v xml:space="preserve">{\rtf1\ansi\ansicpg1252\deff0\deflang11274{\fonttbl{\f0\fnil\fcharset0 MS Sans Serif}} \viewkind4\uc1\pard\f0\fs16 CONECTOR FICHA 2 VIAS ELECTROVENTILADOR PEUGEOT 405-306  8MM\par } </v>
      </c>
      <c r="AM1646" t="str">
        <f t="shared" si="1057"/>
        <v>-</v>
      </c>
    </row>
    <row r="1647" spans="1:39" x14ac:dyDescent="0.25">
      <c r="A1647" t="str">
        <f>"10244"</f>
        <v>10244</v>
      </c>
      <c r="B1647" t="str">
        <f>"CONECTOR FICHA 2 VIAS ELECTROVENTILADOR VW"</f>
        <v>CONECTOR FICHA 2 VIAS ELECTROVENTILADOR VW</v>
      </c>
      <c r="C1647" t="str">
        <f>"$ 5865,92"</f>
        <v>$ 5865,92</v>
      </c>
      <c r="D1647" t="str">
        <f>"$ 5865,92"</f>
        <v>$ 5865,92</v>
      </c>
      <c r="E1647" t="str">
        <f>"$ 5865,92"</f>
        <v>$ 5865,92</v>
      </c>
      <c r="F1647" t="str">
        <f>"$ 5865,92"</f>
        <v>$ 5865,92</v>
      </c>
      <c r="G1647" t="str">
        <f>"$ 5865,92"</f>
        <v>$ 5865,92</v>
      </c>
      <c r="H1647" t="str">
        <f t="shared" si="1030"/>
        <v>$ 0,00</v>
      </c>
      <c r="I1647" t="str">
        <f t="shared" si="1052"/>
        <v>FICHA CONECTOR</v>
      </c>
      <c r="J1647" t="str">
        <f t="shared" si="1031"/>
        <v>1</v>
      </c>
      <c r="K1647" t="str">
        <f t="shared" si="1026"/>
        <v>0</v>
      </c>
      <c r="L1647" t="str">
        <f>"0,000"</f>
        <v>0,000</v>
      </c>
      <c r="M1647" t="str">
        <f t="shared" si="1032"/>
        <v xml:space="preserve"> </v>
      </c>
      <c r="N1647" t="str">
        <f t="shared" si="1053"/>
        <v>AUTRONIC</v>
      </c>
      <c r="O1647" t="str">
        <f t="shared" si="1054"/>
        <v>CABLES</v>
      </c>
      <c r="P1647" t="str">
        <f t="shared" si="1060"/>
        <v>0</v>
      </c>
      <c r="Q1647" t="str">
        <f t="shared" si="1060"/>
        <v>0</v>
      </c>
      <c r="R1647" t="str">
        <f t="shared" si="1061"/>
        <v>0,00</v>
      </c>
      <c r="S1647" t="str">
        <f t="shared" si="1061"/>
        <v>0,00</v>
      </c>
      <c r="T1647" t="str">
        <f t="shared" si="1029"/>
        <v xml:space="preserve"> </v>
      </c>
      <c r="U1647" t="str">
        <f t="shared" si="1051"/>
        <v xml:space="preserve"> </v>
      </c>
      <c r="V1647" t="str">
        <f>"0,000"</f>
        <v>0,000</v>
      </c>
      <c r="W1647" t="str">
        <f t="shared" si="1035"/>
        <v>Lista 4</v>
      </c>
      <c r="X1647" t="str">
        <f t="shared" si="1036"/>
        <v>Lista 5</v>
      </c>
      <c r="Y1647" t="str">
        <f t="shared" si="1037"/>
        <v>Oferta Gral.</v>
      </c>
      <c r="Z1647" t="str">
        <f t="shared" si="1038"/>
        <v>Rubro</v>
      </c>
      <c r="AA1647" t="str">
        <f t="shared" si="1039"/>
        <v>Cantidad por Bulto</v>
      </c>
      <c r="AB1647" t="str">
        <f t="shared" si="1040"/>
        <v>INNER</v>
      </c>
      <c r="AC1647" t="str">
        <f t="shared" si="1041"/>
        <v>Stock en Bultos</v>
      </c>
      <c r="AD1647" t="str">
        <f t="shared" si="1042"/>
        <v>SubDepósito</v>
      </c>
      <c r="AE1647" t="str">
        <f t="shared" si="1043"/>
        <v>Marca</v>
      </c>
      <c r="AF1647" t="str">
        <f t="shared" si="1044"/>
        <v>Super Rubro</v>
      </c>
      <c r="AG1647" t="str">
        <f t="shared" si="1045"/>
        <v>ComercioExterior</v>
      </c>
      <c r="AH1647" t="str">
        <f t="shared" si="1046"/>
        <v>PrecioFOB</v>
      </c>
      <c r="AI1647" t="str">
        <f t="shared" si="1047"/>
        <v>Monto II</v>
      </c>
      <c r="AJ1647" t="str">
        <f t="shared" si="1048"/>
        <v>Porcentaje II</v>
      </c>
      <c r="AK1647" t="str">
        <f t="shared" si="1049"/>
        <v>Foto</v>
      </c>
      <c r="AL1647" t="str">
        <f>"{\rtf1\ansi\ansicpg1252\deff0\deflang11274{\fonttbl{\f0\fnil\fcharset0 MS Sans Serif}} \viewkind4\uc1\pard\f0\fs16 CONECTOR FICHA 2 VIAS ELECTROVENTILADOR VW\par } "</f>
        <v xml:space="preserve">{\rtf1\ansi\ansicpg1252\deff0\deflang11274{\fonttbl{\f0\fnil\fcharset0 MS Sans Serif}} \viewkind4\uc1\pard\f0\fs16 CONECTOR FICHA 2 VIAS ELECTROVENTILADOR VW\par } </v>
      </c>
      <c r="AM1647" t="str">
        <f t="shared" si="1057"/>
        <v>-</v>
      </c>
    </row>
    <row r="1648" spans="1:39" x14ac:dyDescent="0.25">
      <c r="A1648" t="str">
        <f>"10266"</f>
        <v>10266</v>
      </c>
      <c r="B1648" t="str">
        <f>"CONECTOR FICHA 2 VIAS ELECTROVENTILADOR VW- RENAULT"</f>
        <v>CONECTOR FICHA 2 VIAS ELECTROVENTILADOR VW- RENAULT</v>
      </c>
      <c r="C1648" t="str">
        <f>"$ 8284,44"</f>
        <v>$ 8284,44</v>
      </c>
      <c r="D1648" t="str">
        <f>"$ 8284,44"</f>
        <v>$ 8284,44</v>
      </c>
      <c r="E1648" t="str">
        <f>"$ 8284,44"</f>
        <v>$ 8284,44</v>
      </c>
      <c r="F1648" t="str">
        <f>"$ 8284,44"</f>
        <v>$ 8284,44</v>
      </c>
      <c r="G1648" t="str">
        <f>"$ 8284,44"</f>
        <v>$ 8284,44</v>
      </c>
      <c r="H1648" t="str">
        <f t="shared" si="1030"/>
        <v>$ 0,00</v>
      </c>
      <c r="I1648" t="str">
        <f t="shared" si="1052"/>
        <v>FICHA CONECTOR</v>
      </c>
      <c r="J1648" t="str">
        <f t="shared" si="1031"/>
        <v>1</v>
      </c>
      <c r="K1648" t="str">
        <f t="shared" si="1026"/>
        <v>0</v>
      </c>
      <c r="L1648" t="str">
        <f>"0,000"</f>
        <v>0,000</v>
      </c>
      <c r="M1648" t="str">
        <f t="shared" si="1032"/>
        <v xml:space="preserve"> </v>
      </c>
      <c r="N1648" t="str">
        <f t="shared" si="1053"/>
        <v>AUTRONIC</v>
      </c>
      <c r="O1648" t="str">
        <f t="shared" si="1054"/>
        <v>CABLES</v>
      </c>
      <c r="P1648" t="str">
        <f t="shared" si="1060"/>
        <v>0</v>
      </c>
      <c r="Q1648" t="str">
        <f t="shared" si="1060"/>
        <v>0</v>
      </c>
      <c r="R1648" t="str">
        <f t="shared" si="1061"/>
        <v>0,00</v>
      </c>
      <c r="S1648" t="str">
        <f t="shared" si="1061"/>
        <v>0,00</v>
      </c>
      <c r="T1648" t="str">
        <f t="shared" si="1029"/>
        <v xml:space="preserve"> </v>
      </c>
      <c r="U1648" t="str">
        <f t="shared" si="1051"/>
        <v xml:space="preserve"> </v>
      </c>
      <c r="V1648" t="str">
        <f>"0,000"</f>
        <v>0,000</v>
      </c>
      <c r="W1648" t="str">
        <f t="shared" si="1035"/>
        <v>Lista 4</v>
      </c>
      <c r="X1648" t="str">
        <f t="shared" si="1036"/>
        <v>Lista 5</v>
      </c>
      <c r="Y1648" t="str">
        <f t="shared" si="1037"/>
        <v>Oferta Gral.</v>
      </c>
      <c r="Z1648" t="str">
        <f t="shared" si="1038"/>
        <v>Rubro</v>
      </c>
      <c r="AA1648" t="str">
        <f t="shared" si="1039"/>
        <v>Cantidad por Bulto</v>
      </c>
      <c r="AB1648" t="str">
        <f t="shared" si="1040"/>
        <v>INNER</v>
      </c>
      <c r="AC1648" t="str">
        <f t="shared" si="1041"/>
        <v>Stock en Bultos</v>
      </c>
      <c r="AD1648" t="str">
        <f t="shared" si="1042"/>
        <v>SubDepósito</v>
      </c>
      <c r="AE1648" t="str">
        <f t="shared" si="1043"/>
        <v>Marca</v>
      </c>
      <c r="AF1648" t="str">
        <f t="shared" si="1044"/>
        <v>Super Rubro</v>
      </c>
      <c r="AG1648" t="str">
        <f t="shared" si="1045"/>
        <v>ComercioExterior</v>
      </c>
      <c r="AH1648" t="str">
        <f t="shared" si="1046"/>
        <v>PrecioFOB</v>
      </c>
      <c r="AI1648" t="str">
        <f t="shared" si="1047"/>
        <v>Monto II</v>
      </c>
      <c r="AJ1648" t="str">
        <f t="shared" si="1048"/>
        <v>Porcentaje II</v>
      </c>
      <c r="AK1648" t="str">
        <f t="shared" si="1049"/>
        <v>Foto</v>
      </c>
      <c r="AL1648" t="str">
        <f>"{\rtf1\ansi\ansicpg1252\deff0\deflang11274{\fonttbl{\f0\fnil\fcharset0 MS Sans Serif}} \viewkind4\uc1\pard\f0\fs16 CONECTOR FICHA 2 VIAS ELECTROVENTILADOR VW- RENAULT\par } "</f>
        <v xml:space="preserve">{\rtf1\ansi\ansicpg1252\deff0\deflang11274{\fonttbl{\f0\fnil\fcharset0 MS Sans Serif}} \viewkind4\uc1\pard\f0\fs16 CONECTOR FICHA 2 VIAS ELECTROVENTILADOR VW- RENAULT\par } </v>
      </c>
      <c r="AM1648" t="str">
        <f t="shared" si="1057"/>
        <v>-</v>
      </c>
    </row>
    <row r="1649" spans="1:39" x14ac:dyDescent="0.25">
      <c r="A1649" t="str">
        <f>"10238"</f>
        <v>10238</v>
      </c>
      <c r="B1649" t="str">
        <f>"CONECTOR FICHA 2 VIAS FAROS AUXILIARES FORD"</f>
        <v>CONECTOR FICHA 2 VIAS FAROS AUXILIARES FORD</v>
      </c>
      <c r="C1649" t="str">
        <f>"$ 2271,54"</f>
        <v>$ 2271,54</v>
      </c>
      <c r="D1649" t="str">
        <f>"$ 2271,54"</f>
        <v>$ 2271,54</v>
      </c>
      <c r="E1649" t="str">
        <f>"$ 2271,54"</f>
        <v>$ 2271,54</v>
      </c>
      <c r="F1649" t="str">
        <f>"$ 2271,54"</f>
        <v>$ 2271,54</v>
      </c>
      <c r="G1649" t="str">
        <f>"$ 2271,54"</f>
        <v>$ 2271,54</v>
      </c>
      <c r="H1649" t="str">
        <f t="shared" si="1030"/>
        <v>$ 0,00</v>
      </c>
      <c r="I1649" t="str">
        <f t="shared" si="1052"/>
        <v>FICHA CONECTOR</v>
      </c>
      <c r="J1649" t="str">
        <f t="shared" si="1031"/>
        <v>1</v>
      </c>
      <c r="K1649" t="str">
        <f t="shared" si="1026"/>
        <v>0</v>
      </c>
      <c r="L1649" t="str">
        <f>"10,000"</f>
        <v>10,000</v>
      </c>
      <c r="M1649" t="str">
        <f t="shared" si="1032"/>
        <v xml:space="preserve"> </v>
      </c>
      <c r="N1649" t="str">
        <f t="shared" si="1053"/>
        <v>AUTRONIC</v>
      </c>
      <c r="O1649" t="str">
        <f t="shared" si="1054"/>
        <v>CABLES</v>
      </c>
      <c r="P1649" t="str">
        <f t="shared" si="1060"/>
        <v>0</v>
      </c>
      <c r="Q1649" t="str">
        <f t="shared" si="1060"/>
        <v>0</v>
      </c>
      <c r="R1649" t="str">
        <f t="shared" si="1061"/>
        <v>0,00</v>
      </c>
      <c r="S1649" t="str">
        <f t="shared" si="1061"/>
        <v>0,00</v>
      </c>
      <c r="T1649" t="str">
        <f t="shared" si="1029"/>
        <v xml:space="preserve"> </v>
      </c>
      <c r="U1649" t="str">
        <f t="shared" si="1051"/>
        <v xml:space="preserve"> </v>
      </c>
      <c r="V1649" t="str">
        <f>"10,000"</f>
        <v>10,000</v>
      </c>
      <c r="W1649" t="str">
        <f t="shared" si="1035"/>
        <v>Lista 4</v>
      </c>
      <c r="X1649" t="str">
        <f t="shared" si="1036"/>
        <v>Lista 5</v>
      </c>
      <c r="Y1649" t="str">
        <f t="shared" si="1037"/>
        <v>Oferta Gral.</v>
      </c>
      <c r="Z1649" t="str">
        <f t="shared" si="1038"/>
        <v>Rubro</v>
      </c>
      <c r="AA1649" t="str">
        <f t="shared" si="1039"/>
        <v>Cantidad por Bulto</v>
      </c>
      <c r="AB1649" t="str">
        <f t="shared" si="1040"/>
        <v>INNER</v>
      </c>
      <c r="AC1649" t="str">
        <f t="shared" si="1041"/>
        <v>Stock en Bultos</v>
      </c>
      <c r="AD1649" t="str">
        <f t="shared" si="1042"/>
        <v>SubDepósito</v>
      </c>
      <c r="AE1649" t="str">
        <f t="shared" si="1043"/>
        <v>Marca</v>
      </c>
      <c r="AF1649" t="str">
        <f t="shared" si="1044"/>
        <v>Super Rubro</v>
      </c>
      <c r="AG1649" t="str">
        <f t="shared" si="1045"/>
        <v>ComercioExterior</v>
      </c>
      <c r="AH1649" t="str">
        <f t="shared" si="1046"/>
        <v>PrecioFOB</v>
      </c>
      <c r="AI1649" t="str">
        <f t="shared" si="1047"/>
        <v>Monto II</v>
      </c>
      <c r="AJ1649" t="str">
        <f t="shared" si="1048"/>
        <v>Porcentaje II</v>
      </c>
      <c r="AK1649" t="str">
        <f t="shared" si="1049"/>
        <v>Foto</v>
      </c>
      <c r="AL1649" t="str">
        <f>"{\rtf1\ansi\ansicpg1252\deff0\deflang11274{\fonttbl{\f0\fnil\fcharset0 MS Sans Serif}} \viewkind4\uc1\pard\f0\fs16 CONECTOR FICHA 2 VIAS FAROS AUXILIARES FORD\par } "</f>
        <v xml:space="preserve">{\rtf1\ansi\ansicpg1252\deff0\deflang11274{\fonttbl{\f0\fnil\fcharset0 MS Sans Serif}} \viewkind4\uc1\pard\f0\fs16 CONECTOR FICHA 2 VIAS FAROS AUXILIARES FORD\par } </v>
      </c>
      <c r="AM1649" t="str">
        <f t="shared" si="1057"/>
        <v>-</v>
      </c>
    </row>
    <row r="1650" spans="1:39" x14ac:dyDescent="0.25">
      <c r="A1650" t="str">
        <f>"10237"</f>
        <v>10237</v>
      </c>
      <c r="B1650" t="str">
        <f>"CONECTOR FICHA 2 VIAS FAROS AUXILIARES FORD  INYECT. VW/FAROS AUX FORD"</f>
        <v>CONECTOR FICHA 2 VIAS FAROS AUXILIARES FORD  INYECT. VW/FAROS AUX FORD</v>
      </c>
      <c r="C1650" t="str">
        <f>"$ 2605,59"</f>
        <v>$ 2605,59</v>
      </c>
      <c r="D1650" t="str">
        <f>"$ 2605,59"</f>
        <v>$ 2605,59</v>
      </c>
      <c r="E1650" t="str">
        <f>"$ 2605,59"</f>
        <v>$ 2605,59</v>
      </c>
      <c r="F1650" t="str">
        <f>"$ 2605,59"</f>
        <v>$ 2605,59</v>
      </c>
      <c r="G1650" t="str">
        <f>"$ 2605,59"</f>
        <v>$ 2605,59</v>
      </c>
      <c r="H1650" t="str">
        <f t="shared" si="1030"/>
        <v>$ 0,00</v>
      </c>
      <c r="I1650" t="str">
        <f t="shared" si="1052"/>
        <v>FICHA CONECTOR</v>
      </c>
      <c r="J1650" t="str">
        <f t="shared" si="1031"/>
        <v>1</v>
      </c>
      <c r="K1650" t="str">
        <f t="shared" si="1026"/>
        <v>0</v>
      </c>
      <c r="L1650" t="str">
        <f>"2,000"</f>
        <v>2,000</v>
      </c>
      <c r="M1650" t="str">
        <f t="shared" si="1032"/>
        <v xml:space="preserve"> </v>
      </c>
      <c r="N1650" t="str">
        <f t="shared" si="1053"/>
        <v>AUTRONIC</v>
      </c>
      <c r="O1650" t="str">
        <f t="shared" si="1054"/>
        <v>CABLES</v>
      </c>
      <c r="P1650" t="str">
        <f t="shared" si="1060"/>
        <v>0</v>
      </c>
      <c r="Q1650" t="str">
        <f t="shared" si="1060"/>
        <v>0</v>
      </c>
      <c r="R1650" t="str">
        <f t="shared" si="1061"/>
        <v>0,00</v>
      </c>
      <c r="S1650" t="str">
        <f t="shared" si="1061"/>
        <v>0,00</v>
      </c>
      <c r="T1650" t="str">
        <f t="shared" si="1029"/>
        <v xml:space="preserve"> </v>
      </c>
      <c r="U1650" t="str">
        <f t="shared" si="1051"/>
        <v xml:space="preserve"> </v>
      </c>
      <c r="V1650" t="str">
        <f>"2,000"</f>
        <v>2,000</v>
      </c>
      <c r="W1650" t="str">
        <f t="shared" si="1035"/>
        <v>Lista 4</v>
      </c>
      <c r="X1650" t="str">
        <f t="shared" si="1036"/>
        <v>Lista 5</v>
      </c>
      <c r="Y1650" t="str">
        <f t="shared" si="1037"/>
        <v>Oferta Gral.</v>
      </c>
      <c r="Z1650" t="str">
        <f t="shared" si="1038"/>
        <v>Rubro</v>
      </c>
      <c r="AA1650" t="str">
        <f t="shared" si="1039"/>
        <v>Cantidad por Bulto</v>
      </c>
      <c r="AB1650" t="str">
        <f t="shared" si="1040"/>
        <v>INNER</v>
      </c>
      <c r="AC1650" t="str">
        <f t="shared" si="1041"/>
        <v>Stock en Bultos</v>
      </c>
      <c r="AD1650" t="str">
        <f t="shared" si="1042"/>
        <v>SubDepósito</v>
      </c>
      <c r="AE1650" t="str">
        <f t="shared" si="1043"/>
        <v>Marca</v>
      </c>
      <c r="AF1650" t="str">
        <f t="shared" si="1044"/>
        <v>Super Rubro</v>
      </c>
      <c r="AG1650" t="str">
        <f t="shared" si="1045"/>
        <v>ComercioExterior</v>
      </c>
      <c r="AH1650" t="str">
        <f t="shared" si="1046"/>
        <v>PrecioFOB</v>
      </c>
      <c r="AI1650" t="str">
        <f t="shared" si="1047"/>
        <v>Monto II</v>
      </c>
      <c r="AJ1650" t="str">
        <f t="shared" si="1048"/>
        <v>Porcentaje II</v>
      </c>
      <c r="AK1650" t="str">
        <f t="shared" si="1049"/>
        <v>Foto</v>
      </c>
      <c r="AL1650" t="str">
        <f>"{\rtf1\ansi\ansicpg1252\deff0\deflang11274{\fonttbl{\f0\fnil\fcharset0 MS Sans Serif}} \viewkind4\uc1\pard\f0\fs16 CONECTOR FICHA 2 VIAS FAROS AUXILIARES FORD  INYECT. VW/FAROS AUX FORD\par } "</f>
        <v xml:space="preserve">{\rtf1\ansi\ansicpg1252\deff0\deflang11274{\fonttbl{\f0\fnil\fcharset0 MS Sans Serif}} \viewkind4\uc1\pard\f0\fs16 CONECTOR FICHA 2 VIAS FAROS AUXILIARES FORD  INYECT. VW/FAROS AUX FORD\par } </v>
      </c>
      <c r="AM1650" t="str">
        <f t="shared" si="1057"/>
        <v>-</v>
      </c>
    </row>
    <row r="1651" spans="1:39" x14ac:dyDescent="0.25">
      <c r="A1651" t="str">
        <f>"10258"</f>
        <v>10258</v>
      </c>
      <c r="B1651" t="str">
        <f>"CONECTOR FICHA 2 VIAS LLAVE CONTACTO RENAULT 21 GRIS"</f>
        <v>CONECTOR FICHA 2 VIAS LLAVE CONTACTO RENAULT 21 GRIS</v>
      </c>
      <c r="C1651" t="str">
        <f>"$ 1722,19"</f>
        <v>$ 1722,19</v>
      </c>
      <c r="D1651" t="str">
        <f>"$ 1722,19"</f>
        <v>$ 1722,19</v>
      </c>
      <c r="E1651" t="str">
        <f>"$ 1722,19"</f>
        <v>$ 1722,19</v>
      </c>
      <c r="F1651" t="str">
        <f>"$ 1722,19"</f>
        <v>$ 1722,19</v>
      </c>
      <c r="G1651" t="str">
        <f>"$ 1722,19"</f>
        <v>$ 1722,19</v>
      </c>
      <c r="H1651" t="str">
        <f t="shared" si="1030"/>
        <v>$ 0,00</v>
      </c>
      <c r="I1651" t="str">
        <f t="shared" si="1052"/>
        <v>FICHA CONECTOR</v>
      </c>
      <c r="J1651" t="str">
        <f t="shared" si="1031"/>
        <v>1</v>
      </c>
      <c r="K1651" t="str">
        <f t="shared" si="1026"/>
        <v>0</v>
      </c>
      <c r="L1651" t="str">
        <f>"0,000"</f>
        <v>0,000</v>
      </c>
      <c r="M1651" t="str">
        <f t="shared" si="1032"/>
        <v xml:space="preserve"> </v>
      </c>
      <c r="N1651" t="str">
        <f t="shared" si="1053"/>
        <v>AUTRONIC</v>
      </c>
      <c r="O1651" t="str">
        <f t="shared" si="1054"/>
        <v>CABLES</v>
      </c>
      <c r="P1651" t="str">
        <f t="shared" si="1060"/>
        <v>0</v>
      </c>
      <c r="Q1651" t="str">
        <f t="shared" si="1060"/>
        <v>0</v>
      </c>
      <c r="R1651" t="str">
        <f t="shared" si="1061"/>
        <v>0,00</v>
      </c>
      <c r="S1651" t="str">
        <f t="shared" si="1061"/>
        <v>0,00</v>
      </c>
      <c r="T1651" t="str">
        <f t="shared" si="1029"/>
        <v xml:space="preserve"> </v>
      </c>
      <c r="U1651" t="str">
        <f t="shared" si="1051"/>
        <v xml:space="preserve"> </v>
      </c>
      <c r="V1651" t="str">
        <f>"0,000"</f>
        <v>0,000</v>
      </c>
      <c r="W1651" t="str">
        <f t="shared" si="1035"/>
        <v>Lista 4</v>
      </c>
      <c r="X1651" t="str">
        <f t="shared" si="1036"/>
        <v>Lista 5</v>
      </c>
      <c r="Y1651" t="str">
        <f t="shared" si="1037"/>
        <v>Oferta Gral.</v>
      </c>
      <c r="Z1651" t="str">
        <f t="shared" si="1038"/>
        <v>Rubro</v>
      </c>
      <c r="AA1651" t="str">
        <f t="shared" si="1039"/>
        <v>Cantidad por Bulto</v>
      </c>
      <c r="AB1651" t="str">
        <f t="shared" si="1040"/>
        <v>INNER</v>
      </c>
      <c r="AC1651" t="str">
        <f t="shared" si="1041"/>
        <v>Stock en Bultos</v>
      </c>
      <c r="AD1651" t="str">
        <f t="shared" si="1042"/>
        <v>SubDepósito</v>
      </c>
      <c r="AE1651" t="str">
        <f t="shared" si="1043"/>
        <v>Marca</v>
      </c>
      <c r="AF1651" t="str">
        <f t="shared" si="1044"/>
        <v>Super Rubro</v>
      </c>
      <c r="AG1651" t="str">
        <f t="shared" si="1045"/>
        <v>ComercioExterior</v>
      </c>
      <c r="AH1651" t="str">
        <f t="shared" si="1046"/>
        <v>PrecioFOB</v>
      </c>
      <c r="AI1651" t="str">
        <f t="shared" si="1047"/>
        <v>Monto II</v>
      </c>
      <c r="AJ1651" t="str">
        <f t="shared" si="1048"/>
        <v>Porcentaje II</v>
      </c>
      <c r="AK1651" t="str">
        <f t="shared" si="1049"/>
        <v>Foto</v>
      </c>
      <c r="AL1651" t="str">
        <f>"{\rtf1\ansi\ansicpg1252\deff0\deflang11274{\fonttbl{\f0\fnil\fcharset0 MS Sans Serif}} \viewkind4\uc1\pard\f0\fs16 CONECTOR FICHA 2 VIAS LLAVE CONTACTO RENAULT 21 GRIS\par } "</f>
        <v xml:space="preserve">{\rtf1\ansi\ansicpg1252\deff0\deflang11274{\fonttbl{\f0\fnil\fcharset0 MS Sans Serif}} \viewkind4\uc1\pard\f0\fs16 CONECTOR FICHA 2 VIAS LLAVE CONTACTO RENAULT 21 GRIS\par } </v>
      </c>
      <c r="AM1651" t="str">
        <f t="shared" si="1057"/>
        <v>-</v>
      </c>
    </row>
    <row r="1652" spans="1:39" x14ac:dyDescent="0.25">
      <c r="A1652" t="str">
        <f>"10247"</f>
        <v>10247</v>
      </c>
      <c r="B1652" t="str">
        <f>"CONECTOR FICHA 2 VIAS MACHO LLAVE DE CONTACTO RENAULT 21 GRIS"</f>
        <v>CONECTOR FICHA 2 VIAS MACHO LLAVE DE CONTACTO RENAULT 21 GRIS</v>
      </c>
      <c r="C1652" t="str">
        <f>"$ 4409,46"</f>
        <v>$ 4409,46</v>
      </c>
      <c r="D1652" t="str">
        <f>"$ 4409,46"</f>
        <v>$ 4409,46</v>
      </c>
      <c r="E1652" t="str">
        <f>"$ 4409,46"</f>
        <v>$ 4409,46</v>
      </c>
      <c r="F1652" t="str">
        <f>"$ 4409,46"</f>
        <v>$ 4409,46</v>
      </c>
      <c r="G1652" t="str">
        <f>"$ 4409,46"</f>
        <v>$ 4409,46</v>
      </c>
      <c r="H1652" t="str">
        <f t="shared" si="1030"/>
        <v>$ 0,00</v>
      </c>
      <c r="I1652" t="str">
        <f t="shared" si="1052"/>
        <v>FICHA CONECTOR</v>
      </c>
      <c r="J1652" t="str">
        <f t="shared" si="1031"/>
        <v>1</v>
      </c>
      <c r="K1652" t="str">
        <f t="shared" ref="K1652:K1715" si="1062">"0"</f>
        <v>0</v>
      </c>
      <c r="L1652" t="str">
        <f>"0,000"</f>
        <v>0,000</v>
      </c>
      <c r="M1652" t="str">
        <f t="shared" si="1032"/>
        <v xml:space="preserve"> </v>
      </c>
      <c r="N1652" t="str">
        <f t="shared" si="1053"/>
        <v>AUTRONIC</v>
      </c>
      <c r="O1652" t="str">
        <f t="shared" si="1054"/>
        <v>CABLES</v>
      </c>
      <c r="P1652" t="str">
        <f t="shared" si="1060"/>
        <v>0</v>
      </c>
      <c r="Q1652" t="str">
        <f t="shared" si="1060"/>
        <v>0</v>
      </c>
      <c r="R1652" t="str">
        <f t="shared" si="1061"/>
        <v>0,00</v>
      </c>
      <c r="S1652" t="str">
        <f t="shared" si="1061"/>
        <v>0,00</v>
      </c>
      <c r="T1652" t="str">
        <f t="shared" si="1029"/>
        <v xml:space="preserve"> </v>
      </c>
      <c r="U1652" t="str">
        <f t="shared" si="1051"/>
        <v xml:space="preserve"> </v>
      </c>
      <c r="V1652" t="str">
        <f>"0,000"</f>
        <v>0,000</v>
      </c>
      <c r="W1652" t="str">
        <f t="shared" si="1035"/>
        <v>Lista 4</v>
      </c>
      <c r="X1652" t="str">
        <f t="shared" si="1036"/>
        <v>Lista 5</v>
      </c>
      <c r="Y1652" t="str">
        <f t="shared" si="1037"/>
        <v>Oferta Gral.</v>
      </c>
      <c r="Z1652" t="str">
        <f t="shared" si="1038"/>
        <v>Rubro</v>
      </c>
      <c r="AA1652" t="str">
        <f t="shared" si="1039"/>
        <v>Cantidad por Bulto</v>
      </c>
      <c r="AB1652" t="str">
        <f t="shared" si="1040"/>
        <v>INNER</v>
      </c>
      <c r="AC1652" t="str">
        <f t="shared" si="1041"/>
        <v>Stock en Bultos</v>
      </c>
      <c r="AD1652" t="str">
        <f t="shared" si="1042"/>
        <v>SubDepósito</v>
      </c>
      <c r="AE1652" t="str">
        <f t="shared" si="1043"/>
        <v>Marca</v>
      </c>
      <c r="AF1652" t="str">
        <f t="shared" si="1044"/>
        <v>Super Rubro</v>
      </c>
      <c r="AG1652" t="str">
        <f t="shared" si="1045"/>
        <v>ComercioExterior</v>
      </c>
      <c r="AH1652" t="str">
        <f t="shared" si="1046"/>
        <v>PrecioFOB</v>
      </c>
      <c r="AI1652" t="str">
        <f t="shared" si="1047"/>
        <v>Monto II</v>
      </c>
      <c r="AJ1652" t="str">
        <f t="shared" si="1048"/>
        <v>Porcentaje II</v>
      </c>
      <c r="AK1652" t="str">
        <f t="shared" si="1049"/>
        <v>Foto</v>
      </c>
      <c r="AL1652" t="str">
        <f>"{\rtf1\ansi\ansicpg1252\deff0\deflang11274{\fonttbl{\f0\fnil\fcharset0 MS Sans Serif}} \viewkind4\uc1\pard\f0\fs16 CONECTOR FICHA 2 VIAS MACHO LLAVE DE CONTACTO RENAULT 21 GRIS\par } "</f>
        <v xml:space="preserve">{\rtf1\ansi\ansicpg1252\deff0\deflang11274{\fonttbl{\f0\fnil\fcharset0 MS Sans Serif}} \viewkind4\uc1\pard\f0\fs16 CONECTOR FICHA 2 VIAS MACHO LLAVE DE CONTACTO RENAULT 21 GRIS\par } </v>
      </c>
      <c r="AM1652" t="str">
        <f t="shared" si="1057"/>
        <v>-</v>
      </c>
    </row>
    <row r="1653" spans="1:39" x14ac:dyDescent="0.25">
      <c r="A1653" t="str">
        <f>"10246"</f>
        <v>10246</v>
      </c>
      <c r="B1653" t="str">
        <f>"CONECTOR FICHA 2 VIAS MACHO LLAVE DE CONTACTO RENAULT 21 NEGRA"</f>
        <v>CONECTOR FICHA 2 VIAS MACHO LLAVE DE CONTACTO RENAULT 21 NEGRA</v>
      </c>
      <c r="C1653" t="str">
        <f>"$ 4115,50"</f>
        <v>$ 4115,50</v>
      </c>
      <c r="D1653" t="str">
        <f>"$ 4115,50"</f>
        <v>$ 4115,50</v>
      </c>
      <c r="E1653" t="str">
        <f>"$ 4115,50"</f>
        <v>$ 4115,50</v>
      </c>
      <c r="F1653" t="str">
        <f>"$ 4115,50"</f>
        <v>$ 4115,50</v>
      </c>
      <c r="G1653" t="str">
        <f>"$ 4115,50"</f>
        <v>$ 4115,50</v>
      </c>
      <c r="H1653" t="str">
        <f t="shared" si="1030"/>
        <v>$ 0,00</v>
      </c>
      <c r="I1653" t="str">
        <f t="shared" si="1052"/>
        <v>FICHA CONECTOR</v>
      </c>
      <c r="J1653" t="str">
        <f t="shared" si="1031"/>
        <v>1</v>
      </c>
      <c r="K1653" t="str">
        <f t="shared" si="1062"/>
        <v>0</v>
      </c>
      <c r="L1653" t="str">
        <f>"0,000"</f>
        <v>0,000</v>
      </c>
      <c r="M1653" t="str">
        <f t="shared" si="1032"/>
        <v xml:space="preserve"> </v>
      </c>
      <c r="N1653" t="str">
        <f t="shared" si="1053"/>
        <v>AUTRONIC</v>
      </c>
      <c r="O1653" t="str">
        <f t="shared" si="1054"/>
        <v>CABLES</v>
      </c>
      <c r="P1653" t="str">
        <f t="shared" si="1060"/>
        <v>0</v>
      </c>
      <c r="Q1653" t="str">
        <f t="shared" si="1060"/>
        <v>0</v>
      </c>
      <c r="R1653" t="str">
        <f t="shared" si="1061"/>
        <v>0,00</v>
      </c>
      <c r="S1653" t="str">
        <f t="shared" si="1061"/>
        <v>0,00</v>
      </c>
      <c r="T1653" t="str">
        <f t="shared" si="1029"/>
        <v xml:space="preserve"> </v>
      </c>
      <c r="U1653" t="str">
        <f t="shared" si="1051"/>
        <v xml:space="preserve"> </v>
      </c>
      <c r="V1653" t="str">
        <f>"0,000"</f>
        <v>0,000</v>
      </c>
      <c r="W1653" t="str">
        <f t="shared" si="1035"/>
        <v>Lista 4</v>
      </c>
      <c r="X1653" t="str">
        <f t="shared" si="1036"/>
        <v>Lista 5</v>
      </c>
      <c r="Y1653" t="str">
        <f t="shared" si="1037"/>
        <v>Oferta Gral.</v>
      </c>
      <c r="Z1653" t="str">
        <f t="shared" si="1038"/>
        <v>Rubro</v>
      </c>
      <c r="AA1653" t="str">
        <f t="shared" si="1039"/>
        <v>Cantidad por Bulto</v>
      </c>
      <c r="AB1653" t="str">
        <f t="shared" si="1040"/>
        <v>INNER</v>
      </c>
      <c r="AC1653" t="str">
        <f t="shared" si="1041"/>
        <v>Stock en Bultos</v>
      </c>
      <c r="AD1653" t="str">
        <f t="shared" si="1042"/>
        <v>SubDepósito</v>
      </c>
      <c r="AE1653" t="str">
        <f t="shared" si="1043"/>
        <v>Marca</v>
      </c>
      <c r="AF1653" t="str">
        <f t="shared" si="1044"/>
        <v>Super Rubro</v>
      </c>
      <c r="AG1653" t="str">
        <f t="shared" si="1045"/>
        <v>ComercioExterior</v>
      </c>
      <c r="AH1653" t="str">
        <f t="shared" si="1046"/>
        <v>PrecioFOB</v>
      </c>
      <c r="AI1653" t="str">
        <f t="shared" si="1047"/>
        <v>Monto II</v>
      </c>
      <c r="AJ1653" t="str">
        <f t="shared" si="1048"/>
        <v>Porcentaje II</v>
      </c>
      <c r="AK1653" t="str">
        <f t="shared" si="1049"/>
        <v>Foto</v>
      </c>
      <c r="AL1653" t="str">
        <f>"{\rtf1\ansi\ansicpg1252\deff0\deflang11274{\fonttbl{\f0\fnil\fcharset0 MS Sans Serif}} \viewkind4\uc1\pard\f0\fs16 CONECTOR FICHA 2 VIAS MACHO LLAVE DE CONTACTO RENAULT 21 NEGRA\par } "</f>
        <v xml:space="preserve">{\rtf1\ansi\ansicpg1252\deff0\deflang11274{\fonttbl{\f0\fnil\fcharset0 MS Sans Serif}} \viewkind4\uc1\pard\f0\fs16 CONECTOR FICHA 2 VIAS MACHO LLAVE DE CONTACTO RENAULT 21 NEGRA\par } </v>
      </c>
      <c r="AM1653" t="str">
        <f t="shared" si="1057"/>
        <v>-</v>
      </c>
    </row>
    <row r="1654" spans="1:39" x14ac:dyDescent="0.25">
      <c r="A1654" t="str">
        <f>"10211"</f>
        <v>10211</v>
      </c>
      <c r="B1654" t="str">
        <f>"CONECTOR FICHA 2 VÍAS  - EQUIPO INYECCIÓN - FIAT"</f>
        <v>CONECTOR FICHA 2 VÍAS  - EQUIPO INYECCIÓN - FIAT</v>
      </c>
      <c r="C1654" t="str">
        <f>"$ 2244,82"</f>
        <v>$ 2244,82</v>
      </c>
      <c r="D1654" t="str">
        <f>"$ 2244,82"</f>
        <v>$ 2244,82</v>
      </c>
      <c r="E1654" t="str">
        <f>"$ 2244,82"</f>
        <v>$ 2244,82</v>
      </c>
      <c r="F1654" t="str">
        <f>"$ 2244,82"</f>
        <v>$ 2244,82</v>
      </c>
      <c r="G1654" t="str">
        <f>"$ 2244,82"</f>
        <v>$ 2244,82</v>
      </c>
      <c r="H1654" t="str">
        <f t="shared" si="1030"/>
        <v>$ 0,00</v>
      </c>
      <c r="I1654" t="str">
        <f t="shared" si="1052"/>
        <v>FICHA CONECTOR</v>
      </c>
      <c r="J1654" t="str">
        <f t="shared" si="1031"/>
        <v>1</v>
      </c>
      <c r="K1654" t="str">
        <f t="shared" si="1062"/>
        <v>0</v>
      </c>
      <c r="L1654" t="str">
        <f>"12,000"</f>
        <v>12,000</v>
      </c>
      <c r="M1654" t="str">
        <f t="shared" si="1032"/>
        <v xml:space="preserve"> </v>
      </c>
      <c r="N1654" t="str">
        <f t="shared" si="1053"/>
        <v>AUTRONIC</v>
      </c>
      <c r="O1654" t="str">
        <f t="shared" si="1054"/>
        <v>CABLES</v>
      </c>
      <c r="P1654" t="str">
        <f t="shared" si="1060"/>
        <v>0</v>
      </c>
      <c r="Q1654" t="str">
        <f t="shared" si="1060"/>
        <v>0</v>
      </c>
      <c r="R1654" t="str">
        <f t="shared" si="1061"/>
        <v>0,00</v>
      </c>
      <c r="S1654" t="str">
        <f t="shared" si="1061"/>
        <v>0,00</v>
      </c>
      <c r="T1654" t="str">
        <f t="shared" si="1029"/>
        <v xml:space="preserve"> </v>
      </c>
      <c r="U1654" t="str">
        <f t="shared" si="1051"/>
        <v xml:space="preserve"> </v>
      </c>
      <c r="V1654" t="str">
        <f>"12,000"</f>
        <v>12,000</v>
      </c>
      <c r="W1654" t="str">
        <f t="shared" si="1035"/>
        <v>Lista 4</v>
      </c>
      <c r="X1654" t="str">
        <f t="shared" si="1036"/>
        <v>Lista 5</v>
      </c>
      <c r="Y1654" t="str">
        <f t="shared" si="1037"/>
        <v>Oferta Gral.</v>
      </c>
      <c r="Z1654" t="str">
        <f t="shared" si="1038"/>
        <v>Rubro</v>
      </c>
      <c r="AA1654" t="str">
        <f t="shared" si="1039"/>
        <v>Cantidad por Bulto</v>
      </c>
      <c r="AB1654" t="str">
        <f t="shared" si="1040"/>
        <v>INNER</v>
      </c>
      <c r="AC1654" t="str">
        <f t="shared" si="1041"/>
        <v>Stock en Bultos</v>
      </c>
      <c r="AD1654" t="str">
        <f t="shared" si="1042"/>
        <v>SubDepósito</v>
      </c>
      <c r="AE1654" t="str">
        <f t="shared" si="1043"/>
        <v>Marca</v>
      </c>
      <c r="AF1654" t="str">
        <f t="shared" si="1044"/>
        <v>Super Rubro</v>
      </c>
      <c r="AG1654" t="str">
        <f t="shared" si="1045"/>
        <v>ComercioExterior</v>
      </c>
      <c r="AH1654" t="str">
        <f t="shared" si="1046"/>
        <v>PrecioFOB</v>
      </c>
      <c r="AI1654" t="str">
        <f t="shared" si="1047"/>
        <v>Monto II</v>
      </c>
      <c r="AJ1654" t="str">
        <f t="shared" si="1048"/>
        <v>Porcentaje II</v>
      </c>
      <c r="AK1654" t="str">
        <f t="shared" si="1049"/>
        <v>Foto</v>
      </c>
      <c r="AL1654" t="str">
        <f>"{\rtf1\ansi\ansicpg1252\deff0\deflang11274{\fonttbl{\f0\fnil\fcharset0 MS Sans Serif}} \viewkind4\uc1\pard\f0\fs16 CONECTOR FICHA 2 V\'cdAS  - EQUIPO INYECCI\'d3N - FIAT\par } "</f>
        <v xml:space="preserve">{\rtf1\ansi\ansicpg1252\deff0\deflang11274{\fonttbl{\f0\fnil\fcharset0 MS Sans Serif}} \viewkind4\uc1\pard\f0\fs16 CONECTOR FICHA 2 V\'cdAS  - EQUIPO INYECCI\'d3N - FIAT\par } </v>
      </c>
      <c r="AM1654" t="str">
        <f t="shared" si="1057"/>
        <v>-</v>
      </c>
    </row>
    <row r="1655" spans="1:39" x14ac:dyDescent="0.25">
      <c r="A1655" t="str">
        <f>"10233"</f>
        <v>10233</v>
      </c>
      <c r="B1655" t="str">
        <f>"CONECTOR FICHA 2 VÍAS  CONEXIÓN POSITIVO - BATERIA FIAT"</f>
        <v>CONECTOR FICHA 2 VÍAS  CONEXIÓN POSITIVO - BATERIA FIAT</v>
      </c>
      <c r="C1655" t="str">
        <f>"$ 2004,30"</f>
        <v>$ 2004,30</v>
      </c>
      <c r="D1655" t="str">
        <f>"$ 2004,30"</f>
        <v>$ 2004,30</v>
      </c>
      <c r="E1655" t="str">
        <f>"$ 2004,30"</f>
        <v>$ 2004,30</v>
      </c>
      <c r="F1655" t="str">
        <f>"$ 2004,30"</f>
        <v>$ 2004,30</v>
      </c>
      <c r="G1655" t="str">
        <f>"$ 2004,30"</f>
        <v>$ 2004,30</v>
      </c>
      <c r="H1655" t="str">
        <f t="shared" si="1030"/>
        <v>$ 0,00</v>
      </c>
      <c r="I1655" t="str">
        <f t="shared" si="1052"/>
        <v>FICHA CONECTOR</v>
      </c>
      <c r="J1655" t="str">
        <f t="shared" si="1031"/>
        <v>1</v>
      </c>
      <c r="K1655" t="str">
        <f t="shared" si="1062"/>
        <v>0</v>
      </c>
      <c r="L1655" t="str">
        <f>"8,000"</f>
        <v>8,000</v>
      </c>
      <c r="M1655" t="str">
        <f t="shared" si="1032"/>
        <v xml:space="preserve"> </v>
      </c>
      <c r="N1655" t="str">
        <f t="shared" si="1053"/>
        <v>AUTRONIC</v>
      </c>
      <c r="O1655" t="str">
        <f t="shared" si="1054"/>
        <v>CABLES</v>
      </c>
      <c r="P1655" t="str">
        <f t="shared" si="1060"/>
        <v>0</v>
      </c>
      <c r="Q1655" t="str">
        <f t="shared" si="1060"/>
        <v>0</v>
      </c>
      <c r="R1655" t="str">
        <f t="shared" si="1061"/>
        <v>0,00</v>
      </c>
      <c r="S1655" t="str">
        <f t="shared" si="1061"/>
        <v>0,00</v>
      </c>
      <c r="T1655" t="str">
        <f t="shared" si="1029"/>
        <v xml:space="preserve"> </v>
      </c>
      <c r="U1655" t="str">
        <f t="shared" si="1051"/>
        <v xml:space="preserve"> </v>
      </c>
      <c r="V1655" t="str">
        <f>"8,000"</f>
        <v>8,000</v>
      </c>
      <c r="W1655" t="str">
        <f t="shared" si="1035"/>
        <v>Lista 4</v>
      </c>
      <c r="X1655" t="str">
        <f t="shared" si="1036"/>
        <v>Lista 5</v>
      </c>
      <c r="Y1655" t="str">
        <f t="shared" si="1037"/>
        <v>Oferta Gral.</v>
      </c>
      <c r="Z1655" t="str">
        <f t="shared" si="1038"/>
        <v>Rubro</v>
      </c>
      <c r="AA1655" t="str">
        <f t="shared" si="1039"/>
        <v>Cantidad por Bulto</v>
      </c>
      <c r="AB1655" t="str">
        <f t="shared" si="1040"/>
        <v>INNER</v>
      </c>
      <c r="AC1655" t="str">
        <f t="shared" si="1041"/>
        <v>Stock en Bultos</v>
      </c>
      <c r="AD1655" t="str">
        <f t="shared" si="1042"/>
        <v>SubDepósito</v>
      </c>
      <c r="AE1655" t="str">
        <f t="shared" si="1043"/>
        <v>Marca</v>
      </c>
      <c r="AF1655" t="str">
        <f t="shared" si="1044"/>
        <v>Super Rubro</v>
      </c>
      <c r="AG1655" t="str">
        <f t="shared" si="1045"/>
        <v>ComercioExterior</v>
      </c>
      <c r="AH1655" t="str">
        <f t="shared" si="1046"/>
        <v>PrecioFOB</v>
      </c>
      <c r="AI1655" t="str">
        <f t="shared" si="1047"/>
        <v>Monto II</v>
      </c>
      <c r="AJ1655" t="str">
        <f t="shared" si="1048"/>
        <v>Porcentaje II</v>
      </c>
      <c r="AK1655" t="str">
        <f t="shared" si="1049"/>
        <v>Foto</v>
      </c>
      <c r="AL1655" t="str">
        <f>"{\rtf1\ansi\ansicpg1252\deff0\deflang11274{\fonttbl{\f0\fnil\fcharset0 MS Sans Serif}} \viewkind4\uc1\pard\f0\fs16 CONECTOR FICHA 2 V\'cdAS  CONEXI\'d3N POSITIVO - BATERIA FIAT\par } "</f>
        <v xml:space="preserve">{\rtf1\ansi\ansicpg1252\deff0\deflang11274{\fonttbl{\f0\fnil\fcharset0 MS Sans Serif}} \viewkind4\uc1\pard\f0\fs16 CONECTOR FICHA 2 V\'cdAS  CONEXI\'d3N POSITIVO - BATERIA FIAT\par } </v>
      </c>
      <c r="AM1655" t="str">
        <f t="shared" si="1057"/>
        <v>-</v>
      </c>
    </row>
    <row r="1656" spans="1:39" x14ac:dyDescent="0.25">
      <c r="A1656" t="str">
        <f>"10230"</f>
        <v>10230</v>
      </c>
      <c r="B1656" t="str">
        <f>"CONECTOR FICHA 2 VÍAS - LUZ PATENTE – FIAT UNO"</f>
        <v>CONECTOR FICHA 2 VÍAS - LUZ PATENTE – FIAT UNO</v>
      </c>
      <c r="C1656" t="str">
        <f>"$ 2632,31"</f>
        <v>$ 2632,31</v>
      </c>
      <c r="D1656" t="str">
        <f>"$ 2632,31"</f>
        <v>$ 2632,31</v>
      </c>
      <c r="E1656" t="str">
        <f>"$ 2632,31"</f>
        <v>$ 2632,31</v>
      </c>
      <c r="F1656" t="str">
        <f>"$ 2632,31"</f>
        <v>$ 2632,31</v>
      </c>
      <c r="G1656" t="str">
        <f>"$ 2632,31"</f>
        <v>$ 2632,31</v>
      </c>
      <c r="H1656" t="str">
        <f t="shared" si="1030"/>
        <v>$ 0,00</v>
      </c>
      <c r="I1656" t="str">
        <f t="shared" si="1052"/>
        <v>FICHA CONECTOR</v>
      </c>
      <c r="J1656" t="str">
        <f t="shared" si="1031"/>
        <v>1</v>
      </c>
      <c r="K1656" t="str">
        <f t="shared" si="1062"/>
        <v>0</v>
      </c>
      <c r="L1656" t="str">
        <f>"8,000"</f>
        <v>8,000</v>
      </c>
      <c r="M1656" t="str">
        <f t="shared" si="1032"/>
        <v xml:space="preserve"> </v>
      </c>
      <c r="N1656" t="str">
        <f t="shared" si="1053"/>
        <v>AUTRONIC</v>
      </c>
      <c r="O1656" t="str">
        <f t="shared" si="1054"/>
        <v>CABLES</v>
      </c>
      <c r="P1656" t="str">
        <f t="shared" si="1060"/>
        <v>0</v>
      </c>
      <c r="Q1656" t="str">
        <f t="shared" si="1060"/>
        <v>0</v>
      </c>
      <c r="R1656" t="str">
        <f t="shared" si="1061"/>
        <v>0,00</v>
      </c>
      <c r="S1656" t="str">
        <f t="shared" si="1061"/>
        <v>0,00</v>
      </c>
      <c r="T1656" t="str">
        <f t="shared" si="1029"/>
        <v xml:space="preserve"> </v>
      </c>
      <c r="U1656" t="str">
        <f t="shared" si="1051"/>
        <v xml:space="preserve"> </v>
      </c>
      <c r="V1656" t="str">
        <f>"8,000"</f>
        <v>8,000</v>
      </c>
      <c r="W1656" t="str">
        <f t="shared" si="1035"/>
        <v>Lista 4</v>
      </c>
      <c r="X1656" t="str">
        <f t="shared" si="1036"/>
        <v>Lista 5</v>
      </c>
      <c r="Y1656" t="str">
        <f t="shared" si="1037"/>
        <v>Oferta Gral.</v>
      </c>
      <c r="Z1656" t="str">
        <f t="shared" si="1038"/>
        <v>Rubro</v>
      </c>
      <c r="AA1656" t="str">
        <f t="shared" si="1039"/>
        <v>Cantidad por Bulto</v>
      </c>
      <c r="AB1656" t="str">
        <f t="shared" si="1040"/>
        <v>INNER</v>
      </c>
      <c r="AC1656" t="str">
        <f t="shared" si="1041"/>
        <v>Stock en Bultos</v>
      </c>
      <c r="AD1656" t="str">
        <f t="shared" si="1042"/>
        <v>SubDepósito</v>
      </c>
      <c r="AE1656" t="str">
        <f t="shared" si="1043"/>
        <v>Marca</v>
      </c>
      <c r="AF1656" t="str">
        <f t="shared" si="1044"/>
        <v>Super Rubro</v>
      </c>
      <c r="AG1656" t="str">
        <f t="shared" si="1045"/>
        <v>ComercioExterior</v>
      </c>
      <c r="AH1656" t="str">
        <f t="shared" si="1046"/>
        <v>PrecioFOB</v>
      </c>
      <c r="AI1656" t="str">
        <f t="shared" si="1047"/>
        <v>Monto II</v>
      </c>
      <c r="AJ1656" t="str">
        <f t="shared" si="1048"/>
        <v>Porcentaje II</v>
      </c>
      <c r="AK1656" t="str">
        <f t="shared" si="1049"/>
        <v>Foto</v>
      </c>
      <c r="AL1656" t="str">
        <f>"{\rtf1\ansi\ansicpg1252\deff0\deflang11274{\fonttbl{\f0\fnil\fcharset0 MS Sans Serif}} \viewkind4\uc1\pard\f0\fs16 CONECTOR FICHA 2 V\'cdAS - LUZ PATENTE \endash  FIAT UNO\par } "</f>
        <v xml:space="preserve">{\rtf1\ansi\ansicpg1252\deff0\deflang11274{\fonttbl{\f0\fnil\fcharset0 MS Sans Serif}} \viewkind4\uc1\pard\f0\fs16 CONECTOR FICHA 2 V\'cdAS - LUZ PATENTE \endash  FIAT UNO\par } </v>
      </c>
      <c r="AM1656" t="str">
        <f t="shared" si="1057"/>
        <v>-</v>
      </c>
    </row>
    <row r="1657" spans="1:39" x14ac:dyDescent="0.25">
      <c r="A1657" t="str">
        <f>"10222"</f>
        <v>10222</v>
      </c>
      <c r="B1657" t="str">
        <f>"CONECTOR FICHA 2 VÍAS - LUZ POSICIÓN FIAT UNO - DUNA"</f>
        <v>CONECTOR FICHA 2 VÍAS - LUZ POSICIÓN FIAT UNO - DUNA</v>
      </c>
      <c r="C1657" t="str">
        <f>"$ 1484,65"</f>
        <v>$ 1484,65</v>
      </c>
      <c r="D1657" t="str">
        <f>"$ 1484,65"</f>
        <v>$ 1484,65</v>
      </c>
      <c r="E1657" t="str">
        <f>"$ 1484,65"</f>
        <v>$ 1484,65</v>
      </c>
      <c r="F1657" t="str">
        <f>"$ 1484,65"</f>
        <v>$ 1484,65</v>
      </c>
      <c r="G1657" t="str">
        <f>"$ 1484,65"</f>
        <v>$ 1484,65</v>
      </c>
      <c r="H1657" t="str">
        <f t="shared" si="1030"/>
        <v>$ 0,00</v>
      </c>
      <c r="I1657" t="str">
        <f t="shared" si="1052"/>
        <v>FICHA CONECTOR</v>
      </c>
      <c r="J1657" t="str">
        <f t="shared" si="1031"/>
        <v>1</v>
      </c>
      <c r="K1657" t="str">
        <f t="shared" si="1062"/>
        <v>0</v>
      </c>
      <c r="L1657" t="str">
        <f>"0,000"</f>
        <v>0,000</v>
      </c>
      <c r="M1657" t="str">
        <f t="shared" si="1032"/>
        <v xml:space="preserve"> </v>
      </c>
      <c r="N1657" t="str">
        <f t="shared" si="1053"/>
        <v>AUTRONIC</v>
      </c>
      <c r="O1657" t="str">
        <f t="shared" si="1054"/>
        <v>CABLES</v>
      </c>
      <c r="P1657" t="str">
        <f t="shared" si="1060"/>
        <v>0</v>
      </c>
      <c r="Q1657" t="str">
        <f t="shared" si="1060"/>
        <v>0</v>
      </c>
      <c r="R1657" t="str">
        <f t="shared" si="1061"/>
        <v>0,00</v>
      </c>
      <c r="S1657" t="str">
        <f t="shared" si="1061"/>
        <v>0,00</v>
      </c>
      <c r="T1657" t="str">
        <f t="shared" si="1029"/>
        <v xml:space="preserve"> </v>
      </c>
      <c r="U1657" t="str">
        <f t="shared" si="1051"/>
        <v xml:space="preserve"> </v>
      </c>
      <c r="V1657" t="str">
        <f>"0,000"</f>
        <v>0,000</v>
      </c>
      <c r="W1657" t="str">
        <f t="shared" si="1035"/>
        <v>Lista 4</v>
      </c>
      <c r="X1657" t="str">
        <f t="shared" si="1036"/>
        <v>Lista 5</v>
      </c>
      <c r="Y1657" t="str">
        <f t="shared" si="1037"/>
        <v>Oferta Gral.</v>
      </c>
      <c r="Z1657" t="str">
        <f t="shared" si="1038"/>
        <v>Rubro</v>
      </c>
      <c r="AA1657" t="str">
        <f t="shared" si="1039"/>
        <v>Cantidad por Bulto</v>
      </c>
      <c r="AB1657" t="str">
        <f t="shared" si="1040"/>
        <v>INNER</v>
      </c>
      <c r="AC1657" t="str">
        <f t="shared" si="1041"/>
        <v>Stock en Bultos</v>
      </c>
      <c r="AD1657" t="str">
        <f t="shared" si="1042"/>
        <v>SubDepósito</v>
      </c>
      <c r="AE1657" t="str">
        <f t="shared" si="1043"/>
        <v>Marca</v>
      </c>
      <c r="AF1657" t="str">
        <f t="shared" si="1044"/>
        <v>Super Rubro</v>
      </c>
      <c r="AG1657" t="str">
        <f t="shared" si="1045"/>
        <v>ComercioExterior</v>
      </c>
      <c r="AH1657" t="str">
        <f t="shared" si="1046"/>
        <v>PrecioFOB</v>
      </c>
      <c r="AI1657" t="str">
        <f t="shared" si="1047"/>
        <v>Monto II</v>
      </c>
      <c r="AJ1657" t="str">
        <f t="shared" si="1048"/>
        <v>Porcentaje II</v>
      </c>
      <c r="AK1657" t="str">
        <f t="shared" si="1049"/>
        <v>Foto</v>
      </c>
      <c r="AL1657" t="str">
        <f>"{\rtf1\ansi\ansicpg1252\deff0\deflang11274{\fonttbl{\f0\fnil\fcharset0 MS Sans Serif}} \viewkind4\uc1\pard\f0\fs16 CONECTOR FICHA 2 V\'cdAS - LUZ POSICI\'d3N FIAT UNO - DUNA\par } "</f>
        <v xml:space="preserve">{\rtf1\ansi\ansicpg1252\deff0\deflang11274{\fonttbl{\f0\fnil\fcharset0 MS Sans Serif}} \viewkind4\uc1\pard\f0\fs16 CONECTOR FICHA 2 V\'cdAS - LUZ POSICI\'d3N FIAT UNO - DUNA\par } </v>
      </c>
      <c r="AM1657" t="str">
        <f t="shared" si="1057"/>
        <v>-</v>
      </c>
    </row>
    <row r="1658" spans="1:39" x14ac:dyDescent="0.25">
      <c r="A1658" t="str">
        <f>"10208"</f>
        <v>10208</v>
      </c>
      <c r="B1658" t="str">
        <f>"CONECTOR FICHA 2 VÍAS VERDE - EQUIPO INYECCIÓN - FORD"</f>
        <v>CONECTOR FICHA 2 VÍAS VERDE - EQUIPO INYECCIÓN - FORD</v>
      </c>
      <c r="C1658" t="str">
        <f>"$ 2244,82"</f>
        <v>$ 2244,82</v>
      </c>
      <c r="D1658" t="str">
        <f>"$ 2244,82"</f>
        <v>$ 2244,82</v>
      </c>
      <c r="E1658" t="str">
        <f>"$ 2244,82"</f>
        <v>$ 2244,82</v>
      </c>
      <c r="F1658" t="str">
        <f>"$ 2244,82"</f>
        <v>$ 2244,82</v>
      </c>
      <c r="G1658" t="str">
        <f>"$ 2244,82"</f>
        <v>$ 2244,82</v>
      </c>
      <c r="H1658" t="str">
        <f t="shared" si="1030"/>
        <v>$ 0,00</v>
      </c>
      <c r="I1658" t="str">
        <f t="shared" si="1052"/>
        <v>FICHA CONECTOR</v>
      </c>
      <c r="J1658" t="str">
        <f t="shared" si="1031"/>
        <v>1</v>
      </c>
      <c r="K1658" t="str">
        <f t="shared" si="1062"/>
        <v>0</v>
      </c>
      <c r="L1658" t="str">
        <f>"28,000"</f>
        <v>28,000</v>
      </c>
      <c r="M1658" t="str">
        <f t="shared" si="1032"/>
        <v xml:space="preserve"> </v>
      </c>
      <c r="N1658" t="str">
        <f t="shared" si="1053"/>
        <v>AUTRONIC</v>
      </c>
      <c r="O1658" t="str">
        <f t="shared" si="1054"/>
        <v>CABLES</v>
      </c>
      <c r="P1658" t="str">
        <f t="shared" si="1060"/>
        <v>0</v>
      </c>
      <c r="Q1658" t="str">
        <f t="shared" si="1060"/>
        <v>0</v>
      </c>
      <c r="R1658" t="str">
        <f t="shared" si="1061"/>
        <v>0,00</v>
      </c>
      <c r="S1658" t="str">
        <f t="shared" si="1061"/>
        <v>0,00</v>
      </c>
      <c r="T1658" t="str">
        <f t="shared" si="1029"/>
        <v xml:space="preserve"> </v>
      </c>
      <c r="U1658" t="str">
        <f t="shared" si="1051"/>
        <v xml:space="preserve"> </v>
      </c>
      <c r="V1658" t="str">
        <f>"28,000"</f>
        <v>28,000</v>
      </c>
      <c r="W1658" t="str">
        <f t="shared" si="1035"/>
        <v>Lista 4</v>
      </c>
      <c r="X1658" t="str">
        <f t="shared" si="1036"/>
        <v>Lista 5</v>
      </c>
      <c r="Y1658" t="str">
        <f t="shared" si="1037"/>
        <v>Oferta Gral.</v>
      </c>
      <c r="Z1658" t="str">
        <f t="shared" si="1038"/>
        <v>Rubro</v>
      </c>
      <c r="AA1658" t="str">
        <f t="shared" si="1039"/>
        <v>Cantidad por Bulto</v>
      </c>
      <c r="AB1658" t="str">
        <f t="shared" si="1040"/>
        <v>INNER</v>
      </c>
      <c r="AC1658" t="str">
        <f t="shared" si="1041"/>
        <v>Stock en Bultos</v>
      </c>
      <c r="AD1658" t="str">
        <f t="shared" si="1042"/>
        <v>SubDepósito</v>
      </c>
      <c r="AE1658" t="str">
        <f t="shared" si="1043"/>
        <v>Marca</v>
      </c>
      <c r="AF1658" t="str">
        <f t="shared" si="1044"/>
        <v>Super Rubro</v>
      </c>
      <c r="AG1658" t="str">
        <f t="shared" si="1045"/>
        <v>ComercioExterior</v>
      </c>
      <c r="AH1658" t="str">
        <f t="shared" si="1046"/>
        <v>PrecioFOB</v>
      </c>
      <c r="AI1658" t="str">
        <f t="shared" si="1047"/>
        <v>Monto II</v>
      </c>
      <c r="AJ1658" t="str">
        <f t="shared" si="1048"/>
        <v>Porcentaje II</v>
      </c>
      <c r="AK1658" t="str">
        <f t="shared" si="1049"/>
        <v>Foto</v>
      </c>
      <c r="AL1658" t="str">
        <f>"{\rtf1\ansi\ansicpg1252\deff0\deflang11274{\fonttbl{\f0\fnil\fcharset0 MS Sans Serif}} \viewkind4\uc1\pard\f0\fs16 CONECTOR FICHA 2 V\'cdAS VERDE - EQUIPO INYECCI\'d3N - FORD\par } "</f>
        <v xml:space="preserve">{\rtf1\ansi\ansicpg1252\deff0\deflang11274{\fonttbl{\f0\fnil\fcharset0 MS Sans Serif}} \viewkind4\uc1\pard\f0\fs16 CONECTOR FICHA 2 V\'cdAS VERDE - EQUIPO INYECCI\'d3N - FORD\par } </v>
      </c>
      <c r="AM1658" t="str">
        <f t="shared" si="1057"/>
        <v>-</v>
      </c>
    </row>
    <row r="1659" spans="1:39" x14ac:dyDescent="0.25">
      <c r="A1659" t="str">
        <f>"10265"</f>
        <v>10265</v>
      </c>
      <c r="B1659" t="str">
        <f>"CONECTOR FICHA 3 VIAS  PORTAHEMBRA SENSORES VARIOS GM"</f>
        <v>CONECTOR FICHA 3 VIAS  PORTAHEMBRA SENSORES VARIOS GM</v>
      </c>
      <c r="C1659" t="str">
        <f>"$ 9219,78"</f>
        <v>$ 9219,78</v>
      </c>
      <c r="D1659" t="str">
        <f>"$ 9219,78"</f>
        <v>$ 9219,78</v>
      </c>
      <c r="E1659" t="str">
        <f>"$ 9219,78"</f>
        <v>$ 9219,78</v>
      </c>
      <c r="F1659" t="str">
        <f>"$ 9219,78"</f>
        <v>$ 9219,78</v>
      </c>
      <c r="G1659" t="str">
        <f>"$ 9219,78"</f>
        <v>$ 9219,78</v>
      </c>
      <c r="H1659" t="str">
        <f t="shared" si="1030"/>
        <v>$ 0,00</v>
      </c>
      <c r="I1659" t="str">
        <f t="shared" si="1052"/>
        <v>FICHA CONECTOR</v>
      </c>
      <c r="J1659" t="str">
        <f t="shared" si="1031"/>
        <v>1</v>
      </c>
      <c r="K1659" t="str">
        <f t="shared" si="1062"/>
        <v>0</v>
      </c>
      <c r="L1659" t="str">
        <f>"10,000"</f>
        <v>10,000</v>
      </c>
      <c r="M1659" t="str">
        <f t="shared" si="1032"/>
        <v xml:space="preserve"> </v>
      </c>
      <c r="N1659" t="str">
        <f t="shared" si="1053"/>
        <v>AUTRONIC</v>
      </c>
      <c r="O1659" t="str">
        <f t="shared" si="1054"/>
        <v>CABLES</v>
      </c>
      <c r="P1659" t="str">
        <f t="shared" si="1060"/>
        <v>0</v>
      </c>
      <c r="Q1659" t="str">
        <f t="shared" si="1060"/>
        <v>0</v>
      </c>
      <c r="R1659" t="str">
        <f t="shared" si="1061"/>
        <v>0,00</v>
      </c>
      <c r="S1659" t="str">
        <f t="shared" si="1061"/>
        <v>0,00</v>
      </c>
      <c r="T1659" t="str">
        <f t="shared" si="1029"/>
        <v xml:space="preserve"> </v>
      </c>
      <c r="U1659" t="str">
        <f t="shared" si="1051"/>
        <v xml:space="preserve"> </v>
      </c>
      <c r="V1659" t="str">
        <f>"10,000"</f>
        <v>10,000</v>
      </c>
      <c r="W1659" t="str">
        <f t="shared" si="1035"/>
        <v>Lista 4</v>
      </c>
      <c r="X1659" t="str">
        <f t="shared" si="1036"/>
        <v>Lista 5</v>
      </c>
      <c r="Y1659" t="str">
        <f t="shared" si="1037"/>
        <v>Oferta Gral.</v>
      </c>
      <c r="Z1659" t="str">
        <f t="shared" si="1038"/>
        <v>Rubro</v>
      </c>
      <c r="AA1659" t="str">
        <f t="shared" si="1039"/>
        <v>Cantidad por Bulto</v>
      </c>
      <c r="AB1659" t="str">
        <f t="shared" si="1040"/>
        <v>INNER</v>
      </c>
      <c r="AC1659" t="str">
        <f t="shared" si="1041"/>
        <v>Stock en Bultos</v>
      </c>
      <c r="AD1659" t="str">
        <f t="shared" si="1042"/>
        <v>SubDepósito</v>
      </c>
      <c r="AE1659" t="str">
        <f t="shared" si="1043"/>
        <v>Marca</v>
      </c>
      <c r="AF1659" t="str">
        <f t="shared" si="1044"/>
        <v>Super Rubro</v>
      </c>
      <c r="AG1659" t="str">
        <f t="shared" si="1045"/>
        <v>ComercioExterior</v>
      </c>
      <c r="AH1659" t="str">
        <f t="shared" si="1046"/>
        <v>PrecioFOB</v>
      </c>
      <c r="AI1659" t="str">
        <f t="shared" si="1047"/>
        <v>Monto II</v>
      </c>
      <c r="AJ1659" t="str">
        <f t="shared" si="1048"/>
        <v>Porcentaje II</v>
      </c>
      <c r="AK1659" t="str">
        <f t="shared" si="1049"/>
        <v>Foto</v>
      </c>
      <c r="AL1659" t="str">
        <f>"{\rtf1\ansi\ansicpg1252\deff0\deflang11274{\fonttbl{\f0\fnil\fcharset0 MS Sans Serif}} \viewkind4\uc1\pard\f0\fs16 CONECTOR FICHA 3 VIAS  PORTAHEMBRA SENSORES VARIOS GM\par } "</f>
        <v xml:space="preserve">{\rtf1\ansi\ansicpg1252\deff0\deflang11274{\fonttbl{\f0\fnil\fcharset0 MS Sans Serif}} \viewkind4\uc1\pard\f0\fs16 CONECTOR FICHA 3 VIAS  PORTAHEMBRA SENSORES VARIOS GM\par } </v>
      </c>
      <c r="AM1659" t="str">
        <f t="shared" si="1057"/>
        <v>-</v>
      </c>
    </row>
    <row r="1660" spans="1:39" x14ac:dyDescent="0.25">
      <c r="A1660" t="str">
        <f>"10264"</f>
        <v>10264</v>
      </c>
      <c r="B1660" t="str">
        <f>"CONECTOR FICHA 3 VIAS  PORTAMACHO SENSORES VARIOS GM"</f>
        <v>CONECTOR FICHA 3 VIAS  PORTAMACHO SENSORES VARIOS GM</v>
      </c>
      <c r="C1660" t="str">
        <f>"$ 7349,10"</f>
        <v>$ 7349,10</v>
      </c>
      <c r="D1660" t="str">
        <f>"$ 7349,10"</f>
        <v>$ 7349,10</v>
      </c>
      <c r="E1660" t="str">
        <f>"$ 7349,10"</f>
        <v>$ 7349,10</v>
      </c>
      <c r="F1660" t="str">
        <f>"$ 7349,10"</f>
        <v>$ 7349,10</v>
      </c>
      <c r="G1660" t="str">
        <f>"$ 7349,10"</f>
        <v>$ 7349,10</v>
      </c>
      <c r="H1660" t="str">
        <f t="shared" si="1030"/>
        <v>$ 0,00</v>
      </c>
      <c r="I1660" t="str">
        <f t="shared" si="1052"/>
        <v>FICHA CONECTOR</v>
      </c>
      <c r="J1660" t="str">
        <f t="shared" si="1031"/>
        <v>1</v>
      </c>
      <c r="K1660" t="str">
        <f t="shared" si="1062"/>
        <v>0</v>
      </c>
      <c r="L1660" t="str">
        <f>"0,000"</f>
        <v>0,000</v>
      </c>
      <c r="M1660" t="str">
        <f t="shared" si="1032"/>
        <v xml:space="preserve"> </v>
      </c>
      <c r="N1660" t="str">
        <f t="shared" si="1053"/>
        <v>AUTRONIC</v>
      </c>
      <c r="O1660" t="str">
        <f t="shared" si="1054"/>
        <v>CABLES</v>
      </c>
      <c r="P1660" t="str">
        <f t="shared" si="1060"/>
        <v>0</v>
      </c>
      <c r="Q1660" t="str">
        <f t="shared" si="1060"/>
        <v>0</v>
      </c>
      <c r="R1660" t="str">
        <f t="shared" si="1061"/>
        <v>0,00</v>
      </c>
      <c r="S1660" t="str">
        <f t="shared" si="1061"/>
        <v>0,00</v>
      </c>
      <c r="T1660" t="str">
        <f t="shared" si="1029"/>
        <v xml:space="preserve"> </v>
      </c>
      <c r="U1660" t="str">
        <f t="shared" si="1051"/>
        <v xml:space="preserve"> </v>
      </c>
      <c r="V1660" t="str">
        <f>"0,000"</f>
        <v>0,000</v>
      </c>
      <c r="W1660" t="str">
        <f t="shared" si="1035"/>
        <v>Lista 4</v>
      </c>
      <c r="X1660" t="str">
        <f t="shared" si="1036"/>
        <v>Lista 5</v>
      </c>
      <c r="Y1660" t="str">
        <f t="shared" si="1037"/>
        <v>Oferta Gral.</v>
      </c>
      <c r="Z1660" t="str">
        <f t="shared" si="1038"/>
        <v>Rubro</v>
      </c>
      <c r="AA1660" t="str">
        <f t="shared" si="1039"/>
        <v>Cantidad por Bulto</v>
      </c>
      <c r="AB1660" t="str">
        <f t="shared" si="1040"/>
        <v>INNER</v>
      </c>
      <c r="AC1660" t="str">
        <f t="shared" si="1041"/>
        <v>Stock en Bultos</v>
      </c>
      <c r="AD1660" t="str">
        <f t="shared" si="1042"/>
        <v>SubDepósito</v>
      </c>
      <c r="AE1660" t="str">
        <f t="shared" si="1043"/>
        <v>Marca</v>
      </c>
      <c r="AF1660" t="str">
        <f t="shared" si="1044"/>
        <v>Super Rubro</v>
      </c>
      <c r="AG1660" t="str">
        <f t="shared" si="1045"/>
        <v>ComercioExterior</v>
      </c>
      <c r="AH1660" t="str">
        <f t="shared" si="1046"/>
        <v>PrecioFOB</v>
      </c>
      <c r="AI1660" t="str">
        <f t="shared" si="1047"/>
        <v>Monto II</v>
      </c>
      <c r="AJ1660" t="str">
        <f t="shared" si="1048"/>
        <v>Porcentaje II</v>
      </c>
      <c r="AK1660" t="str">
        <f t="shared" si="1049"/>
        <v>Foto</v>
      </c>
      <c r="AL1660" t="str">
        <f>"{\rtf1\ansi\ansicpg1252\deff0\deflang11274{\fonttbl{\f0\fnil\fcharset0 MS Sans Serif}} \viewkind4\uc1\pard\f0\fs16 CONECTOR FICHA 3 VIAS  PORTAMACHO SENSORES VARIOS GM\par } "</f>
        <v xml:space="preserve">{\rtf1\ansi\ansicpg1252\deff0\deflang11274{\fonttbl{\f0\fnil\fcharset0 MS Sans Serif}} \viewkind4\uc1\pard\f0\fs16 CONECTOR FICHA 3 VIAS  PORTAMACHO SENSORES VARIOS GM\par } </v>
      </c>
      <c r="AM1660" t="str">
        <f t="shared" si="1057"/>
        <v>-</v>
      </c>
    </row>
    <row r="1661" spans="1:39" x14ac:dyDescent="0.25">
      <c r="A1661" t="str">
        <f>"10259"</f>
        <v>10259</v>
      </c>
      <c r="B1661" t="str">
        <f>"CONECTOR FICHA 3 VIAS SALIDA POSITIVO BATERIA PEUGEOT 505 405"</f>
        <v>CONECTOR FICHA 3 VIAS SALIDA POSITIVO BATERIA PEUGEOT 505 405</v>
      </c>
      <c r="C1661" t="str">
        <f>"$ 2731,75"</f>
        <v>$ 2731,75</v>
      </c>
      <c r="D1661" t="str">
        <f>"$ 2731,75"</f>
        <v>$ 2731,75</v>
      </c>
      <c r="E1661" t="str">
        <f>"$ 2731,75"</f>
        <v>$ 2731,75</v>
      </c>
      <c r="F1661" t="str">
        <f>"$ 2731,75"</f>
        <v>$ 2731,75</v>
      </c>
      <c r="G1661" t="str">
        <f>"$ 2731,75"</f>
        <v>$ 2731,75</v>
      </c>
      <c r="H1661" t="str">
        <f t="shared" si="1030"/>
        <v>$ 0,00</v>
      </c>
      <c r="I1661" t="str">
        <f t="shared" si="1052"/>
        <v>FICHA CONECTOR</v>
      </c>
      <c r="J1661" t="str">
        <f t="shared" si="1031"/>
        <v>1</v>
      </c>
      <c r="K1661" t="str">
        <f t="shared" si="1062"/>
        <v>0</v>
      </c>
      <c r="L1661" t="str">
        <f>"0,000"</f>
        <v>0,000</v>
      </c>
      <c r="M1661" t="str">
        <f t="shared" si="1032"/>
        <v xml:space="preserve"> </v>
      </c>
      <c r="N1661" t="str">
        <f t="shared" si="1053"/>
        <v>AUTRONIC</v>
      </c>
      <c r="O1661" t="str">
        <f t="shared" si="1054"/>
        <v>CABLES</v>
      </c>
      <c r="P1661" t="str">
        <f t="shared" si="1060"/>
        <v>0</v>
      </c>
      <c r="Q1661" t="str">
        <f t="shared" si="1060"/>
        <v>0</v>
      </c>
      <c r="R1661" t="str">
        <f t="shared" si="1061"/>
        <v>0,00</v>
      </c>
      <c r="S1661" t="str">
        <f t="shared" si="1061"/>
        <v>0,00</v>
      </c>
      <c r="T1661" t="str">
        <f t="shared" si="1029"/>
        <v xml:space="preserve"> </v>
      </c>
      <c r="U1661" t="str">
        <f t="shared" si="1051"/>
        <v xml:space="preserve"> </v>
      </c>
      <c r="V1661" t="str">
        <f>"0,000"</f>
        <v>0,000</v>
      </c>
      <c r="W1661" t="str">
        <f t="shared" si="1035"/>
        <v>Lista 4</v>
      </c>
      <c r="X1661" t="str">
        <f t="shared" si="1036"/>
        <v>Lista 5</v>
      </c>
      <c r="Y1661" t="str">
        <f t="shared" si="1037"/>
        <v>Oferta Gral.</v>
      </c>
      <c r="Z1661" t="str">
        <f t="shared" si="1038"/>
        <v>Rubro</v>
      </c>
      <c r="AA1661" t="str">
        <f t="shared" si="1039"/>
        <v>Cantidad por Bulto</v>
      </c>
      <c r="AB1661" t="str">
        <f t="shared" si="1040"/>
        <v>INNER</v>
      </c>
      <c r="AC1661" t="str">
        <f t="shared" si="1041"/>
        <v>Stock en Bultos</v>
      </c>
      <c r="AD1661" t="str">
        <f t="shared" si="1042"/>
        <v>SubDepósito</v>
      </c>
      <c r="AE1661" t="str">
        <f t="shared" si="1043"/>
        <v>Marca</v>
      </c>
      <c r="AF1661" t="str">
        <f t="shared" si="1044"/>
        <v>Super Rubro</v>
      </c>
      <c r="AG1661" t="str">
        <f t="shared" si="1045"/>
        <v>ComercioExterior</v>
      </c>
      <c r="AH1661" t="str">
        <f t="shared" si="1046"/>
        <v>PrecioFOB</v>
      </c>
      <c r="AI1661" t="str">
        <f t="shared" si="1047"/>
        <v>Monto II</v>
      </c>
      <c r="AJ1661" t="str">
        <f t="shared" si="1048"/>
        <v>Porcentaje II</v>
      </c>
      <c r="AK1661" t="str">
        <f t="shared" si="1049"/>
        <v>Foto</v>
      </c>
      <c r="AL1661" t="str">
        <f>"{\rtf1\ansi\ansicpg1252\deff0\deflang11274{\fonttbl{\f0\fnil\fcharset0 MS Sans Serif}} \viewkind4\uc1\pard\f0\fs16 CONECTOR FICHA 3 VIAS SALIDA POSITIVO BATERIA PEUGEOT 505 405\par } "</f>
        <v xml:space="preserve">{\rtf1\ansi\ansicpg1252\deff0\deflang11274{\fonttbl{\f0\fnil\fcharset0 MS Sans Serif}} \viewkind4\uc1\pard\f0\fs16 CONECTOR FICHA 3 VIAS SALIDA POSITIVO BATERIA PEUGEOT 505 405\par } </v>
      </c>
      <c r="AM1661" t="str">
        <f t="shared" si="1057"/>
        <v>-</v>
      </c>
    </row>
    <row r="1662" spans="1:39" x14ac:dyDescent="0.25">
      <c r="A1662" t="str">
        <f>"10210"</f>
        <v>10210</v>
      </c>
      <c r="B1662" t="str">
        <f>"CONECTOR FICHA 3 VÍAS - LLAVE CONTACTO - FIAT"</f>
        <v>CONECTOR FICHA 3 VÍAS - LLAVE CONTACTO - FIAT</v>
      </c>
      <c r="C1662" t="str">
        <f>"$ 1937,49"</f>
        <v>$ 1937,49</v>
      </c>
      <c r="D1662" t="str">
        <f>"$ 1937,49"</f>
        <v>$ 1937,49</v>
      </c>
      <c r="E1662" t="str">
        <f>"$ 1937,49"</f>
        <v>$ 1937,49</v>
      </c>
      <c r="F1662" t="str">
        <f>"$ 1937,49"</f>
        <v>$ 1937,49</v>
      </c>
      <c r="G1662" t="str">
        <f>"$ 1937,49"</f>
        <v>$ 1937,49</v>
      </c>
      <c r="H1662" t="str">
        <f t="shared" si="1030"/>
        <v>$ 0,00</v>
      </c>
      <c r="I1662" t="str">
        <f t="shared" si="1052"/>
        <v>FICHA CONECTOR</v>
      </c>
      <c r="J1662" t="str">
        <f t="shared" si="1031"/>
        <v>1</v>
      </c>
      <c r="K1662" t="str">
        <f t="shared" si="1062"/>
        <v>0</v>
      </c>
      <c r="L1662" t="str">
        <f>"6,000"</f>
        <v>6,000</v>
      </c>
      <c r="M1662" t="str">
        <f t="shared" si="1032"/>
        <v xml:space="preserve"> </v>
      </c>
      <c r="N1662" t="str">
        <f t="shared" si="1053"/>
        <v>AUTRONIC</v>
      </c>
      <c r="O1662" t="str">
        <f t="shared" si="1054"/>
        <v>CABLES</v>
      </c>
      <c r="P1662" t="str">
        <f t="shared" si="1060"/>
        <v>0</v>
      </c>
      <c r="Q1662" t="str">
        <f t="shared" si="1060"/>
        <v>0</v>
      </c>
      <c r="R1662" t="str">
        <f t="shared" si="1061"/>
        <v>0,00</v>
      </c>
      <c r="S1662" t="str">
        <f t="shared" si="1061"/>
        <v>0,00</v>
      </c>
      <c r="T1662" t="str">
        <f t="shared" si="1029"/>
        <v xml:space="preserve"> </v>
      </c>
      <c r="U1662" t="str">
        <f t="shared" si="1051"/>
        <v xml:space="preserve"> </v>
      </c>
      <c r="V1662" t="str">
        <f>"6,000"</f>
        <v>6,000</v>
      </c>
      <c r="W1662" t="str">
        <f t="shared" si="1035"/>
        <v>Lista 4</v>
      </c>
      <c r="X1662" t="str">
        <f t="shared" si="1036"/>
        <v>Lista 5</v>
      </c>
      <c r="Y1662" t="str">
        <f t="shared" si="1037"/>
        <v>Oferta Gral.</v>
      </c>
      <c r="Z1662" t="str">
        <f t="shared" si="1038"/>
        <v>Rubro</v>
      </c>
      <c r="AA1662" t="str">
        <f t="shared" si="1039"/>
        <v>Cantidad por Bulto</v>
      </c>
      <c r="AB1662" t="str">
        <f t="shared" si="1040"/>
        <v>INNER</v>
      </c>
      <c r="AC1662" t="str">
        <f t="shared" si="1041"/>
        <v>Stock en Bultos</v>
      </c>
      <c r="AD1662" t="str">
        <f t="shared" si="1042"/>
        <v>SubDepósito</v>
      </c>
      <c r="AE1662" t="str">
        <f t="shared" si="1043"/>
        <v>Marca</v>
      </c>
      <c r="AF1662" t="str">
        <f t="shared" si="1044"/>
        <v>Super Rubro</v>
      </c>
      <c r="AG1662" t="str">
        <f t="shared" si="1045"/>
        <v>ComercioExterior</v>
      </c>
      <c r="AH1662" t="str">
        <f t="shared" si="1046"/>
        <v>PrecioFOB</v>
      </c>
      <c r="AI1662" t="str">
        <f t="shared" si="1047"/>
        <v>Monto II</v>
      </c>
      <c r="AJ1662" t="str">
        <f t="shared" si="1048"/>
        <v>Porcentaje II</v>
      </c>
      <c r="AK1662" t="str">
        <f t="shared" si="1049"/>
        <v>Foto</v>
      </c>
      <c r="AL1662" t="str">
        <f>"{\rtf1\ansi\ansicpg1252\deff0\deflang11274{\fonttbl{\f0\fnil\fcharset0 MS Sans Serif}} \viewkind4\uc1\pard\f0\fs16 CONECTOR FICHA 3 V\'cdAS - LLAVE CONTACTO - FIAT\par } "</f>
        <v xml:space="preserve">{\rtf1\ansi\ansicpg1252\deff0\deflang11274{\fonttbl{\f0\fnil\fcharset0 MS Sans Serif}} \viewkind4\uc1\pard\f0\fs16 CONECTOR FICHA 3 V\'cdAS - LLAVE CONTACTO - FIAT\par } </v>
      </c>
      <c r="AM1662" t="str">
        <f t="shared" ref="AM1662:AM1688" si="1063">"-"</f>
        <v>-</v>
      </c>
    </row>
    <row r="1663" spans="1:39" x14ac:dyDescent="0.25">
      <c r="A1663" t="str">
        <f>"10209"</f>
        <v>10209</v>
      </c>
      <c r="B1663" t="str">
        <f>"CONECTOR FICHA 3 VÍAS - TPDS - SENSOR MARIPOSA - MARELLI"</f>
        <v>CONECTOR FICHA 3 VÍAS - TPDS - SENSOR MARIPOSA - MARELLI</v>
      </c>
      <c r="C1663" t="str">
        <f>"$ 3434,03"</f>
        <v>$ 3434,03</v>
      </c>
      <c r="D1663" t="str">
        <f>"$ 3434,03"</f>
        <v>$ 3434,03</v>
      </c>
      <c r="E1663" t="str">
        <f>"$ 3434,03"</f>
        <v>$ 3434,03</v>
      </c>
      <c r="F1663" t="str">
        <f>"$ 3434,03"</f>
        <v>$ 3434,03</v>
      </c>
      <c r="G1663" t="str">
        <f>"$ 3434,03"</f>
        <v>$ 3434,03</v>
      </c>
      <c r="H1663" t="str">
        <f t="shared" si="1030"/>
        <v>$ 0,00</v>
      </c>
      <c r="I1663" t="str">
        <f t="shared" si="1052"/>
        <v>FICHA CONECTOR</v>
      </c>
      <c r="J1663" t="str">
        <f t="shared" si="1031"/>
        <v>1</v>
      </c>
      <c r="K1663" t="str">
        <f t="shared" si="1062"/>
        <v>0</v>
      </c>
      <c r="L1663" t="str">
        <f>"0,000"</f>
        <v>0,000</v>
      </c>
      <c r="M1663" t="str">
        <f t="shared" si="1032"/>
        <v xml:space="preserve"> </v>
      </c>
      <c r="N1663" t="str">
        <f t="shared" si="1053"/>
        <v>AUTRONIC</v>
      </c>
      <c r="O1663" t="str">
        <f t="shared" si="1054"/>
        <v>CABLES</v>
      </c>
      <c r="P1663" t="str">
        <f t="shared" ref="P1663:Q1682" si="1064">"0"</f>
        <v>0</v>
      </c>
      <c r="Q1663" t="str">
        <f t="shared" si="1064"/>
        <v>0</v>
      </c>
      <c r="R1663" t="str">
        <f t="shared" ref="R1663:S1682" si="1065">"0,00"</f>
        <v>0,00</v>
      </c>
      <c r="S1663" t="str">
        <f t="shared" si="1065"/>
        <v>0,00</v>
      </c>
      <c r="T1663" t="str">
        <f t="shared" si="1029"/>
        <v xml:space="preserve"> </v>
      </c>
      <c r="U1663" t="str">
        <f t="shared" si="1051"/>
        <v xml:space="preserve"> </v>
      </c>
      <c r="V1663" t="str">
        <f>"0,000"</f>
        <v>0,000</v>
      </c>
      <c r="W1663" t="str">
        <f t="shared" si="1035"/>
        <v>Lista 4</v>
      </c>
      <c r="X1663" t="str">
        <f t="shared" si="1036"/>
        <v>Lista 5</v>
      </c>
      <c r="Y1663" t="str">
        <f t="shared" si="1037"/>
        <v>Oferta Gral.</v>
      </c>
      <c r="Z1663" t="str">
        <f t="shared" si="1038"/>
        <v>Rubro</v>
      </c>
      <c r="AA1663" t="str">
        <f t="shared" si="1039"/>
        <v>Cantidad por Bulto</v>
      </c>
      <c r="AB1663" t="str">
        <f t="shared" si="1040"/>
        <v>INNER</v>
      </c>
      <c r="AC1663" t="str">
        <f t="shared" si="1041"/>
        <v>Stock en Bultos</v>
      </c>
      <c r="AD1663" t="str">
        <f t="shared" si="1042"/>
        <v>SubDepósito</v>
      </c>
      <c r="AE1663" t="str">
        <f t="shared" si="1043"/>
        <v>Marca</v>
      </c>
      <c r="AF1663" t="str">
        <f t="shared" si="1044"/>
        <v>Super Rubro</v>
      </c>
      <c r="AG1663" t="str">
        <f t="shared" si="1045"/>
        <v>ComercioExterior</v>
      </c>
      <c r="AH1663" t="str">
        <f t="shared" si="1046"/>
        <v>PrecioFOB</v>
      </c>
      <c r="AI1663" t="str">
        <f t="shared" si="1047"/>
        <v>Monto II</v>
      </c>
      <c r="AJ1663" t="str">
        <f t="shared" si="1048"/>
        <v>Porcentaje II</v>
      </c>
      <c r="AK1663" t="str">
        <f t="shared" si="1049"/>
        <v>Foto</v>
      </c>
      <c r="AL1663" t="str">
        <f>"{\rtf1\ansi\ansicpg1252\deff0\deflang11274{\fonttbl{\f0\fnil\fcharset0 MS Sans Serif}} \viewkind4\uc1\pard\f0\fs16 CONECTOR FICHA 3 V\'cdAS - TPDS - SENSOR MARIPOSA - MARELLI\par } "</f>
        <v xml:space="preserve">{\rtf1\ansi\ansicpg1252\deff0\deflang11274{\fonttbl{\f0\fnil\fcharset0 MS Sans Serif}} \viewkind4\uc1\pard\f0\fs16 CONECTOR FICHA 3 V\'cdAS - TPDS - SENSOR MARIPOSA - MARELLI\par } </v>
      </c>
      <c r="AM1663" t="str">
        <f t="shared" si="1063"/>
        <v>-</v>
      </c>
    </row>
    <row r="1664" spans="1:39" x14ac:dyDescent="0.25">
      <c r="A1664" t="str">
        <f>"10214"</f>
        <v>10214</v>
      </c>
      <c r="B1664" t="str">
        <f>"CONECTOR FICHA 3 VÍAS AZUL - BULBO ELECTROV. PEUGEOT - CITROEN"</f>
        <v>CONECTOR FICHA 3 VÍAS AZUL - BULBO ELECTROV. PEUGEOT - CITROEN</v>
      </c>
      <c r="C1664" t="str">
        <f>"$ 3273,69"</f>
        <v>$ 3273,69</v>
      </c>
      <c r="D1664" t="str">
        <f>"$ 3273,69"</f>
        <v>$ 3273,69</v>
      </c>
      <c r="E1664" t="str">
        <f>"$ 3273,69"</f>
        <v>$ 3273,69</v>
      </c>
      <c r="F1664" t="str">
        <f>"$ 3273,69"</f>
        <v>$ 3273,69</v>
      </c>
      <c r="G1664" t="str">
        <f>"$ 3273,69"</f>
        <v>$ 3273,69</v>
      </c>
      <c r="H1664" t="str">
        <f t="shared" si="1030"/>
        <v>$ 0,00</v>
      </c>
      <c r="I1664" t="str">
        <f t="shared" si="1052"/>
        <v>FICHA CONECTOR</v>
      </c>
      <c r="J1664" t="str">
        <f t="shared" si="1031"/>
        <v>1</v>
      </c>
      <c r="K1664" t="str">
        <f t="shared" si="1062"/>
        <v>0</v>
      </c>
      <c r="L1664" t="str">
        <f>"10,000"</f>
        <v>10,000</v>
      </c>
      <c r="M1664" t="str">
        <f t="shared" si="1032"/>
        <v xml:space="preserve"> </v>
      </c>
      <c r="N1664" t="str">
        <f t="shared" si="1053"/>
        <v>AUTRONIC</v>
      </c>
      <c r="O1664" t="str">
        <f t="shared" si="1054"/>
        <v>CABLES</v>
      </c>
      <c r="P1664" t="str">
        <f t="shared" si="1064"/>
        <v>0</v>
      </c>
      <c r="Q1664" t="str">
        <f t="shared" si="1064"/>
        <v>0</v>
      </c>
      <c r="R1664" t="str">
        <f t="shared" si="1065"/>
        <v>0,00</v>
      </c>
      <c r="S1664" t="str">
        <f t="shared" si="1065"/>
        <v>0,00</v>
      </c>
      <c r="T1664" t="str">
        <f t="shared" ref="T1664:T1727" si="1066">" "</f>
        <v xml:space="preserve"> </v>
      </c>
      <c r="U1664" t="str">
        <f t="shared" si="1051"/>
        <v xml:space="preserve"> </v>
      </c>
      <c r="V1664" t="str">
        <f>"10,000"</f>
        <v>10,000</v>
      </c>
      <c r="W1664" t="str">
        <f t="shared" si="1035"/>
        <v>Lista 4</v>
      </c>
      <c r="X1664" t="str">
        <f t="shared" si="1036"/>
        <v>Lista 5</v>
      </c>
      <c r="Y1664" t="str">
        <f t="shared" si="1037"/>
        <v>Oferta Gral.</v>
      </c>
      <c r="Z1664" t="str">
        <f t="shared" si="1038"/>
        <v>Rubro</v>
      </c>
      <c r="AA1664" t="str">
        <f t="shared" si="1039"/>
        <v>Cantidad por Bulto</v>
      </c>
      <c r="AB1664" t="str">
        <f t="shared" si="1040"/>
        <v>INNER</v>
      </c>
      <c r="AC1664" t="str">
        <f t="shared" si="1041"/>
        <v>Stock en Bultos</v>
      </c>
      <c r="AD1664" t="str">
        <f t="shared" si="1042"/>
        <v>SubDepósito</v>
      </c>
      <c r="AE1664" t="str">
        <f t="shared" si="1043"/>
        <v>Marca</v>
      </c>
      <c r="AF1664" t="str">
        <f t="shared" si="1044"/>
        <v>Super Rubro</v>
      </c>
      <c r="AG1664" t="str">
        <f t="shared" si="1045"/>
        <v>ComercioExterior</v>
      </c>
      <c r="AH1664" t="str">
        <f t="shared" si="1046"/>
        <v>PrecioFOB</v>
      </c>
      <c r="AI1664" t="str">
        <f t="shared" si="1047"/>
        <v>Monto II</v>
      </c>
      <c r="AJ1664" t="str">
        <f t="shared" si="1048"/>
        <v>Porcentaje II</v>
      </c>
      <c r="AK1664" t="str">
        <f t="shared" si="1049"/>
        <v>Foto</v>
      </c>
      <c r="AL1664" t="str">
        <f>"{\rtf1\ansi\ansicpg1252\deff0\deflang11274{\fonttbl{\f0\fnil\fcharset0 MS Sans Serif}} \viewkind4\uc1\pard\f0\fs16 CONECTOR FICHA 3 V\'cdAS AZUL - BULBO ELECTROV. PEUGEOT - CITROEN\par } "</f>
        <v xml:space="preserve">{\rtf1\ansi\ansicpg1252\deff0\deflang11274{\fonttbl{\f0\fnil\fcharset0 MS Sans Serif}} \viewkind4\uc1\pard\f0\fs16 CONECTOR FICHA 3 V\'cdAS AZUL - BULBO ELECTROV. PEUGEOT - CITROEN\par } </v>
      </c>
      <c r="AM1664" t="str">
        <f t="shared" si="1063"/>
        <v>-</v>
      </c>
    </row>
    <row r="1665" spans="1:39" x14ac:dyDescent="0.25">
      <c r="A1665" t="str">
        <f>"10235"</f>
        <v>10235</v>
      </c>
      <c r="B1665" t="str">
        <f>"CONECTOR FICHA 4 VIAS  FARO DEL. FIAT PALIO SIENA  M/N  PASO-PASO BOSCH"</f>
        <v>CONECTOR FICHA 4 VIAS  FARO DEL. FIAT PALIO SIENA  M/N  PASO-PASO BOSCH</v>
      </c>
      <c r="C1665" t="str">
        <f>"$ 4275,84"</f>
        <v>$ 4275,84</v>
      </c>
      <c r="D1665" t="str">
        <f>"$ 4275,84"</f>
        <v>$ 4275,84</v>
      </c>
      <c r="E1665" t="str">
        <f>"$ 4275,84"</f>
        <v>$ 4275,84</v>
      </c>
      <c r="F1665" t="str">
        <f>"$ 4275,84"</f>
        <v>$ 4275,84</v>
      </c>
      <c r="G1665" t="str">
        <f>"$ 4275,84"</f>
        <v>$ 4275,84</v>
      </c>
      <c r="H1665" t="str">
        <f t="shared" si="1030"/>
        <v>$ 0,00</v>
      </c>
      <c r="I1665" t="str">
        <f t="shared" si="1052"/>
        <v>FICHA CONECTOR</v>
      </c>
      <c r="J1665" t="str">
        <f t="shared" si="1031"/>
        <v>1</v>
      </c>
      <c r="K1665" t="str">
        <f t="shared" si="1062"/>
        <v>0</v>
      </c>
      <c r="L1665" t="str">
        <f>"0,000"</f>
        <v>0,000</v>
      </c>
      <c r="M1665" t="str">
        <f t="shared" si="1032"/>
        <v xml:space="preserve"> </v>
      </c>
      <c r="N1665" t="str">
        <f t="shared" si="1053"/>
        <v>AUTRONIC</v>
      </c>
      <c r="O1665" t="str">
        <f t="shared" si="1054"/>
        <v>CABLES</v>
      </c>
      <c r="P1665" t="str">
        <f t="shared" si="1064"/>
        <v>0</v>
      </c>
      <c r="Q1665" t="str">
        <f t="shared" si="1064"/>
        <v>0</v>
      </c>
      <c r="R1665" t="str">
        <f t="shared" si="1065"/>
        <v>0,00</v>
      </c>
      <c r="S1665" t="str">
        <f t="shared" si="1065"/>
        <v>0,00</v>
      </c>
      <c r="T1665" t="str">
        <f t="shared" si="1066"/>
        <v xml:space="preserve"> </v>
      </c>
      <c r="U1665" t="str">
        <f t="shared" si="1051"/>
        <v xml:space="preserve"> </v>
      </c>
      <c r="V1665" t="str">
        <f>"0,000"</f>
        <v>0,000</v>
      </c>
      <c r="W1665" t="str">
        <f t="shared" si="1035"/>
        <v>Lista 4</v>
      </c>
      <c r="X1665" t="str">
        <f t="shared" si="1036"/>
        <v>Lista 5</v>
      </c>
      <c r="Y1665" t="str">
        <f t="shared" si="1037"/>
        <v>Oferta Gral.</v>
      </c>
      <c r="Z1665" t="str">
        <f t="shared" si="1038"/>
        <v>Rubro</v>
      </c>
      <c r="AA1665" t="str">
        <f t="shared" si="1039"/>
        <v>Cantidad por Bulto</v>
      </c>
      <c r="AB1665" t="str">
        <f t="shared" si="1040"/>
        <v>INNER</v>
      </c>
      <c r="AC1665" t="str">
        <f t="shared" si="1041"/>
        <v>Stock en Bultos</v>
      </c>
      <c r="AD1665" t="str">
        <f t="shared" si="1042"/>
        <v>SubDepósito</v>
      </c>
      <c r="AE1665" t="str">
        <f t="shared" si="1043"/>
        <v>Marca</v>
      </c>
      <c r="AF1665" t="str">
        <f t="shared" si="1044"/>
        <v>Super Rubro</v>
      </c>
      <c r="AG1665" t="str">
        <f t="shared" si="1045"/>
        <v>ComercioExterior</v>
      </c>
      <c r="AH1665" t="str">
        <f t="shared" si="1046"/>
        <v>PrecioFOB</v>
      </c>
      <c r="AI1665" t="str">
        <f t="shared" si="1047"/>
        <v>Monto II</v>
      </c>
      <c r="AJ1665" t="str">
        <f t="shared" si="1048"/>
        <v>Porcentaje II</v>
      </c>
      <c r="AK1665" t="str">
        <f t="shared" si="1049"/>
        <v>Foto</v>
      </c>
      <c r="AL1665" t="str">
        <f>"{\rtf1\ansi\ansicpg1252\deff0\deflang11274{\fonttbl{\f0\fnil\fcharset0 MS Sans Serif}} \viewkind4\uc1\pard\f0\fs16 CONECTOR FICHA 4 VIAS  FARO DEL. FIAT PALIO SIENA  M/N  PASO-PASO BOSCH\par } "</f>
        <v xml:space="preserve">{\rtf1\ansi\ansicpg1252\deff0\deflang11274{\fonttbl{\f0\fnil\fcharset0 MS Sans Serif}} \viewkind4\uc1\pard\f0\fs16 CONECTOR FICHA 4 VIAS  FARO DEL. FIAT PALIO SIENA  M/N  PASO-PASO BOSCH\par } </v>
      </c>
      <c r="AM1665" t="str">
        <f t="shared" si="1063"/>
        <v>-</v>
      </c>
    </row>
    <row r="1666" spans="1:39" x14ac:dyDescent="0.25">
      <c r="A1666" t="str">
        <f>"10250"</f>
        <v>10250</v>
      </c>
      <c r="B1666" t="str">
        <f>"CONECTOR FICHA 4 VIAS CONEXIÓN LLAVE CONTACTO RENAULT"</f>
        <v>CONECTOR FICHA 4 VIAS CONEXIÓN LLAVE CONTACTO RENAULT</v>
      </c>
      <c r="C1666" t="str">
        <f>"$ 3444,38"</f>
        <v>$ 3444,38</v>
      </c>
      <c r="D1666" t="str">
        <f>"$ 3444,38"</f>
        <v>$ 3444,38</v>
      </c>
      <c r="E1666" t="str">
        <f>"$ 3444,38"</f>
        <v>$ 3444,38</v>
      </c>
      <c r="F1666" t="str">
        <f>"$ 3444,38"</f>
        <v>$ 3444,38</v>
      </c>
      <c r="G1666" t="str">
        <f>"$ 3444,38"</f>
        <v>$ 3444,38</v>
      </c>
      <c r="H1666" t="str">
        <f t="shared" si="1030"/>
        <v>$ 0,00</v>
      </c>
      <c r="I1666" t="str">
        <f t="shared" si="1052"/>
        <v>FICHA CONECTOR</v>
      </c>
      <c r="J1666" t="str">
        <f t="shared" si="1031"/>
        <v>1</v>
      </c>
      <c r="K1666" t="str">
        <f t="shared" si="1062"/>
        <v>0</v>
      </c>
      <c r="L1666" t="str">
        <f>"0,000"</f>
        <v>0,000</v>
      </c>
      <c r="M1666" t="str">
        <f t="shared" si="1032"/>
        <v xml:space="preserve"> </v>
      </c>
      <c r="N1666" t="str">
        <f t="shared" si="1053"/>
        <v>AUTRONIC</v>
      </c>
      <c r="O1666" t="str">
        <f t="shared" si="1054"/>
        <v>CABLES</v>
      </c>
      <c r="P1666" t="str">
        <f t="shared" si="1064"/>
        <v>0</v>
      </c>
      <c r="Q1666" t="str">
        <f t="shared" si="1064"/>
        <v>0</v>
      </c>
      <c r="R1666" t="str">
        <f t="shared" si="1065"/>
        <v>0,00</v>
      </c>
      <c r="S1666" t="str">
        <f t="shared" si="1065"/>
        <v>0,00</v>
      </c>
      <c r="T1666" t="str">
        <f t="shared" si="1066"/>
        <v xml:space="preserve"> </v>
      </c>
      <c r="U1666" t="str">
        <f t="shared" si="1051"/>
        <v xml:space="preserve"> </v>
      </c>
      <c r="V1666" t="str">
        <f>"0,000"</f>
        <v>0,000</v>
      </c>
      <c r="W1666" t="str">
        <f t="shared" si="1035"/>
        <v>Lista 4</v>
      </c>
      <c r="X1666" t="str">
        <f t="shared" si="1036"/>
        <v>Lista 5</v>
      </c>
      <c r="Y1666" t="str">
        <f t="shared" si="1037"/>
        <v>Oferta Gral.</v>
      </c>
      <c r="Z1666" t="str">
        <f t="shared" si="1038"/>
        <v>Rubro</v>
      </c>
      <c r="AA1666" t="str">
        <f t="shared" si="1039"/>
        <v>Cantidad por Bulto</v>
      </c>
      <c r="AB1666" t="str">
        <f t="shared" si="1040"/>
        <v>INNER</v>
      </c>
      <c r="AC1666" t="str">
        <f t="shared" si="1041"/>
        <v>Stock en Bultos</v>
      </c>
      <c r="AD1666" t="str">
        <f t="shared" si="1042"/>
        <v>SubDepósito</v>
      </c>
      <c r="AE1666" t="str">
        <f t="shared" si="1043"/>
        <v>Marca</v>
      </c>
      <c r="AF1666" t="str">
        <f t="shared" si="1044"/>
        <v>Super Rubro</v>
      </c>
      <c r="AG1666" t="str">
        <f t="shared" si="1045"/>
        <v>ComercioExterior</v>
      </c>
      <c r="AH1666" t="str">
        <f t="shared" si="1046"/>
        <v>PrecioFOB</v>
      </c>
      <c r="AI1666" t="str">
        <f t="shared" si="1047"/>
        <v>Monto II</v>
      </c>
      <c r="AJ1666" t="str">
        <f t="shared" si="1048"/>
        <v>Porcentaje II</v>
      </c>
      <c r="AK1666" t="str">
        <f t="shared" si="1049"/>
        <v>Foto</v>
      </c>
      <c r="AL1666" t="str">
        <f>"{\rtf1\ansi\ansicpg1252\deff0\deflang11274{\fonttbl{\f0\fnil\fcharset0 MS Sans Serif}} \viewkind4\uc1\pard\f0\fs16 CONECTOR FICHA 4 VIAS CONEXI\'d3N LLAVE CONTACTO RENAULT\par } "</f>
        <v xml:space="preserve">{\rtf1\ansi\ansicpg1252\deff0\deflang11274{\fonttbl{\f0\fnil\fcharset0 MS Sans Serif}} \viewkind4\uc1\pard\f0\fs16 CONECTOR FICHA 4 VIAS CONEXI\'d3N LLAVE CONTACTO RENAULT\par } </v>
      </c>
      <c r="AM1666" t="str">
        <f t="shared" si="1063"/>
        <v>-</v>
      </c>
    </row>
    <row r="1667" spans="1:39" x14ac:dyDescent="0.25">
      <c r="A1667" t="str">
        <f>"10254"</f>
        <v>10254</v>
      </c>
      <c r="B1667" t="str">
        <f>"CONECTOR FICHA 4 VIAS FARO DEL. IZQ. VW CADDY-POLO"</f>
        <v>CONECTOR FICHA 4 VIAS FARO DEL. IZQ. VW CADDY-POLO</v>
      </c>
      <c r="C1667" t="str">
        <f>"$ 5277,99"</f>
        <v>$ 5277,99</v>
      </c>
      <c r="D1667" t="str">
        <f>"$ 5277,99"</f>
        <v>$ 5277,99</v>
      </c>
      <c r="E1667" t="str">
        <f>"$ 5277,99"</f>
        <v>$ 5277,99</v>
      </c>
      <c r="F1667" t="str">
        <f>"$ 5277,99"</f>
        <v>$ 5277,99</v>
      </c>
      <c r="G1667" t="str">
        <f>"$ 5277,99"</f>
        <v>$ 5277,99</v>
      </c>
      <c r="H1667" t="str">
        <f t="shared" ref="H1667:H1730" si="1067">"$ 0,00"</f>
        <v>$ 0,00</v>
      </c>
      <c r="I1667" t="str">
        <f t="shared" si="1052"/>
        <v>FICHA CONECTOR</v>
      </c>
      <c r="J1667" t="str">
        <f t="shared" ref="J1667:J1730" si="1068">"1"</f>
        <v>1</v>
      </c>
      <c r="K1667" t="str">
        <f t="shared" si="1062"/>
        <v>0</v>
      </c>
      <c r="L1667" t="str">
        <f>"0,000"</f>
        <v>0,000</v>
      </c>
      <c r="M1667" t="str">
        <f t="shared" ref="M1667:M1730" si="1069">" "</f>
        <v xml:space="preserve"> </v>
      </c>
      <c r="N1667" t="str">
        <f t="shared" si="1053"/>
        <v>AUTRONIC</v>
      </c>
      <c r="O1667" t="str">
        <f t="shared" si="1054"/>
        <v>CABLES</v>
      </c>
      <c r="P1667" t="str">
        <f t="shared" si="1064"/>
        <v>0</v>
      </c>
      <c r="Q1667" t="str">
        <f t="shared" si="1064"/>
        <v>0</v>
      </c>
      <c r="R1667" t="str">
        <f t="shared" si="1065"/>
        <v>0,00</v>
      </c>
      <c r="S1667" t="str">
        <f t="shared" si="1065"/>
        <v>0,00</v>
      </c>
      <c r="T1667" t="str">
        <f t="shared" si="1066"/>
        <v xml:space="preserve"> </v>
      </c>
      <c r="U1667" t="str">
        <f t="shared" si="1051"/>
        <v xml:space="preserve"> </v>
      </c>
      <c r="V1667" t="str">
        <f>"0,000"</f>
        <v>0,000</v>
      </c>
      <c r="W1667" t="str">
        <f t="shared" ref="W1667:W1730" si="1070">"Lista 4"</f>
        <v>Lista 4</v>
      </c>
      <c r="X1667" t="str">
        <f t="shared" ref="X1667:X1730" si="1071">"Lista 5"</f>
        <v>Lista 5</v>
      </c>
      <c r="Y1667" t="str">
        <f t="shared" ref="Y1667:Y1730" si="1072">"Oferta Gral."</f>
        <v>Oferta Gral.</v>
      </c>
      <c r="Z1667" t="str">
        <f t="shared" ref="Z1667:Z1730" si="1073">"Rubro"</f>
        <v>Rubro</v>
      </c>
      <c r="AA1667" t="str">
        <f t="shared" ref="AA1667:AA1730" si="1074">"Cantidad por Bulto"</f>
        <v>Cantidad por Bulto</v>
      </c>
      <c r="AB1667" t="str">
        <f t="shared" ref="AB1667:AB1730" si="1075">"INNER"</f>
        <v>INNER</v>
      </c>
      <c r="AC1667" t="str">
        <f t="shared" ref="AC1667:AC1730" si="1076">"Stock en Bultos"</f>
        <v>Stock en Bultos</v>
      </c>
      <c r="AD1667" t="str">
        <f t="shared" ref="AD1667:AD1730" si="1077">"SubDepósito"</f>
        <v>SubDepósito</v>
      </c>
      <c r="AE1667" t="str">
        <f t="shared" ref="AE1667:AE1730" si="1078">"Marca"</f>
        <v>Marca</v>
      </c>
      <c r="AF1667" t="str">
        <f t="shared" ref="AF1667:AF1730" si="1079">"Super Rubro"</f>
        <v>Super Rubro</v>
      </c>
      <c r="AG1667" t="str">
        <f t="shared" ref="AG1667:AG1730" si="1080">"ComercioExterior"</f>
        <v>ComercioExterior</v>
      </c>
      <c r="AH1667" t="str">
        <f t="shared" ref="AH1667:AH1730" si="1081">"PrecioFOB"</f>
        <v>PrecioFOB</v>
      </c>
      <c r="AI1667" t="str">
        <f t="shared" ref="AI1667:AI1730" si="1082">"Monto II"</f>
        <v>Monto II</v>
      </c>
      <c r="AJ1667" t="str">
        <f t="shared" ref="AJ1667:AJ1730" si="1083">"Porcentaje II"</f>
        <v>Porcentaje II</v>
      </c>
      <c r="AK1667" t="str">
        <f t="shared" ref="AK1667:AK1730" si="1084">"Foto"</f>
        <v>Foto</v>
      </c>
      <c r="AL1667" t="str">
        <f>"{\rtf1\ansi\ansicpg1252\deff0\deflang11274{\fonttbl{\f0\fnil\fcharset0 MS Sans Serif}} \viewkind4\uc1\pard\f0\fs16 CONECTOR FICHA 4 VIAS FARO DEL. IZQ. VW CADDY-POLO\par } "</f>
        <v xml:space="preserve">{\rtf1\ansi\ansicpg1252\deff0\deflang11274{\fonttbl{\f0\fnil\fcharset0 MS Sans Serif}} \viewkind4\uc1\pard\f0\fs16 CONECTOR FICHA 4 VIAS FARO DEL. IZQ. VW CADDY-POLO\par } </v>
      </c>
      <c r="AM1667" t="str">
        <f t="shared" si="1063"/>
        <v>-</v>
      </c>
    </row>
    <row r="1668" spans="1:39" x14ac:dyDescent="0.25">
      <c r="A1668" t="str">
        <f>"10249"</f>
        <v>10249</v>
      </c>
      <c r="B1668" t="str">
        <f>"CONECTOR FICHA 4 VIAS FIAT DUNA INSTRUMENTAL HPM"</f>
        <v>CONECTOR FICHA 4 VIAS FIAT DUNA INSTRUMENTAL HPM</v>
      </c>
      <c r="C1668" t="str">
        <f t="shared" ref="C1668:G1669" si="1085">"$ 2391,80"</f>
        <v>$ 2391,80</v>
      </c>
      <c r="D1668" t="str">
        <f t="shared" si="1085"/>
        <v>$ 2391,80</v>
      </c>
      <c r="E1668" t="str">
        <f t="shared" si="1085"/>
        <v>$ 2391,80</v>
      </c>
      <c r="F1668" t="str">
        <f t="shared" si="1085"/>
        <v>$ 2391,80</v>
      </c>
      <c r="G1668" t="str">
        <f t="shared" si="1085"/>
        <v>$ 2391,80</v>
      </c>
      <c r="H1668" t="str">
        <f t="shared" si="1067"/>
        <v>$ 0,00</v>
      </c>
      <c r="I1668" t="str">
        <f t="shared" si="1052"/>
        <v>FICHA CONECTOR</v>
      </c>
      <c r="J1668" t="str">
        <f t="shared" si="1068"/>
        <v>1</v>
      </c>
      <c r="K1668" t="str">
        <f t="shared" si="1062"/>
        <v>0</v>
      </c>
      <c r="L1668" t="str">
        <f>"8,000"</f>
        <v>8,000</v>
      </c>
      <c r="M1668" t="str">
        <f t="shared" si="1069"/>
        <v xml:space="preserve"> </v>
      </c>
      <c r="N1668" t="str">
        <f t="shared" si="1053"/>
        <v>AUTRONIC</v>
      </c>
      <c r="O1668" t="str">
        <f t="shared" si="1054"/>
        <v>CABLES</v>
      </c>
      <c r="P1668" t="str">
        <f t="shared" si="1064"/>
        <v>0</v>
      </c>
      <c r="Q1668" t="str">
        <f t="shared" si="1064"/>
        <v>0</v>
      </c>
      <c r="R1668" t="str">
        <f t="shared" si="1065"/>
        <v>0,00</v>
      </c>
      <c r="S1668" t="str">
        <f t="shared" si="1065"/>
        <v>0,00</v>
      </c>
      <c r="T1668" t="str">
        <f t="shared" si="1066"/>
        <v xml:space="preserve"> </v>
      </c>
      <c r="U1668" t="str">
        <f t="shared" si="1051"/>
        <v xml:space="preserve"> </v>
      </c>
      <c r="V1668" t="str">
        <f>"8,000"</f>
        <v>8,000</v>
      </c>
      <c r="W1668" t="str">
        <f t="shared" si="1070"/>
        <v>Lista 4</v>
      </c>
      <c r="X1668" t="str">
        <f t="shared" si="1071"/>
        <v>Lista 5</v>
      </c>
      <c r="Y1668" t="str">
        <f t="shared" si="1072"/>
        <v>Oferta Gral.</v>
      </c>
      <c r="Z1668" t="str">
        <f t="shared" si="1073"/>
        <v>Rubro</v>
      </c>
      <c r="AA1668" t="str">
        <f t="shared" si="1074"/>
        <v>Cantidad por Bulto</v>
      </c>
      <c r="AB1668" t="str">
        <f t="shared" si="1075"/>
        <v>INNER</v>
      </c>
      <c r="AC1668" t="str">
        <f t="shared" si="1076"/>
        <v>Stock en Bultos</v>
      </c>
      <c r="AD1668" t="str">
        <f t="shared" si="1077"/>
        <v>SubDepósito</v>
      </c>
      <c r="AE1668" t="str">
        <f t="shared" si="1078"/>
        <v>Marca</v>
      </c>
      <c r="AF1668" t="str">
        <f t="shared" si="1079"/>
        <v>Super Rubro</v>
      </c>
      <c r="AG1668" t="str">
        <f t="shared" si="1080"/>
        <v>ComercioExterior</v>
      </c>
      <c r="AH1668" t="str">
        <f t="shared" si="1081"/>
        <v>PrecioFOB</v>
      </c>
      <c r="AI1668" t="str">
        <f t="shared" si="1082"/>
        <v>Monto II</v>
      </c>
      <c r="AJ1668" t="str">
        <f t="shared" si="1083"/>
        <v>Porcentaje II</v>
      </c>
      <c r="AK1668" t="str">
        <f t="shared" si="1084"/>
        <v>Foto</v>
      </c>
      <c r="AL1668" t="str">
        <f>"{\rtf1\ansi\ansicpg1252\deff0\deflang11274{\fonttbl{\f0\fnil\fcharset0 MS Sans Serif}} \viewkind4\uc1\pard\f0\fs16 CONECTOR FICHA 4 VIAS FIAT DUNA INSTRUMENTAL HPM\par } "</f>
        <v xml:space="preserve">{\rtf1\ansi\ansicpg1252\deff0\deflang11274{\fonttbl{\f0\fnil\fcharset0 MS Sans Serif}} \viewkind4\uc1\pard\f0\fs16 CONECTOR FICHA 4 VIAS FIAT DUNA INSTRUMENTAL HPM\par } </v>
      </c>
      <c r="AM1668" t="str">
        <f t="shared" si="1063"/>
        <v>-</v>
      </c>
    </row>
    <row r="1669" spans="1:39" x14ac:dyDescent="0.25">
      <c r="A1669" t="str">
        <f>"10248"</f>
        <v>10248</v>
      </c>
      <c r="B1669" t="str">
        <f>"CONECTOR FICHA 4 VIAS FIAT DUNA INSTRUMENTAL MPH"</f>
        <v>CONECTOR FICHA 4 VIAS FIAT DUNA INSTRUMENTAL MPH</v>
      </c>
      <c r="C1669" t="str">
        <f t="shared" si="1085"/>
        <v>$ 2391,80</v>
      </c>
      <c r="D1669" t="str">
        <f t="shared" si="1085"/>
        <v>$ 2391,80</v>
      </c>
      <c r="E1669" t="str">
        <f t="shared" si="1085"/>
        <v>$ 2391,80</v>
      </c>
      <c r="F1669" t="str">
        <f t="shared" si="1085"/>
        <v>$ 2391,80</v>
      </c>
      <c r="G1669" t="str">
        <f t="shared" si="1085"/>
        <v>$ 2391,80</v>
      </c>
      <c r="H1669" t="str">
        <f t="shared" si="1067"/>
        <v>$ 0,00</v>
      </c>
      <c r="I1669" t="str">
        <f t="shared" si="1052"/>
        <v>FICHA CONECTOR</v>
      </c>
      <c r="J1669" t="str">
        <f t="shared" si="1068"/>
        <v>1</v>
      </c>
      <c r="K1669" t="str">
        <f t="shared" si="1062"/>
        <v>0</v>
      </c>
      <c r="L1669" t="str">
        <f>"8,000"</f>
        <v>8,000</v>
      </c>
      <c r="M1669" t="str">
        <f t="shared" si="1069"/>
        <v xml:space="preserve"> </v>
      </c>
      <c r="N1669" t="str">
        <f t="shared" si="1053"/>
        <v>AUTRONIC</v>
      </c>
      <c r="O1669" t="str">
        <f t="shared" si="1054"/>
        <v>CABLES</v>
      </c>
      <c r="P1669" t="str">
        <f t="shared" si="1064"/>
        <v>0</v>
      </c>
      <c r="Q1669" t="str">
        <f t="shared" si="1064"/>
        <v>0</v>
      </c>
      <c r="R1669" t="str">
        <f t="shared" si="1065"/>
        <v>0,00</v>
      </c>
      <c r="S1669" t="str">
        <f t="shared" si="1065"/>
        <v>0,00</v>
      </c>
      <c r="T1669" t="str">
        <f t="shared" si="1066"/>
        <v xml:space="preserve"> </v>
      </c>
      <c r="U1669" t="str">
        <f t="shared" si="1051"/>
        <v xml:space="preserve"> </v>
      </c>
      <c r="V1669" t="str">
        <f>"8,000"</f>
        <v>8,000</v>
      </c>
      <c r="W1669" t="str">
        <f t="shared" si="1070"/>
        <v>Lista 4</v>
      </c>
      <c r="X1669" t="str">
        <f t="shared" si="1071"/>
        <v>Lista 5</v>
      </c>
      <c r="Y1669" t="str">
        <f t="shared" si="1072"/>
        <v>Oferta Gral.</v>
      </c>
      <c r="Z1669" t="str">
        <f t="shared" si="1073"/>
        <v>Rubro</v>
      </c>
      <c r="AA1669" t="str">
        <f t="shared" si="1074"/>
        <v>Cantidad por Bulto</v>
      </c>
      <c r="AB1669" t="str">
        <f t="shared" si="1075"/>
        <v>INNER</v>
      </c>
      <c r="AC1669" t="str">
        <f t="shared" si="1076"/>
        <v>Stock en Bultos</v>
      </c>
      <c r="AD1669" t="str">
        <f t="shared" si="1077"/>
        <v>SubDepósito</v>
      </c>
      <c r="AE1669" t="str">
        <f t="shared" si="1078"/>
        <v>Marca</v>
      </c>
      <c r="AF1669" t="str">
        <f t="shared" si="1079"/>
        <v>Super Rubro</v>
      </c>
      <c r="AG1669" t="str">
        <f t="shared" si="1080"/>
        <v>ComercioExterior</v>
      </c>
      <c r="AH1669" t="str">
        <f t="shared" si="1081"/>
        <v>PrecioFOB</v>
      </c>
      <c r="AI1669" t="str">
        <f t="shared" si="1082"/>
        <v>Monto II</v>
      </c>
      <c r="AJ1669" t="str">
        <f t="shared" si="1083"/>
        <v>Porcentaje II</v>
      </c>
      <c r="AK1669" t="str">
        <f t="shared" si="1084"/>
        <v>Foto</v>
      </c>
      <c r="AL1669" t="str">
        <f>"{\rtf1\ansi\ansicpg1252\deff0\deflang11274{\fonttbl{\f0\fnil\fcharset0 MS Sans Serif}} \viewkind4\uc1\pard\f0\fs16 CONECTOR FICHA 4 VIAS FIAT DUNA INSTRUMENTAL MPH\par } "</f>
        <v xml:space="preserve">{\rtf1\ansi\ansicpg1252\deff0\deflang11274{\fonttbl{\f0\fnil\fcharset0 MS Sans Serif}} \viewkind4\uc1\pard\f0\fs16 CONECTOR FICHA 4 VIAS FIAT DUNA INSTRUMENTAL MPH\par } </v>
      </c>
      <c r="AM1669" t="str">
        <f t="shared" si="1063"/>
        <v>-</v>
      </c>
    </row>
    <row r="1670" spans="1:39" x14ac:dyDescent="0.25">
      <c r="A1670" t="str">
        <f>"10239"</f>
        <v>10239</v>
      </c>
      <c r="B1670" t="str">
        <f>"CONECTOR FICHA 4 VIAS SONDA LAMBDA RENAULT CLIO"</f>
        <v>CONECTOR FICHA 4 VIAS SONDA LAMBDA RENAULT CLIO</v>
      </c>
      <c r="C1670" t="str">
        <f>"$ 8391,34"</f>
        <v>$ 8391,34</v>
      </c>
      <c r="D1670" t="str">
        <f>"$ 8391,34"</f>
        <v>$ 8391,34</v>
      </c>
      <c r="E1670" t="str">
        <f>"$ 8391,34"</f>
        <v>$ 8391,34</v>
      </c>
      <c r="F1670" t="str">
        <f>"$ 8391,34"</f>
        <v>$ 8391,34</v>
      </c>
      <c r="G1670" t="str">
        <f>"$ 8391,34"</f>
        <v>$ 8391,34</v>
      </c>
      <c r="H1670" t="str">
        <f t="shared" si="1067"/>
        <v>$ 0,00</v>
      </c>
      <c r="I1670" t="str">
        <f t="shared" si="1052"/>
        <v>FICHA CONECTOR</v>
      </c>
      <c r="J1670" t="str">
        <f t="shared" si="1068"/>
        <v>1</v>
      </c>
      <c r="K1670" t="str">
        <f t="shared" si="1062"/>
        <v>0</v>
      </c>
      <c r="L1670" t="str">
        <f>"18,000"</f>
        <v>18,000</v>
      </c>
      <c r="M1670" t="str">
        <f t="shared" si="1069"/>
        <v xml:space="preserve"> </v>
      </c>
      <c r="N1670" t="str">
        <f t="shared" si="1053"/>
        <v>AUTRONIC</v>
      </c>
      <c r="O1670" t="str">
        <f t="shared" si="1054"/>
        <v>CABLES</v>
      </c>
      <c r="P1670" t="str">
        <f t="shared" si="1064"/>
        <v>0</v>
      </c>
      <c r="Q1670" t="str">
        <f t="shared" si="1064"/>
        <v>0</v>
      </c>
      <c r="R1670" t="str">
        <f t="shared" si="1065"/>
        <v>0,00</v>
      </c>
      <c r="S1670" t="str">
        <f t="shared" si="1065"/>
        <v>0,00</v>
      </c>
      <c r="T1670" t="str">
        <f t="shared" si="1066"/>
        <v xml:space="preserve"> </v>
      </c>
      <c r="U1670" t="str">
        <f t="shared" si="1051"/>
        <v xml:space="preserve"> </v>
      </c>
      <c r="V1670" t="str">
        <f>"18,000"</f>
        <v>18,000</v>
      </c>
      <c r="W1670" t="str">
        <f t="shared" si="1070"/>
        <v>Lista 4</v>
      </c>
      <c r="X1670" t="str">
        <f t="shared" si="1071"/>
        <v>Lista 5</v>
      </c>
      <c r="Y1670" t="str">
        <f t="shared" si="1072"/>
        <v>Oferta Gral.</v>
      </c>
      <c r="Z1670" t="str">
        <f t="shared" si="1073"/>
        <v>Rubro</v>
      </c>
      <c r="AA1670" t="str">
        <f t="shared" si="1074"/>
        <v>Cantidad por Bulto</v>
      </c>
      <c r="AB1670" t="str">
        <f t="shared" si="1075"/>
        <v>INNER</v>
      </c>
      <c r="AC1670" t="str">
        <f t="shared" si="1076"/>
        <v>Stock en Bultos</v>
      </c>
      <c r="AD1670" t="str">
        <f t="shared" si="1077"/>
        <v>SubDepósito</v>
      </c>
      <c r="AE1670" t="str">
        <f t="shared" si="1078"/>
        <v>Marca</v>
      </c>
      <c r="AF1670" t="str">
        <f t="shared" si="1079"/>
        <v>Super Rubro</v>
      </c>
      <c r="AG1670" t="str">
        <f t="shared" si="1080"/>
        <v>ComercioExterior</v>
      </c>
      <c r="AH1670" t="str">
        <f t="shared" si="1081"/>
        <v>PrecioFOB</v>
      </c>
      <c r="AI1670" t="str">
        <f t="shared" si="1082"/>
        <v>Monto II</v>
      </c>
      <c r="AJ1670" t="str">
        <f t="shared" si="1083"/>
        <v>Porcentaje II</v>
      </c>
      <c r="AK1670" t="str">
        <f t="shared" si="1084"/>
        <v>Foto</v>
      </c>
      <c r="AL1670" t="str">
        <f>"{\rtf1\ansi\ansicpg1252\deff0\deflang11274{\fonttbl{\f0\fnil\fcharset0 MS Sans Serif}} \viewkind4\uc1\pard\f0\fs16 CONECTOR FICHA 4 VIAS SONDA LAMBDA RENAULT CLIO\par } "</f>
        <v xml:space="preserve">{\rtf1\ansi\ansicpg1252\deff0\deflang11274{\fonttbl{\f0\fnil\fcharset0 MS Sans Serif}} \viewkind4\uc1\pard\f0\fs16 CONECTOR FICHA 4 VIAS SONDA LAMBDA RENAULT CLIO\par } </v>
      </c>
      <c r="AM1670" t="str">
        <f t="shared" si="1063"/>
        <v>-</v>
      </c>
    </row>
    <row r="1671" spans="1:39" x14ac:dyDescent="0.25">
      <c r="A1671" t="str">
        <f>"10240"</f>
        <v>10240</v>
      </c>
      <c r="B1671" t="str">
        <f>"CONECTOR FICHA 4 VIAS SONDA LAMBDA RENAULT CLIO"</f>
        <v>CONECTOR FICHA 4 VIAS SONDA LAMBDA RENAULT CLIO</v>
      </c>
      <c r="C1671" t="str">
        <f>"$ 7883,58"</f>
        <v>$ 7883,58</v>
      </c>
      <c r="D1671" t="str">
        <f>"$ 7883,58"</f>
        <v>$ 7883,58</v>
      </c>
      <c r="E1671" t="str">
        <f>"$ 7883,58"</f>
        <v>$ 7883,58</v>
      </c>
      <c r="F1671" t="str">
        <f>"$ 7883,58"</f>
        <v>$ 7883,58</v>
      </c>
      <c r="G1671" t="str">
        <f>"$ 7883,58"</f>
        <v>$ 7883,58</v>
      </c>
      <c r="H1671" t="str">
        <f t="shared" si="1067"/>
        <v>$ 0,00</v>
      </c>
      <c r="I1671" t="str">
        <f t="shared" si="1052"/>
        <v>FICHA CONECTOR</v>
      </c>
      <c r="J1671" t="str">
        <f t="shared" si="1068"/>
        <v>1</v>
      </c>
      <c r="K1671" t="str">
        <f t="shared" si="1062"/>
        <v>0</v>
      </c>
      <c r="L1671" t="str">
        <f>"18,000"</f>
        <v>18,000</v>
      </c>
      <c r="M1671" t="str">
        <f t="shared" si="1069"/>
        <v xml:space="preserve"> </v>
      </c>
      <c r="N1671" t="str">
        <f t="shared" si="1053"/>
        <v>AUTRONIC</v>
      </c>
      <c r="O1671" t="str">
        <f t="shared" si="1054"/>
        <v>CABLES</v>
      </c>
      <c r="P1671" t="str">
        <f t="shared" si="1064"/>
        <v>0</v>
      </c>
      <c r="Q1671" t="str">
        <f t="shared" si="1064"/>
        <v>0</v>
      </c>
      <c r="R1671" t="str">
        <f t="shared" si="1065"/>
        <v>0,00</v>
      </c>
      <c r="S1671" t="str">
        <f t="shared" si="1065"/>
        <v>0,00</v>
      </c>
      <c r="T1671" t="str">
        <f t="shared" si="1066"/>
        <v xml:space="preserve"> </v>
      </c>
      <c r="U1671" t="str">
        <f t="shared" si="1051"/>
        <v xml:space="preserve"> </v>
      </c>
      <c r="V1671" t="str">
        <f>"18,000"</f>
        <v>18,000</v>
      </c>
      <c r="W1671" t="str">
        <f t="shared" si="1070"/>
        <v>Lista 4</v>
      </c>
      <c r="X1671" t="str">
        <f t="shared" si="1071"/>
        <v>Lista 5</v>
      </c>
      <c r="Y1671" t="str">
        <f t="shared" si="1072"/>
        <v>Oferta Gral.</v>
      </c>
      <c r="Z1671" t="str">
        <f t="shared" si="1073"/>
        <v>Rubro</v>
      </c>
      <c r="AA1671" t="str">
        <f t="shared" si="1074"/>
        <v>Cantidad por Bulto</v>
      </c>
      <c r="AB1671" t="str">
        <f t="shared" si="1075"/>
        <v>INNER</v>
      </c>
      <c r="AC1671" t="str">
        <f t="shared" si="1076"/>
        <v>Stock en Bultos</v>
      </c>
      <c r="AD1671" t="str">
        <f t="shared" si="1077"/>
        <v>SubDepósito</v>
      </c>
      <c r="AE1671" t="str">
        <f t="shared" si="1078"/>
        <v>Marca</v>
      </c>
      <c r="AF1671" t="str">
        <f t="shared" si="1079"/>
        <v>Super Rubro</v>
      </c>
      <c r="AG1671" t="str">
        <f t="shared" si="1080"/>
        <v>ComercioExterior</v>
      </c>
      <c r="AH1671" t="str">
        <f t="shared" si="1081"/>
        <v>PrecioFOB</v>
      </c>
      <c r="AI1671" t="str">
        <f t="shared" si="1082"/>
        <v>Monto II</v>
      </c>
      <c r="AJ1671" t="str">
        <f t="shared" si="1083"/>
        <v>Porcentaje II</v>
      </c>
      <c r="AK1671" t="str">
        <f t="shared" si="1084"/>
        <v>Foto</v>
      </c>
      <c r="AL1671" t="str">
        <f>"{\rtf1\ansi\ansicpg1252\deff0\deflang11274{\fonttbl{\f0\fnil\fcharset0 MS Sans Serif}} \viewkind4\uc1\pard\f0\fs16 CONECTOR FICHA 4 VIAS SONDA LAMBDA RENAULT CLIO\par } "</f>
        <v xml:space="preserve">{\rtf1\ansi\ansicpg1252\deff0\deflang11274{\fonttbl{\f0\fnil\fcharset0 MS Sans Serif}} \viewkind4\uc1\pard\f0\fs16 CONECTOR FICHA 4 VIAS SONDA LAMBDA RENAULT CLIO\par } </v>
      </c>
      <c r="AM1671" t="str">
        <f t="shared" si="1063"/>
        <v>-</v>
      </c>
    </row>
    <row r="1672" spans="1:39" x14ac:dyDescent="0.25">
      <c r="A1672" t="str">
        <f>"10228"</f>
        <v>10228</v>
      </c>
      <c r="B1672" t="str">
        <f>"CONECTOR FICHA 4 VÍAS   BOBINA ENCENDIDO – PEUGEOT 405"</f>
        <v>CONECTOR FICHA 4 VÍAS   BOBINA ENCENDIDO – PEUGEOT 405</v>
      </c>
      <c r="C1672" t="str">
        <f>"$ 4275,84"</f>
        <v>$ 4275,84</v>
      </c>
      <c r="D1672" t="str">
        <f>"$ 4275,84"</f>
        <v>$ 4275,84</v>
      </c>
      <c r="E1672" t="str">
        <f>"$ 4275,84"</f>
        <v>$ 4275,84</v>
      </c>
      <c r="F1672" t="str">
        <f>"$ 4275,84"</f>
        <v>$ 4275,84</v>
      </c>
      <c r="G1672" t="str">
        <f>"$ 4275,84"</f>
        <v>$ 4275,84</v>
      </c>
      <c r="H1672" t="str">
        <f t="shared" si="1067"/>
        <v>$ 0,00</v>
      </c>
      <c r="I1672" t="str">
        <f t="shared" si="1052"/>
        <v>FICHA CONECTOR</v>
      </c>
      <c r="J1672" t="str">
        <f t="shared" si="1068"/>
        <v>1</v>
      </c>
      <c r="K1672" t="str">
        <f t="shared" si="1062"/>
        <v>0</v>
      </c>
      <c r="L1672" t="str">
        <f>"33,000"</f>
        <v>33,000</v>
      </c>
      <c r="M1672" t="str">
        <f t="shared" si="1069"/>
        <v xml:space="preserve"> </v>
      </c>
      <c r="N1672" t="str">
        <f t="shared" si="1053"/>
        <v>AUTRONIC</v>
      </c>
      <c r="O1672" t="str">
        <f t="shared" si="1054"/>
        <v>CABLES</v>
      </c>
      <c r="P1672" t="str">
        <f t="shared" si="1064"/>
        <v>0</v>
      </c>
      <c r="Q1672" t="str">
        <f t="shared" si="1064"/>
        <v>0</v>
      </c>
      <c r="R1672" t="str">
        <f t="shared" si="1065"/>
        <v>0,00</v>
      </c>
      <c r="S1672" t="str">
        <f t="shared" si="1065"/>
        <v>0,00</v>
      </c>
      <c r="T1672" t="str">
        <f t="shared" si="1066"/>
        <v xml:space="preserve"> </v>
      </c>
      <c r="U1672" t="str">
        <f t="shared" si="1051"/>
        <v xml:space="preserve"> </v>
      </c>
      <c r="V1672" t="str">
        <f>"33,000"</f>
        <v>33,000</v>
      </c>
      <c r="W1672" t="str">
        <f t="shared" si="1070"/>
        <v>Lista 4</v>
      </c>
      <c r="X1672" t="str">
        <f t="shared" si="1071"/>
        <v>Lista 5</v>
      </c>
      <c r="Y1672" t="str">
        <f t="shared" si="1072"/>
        <v>Oferta Gral.</v>
      </c>
      <c r="Z1672" t="str">
        <f t="shared" si="1073"/>
        <v>Rubro</v>
      </c>
      <c r="AA1672" t="str">
        <f t="shared" si="1074"/>
        <v>Cantidad por Bulto</v>
      </c>
      <c r="AB1672" t="str">
        <f t="shared" si="1075"/>
        <v>INNER</v>
      </c>
      <c r="AC1672" t="str">
        <f t="shared" si="1076"/>
        <v>Stock en Bultos</v>
      </c>
      <c r="AD1672" t="str">
        <f t="shared" si="1077"/>
        <v>SubDepósito</v>
      </c>
      <c r="AE1672" t="str">
        <f t="shared" si="1078"/>
        <v>Marca</v>
      </c>
      <c r="AF1672" t="str">
        <f t="shared" si="1079"/>
        <v>Super Rubro</v>
      </c>
      <c r="AG1672" t="str">
        <f t="shared" si="1080"/>
        <v>ComercioExterior</v>
      </c>
      <c r="AH1672" t="str">
        <f t="shared" si="1081"/>
        <v>PrecioFOB</v>
      </c>
      <c r="AI1672" t="str">
        <f t="shared" si="1082"/>
        <v>Monto II</v>
      </c>
      <c r="AJ1672" t="str">
        <f t="shared" si="1083"/>
        <v>Porcentaje II</v>
      </c>
      <c r="AK1672" t="str">
        <f t="shared" si="1084"/>
        <v>Foto</v>
      </c>
      <c r="AL1672" t="str">
        <f>"{\rtf1\ansi\ansicpg1252\deff0\deflang11274{\fonttbl{\f0\fnil\fcharset0 MS Sans Serif}} \viewkind4\uc1\pard\f0\fs16 CONECTOR FICHA 4 V\'cdAS   BOBINA ENCENDIDO \endash  PEUGEOT 405\par } "</f>
        <v xml:space="preserve">{\rtf1\ansi\ansicpg1252\deff0\deflang11274{\fonttbl{\f0\fnil\fcharset0 MS Sans Serif}} \viewkind4\uc1\pard\f0\fs16 CONECTOR FICHA 4 V\'cdAS   BOBINA ENCENDIDO \endash  PEUGEOT 405\par } </v>
      </c>
      <c r="AM1672" t="str">
        <f t="shared" si="1063"/>
        <v>-</v>
      </c>
    </row>
    <row r="1673" spans="1:39" x14ac:dyDescent="0.25">
      <c r="A1673" t="str">
        <f>"10207"</f>
        <v>10207</v>
      </c>
      <c r="B1673" t="str">
        <f>"CONECTOR FICHA 4 VÍAS  - MOTOR PASO A PASO - MARELLI"</f>
        <v>CONECTOR FICHA 4 VÍAS  - MOTOR PASO A PASO - MARELLI</v>
      </c>
      <c r="C1673" t="str">
        <f>"$ 4543,08"</f>
        <v>$ 4543,08</v>
      </c>
      <c r="D1673" t="str">
        <f>"$ 4543,08"</f>
        <v>$ 4543,08</v>
      </c>
      <c r="E1673" t="str">
        <f>"$ 4543,08"</f>
        <v>$ 4543,08</v>
      </c>
      <c r="F1673" t="str">
        <f>"$ 4543,08"</f>
        <v>$ 4543,08</v>
      </c>
      <c r="G1673" t="str">
        <f>"$ 4543,08"</f>
        <v>$ 4543,08</v>
      </c>
      <c r="H1673" t="str">
        <f t="shared" si="1067"/>
        <v>$ 0,00</v>
      </c>
      <c r="I1673" t="str">
        <f t="shared" si="1052"/>
        <v>FICHA CONECTOR</v>
      </c>
      <c r="J1673" t="str">
        <f t="shared" si="1068"/>
        <v>1</v>
      </c>
      <c r="K1673" t="str">
        <f t="shared" si="1062"/>
        <v>0</v>
      </c>
      <c r="L1673" t="str">
        <f>"10,000"</f>
        <v>10,000</v>
      </c>
      <c r="M1673" t="str">
        <f t="shared" si="1069"/>
        <v xml:space="preserve"> </v>
      </c>
      <c r="N1673" t="str">
        <f t="shared" si="1053"/>
        <v>AUTRONIC</v>
      </c>
      <c r="O1673" t="str">
        <f t="shared" si="1054"/>
        <v>CABLES</v>
      </c>
      <c r="P1673" t="str">
        <f t="shared" si="1064"/>
        <v>0</v>
      </c>
      <c r="Q1673" t="str">
        <f t="shared" si="1064"/>
        <v>0</v>
      </c>
      <c r="R1673" t="str">
        <f t="shared" si="1065"/>
        <v>0,00</v>
      </c>
      <c r="S1673" t="str">
        <f t="shared" si="1065"/>
        <v>0,00</v>
      </c>
      <c r="T1673" t="str">
        <f t="shared" si="1066"/>
        <v xml:space="preserve"> </v>
      </c>
      <c r="U1673" t="str">
        <f t="shared" si="1051"/>
        <v xml:space="preserve"> </v>
      </c>
      <c r="V1673" t="str">
        <f>"10,000"</f>
        <v>10,000</v>
      </c>
      <c r="W1673" t="str">
        <f t="shared" si="1070"/>
        <v>Lista 4</v>
      </c>
      <c r="X1673" t="str">
        <f t="shared" si="1071"/>
        <v>Lista 5</v>
      </c>
      <c r="Y1673" t="str">
        <f t="shared" si="1072"/>
        <v>Oferta Gral.</v>
      </c>
      <c r="Z1673" t="str">
        <f t="shared" si="1073"/>
        <v>Rubro</v>
      </c>
      <c r="AA1673" t="str">
        <f t="shared" si="1074"/>
        <v>Cantidad por Bulto</v>
      </c>
      <c r="AB1673" t="str">
        <f t="shared" si="1075"/>
        <v>INNER</v>
      </c>
      <c r="AC1673" t="str">
        <f t="shared" si="1076"/>
        <v>Stock en Bultos</v>
      </c>
      <c r="AD1673" t="str">
        <f t="shared" si="1077"/>
        <v>SubDepósito</v>
      </c>
      <c r="AE1673" t="str">
        <f t="shared" si="1078"/>
        <v>Marca</v>
      </c>
      <c r="AF1673" t="str">
        <f t="shared" si="1079"/>
        <v>Super Rubro</v>
      </c>
      <c r="AG1673" t="str">
        <f t="shared" si="1080"/>
        <v>ComercioExterior</v>
      </c>
      <c r="AH1673" t="str">
        <f t="shared" si="1081"/>
        <v>PrecioFOB</v>
      </c>
      <c r="AI1673" t="str">
        <f t="shared" si="1082"/>
        <v>Monto II</v>
      </c>
      <c r="AJ1673" t="str">
        <f t="shared" si="1083"/>
        <v>Porcentaje II</v>
      </c>
      <c r="AK1673" t="str">
        <f t="shared" si="1084"/>
        <v>Foto</v>
      </c>
      <c r="AL1673" t="str">
        <f>"{\rtf1\ansi\ansicpg1252\deff0\deflang11274{\fonttbl{\f0\fnil\fcharset0 MS Sans Serif}} \viewkind4\uc1\pard\f0\fs16 CONECTOR FICHA 4 V\'cdAS  - MOTOR PASO A PASO - MARELLI\par } "</f>
        <v xml:space="preserve">{\rtf1\ansi\ansicpg1252\deff0\deflang11274{\fonttbl{\f0\fnil\fcharset0 MS Sans Serif}} \viewkind4\uc1\pard\f0\fs16 CONECTOR FICHA 4 V\'cdAS  - MOTOR PASO A PASO - MARELLI\par } </v>
      </c>
      <c r="AM1673" t="str">
        <f t="shared" si="1063"/>
        <v>-</v>
      </c>
    </row>
    <row r="1674" spans="1:39" x14ac:dyDescent="0.25">
      <c r="A1674" t="str">
        <f>"10234"</f>
        <v>10234</v>
      </c>
      <c r="B1674" t="str">
        <f>"CONECTOR FICHA 4 VÍAS  - VARIOS – FIAT - RENAULT"</f>
        <v>CONECTOR FICHA 4 VÍAS  - VARIOS – FIAT - RENAULT</v>
      </c>
      <c r="C1674" t="str">
        <f>"$ 4810,32"</f>
        <v>$ 4810,32</v>
      </c>
      <c r="D1674" t="str">
        <f>"$ 4810,32"</f>
        <v>$ 4810,32</v>
      </c>
      <c r="E1674" t="str">
        <f>"$ 4810,32"</f>
        <v>$ 4810,32</v>
      </c>
      <c r="F1674" t="str">
        <f>"$ 4810,32"</f>
        <v>$ 4810,32</v>
      </c>
      <c r="G1674" t="str">
        <f>"$ 4810,32"</f>
        <v>$ 4810,32</v>
      </c>
      <c r="H1674" t="str">
        <f t="shared" si="1067"/>
        <v>$ 0,00</v>
      </c>
      <c r="I1674" t="str">
        <f t="shared" si="1052"/>
        <v>FICHA CONECTOR</v>
      </c>
      <c r="J1674" t="str">
        <f t="shared" si="1068"/>
        <v>1</v>
      </c>
      <c r="K1674" t="str">
        <f t="shared" si="1062"/>
        <v>0</v>
      </c>
      <c r="L1674" t="str">
        <f>"0,000"</f>
        <v>0,000</v>
      </c>
      <c r="M1674" t="str">
        <f t="shared" si="1069"/>
        <v xml:space="preserve"> </v>
      </c>
      <c r="N1674" t="str">
        <f t="shared" si="1053"/>
        <v>AUTRONIC</v>
      </c>
      <c r="O1674" t="str">
        <f t="shared" si="1054"/>
        <v>CABLES</v>
      </c>
      <c r="P1674" t="str">
        <f t="shared" si="1064"/>
        <v>0</v>
      </c>
      <c r="Q1674" t="str">
        <f t="shared" si="1064"/>
        <v>0</v>
      </c>
      <c r="R1674" t="str">
        <f t="shared" si="1065"/>
        <v>0,00</v>
      </c>
      <c r="S1674" t="str">
        <f t="shared" si="1065"/>
        <v>0,00</v>
      </c>
      <c r="T1674" t="str">
        <f t="shared" si="1066"/>
        <v xml:space="preserve"> </v>
      </c>
      <c r="U1674" t="str">
        <f t="shared" si="1051"/>
        <v xml:space="preserve"> </v>
      </c>
      <c r="V1674" t="str">
        <f>"0,000"</f>
        <v>0,000</v>
      </c>
      <c r="W1674" t="str">
        <f t="shared" si="1070"/>
        <v>Lista 4</v>
      </c>
      <c r="X1674" t="str">
        <f t="shared" si="1071"/>
        <v>Lista 5</v>
      </c>
      <c r="Y1674" t="str">
        <f t="shared" si="1072"/>
        <v>Oferta Gral.</v>
      </c>
      <c r="Z1674" t="str">
        <f t="shared" si="1073"/>
        <v>Rubro</v>
      </c>
      <c r="AA1674" t="str">
        <f t="shared" si="1074"/>
        <v>Cantidad por Bulto</v>
      </c>
      <c r="AB1674" t="str">
        <f t="shared" si="1075"/>
        <v>INNER</v>
      </c>
      <c r="AC1674" t="str">
        <f t="shared" si="1076"/>
        <v>Stock en Bultos</v>
      </c>
      <c r="AD1674" t="str">
        <f t="shared" si="1077"/>
        <v>SubDepósito</v>
      </c>
      <c r="AE1674" t="str">
        <f t="shared" si="1078"/>
        <v>Marca</v>
      </c>
      <c r="AF1674" t="str">
        <f t="shared" si="1079"/>
        <v>Super Rubro</v>
      </c>
      <c r="AG1674" t="str">
        <f t="shared" si="1080"/>
        <v>ComercioExterior</v>
      </c>
      <c r="AH1674" t="str">
        <f t="shared" si="1081"/>
        <v>PrecioFOB</v>
      </c>
      <c r="AI1674" t="str">
        <f t="shared" si="1082"/>
        <v>Monto II</v>
      </c>
      <c r="AJ1674" t="str">
        <f t="shared" si="1083"/>
        <v>Porcentaje II</v>
      </c>
      <c r="AK1674" t="str">
        <f t="shared" si="1084"/>
        <v>Foto</v>
      </c>
      <c r="AL1674" t="str">
        <f>"{\rtf1\ansi\ansicpg1252\deff0\deflang11274{\fonttbl{\f0\fnil\fcharset0 MS Sans Serif}} \viewkind4\uc1\pard\f0\fs16 CONECTOR FICHA 4 V\'cdAS  - VARIOS \endash  FIAT - RENAULT\par } "</f>
        <v xml:space="preserve">{\rtf1\ansi\ansicpg1252\deff0\deflang11274{\fonttbl{\f0\fnil\fcharset0 MS Sans Serif}} \viewkind4\uc1\pard\f0\fs16 CONECTOR FICHA 4 V\'cdAS  - VARIOS \endash  FIAT - RENAULT\par } </v>
      </c>
      <c r="AM1674" t="str">
        <f t="shared" si="1063"/>
        <v>-</v>
      </c>
    </row>
    <row r="1675" spans="1:39" x14ac:dyDescent="0.25">
      <c r="A1675" t="str">
        <f>"10213"</f>
        <v>10213</v>
      </c>
      <c r="B1675" t="str">
        <f>"CONECTOR FICHA 4 VÍAS - SENSORES VARIOS - VW"</f>
        <v>CONECTOR FICHA 4 VÍAS - SENSORES VARIOS - VW</v>
      </c>
      <c r="C1675" t="str">
        <f>"$ 3714,64"</f>
        <v>$ 3714,64</v>
      </c>
      <c r="D1675" t="str">
        <f>"$ 3714,64"</f>
        <v>$ 3714,64</v>
      </c>
      <c r="E1675" t="str">
        <f>"$ 3714,64"</f>
        <v>$ 3714,64</v>
      </c>
      <c r="F1675" t="str">
        <f>"$ 3714,64"</f>
        <v>$ 3714,64</v>
      </c>
      <c r="G1675" t="str">
        <f>"$ 3714,64"</f>
        <v>$ 3714,64</v>
      </c>
      <c r="H1675" t="str">
        <f t="shared" si="1067"/>
        <v>$ 0,00</v>
      </c>
      <c r="I1675" t="str">
        <f t="shared" si="1052"/>
        <v>FICHA CONECTOR</v>
      </c>
      <c r="J1675" t="str">
        <f t="shared" si="1068"/>
        <v>1</v>
      </c>
      <c r="K1675" t="str">
        <f t="shared" si="1062"/>
        <v>0</v>
      </c>
      <c r="L1675" t="str">
        <f>"0,000"</f>
        <v>0,000</v>
      </c>
      <c r="M1675" t="str">
        <f t="shared" si="1069"/>
        <v xml:space="preserve"> </v>
      </c>
      <c r="N1675" t="str">
        <f t="shared" si="1053"/>
        <v>AUTRONIC</v>
      </c>
      <c r="O1675" t="str">
        <f t="shared" si="1054"/>
        <v>CABLES</v>
      </c>
      <c r="P1675" t="str">
        <f t="shared" si="1064"/>
        <v>0</v>
      </c>
      <c r="Q1675" t="str">
        <f t="shared" si="1064"/>
        <v>0</v>
      </c>
      <c r="R1675" t="str">
        <f t="shared" si="1065"/>
        <v>0,00</v>
      </c>
      <c r="S1675" t="str">
        <f t="shared" si="1065"/>
        <v>0,00</v>
      </c>
      <c r="T1675" t="str">
        <f t="shared" si="1066"/>
        <v xml:space="preserve"> </v>
      </c>
      <c r="U1675" t="str">
        <f t="shared" si="1051"/>
        <v xml:space="preserve"> </v>
      </c>
      <c r="V1675" t="str">
        <f>"0,000"</f>
        <v>0,000</v>
      </c>
      <c r="W1675" t="str">
        <f t="shared" si="1070"/>
        <v>Lista 4</v>
      </c>
      <c r="X1675" t="str">
        <f t="shared" si="1071"/>
        <v>Lista 5</v>
      </c>
      <c r="Y1675" t="str">
        <f t="shared" si="1072"/>
        <v>Oferta Gral.</v>
      </c>
      <c r="Z1675" t="str">
        <f t="shared" si="1073"/>
        <v>Rubro</v>
      </c>
      <c r="AA1675" t="str">
        <f t="shared" si="1074"/>
        <v>Cantidad por Bulto</v>
      </c>
      <c r="AB1675" t="str">
        <f t="shared" si="1075"/>
        <v>INNER</v>
      </c>
      <c r="AC1675" t="str">
        <f t="shared" si="1076"/>
        <v>Stock en Bultos</v>
      </c>
      <c r="AD1675" t="str">
        <f t="shared" si="1077"/>
        <v>SubDepósito</v>
      </c>
      <c r="AE1675" t="str">
        <f t="shared" si="1078"/>
        <v>Marca</v>
      </c>
      <c r="AF1675" t="str">
        <f t="shared" si="1079"/>
        <v>Super Rubro</v>
      </c>
      <c r="AG1675" t="str">
        <f t="shared" si="1080"/>
        <v>ComercioExterior</v>
      </c>
      <c r="AH1675" t="str">
        <f t="shared" si="1081"/>
        <v>PrecioFOB</v>
      </c>
      <c r="AI1675" t="str">
        <f t="shared" si="1082"/>
        <v>Monto II</v>
      </c>
      <c r="AJ1675" t="str">
        <f t="shared" si="1083"/>
        <v>Porcentaje II</v>
      </c>
      <c r="AK1675" t="str">
        <f t="shared" si="1084"/>
        <v>Foto</v>
      </c>
      <c r="AL1675" t="str">
        <f>"{\rtf1\ansi\ansicpg1252\deff0\deflang11274{\fonttbl{\f0\fnil\fcharset0 MS Sans Serif}} \viewkind4\uc1\pard\f0\fs16 CONECTOR FICHA 4 V\'cdAS - SENSORES VARIOS - VW\par } "</f>
        <v xml:space="preserve">{\rtf1\ansi\ansicpg1252\deff0\deflang11274{\fonttbl{\f0\fnil\fcharset0 MS Sans Serif}} \viewkind4\uc1\pard\f0\fs16 CONECTOR FICHA 4 V\'cdAS - SENSORES VARIOS - VW\par } </v>
      </c>
      <c r="AM1675" t="str">
        <f t="shared" si="1063"/>
        <v>-</v>
      </c>
    </row>
    <row r="1676" spans="1:39" x14ac:dyDescent="0.25">
      <c r="A1676" t="str">
        <f>"10212"</f>
        <v>10212</v>
      </c>
      <c r="B1676" t="str">
        <f>"CONECTOR FICHA 4 VÍAS – SONDA -LAMBDA - FORD"</f>
        <v>CONECTOR FICHA 4 VÍAS – SONDA -LAMBDA - FORD</v>
      </c>
      <c r="C1676" t="str">
        <f>"$ 5285,34"</f>
        <v>$ 5285,34</v>
      </c>
      <c r="D1676" t="str">
        <f>"$ 5285,34"</f>
        <v>$ 5285,34</v>
      </c>
      <c r="E1676" t="str">
        <f>"$ 5285,34"</f>
        <v>$ 5285,34</v>
      </c>
      <c r="F1676" t="str">
        <f>"$ 5285,34"</f>
        <v>$ 5285,34</v>
      </c>
      <c r="G1676" t="str">
        <f>"$ 5285,34"</f>
        <v>$ 5285,34</v>
      </c>
      <c r="H1676" t="str">
        <f t="shared" si="1067"/>
        <v>$ 0,00</v>
      </c>
      <c r="I1676" t="str">
        <f t="shared" si="1052"/>
        <v>FICHA CONECTOR</v>
      </c>
      <c r="J1676" t="str">
        <f t="shared" si="1068"/>
        <v>1</v>
      </c>
      <c r="K1676" t="str">
        <f t="shared" si="1062"/>
        <v>0</v>
      </c>
      <c r="L1676" t="str">
        <f>"0,000"</f>
        <v>0,000</v>
      </c>
      <c r="M1676" t="str">
        <f t="shared" si="1069"/>
        <v xml:space="preserve"> </v>
      </c>
      <c r="N1676" t="str">
        <f t="shared" si="1053"/>
        <v>AUTRONIC</v>
      </c>
      <c r="O1676" t="str">
        <f t="shared" si="1054"/>
        <v>CABLES</v>
      </c>
      <c r="P1676" t="str">
        <f t="shared" si="1064"/>
        <v>0</v>
      </c>
      <c r="Q1676" t="str">
        <f t="shared" si="1064"/>
        <v>0</v>
      </c>
      <c r="R1676" t="str">
        <f t="shared" si="1065"/>
        <v>0,00</v>
      </c>
      <c r="S1676" t="str">
        <f t="shared" si="1065"/>
        <v>0,00</v>
      </c>
      <c r="T1676" t="str">
        <f t="shared" si="1066"/>
        <v xml:space="preserve"> </v>
      </c>
      <c r="U1676" t="str">
        <f t="shared" ref="U1676:U1739" si="1086">" "</f>
        <v xml:space="preserve"> </v>
      </c>
      <c r="V1676" t="str">
        <f>"0,000"</f>
        <v>0,000</v>
      </c>
      <c r="W1676" t="str">
        <f t="shared" si="1070"/>
        <v>Lista 4</v>
      </c>
      <c r="X1676" t="str">
        <f t="shared" si="1071"/>
        <v>Lista 5</v>
      </c>
      <c r="Y1676" t="str">
        <f t="shared" si="1072"/>
        <v>Oferta Gral.</v>
      </c>
      <c r="Z1676" t="str">
        <f t="shared" si="1073"/>
        <v>Rubro</v>
      </c>
      <c r="AA1676" t="str">
        <f t="shared" si="1074"/>
        <v>Cantidad por Bulto</v>
      </c>
      <c r="AB1676" t="str">
        <f t="shared" si="1075"/>
        <v>INNER</v>
      </c>
      <c r="AC1676" t="str">
        <f t="shared" si="1076"/>
        <v>Stock en Bultos</v>
      </c>
      <c r="AD1676" t="str">
        <f t="shared" si="1077"/>
        <v>SubDepósito</v>
      </c>
      <c r="AE1676" t="str">
        <f t="shared" si="1078"/>
        <v>Marca</v>
      </c>
      <c r="AF1676" t="str">
        <f t="shared" si="1079"/>
        <v>Super Rubro</v>
      </c>
      <c r="AG1676" t="str">
        <f t="shared" si="1080"/>
        <v>ComercioExterior</v>
      </c>
      <c r="AH1676" t="str">
        <f t="shared" si="1081"/>
        <v>PrecioFOB</v>
      </c>
      <c r="AI1676" t="str">
        <f t="shared" si="1082"/>
        <v>Monto II</v>
      </c>
      <c r="AJ1676" t="str">
        <f t="shared" si="1083"/>
        <v>Porcentaje II</v>
      </c>
      <c r="AK1676" t="str">
        <f t="shared" si="1084"/>
        <v>Foto</v>
      </c>
      <c r="AL1676" t="str">
        <f>"{\rtf1\ansi\ansicpg1252\deff0\deflang11274{\fonttbl{\f0\fnil\fcharset0 MS Sans Serif}} \viewkind4\uc1\pard\f0\fs16 CONECTOR FICHA 4 V\'cdAS \endash  SONDA -LAMBDA - FORD\par } "</f>
        <v xml:space="preserve">{\rtf1\ansi\ansicpg1252\deff0\deflang11274{\fonttbl{\f0\fnil\fcharset0 MS Sans Serif}} \viewkind4\uc1\pard\f0\fs16 CONECTOR FICHA 4 V\'cdAS \endash  SONDA -LAMBDA - FORD\par } </v>
      </c>
      <c r="AM1676" t="str">
        <f t="shared" si="1063"/>
        <v>-</v>
      </c>
    </row>
    <row r="1677" spans="1:39" x14ac:dyDescent="0.25">
      <c r="A1677" t="str">
        <f>"10256"</f>
        <v>10256</v>
      </c>
      <c r="B1677" t="str">
        <f>"CONECTOR FICHA 5 VIAS  ESPEJO EXTERIOR RENAULT CLIO"</f>
        <v>CONECTOR FICHA 5 VIAS  ESPEJO EXTERIOR RENAULT CLIO</v>
      </c>
      <c r="C1677" t="str">
        <f>"$ 2391,80"</f>
        <v>$ 2391,80</v>
      </c>
      <c r="D1677" t="str">
        <f>"$ 2391,80"</f>
        <v>$ 2391,80</v>
      </c>
      <c r="E1677" t="str">
        <f>"$ 2391,80"</f>
        <v>$ 2391,80</v>
      </c>
      <c r="F1677" t="str">
        <f>"$ 2391,80"</f>
        <v>$ 2391,80</v>
      </c>
      <c r="G1677" t="str">
        <f>"$ 2391,80"</f>
        <v>$ 2391,80</v>
      </c>
      <c r="H1677" t="str">
        <f t="shared" si="1067"/>
        <v>$ 0,00</v>
      </c>
      <c r="I1677" t="str">
        <f t="shared" si="1052"/>
        <v>FICHA CONECTOR</v>
      </c>
      <c r="J1677" t="str">
        <f t="shared" si="1068"/>
        <v>1</v>
      </c>
      <c r="K1677" t="str">
        <f t="shared" si="1062"/>
        <v>0</v>
      </c>
      <c r="L1677" t="str">
        <f>"8,000"</f>
        <v>8,000</v>
      </c>
      <c r="M1677" t="str">
        <f t="shared" si="1069"/>
        <v xml:space="preserve"> </v>
      </c>
      <c r="N1677" t="str">
        <f t="shared" si="1053"/>
        <v>AUTRONIC</v>
      </c>
      <c r="O1677" t="str">
        <f t="shared" si="1054"/>
        <v>CABLES</v>
      </c>
      <c r="P1677" t="str">
        <f t="shared" si="1064"/>
        <v>0</v>
      </c>
      <c r="Q1677" t="str">
        <f t="shared" si="1064"/>
        <v>0</v>
      </c>
      <c r="R1677" t="str">
        <f t="shared" si="1065"/>
        <v>0,00</v>
      </c>
      <c r="S1677" t="str">
        <f t="shared" si="1065"/>
        <v>0,00</v>
      </c>
      <c r="T1677" t="str">
        <f t="shared" si="1066"/>
        <v xml:space="preserve"> </v>
      </c>
      <c r="U1677" t="str">
        <f t="shared" si="1086"/>
        <v xml:space="preserve"> </v>
      </c>
      <c r="V1677" t="str">
        <f>"8,000"</f>
        <v>8,000</v>
      </c>
      <c r="W1677" t="str">
        <f t="shared" si="1070"/>
        <v>Lista 4</v>
      </c>
      <c r="X1677" t="str">
        <f t="shared" si="1071"/>
        <v>Lista 5</v>
      </c>
      <c r="Y1677" t="str">
        <f t="shared" si="1072"/>
        <v>Oferta Gral.</v>
      </c>
      <c r="Z1677" t="str">
        <f t="shared" si="1073"/>
        <v>Rubro</v>
      </c>
      <c r="AA1677" t="str">
        <f t="shared" si="1074"/>
        <v>Cantidad por Bulto</v>
      </c>
      <c r="AB1677" t="str">
        <f t="shared" si="1075"/>
        <v>INNER</v>
      </c>
      <c r="AC1677" t="str">
        <f t="shared" si="1076"/>
        <v>Stock en Bultos</v>
      </c>
      <c r="AD1677" t="str">
        <f t="shared" si="1077"/>
        <v>SubDepósito</v>
      </c>
      <c r="AE1677" t="str">
        <f t="shared" si="1078"/>
        <v>Marca</v>
      </c>
      <c r="AF1677" t="str">
        <f t="shared" si="1079"/>
        <v>Super Rubro</v>
      </c>
      <c r="AG1677" t="str">
        <f t="shared" si="1080"/>
        <v>ComercioExterior</v>
      </c>
      <c r="AH1677" t="str">
        <f t="shared" si="1081"/>
        <v>PrecioFOB</v>
      </c>
      <c r="AI1677" t="str">
        <f t="shared" si="1082"/>
        <v>Monto II</v>
      </c>
      <c r="AJ1677" t="str">
        <f t="shared" si="1083"/>
        <v>Porcentaje II</v>
      </c>
      <c r="AK1677" t="str">
        <f t="shared" si="1084"/>
        <v>Foto</v>
      </c>
      <c r="AL1677" t="str">
        <f>"{\rtf1\ansi\ansicpg1252\deff0\deflang11274{\fonttbl{\f0\fnil\fcharset0 MS Sans Serif}} \viewkind4\uc1\pard\f0\fs16 CONECTOR FICHA 5 VIAS  ESPEJO EXTERIOR RENAULT CLIO\par } "</f>
        <v xml:space="preserve">{\rtf1\ansi\ansicpg1252\deff0\deflang11274{\fonttbl{\f0\fnil\fcharset0 MS Sans Serif}} \viewkind4\uc1\pard\f0\fs16 CONECTOR FICHA 5 VIAS  ESPEJO EXTERIOR RENAULT CLIO\par } </v>
      </c>
      <c r="AM1677" t="str">
        <f t="shared" si="1063"/>
        <v>-</v>
      </c>
    </row>
    <row r="1678" spans="1:39" x14ac:dyDescent="0.25">
      <c r="A1678" t="str">
        <f>"10260"</f>
        <v>10260</v>
      </c>
      <c r="B1678" t="str">
        <f>"CONECTOR FICHA 5 VIAS  RELAY CON PROTECCIÓN ORIG. RENAULT"</f>
        <v>CONECTOR FICHA 5 VIAS  RELAY CON PROTECCIÓN ORIG. RENAULT</v>
      </c>
      <c r="C1678" t="str">
        <f>"$ 8671,94"</f>
        <v>$ 8671,94</v>
      </c>
      <c r="D1678" t="str">
        <f>"$ 8671,94"</f>
        <v>$ 8671,94</v>
      </c>
      <c r="E1678" t="str">
        <f>"$ 8671,94"</f>
        <v>$ 8671,94</v>
      </c>
      <c r="F1678" t="str">
        <f>"$ 8671,94"</f>
        <v>$ 8671,94</v>
      </c>
      <c r="G1678" t="str">
        <f>"$ 8671,94"</f>
        <v>$ 8671,94</v>
      </c>
      <c r="H1678" t="str">
        <f t="shared" si="1067"/>
        <v>$ 0,00</v>
      </c>
      <c r="I1678" t="str">
        <f t="shared" si="1052"/>
        <v>FICHA CONECTOR</v>
      </c>
      <c r="J1678" t="str">
        <f t="shared" si="1068"/>
        <v>1</v>
      </c>
      <c r="K1678" t="str">
        <f t="shared" si="1062"/>
        <v>0</v>
      </c>
      <c r="L1678" t="str">
        <f>"10,000"</f>
        <v>10,000</v>
      </c>
      <c r="M1678" t="str">
        <f t="shared" si="1069"/>
        <v xml:space="preserve"> </v>
      </c>
      <c r="N1678" t="str">
        <f t="shared" si="1053"/>
        <v>AUTRONIC</v>
      </c>
      <c r="O1678" t="str">
        <f t="shared" si="1054"/>
        <v>CABLES</v>
      </c>
      <c r="P1678" t="str">
        <f t="shared" si="1064"/>
        <v>0</v>
      </c>
      <c r="Q1678" t="str">
        <f t="shared" si="1064"/>
        <v>0</v>
      </c>
      <c r="R1678" t="str">
        <f t="shared" si="1065"/>
        <v>0,00</v>
      </c>
      <c r="S1678" t="str">
        <f t="shared" si="1065"/>
        <v>0,00</v>
      </c>
      <c r="T1678" t="str">
        <f t="shared" si="1066"/>
        <v xml:space="preserve"> </v>
      </c>
      <c r="U1678" t="str">
        <f t="shared" si="1086"/>
        <v xml:space="preserve"> </v>
      </c>
      <c r="V1678" t="str">
        <f>"10,000"</f>
        <v>10,000</v>
      </c>
      <c r="W1678" t="str">
        <f t="shared" si="1070"/>
        <v>Lista 4</v>
      </c>
      <c r="X1678" t="str">
        <f t="shared" si="1071"/>
        <v>Lista 5</v>
      </c>
      <c r="Y1678" t="str">
        <f t="shared" si="1072"/>
        <v>Oferta Gral.</v>
      </c>
      <c r="Z1678" t="str">
        <f t="shared" si="1073"/>
        <v>Rubro</v>
      </c>
      <c r="AA1678" t="str">
        <f t="shared" si="1074"/>
        <v>Cantidad por Bulto</v>
      </c>
      <c r="AB1678" t="str">
        <f t="shared" si="1075"/>
        <v>INNER</v>
      </c>
      <c r="AC1678" t="str">
        <f t="shared" si="1076"/>
        <v>Stock en Bultos</v>
      </c>
      <c r="AD1678" t="str">
        <f t="shared" si="1077"/>
        <v>SubDepósito</v>
      </c>
      <c r="AE1678" t="str">
        <f t="shared" si="1078"/>
        <v>Marca</v>
      </c>
      <c r="AF1678" t="str">
        <f t="shared" si="1079"/>
        <v>Super Rubro</v>
      </c>
      <c r="AG1678" t="str">
        <f t="shared" si="1080"/>
        <v>ComercioExterior</v>
      </c>
      <c r="AH1678" t="str">
        <f t="shared" si="1081"/>
        <v>PrecioFOB</v>
      </c>
      <c r="AI1678" t="str">
        <f t="shared" si="1082"/>
        <v>Monto II</v>
      </c>
      <c r="AJ1678" t="str">
        <f t="shared" si="1083"/>
        <v>Porcentaje II</v>
      </c>
      <c r="AK1678" t="str">
        <f t="shared" si="1084"/>
        <v>Foto</v>
      </c>
      <c r="AL1678" t="str">
        <f>"{\rtf1\ansi\ansicpg1252\deff0\deflang11274{\fonttbl{\f0\fnil\fcharset0 MS Sans Serif}} \viewkind4\uc1\pard\f0\fs16 CONECTOR FICHA 5 VIAS  RELAY CON PROTECCI\'d3N ORIG. RENAULT\par } "</f>
        <v xml:space="preserve">{\rtf1\ansi\ansicpg1252\deff0\deflang11274{\fonttbl{\f0\fnil\fcharset0 MS Sans Serif}} \viewkind4\uc1\pard\f0\fs16 CONECTOR FICHA 5 VIAS  RELAY CON PROTECCI\'d3N ORIG. RENAULT\par } </v>
      </c>
      <c r="AM1678" t="str">
        <f t="shared" si="1063"/>
        <v>-</v>
      </c>
    </row>
    <row r="1679" spans="1:39" x14ac:dyDescent="0.25">
      <c r="A1679" t="str">
        <f>"10268"</f>
        <v>10268</v>
      </c>
      <c r="B1679" t="str">
        <f>"CONECTOR FICHA 5 VIAS BULBO ELECTROVENTILADOR ESCORT"</f>
        <v>CONECTOR FICHA 5 VIAS BULBO ELECTROVENTILADOR ESCORT</v>
      </c>
      <c r="C1679" t="str">
        <f>"$ 8538,32"</f>
        <v>$ 8538,32</v>
      </c>
      <c r="D1679" t="str">
        <f>"$ 8538,32"</f>
        <v>$ 8538,32</v>
      </c>
      <c r="E1679" t="str">
        <f>"$ 8538,32"</f>
        <v>$ 8538,32</v>
      </c>
      <c r="F1679" t="str">
        <f>"$ 8538,32"</f>
        <v>$ 8538,32</v>
      </c>
      <c r="G1679" t="str">
        <f>"$ 8538,32"</f>
        <v>$ 8538,32</v>
      </c>
      <c r="H1679" t="str">
        <f t="shared" si="1067"/>
        <v>$ 0,00</v>
      </c>
      <c r="I1679" t="str">
        <f t="shared" si="1052"/>
        <v>FICHA CONECTOR</v>
      </c>
      <c r="J1679" t="str">
        <f t="shared" si="1068"/>
        <v>1</v>
      </c>
      <c r="K1679" t="str">
        <f t="shared" si="1062"/>
        <v>0</v>
      </c>
      <c r="L1679" t="str">
        <f>"10,000"</f>
        <v>10,000</v>
      </c>
      <c r="M1679" t="str">
        <f t="shared" si="1069"/>
        <v xml:space="preserve"> </v>
      </c>
      <c r="N1679" t="str">
        <f t="shared" si="1053"/>
        <v>AUTRONIC</v>
      </c>
      <c r="O1679" t="str">
        <f t="shared" si="1054"/>
        <v>CABLES</v>
      </c>
      <c r="P1679" t="str">
        <f t="shared" si="1064"/>
        <v>0</v>
      </c>
      <c r="Q1679" t="str">
        <f t="shared" si="1064"/>
        <v>0</v>
      </c>
      <c r="R1679" t="str">
        <f t="shared" si="1065"/>
        <v>0,00</v>
      </c>
      <c r="S1679" t="str">
        <f t="shared" si="1065"/>
        <v>0,00</v>
      </c>
      <c r="T1679" t="str">
        <f t="shared" si="1066"/>
        <v xml:space="preserve"> </v>
      </c>
      <c r="U1679" t="str">
        <f t="shared" si="1086"/>
        <v xml:space="preserve"> </v>
      </c>
      <c r="V1679" t="str">
        <f>"10,000"</f>
        <v>10,000</v>
      </c>
      <c r="W1679" t="str">
        <f t="shared" si="1070"/>
        <v>Lista 4</v>
      </c>
      <c r="X1679" t="str">
        <f t="shared" si="1071"/>
        <v>Lista 5</v>
      </c>
      <c r="Y1679" t="str">
        <f t="shared" si="1072"/>
        <v>Oferta Gral.</v>
      </c>
      <c r="Z1679" t="str">
        <f t="shared" si="1073"/>
        <v>Rubro</v>
      </c>
      <c r="AA1679" t="str">
        <f t="shared" si="1074"/>
        <v>Cantidad por Bulto</v>
      </c>
      <c r="AB1679" t="str">
        <f t="shared" si="1075"/>
        <v>INNER</v>
      </c>
      <c r="AC1679" t="str">
        <f t="shared" si="1076"/>
        <v>Stock en Bultos</v>
      </c>
      <c r="AD1679" t="str">
        <f t="shared" si="1077"/>
        <v>SubDepósito</v>
      </c>
      <c r="AE1679" t="str">
        <f t="shared" si="1078"/>
        <v>Marca</v>
      </c>
      <c r="AF1679" t="str">
        <f t="shared" si="1079"/>
        <v>Super Rubro</v>
      </c>
      <c r="AG1679" t="str">
        <f t="shared" si="1080"/>
        <v>ComercioExterior</v>
      </c>
      <c r="AH1679" t="str">
        <f t="shared" si="1081"/>
        <v>PrecioFOB</v>
      </c>
      <c r="AI1679" t="str">
        <f t="shared" si="1082"/>
        <v>Monto II</v>
      </c>
      <c r="AJ1679" t="str">
        <f t="shared" si="1083"/>
        <v>Porcentaje II</v>
      </c>
      <c r="AK1679" t="str">
        <f t="shared" si="1084"/>
        <v>Foto</v>
      </c>
      <c r="AL1679" t="str">
        <f>"{\rtf1\ansi\ansicpg1252\deff0\deflang11274{\fonttbl{\f0\fnil\fcharset0 MS Sans Serif}} \viewkind4\uc1\pard\f0\fs16 CONECTOR FICHA 5 VIAS BULBO ELECTROVENTILADOR ESCORT\par } "</f>
        <v xml:space="preserve">{\rtf1\ansi\ansicpg1252\deff0\deflang11274{\fonttbl{\f0\fnil\fcharset0 MS Sans Serif}} \viewkind4\uc1\pard\f0\fs16 CONECTOR FICHA 5 VIAS BULBO ELECTROVENTILADOR ESCORT\par } </v>
      </c>
      <c r="AM1679" t="str">
        <f t="shared" si="1063"/>
        <v>-</v>
      </c>
    </row>
    <row r="1680" spans="1:39" x14ac:dyDescent="0.25">
      <c r="A1680" t="str">
        <f>"10242"</f>
        <v>10242</v>
      </c>
      <c r="B1680" t="str">
        <f>"CONECTOR FICHA 5 VIAS ESPEJO LATERAL VW VARIOS (PASO 6 MM)"</f>
        <v>CONECTOR FICHA 5 VIAS ESPEJO LATERAL VW VARIOS (PASO 6 MM)</v>
      </c>
      <c r="C1680" t="str">
        <f>"$ 6614,19"</f>
        <v>$ 6614,19</v>
      </c>
      <c r="D1680" t="str">
        <f>"$ 6614,19"</f>
        <v>$ 6614,19</v>
      </c>
      <c r="E1680" t="str">
        <f>"$ 6614,19"</f>
        <v>$ 6614,19</v>
      </c>
      <c r="F1680" t="str">
        <f>"$ 6614,19"</f>
        <v>$ 6614,19</v>
      </c>
      <c r="G1680" t="str">
        <f>"$ 6614,19"</f>
        <v>$ 6614,19</v>
      </c>
      <c r="H1680" t="str">
        <f t="shared" si="1067"/>
        <v>$ 0,00</v>
      </c>
      <c r="I1680" t="str">
        <f t="shared" ref="I1680:I1688" si="1087">"FICHA CONECTOR"</f>
        <v>FICHA CONECTOR</v>
      </c>
      <c r="J1680" t="str">
        <f t="shared" si="1068"/>
        <v>1</v>
      </c>
      <c r="K1680" t="str">
        <f t="shared" si="1062"/>
        <v>0</v>
      </c>
      <c r="L1680" t="str">
        <f>"0,000"</f>
        <v>0,000</v>
      </c>
      <c r="M1680" t="str">
        <f t="shared" si="1069"/>
        <v xml:space="preserve"> </v>
      </c>
      <c r="N1680" t="str">
        <f t="shared" ref="N1680:N1688" si="1088">"AUTRONIC"</f>
        <v>AUTRONIC</v>
      </c>
      <c r="O1680" t="str">
        <f t="shared" ref="O1680:O1688" si="1089">"CABLES"</f>
        <v>CABLES</v>
      </c>
      <c r="P1680" t="str">
        <f t="shared" si="1064"/>
        <v>0</v>
      </c>
      <c r="Q1680" t="str">
        <f t="shared" si="1064"/>
        <v>0</v>
      </c>
      <c r="R1680" t="str">
        <f t="shared" si="1065"/>
        <v>0,00</v>
      </c>
      <c r="S1680" t="str">
        <f t="shared" si="1065"/>
        <v>0,00</v>
      </c>
      <c r="T1680" t="str">
        <f t="shared" si="1066"/>
        <v xml:space="preserve"> </v>
      </c>
      <c r="U1680" t="str">
        <f t="shared" si="1086"/>
        <v xml:space="preserve"> </v>
      </c>
      <c r="V1680" t="str">
        <f>"0,000"</f>
        <v>0,000</v>
      </c>
      <c r="W1680" t="str">
        <f t="shared" si="1070"/>
        <v>Lista 4</v>
      </c>
      <c r="X1680" t="str">
        <f t="shared" si="1071"/>
        <v>Lista 5</v>
      </c>
      <c r="Y1680" t="str">
        <f t="shared" si="1072"/>
        <v>Oferta Gral.</v>
      </c>
      <c r="Z1680" t="str">
        <f t="shared" si="1073"/>
        <v>Rubro</v>
      </c>
      <c r="AA1680" t="str">
        <f t="shared" si="1074"/>
        <v>Cantidad por Bulto</v>
      </c>
      <c r="AB1680" t="str">
        <f t="shared" si="1075"/>
        <v>INNER</v>
      </c>
      <c r="AC1680" t="str">
        <f t="shared" si="1076"/>
        <v>Stock en Bultos</v>
      </c>
      <c r="AD1680" t="str">
        <f t="shared" si="1077"/>
        <v>SubDepósito</v>
      </c>
      <c r="AE1680" t="str">
        <f t="shared" si="1078"/>
        <v>Marca</v>
      </c>
      <c r="AF1680" t="str">
        <f t="shared" si="1079"/>
        <v>Super Rubro</v>
      </c>
      <c r="AG1680" t="str">
        <f t="shared" si="1080"/>
        <v>ComercioExterior</v>
      </c>
      <c r="AH1680" t="str">
        <f t="shared" si="1081"/>
        <v>PrecioFOB</v>
      </c>
      <c r="AI1680" t="str">
        <f t="shared" si="1082"/>
        <v>Monto II</v>
      </c>
      <c r="AJ1680" t="str">
        <f t="shared" si="1083"/>
        <v>Porcentaje II</v>
      </c>
      <c r="AK1680" t="str">
        <f t="shared" si="1084"/>
        <v>Foto</v>
      </c>
      <c r="AL1680" t="str">
        <f>"{\rtf1\ansi\ansicpg1252\deff0\deflang11274{\fonttbl{\f0\fnil\fcharset0 MS Sans Serif}} \viewkind4\uc1\pard\f0\fs16 CONECTOR FICHA 5 VIAS ESPEJO LATERAL VW VARIOS (PASO 6 MM)\par } "</f>
        <v xml:space="preserve">{\rtf1\ansi\ansicpg1252\deff0\deflang11274{\fonttbl{\f0\fnil\fcharset0 MS Sans Serif}} \viewkind4\uc1\pard\f0\fs16 CONECTOR FICHA 5 VIAS ESPEJO LATERAL VW VARIOS (PASO 6 MM)\par } </v>
      </c>
      <c r="AM1680" t="str">
        <f t="shared" si="1063"/>
        <v>-</v>
      </c>
    </row>
    <row r="1681" spans="1:39" x14ac:dyDescent="0.25">
      <c r="A1681" t="str">
        <f>"10251"</f>
        <v>10251</v>
      </c>
      <c r="B1681" t="str">
        <f>"CONECTOR FICHA 6 VIAS FARO TRASERO TOYOTA HILUX"</f>
        <v>CONECTOR FICHA 6 VIAS FARO TRASERO TOYOTA HILUX</v>
      </c>
      <c r="C1681" t="str">
        <f>"$ 2850,52"</f>
        <v>$ 2850,52</v>
      </c>
      <c r="D1681" t="str">
        <f>"$ 2850,52"</f>
        <v>$ 2850,52</v>
      </c>
      <c r="E1681" t="str">
        <f>"$ 2850,52"</f>
        <v>$ 2850,52</v>
      </c>
      <c r="F1681" t="str">
        <f>"$ 2850,52"</f>
        <v>$ 2850,52</v>
      </c>
      <c r="G1681" t="str">
        <f>"$ 2850,52"</f>
        <v>$ 2850,52</v>
      </c>
      <c r="H1681" t="str">
        <f t="shared" si="1067"/>
        <v>$ 0,00</v>
      </c>
      <c r="I1681" t="str">
        <f t="shared" si="1087"/>
        <v>FICHA CONECTOR</v>
      </c>
      <c r="J1681" t="str">
        <f t="shared" si="1068"/>
        <v>1</v>
      </c>
      <c r="K1681" t="str">
        <f t="shared" si="1062"/>
        <v>0</v>
      </c>
      <c r="L1681" t="str">
        <f>"0,000"</f>
        <v>0,000</v>
      </c>
      <c r="M1681" t="str">
        <f t="shared" si="1069"/>
        <v xml:space="preserve"> </v>
      </c>
      <c r="N1681" t="str">
        <f t="shared" si="1088"/>
        <v>AUTRONIC</v>
      </c>
      <c r="O1681" t="str">
        <f t="shared" si="1089"/>
        <v>CABLES</v>
      </c>
      <c r="P1681" t="str">
        <f t="shared" si="1064"/>
        <v>0</v>
      </c>
      <c r="Q1681" t="str">
        <f t="shared" si="1064"/>
        <v>0</v>
      </c>
      <c r="R1681" t="str">
        <f t="shared" si="1065"/>
        <v>0,00</v>
      </c>
      <c r="S1681" t="str">
        <f t="shared" si="1065"/>
        <v>0,00</v>
      </c>
      <c r="T1681" t="str">
        <f t="shared" si="1066"/>
        <v xml:space="preserve"> </v>
      </c>
      <c r="U1681" t="str">
        <f t="shared" si="1086"/>
        <v xml:space="preserve"> </v>
      </c>
      <c r="V1681" t="str">
        <f>"0,000"</f>
        <v>0,000</v>
      </c>
      <c r="W1681" t="str">
        <f t="shared" si="1070"/>
        <v>Lista 4</v>
      </c>
      <c r="X1681" t="str">
        <f t="shared" si="1071"/>
        <v>Lista 5</v>
      </c>
      <c r="Y1681" t="str">
        <f t="shared" si="1072"/>
        <v>Oferta Gral.</v>
      </c>
      <c r="Z1681" t="str">
        <f t="shared" si="1073"/>
        <v>Rubro</v>
      </c>
      <c r="AA1681" t="str">
        <f t="shared" si="1074"/>
        <v>Cantidad por Bulto</v>
      </c>
      <c r="AB1681" t="str">
        <f t="shared" si="1075"/>
        <v>INNER</v>
      </c>
      <c r="AC1681" t="str">
        <f t="shared" si="1076"/>
        <v>Stock en Bultos</v>
      </c>
      <c r="AD1681" t="str">
        <f t="shared" si="1077"/>
        <v>SubDepósito</v>
      </c>
      <c r="AE1681" t="str">
        <f t="shared" si="1078"/>
        <v>Marca</v>
      </c>
      <c r="AF1681" t="str">
        <f t="shared" si="1079"/>
        <v>Super Rubro</v>
      </c>
      <c r="AG1681" t="str">
        <f t="shared" si="1080"/>
        <v>ComercioExterior</v>
      </c>
      <c r="AH1681" t="str">
        <f t="shared" si="1081"/>
        <v>PrecioFOB</v>
      </c>
      <c r="AI1681" t="str">
        <f t="shared" si="1082"/>
        <v>Monto II</v>
      </c>
      <c r="AJ1681" t="str">
        <f t="shared" si="1083"/>
        <v>Porcentaje II</v>
      </c>
      <c r="AK1681" t="str">
        <f t="shared" si="1084"/>
        <v>Foto</v>
      </c>
      <c r="AL1681" t="str">
        <f>"{\rtf1\ansi\ansicpg1252\deff0\deflang11274{\fonttbl{\f0\fnil\fcharset0 MS Sans Serif}} \viewkind4\uc1\pard\f0\fs16 CONECTOR FICHA 6 VIAS FARO TRASERO TOYOTA HILUX\par } "</f>
        <v xml:space="preserve">{\rtf1\ansi\ansicpg1252\deff0\deflang11274{\fonttbl{\f0\fnil\fcharset0 MS Sans Serif}} \viewkind4\uc1\pard\f0\fs16 CONECTOR FICHA 6 VIAS FARO TRASERO TOYOTA HILUX\par } </v>
      </c>
      <c r="AM1681" t="str">
        <f t="shared" si="1063"/>
        <v>-</v>
      </c>
    </row>
    <row r="1682" spans="1:39" x14ac:dyDescent="0.25">
      <c r="A1682" t="str">
        <f>"10262"</f>
        <v>10262</v>
      </c>
      <c r="B1682" t="str">
        <f>"CONECTOR FICHA 6 VIAS FARO TRASERO TOYOTA HILUX"</f>
        <v>CONECTOR FICHA 6 VIAS FARO TRASERO TOYOTA HILUX</v>
      </c>
      <c r="C1682" t="str">
        <f>"$ 1544,03"</f>
        <v>$ 1544,03</v>
      </c>
      <c r="D1682" t="str">
        <f>"$ 1544,03"</f>
        <v>$ 1544,03</v>
      </c>
      <c r="E1682" t="str">
        <f>"$ 1544,03"</f>
        <v>$ 1544,03</v>
      </c>
      <c r="F1682" t="str">
        <f>"$ 1544,03"</f>
        <v>$ 1544,03</v>
      </c>
      <c r="G1682" t="str">
        <f>"$ 1544,03"</f>
        <v>$ 1544,03</v>
      </c>
      <c r="H1682" t="str">
        <f t="shared" si="1067"/>
        <v>$ 0,00</v>
      </c>
      <c r="I1682" t="str">
        <f t="shared" si="1087"/>
        <v>FICHA CONECTOR</v>
      </c>
      <c r="J1682" t="str">
        <f t="shared" si="1068"/>
        <v>1</v>
      </c>
      <c r="K1682" t="str">
        <f t="shared" si="1062"/>
        <v>0</v>
      </c>
      <c r="L1682" t="str">
        <f>"0,000"</f>
        <v>0,000</v>
      </c>
      <c r="M1682" t="str">
        <f t="shared" si="1069"/>
        <v xml:space="preserve"> </v>
      </c>
      <c r="N1682" t="str">
        <f t="shared" si="1088"/>
        <v>AUTRONIC</v>
      </c>
      <c r="O1682" t="str">
        <f t="shared" si="1089"/>
        <v>CABLES</v>
      </c>
      <c r="P1682" t="str">
        <f t="shared" si="1064"/>
        <v>0</v>
      </c>
      <c r="Q1682" t="str">
        <f t="shared" si="1064"/>
        <v>0</v>
      </c>
      <c r="R1682" t="str">
        <f t="shared" si="1065"/>
        <v>0,00</v>
      </c>
      <c r="S1682" t="str">
        <f t="shared" si="1065"/>
        <v>0,00</v>
      </c>
      <c r="T1682" t="str">
        <f t="shared" si="1066"/>
        <v xml:space="preserve"> </v>
      </c>
      <c r="U1682" t="str">
        <f t="shared" si="1086"/>
        <v xml:space="preserve"> </v>
      </c>
      <c r="V1682" t="str">
        <f>"0,000"</f>
        <v>0,000</v>
      </c>
      <c r="W1682" t="str">
        <f t="shared" si="1070"/>
        <v>Lista 4</v>
      </c>
      <c r="X1682" t="str">
        <f t="shared" si="1071"/>
        <v>Lista 5</v>
      </c>
      <c r="Y1682" t="str">
        <f t="shared" si="1072"/>
        <v>Oferta Gral.</v>
      </c>
      <c r="Z1682" t="str">
        <f t="shared" si="1073"/>
        <v>Rubro</v>
      </c>
      <c r="AA1682" t="str">
        <f t="shared" si="1074"/>
        <v>Cantidad por Bulto</v>
      </c>
      <c r="AB1682" t="str">
        <f t="shared" si="1075"/>
        <v>INNER</v>
      </c>
      <c r="AC1682" t="str">
        <f t="shared" si="1076"/>
        <v>Stock en Bultos</v>
      </c>
      <c r="AD1682" t="str">
        <f t="shared" si="1077"/>
        <v>SubDepósito</v>
      </c>
      <c r="AE1682" t="str">
        <f t="shared" si="1078"/>
        <v>Marca</v>
      </c>
      <c r="AF1682" t="str">
        <f t="shared" si="1079"/>
        <v>Super Rubro</v>
      </c>
      <c r="AG1682" t="str">
        <f t="shared" si="1080"/>
        <v>ComercioExterior</v>
      </c>
      <c r="AH1682" t="str">
        <f t="shared" si="1081"/>
        <v>PrecioFOB</v>
      </c>
      <c r="AI1682" t="str">
        <f t="shared" si="1082"/>
        <v>Monto II</v>
      </c>
      <c r="AJ1682" t="str">
        <f t="shared" si="1083"/>
        <v>Porcentaje II</v>
      </c>
      <c r="AK1682" t="str">
        <f t="shared" si="1084"/>
        <v>Foto</v>
      </c>
      <c r="AL1682" t="str">
        <f>"{\rtf1\ansi\ansicpg1252\deff0\deflang11274{\fonttbl{\f0\fnil\fcharset0 MS Sans Serif}} \viewkind4\uc1\pard\f0\fs16 CONECTOR FICHA 6 VIAS FARO TRASERO TOYOTA HILUX\par } "</f>
        <v xml:space="preserve">{\rtf1\ansi\ansicpg1252\deff0\deflang11274{\fonttbl{\f0\fnil\fcharset0 MS Sans Serif}} \viewkind4\uc1\pard\f0\fs16 CONECTOR FICHA 6 VIAS FARO TRASERO TOYOTA HILUX\par } </v>
      </c>
      <c r="AM1682" t="str">
        <f t="shared" si="1063"/>
        <v>-</v>
      </c>
    </row>
    <row r="1683" spans="1:39" x14ac:dyDescent="0.25">
      <c r="A1683" t="str">
        <f>"10232"</f>
        <v>10232</v>
      </c>
      <c r="B1683" t="str">
        <f>"CONECTOR FICHA 6 VÍAS  - VARIOS - RENAULT"</f>
        <v>CONECTOR FICHA 6 VÍAS  - VARIOS - RENAULT</v>
      </c>
      <c r="C1683" t="str">
        <f>"$ 3981,88"</f>
        <v>$ 3981,88</v>
      </c>
      <c r="D1683" t="str">
        <f>"$ 3981,88"</f>
        <v>$ 3981,88</v>
      </c>
      <c r="E1683" t="str">
        <f>"$ 3981,88"</f>
        <v>$ 3981,88</v>
      </c>
      <c r="F1683" t="str">
        <f>"$ 3981,88"</f>
        <v>$ 3981,88</v>
      </c>
      <c r="G1683" t="str">
        <f>"$ 3981,88"</f>
        <v>$ 3981,88</v>
      </c>
      <c r="H1683" t="str">
        <f t="shared" si="1067"/>
        <v>$ 0,00</v>
      </c>
      <c r="I1683" t="str">
        <f t="shared" si="1087"/>
        <v>FICHA CONECTOR</v>
      </c>
      <c r="J1683" t="str">
        <f t="shared" si="1068"/>
        <v>1</v>
      </c>
      <c r="K1683" t="str">
        <f t="shared" si="1062"/>
        <v>0</v>
      </c>
      <c r="L1683" t="str">
        <f>"10,000"</f>
        <v>10,000</v>
      </c>
      <c r="M1683" t="str">
        <f t="shared" si="1069"/>
        <v xml:space="preserve"> </v>
      </c>
      <c r="N1683" t="str">
        <f t="shared" si="1088"/>
        <v>AUTRONIC</v>
      </c>
      <c r="O1683" t="str">
        <f t="shared" si="1089"/>
        <v>CABLES</v>
      </c>
      <c r="P1683" t="str">
        <f t="shared" ref="P1683:Q1702" si="1090">"0"</f>
        <v>0</v>
      </c>
      <c r="Q1683" t="str">
        <f t="shared" si="1090"/>
        <v>0</v>
      </c>
      <c r="R1683" t="str">
        <f t="shared" ref="R1683:S1702" si="1091">"0,00"</f>
        <v>0,00</v>
      </c>
      <c r="S1683" t="str">
        <f t="shared" si="1091"/>
        <v>0,00</v>
      </c>
      <c r="T1683" t="str">
        <f t="shared" si="1066"/>
        <v xml:space="preserve"> </v>
      </c>
      <c r="U1683" t="str">
        <f t="shared" si="1086"/>
        <v xml:space="preserve"> </v>
      </c>
      <c r="V1683" t="str">
        <f>"10,000"</f>
        <v>10,000</v>
      </c>
      <c r="W1683" t="str">
        <f t="shared" si="1070"/>
        <v>Lista 4</v>
      </c>
      <c r="X1683" t="str">
        <f t="shared" si="1071"/>
        <v>Lista 5</v>
      </c>
      <c r="Y1683" t="str">
        <f t="shared" si="1072"/>
        <v>Oferta Gral.</v>
      </c>
      <c r="Z1683" t="str">
        <f t="shared" si="1073"/>
        <v>Rubro</v>
      </c>
      <c r="AA1683" t="str">
        <f t="shared" si="1074"/>
        <v>Cantidad por Bulto</v>
      </c>
      <c r="AB1683" t="str">
        <f t="shared" si="1075"/>
        <v>INNER</v>
      </c>
      <c r="AC1683" t="str">
        <f t="shared" si="1076"/>
        <v>Stock en Bultos</v>
      </c>
      <c r="AD1683" t="str">
        <f t="shared" si="1077"/>
        <v>SubDepósito</v>
      </c>
      <c r="AE1683" t="str">
        <f t="shared" si="1078"/>
        <v>Marca</v>
      </c>
      <c r="AF1683" t="str">
        <f t="shared" si="1079"/>
        <v>Super Rubro</v>
      </c>
      <c r="AG1683" t="str">
        <f t="shared" si="1080"/>
        <v>ComercioExterior</v>
      </c>
      <c r="AH1683" t="str">
        <f t="shared" si="1081"/>
        <v>PrecioFOB</v>
      </c>
      <c r="AI1683" t="str">
        <f t="shared" si="1082"/>
        <v>Monto II</v>
      </c>
      <c r="AJ1683" t="str">
        <f t="shared" si="1083"/>
        <v>Porcentaje II</v>
      </c>
      <c r="AK1683" t="str">
        <f t="shared" si="1084"/>
        <v>Foto</v>
      </c>
      <c r="AL1683" t="str">
        <f>"{\rtf1\ansi\ansicpg1252\deff0\deflang11274{\fonttbl{\f0\fnil\fcharset0 MS Sans Serif}} \viewkind4\uc1\pard\f0\fs16 CONECTOR FICHA 6 V\'cdAS  - VARIOS - RENAULT\par } "</f>
        <v xml:space="preserve">{\rtf1\ansi\ansicpg1252\deff0\deflang11274{\fonttbl{\f0\fnil\fcharset0 MS Sans Serif}} \viewkind4\uc1\pard\f0\fs16 CONECTOR FICHA 6 V\'cdAS  - VARIOS - RENAULT\par } </v>
      </c>
      <c r="AM1683" t="str">
        <f t="shared" si="1063"/>
        <v>-</v>
      </c>
    </row>
    <row r="1684" spans="1:39" x14ac:dyDescent="0.25">
      <c r="A1684" t="str">
        <f>"10231"</f>
        <v>10231</v>
      </c>
      <c r="B1684" t="str">
        <f>"CONECTOR FICHA 6 VÍAS  REOSTATO - RENAULT"</f>
        <v>CONECTOR FICHA 6 VÍAS  REOSTATO - RENAULT</v>
      </c>
      <c r="C1684" t="str">
        <f>"$ 6988,33"</f>
        <v>$ 6988,33</v>
      </c>
      <c r="D1684" t="str">
        <f>"$ 6988,33"</f>
        <v>$ 6988,33</v>
      </c>
      <c r="E1684" t="str">
        <f>"$ 6988,33"</f>
        <v>$ 6988,33</v>
      </c>
      <c r="F1684" t="str">
        <f>"$ 6988,33"</f>
        <v>$ 6988,33</v>
      </c>
      <c r="G1684" t="str">
        <f>"$ 6988,33"</f>
        <v>$ 6988,33</v>
      </c>
      <c r="H1684" t="str">
        <f t="shared" si="1067"/>
        <v>$ 0,00</v>
      </c>
      <c r="I1684" t="str">
        <f t="shared" si="1087"/>
        <v>FICHA CONECTOR</v>
      </c>
      <c r="J1684" t="str">
        <f t="shared" si="1068"/>
        <v>1</v>
      </c>
      <c r="K1684" t="str">
        <f t="shared" si="1062"/>
        <v>0</v>
      </c>
      <c r="L1684" t="str">
        <f>"22,000"</f>
        <v>22,000</v>
      </c>
      <c r="M1684" t="str">
        <f t="shared" si="1069"/>
        <v xml:space="preserve"> </v>
      </c>
      <c r="N1684" t="str">
        <f t="shared" si="1088"/>
        <v>AUTRONIC</v>
      </c>
      <c r="O1684" t="str">
        <f t="shared" si="1089"/>
        <v>CABLES</v>
      </c>
      <c r="P1684" t="str">
        <f t="shared" si="1090"/>
        <v>0</v>
      </c>
      <c r="Q1684" t="str">
        <f t="shared" si="1090"/>
        <v>0</v>
      </c>
      <c r="R1684" t="str">
        <f t="shared" si="1091"/>
        <v>0,00</v>
      </c>
      <c r="S1684" t="str">
        <f t="shared" si="1091"/>
        <v>0,00</v>
      </c>
      <c r="T1684" t="str">
        <f t="shared" si="1066"/>
        <v xml:space="preserve"> </v>
      </c>
      <c r="U1684" t="str">
        <f t="shared" si="1086"/>
        <v xml:space="preserve"> </v>
      </c>
      <c r="V1684" t="str">
        <f>"22,000"</f>
        <v>22,000</v>
      </c>
      <c r="W1684" t="str">
        <f t="shared" si="1070"/>
        <v>Lista 4</v>
      </c>
      <c r="X1684" t="str">
        <f t="shared" si="1071"/>
        <v>Lista 5</v>
      </c>
      <c r="Y1684" t="str">
        <f t="shared" si="1072"/>
        <v>Oferta Gral.</v>
      </c>
      <c r="Z1684" t="str">
        <f t="shared" si="1073"/>
        <v>Rubro</v>
      </c>
      <c r="AA1684" t="str">
        <f t="shared" si="1074"/>
        <v>Cantidad por Bulto</v>
      </c>
      <c r="AB1684" t="str">
        <f t="shared" si="1075"/>
        <v>INNER</v>
      </c>
      <c r="AC1684" t="str">
        <f t="shared" si="1076"/>
        <v>Stock en Bultos</v>
      </c>
      <c r="AD1684" t="str">
        <f t="shared" si="1077"/>
        <v>SubDepósito</v>
      </c>
      <c r="AE1684" t="str">
        <f t="shared" si="1078"/>
        <v>Marca</v>
      </c>
      <c r="AF1684" t="str">
        <f t="shared" si="1079"/>
        <v>Super Rubro</v>
      </c>
      <c r="AG1684" t="str">
        <f t="shared" si="1080"/>
        <v>ComercioExterior</v>
      </c>
      <c r="AH1684" t="str">
        <f t="shared" si="1081"/>
        <v>PrecioFOB</v>
      </c>
      <c r="AI1684" t="str">
        <f t="shared" si="1082"/>
        <v>Monto II</v>
      </c>
      <c r="AJ1684" t="str">
        <f t="shared" si="1083"/>
        <v>Porcentaje II</v>
      </c>
      <c r="AK1684" t="str">
        <f t="shared" si="1084"/>
        <v>Foto</v>
      </c>
      <c r="AL1684" t="str">
        <f>"{\rtf1\ansi\ansicpg1252\deff0\deflang11274{\fonttbl{\f0\fnil\fcharset0 MS Sans Serif}} \viewkind4\uc1\pard\f0\fs16 CONECTOR FICHA 6 V\'cdAS  REOSTATO - RENAULT\par } "</f>
        <v xml:space="preserve">{\rtf1\ansi\ansicpg1252\deff0\deflang11274{\fonttbl{\f0\fnil\fcharset0 MS Sans Serif}} \viewkind4\uc1\pard\f0\fs16 CONECTOR FICHA 6 V\'cdAS  REOSTATO - RENAULT\par } </v>
      </c>
      <c r="AM1684" t="str">
        <f t="shared" si="1063"/>
        <v>-</v>
      </c>
    </row>
    <row r="1685" spans="1:39" x14ac:dyDescent="0.25">
      <c r="A1685" t="str">
        <f>"10243"</f>
        <v>10243</v>
      </c>
      <c r="B1685" t="str">
        <f>"CONECTOR FICHA 9 VIAS  CONEXIÓN STEREO PHILLIPS GRIS  REOSTATO RENAULT"</f>
        <v>CONECTOR FICHA 9 VIAS  CONEXIÓN STEREO PHILLIPS GRIS  REOSTATO RENAULT</v>
      </c>
      <c r="C1685" t="str">
        <f>"$ 11518,04"</f>
        <v>$ 11518,04</v>
      </c>
      <c r="D1685" t="str">
        <f>"$ 11518,04"</f>
        <v>$ 11518,04</v>
      </c>
      <c r="E1685" t="str">
        <f>"$ 11518,04"</f>
        <v>$ 11518,04</v>
      </c>
      <c r="F1685" t="str">
        <f>"$ 11518,04"</f>
        <v>$ 11518,04</v>
      </c>
      <c r="G1685" t="str">
        <f>"$ 11518,04"</f>
        <v>$ 11518,04</v>
      </c>
      <c r="H1685" t="str">
        <f t="shared" si="1067"/>
        <v>$ 0,00</v>
      </c>
      <c r="I1685" t="str">
        <f t="shared" si="1087"/>
        <v>FICHA CONECTOR</v>
      </c>
      <c r="J1685" t="str">
        <f t="shared" si="1068"/>
        <v>1</v>
      </c>
      <c r="K1685" t="str">
        <f t="shared" si="1062"/>
        <v>0</v>
      </c>
      <c r="L1685" t="str">
        <f>"0,000"</f>
        <v>0,000</v>
      </c>
      <c r="M1685" t="str">
        <f t="shared" si="1069"/>
        <v xml:space="preserve"> </v>
      </c>
      <c r="N1685" t="str">
        <f t="shared" si="1088"/>
        <v>AUTRONIC</v>
      </c>
      <c r="O1685" t="str">
        <f t="shared" si="1089"/>
        <v>CABLES</v>
      </c>
      <c r="P1685" t="str">
        <f t="shared" si="1090"/>
        <v>0</v>
      </c>
      <c r="Q1685" t="str">
        <f t="shared" si="1090"/>
        <v>0</v>
      </c>
      <c r="R1685" t="str">
        <f t="shared" si="1091"/>
        <v>0,00</v>
      </c>
      <c r="S1685" t="str">
        <f t="shared" si="1091"/>
        <v>0,00</v>
      </c>
      <c r="T1685" t="str">
        <f t="shared" si="1066"/>
        <v xml:space="preserve"> </v>
      </c>
      <c r="U1685" t="str">
        <f t="shared" si="1086"/>
        <v xml:space="preserve"> </v>
      </c>
      <c r="V1685" t="str">
        <f>"0,000"</f>
        <v>0,000</v>
      </c>
      <c r="W1685" t="str">
        <f t="shared" si="1070"/>
        <v>Lista 4</v>
      </c>
      <c r="X1685" t="str">
        <f t="shared" si="1071"/>
        <v>Lista 5</v>
      </c>
      <c r="Y1685" t="str">
        <f t="shared" si="1072"/>
        <v>Oferta Gral.</v>
      </c>
      <c r="Z1685" t="str">
        <f t="shared" si="1073"/>
        <v>Rubro</v>
      </c>
      <c r="AA1685" t="str">
        <f t="shared" si="1074"/>
        <v>Cantidad por Bulto</v>
      </c>
      <c r="AB1685" t="str">
        <f t="shared" si="1075"/>
        <v>INNER</v>
      </c>
      <c r="AC1685" t="str">
        <f t="shared" si="1076"/>
        <v>Stock en Bultos</v>
      </c>
      <c r="AD1685" t="str">
        <f t="shared" si="1077"/>
        <v>SubDepósito</v>
      </c>
      <c r="AE1685" t="str">
        <f t="shared" si="1078"/>
        <v>Marca</v>
      </c>
      <c r="AF1685" t="str">
        <f t="shared" si="1079"/>
        <v>Super Rubro</v>
      </c>
      <c r="AG1685" t="str">
        <f t="shared" si="1080"/>
        <v>ComercioExterior</v>
      </c>
      <c r="AH1685" t="str">
        <f t="shared" si="1081"/>
        <v>PrecioFOB</v>
      </c>
      <c r="AI1685" t="str">
        <f t="shared" si="1082"/>
        <v>Monto II</v>
      </c>
      <c r="AJ1685" t="str">
        <f t="shared" si="1083"/>
        <v>Porcentaje II</v>
      </c>
      <c r="AK1685" t="str">
        <f t="shared" si="1084"/>
        <v>Foto</v>
      </c>
      <c r="AL1685" t="str">
        <f>"{\rtf1\ansi\ansicpg1252\deff0\deflang11274{\fonttbl{\f0\fnil\fcharset0 MS Sans Serif}} \viewkind4\uc1\pard\f0\fs16 CONECTOR FICHA 9 VIAS  CONEXI\'d3N STEREO PHILLIPS GRIS  REOSTATO RENAULT\par } "</f>
        <v xml:space="preserve">{\rtf1\ansi\ansicpg1252\deff0\deflang11274{\fonttbl{\f0\fnil\fcharset0 MS Sans Serif}} \viewkind4\uc1\pard\f0\fs16 CONECTOR FICHA 9 VIAS  CONEXI\'d3N STEREO PHILLIPS GRIS  REOSTATO RENAULT\par } </v>
      </c>
      <c r="AM1685" t="str">
        <f t="shared" si="1063"/>
        <v>-</v>
      </c>
    </row>
    <row r="1686" spans="1:39" x14ac:dyDescent="0.25">
      <c r="A1686" t="str">
        <f>"10252"</f>
        <v>10252</v>
      </c>
      <c r="B1686" t="str">
        <f>"CONECTOR FICHA 9 VIAS  INTERCONEXIÓN ARNESES RENAULT"</f>
        <v>CONECTOR FICHA 9 VIAS  INTERCONEXIÓN ARNESES RENAULT</v>
      </c>
      <c r="C1686" t="str">
        <f>"$ 7736,60"</f>
        <v>$ 7736,60</v>
      </c>
      <c r="D1686" t="str">
        <f>"$ 7736,60"</f>
        <v>$ 7736,60</v>
      </c>
      <c r="E1686" t="str">
        <f>"$ 7736,60"</f>
        <v>$ 7736,60</v>
      </c>
      <c r="F1686" t="str">
        <f>"$ 7736,60"</f>
        <v>$ 7736,60</v>
      </c>
      <c r="G1686" t="str">
        <f>"$ 7736,60"</f>
        <v>$ 7736,60</v>
      </c>
      <c r="H1686" t="str">
        <f t="shared" si="1067"/>
        <v>$ 0,00</v>
      </c>
      <c r="I1686" t="str">
        <f t="shared" si="1087"/>
        <v>FICHA CONECTOR</v>
      </c>
      <c r="J1686" t="str">
        <f t="shared" si="1068"/>
        <v>1</v>
      </c>
      <c r="K1686" t="str">
        <f t="shared" si="1062"/>
        <v>0</v>
      </c>
      <c r="L1686" t="str">
        <f>"8,000"</f>
        <v>8,000</v>
      </c>
      <c r="M1686" t="str">
        <f t="shared" si="1069"/>
        <v xml:space="preserve"> </v>
      </c>
      <c r="N1686" t="str">
        <f t="shared" si="1088"/>
        <v>AUTRONIC</v>
      </c>
      <c r="O1686" t="str">
        <f t="shared" si="1089"/>
        <v>CABLES</v>
      </c>
      <c r="P1686" t="str">
        <f t="shared" si="1090"/>
        <v>0</v>
      </c>
      <c r="Q1686" t="str">
        <f t="shared" si="1090"/>
        <v>0</v>
      </c>
      <c r="R1686" t="str">
        <f t="shared" si="1091"/>
        <v>0,00</v>
      </c>
      <c r="S1686" t="str">
        <f t="shared" si="1091"/>
        <v>0,00</v>
      </c>
      <c r="T1686" t="str">
        <f t="shared" si="1066"/>
        <v xml:space="preserve"> </v>
      </c>
      <c r="U1686" t="str">
        <f t="shared" si="1086"/>
        <v xml:space="preserve"> </v>
      </c>
      <c r="V1686" t="str">
        <f>"8,000"</f>
        <v>8,000</v>
      </c>
      <c r="W1686" t="str">
        <f t="shared" si="1070"/>
        <v>Lista 4</v>
      </c>
      <c r="X1686" t="str">
        <f t="shared" si="1071"/>
        <v>Lista 5</v>
      </c>
      <c r="Y1686" t="str">
        <f t="shared" si="1072"/>
        <v>Oferta Gral.</v>
      </c>
      <c r="Z1686" t="str">
        <f t="shared" si="1073"/>
        <v>Rubro</v>
      </c>
      <c r="AA1686" t="str">
        <f t="shared" si="1074"/>
        <v>Cantidad por Bulto</v>
      </c>
      <c r="AB1686" t="str">
        <f t="shared" si="1075"/>
        <v>INNER</v>
      </c>
      <c r="AC1686" t="str">
        <f t="shared" si="1076"/>
        <v>Stock en Bultos</v>
      </c>
      <c r="AD1686" t="str">
        <f t="shared" si="1077"/>
        <v>SubDepósito</v>
      </c>
      <c r="AE1686" t="str">
        <f t="shared" si="1078"/>
        <v>Marca</v>
      </c>
      <c r="AF1686" t="str">
        <f t="shared" si="1079"/>
        <v>Super Rubro</v>
      </c>
      <c r="AG1686" t="str">
        <f t="shared" si="1080"/>
        <v>ComercioExterior</v>
      </c>
      <c r="AH1686" t="str">
        <f t="shared" si="1081"/>
        <v>PrecioFOB</v>
      </c>
      <c r="AI1686" t="str">
        <f t="shared" si="1082"/>
        <v>Monto II</v>
      </c>
      <c r="AJ1686" t="str">
        <f t="shared" si="1083"/>
        <v>Porcentaje II</v>
      </c>
      <c r="AK1686" t="str">
        <f t="shared" si="1084"/>
        <v>Foto</v>
      </c>
      <c r="AL1686" t="str">
        <f>"{\rtf1\ansi\ansicpg1252\deff0\deflang11274{\fonttbl{\f0\fnil\fcharset0 MS Sans Serif}} \viewkind4\uc1\pard\f0\fs16 CONECTOR FICHA 9 VIAS  INTERCONEXI\'d3N ARNESES RENAULT\par } "</f>
        <v xml:space="preserve">{\rtf1\ansi\ansicpg1252\deff0\deflang11274{\fonttbl{\f0\fnil\fcharset0 MS Sans Serif}} \viewkind4\uc1\pard\f0\fs16 CONECTOR FICHA 9 VIAS  INTERCONEXI\'d3N ARNESES RENAULT\par } </v>
      </c>
      <c r="AM1686" t="str">
        <f t="shared" si="1063"/>
        <v>-</v>
      </c>
    </row>
    <row r="1687" spans="1:39" x14ac:dyDescent="0.25">
      <c r="A1687" t="str">
        <f>"10261"</f>
        <v>10261</v>
      </c>
      <c r="B1687" t="str">
        <f>"CONECTOR FICHA 9 VIAS INTERCONEXIÓN  INSTALACIÓN RENAULT"</f>
        <v>CONECTOR FICHA 9 VIAS INTERCONEXIÓN  INSTALACIÓN RENAULT</v>
      </c>
      <c r="C1687" t="str">
        <f>"$ 4424,25"</f>
        <v>$ 4424,25</v>
      </c>
      <c r="D1687" t="str">
        <f>"$ 4424,25"</f>
        <v>$ 4424,25</v>
      </c>
      <c r="E1687" t="str">
        <f>"$ 4424,25"</f>
        <v>$ 4424,25</v>
      </c>
      <c r="F1687" t="str">
        <f>"$ 4424,25"</f>
        <v>$ 4424,25</v>
      </c>
      <c r="G1687" t="str">
        <f>"$ 4424,25"</f>
        <v>$ 4424,25</v>
      </c>
      <c r="H1687" t="str">
        <f t="shared" si="1067"/>
        <v>$ 0,00</v>
      </c>
      <c r="I1687" t="str">
        <f t="shared" si="1087"/>
        <v>FICHA CONECTOR</v>
      </c>
      <c r="J1687" t="str">
        <f t="shared" si="1068"/>
        <v>1</v>
      </c>
      <c r="K1687" t="str">
        <f t="shared" si="1062"/>
        <v>0</v>
      </c>
      <c r="L1687" t="str">
        <f>"0,000"</f>
        <v>0,000</v>
      </c>
      <c r="M1687" t="str">
        <f t="shared" si="1069"/>
        <v xml:space="preserve"> </v>
      </c>
      <c r="N1687" t="str">
        <f t="shared" si="1088"/>
        <v>AUTRONIC</v>
      </c>
      <c r="O1687" t="str">
        <f t="shared" si="1089"/>
        <v>CABLES</v>
      </c>
      <c r="P1687" t="str">
        <f t="shared" si="1090"/>
        <v>0</v>
      </c>
      <c r="Q1687" t="str">
        <f t="shared" si="1090"/>
        <v>0</v>
      </c>
      <c r="R1687" t="str">
        <f t="shared" si="1091"/>
        <v>0,00</v>
      </c>
      <c r="S1687" t="str">
        <f t="shared" si="1091"/>
        <v>0,00</v>
      </c>
      <c r="T1687" t="str">
        <f t="shared" si="1066"/>
        <v xml:space="preserve"> </v>
      </c>
      <c r="U1687" t="str">
        <f t="shared" si="1086"/>
        <v xml:space="preserve"> </v>
      </c>
      <c r="V1687" t="str">
        <f>"0,000"</f>
        <v>0,000</v>
      </c>
      <c r="W1687" t="str">
        <f t="shared" si="1070"/>
        <v>Lista 4</v>
      </c>
      <c r="X1687" t="str">
        <f t="shared" si="1071"/>
        <v>Lista 5</v>
      </c>
      <c r="Y1687" t="str">
        <f t="shared" si="1072"/>
        <v>Oferta Gral.</v>
      </c>
      <c r="Z1687" t="str">
        <f t="shared" si="1073"/>
        <v>Rubro</v>
      </c>
      <c r="AA1687" t="str">
        <f t="shared" si="1074"/>
        <v>Cantidad por Bulto</v>
      </c>
      <c r="AB1687" t="str">
        <f t="shared" si="1075"/>
        <v>INNER</v>
      </c>
      <c r="AC1687" t="str">
        <f t="shared" si="1076"/>
        <v>Stock en Bultos</v>
      </c>
      <c r="AD1687" t="str">
        <f t="shared" si="1077"/>
        <v>SubDepósito</v>
      </c>
      <c r="AE1687" t="str">
        <f t="shared" si="1078"/>
        <v>Marca</v>
      </c>
      <c r="AF1687" t="str">
        <f t="shared" si="1079"/>
        <v>Super Rubro</v>
      </c>
      <c r="AG1687" t="str">
        <f t="shared" si="1080"/>
        <v>ComercioExterior</v>
      </c>
      <c r="AH1687" t="str">
        <f t="shared" si="1081"/>
        <v>PrecioFOB</v>
      </c>
      <c r="AI1687" t="str">
        <f t="shared" si="1082"/>
        <v>Monto II</v>
      </c>
      <c r="AJ1687" t="str">
        <f t="shared" si="1083"/>
        <v>Porcentaje II</v>
      </c>
      <c r="AK1687" t="str">
        <f t="shared" si="1084"/>
        <v>Foto</v>
      </c>
      <c r="AL1687" t="str">
        <f>"{\rtf1\ansi\ansicpg1252\deff0\deflang11274{\fonttbl{\f0\fnil\fcharset0 MS Sans Serif}} \viewkind4\uc1\pard\f0\fs16 CONECTOR FICHA 9 VIAS INTERCONEXI\'d3N  INSTALACI\'d3N RENAULT\par } "</f>
        <v xml:space="preserve">{\rtf1\ansi\ansicpg1252\deff0\deflang11274{\fonttbl{\f0\fnil\fcharset0 MS Sans Serif}} \viewkind4\uc1\pard\f0\fs16 CONECTOR FICHA 9 VIAS INTERCONEXI\'d3N  INSTALACI\'d3N RENAULT\par } </v>
      </c>
      <c r="AM1687" t="str">
        <f t="shared" si="1063"/>
        <v>-</v>
      </c>
    </row>
    <row r="1688" spans="1:39" x14ac:dyDescent="0.25">
      <c r="A1688" t="str">
        <f>"10229"</f>
        <v>10229</v>
      </c>
      <c r="B1688" t="str">
        <f>"CONECTOR FICHA 9 VÍAS CONTROL VENTILACIÓN Y AIRE ACOND. R19-21"</f>
        <v>CONECTOR FICHA 9 VÍAS CONTROL VENTILACIÓN Y AIRE ACOND. R19-21</v>
      </c>
      <c r="C1688" t="str">
        <f>"$ 11357,70"</f>
        <v>$ 11357,70</v>
      </c>
      <c r="D1688" t="str">
        <f>"$ 11357,70"</f>
        <v>$ 11357,70</v>
      </c>
      <c r="E1688" t="str">
        <f>"$ 11357,70"</f>
        <v>$ 11357,70</v>
      </c>
      <c r="F1688" t="str">
        <f>"$ 11357,70"</f>
        <v>$ 11357,70</v>
      </c>
      <c r="G1688" t="str">
        <f>"$ 11357,70"</f>
        <v>$ 11357,70</v>
      </c>
      <c r="H1688" t="str">
        <f t="shared" si="1067"/>
        <v>$ 0,00</v>
      </c>
      <c r="I1688" t="str">
        <f t="shared" si="1087"/>
        <v>FICHA CONECTOR</v>
      </c>
      <c r="J1688" t="str">
        <f t="shared" si="1068"/>
        <v>1</v>
      </c>
      <c r="K1688" t="str">
        <f t="shared" si="1062"/>
        <v>0</v>
      </c>
      <c r="L1688" t="str">
        <f>"10,000"</f>
        <v>10,000</v>
      </c>
      <c r="M1688" t="str">
        <f t="shared" si="1069"/>
        <v xml:space="preserve"> </v>
      </c>
      <c r="N1688" t="str">
        <f t="shared" si="1088"/>
        <v>AUTRONIC</v>
      </c>
      <c r="O1688" t="str">
        <f t="shared" si="1089"/>
        <v>CABLES</v>
      </c>
      <c r="P1688" t="str">
        <f t="shared" si="1090"/>
        <v>0</v>
      </c>
      <c r="Q1688" t="str">
        <f t="shared" si="1090"/>
        <v>0</v>
      </c>
      <c r="R1688" t="str">
        <f t="shared" si="1091"/>
        <v>0,00</v>
      </c>
      <c r="S1688" t="str">
        <f t="shared" si="1091"/>
        <v>0,00</v>
      </c>
      <c r="T1688" t="str">
        <f t="shared" si="1066"/>
        <v xml:space="preserve"> </v>
      </c>
      <c r="U1688" t="str">
        <f t="shared" si="1086"/>
        <v xml:space="preserve"> </v>
      </c>
      <c r="V1688" t="str">
        <f>"10,000"</f>
        <v>10,000</v>
      </c>
      <c r="W1688" t="str">
        <f t="shared" si="1070"/>
        <v>Lista 4</v>
      </c>
      <c r="X1688" t="str">
        <f t="shared" si="1071"/>
        <v>Lista 5</v>
      </c>
      <c r="Y1688" t="str">
        <f t="shared" si="1072"/>
        <v>Oferta Gral.</v>
      </c>
      <c r="Z1688" t="str">
        <f t="shared" si="1073"/>
        <v>Rubro</v>
      </c>
      <c r="AA1688" t="str">
        <f t="shared" si="1074"/>
        <v>Cantidad por Bulto</v>
      </c>
      <c r="AB1688" t="str">
        <f t="shared" si="1075"/>
        <v>INNER</v>
      </c>
      <c r="AC1688" t="str">
        <f t="shared" si="1076"/>
        <v>Stock en Bultos</v>
      </c>
      <c r="AD1688" t="str">
        <f t="shared" si="1077"/>
        <v>SubDepósito</v>
      </c>
      <c r="AE1688" t="str">
        <f t="shared" si="1078"/>
        <v>Marca</v>
      </c>
      <c r="AF1688" t="str">
        <f t="shared" si="1079"/>
        <v>Super Rubro</v>
      </c>
      <c r="AG1688" t="str">
        <f t="shared" si="1080"/>
        <v>ComercioExterior</v>
      </c>
      <c r="AH1688" t="str">
        <f t="shared" si="1081"/>
        <v>PrecioFOB</v>
      </c>
      <c r="AI1688" t="str">
        <f t="shared" si="1082"/>
        <v>Monto II</v>
      </c>
      <c r="AJ1688" t="str">
        <f t="shared" si="1083"/>
        <v>Porcentaje II</v>
      </c>
      <c r="AK1688" t="str">
        <f t="shared" si="1084"/>
        <v>Foto</v>
      </c>
      <c r="AL1688" t="str">
        <f>"{\rtf1\ansi\ansicpg1252\deff0\deflang11274{\fonttbl{\f0\fnil\fcharset0 MS Sans Serif}} \viewkind4\uc1\pard\f0\fs16 CONECTOR FICHA 9 V\'cdAS CONTROL VENTILACI\'d3N Y AIRE ACOND. R19-21\par } "</f>
        <v xml:space="preserve">{\rtf1\ansi\ansicpg1252\deff0\deflang11274{\fonttbl{\f0\fnil\fcharset0 MS Sans Serif}} \viewkind4\uc1\pard\f0\fs16 CONECTOR FICHA 9 V\'cdAS CONTROL VENTILACI\'d3N Y AIRE ACOND. R19-21\par } </v>
      </c>
      <c r="AM1688" t="str">
        <f t="shared" si="1063"/>
        <v>-</v>
      </c>
    </row>
    <row r="1689" spans="1:39" x14ac:dyDescent="0.25">
      <c r="A1689" t="str">
        <f>"FI26024"</f>
        <v>FI26024</v>
      </c>
      <c r="B1689" t="str">
        <f>"CONECTOR MANGUERA COMBUSTIBLE  FORD COURIER FIESTA MOTOR ENDURA"</f>
        <v>CONECTOR MANGUERA COMBUSTIBLE  FORD COURIER FIESTA MOTOR ENDURA</v>
      </c>
      <c r="C1689" t="str">
        <f>"$ 25088,78"</f>
        <v>$ 25088,78</v>
      </c>
      <c r="D1689" t="str">
        <f>"$ 25088,78"</f>
        <v>$ 25088,78</v>
      </c>
      <c r="E1689" t="str">
        <f>"$ 25088,78"</f>
        <v>$ 25088,78</v>
      </c>
      <c r="F1689" t="str">
        <f>"$ 25088,78"</f>
        <v>$ 25088,78</v>
      </c>
      <c r="G1689" t="str">
        <f>"$ 25088,78"</f>
        <v>$ 25088,78</v>
      </c>
      <c r="H1689" t="str">
        <f t="shared" si="1067"/>
        <v>$ 0,00</v>
      </c>
      <c r="I1689" t="str">
        <f t="shared" ref="I1689:I1706" si="1092">"PICOS DE INYECCION TANCLICK"</f>
        <v>PICOS DE INYECCION TANCLICK</v>
      </c>
      <c r="J1689" t="str">
        <f t="shared" si="1068"/>
        <v>1</v>
      </c>
      <c r="K1689" t="str">
        <f t="shared" si="1062"/>
        <v>0</v>
      </c>
      <c r="L1689" t="str">
        <f>"6,000"</f>
        <v>6,000</v>
      </c>
      <c r="M1689" t="str">
        <f t="shared" si="1069"/>
        <v xml:space="preserve"> </v>
      </c>
      <c r="N1689" t="str">
        <f t="shared" ref="N1689:N1706" si="1093">"FISPA"</f>
        <v>FISPA</v>
      </c>
      <c r="O1689" t="str">
        <f t="shared" ref="O1689:O1706" si="1094">"CONECTORES"</f>
        <v>CONECTORES</v>
      </c>
      <c r="P1689" t="str">
        <f t="shared" si="1090"/>
        <v>0</v>
      </c>
      <c r="Q1689" t="str">
        <f t="shared" si="1090"/>
        <v>0</v>
      </c>
      <c r="R1689" t="str">
        <f t="shared" si="1091"/>
        <v>0,00</v>
      </c>
      <c r="S1689" t="str">
        <f t="shared" si="1091"/>
        <v>0,00</v>
      </c>
      <c r="T1689" t="str">
        <f t="shared" si="1066"/>
        <v xml:space="preserve"> </v>
      </c>
      <c r="U1689" t="str">
        <f t="shared" si="1086"/>
        <v xml:space="preserve"> </v>
      </c>
      <c r="V1689" t="str">
        <f>"6,000"</f>
        <v>6,000</v>
      </c>
      <c r="W1689" t="str">
        <f t="shared" si="1070"/>
        <v>Lista 4</v>
      </c>
      <c r="X1689" t="str">
        <f t="shared" si="1071"/>
        <v>Lista 5</v>
      </c>
      <c r="Y1689" t="str">
        <f t="shared" si="1072"/>
        <v>Oferta Gral.</v>
      </c>
      <c r="Z1689" t="str">
        <f t="shared" si="1073"/>
        <v>Rubro</v>
      </c>
      <c r="AA1689" t="str">
        <f t="shared" si="1074"/>
        <v>Cantidad por Bulto</v>
      </c>
      <c r="AB1689" t="str">
        <f t="shared" si="1075"/>
        <v>INNER</v>
      </c>
      <c r="AC1689" t="str">
        <f t="shared" si="1076"/>
        <v>Stock en Bultos</v>
      </c>
      <c r="AD1689" t="str">
        <f t="shared" si="1077"/>
        <v>SubDepósito</v>
      </c>
      <c r="AE1689" t="str">
        <f t="shared" si="1078"/>
        <v>Marca</v>
      </c>
      <c r="AF1689" t="str">
        <f t="shared" si="1079"/>
        <v>Super Rubro</v>
      </c>
      <c r="AG1689" t="str">
        <f t="shared" si="1080"/>
        <v>ComercioExterior</v>
      </c>
      <c r="AH1689" t="str">
        <f t="shared" si="1081"/>
        <v>PrecioFOB</v>
      </c>
      <c r="AI1689" t="str">
        <f t="shared" si="1082"/>
        <v>Monto II</v>
      </c>
      <c r="AJ1689" t="str">
        <f t="shared" si="1083"/>
        <v>Porcentaje II</v>
      </c>
      <c r="AK1689" t="str">
        <f t="shared" si="1084"/>
        <v>Foto</v>
      </c>
      <c r="AL168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689" t="str">
        <f>" "</f>
        <v xml:space="preserve"> </v>
      </c>
    </row>
    <row r="1690" spans="1:39" x14ac:dyDescent="0.25">
      <c r="A1690" t="str">
        <f>"FI26004"</f>
        <v>FI26004</v>
      </c>
      <c r="B1690" t="str">
        <f>"CONECTOR MANGUERA INY. 1/2 X 13 CURVO"</f>
        <v>CONECTOR MANGUERA INY. 1/2 X 13 CURVO</v>
      </c>
      <c r="C1690" t="str">
        <f>"$ 7008,66"</f>
        <v>$ 7008,66</v>
      </c>
      <c r="D1690" t="str">
        <f>"$ 7008,66"</f>
        <v>$ 7008,66</v>
      </c>
      <c r="E1690" t="str">
        <f>"$ 7008,66"</f>
        <v>$ 7008,66</v>
      </c>
      <c r="F1690" t="str">
        <f>"$ 7008,66"</f>
        <v>$ 7008,66</v>
      </c>
      <c r="G1690" t="str">
        <f>"$ 7008,66"</f>
        <v>$ 7008,66</v>
      </c>
      <c r="H1690" t="str">
        <f t="shared" si="1067"/>
        <v>$ 0,00</v>
      </c>
      <c r="I1690" t="str">
        <f t="shared" si="1092"/>
        <v>PICOS DE INYECCION TANCLICK</v>
      </c>
      <c r="J1690" t="str">
        <f t="shared" si="1068"/>
        <v>1</v>
      </c>
      <c r="K1690" t="str">
        <f t="shared" si="1062"/>
        <v>0</v>
      </c>
      <c r="L1690" t="str">
        <f>"19,000"</f>
        <v>19,000</v>
      </c>
      <c r="M1690" t="str">
        <f t="shared" si="1069"/>
        <v xml:space="preserve"> </v>
      </c>
      <c r="N1690" t="str">
        <f t="shared" si="1093"/>
        <v>FISPA</v>
      </c>
      <c r="O1690" t="str">
        <f t="shared" si="1094"/>
        <v>CONECTORES</v>
      </c>
      <c r="P1690" t="str">
        <f t="shared" si="1090"/>
        <v>0</v>
      </c>
      <c r="Q1690" t="str">
        <f t="shared" si="1090"/>
        <v>0</v>
      </c>
      <c r="R1690" t="str">
        <f t="shared" si="1091"/>
        <v>0,00</v>
      </c>
      <c r="S1690" t="str">
        <f t="shared" si="1091"/>
        <v>0,00</v>
      </c>
      <c r="T1690" t="str">
        <f t="shared" si="1066"/>
        <v xml:space="preserve"> </v>
      </c>
      <c r="U1690" t="str">
        <f t="shared" si="1086"/>
        <v xml:space="preserve"> </v>
      </c>
      <c r="V1690" t="str">
        <f>"19,000"</f>
        <v>19,000</v>
      </c>
      <c r="W1690" t="str">
        <f t="shared" si="1070"/>
        <v>Lista 4</v>
      </c>
      <c r="X1690" t="str">
        <f t="shared" si="1071"/>
        <v>Lista 5</v>
      </c>
      <c r="Y1690" t="str">
        <f t="shared" si="1072"/>
        <v>Oferta Gral.</v>
      </c>
      <c r="Z1690" t="str">
        <f t="shared" si="1073"/>
        <v>Rubro</v>
      </c>
      <c r="AA1690" t="str">
        <f t="shared" si="1074"/>
        <v>Cantidad por Bulto</v>
      </c>
      <c r="AB1690" t="str">
        <f t="shared" si="1075"/>
        <v>INNER</v>
      </c>
      <c r="AC1690" t="str">
        <f t="shared" si="1076"/>
        <v>Stock en Bultos</v>
      </c>
      <c r="AD1690" t="str">
        <f t="shared" si="1077"/>
        <v>SubDepósito</v>
      </c>
      <c r="AE1690" t="str">
        <f t="shared" si="1078"/>
        <v>Marca</v>
      </c>
      <c r="AF1690" t="str">
        <f t="shared" si="1079"/>
        <v>Super Rubro</v>
      </c>
      <c r="AG1690" t="str">
        <f t="shared" si="1080"/>
        <v>ComercioExterior</v>
      </c>
      <c r="AH1690" t="str">
        <f t="shared" si="1081"/>
        <v>PrecioFOB</v>
      </c>
      <c r="AI1690" t="str">
        <f t="shared" si="1082"/>
        <v>Monto II</v>
      </c>
      <c r="AJ1690" t="str">
        <f t="shared" si="1083"/>
        <v>Porcentaje II</v>
      </c>
      <c r="AK1690" t="str">
        <f t="shared" si="1084"/>
        <v>Foto</v>
      </c>
      <c r="AL1690" t="str">
        <f>" "</f>
        <v xml:space="preserve"> </v>
      </c>
      <c r="AM1690" t="str">
        <f t="shared" ref="AM1690:AM1713" si="1095">"-"</f>
        <v>-</v>
      </c>
    </row>
    <row r="1691" spans="1:39" x14ac:dyDescent="0.25">
      <c r="A1691" t="str">
        <f>"FI26012"</f>
        <v>FI26012</v>
      </c>
      <c r="B1691" t="str">
        <f>"CONECTOR MANGUERA INY. 3/8 X 3/8 BARTOLOMEU CURVO"</f>
        <v>CONECTOR MANGUERA INY. 3/8 X 3/8 BARTOLOMEU CURVO</v>
      </c>
      <c r="C1691" t="str">
        <f>"$ 6335,04"</f>
        <v>$ 6335,04</v>
      </c>
      <c r="D1691" t="str">
        <f>"$ 6335,04"</f>
        <v>$ 6335,04</v>
      </c>
      <c r="E1691" t="str">
        <f>"$ 6335,04"</f>
        <v>$ 6335,04</v>
      </c>
      <c r="F1691" t="str">
        <f>"$ 6335,04"</f>
        <v>$ 6335,04</v>
      </c>
      <c r="G1691" t="str">
        <f>"$ 6335,04"</f>
        <v>$ 6335,04</v>
      </c>
      <c r="H1691" t="str">
        <f t="shared" si="1067"/>
        <v>$ 0,00</v>
      </c>
      <c r="I1691" t="str">
        <f t="shared" si="1092"/>
        <v>PICOS DE INYECCION TANCLICK</v>
      </c>
      <c r="J1691" t="str">
        <f t="shared" si="1068"/>
        <v>1</v>
      </c>
      <c r="K1691" t="str">
        <f t="shared" si="1062"/>
        <v>0</v>
      </c>
      <c r="L1691" t="str">
        <f>"13,000"</f>
        <v>13,000</v>
      </c>
      <c r="M1691" t="str">
        <f t="shared" si="1069"/>
        <v xml:space="preserve"> </v>
      </c>
      <c r="N1691" t="str">
        <f t="shared" si="1093"/>
        <v>FISPA</v>
      </c>
      <c r="O1691" t="str">
        <f t="shared" si="1094"/>
        <v>CONECTORES</v>
      </c>
      <c r="P1691" t="str">
        <f t="shared" si="1090"/>
        <v>0</v>
      </c>
      <c r="Q1691" t="str">
        <f t="shared" si="1090"/>
        <v>0</v>
      </c>
      <c r="R1691" t="str">
        <f t="shared" si="1091"/>
        <v>0,00</v>
      </c>
      <c r="S1691" t="str">
        <f t="shared" si="1091"/>
        <v>0,00</v>
      </c>
      <c r="T1691" t="str">
        <f t="shared" si="1066"/>
        <v xml:space="preserve"> </v>
      </c>
      <c r="U1691" t="str">
        <f t="shared" si="1086"/>
        <v xml:space="preserve"> </v>
      </c>
      <c r="V1691" t="str">
        <f>"13,000"</f>
        <v>13,000</v>
      </c>
      <c r="W1691" t="str">
        <f t="shared" si="1070"/>
        <v>Lista 4</v>
      </c>
      <c r="X1691" t="str">
        <f t="shared" si="1071"/>
        <v>Lista 5</v>
      </c>
      <c r="Y1691" t="str">
        <f t="shared" si="1072"/>
        <v>Oferta Gral.</v>
      </c>
      <c r="Z1691" t="str">
        <f t="shared" si="1073"/>
        <v>Rubro</v>
      </c>
      <c r="AA1691" t="str">
        <f t="shared" si="1074"/>
        <v>Cantidad por Bulto</v>
      </c>
      <c r="AB1691" t="str">
        <f t="shared" si="1075"/>
        <v>INNER</v>
      </c>
      <c r="AC1691" t="str">
        <f t="shared" si="1076"/>
        <v>Stock en Bultos</v>
      </c>
      <c r="AD1691" t="str">
        <f t="shared" si="1077"/>
        <v>SubDepósito</v>
      </c>
      <c r="AE1691" t="str">
        <f t="shared" si="1078"/>
        <v>Marca</v>
      </c>
      <c r="AF1691" t="str">
        <f t="shared" si="1079"/>
        <v>Super Rubro</v>
      </c>
      <c r="AG1691" t="str">
        <f t="shared" si="1080"/>
        <v>ComercioExterior</v>
      </c>
      <c r="AH1691" t="str">
        <f t="shared" si="1081"/>
        <v>PrecioFOB</v>
      </c>
      <c r="AI1691" t="str">
        <f t="shared" si="1082"/>
        <v>Monto II</v>
      </c>
      <c r="AJ1691" t="str">
        <f t="shared" si="1083"/>
        <v>Porcentaje II</v>
      </c>
      <c r="AK1691" t="str">
        <f t="shared" si="1084"/>
        <v>Foto</v>
      </c>
      <c r="AL1691" t="str">
        <f>" "</f>
        <v xml:space="preserve"> </v>
      </c>
      <c r="AM1691" t="str">
        <f t="shared" si="1095"/>
        <v>-</v>
      </c>
    </row>
    <row r="1692" spans="1:39" x14ac:dyDescent="0.25">
      <c r="A1692" t="str">
        <f>"FI26011"</f>
        <v>FI26011</v>
      </c>
      <c r="B1692" t="str">
        <f>"CONECTOR MANGUERA INY. 3/8 X 3/8 BARTOLOMEU RECTO"</f>
        <v>CONECTOR MANGUERA INY. 3/8 X 3/8 BARTOLOMEU RECTO</v>
      </c>
      <c r="C1692" t="str">
        <f>"$ 5923,93"</f>
        <v>$ 5923,93</v>
      </c>
      <c r="D1692" t="str">
        <f>"$ 5923,93"</f>
        <v>$ 5923,93</v>
      </c>
      <c r="E1692" t="str">
        <f>"$ 5923,93"</f>
        <v>$ 5923,93</v>
      </c>
      <c r="F1692" t="str">
        <f>"$ 5923,93"</f>
        <v>$ 5923,93</v>
      </c>
      <c r="G1692" t="str">
        <f>"$ 5923,93"</f>
        <v>$ 5923,93</v>
      </c>
      <c r="H1692" t="str">
        <f t="shared" si="1067"/>
        <v>$ 0,00</v>
      </c>
      <c r="I1692" t="str">
        <f t="shared" si="1092"/>
        <v>PICOS DE INYECCION TANCLICK</v>
      </c>
      <c r="J1692" t="str">
        <f t="shared" si="1068"/>
        <v>1</v>
      </c>
      <c r="K1692" t="str">
        <f t="shared" si="1062"/>
        <v>0</v>
      </c>
      <c r="L1692" t="str">
        <f>"7,000"</f>
        <v>7,000</v>
      </c>
      <c r="M1692" t="str">
        <f t="shared" si="1069"/>
        <v xml:space="preserve"> </v>
      </c>
      <c r="N1692" t="str">
        <f t="shared" si="1093"/>
        <v>FISPA</v>
      </c>
      <c r="O1692" t="str">
        <f t="shared" si="1094"/>
        <v>CONECTORES</v>
      </c>
      <c r="P1692" t="str">
        <f t="shared" si="1090"/>
        <v>0</v>
      </c>
      <c r="Q1692" t="str">
        <f t="shared" si="1090"/>
        <v>0</v>
      </c>
      <c r="R1692" t="str">
        <f t="shared" si="1091"/>
        <v>0,00</v>
      </c>
      <c r="S1692" t="str">
        <f t="shared" si="1091"/>
        <v>0,00</v>
      </c>
      <c r="T1692" t="str">
        <f t="shared" si="1066"/>
        <v xml:space="preserve"> </v>
      </c>
      <c r="U1692" t="str">
        <f t="shared" si="1086"/>
        <v xml:space="preserve"> </v>
      </c>
      <c r="V1692" t="str">
        <f>"7,000"</f>
        <v>7,000</v>
      </c>
      <c r="W1692" t="str">
        <f t="shared" si="1070"/>
        <v>Lista 4</v>
      </c>
      <c r="X1692" t="str">
        <f t="shared" si="1071"/>
        <v>Lista 5</v>
      </c>
      <c r="Y1692" t="str">
        <f t="shared" si="1072"/>
        <v>Oferta Gral.</v>
      </c>
      <c r="Z1692" t="str">
        <f t="shared" si="1073"/>
        <v>Rubro</v>
      </c>
      <c r="AA1692" t="str">
        <f t="shared" si="1074"/>
        <v>Cantidad por Bulto</v>
      </c>
      <c r="AB1692" t="str">
        <f t="shared" si="1075"/>
        <v>INNER</v>
      </c>
      <c r="AC1692" t="str">
        <f t="shared" si="1076"/>
        <v>Stock en Bultos</v>
      </c>
      <c r="AD1692" t="str">
        <f t="shared" si="1077"/>
        <v>SubDepósito</v>
      </c>
      <c r="AE1692" t="str">
        <f t="shared" si="1078"/>
        <v>Marca</v>
      </c>
      <c r="AF1692" t="str">
        <f t="shared" si="1079"/>
        <v>Super Rubro</v>
      </c>
      <c r="AG1692" t="str">
        <f t="shared" si="1080"/>
        <v>ComercioExterior</v>
      </c>
      <c r="AH1692" t="str">
        <f t="shared" si="1081"/>
        <v>PrecioFOB</v>
      </c>
      <c r="AI1692" t="str">
        <f t="shared" si="1082"/>
        <v>Monto II</v>
      </c>
      <c r="AJ1692" t="str">
        <f t="shared" si="1083"/>
        <v>Porcentaje II</v>
      </c>
      <c r="AK1692" t="str">
        <f t="shared" si="1084"/>
        <v>Foto</v>
      </c>
      <c r="AL1692" t="str">
        <f>" "</f>
        <v xml:space="preserve"> </v>
      </c>
      <c r="AM1692" t="str">
        <f t="shared" si="1095"/>
        <v>-</v>
      </c>
    </row>
    <row r="1693" spans="1:39" x14ac:dyDescent="0.25">
      <c r="A1693" t="str">
        <f>"FI26010"</f>
        <v>FI26010</v>
      </c>
      <c r="B1693" t="str">
        <f>"CONECTOR MANGUERA INY. 3/8 X 5/16 BARTOLOMEU RECTO"</f>
        <v>CONECTOR MANGUERA INY. 3/8 X 5/16 BARTOLOMEU RECTO</v>
      </c>
      <c r="C1693" t="str">
        <f>"$ 5302,31"</f>
        <v>$ 5302,31</v>
      </c>
      <c r="D1693" t="str">
        <f>"$ 5302,31"</f>
        <v>$ 5302,31</v>
      </c>
      <c r="E1693" t="str">
        <f>"$ 5302,31"</f>
        <v>$ 5302,31</v>
      </c>
      <c r="F1693" t="str">
        <f>"$ 5302,31"</f>
        <v>$ 5302,31</v>
      </c>
      <c r="G1693" t="str">
        <f>"$ 5302,31"</f>
        <v>$ 5302,31</v>
      </c>
      <c r="H1693" t="str">
        <f t="shared" si="1067"/>
        <v>$ 0,00</v>
      </c>
      <c r="I1693" t="str">
        <f t="shared" si="1092"/>
        <v>PICOS DE INYECCION TANCLICK</v>
      </c>
      <c r="J1693" t="str">
        <f t="shared" si="1068"/>
        <v>1</v>
      </c>
      <c r="K1693" t="str">
        <f t="shared" si="1062"/>
        <v>0</v>
      </c>
      <c r="L1693" t="str">
        <f>"20,000"</f>
        <v>20,000</v>
      </c>
      <c r="M1693" t="str">
        <f t="shared" si="1069"/>
        <v xml:space="preserve"> </v>
      </c>
      <c r="N1693" t="str">
        <f t="shared" si="1093"/>
        <v>FISPA</v>
      </c>
      <c r="O1693" t="str">
        <f t="shared" si="1094"/>
        <v>CONECTORES</v>
      </c>
      <c r="P1693" t="str">
        <f t="shared" si="1090"/>
        <v>0</v>
      </c>
      <c r="Q1693" t="str">
        <f t="shared" si="1090"/>
        <v>0</v>
      </c>
      <c r="R1693" t="str">
        <f t="shared" si="1091"/>
        <v>0,00</v>
      </c>
      <c r="S1693" t="str">
        <f t="shared" si="1091"/>
        <v>0,00</v>
      </c>
      <c r="T1693" t="str">
        <f t="shared" si="1066"/>
        <v xml:space="preserve"> </v>
      </c>
      <c r="U1693" t="str">
        <f t="shared" si="1086"/>
        <v xml:space="preserve"> </v>
      </c>
      <c r="V1693" t="str">
        <f>"20,000"</f>
        <v>20,000</v>
      </c>
      <c r="W1693" t="str">
        <f t="shared" si="1070"/>
        <v>Lista 4</v>
      </c>
      <c r="X1693" t="str">
        <f t="shared" si="1071"/>
        <v>Lista 5</v>
      </c>
      <c r="Y1693" t="str">
        <f t="shared" si="1072"/>
        <v>Oferta Gral.</v>
      </c>
      <c r="Z1693" t="str">
        <f t="shared" si="1073"/>
        <v>Rubro</v>
      </c>
      <c r="AA1693" t="str">
        <f t="shared" si="1074"/>
        <v>Cantidad por Bulto</v>
      </c>
      <c r="AB1693" t="str">
        <f t="shared" si="1075"/>
        <v>INNER</v>
      </c>
      <c r="AC1693" t="str">
        <f t="shared" si="1076"/>
        <v>Stock en Bultos</v>
      </c>
      <c r="AD1693" t="str">
        <f t="shared" si="1077"/>
        <v>SubDepósito</v>
      </c>
      <c r="AE1693" t="str">
        <f t="shared" si="1078"/>
        <v>Marca</v>
      </c>
      <c r="AF1693" t="str">
        <f t="shared" si="1079"/>
        <v>Super Rubro</v>
      </c>
      <c r="AG1693" t="str">
        <f t="shared" si="1080"/>
        <v>ComercioExterior</v>
      </c>
      <c r="AH1693" t="str">
        <f t="shared" si="1081"/>
        <v>PrecioFOB</v>
      </c>
      <c r="AI1693" t="str">
        <f t="shared" si="1082"/>
        <v>Monto II</v>
      </c>
      <c r="AJ1693" t="str">
        <f t="shared" si="1083"/>
        <v>Porcentaje II</v>
      </c>
      <c r="AK1693" t="str">
        <f t="shared" si="1084"/>
        <v>Foto</v>
      </c>
      <c r="AL1693" t="str">
        <f>" "</f>
        <v xml:space="preserve"> </v>
      </c>
      <c r="AM1693" t="str">
        <f t="shared" si="1095"/>
        <v>-</v>
      </c>
    </row>
    <row r="1694" spans="1:39" x14ac:dyDescent="0.25">
      <c r="A1694" t="str">
        <f>"FI26018"</f>
        <v>FI26018</v>
      </c>
      <c r="B1694" t="str">
        <f>"CONECTOR MANGUERA INY. 3/8 X 5/16 POP TOP RECTO"</f>
        <v>CONECTOR MANGUERA INY. 3/8 X 5/16 POP TOP RECTO</v>
      </c>
      <c r="C1694" t="str">
        <f>"$ 6335,04"</f>
        <v>$ 6335,04</v>
      </c>
      <c r="D1694" t="str">
        <f>"$ 6335,04"</f>
        <v>$ 6335,04</v>
      </c>
      <c r="E1694" t="str">
        <f>"$ 6335,04"</f>
        <v>$ 6335,04</v>
      </c>
      <c r="F1694" t="str">
        <f>"$ 6335,04"</f>
        <v>$ 6335,04</v>
      </c>
      <c r="G1694" t="str">
        <f>"$ 6335,04"</f>
        <v>$ 6335,04</v>
      </c>
      <c r="H1694" t="str">
        <f t="shared" si="1067"/>
        <v>$ 0,00</v>
      </c>
      <c r="I1694" t="str">
        <f t="shared" si="1092"/>
        <v>PICOS DE INYECCION TANCLICK</v>
      </c>
      <c r="J1694" t="str">
        <f t="shared" si="1068"/>
        <v>1</v>
      </c>
      <c r="K1694" t="str">
        <f t="shared" si="1062"/>
        <v>0</v>
      </c>
      <c r="L1694" t="str">
        <f>"24,000"</f>
        <v>24,000</v>
      </c>
      <c r="M1694" t="str">
        <f t="shared" si="1069"/>
        <v xml:space="preserve"> </v>
      </c>
      <c r="N1694" t="str">
        <f t="shared" si="1093"/>
        <v>FISPA</v>
      </c>
      <c r="O1694" t="str">
        <f t="shared" si="1094"/>
        <v>CONECTORES</v>
      </c>
      <c r="P1694" t="str">
        <f t="shared" si="1090"/>
        <v>0</v>
      </c>
      <c r="Q1694" t="str">
        <f t="shared" si="1090"/>
        <v>0</v>
      </c>
      <c r="R1694" t="str">
        <f t="shared" si="1091"/>
        <v>0,00</v>
      </c>
      <c r="S1694" t="str">
        <f t="shared" si="1091"/>
        <v>0,00</v>
      </c>
      <c r="T1694" t="str">
        <f t="shared" si="1066"/>
        <v xml:space="preserve"> </v>
      </c>
      <c r="U1694" t="str">
        <f t="shared" si="1086"/>
        <v xml:space="preserve"> </v>
      </c>
      <c r="V1694" t="str">
        <f>"24,000"</f>
        <v>24,000</v>
      </c>
      <c r="W1694" t="str">
        <f t="shared" si="1070"/>
        <v>Lista 4</v>
      </c>
      <c r="X1694" t="str">
        <f t="shared" si="1071"/>
        <v>Lista 5</v>
      </c>
      <c r="Y1694" t="str">
        <f t="shared" si="1072"/>
        <v>Oferta Gral.</v>
      </c>
      <c r="Z1694" t="str">
        <f t="shared" si="1073"/>
        <v>Rubro</v>
      </c>
      <c r="AA1694" t="str">
        <f t="shared" si="1074"/>
        <v>Cantidad por Bulto</v>
      </c>
      <c r="AB1694" t="str">
        <f t="shared" si="1075"/>
        <v>INNER</v>
      </c>
      <c r="AC1694" t="str">
        <f t="shared" si="1076"/>
        <v>Stock en Bultos</v>
      </c>
      <c r="AD1694" t="str">
        <f t="shared" si="1077"/>
        <v>SubDepósito</v>
      </c>
      <c r="AE1694" t="str">
        <f t="shared" si="1078"/>
        <v>Marca</v>
      </c>
      <c r="AF1694" t="str">
        <f t="shared" si="1079"/>
        <v>Super Rubro</v>
      </c>
      <c r="AG1694" t="str">
        <f t="shared" si="1080"/>
        <v>ComercioExterior</v>
      </c>
      <c r="AH1694" t="str">
        <f t="shared" si="1081"/>
        <v>PrecioFOB</v>
      </c>
      <c r="AI1694" t="str">
        <f t="shared" si="1082"/>
        <v>Monto II</v>
      </c>
      <c r="AJ1694" t="str">
        <f t="shared" si="1083"/>
        <v>Porcentaje II</v>
      </c>
      <c r="AK1694" t="str">
        <f t="shared" si="1084"/>
        <v>Foto</v>
      </c>
      <c r="AL1694" t="str">
        <f>" "</f>
        <v xml:space="preserve"> </v>
      </c>
      <c r="AM1694" t="str">
        <f t="shared" si="1095"/>
        <v>-</v>
      </c>
    </row>
    <row r="1695" spans="1:39" x14ac:dyDescent="0.25">
      <c r="A1695" t="str">
        <f>"FI26001"</f>
        <v>FI26001</v>
      </c>
      <c r="B1695" t="str">
        <f>"CONECTOR MANGUERA INY. 5/16 5/16 LISO-RACORD"</f>
        <v>CONECTOR MANGUERA INY. 5/16 5/16 LISO-RACORD</v>
      </c>
      <c r="C1695" t="str">
        <f>"$ 1783,12"</f>
        <v>$ 1783,12</v>
      </c>
      <c r="D1695" t="str">
        <f>"$ 1783,12"</f>
        <v>$ 1783,12</v>
      </c>
      <c r="E1695" t="str">
        <f>"$ 1783,12"</f>
        <v>$ 1783,12</v>
      </c>
      <c r="F1695" t="str">
        <f>"$ 1783,12"</f>
        <v>$ 1783,12</v>
      </c>
      <c r="G1695" t="str">
        <f>"$ 1783,12"</f>
        <v>$ 1783,12</v>
      </c>
      <c r="H1695" t="str">
        <f t="shared" si="1067"/>
        <v>$ 0,00</v>
      </c>
      <c r="I1695" t="str">
        <f t="shared" si="1092"/>
        <v>PICOS DE INYECCION TANCLICK</v>
      </c>
      <c r="J1695" t="str">
        <f t="shared" si="1068"/>
        <v>1</v>
      </c>
      <c r="K1695" t="str">
        <f t="shared" si="1062"/>
        <v>0</v>
      </c>
      <c r="L1695" t="str">
        <f>"39,000"</f>
        <v>39,000</v>
      </c>
      <c r="M1695" t="str">
        <f t="shared" si="1069"/>
        <v xml:space="preserve"> </v>
      </c>
      <c r="N1695" t="str">
        <f t="shared" si="1093"/>
        <v>FISPA</v>
      </c>
      <c r="O1695" t="str">
        <f t="shared" si="1094"/>
        <v>CONECTORES</v>
      </c>
      <c r="P1695" t="str">
        <f t="shared" si="1090"/>
        <v>0</v>
      </c>
      <c r="Q1695" t="str">
        <f t="shared" si="1090"/>
        <v>0</v>
      </c>
      <c r="R1695" t="str">
        <f t="shared" si="1091"/>
        <v>0,00</v>
      </c>
      <c r="S1695" t="str">
        <f t="shared" si="1091"/>
        <v>0,00</v>
      </c>
      <c r="T1695" t="str">
        <f t="shared" si="1066"/>
        <v xml:space="preserve"> </v>
      </c>
      <c r="U1695" t="str">
        <f t="shared" si="1086"/>
        <v xml:space="preserve"> </v>
      </c>
      <c r="V1695" t="str">
        <f>"39,000"</f>
        <v>39,000</v>
      </c>
      <c r="W1695" t="str">
        <f t="shared" si="1070"/>
        <v>Lista 4</v>
      </c>
      <c r="X1695" t="str">
        <f t="shared" si="1071"/>
        <v>Lista 5</v>
      </c>
      <c r="Y1695" t="str">
        <f t="shared" si="1072"/>
        <v>Oferta Gral.</v>
      </c>
      <c r="Z1695" t="str">
        <f t="shared" si="1073"/>
        <v>Rubro</v>
      </c>
      <c r="AA1695" t="str">
        <f t="shared" si="1074"/>
        <v>Cantidad por Bulto</v>
      </c>
      <c r="AB1695" t="str">
        <f t="shared" si="1075"/>
        <v>INNER</v>
      </c>
      <c r="AC1695" t="str">
        <f t="shared" si="1076"/>
        <v>Stock en Bultos</v>
      </c>
      <c r="AD1695" t="str">
        <f t="shared" si="1077"/>
        <v>SubDepósito</v>
      </c>
      <c r="AE1695" t="str">
        <f t="shared" si="1078"/>
        <v>Marca</v>
      </c>
      <c r="AF1695" t="str">
        <f t="shared" si="1079"/>
        <v>Super Rubro</v>
      </c>
      <c r="AG1695" t="str">
        <f t="shared" si="1080"/>
        <v>ComercioExterior</v>
      </c>
      <c r="AH1695" t="str">
        <f t="shared" si="1081"/>
        <v>PrecioFOB</v>
      </c>
      <c r="AI1695" t="str">
        <f t="shared" si="1082"/>
        <v>Monto II</v>
      </c>
      <c r="AJ1695" t="str">
        <f t="shared" si="1083"/>
        <v>Porcentaje II</v>
      </c>
      <c r="AK1695" t="str">
        <f t="shared" si="1084"/>
        <v>Foto</v>
      </c>
      <c r="AL1695" t="str">
        <f>"{\rtf1\ansi\ansicpg1252\deff0\deflang11274{\fonttbl{\f0\fnil\fcharset0 MS Sans Serif}} \viewkind4\uc1\pard\f0\fs16 CONECTOR MANGUERA INY. 5/16 5/16 LISO-RACORD\par } "</f>
        <v xml:space="preserve">{\rtf1\ansi\ansicpg1252\deff0\deflang11274{\fonttbl{\f0\fnil\fcharset0 MS Sans Serif}} \viewkind4\uc1\pard\f0\fs16 CONECTOR MANGUERA INY. 5/16 5/16 LISO-RACORD\par } </v>
      </c>
      <c r="AM1695" t="str">
        <f t="shared" si="1095"/>
        <v>-</v>
      </c>
    </row>
    <row r="1696" spans="1:39" x14ac:dyDescent="0.25">
      <c r="A1696" t="str">
        <f>"FI26009"</f>
        <v>FI26009</v>
      </c>
      <c r="B1696" t="str">
        <f>"CONECTOR MANGUERA INY. 5/16 X 5/16 BARTOLOMEU CURVO"</f>
        <v>CONECTOR MANGUERA INY. 5/16 X 5/16 BARTOLOMEU CURVO</v>
      </c>
      <c r="C1696" t="str">
        <f>"$ 4865,20"</f>
        <v>$ 4865,20</v>
      </c>
      <c r="D1696" t="str">
        <f>"$ 4865,20"</f>
        <v>$ 4865,20</v>
      </c>
      <c r="E1696" t="str">
        <f>"$ 4865,20"</f>
        <v>$ 4865,20</v>
      </c>
      <c r="F1696" t="str">
        <f>"$ 4865,20"</f>
        <v>$ 4865,20</v>
      </c>
      <c r="G1696" t="str">
        <f>"$ 4865,20"</f>
        <v>$ 4865,20</v>
      </c>
      <c r="H1696" t="str">
        <f t="shared" si="1067"/>
        <v>$ 0,00</v>
      </c>
      <c r="I1696" t="str">
        <f t="shared" si="1092"/>
        <v>PICOS DE INYECCION TANCLICK</v>
      </c>
      <c r="J1696" t="str">
        <f t="shared" si="1068"/>
        <v>1</v>
      </c>
      <c r="K1696" t="str">
        <f t="shared" si="1062"/>
        <v>0</v>
      </c>
      <c r="L1696" t="str">
        <f>"15,000"</f>
        <v>15,000</v>
      </c>
      <c r="M1696" t="str">
        <f t="shared" si="1069"/>
        <v xml:space="preserve"> </v>
      </c>
      <c r="N1696" t="str">
        <f t="shared" si="1093"/>
        <v>FISPA</v>
      </c>
      <c r="O1696" t="str">
        <f t="shared" si="1094"/>
        <v>CONECTORES</v>
      </c>
      <c r="P1696" t="str">
        <f t="shared" si="1090"/>
        <v>0</v>
      </c>
      <c r="Q1696" t="str">
        <f t="shared" si="1090"/>
        <v>0</v>
      </c>
      <c r="R1696" t="str">
        <f t="shared" si="1091"/>
        <v>0,00</v>
      </c>
      <c r="S1696" t="str">
        <f t="shared" si="1091"/>
        <v>0,00</v>
      </c>
      <c r="T1696" t="str">
        <f t="shared" si="1066"/>
        <v xml:space="preserve"> </v>
      </c>
      <c r="U1696" t="str">
        <f t="shared" si="1086"/>
        <v xml:space="preserve"> </v>
      </c>
      <c r="V1696" t="str">
        <f>"15,000"</f>
        <v>15,000</v>
      </c>
      <c r="W1696" t="str">
        <f t="shared" si="1070"/>
        <v>Lista 4</v>
      </c>
      <c r="X1696" t="str">
        <f t="shared" si="1071"/>
        <v>Lista 5</v>
      </c>
      <c r="Y1696" t="str">
        <f t="shared" si="1072"/>
        <v>Oferta Gral.</v>
      </c>
      <c r="Z1696" t="str">
        <f t="shared" si="1073"/>
        <v>Rubro</v>
      </c>
      <c r="AA1696" t="str">
        <f t="shared" si="1074"/>
        <v>Cantidad por Bulto</v>
      </c>
      <c r="AB1696" t="str">
        <f t="shared" si="1075"/>
        <v>INNER</v>
      </c>
      <c r="AC1696" t="str">
        <f t="shared" si="1076"/>
        <v>Stock en Bultos</v>
      </c>
      <c r="AD1696" t="str">
        <f t="shared" si="1077"/>
        <v>SubDepósito</v>
      </c>
      <c r="AE1696" t="str">
        <f t="shared" si="1078"/>
        <v>Marca</v>
      </c>
      <c r="AF1696" t="str">
        <f t="shared" si="1079"/>
        <v>Super Rubro</v>
      </c>
      <c r="AG1696" t="str">
        <f t="shared" si="1080"/>
        <v>ComercioExterior</v>
      </c>
      <c r="AH1696" t="str">
        <f t="shared" si="1081"/>
        <v>PrecioFOB</v>
      </c>
      <c r="AI1696" t="str">
        <f t="shared" si="1082"/>
        <v>Monto II</v>
      </c>
      <c r="AJ1696" t="str">
        <f t="shared" si="1083"/>
        <v>Porcentaje II</v>
      </c>
      <c r="AK1696" t="str">
        <f t="shared" si="1084"/>
        <v>Foto</v>
      </c>
      <c r="AL1696" t="str">
        <f t="shared" ref="AL1696:AL1703" si="1096">" "</f>
        <v xml:space="preserve"> </v>
      </c>
      <c r="AM1696" t="str">
        <f t="shared" si="1095"/>
        <v>-</v>
      </c>
    </row>
    <row r="1697" spans="1:39" x14ac:dyDescent="0.25">
      <c r="A1697" t="str">
        <f>"FI26008"</f>
        <v>FI26008</v>
      </c>
      <c r="B1697" t="str">
        <f>"CONECTOR MANGUERA INY. 5/16 X 5/16 BARTOLOMEU RECTO"</f>
        <v>CONECTOR MANGUERA INY. 5/16 X 5/16 BARTOLOMEU RECTO</v>
      </c>
      <c r="C1697" t="str">
        <f>"$ 4199,01"</f>
        <v>$ 4199,01</v>
      </c>
      <c r="D1697" t="str">
        <f>"$ 4199,01"</f>
        <v>$ 4199,01</v>
      </c>
      <c r="E1697" t="str">
        <f>"$ 4199,01"</f>
        <v>$ 4199,01</v>
      </c>
      <c r="F1697" t="str">
        <f>"$ 4199,01"</f>
        <v>$ 4199,01</v>
      </c>
      <c r="G1697" t="str">
        <f>"$ 4199,01"</f>
        <v>$ 4199,01</v>
      </c>
      <c r="H1697" t="str">
        <f t="shared" si="1067"/>
        <v>$ 0,00</v>
      </c>
      <c r="I1697" t="str">
        <f t="shared" si="1092"/>
        <v>PICOS DE INYECCION TANCLICK</v>
      </c>
      <c r="J1697" t="str">
        <f t="shared" si="1068"/>
        <v>1</v>
      </c>
      <c r="K1697" t="str">
        <f t="shared" si="1062"/>
        <v>0</v>
      </c>
      <c r="L1697" t="str">
        <f>"27,000"</f>
        <v>27,000</v>
      </c>
      <c r="M1697" t="str">
        <f t="shared" si="1069"/>
        <v xml:space="preserve"> </v>
      </c>
      <c r="N1697" t="str">
        <f t="shared" si="1093"/>
        <v>FISPA</v>
      </c>
      <c r="O1697" t="str">
        <f t="shared" si="1094"/>
        <v>CONECTORES</v>
      </c>
      <c r="P1697" t="str">
        <f t="shared" si="1090"/>
        <v>0</v>
      </c>
      <c r="Q1697" t="str">
        <f t="shared" si="1090"/>
        <v>0</v>
      </c>
      <c r="R1697" t="str">
        <f t="shared" si="1091"/>
        <v>0,00</v>
      </c>
      <c r="S1697" t="str">
        <f t="shared" si="1091"/>
        <v>0,00</v>
      </c>
      <c r="T1697" t="str">
        <f t="shared" si="1066"/>
        <v xml:space="preserve"> </v>
      </c>
      <c r="U1697" t="str">
        <f t="shared" si="1086"/>
        <v xml:space="preserve"> </v>
      </c>
      <c r="V1697" t="str">
        <f>"27,000"</f>
        <v>27,000</v>
      </c>
      <c r="W1697" t="str">
        <f t="shared" si="1070"/>
        <v>Lista 4</v>
      </c>
      <c r="X1697" t="str">
        <f t="shared" si="1071"/>
        <v>Lista 5</v>
      </c>
      <c r="Y1697" t="str">
        <f t="shared" si="1072"/>
        <v>Oferta Gral.</v>
      </c>
      <c r="Z1697" t="str">
        <f t="shared" si="1073"/>
        <v>Rubro</v>
      </c>
      <c r="AA1697" t="str">
        <f t="shared" si="1074"/>
        <v>Cantidad por Bulto</v>
      </c>
      <c r="AB1697" t="str">
        <f t="shared" si="1075"/>
        <v>INNER</v>
      </c>
      <c r="AC1697" t="str">
        <f t="shared" si="1076"/>
        <v>Stock en Bultos</v>
      </c>
      <c r="AD1697" t="str">
        <f t="shared" si="1077"/>
        <v>SubDepósito</v>
      </c>
      <c r="AE1697" t="str">
        <f t="shared" si="1078"/>
        <v>Marca</v>
      </c>
      <c r="AF1697" t="str">
        <f t="shared" si="1079"/>
        <v>Super Rubro</v>
      </c>
      <c r="AG1697" t="str">
        <f t="shared" si="1080"/>
        <v>ComercioExterior</v>
      </c>
      <c r="AH1697" t="str">
        <f t="shared" si="1081"/>
        <v>PrecioFOB</v>
      </c>
      <c r="AI1697" t="str">
        <f t="shared" si="1082"/>
        <v>Monto II</v>
      </c>
      <c r="AJ1697" t="str">
        <f t="shared" si="1083"/>
        <v>Porcentaje II</v>
      </c>
      <c r="AK1697" t="str">
        <f t="shared" si="1084"/>
        <v>Foto</v>
      </c>
      <c r="AL1697" t="str">
        <f t="shared" si="1096"/>
        <v xml:space="preserve"> </v>
      </c>
      <c r="AM1697" t="str">
        <f t="shared" si="1095"/>
        <v>-</v>
      </c>
    </row>
    <row r="1698" spans="1:39" x14ac:dyDescent="0.25">
      <c r="A1698" t="str">
        <f>"FI26015"</f>
        <v>FI26015</v>
      </c>
      <c r="B1698" t="str">
        <f>"CONECTOR MANGUERA INY. 5/16 X 5/16 COMPACTO RECTO"</f>
        <v>CONECTOR MANGUERA INY. 5/16 X 5/16 COMPACTO RECTO</v>
      </c>
      <c r="C1698" t="str">
        <f>"$ 5302,31"</f>
        <v>$ 5302,31</v>
      </c>
      <c r="D1698" t="str">
        <f>"$ 5302,31"</f>
        <v>$ 5302,31</v>
      </c>
      <c r="E1698" t="str">
        <f>"$ 5302,31"</f>
        <v>$ 5302,31</v>
      </c>
      <c r="F1698" t="str">
        <f>"$ 5302,31"</f>
        <v>$ 5302,31</v>
      </c>
      <c r="G1698" t="str">
        <f>"$ 5302,31"</f>
        <v>$ 5302,31</v>
      </c>
      <c r="H1698" t="str">
        <f t="shared" si="1067"/>
        <v>$ 0,00</v>
      </c>
      <c r="I1698" t="str">
        <f t="shared" si="1092"/>
        <v>PICOS DE INYECCION TANCLICK</v>
      </c>
      <c r="J1698" t="str">
        <f t="shared" si="1068"/>
        <v>1</v>
      </c>
      <c r="K1698" t="str">
        <f t="shared" si="1062"/>
        <v>0</v>
      </c>
      <c r="L1698" t="str">
        <f>"15,000"</f>
        <v>15,000</v>
      </c>
      <c r="M1698" t="str">
        <f t="shared" si="1069"/>
        <v xml:space="preserve"> </v>
      </c>
      <c r="N1698" t="str">
        <f t="shared" si="1093"/>
        <v>FISPA</v>
      </c>
      <c r="O1698" t="str">
        <f t="shared" si="1094"/>
        <v>CONECTORES</v>
      </c>
      <c r="P1698" t="str">
        <f t="shared" si="1090"/>
        <v>0</v>
      </c>
      <c r="Q1698" t="str">
        <f t="shared" si="1090"/>
        <v>0</v>
      </c>
      <c r="R1698" t="str">
        <f t="shared" si="1091"/>
        <v>0,00</v>
      </c>
      <c r="S1698" t="str">
        <f t="shared" si="1091"/>
        <v>0,00</v>
      </c>
      <c r="T1698" t="str">
        <f t="shared" si="1066"/>
        <v xml:space="preserve"> </v>
      </c>
      <c r="U1698" t="str">
        <f t="shared" si="1086"/>
        <v xml:space="preserve"> </v>
      </c>
      <c r="V1698" t="str">
        <f>"15,000"</f>
        <v>15,000</v>
      </c>
      <c r="W1698" t="str">
        <f t="shared" si="1070"/>
        <v>Lista 4</v>
      </c>
      <c r="X1698" t="str">
        <f t="shared" si="1071"/>
        <v>Lista 5</v>
      </c>
      <c r="Y1698" t="str">
        <f t="shared" si="1072"/>
        <v>Oferta Gral.</v>
      </c>
      <c r="Z1698" t="str">
        <f t="shared" si="1073"/>
        <v>Rubro</v>
      </c>
      <c r="AA1698" t="str">
        <f t="shared" si="1074"/>
        <v>Cantidad por Bulto</v>
      </c>
      <c r="AB1698" t="str">
        <f t="shared" si="1075"/>
        <v>INNER</v>
      </c>
      <c r="AC1698" t="str">
        <f t="shared" si="1076"/>
        <v>Stock en Bultos</v>
      </c>
      <c r="AD1698" t="str">
        <f t="shared" si="1077"/>
        <v>SubDepósito</v>
      </c>
      <c r="AE1698" t="str">
        <f t="shared" si="1078"/>
        <v>Marca</v>
      </c>
      <c r="AF1698" t="str">
        <f t="shared" si="1079"/>
        <v>Super Rubro</v>
      </c>
      <c r="AG1698" t="str">
        <f t="shared" si="1080"/>
        <v>ComercioExterior</v>
      </c>
      <c r="AH1698" t="str">
        <f t="shared" si="1081"/>
        <v>PrecioFOB</v>
      </c>
      <c r="AI1698" t="str">
        <f t="shared" si="1082"/>
        <v>Monto II</v>
      </c>
      <c r="AJ1698" t="str">
        <f t="shared" si="1083"/>
        <v>Porcentaje II</v>
      </c>
      <c r="AK1698" t="str">
        <f t="shared" si="1084"/>
        <v>Foto</v>
      </c>
      <c r="AL1698" t="str">
        <f t="shared" si="1096"/>
        <v xml:space="preserve"> </v>
      </c>
      <c r="AM1698" t="str">
        <f t="shared" si="1095"/>
        <v>-</v>
      </c>
    </row>
    <row r="1699" spans="1:39" x14ac:dyDescent="0.25">
      <c r="A1699" t="str">
        <f>"FI26019"</f>
        <v>FI26019</v>
      </c>
      <c r="B1699" t="str">
        <f>"CONECTOR MANGUERA INY. 5/16 X 5/16 LISO-LISO-RACORD ADAPTADOR T"</f>
        <v>CONECTOR MANGUERA INY. 5/16 X 5/16 LISO-LISO-RACORD ADAPTADOR T</v>
      </c>
      <c r="C1699" t="str">
        <f>"$ 3828,76"</f>
        <v>$ 3828,76</v>
      </c>
      <c r="D1699" t="str">
        <f>"$ 3828,76"</f>
        <v>$ 3828,76</v>
      </c>
      <c r="E1699" t="str">
        <f>"$ 3828,76"</f>
        <v>$ 3828,76</v>
      </c>
      <c r="F1699" t="str">
        <f>"$ 3828,76"</f>
        <v>$ 3828,76</v>
      </c>
      <c r="G1699" t="str">
        <f>"$ 3828,76"</f>
        <v>$ 3828,76</v>
      </c>
      <c r="H1699" t="str">
        <f t="shared" si="1067"/>
        <v>$ 0,00</v>
      </c>
      <c r="I1699" t="str">
        <f t="shared" si="1092"/>
        <v>PICOS DE INYECCION TANCLICK</v>
      </c>
      <c r="J1699" t="str">
        <f t="shared" si="1068"/>
        <v>1</v>
      </c>
      <c r="K1699" t="str">
        <f t="shared" si="1062"/>
        <v>0</v>
      </c>
      <c r="L1699" t="str">
        <f>"13,000"</f>
        <v>13,000</v>
      </c>
      <c r="M1699" t="str">
        <f t="shared" si="1069"/>
        <v xml:space="preserve"> </v>
      </c>
      <c r="N1699" t="str">
        <f t="shared" si="1093"/>
        <v>FISPA</v>
      </c>
      <c r="O1699" t="str">
        <f t="shared" si="1094"/>
        <v>CONECTORES</v>
      </c>
      <c r="P1699" t="str">
        <f t="shared" si="1090"/>
        <v>0</v>
      </c>
      <c r="Q1699" t="str">
        <f t="shared" si="1090"/>
        <v>0</v>
      </c>
      <c r="R1699" t="str">
        <f t="shared" si="1091"/>
        <v>0,00</v>
      </c>
      <c r="S1699" t="str">
        <f t="shared" si="1091"/>
        <v>0,00</v>
      </c>
      <c r="T1699" t="str">
        <f t="shared" si="1066"/>
        <v xml:space="preserve"> </v>
      </c>
      <c r="U1699" t="str">
        <f t="shared" si="1086"/>
        <v xml:space="preserve"> </v>
      </c>
      <c r="V1699" t="str">
        <f>"13,000"</f>
        <v>13,000</v>
      </c>
      <c r="W1699" t="str">
        <f t="shared" si="1070"/>
        <v>Lista 4</v>
      </c>
      <c r="X1699" t="str">
        <f t="shared" si="1071"/>
        <v>Lista 5</v>
      </c>
      <c r="Y1699" t="str">
        <f t="shared" si="1072"/>
        <v>Oferta Gral.</v>
      </c>
      <c r="Z1699" t="str">
        <f t="shared" si="1073"/>
        <v>Rubro</v>
      </c>
      <c r="AA1699" t="str">
        <f t="shared" si="1074"/>
        <v>Cantidad por Bulto</v>
      </c>
      <c r="AB1699" t="str">
        <f t="shared" si="1075"/>
        <v>INNER</v>
      </c>
      <c r="AC1699" t="str">
        <f t="shared" si="1076"/>
        <v>Stock en Bultos</v>
      </c>
      <c r="AD1699" t="str">
        <f t="shared" si="1077"/>
        <v>SubDepósito</v>
      </c>
      <c r="AE1699" t="str">
        <f t="shared" si="1078"/>
        <v>Marca</v>
      </c>
      <c r="AF1699" t="str">
        <f t="shared" si="1079"/>
        <v>Super Rubro</v>
      </c>
      <c r="AG1699" t="str">
        <f t="shared" si="1080"/>
        <v>ComercioExterior</v>
      </c>
      <c r="AH1699" t="str">
        <f t="shared" si="1081"/>
        <v>PrecioFOB</v>
      </c>
      <c r="AI1699" t="str">
        <f t="shared" si="1082"/>
        <v>Monto II</v>
      </c>
      <c r="AJ1699" t="str">
        <f t="shared" si="1083"/>
        <v>Porcentaje II</v>
      </c>
      <c r="AK1699" t="str">
        <f t="shared" si="1084"/>
        <v>Foto</v>
      </c>
      <c r="AL1699" t="str">
        <f t="shared" si="1096"/>
        <v xml:space="preserve"> </v>
      </c>
      <c r="AM1699" t="str">
        <f t="shared" si="1095"/>
        <v>-</v>
      </c>
    </row>
    <row r="1700" spans="1:39" x14ac:dyDescent="0.25">
      <c r="A1700" t="str">
        <f>"FI26014"</f>
        <v>FI26014</v>
      </c>
      <c r="B1700" t="str">
        <f>"CONECTOR MANGUERA INY. 5/16 X 5/16 POP TOP 45º"</f>
        <v>CONECTOR MANGUERA INY. 5/16 X 5/16 POP TOP 45º</v>
      </c>
      <c r="C1700" t="str">
        <f>"$ 6254,55"</f>
        <v>$ 6254,55</v>
      </c>
      <c r="D1700" t="str">
        <f>"$ 6254,55"</f>
        <v>$ 6254,55</v>
      </c>
      <c r="E1700" t="str">
        <f>"$ 6254,55"</f>
        <v>$ 6254,55</v>
      </c>
      <c r="F1700" t="str">
        <f>"$ 6254,55"</f>
        <v>$ 6254,55</v>
      </c>
      <c r="G1700" t="str">
        <f>"$ 6254,55"</f>
        <v>$ 6254,55</v>
      </c>
      <c r="H1700" t="str">
        <f t="shared" si="1067"/>
        <v>$ 0,00</v>
      </c>
      <c r="I1700" t="str">
        <f t="shared" si="1092"/>
        <v>PICOS DE INYECCION TANCLICK</v>
      </c>
      <c r="J1700" t="str">
        <f t="shared" si="1068"/>
        <v>1</v>
      </c>
      <c r="K1700" t="str">
        <f t="shared" si="1062"/>
        <v>0</v>
      </c>
      <c r="L1700" t="str">
        <f>"13,000"</f>
        <v>13,000</v>
      </c>
      <c r="M1700" t="str">
        <f t="shared" si="1069"/>
        <v xml:space="preserve"> </v>
      </c>
      <c r="N1700" t="str">
        <f t="shared" si="1093"/>
        <v>FISPA</v>
      </c>
      <c r="O1700" t="str">
        <f t="shared" si="1094"/>
        <v>CONECTORES</v>
      </c>
      <c r="P1700" t="str">
        <f t="shared" si="1090"/>
        <v>0</v>
      </c>
      <c r="Q1700" t="str">
        <f t="shared" si="1090"/>
        <v>0</v>
      </c>
      <c r="R1700" t="str">
        <f t="shared" si="1091"/>
        <v>0,00</v>
      </c>
      <c r="S1700" t="str">
        <f t="shared" si="1091"/>
        <v>0,00</v>
      </c>
      <c r="T1700" t="str">
        <f t="shared" si="1066"/>
        <v xml:space="preserve"> </v>
      </c>
      <c r="U1700" t="str">
        <f t="shared" si="1086"/>
        <v xml:space="preserve"> </v>
      </c>
      <c r="V1700" t="str">
        <f>"13,000"</f>
        <v>13,000</v>
      </c>
      <c r="W1700" t="str">
        <f t="shared" si="1070"/>
        <v>Lista 4</v>
      </c>
      <c r="X1700" t="str">
        <f t="shared" si="1071"/>
        <v>Lista 5</v>
      </c>
      <c r="Y1700" t="str">
        <f t="shared" si="1072"/>
        <v>Oferta Gral.</v>
      </c>
      <c r="Z1700" t="str">
        <f t="shared" si="1073"/>
        <v>Rubro</v>
      </c>
      <c r="AA1700" t="str">
        <f t="shared" si="1074"/>
        <v>Cantidad por Bulto</v>
      </c>
      <c r="AB1700" t="str">
        <f t="shared" si="1075"/>
        <v>INNER</v>
      </c>
      <c r="AC1700" t="str">
        <f t="shared" si="1076"/>
        <v>Stock en Bultos</v>
      </c>
      <c r="AD1700" t="str">
        <f t="shared" si="1077"/>
        <v>SubDepósito</v>
      </c>
      <c r="AE1700" t="str">
        <f t="shared" si="1078"/>
        <v>Marca</v>
      </c>
      <c r="AF1700" t="str">
        <f t="shared" si="1079"/>
        <v>Super Rubro</v>
      </c>
      <c r="AG1700" t="str">
        <f t="shared" si="1080"/>
        <v>ComercioExterior</v>
      </c>
      <c r="AH1700" t="str">
        <f t="shared" si="1081"/>
        <v>PrecioFOB</v>
      </c>
      <c r="AI1700" t="str">
        <f t="shared" si="1082"/>
        <v>Monto II</v>
      </c>
      <c r="AJ1700" t="str">
        <f t="shared" si="1083"/>
        <v>Porcentaje II</v>
      </c>
      <c r="AK1700" t="str">
        <f t="shared" si="1084"/>
        <v>Foto</v>
      </c>
      <c r="AL1700" t="str">
        <f t="shared" si="1096"/>
        <v xml:space="preserve"> </v>
      </c>
      <c r="AM1700" t="str">
        <f t="shared" si="1095"/>
        <v>-</v>
      </c>
    </row>
    <row r="1701" spans="1:39" x14ac:dyDescent="0.25">
      <c r="A1701" t="str">
        <f>"FI26013"</f>
        <v>FI26013</v>
      </c>
      <c r="B1701" t="str">
        <f>"CONECTOR MANGUERA INY. 5/16 X 5/16 POP TOP RECTO"</f>
        <v>CONECTOR MANGUERA INY. 5/16 X 5/16 POP TOP RECTO</v>
      </c>
      <c r="C1701" t="str">
        <f>"$ 5131,43"</f>
        <v>$ 5131,43</v>
      </c>
      <c r="D1701" t="str">
        <f>"$ 5131,43"</f>
        <v>$ 5131,43</v>
      </c>
      <c r="E1701" t="str">
        <f>"$ 5131,43"</f>
        <v>$ 5131,43</v>
      </c>
      <c r="F1701" t="str">
        <f>"$ 5131,43"</f>
        <v>$ 5131,43</v>
      </c>
      <c r="G1701" t="str">
        <f>"$ 5131,43"</f>
        <v>$ 5131,43</v>
      </c>
      <c r="H1701" t="str">
        <f t="shared" si="1067"/>
        <v>$ 0,00</v>
      </c>
      <c r="I1701" t="str">
        <f t="shared" si="1092"/>
        <v>PICOS DE INYECCION TANCLICK</v>
      </c>
      <c r="J1701" t="str">
        <f t="shared" si="1068"/>
        <v>1</v>
      </c>
      <c r="K1701" t="str">
        <f t="shared" si="1062"/>
        <v>0</v>
      </c>
      <c r="L1701" t="str">
        <f>"23,000"</f>
        <v>23,000</v>
      </c>
      <c r="M1701" t="str">
        <f t="shared" si="1069"/>
        <v xml:space="preserve"> </v>
      </c>
      <c r="N1701" t="str">
        <f t="shared" si="1093"/>
        <v>FISPA</v>
      </c>
      <c r="O1701" t="str">
        <f t="shared" si="1094"/>
        <v>CONECTORES</v>
      </c>
      <c r="P1701" t="str">
        <f t="shared" si="1090"/>
        <v>0</v>
      </c>
      <c r="Q1701" t="str">
        <f t="shared" si="1090"/>
        <v>0</v>
      </c>
      <c r="R1701" t="str">
        <f t="shared" si="1091"/>
        <v>0,00</v>
      </c>
      <c r="S1701" t="str">
        <f t="shared" si="1091"/>
        <v>0,00</v>
      </c>
      <c r="T1701" t="str">
        <f t="shared" si="1066"/>
        <v xml:space="preserve"> </v>
      </c>
      <c r="U1701" t="str">
        <f t="shared" si="1086"/>
        <v xml:space="preserve"> </v>
      </c>
      <c r="V1701" t="str">
        <f>"23,000"</f>
        <v>23,000</v>
      </c>
      <c r="W1701" t="str">
        <f t="shared" si="1070"/>
        <v>Lista 4</v>
      </c>
      <c r="X1701" t="str">
        <f t="shared" si="1071"/>
        <v>Lista 5</v>
      </c>
      <c r="Y1701" t="str">
        <f t="shared" si="1072"/>
        <v>Oferta Gral.</v>
      </c>
      <c r="Z1701" t="str">
        <f t="shared" si="1073"/>
        <v>Rubro</v>
      </c>
      <c r="AA1701" t="str">
        <f t="shared" si="1074"/>
        <v>Cantidad por Bulto</v>
      </c>
      <c r="AB1701" t="str">
        <f t="shared" si="1075"/>
        <v>INNER</v>
      </c>
      <c r="AC1701" t="str">
        <f t="shared" si="1076"/>
        <v>Stock en Bultos</v>
      </c>
      <c r="AD1701" t="str">
        <f t="shared" si="1077"/>
        <v>SubDepósito</v>
      </c>
      <c r="AE1701" t="str">
        <f t="shared" si="1078"/>
        <v>Marca</v>
      </c>
      <c r="AF1701" t="str">
        <f t="shared" si="1079"/>
        <v>Super Rubro</v>
      </c>
      <c r="AG1701" t="str">
        <f t="shared" si="1080"/>
        <v>ComercioExterior</v>
      </c>
      <c r="AH1701" t="str">
        <f t="shared" si="1081"/>
        <v>PrecioFOB</v>
      </c>
      <c r="AI1701" t="str">
        <f t="shared" si="1082"/>
        <v>Monto II</v>
      </c>
      <c r="AJ1701" t="str">
        <f t="shared" si="1083"/>
        <v>Porcentaje II</v>
      </c>
      <c r="AK1701" t="str">
        <f t="shared" si="1084"/>
        <v>Foto</v>
      </c>
      <c r="AL1701" t="str">
        <f t="shared" si="1096"/>
        <v xml:space="preserve"> </v>
      </c>
      <c r="AM1701" t="str">
        <f t="shared" si="1095"/>
        <v>-</v>
      </c>
    </row>
    <row r="1702" spans="1:39" x14ac:dyDescent="0.25">
      <c r="A1702" t="str">
        <f>"FI26016"</f>
        <v>FI26016</v>
      </c>
      <c r="B1702" t="str">
        <f>"CONECTOR MANGUERA INY. 5/16 X 5/16 POP TOP RECTO CON ANILLO"</f>
        <v>CONECTOR MANGUERA INY. 5/16 X 5/16 POP TOP RECTO CON ANILLO</v>
      </c>
      <c r="C1702" t="str">
        <f>"$ 5496,72"</f>
        <v>$ 5496,72</v>
      </c>
      <c r="D1702" t="str">
        <f>"$ 5496,72"</f>
        <v>$ 5496,72</v>
      </c>
      <c r="E1702" t="str">
        <f>"$ 5496,72"</f>
        <v>$ 5496,72</v>
      </c>
      <c r="F1702" t="str">
        <f>"$ 5496,72"</f>
        <v>$ 5496,72</v>
      </c>
      <c r="G1702" t="str">
        <f>"$ 5496,72"</f>
        <v>$ 5496,72</v>
      </c>
      <c r="H1702" t="str">
        <f t="shared" si="1067"/>
        <v>$ 0,00</v>
      </c>
      <c r="I1702" t="str">
        <f t="shared" si="1092"/>
        <v>PICOS DE INYECCION TANCLICK</v>
      </c>
      <c r="J1702" t="str">
        <f t="shared" si="1068"/>
        <v>1</v>
      </c>
      <c r="K1702" t="str">
        <f t="shared" si="1062"/>
        <v>0</v>
      </c>
      <c r="L1702" t="str">
        <f>"30,000"</f>
        <v>30,000</v>
      </c>
      <c r="M1702" t="str">
        <f t="shared" si="1069"/>
        <v xml:space="preserve"> </v>
      </c>
      <c r="N1702" t="str">
        <f t="shared" si="1093"/>
        <v>FISPA</v>
      </c>
      <c r="O1702" t="str">
        <f t="shared" si="1094"/>
        <v>CONECTORES</v>
      </c>
      <c r="P1702" t="str">
        <f t="shared" si="1090"/>
        <v>0</v>
      </c>
      <c r="Q1702" t="str">
        <f t="shared" si="1090"/>
        <v>0</v>
      </c>
      <c r="R1702" t="str">
        <f t="shared" si="1091"/>
        <v>0,00</v>
      </c>
      <c r="S1702" t="str">
        <f t="shared" si="1091"/>
        <v>0,00</v>
      </c>
      <c r="T1702" t="str">
        <f t="shared" si="1066"/>
        <v xml:space="preserve"> </v>
      </c>
      <c r="U1702" t="str">
        <f t="shared" si="1086"/>
        <v xml:space="preserve"> </v>
      </c>
      <c r="V1702" t="str">
        <f>"30,000"</f>
        <v>30,000</v>
      </c>
      <c r="W1702" t="str">
        <f t="shared" si="1070"/>
        <v>Lista 4</v>
      </c>
      <c r="X1702" t="str">
        <f t="shared" si="1071"/>
        <v>Lista 5</v>
      </c>
      <c r="Y1702" t="str">
        <f t="shared" si="1072"/>
        <v>Oferta Gral.</v>
      </c>
      <c r="Z1702" t="str">
        <f t="shared" si="1073"/>
        <v>Rubro</v>
      </c>
      <c r="AA1702" t="str">
        <f t="shared" si="1074"/>
        <v>Cantidad por Bulto</v>
      </c>
      <c r="AB1702" t="str">
        <f t="shared" si="1075"/>
        <v>INNER</v>
      </c>
      <c r="AC1702" t="str">
        <f t="shared" si="1076"/>
        <v>Stock en Bultos</v>
      </c>
      <c r="AD1702" t="str">
        <f t="shared" si="1077"/>
        <v>SubDepósito</v>
      </c>
      <c r="AE1702" t="str">
        <f t="shared" si="1078"/>
        <v>Marca</v>
      </c>
      <c r="AF1702" t="str">
        <f t="shared" si="1079"/>
        <v>Super Rubro</v>
      </c>
      <c r="AG1702" t="str">
        <f t="shared" si="1080"/>
        <v>ComercioExterior</v>
      </c>
      <c r="AH1702" t="str">
        <f t="shared" si="1081"/>
        <v>PrecioFOB</v>
      </c>
      <c r="AI1702" t="str">
        <f t="shared" si="1082"/>
        <v>Monto II</v>
      </c>
      <c r="AJ1702" t="str">
        <f t="shared" si="1083"/>
        <v>Porcentaje II</v>
      </c>
      <c r="AK1702" t="str">
        <f t="shared" si="1084"/>
        <v>Foto</v>
      </c>
      <c r="AL1702" t="str">
        <f t="shared" si="1096"/>
        <v xml:space="preserve"> </v>
      </c>
      <c r="AM1702" t="str">
        <f t="shared" si="1095"/>
        <v>-</v>
      </c>
    </row>
    <row r="1703" spans="1:39" x14ac:dyDescent="0.25">
      <c r="A1703" t="str">
        <f>"FI26017"</f>
        <v>FI26017</v>
      </c>
      <c r="B1703" t="str">
        <f>"CONECTOR MANGUERA INY. 5/16 X 5/16 POP TOP RECTO CON ANILLO"</f>
        <v>CONECTOR MANGUERA INY. 5/16 X 5/16 POP TOP RECTO CON ANILLO</v>
      </c>
      <c r="C1703" t="str">
        <f>"$ 5128,95"</f>
        <v>$ 5128,95</v>
      </c>
      <c r="D1703" t="str">
        <f>"$ 5128,95"</f>
        <v>$ 5128,95</v>
      </c>
      <c r="E1703" t="str">
        <f>"$ 5128,95"</f>
        <v>$ 5128,95</v>
      </c>
      <c r="F1703" t="str">
        <f>"$ 5128,95"</f>
        <v>$ 5128,95</v>
      </c>
      <c r="G1703" t="str">
        <f>"$ 5128,95"</f>
        <v>$ 5128,95</v>
      </c>
      <c r="H1703" t="str">
        <f t="shared" si="1067"/>
        <v>$ 0,00</v>
      </c>
      <c r="I1703" t="str">
        <f t="shared" si="1092"/>
        <v>PICOS DE INYECCION TANCLICK</v>
      </c>
      <c r="J1703" t="str">
        <f t="shared" si="1068"/>
        <v>1</v>
      </c>
      <c r="K1703" t="str">
        <f t="shared" si="1062"/>
        <v>0</v>
      </c>
      <c r="L1703" t="str">
        <f>"8,000"</f>
        <v>8,000</v>
      </c>
      <c r="M1703" t="str">
        <f t="shared" si="1069"/>
        <v xml:space="preserve"> </v>
      </c>
      <c r="N1703" t="str">
        <f t="shared" si="1093"/>
        <v>FISPA</v>
      </c>
      <c r="O1703" t="str">
        <f t="shared" si="1094"/>
        <v>CONECTORES</v>
      </c>
      <c r="P1703" t="str">
        <f t="shared" ref="P1703:Q1722" si="1097">"0"</f>
        <v>0</v>
      </c>
      <c r="Q1703" t="str">
        <f t="shared" si="1097"/>
        <v>0</v>
      </c>
      <c r="R1703" t="str">
        <f t="shared" ref="R1703:S1722" si="1098">"0,00"</f>
        <v>0,00</v>
      </c>
      <c r="S1703" t="str">
        <f t="shared" si="1098"/>
        <v>0,00</v>
      </c>
      <c r="T1703" t="str">
        <f t="shared" si="1066"/>
        <v xml:space="preserve"> </v>
      </c>
      <c r="U1703" t="str">
        <f t="shared" si="1086"/>
        <v xml:space="preserve"> </v>
      </c>
      <c r="V1703" t="str">
        <f>"8,000"</f>
        <v>8,000</v>
      </c>
      <c r="W1703" t="str">
        <f t="shared" si="1070"/>
        <v>Lista 4</v>
      </c>
      <c r="X1703" t="str">
        <f t="shared" si="1071"/>
        <v>Lista 5</v>
      </c>
      <c r="Y1703" t="str">
        <f t="shared" si="1072"/>
        <v>Oferta Gral.</v>
      </c>
      <c r="Z1703" t="str">
        <f t="shared" si="1073"/>
        <v>Rubro</v>
      </c>
      <c r="AA1703" t="str">
        <f t="shared" si="1074"/>
        <v>Cantidad por Bulto</v>
      </c>
      <c r="AB1703" t="str">
        <f t="shared" si="1075"/>
        <v>INNER</v>
      </c>
      <c r="AC1703" t="str">
        <f t="shared" si="1076"/>
        <v>Stock en Bultos</v>
      </c>
      <c r="AD1703" t="str">
        <f t="shared" si="1077"/>
        <v>SubDepósito</v>
      </c>
      <c r="AE1703" t="str">
        <f t="shared" si="1078"/>
        <v>Marca</v>
      </c>
      <c r="AF1703" t="str">
        <f t="shared" si="1079"/>
        <v>Super Rubro</v>
      </c>
      <c r="AG1703" t="str">
        <f t="shared" si="1080"/>
        <v>ComercioExterior</v>
      </c>
      <c r="AH1703" t="str">
        <f t="shared" si="1081"/>
        <v>PrecioFOB</v>
      </c>
      <c r="AI1703" t="str">
        <f t="shared" si="1082"/>
        <v>Monto II</v>
      </c>
      <c r="AJ1703" t="str">
        <f t="shared" si="1083"/>
        <v>Porcentaje II</v>
      </c>
      <c r="AK1703" t="str">
        <f t="shared" si="1084"/>
        <v>Foto</v>
      </c>
      <c r="AL1703" t="str">
        <f t="shared" si="1096"/>
        <v xml:space="preserve"> </v>
      </c>
      <c r="AM1703" t="str">
        <f t="shared" si="1095"/>
        <v>-</v>
      </c>
    </row>
    <row r="1704" spans="1:39" x14ac:dyDescent="0.25">
      <c r="A1704" t="str">
        <f>"FI26000"</f>
        <v>FI26000</v>
      </c>
      <c r="B1704" t="str">
        <f>"CONECTOR MANGUERA INY. 5/16 X 5/16 RACORD"</f>
        <v>CONECTOR MANGUERA INY. 5/16 X 5/16 RACORD</v>
      </c>
      <c r="C1704" t="str">
        <f>"$ 1783,12"</f>
        <v>$ 1783,12</v>
      </c>
      <c r="D1704" t="str">
        <f>"$ 1783,12"</f>
        <v>$ 1783,12</v>
      </c>
      <c r="E1704" t="str">
        <f>"$ 1783,12"</f>
        <v>$ 1783,12</v>
      </c>
      <c r="F1704" t="str">
        <f>"$ 1783,12"</f>
        <v>$ 1783,12</v>
      </c>
      <c r="G1704" t="str">
        <f>"$ 1783,12"</f>
        <v>$ 1783,12</v>
      </c>
      <c r="H1704" t="str">
        <f t="shared" si="1067"/>
        <v>$ 0,00</v>
      </c>
      <c r="I1704" t="str">
        <f t="shared" si="1092"/>
        <v>PICOS DE INYECCION TANCLICK</v>
      </c>
      <c r="J1704" t="str">
        <f t="shared" si="1068"/>
        <v>1</v>
      </c>
      <c r="K1704" t="str">
        <f t="shared" si="1062"/>
        <v>0</v>
      </c>
      <c r="L1704" t="str">
        <f>"38,000"</f>
        <v>38,000</v>
      </c>
      <c r="M1704" t="str">
        <f t="shared" si="1069"/>
        <v xml:space="preserve"> </v>
      </c>
      <c r="N1704" t="str">
        <f t="shared" si="1093"/>
        <v>FISPA</v>
      </c>
      <c r="O1704" t="str">
        <f t="shared" si="1094"/>
        <v>CONECTORES</v>
      </c>
      <c r="P1704" t="str">
        <f t="shared" si="1097"/>
        <v>0</v>
      </c>
      <c r="Q1704" t="str">
        <f t="shared" si="1097"/>
        <v>0</v>
      </c>
      <c r="R1704" t="str">
        <f t="shared" si="1098"/>
        <v>0,00</v>
      </c>
      <c r="S1704" t="str">
        <f t="shared" si="1098"/>
        <v>0,00</v>
      </c>
      <c r="T1704" t="str">
        <f t="shared" si="1066"/>
        <v xml:space="preserve"> </v>
      </c>
      <c r="U1704" t="str">
        <f t="shared" si="1086"/>
        <v xml:space="preserve"> </v>
      </c>
      <c r="V1704" t="str">
        <f>"38,000"</f>
        <v>38,000</v>
      </c>
      <c r="W1704" t="str">
        <f t="shared" si="1070"/>
        <v>Lista 4</v>
      </c>
      <c r="X1704" t="str">
        <f t="shared" si="1071"/>
        <v>Lista 5</v>
      </c>
      <c r="Y1704" t="str">
        <f t="shared" si="1072"/>
        <v>Oferta Gral.</v>
      </c>
      <c r="Z1704" t="str">
        <f t="shared" si="1073"/>
        <v>Rubro</v>
      </c>
      <c r="AA1704" t="str">
        <f t="shared" si="1074"/>
        <v>Cantidad por Bulto</v>
      </c>
      <c r="AB1704" t="str">
        <f t="shared" si="1075"/>
        <v>INNER</v>
      </c>
      <c r="AC1704" t="str">
        <f t="shared" si="1076"/>
        <v>Stock en Bultos</v>
      </c>
      <c r="AD1704" t="str">
        <f t="shared" si="1077"/>
        <v>SubDepósito</v>
      </c>
      <c r="AE1704" t="str">
        <f t="shared" si="1078"/>
        <v>Marca</v>
      </c>
      <c r="AF1704" t="str">
        <f t="shared" si="1079"/>
        <v>Super Rubro</v>
      </c>
      <c r="AG1704" t="str">
        <f t="shared" si="1080"/>
        <v>ComercioExterior</v>
      </c>
      <c r="AH1704" t="str">
        <f t="shared" si="1081"/>
        <v>PrecioFOB</v>
      </c>
      <c r="AI1704" t="str">
        <f t="shared" si="1082"/>
        <v>Monto II</v>
      </c>
      <c r="AJ1704" t="str">
        <f t="shared" si="1083"/>
        <v>Porcentaje II</v>
      </c>
      <c r="AK1704" t="str">
        <f t="shared" si="1084"/>
        <v>Foto</v>
      </c>
      <c r="AL170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04" t="str">
        <f t="shared" si="1095"/>
        <v>-</v>
      </c>
    </row>
    <row r="1705" spans="1:39" x14ac:dyDescent="0.25">
      <c r="A1705" t="str">
        <f>"FI26022"</f>
        <v>FI26022</v>
      </c>
      <c r="B1705" t="str">
        <f>"CONECTOR MANGUERA INYECCION 5/16 X 5/16 TIPO A4 CURVO"</f>
        <v>CONECTOR MANGUERA INYECCION 5/16 X 5/16 TIPO A4 CURVO</v>
      </c>
      <c r="C1705" t="str">
        <f>"$ 7424,72"</f>
        <v>$ 7424,72</v>
      </c>
      <c r="D1705" t="str">
        <f>"$ 7424,72"</f>
        <v>$ 7424,72</v>
      </c>
      <c r="E1705" t="str">
        <f>"$ 7424,72"</f>
        <v>$ 7424,72</v>
      </c>
      <c r="F1705" t="str">
        <f>"$ 7424,72"</f>
        <v>$ 7424,72</v>
      </c>
      <c r="G1705" t="str">
        <f>"$ 7424,72"</f>
        <v>$ 7424,72</v>
      </c>
      <c r="H1705" t="str">
        <f t="shared" si="1067"/>
        <v>$ 0,00</v>
      </c>
      <c r="I1705" t="str">
        <f t="shared" si="1092"/>
        <v>PICOS DE INYECCION TANCLICK</v>
      </c>
      <c r="J1705" t="str">
        <f t="shared" si="1068"/>
        <v>1</v>
      </c>
      <c r="K1705" t="str">
        <f t="shared" si="1062"/>
        <v>0</v>
      </c>
      <c r="L1705" t="str">
        <f>"29,000"</f>
        <v>29,000</v>
      </c>
      <c r="M1705" t="str">
        <f t="shared" si="1069"/>
        <v xml:space="preserve"> </v>
      </c>
      <c r="N1705" t="str">
        <f t="shared" si="1093"/>
        <v>FISPA</v>
      </c>
      <c r="O1705" t="str">
        <f t="shared" si="1094"/>
        <v>CONECTORES</v>
      </c>
      <c r="P1705" t="str">
        <f t="shared" si="1097"/>
        <v>0</v>
      </c>
      <c r="Q1705" t="str">
        <f t="shared" si="1097"/>
        <v>0</v>
      </c>
      <c r="R1705" t="str">
        <f t="shared" si="1098"/>
        <v>0,00</v>
      </c>
      <c r="S1705" t="str">
        <f t="shared" si="1098"/>
        <v>0,00</v>
      </c>
      <c r="T1705" t="str">
        <f t="shared" si="1066"/>
        <v xml:space="preserve"> </v>
      </c>
      <c r="U1705" t="str">
        <f t="shared" si="1086"/>
        <v xml:space="preserve"> </v>
      </c>
      <c r="V1705" t="str">
        <f>"29,000"</f>
        <v>29,000</v>
      </c>
      <c r="W1705" t="str">
        <f t="shared" si="1070"/>
        <v>Lista 4</v>
      </c>
      <c r="X1705" t="str">
        <f t="shared" si="1071"/>
        <v>Lista 5</v>
      </c>
      <c r="Y1705" t="str">
        <f t="shared" si="1072"/>
        <v>Oferta Gral.</v>
      </c>
      <c r="Z1705" t="str">
        <f t="shared" si="1073"/>
        <v>Rubro</v>
      </c>
      <c r="AA1705" t="str">
        <f t="shared" si="1074"/>
        <v>Cantidad por Bulto</v>
      </c>
      <c r="AB1705" t="str">
        <f t="shared" si="1075"/>
        <v>INNER</v>
      </c>
      <c r="AC1705" t="str">
        <f t="shared" si="1076"/>
        <v>Stock en Bultos</v>
      </c>
      <c r="AD1705" t="str">
        <f t="shared" si="1077"/>
        <v>SubDepósito</v>
      </c>
      <c r="AE1705" t="str">
        <f t="shared" si="1078"/>
        <v>Marca</v>
      </c>
      <c r="AF1705" t="str">
        <f t="shared" si="1079"/>
        <v>Super Rubro</v>
      </c>
      <c r="AG1705" t="str">
        <f t="shared" si="1080"/>
        <v>ComercioExterior</v>
      </c>
      <c r="AH1705" t="str">
        <f t="shared" si="1081"/>
        <v>PrecioFOB</v>
      </c>
      <c r="AI1705" t="str">
        <f t="shared" si="1082"/>
        <v>Monto II</v>
      </c>
      <c r="AJ1705" t="str">
        <f t="shared" si="1083"/>
        <v>Porcentaje II</v>
      </c>
      <c r="AK1705" t="str">
        <f t="shared" si="1084"/>
        <v>Foto</v>
      </c>
      <c r="AL170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05" t="str">
        <f t="shared" si="1095"/>
        <v>-</v>
      </c>
    </row>
    <row r="1706" spans="1:39" x14ac:dyDescent="0.25">
      <c r="A1706" t="str">
        <f>"FI26021"</f>
        <v>FI26021</v>
      </c>
      <c r="B1706" t="str">
        <f>"CONECTOR MANGUERA INYECCION 5/16 X 5/16 TIPO A4 RECTO"</f>
        <v>CONECTOR MANGUERA INYECCION 5/16 X 5/16 TIPO A4 RECTO</v>
      </c>
      <c r="C1706" t="str">
        <f>"$ 6761,01"</f>
        <v>$ 6761,01</v>
      </c>
      <c r="D1706" t="str">
        <f>"$ 6761,01"</f>
        <v>$ 6761,01</v>
      </c>
      <c r="E1706" t="str">
        <f>"$ 6761,01"</f>
        <v>$ 6761,01</v>
      </c>
      <c r="F1706" t="str">
        <f>"$ 6761,01"</f>
        <v>$ 6761,01</v>
      </c>
      <c r="G1706" t="str">
        <f>"$ 6761,01"</f>
        <v>$ 6761,01</v>
      </c>
      <c r="H1706" t="str">
        <f t="shared" si="1067"/>
        <v>$ 0,00</v>
      </c>
      <c r="I1706" t="str">
        <f t="shared" si="1092"/>
        <v>PICOS DE INYECCION TANCLICK</v>
      </c>
      <c r="J1706" t="str">
        <f t="shared" si="1068"/>
        <v>1</v>
      </c>
      <c r="K1706" t="str">
        <f t="shared" si="1062"/>
        <v>0</v>
      </c>
      <c r="L1706" t="str">
        <f>"29,000"</f>
        <v>29,000</v>
      </c>
      <c r="M1706" t="str">
        <f t="shared" si="1069"/>
        <v xml:space="preserve"> </v>
      </c>
      <c r="N1706" t="str">
        <f t="shared" si="1093"/>
        <v>FISPA</v>
      </c>
      <c r="O1706" t="str">
        <f t="shared" si="1094"/>
        <v>CONECTORES</v>
      </c>
      <c r="P1706" t="str">
        <f t="shared" si="1097"/>
        <v>0</v>
      </c>
      <c r="Q1706" t="str">
        <f t="shared" si="1097"/>
        <v>0</v>
      </c>
      <c r="R1706" t="str">
        <f t="shared" si="1098"/>
        <v>0,00</v>
      </c>
      <c r="S1706" t="str">
        <f t="shared" si="1098"/>
        <v>0,00</v>
      </c>
      <c r="T1706" t="str">
        <f t="shared" si="1066"/>
        <v xml:space="preserve"> </v>
      </c>
      <c r="U1706" t="str">
        <f t="shared" si="1086"/>
        <v xml:space="preserve"> </v>
      </c>
      <c r="V1706" t="str">
        <f>"29,000"</f>
        <v>29,000</v>
      </c>
      <c r="W1706" t="str">
        <f t="shared" si="1070"/>
        <v>Lista 4</v>
      </c>
      <c r="X1706" t="str">
        <f t="shared" si="1071"/>
        <v>Lista 5</v>
      </c>
      <c r="Y1706" t="str">
        <f t="shared" si="1072"/>
        <v>Oferta Gral.</v>
      </c>
      <c r="Z1706" t="str">
        <f t="shared" si="1073"/>
        <v>Rubro</v>
      </c>
      <c r="AA1706" t="str">
        <f t="shared" si="1074"/>
        <v>Cantidad por Bulto</v>
      </c>
      <c r="AB1706" t="str">
        <f t="shared" si="1075"/>
        <v>INNER</v>
      </c>
      <c r="AC1706" t="str">
        <f t="shared" si="1076"/>
        <v>Stock en Bultos</v>
      </c>
      <c r="AD1706" t="str">
        <f t="shared" si="1077"/>
        <v>SubDepósito</v>
      </c>
      <c r="AE1706" t="str">
        <f t="shared" si="1078"/>
        <v>Marca</v>
      </c>
      <c r="AF1706" t="str">
        <f t="shared" si="1079"/>
        <v>Super Rubro</v>
      </c>
      <c r="AG1706" t="str">
        <f t="shared" si="1080"/>
        <v>ComercioExterior</v>
      </c>
      <c r="AH1706" t="str">
        <f t="shared" si="1081"/>
        <v>PrecioFOB</v>
      </c>
      <c r="AI1706" t="str">
        <f t="shared" si="1082"/>
        <v>Monto II</v>
      </c>
      <c r="AJ1706" t="str">
        <f t="shared" si="1083"/>
        <v>Porcentaje II</v>
      </c>
      <c r="AK1706" t="str">
        <f t="shared" si="1084"/>
        <v>Foto</v>
      </c>
      <c r="AL170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06" t="str">
        <f t="shared" si="1095"/>
        <v>-</v>
      </c>
    </row>
    <row r="1707" spans="1:39" x14ac:dyDescent="0.25">
      <c r="A1707" t="str">
        <f>"10216"</f>
        <v>10216</v>
      </c>
      <c r="B1707" t="str">
        <f>"CONECTOR PORTA DIODO – ORIG. PEUGEOT"</f>
        <v>CONECTOR PORTA DIODO – ORIG. PEUGEOT</v>
      </c>
      <c r="C1707" t="str">
        <f>"$ 3444,38"</f>
        <v>$ 3444,38</v>
      </c>
      <c r="D1707" t="str">
        <f>"$ 3444,38"</f>
        <v>$ 3444,38</v>
      </c>
      <c r="E1707" t="str">
        <f>"$ 3444,38"</f>
        <v>$ 3444,38</v>
      </c>
      <c r="F1707" t="str">
        <f>"$ 3444,38"</f>
        <v>$ 3444,38</v>
      </c>
      <c r="G1707" t="str">
        <f>"$ 3444,38"</f>
        <v>$ 3444,38</v>
      </c>
      <c r="H1707" t="str">
        <f t="shared" si="1067"/>
        <v>$ 0,00</v>
      </c>
      <c r="I1707" t="str">
        <f t="shared" ref="I1707:I1713" si="1099">"FICHA CONECTOR"</f>
        <v>FICHA CONECTOR</v>
      </c>
      <c r="J1707" t="str">
        <f t="shared" si="1068"/>
        <v>1</v>
      </c>
      <c r="K1707" t="str">
        <f t="shared" si="1062"/>
        <v>0</v>
      </c>
      <c r="L1707" t="str">
        <f>"0,000"</f>
        <v>0,000</v>
      </c>
      <c r="M1707" t="str">
        <f t="shared" si="1069"/>
        <v xml:space="preserve"> </v>
      </c>
      <c r="N1707" t="str">
        <f t="shared" ref="N1707:N1713" si="1100">"AUTRONIC"</f>
        <v>AUTRONIC</v>
      </c>
      <c r="O1707" t="str">
        <f t="shared" ref="O1707:O1713" si="1101">"CABLES"</f>
        <v>CABLES</v>
      </c>
      <c r="P1707" t="str">
        <f t="shared" si="1097"/>
        <v>0</v>
      </c>
      <c r="Q1707" t="str">
        <f t="shared" si="1097"/>
        <v>0</v>
      </c>
      <c r="R1707" t="str">
        <f t="shared" si="1098"/>
        <v>0,00</v>
      </c>
      <c r="S1707" t="str">
        <f t="shared" si="1098"/>
        <v>0,00</v>
      </c>
      <c r="T1707" t="str">
        <f t="shared" si="1066"/>
        <v xml:space="preserve"> </v>
      </c>
      <c r="U1707" t="str">
        <f t="shared" si="1086"/>
        <v xml:space="preserve"> </v>
      </c>
      <c r="V1707" t="str">
        <f>"0,000"</f>
        <v>0,000</v>
      </c>
      <c r="W1707" t="str">
        <f t="shared" si="1070"/>
        <v>Lista 4</v>
      </c>
      <c r="X1707" t="str">
        <f t="shared" si="1071"/>
        <v>Lista 5</v>
      </c>
      <c r="Y1707" t="str">
        <f t="shared" si="1072"/>
        <v>Oferta Gral.</v>
      </c>
      <c r="Z1707" t="str">
        <f t="shared" si="1073"/>
        <v>Rubro</v>
      </c>
      <c r="AA1707" t="str">
        <f t="shared" si="1074"/>
        <v>Cantidad por Bulto</v>
      </c>
      <c r="AB1707" t="str">
        <f t="shared" si="1075"/>
        <v>INNER</v>
      </c>
      <c r="AC1707" t="str">
        <f t="shared" si="1076"/>
        <v>Stock en Bultos</v>
      </c>
      <c r="AD1707" t="str">
        <f t="shared" si="1077"/>
        <v>SubDepósito</v>
      </c>
      <c r="AE1707" t="str">
        <f t="shared" si="1078"/>
        <v>Marca</v>
      </c>
      <c r="AF1707" t="str">
        <f t="shared" si="1079"/>
        <v>Super Rubro</v>
      </c>
      <c r="AG1707" t="str">
        <f t="shared" si="1080"/>
        <v>ComercioExterior</v>
      </c>
      <c r="AH1707" t="str">
        <f t="shared" si="1081"/>
        <v>PrecioFOB</v>
      </c>
      <c r="AI1707" t="str">
        <f t="shared" si="1082"/>
        <v>Monto II</v>
      </c>
      <c r="AJ1707" t="str">
        <f t="shared" si="1083"/>
        <v>Porcentaje II</v>
      </c>
      <c r="AK1707" t="str">
        <f t="shared" si="1084"/>
        <v>Foto</v>
      </c>
      <c r="AL1707" t="str">
        <f>"{\rtf1\ansi\ansicpg1252\deff0\deflang11274{\fonttbl{\f0\fnil\fcharset0 MS Sans Serif}} \viewkind4\uc1\pard\f0\fs16 CONECTOR PORTA DIODO \endash  ORIG. PEUGEOT\par } "</f>
        <v xml:space="preserve">{\rtf1\ansi\ansicpg1252\deff0\deflang11274{\fonttbl{\f0\fnil\fcharset0 MS Sans Serif}} \viewkind4\uc1\pard\f0\fs16 CONECTOR PORTA DIODO \endash  ORIG. PEUGEOT\par } </v>
      </c>
      <c r="AM1707" t="str">
        <f t="shared" si="1095"/>
        <v>-</v>
      </c>
    </row>
    <row r="1708" spans="1:39" x14ac:dyDescent="0.25">
      <c r="A1708" t="str">
        <f>"10217"</f>
        <v>10217</v>
      </c>
      <c r="B1708" t="str">
        <f>"CONECTOR PORTA MINIFUSIBLE"</f>
        <v>CONECTOR PORTA MINIFUSIBLE</v>
      </c>
      <c r="C1708" t="str">
        <f>"$ 1900,35"</f>
        <v>$ 1900,35</v>
      </c>
      <c r="D1708" t="str">
        <f>"$ 1900,35"</f>
        <v>$ 1900,35</v>
      </c>
      <c r="E1708" t="str">
        <f>"$ 1900,35"</f>
        <v>$ 1900,35</v>
      </c>
      <c r="F1708" t="str">
        <f>"$ 1900,35"</f>
        <v>$ 1900,35</v>
      </c>
      <c r="G1708" t="str">
        <f>"$ 1900,35"</f>
        <v>$ 1900,35</v>
      </c>
      <c r="H1708" t="str">
        <f t="shared" si="1067"/>
        <v>$ 0,00</v>
      </c>
      <c r="I1708" t="str">
        <f t="shared" si="1099"/>
        <v>FICHA CONECTOR</v>
      </c>
      <c r="J1708" t="str">
        <f t="shared" si="1068"/>
        <v>1</v>
      </c>
      <c r="K1708" t="str">
        <f t="shared" si="1062"/>
        <v>0</v>
      </c>
      <c r="L1708" t="str">
        <f>"0,000"</f>
        <v>0,000</v>
      </c>
      <c r="M1708" t="str">
        <f t="shared" si="1069"/>
        <v xml:space="preserve"> </v>
      </c>
      <c r="N1708" t="str">
        <f t="shared" si="1100"/>
        <v>AUTRONIC</v>
      </c>
      <c r="O1708" t="str">
        <f t="shared" si="1101"/>
        <v>CABLES</v>
      </c>
      <c r="P1708" t="str">
        <f t="shared" si="1097"/>
        <v>0</v>
      </c>
      <c r="Q1708" t="str">
        <f t="shared" si="1097"/>
        <v>0</v>
      </c>
      <c r="R1708" t="str">
        <f t="shared" si="1098"/>
        <v>0,00</v>
      </c>
      <c r="S1708" t="str">
        <f t="shared" si="1098"/>
        <v>0,00</v>
      </c>
      <c r="T1708" t="str">
        <f t="shared" si="1066"/>
        <v xml:space="preserve"> </v>
      </c>
      <c r="U1708" t="str">
        <f t="shared" si="1086"/>
        <v xml:space="preserve"> </v>
      </c>
      <c r="V1708" t="str">
        <f>"0,000"</f>
        <v>0,000</v>
      </c>
      <c r="W1708" t="str">
        <f t="shared" si="1070"/>
        <v>Lista 4</v>
      </c>
      <c r="X1708" t="str">
        <f t="shared" si="1071"/>
        <v>Lista 5</v>
      </c>
      <c r="Y1708" t="str">
        <f t="shared" si="1072"/>
        <v>Oferta Gral.</v>
      </c>
      <c r="Z1708" t="str">
        <f t="shared" si="1073"/>
        <v>Rubro</v>
      </c>
      <c r="AA1708" t="str">
        <f t="shared" si="1074"/>
        <v>Cantidad por Bulto</v>
      </c>
      <c r="AB1708" t="str">
        <f t="shared" si="1075"/>
        <v>INNER</v>
      </c>
      <c r="AC1708" t="str">
        <f t="shared" si="1076"/>
        <v>Stock en Bultos</v>
      </c>
      <c r="AD1708" t="str">
        <f t="shared" si="1077"/>
        <v>SubDepósito</v>
      </c>
      <c r="AE1708" t="str">
        <f t="shared" si="1078"/>
        <v>Marca</v>
      </c>
      <c r="AF1708" t="str">
        <f t="shared" si="1079"/>
        <v>Super Rubro</v>
      </c>
      <c r="AG1708" t="str">
        <f t="shared" si="1080"/>
        <v>ComercioExterior</v>
      </c>
      <c r="AH1708" t="str">
        <f t="shared" si="1081"/>
        <v>PrecioFOB</v>
      </c>
      <c r="AI1708" t="str">
        <f t="shared" si="1082"/>
        <v>Monto II</v>
      </c>
      <c r="AJ1708" t="str">
        <f t="shared" si="1083"/>
        <v>Porcentaje II</v>
      </c>
      <c r="AK1708" t="str">
        <f t="shared" si="1084"/>
        <v>Foto</v>
      </c>
      <c r="AL1708" t="str">
        <f>"{\rtf1\ansi\ansicpg1252\deff0\deflang11274{\fonttbl{\f0\fnil\fcharset0 MS Sans Serif}} \viewkind4\uc1\pard\f0\fs16 CONECTOR PORTA MINIFUSIBLE\par } "</f>
        <v xml:space="preserve">{\rtf1\ansi\ansicpg1252\deff0\deflang11274{\fonttbl{\f0\fnil\fcharset0 MS Sans Serif}} \viewkind4\uc1\pard\f0\fs16 CONECTOR PORTA MINIFUSIBLE\par } </v>
      </c>
      <c r="AM1708" t="str">
        <f t="shared" si="1095"/>
        <v>-</v>
      </c>
    </row>
    <row r="1709" spans="1:39" x14ac:dyDescent="0.25">
      <c r="A1709" t="str">
        <f>"10215"</f>
        <v>10215</v>
      </c>
      <c r="B1709" t="str">
        <f>"CONECTOR PORTAFUSIBLE  - AÉREO – ORIG. FIAT"</f>
        <v>CONECTOR PORTAFUSIBLE  - AÉREO – ORIG. FIAT</v>
      </c>
      <c r="C1709" t="str">
        <f>"$ 10555,98"</f>
        <v>$ 10555,98</v>
      </c>
      <c r="D1709" t="str">
        <f>"$ 10555,98"</f>
        <v>$ 10555,98</v>
      </c>
      <c r="E1709" t="str">
        <f>"$ 10555,98"</f>
        <v>$ 10555,98</v>
      </c>
      <c r="F1709" t="str">
        <f>"$ 10555,98"</f>
        <v>$ 10555,98</v>
      </c>
      <c r="G1709" t="str">
        <f>"$ 10555,98"</f>
        <v>$ 10555,98</v>
      </c>
      <c r="H1709" t="str">
        <f t="shared" si="1067"/>
        <v>$ 0,00</v>
      </c>
      <c r="I1709" t="str">
        <f t="shared" si="1099"/>
        <v>FICHA CONECTOR</v>
      </c>
      <c r="J1709" t="str">
        <f t="shared" si="1068"/>
        <v>1</v>
      </c>
      <c r="K1709" t="str">
        <f t="shared" si="1062"/>
        <v>0</v>
      </c>
      <c r="L1709" t="str">
        <f>"8,000"</f>
        <v>8,000</v>
      </c>
      <c r="M1709" t="str">
        <f t="shared" si="1069"/>
        <v xml:space="preserve"> </v>
      </c>
      <c r="N1709" t="str">
        <f t="shared" si="1100"/>
        <v>AUTRONIC</v>
      </c>
      <c r="O1709" t="str">
        <f t="shared" si="1101"/>
        <v>CABLES</v>
      </c>
      <c r="P1709" t="str">
        <f t="shared" si="1097"/>
        <v>0</v>
      </c>
      <c r="Q1709" t="str">
        <f t="shared" si="1097"/>
        <v>0</v>
      </c>
      <c r="R1709" t="str">
        <f t="shared" si="1098"/>
        <v>0,00</v>
      </c>
      <c r="S1709" t="str">
        <f t="shared" si="1098"/>
        <v>0,00</v>
      </c>
      <c r="T1709" t="str">
        <f t="shared" si="1066"/>
        <v xml:space="preserve"> </v>
      </c>
      <c r="U1709" t="str">
        <f t="shared" si="1086"/>
        <v xml:space="preserve"> </v>
      </c>
      <c r="V1709" t="str">
        <f>"8,000"</f>
        <v>8,000</v>
      </c>
      <c r="W1709" t="str">
        <f t="shared" si="1070"/>
        <v>Lista 4</v>
      </c>
      <c r="X1709" t="str">
        <f t="shared" si="1071"/>
        <v>Lista 5</v>
      </c>
      <c r="Y1709" t="str">
        <f t="shared" si="1072"/>
        <v>Oferta Gral.</v>
      </c>
      <c r="Z1709" t="str">
        <f t="shared" si="1073"/>
        <v>Rubro</v>
      </c>
      <c r="AA1709" t="str">
        <f t="shared" si="1074"/>
        <v>Cantidad por Bulto</v>
      </c>
      <c r="AB1709" t="str">
        <f t="shared" si="1075"/>
        <v>INNER</v>
      </c>
      <c r="AC1709" t="str">
        <f t="shared" si="1076"/>
        <v>Stock en Bultos</v>
      </c>
      <c r="AD1709" t="str">
        <f t="shared" si="1077"/>
        <v>SubDepósito</v>
      </c>
      <c r="AE1709" t="str">
        <f t="shared" si="1078"/>
        <v>Marca</v>
      </c>
      <c r="AF1709" t="str">
        <f t="shared" si="1079"/>
        <v>Super Rubro</v>
      </c>
      <c r="AG1709" t="str">
        <f t="shared" si="1080"/>
        <v>ComercioExterior</v>
      </c>
      <c r="AH1709" t="str">
        <f t="shared" si="1081"/>
        <v>PrecioFOB</v>
      </c>
      <c r="AI1709" t="str">
        <f t="shared" si="1082"/>
        <v>Monto II</v>
      </c>
      <c r="AJ1709" t="str">
        <f t="shared" si="1083"/>
        <v>Porcentaje II</v>
      </c>
      <c r="AK1709" t="str">
        <f t="shared" si="1084"/>
        <v>Foto</v>
      </c>
      <c r="AL1709" t="str">
        <f>"{\rtf1\ansi\ansicpg1252\deff0\deflang11274{\fonttbl{\f0\fnil\fcharset0 MS Sans Serif}} \viewkind4\uc1\pard\f0\fs16 CONECTOR PORTAFUSIBLE  - A\'c9REO \endash  ORIG. FIAT\par } "</f>
        <v xml:space="preserve">{\rtf1\ansi\ansicpg1252\deff0\deflang11274{\fonttbl{\f0\fnil\fcharset0 MS Sans Serif}} \viewkind4\uc1\pard\f0\fs16 CONECTOR PORTAFUSIBLE  - A\'c9REO \endash  ORIG. FIAT\par } </v>
      </c>
      <c r="AM1709" t="str">
        <f t="shared" si="1095"/>
        <v>-</v>
      </c>
    </row>
    <row r="1710" spans="1:39" x14ac:dyDescent="0.25">
      <c r="A1710" t="str">
        <f>"10139"</f>
        <v>10139</v>
      </c>
      <c r="B1710" t="str">
        <f>"CONECTOR PORTAFUSIBLE AÉREO CHATO – CABLE REFORZADO"</f>
        <v>CONECTOR PORTAFUSIBLE AÉREO CHATO – CABLE REFORZADO</v>
      </c>
      <c r="C1710" t="str">
        <f>"$ 1068,96"</f>
        <v>$ 1068,96</v>
      </c>
      <c r="D1710" t="str">
        <f>"$ 1068,96"</f>
        <v>$ 1068,96</v>
      </c>
      <c r="E1710" t="str">
        <f>"$ 1068,96"</f>
        <v>$ 1068,96</v>
      </c>
      <c r="F1710" t="str">
        <f>"$ 1068,96"</f>
        <v>$ 1068,96</v>
      </c>
      <c r="G1710" t="str">
        <f>"$ 1068,96"</f>
        <v>$ 1068,96</v>
      </c>
      <c r="H1710" t="str">
        <f t="shared" si="1067"/>
        <v>$ 0,00</v>
      </c>
      <c r="I1710" t="str">
        <f t="shared" si="1099"/>
        <v>FICHA CONECTOR</v>
      </c>
      <c r="J1710" t="str">
        <f t="shared" si="1068"/>
        <v>1</v>
      </c>
      <c r="K1710" t="str">
        <f t="shared" si="1062"/>
        <v>0</v>
      </c>
      <c r="L1710" t="str">
        <f>"40,000"</f>
        <v>40,000</v>
      </c>
      <c r="M1710" t="str">
        <f t="shared" si="1069"/>
        <v xml:space="preserve"> </v>
      </c>
      <c r="N1710" t="str">
        <f t="shared" si="1100"/>
        <v>AUTRONIC</v>
      </c>
      <c r="O1710" t="str">
        <f t="shared" si="1101"/>
        <v>CABLES</v>
      </c>
      <c r="P1710" t="str">
        <f t="shared" si="1097"/>
        <v>0</v>
      </c>
      <c r="Q1710" t="str">
        <f t="shared" si="1097"/>
        <v>0</v>
      </c>
      <c r="R1710" t="str">
        <f t="shared" si="1098"/>
        <v>0,00</v>
      </c>
      <c r="S1710" t="str">
        <f t="shared" si="1098"/>
        <v>0,00</v>
      </c>
      <c r="T1710" t="str">
        <f t="shared" si="1066"/>
        <v xml:space="preserve"> </v>
      </c>
      <c r="U1710" t="str">
        <f t="shared" si="1086"/>
        <v xml:space="preserve"> </v>
      </c>
      <c r="V1710" t="str">
        <f>"40,000"</f>
        <v>40,000</v>
      </c>
      <c r="W1710" t="str">
        <f t="shared" si="1070"/>
        <v>Lista 4</v>
      </c>
      <c r="X1710" t="str">
        <f t="shared" si="1071"/>
        <v>Lista 5</v>
      </c>
      <c r="Y1710" t="str">
        <f t="shared" si="1072"/>
        <v>Oferta Gral.</v>
      </c>
      <c r="Z1710" t="str">
        <f t="shared" si="1073"/>
        <v>Rubro</v>
      </c>
      <c r="AA1710" t="str">
        <f t="shared" si="1074"/>
        <v>Cantidad por Bulto</v>
      </c>
      <c r="AB1710" t="str">
        <f t="shared" si="1075"/>
        <v>INNER</v>
      </c>
      <c r="AC1710" t="str">
        <f t="shared" si="1076"/>
        <v>Stock en Bultos</v>
      </c>
      <c r="AD1710" t="str">
        <f t="shared" si="1077"/>
        <v>SubDepósito</v>
      </c>
      <c r="AE1710" t="str">
        <f t="shared" si="1078"/>
        <v>Marca</v>
      </c>
      <c r="AF1710" t="str">
        <f t="shared" si="1079"/>
        <v>Super Rubro</v>
      </c>
      <c r="AG1710" t="str">
        <f t="shared" si="1080"/>
        <v>ComercioExterior</v>
      </c>
      <c r="AH1710" t="str">
        <f t="shared" si="1081"/>
        <v>PrecioFOB</v>
      </c>
      <c r="AI1710" t="str">
        <f t="shared" si="1082"/>
        <v>Monto II</v>
      </c>
      <c r="AJ1710" t="str">
        <f t="shared" si="1083"/>
        <v>Porcentaje II</v>
      </c>
      <c r="AK1710" t="str">
        <f t="shared" si="1084"/>
        <v>Foto</v>
      </c>
      <c r="AL1710" t="str">
        <f>"{\rtf1\ansi\ansicpg1252\deff0\deflang11274{\fonttbl{\f0\fnil\fcharset0 MS Sans Serif}} \viewkind4\uc1\pard\f0\fs16 CONECTOR PORTAFUSIBLE A\'c9REO CHATO \endash  CABLE REFORZADO\par } "</f>
        <v xml:space="preserve">{\rtf1\ansi\ansicpg1252\deff0\deflang11274{\fonttbl{\f0\fnil\fcharset0 MS Sans Serif}} \viewkind4\uc1\pard\f0\fs16 CONECTOR PORTAFUSIBLE A\'c9REO CHATO \endash  CABLE REFORZADO\par } </v>
      </c>
      <c r="AM1710" t="str">
        <f t="shared" si="1095"/>
        <v>-</v>
      </c>
    </row>
    <row r="1711" spans="1:39" x14ac:dyDescent="0.25">
      <c r="A1711" t="str">
        <f>"10275"</f>
        <v>10275</v>
      </c>
      <c r="B1711" t="str">
        <f>"CONECTOR PORTAMAXIFUSIBLE SIN FIJACION"</f>
        <v>CONECTOR PORTAMAXIFUSIBLE SIN FIJACION</v>
      </c>
      <c r="C1711" t="str">
        <f>"$ 2338,35"</f>
        <v>$ 2338,35</v>
      </c>
      <c r="D1711" t="str">
        <f>"$ 2338,35"</f>
        <v>$ 2338,35</v>
      </c>
      <c r="E1711" t="str">
        <f>"$ 2338,35"</f>
        <v>$ 2338,35</v>
      </c>
      <c r="F1711" t="str">
        <f>"$ 2338,35"</f>
        <v>$ 2338,35</v>
      </c>
      <c r="G1711" t="str">
        <f>"$ 2338,35"</f>
        <v>$ 2338,35</v>
      </c>
      <c r="H1711" t="str">
        <f t="shared" si="1067"/>
        <v>$ 0,00</v>
      </c>
      <c r="I1711" t="str">
        <f t="shared" si="1099"/>
        <v>FICHA CONECTOR</v>
      </c>
      <c r="J1711" t="str">
        <f t="shared" si="1068"/>
        <v>1</v>
      </c>
      <c r="K1711" t="str">
        <f t="shared" si="1062"/>
        <v>0</v>
      </c>
      <c r="L1711" t="str">
        <f>"0,000"</f>
        <v>0,000</v>
      </c>
      <c r="M1711" t="str">
        <f t="shared" si="1069"/>
        <v xml:space="preserve"> </v>
      </c>
      <c r="N1711" t="str">
        <f t="shared" si="1100"/>
        <v>AUTRONIC</v>
      </c>
      <c r="O1711" t="str">
        <f t="shared" si="1101"/>
        <v>CABLES</v>
      </c>
      <c r="P1711" t="str">
        <f t="shared" si="1097"/>
        <v>0</v>
      </c>
      <c r="Q1711" t="str">
        <f t="shared" si="1097"/>
        <v>0</v>
      </c>
      <c r="R1711" t="str">
        <f t="shared" si="1098"/>
        <v>0,00</v>
      </c>
      <c r="S1711" t="str">
        <f t="shared" si="1098"/>
        <v>0,00</v>
      </c>
      <c r="T1711" t="str">
        <f t="shared" si="1066"/>
        <v xml:space="preserve"> </v>
      </c>
      <c r="U1711" t="str">
        <f t="shared" si="1086"/>
        <v xml:space="preserve"> </v>
      </c>
      <c r="V1711" t="str">
        <f>"0,000"</f>
        <v>0,000</v>
      </c>
      <c r="W1711" t="str">
        <f t="shared" si="1070"/>
        <v>Lista 4</v>
      </c>
      <c r="X1711" t="str">
        <f t="shared" si="1071"/>
        <v>Lista 5</v>
      </c>
      <c r="Y1711" t="str">
        <f t="shared" si="1072"/>
        <v>Oferta Gral.</v>
      </c>
      <c r="Z1711" t="str">
        <f t="shared" si="1073"/>
        <v>Rubro</v>
      </c>
      <c r="AA1711" t="str">
        <f t="shared" si="1074"/>
        <v>Cantidad por Bulto</v>
      </c>
      <c r="AB1711" t="str">
        <f t="shared" si="1075"/>
        <v>INNER</v>
      </c>
      <c r="AC1711" t="str">
        <f t="shared" si="1076"/>
        <v>Stock en Bultos</v>
      </c>
      <c r="AD1711" t="str">
        <f t="shared" si="1077"/>
        <v>SubDepósito</v>
      </c>
      <c r="AE1711" t="str">
        <f t="shared" si="1078"/>
        <v>Marca</v>
      </c>
      <c r="AF1711" t="str">
        <f t="shared" si="1079"/>
        <v>Super Rubro</v>
      </c>
      <c r="AG1711" t="str">
        <f t="shared" si="1080"/>
        <v>ComercioExterior</v>
      </c>
      <c r="AH1711" t="str">
        <f t="shared" si="1081"/>
        <v>PrecioFOB</v>
      </c>
      <c r="AI1711" t="str">
        <f t="shared" si="1082"/>
        <v>Monto II</v>
      </c>
      <c r="AJ1711" t="str">
        <f t="shared" si="1083"/>
        <v>Porcentaje II</v>
      </c>
      <c r="AK1711" t="str">
        <f t="shared" si="1084"/>
        <v>Foto</v>
      </c>
      <c r="AL1711" t="str">
        <f>"{\rtf1\ansi\ansicpg1252\deff0\deflang11274{\fonttbl{\f0\fnil\fcharset0 MS Sans Serif}} \viewkind4\uc1\pard\f0\fs16 CONECTOR PORTAMAXIFUSIBLE SIN FIJACION\par } "</f>
        <v xml:space="preserve">{\rtf1\ansi\ansicpg1252\deff0\deflang11274{\fonttbl{\f0\fnil\fcharset0 MS Sans Serif}} \viewkind4\uc1\pard\f0\fs16 CONECTOR PORTAMAXIFUSIBLE SIN FIJACION\par } </v>
      </c>
      <c r="AM1711" t="str">
        <f t="shared" si="1095"/>
        <v>-</v>
      </c>
    </row>
    <row r="1712" spans="1:39" x14ac:dyDescent="0.25">
      <c r="A1712" t="str">
        <f>"10199"</f>
        <v>10199</v>
      </c>
      <c r="B1712" t="str">
        <f>"CONECTOR PORTAMAXIFUSIBLES CON FIJACION"</f>
        <v>CONECTOR PORTAMAXIFUSIBLES CON FIJACION</v>
      </c>
      <c r="C1712" t="str">
        <f>"$ 5819,82"</f>
        <v>$ 5819,82</v>
      </c>
      <c r="D1712" t="str">
        <f>"$ 5819,82"</f>
        <v>$ 5819,82</v>
      </c>
      <c r="E1712" t="str">
        <f>"$ 5819,82"</f>
        <v>$ 5819,82</v>
      </c>
      <c r="F1712" t="str">
        <f>"$ 5819,82"</f>
        <v>$ 5819,82</v>
      </c>
      <c r="G1712" t="str">
        <f>"$ 5819,82"</f>
        <v>$ 5819,82</v>
      </c>
      <c r="H1712" t="str">
        <f t="shared" si="1067"/>
        <v>$ 0,00</v>
      </c>
      <c r="I1712" t="str">
        <f t="shared" si="1099"/>
        <v>FICHA CONECTOR</v>
      </c>
      <c r="J1712" t="str">
        <f t="shared" si="1068"/>
        <v>1</v>
      </c>
      <c r="K1712" t="str">
        <f t="shared" si="1062"/>
        <v>0</v>
      </c>
      <c r="L1712" t="str">
        <f>"0,000"</f>
        <v>0,000</v>
      </c>
      <c r="M1712" t="str">
        <f t="shared" si="1069"/>
        <v xml:space="preserve"> </v>
      </c>
      <c r="N1712" t="str">
        <f t="shared" si="1100"/>
        <v>AUTRONIC</v>
      </c>
      <c r="O1712" t="str">
        <f t="shared" si="1101"/>
        <v>CABLES</v>
      </c>
      <c r="P1712" t="str">
        <f t="shared" si="1097"/>
        <v>0</v>
      </c>
      <c r="Q1712" t="str">
        <f t="shared" si="1097"/>
        <v>0</v>
      </c>
      <c r="R1712" t="str">
        <f t="shared" si="1098"/>
        <v>0,00</v>
      </c>
      <c r="S1712" t="str">
        <f t="shared" si="1098"/>
        <v>0,00</v>
      </c>
      <c r="T1712" t="str">
        <f t="shared" si="1066"/>
        <v xml:space="preserve"> </v>
      </c>
      <c r="U1712" t="str">
        <f t="shared" si="1086"/>
        <v xml:space="preserve"> </v>
      </c>
      <c r="V1712" t="str">
        <f>"0,000"</f>
        <v>0,000</v>
      </c>
      <c r="W1712" t="str">
        <f t="shared" si="1070"/>
        <v>Lista 4</v>
      </c>
      <c r="X1712" t="str">
        <f t="shared" si="1071"/>
        <v>Lista 5</v>
      </c>
      <c r="Y1712" t="str">
        <f t="shared" si="1072"/>
        <v>Oferta Gral.</v>
      </c>
      <c r="Z1712" t="str">
        <f t="shared" si="1073"/>
        <v>Rubro</v>
      </c>
      <c r="AA1712" t="str">
        <f t="shared" si="1074"/>
        <v>Cantidad por Bulto</v>
      </c>
      <c r="AB1712" t="str">
        <f t="shared" si="1075"/>
        <v>INNER</v>
      </c>
      <c r="AC1712" t="str">
        <f t="shared" si="1076"/>
        <v>Stock en Bultos</v>
      </c>
      <c r="AD1712" t="str">
        <f t="shared" si="1077"/>
        <v>SubDepósito</v>
      </c>
      <c r="AE1712" t="str">
        <f t="shared" si="1078"/>
        <v>Marca</v>
      </c>
      <c r="AF1712" t="str">
        <f t="shared" si="1079"/>
        <v>Super Rubro</v>
      </c>
      <c r="AG1712" t="str">
        <f t="shared" si="1080"/>
        <v>ComercioExterior</v>
      </c>
      <c r="AH1712" t="str">
        <f t="shared" si="1081"/>
        <v>PrecioFOB</v>
      </c>
      <c r="AI1712" t="str">
        <f t="shared" si="1082"/>
        <v>Monto II</v>
      </c>
      <c r="AJ1712" t="str">
        <f t="shared" si="1083"/>
        <v>Porcentaje II</v>
      </c>
      <c r="AK1712" t="str">
        <f t="shared" si="1084"/>
        <v>Foto</v>
      </c>
      <c r="AL1712" t="str">
        <f>"{\rtf1\ansi\ansicpg1252\deff0\deflang11274{\fonttbl{\f0\fnil\fcharset0 MS Sans Serif}} \viewkind4\uc1\pard\f0\fs16 CONECTOR PORTAMAXIFUSIBLES CON FIJACION\par } "</f>
        <v xml:space="preserve">{\rtf1\ansi\ansicpg1252\deff0\deflang11274{\fonttbl{\f0\fnil\fcharset0 MS Sans Serif}} \viewkind4\uc1\pard\f0\fs16 CONECTOR PORTAMAXIFUSIBLES CON FIJACION\par } </v>
      </c>
      <c r="AM1712" t="str">
        <f t="shared" si="1095"/>
        <v>-</v>
      </c>
    </row>
    <row r="1713" spans="1:39" x14ac:dyDescent="0.25">
      <c r="A1713" t="str">
        <f>"10200"</f>
        <v>10200</v>
      </c>
      <c r="B1713" t="str">
        <f>"CONECTOR PORTAMAXIFUSIBLES SIN FIJACION"</f>
        <v>CONECTOR PORTAMAXIFUSIBLES SIN FIJACION</v>
      </c>
      <c r="C1713" t="str">
        <f>"$ 5463,50"</f>
        <v>$ 5463,50</v>
      </c>
      <c r="D1713" t="str">
        <f>"$ 5463,50"</f>
        <v>$ 5463,50</v>
      </c>
      <c r="E1713" t="str">
        <f>"$ 5463,50"</f>
        <v>$ 5463,50</v>
      </c>
      <c r="F1713" t="str">
        <f>"$ 5463,50"</f>
        <v>$ 5463,50</v>
      </c>
      <c r="G1713" t="str">
        <f>"$ 5463,50"</f>
        <v>$ 5463,50</v>
      </c>
      <c r="H1713" t="str">
        <f t="shared" si="1067"/>
        <v>$ 0,00</v>
      </c>
      <c r="I1713" t="str">
        <f t="shared" si="1099"/>
        <v>FICHA CONECTOR</v>
      </c>
      <c r="J1713" t="str">
        <f t="shared" si="1068"/>
        <v>1</v>
      </c>
      <c r="K1713" t="str">
        <f t="shared" si="1062"/>
        <v>0</v>
      </c>
      <c r="L1713" t="str">
        <f>"0,000"</f>
        <v>0,000</v>
      </c>
      <c r="M1713" t="str">
        <f t="shared" si="1069"/>
        <v xml:space="preserve"> </v>
      </c>
      <c r="N1713" t="str">
        <f t="shared" si="1100"/>
        <v>AUTRONIC</v>
      </c>
      <c r="O1713" t="str">
        <f t="shared" si="1101"/>
        <v>CABLES</v>
      </c>
      <c r="P1713" t="str">
        <f t="shared" si="1097"/>
        <v>0</v>
      </c>
      <c r="Q1713" t="str">
        <f t="shared" si="1097"/>
        <v>0</v>
      </c>
      <c r="R1713" t="str">
        <f t="shared" si="1098"/>
        <v>0,00</v>
      </c>
      <c r="S1713" t="str">
        <f t="shared" si="1098"/>
        <v>0,00</v>
      </c>
      <c r="T1713" t="str">
        <f t="shared" si="1066"/>
        <v xml:space="preserve"> </v>
      </c>
      <c r="U1713" t="str">
        <f t="shared" si="1086"/>
        <v xml:space="preserve"> </v>
      </c>
      <c r="V1713" t="str">
        <f>"0,000"</f>
        <v>0,000</v>
      </c>
      <c r="W1713" t="str">
        <f t="shared" si="1070"/>
        <v>Lista 4</v>
      </c>
      <c r="X1713" t="str">
        <f t="shared" si="1071"/>
        <v>Lista 5</v>
      </c>
      <c r="Y1713" t="str">
        <f t="shared" si="1072"/>
        <v>Oferta Gral.</v>
      </c>
      <c r="Z1713" t="str">
        <f t="shared" si="1073"/>
        <v>Rubro</v>
      </c>
      <c r="AA1713" t="str">
        <f t="shared" si="1074"/>
        <v>Cantidad por Bulto</v>
      </c>
      <c r="AB1713" t="str">
        <f t="shared" si="1075"/>
        <v>INNER</v>
      </c>
      <c r="AC1713" t="str">
        <f t="shared" si="1076"/>
        <v>Stock en Bultos</v>
      </c>
      <c r="AD1713" t="str">
        <f t="shared" si="1077"/>
        <v>SubDepósito</v>
      </c>
      <c r="AE1713" t="str">
        <f t="shared" si="1078"/>
        <v>Marca</v>
      </c>
      <c r="AF1713" t="str">
        <f t="shared" si="1079"/>
        <v>Super Rubro</v>
      </c>
      <c r="AG1713" t="str">
        <f t="shared" si="1080"/>
        <v>ComercioExterior</v>
      </c>
      <c r="AH1713" t="str">
        <f t="shared" si="1081"/>
        <v>PrecioFOB</v>
      </c>
      <c r="AI1713" t="str">
        <f t="shared" si="1082"/>
        <v>Monto II</v>
      </c>
      <c r="AJ1713" t="str">
        <f t="shared" si="1083"/>
        <v>Porcentaje II</v>
      </c>
      <c r="AK1713" t="str">
        <f t="shared" si="1084"/>
        <v>Foto</v>
      </c>
      <c r="AL1713" t="str">
        <f>"{\rtf1\ansi\ansicpg1252\deff0\deflang11274{\fonttbl{\f0\fnil\fcharset0 MS Sans Serif}} \viewkind4\uc1\pard\f0\fs16 CONECTOR PORTAMAXIFUSIBLES SIN FIJACION\par } "</f>
        <v xml:space="preserve">{\rtf1\ansi\ansicpg1252\deff0\deflang11274{\fonttbl{\f0\fnil\fcharset0 MS Sans Serif}} \viewkind4\uc1\pard\f0\fs16 CONECTOR PORTAMAXIFUSIBLES SIN FIJACION\par } </v>
      </c>
      <c r="AM1713" t="str">
        <f t="shared" si="1095"/>
        <v>-</v>
      </c>
    </row>
    <row r="1714" spans="1:39" x14ac:dyDescent="0.25">
      <c r="A1714" t="str">
        <f>"DV30129"</f>
        <v>DV30129</v>
      </c>
      <c r="B1714" t="str">
        <f>"CONMUTADOR DE LUCES CORSA CON REOSTATO EX DV4943"</f>
        <v>CONMUTADOR DE LUCES CORSA CON REOSTATO EX DV4943</v>
      </c>
      <c r="C1714" t="str">
        <f>"$ 21759,95"</f>
        <v>$ 21759,95</v>
      </c>
      <c r="D1714" t="str">
        <f>"$ 21759,95"</f>
        <v>$ 21759,95</v>
      </c>
      <c r="E1714" t="str">
        <f>"$ 21759,95"</f>
        <v>$ 21759,95</v>
      </c>
      <c r="F1714" t="str">
        <f>"$ 21759,95"</f>
        <v>$ 21759,95</v>
      </c>
      <c r="G1714" t="str">
        <f>"$ 21759,95"</f>
        <v>$ 21759,95</v>
      </c>
      <c r="H1714" t="str">
        <f t="shared" si="1067"/>
        <v>$ 0,00</v>
      </c>
      <c r="I1714" t="str">
        <f t="shared" ref="I1714:I1736" si="1102">"CONMUTADOR DE LUCES"</f>
        <v>CONMUTADOR DE LUCES</v>
      </c>
      <c r="J1714" t="str">
        <f t="shared" si="1068"/>
        <v>1</v>
      </c>
      <c r="K1714" t="str">
        <f t="shared" si="1062"/>
        <v>0</v>
      </c>
      <c r="L1714" t="str">
        <f>"10,000"</f>
        <v>10,000</v>
      </c>
      <c r="M1714" t="str">
        <f t="shared" si="1069"/>
        <v xml:space="preserve"> </v>
      </c>
      <c r="N1714" t="str">
        <f t="shared" ref="N1714:N1736" si="1103">"DIVAIO"</f>
        <v>DIVAIO</v>
      </c>
      <c r="O1714" t="str">
        <f t="shared" ref="O1714:O1736" si="1104">"CONMUTADORES"</f>
        <v>CONMUTADORES</v>
      </c>
      <c r="P1714" t="str">
        <f t="shared" si="1097"/>
        <v>0</v>
      </c>
      <c r="Q1714" t="str">
        <f t="shared" si="1097"/>
        <v>0</v>
      </c>
      <c r="R1714" t="str">
        <f t="shared" si="1098"/>
        <v>0,00</v>
      </c>
      <c r="S1714" t="str">
        <f t="shared" si="1098"/>
        <v>0,00</v>
      </c>
      <c r="T1714" t="str">
        <f t="shared" si="1066"/>
        <v xml:space="preserve"> </v>
      </c>
      <c r="U1714" t="str">
        <f t="shared" si="1086"/>
        <v xml:space="preserve"> </v>
      </c>
      <c r="V1714" t="str">
        <f>"10,000"</f>
        <v>10,000</v>
      </c>
      <c r="W1714" t="str">
        <f t="shared" si="1070"/>
        <v>Lista 4</v>
      </c>
      <c r="X1714" t="str">
        <f t="shared" si="1071"/>
        <v>Lista 5</v>
      </c>
      <c r="Y1714" t="str">
        <f t="shared" si="1072"/>
        <v>Oferta Gral.</v>
      </c>
      <c r="Z1714" t="str">
        <f t="shared" si="1073"/>
        <v>Rubro</v>
      </c>
      <c r="AA1714" t="str">
        <f t="shared" si="1074"/>
        <v>Cantidad por Bulto</v>
      </c>
      <c r="AB1714" t="str">
        <f t="shared" si="1075"/>
        <v>INNER</v>
      </c>
      <c r="AC1714" t="str">
        <f t="shared" si="1076"/>
        <v>Stock en Bultos</v>
      </c>
      <c r="AD1714" t="str">
        <f t="shared" si="1077"/>
        <v>SubDepósito</v>
      </c>
      <c r="AE1714" t="str">
        <f t="shared" si="1078"/>
        <v>Marca</v>
      </c>
      <c r="AF1714" t="str">
        <f t="shared" si="1079"/>
        <v>Super Rubro</v>
      </c>
      <c r="AG1714" t="str">
        <f t="shared" si="1080"/>
        <v>ComercioExterior</v>
      </c>
      <c r="AH1714" t="str">
        <f t="shared" si="1081"/>
        <v>PrecioFOB</v>
      </c>
      <c r="AI1714" t="str">
        <f t="shared" si="1082"/>
        <v>Monto II</v>
      </c>
      <c r="AJ1714" t="str">
        <f t="shared" si="1083"/>
        <v>Porcentaje II</v>
      </c>
      <c r="AK1714" t="str">
        <f t="shared" si="1084"/>
        <v>Foto</v>
      </c>
      <c r="AL1714" t="str">
        <f>"{\rtf1\ansi\ansicpg1252\deff0\deflang2058{\fonttbl{\f0\fnil\fcharset0 MS Sans Serif}} \viewkind4\uc1\pard\f0\fs16 CONMUTADOR DE LUCES CORSA CON REOSTATO EX DV4943\par } "</f>
        <v xml:space="preserve">{\rtf1\ansi\ansicpg1252\deff0\deflang2058{\fonttbl{\f0\fnil\fcharset0 MS Sans Serif}} \viewkind4\uc1\pard\f0\fs16 CONMUTADOR DE LUCES CORSA CON REOSTATO EX DV4943\par } </v>
      </c>
      <c r="AM1714" t="str">
        <f t="shared" ref="AM1714:AM1733" si="1105">" "</f>
        <v xml:space="preserve"> </v>
      </c>
    </row>
    <row r="1715" spans="1:39" x14ac:dyDescent="0.25">
      <c r="A1715" t="str">
        <f>"DV30130"</f>
        <v>DV30130</v>
      </c>
      <c r="B1715" t="str">
        <f>"CONMUTADOR DE LUCES CORSA SIN REOSTATO EX DV4942"</f>
        <v>CONMUTADOR DE LUCES CORSA SIN REOSTATO EX DV4942</v>
      </c>
      <c r="C1715" t="str">
        <f>"$ 17821,83"</f>
        <v>$ 17821,83</v>
      </c>
      <c r="D1715" t="str">
        <f>"$ 17821,83"</f>
        <v>$ 17821,83</v>
      </c>
      <c r="E1715" t="str">
        <f>"$ 17821,83"</f>
        <v>$ 17821,83</v>
      </c>
      <c r="F1715" t="str">
        <f>"$ 17821,83"</f>
        <v>$ 17821,83</v>
      </c>
      <c r="G1715" t="str">
        <f>"$ 17821,83"</f>
        <v>$ 17821,83</v>
      </c>
      <c r="H1715" t="str">
        <f t="shared" si="1067"/>
        <v>$ 0,00</v>
      </c>
      <c r="I1715" t="str">
        <f t="shared" si="1102"/>
        <v>CONMUTADOR DE LUCES</v>
      </c>
      <c r="J1715" t="str">
        <f t="shared" si="1068"/>
        <v>1</v>
      </c>
      <c r="K1715" t="str">
        <f t="shared" si="1062"/>
        <v>0</v>
      </c>
      <c r="L1715" t="str">
        <f>"12,000"</f>
        <v>12,000</v>
      </c>
      <c r="M1715" t="str">
        <f t="shared" si="1069"/>
        <v xml:space="preserve"> </v>
      </c>
      <c r="N1715" t="str">
        <f t="shared" si="1103"/>
        <v>DIVAIO</v>
      </c>
      <c r="O1715" t="str">
        <f t="shared" si="1104"/>
        <v>CONMUTADORES</v>
      </c>
      <c r="P1715" t="str">
        <f t="shared" si="1097"/>
        <v>0</v>
      </c>
      <c r="Q1715" t="str">
        <f t="shared" si="1097"/>
        <v>0</v>
      </c>
      <c r="R1715" t="str">
        <f t="shared" si="1098"/>
        <v>0,00</v>
      </c>
      <c r="S1715" t="str">
        <f t="shared" si="1098"/>
        <v>0,00</v>
      </c>
      <c r="T1715" t="str">
        <f t="shared" si="1066"/>
        <v xml:space="preserve"> </v>
      </c>
      <c r="U1715" t="str">
        <f t="shared" si="1086"/>
        <v xml:space="preserve"> </v>
      </c>
      <c r="V1715" t="str">
        <f>"12,000"</f>
        <v>12,000</v>
      </c>
      <c r="W1715" t="str">
        <f t="shared" si="1070"/>
        <v>Lista 4</v>
      </c>
      <c r="X1715" t="str">
        <f t="shared" si="1071"/>
        <v>Lista 5</v>
      </c>
      <c r="Y1715" t="str">
        <f t="shared" si="1072"/>
        <v>Oferta Gral.</v>
      </c>
      <c r="Z1715" t="str">
        <f t="shared" si="1073"/>
        <v>Rubro</v>
      </c>
      <c r="AA1715" t="str">
        <f t="shared" si="1074"/>
        <v>Cantidad por Bulto</v>
      </c>
      <c r="AB1715" t="str">
        <f t="shared" si="1075"/>
        <v>INNER</v>
      </c>
      <c r="AC1715" t="str">
        <f t="shared" si="1076"/>
        <v>Stock en Bultos</v>
      </c>
      <c r="AD1715" t="str">
        <f t="shared" si="1077"/>
        <v>SubDepósito</v>
      </c>
      <c r="AE1715" t="str">
        <f t="shared" si="1078"/>
        <v>Marca</v>
      </c>
      <c r="AF1715" t="str">
        <f t="shared" si="1079"/>
        <v>Super Rubro</v>
      </c>
      <c r="AG1715" t="str">
        <f t="shared" si="1080"/>
        <v>ComercioExterior</v>
      </c>
      <c r="AH1715" t="str">
        <f t="shared" si="1081"/>
        <v>PrecioFOB</v>
      </c>
      <c r="AI1715" t="str">
        <f t="shared" si="1082"/>
        <v>Monto II</v>
      </c>
      <c r="AJ1715" t="str">
        <f t="shared" si="1083"/>
        <v>Porcentaje II</v>
      </c>
      <c r="AK1715" t="str">
        <f t="shared" si="1084"/>
        <v>Foto</v>
      </c>
      <c r="AL1715" t="str">
        <f>"{\rtf1\ansi\ansicpg1252\deff0\deflang2058{\fonttbl{\f0\fnil\fcharset0 MS Sans Serif}} \viewkind4\uc1\pard\f0\fs16 CONMUTADOR DE LUCES CORSA SIN REOSTATO EX DV4942\par } "</f>
        <v xml:space="preserve">{\rtf1\ansi\ansicpg1252\deff0\deflang2058{\fonttbl{\f0\fnil\fcharset0 MS Sans Serif}} \viewkind4\uc1\pard\f0\fs16 CONMUTADOR DE LUCES CORSA SIN REOSTATO EX DV4942\par } </v>
      </c>
      <c r="AM1715" t="str">
        <f t="shared" si="1105"/>
        <v xml:space="preserve"> </v>
      </c>
    </row>
    <row r="1716" spans="1:39" x14ac:dyDescent="0.25">
      <c r="A1716" t="str">
        <f>"DV10401"</f>
        <v>DV10401</v>
      </c>
      <c r="B1716" t="str">
        <f>"CONMUTADOR DE LUCES FIAT DUNA UNO EX DV4930"</f>
        <v>CONMUTADOR DE LUCES FIAT DUNA UNO EX DV4930</v>
      </c>
      <c r="C1716" t="str">
        <f>"$ 68478,93"</f>
        <v>$ 68478,93</v>
      </c>
      <c r="D1716" t="str">
        <f>"$ 68478,93"</f>
        <v>$ 68478,93</v>
      </c>
      <c r="E1716" t="str">
        <f>"$ 68478,93"</f>
        <v>$ 68478,93</v>
      </c>
      <c r="F1716" t="str">
        <f>"$ 68478,93"</f>
        <v>$ 68478,93</v>
      </c>
      <c r="G1716" t="str">
        <f>"$ 68478,93"</f>
        <v>$ 68478,93</v>
      </c>
      <c r="H1716" t="str">
        <f t="shared" si="1067"/>
        <v>$ 0,00</v>
      </c>
      <c r="I1716" t="str">
        <f t="shared" si="1102"/>
        <v>CONMUTADOR DE LUCES</v>
      </c>
      <c r="J1716" t="str">
        <f t="shared" si="1068"/>
        <v>1</v>
      </c>
      <c r="K1716" t="str">
        <f t="shared" ref="K1716:K1779" si="1106">"0"</f>
        <v>0</v>
      </c>
      <c r="L1716" t="str">
        <f>"0,000"</f>
        <v>0,000</v>
      </c>
      <c r="M1716" t="str">
        <f t="shared" si="1069"/>
        <v xml:space="preserve"> </v>
      </c>
      <c r="N1716" t="str">
        <f t="shared" si="1103"/>
        <v>DIVAIO</v>
      </c>
      <c r="O1716" t="str">
        <f t="shared" si="1104"/>
        <v>CONMUTADORES</v>
      </c>
      <c r="P1716" t="str">
        <f t="shared" si="1097"/>
        <v>0</v>
      </c>
      <c r="Q1716" t="str">
        <f t="shared" si="1097"/>
        <v>0</v>
      </c>
      <c r="R1716" t="str">
        <f t="shared" si="1098"/>
        <v>0,00</v>
      </c>
      <c r="S1716" t="str">
        <f t="shared" si="1098"/>
        <v>0,00</v>
      </c>
      <c r="T1716" t="str">
        <f t="shared" si="1066"/>
        <v xml:space="preserve"> </v>
      </c>
      <c r="U1716" t="str">
        <f t="shared" si="1086"/>
        <v xml:space="preserve"> </v>
      </c>
      <c r="V1716" t="str">
        <f>"0,000"</f>
        <v>0,000</v>
      </c>
      <c r="W1716" t="str">
        <f t="shared" si="1070"/>
        <v>Lista 4</v>
      </c>
      <c r="X1716" t="str">
        <f t="shared" si="1071"/>
        <v>Lista 5</v>
      </c>
      <c r="Y1716" t="str">
        <f t="shared" si="1072"/>
        <v>Oferta Gral.</v>
      </c>
      <c r="Z1716" t="str">
        <f t="shared" si="1073"/>
        <v>Rubro</v>
      </c>
      <c r="AA1716" t="str">
        <f t="shared" si="1074"/>
        <v>Cantidad por Bulto</v>
      </c>
      <c r="AB1716" t="str">
        <f t="shared" si="1075"/>
        <v>INNER</v>
      </c>
      <c r="AC1716" t="str">
        <f t="shared" si="1076"/>
        <v>Stock en Bultos</v>
      </c>
      <c r="AD1716" t="str">
        <f t="shared" si="1077"/>
        <v>SubDepósito</v>
      </c>
      <c r="AE1716" t="str">
        <f t="shared" si="1078"/>
        <v>Marca</v>
      </c>
      <c r="AF1716" t="str">
        <f t="shared" si="1079"/>
        <v>Super Rubro</v>
      </c>
      <c r="AG1716" t="str">
        <f t="shared" si="1080"/>
        <v>ComercioExterior</v>
      </c>
      <c r="AH1716" t="str">
        <f t="shared" si="1081"/>
        <v>PrecioFOB</v>
      </c>
      <c r="AI1716" t="str">
        <f t="shared" si="1082"/>
        <v>Monto II</v>
      </c>
      <c r="AJ1716" t="str">
        <f t="shared" si="1083"/>
        <v>Porcentaje II</v>
      </c>
      <c r="AK1716" t="str">
        <f t="shared" si="1084"/>
        <v>Foto</v>
      </c>
      <c r="AL1716" t="str">
        <f>"{\rtf1\ansi\ansicpg1252\deff0\deflang2058{\fonttbl{\f0\fnil\fcharset0 MS Sans Serif}} \viewkind4\uc1\pard\f0\fs16 CONMUTADOR DE LUCES FIAT DUNA UNO EX DV4930\par } "</f>
        <v xml:space="preserve">{\rtf1\ansi\ansicpg1252\deff0\deflang2058{\fonttbl{\f0\fnil\fcharset0 MS Sans Serif}} \viewkind4\uc1\pard\f0\fs16 CONMUTADOR DE LUCES FIAT DUNA UNO EX DV4930\par } </v>
      </c>
      <c r="AM1716" t="str">
        <f t="shared" si="1105"/>
        <v xml:space="preserve"> </v>
      </c>
    </row>
    <row r="1717" spans="1:39" x14ac:dyDescent="0.25">
      <c r="A1717" t="str">
        <f>"DV10403"</f>
        <v>DV10403</v>
      </c>
      <c r="B1717" t="str">
        <f>"CONMUTADOR DE LUCES PALIO SIENA 1997/2000 EX DV4948"</f>
        <v>CONMUTADOR DE LUCES PALIO SIENA 1997/2000 EX DV4948</v>
      </c>
      <c r="C1717" t="str">
        <f>"$ 75943,41"</f>
        <v>$ 75943,41</v>
      </c>
      <c r="D1717" t="str">
        <f>"$ 75943,41"</f>
        <v>$ 75943,41</v>
      </c>
      <c r="E1717" t="str">
        <f>"$ 75943,41"</f>
        <v>$ 75943,41</v>
      </c>
      <c r="F1717" t="str">
        <f>"$ 75943,41"</f>
        <v>$ 75943,41</v>
      </c>
      <c r="G1717" t="str">
        <f>"$ 75943,41"</f>
        <v>$ 75943,41</v>
      </c>
      <c r="H1717" t="str">
        <f t="shared" si="1067"/>
        <v>$ 0,00</v>
      </c>
      <c r="I1717" t="str">
        <f t="shared" si="1102"/>
        <v>CONMUTADOR DE LUCES</v>
      </c>
      <c r="J1717" t="str">
        <f t="shared" si="1068"/>
        <v>1</v>
      </c>
      <c r="K1717" t="str">
        <f t="shared" si="1106"/>
        <v>0</v>
      </c>
      <c r="L1717" t="str">
        <f>"5,000"</f>
        <v>5,000</v>
      </c>
      <c r="M1717" t="str">
        <f t="shared" si="1069"/>
        <v xml:space="preserve"> </v>
      </c>
      <c r="N1717" t="str">
        <f t="shared" si="1103"/>
        <v>DIVAIO</v>
      </c>
      <c r="O1717" t="str">
        <f t="shared" si="1104"/>
        <v>CONMUTADORES</v>
      </c>
      <c r="P1717" t="str">
        <f t="shared" si="1097"/>
        <v>0</v>
      </c>
      <c r="Q1717" t="str">
        <f t="shared" si="1097"/>
        <v>0</v>
      </c>
      <c r="R1717" t="str">
        <f t="shared" si="1098"/>
        <v>0,00</v>
      </c>
      <c r="S1717" t="str">
        <f t="shared" si="1098"/>
        <v>0,00</v>
      </c>
      <c r="T1717" t="str">
        <f t="shared" si="1066"/>
        <v xml:space="preserve"> </v>
      </c>
      <c r="U1717" t="str">
        <f t="shared" si="1086"/>
        <v xml:space="preserve"> </v>
      </c>
      <c r="V1717" t="str">
        <f>"5,000"</f>
        <v>5,000</v>
      </c>
      <c r="W1717" t="str">
        <f t="shared" si="1070"/>
        <v>Lista 4</v>
      </c>
      <c r="X1717" t="str">
        <f t="shared" si="1071"/>
        <v>Lista 5</v>
      </c>
      <c r="Y1717" t="str">
        <f t="shared" si="1072"/>
        <v>Oferta Gral.</v>
      </c>
      <c r="Z1717" t="str">
        <f t="shared" si="1073"/>
        <v>Rubro</v>
      </c>
      <c r="AA1717" t="str">
        <f t="shared" si="1074"/>
        <v>Cantidad por Bulto</v>
      </c>
      <c r="AB1717" t="str">
        <f t="shared" si="1075"/>
        <v>INNER</v>
      </c>
      <c r="AC1717" t="str">
        <f t="shared" si="1076"/>
        <v>Stock en Bultos</v>
      </c>
      <c r="AD1717" t="str">
        <f t="shared" si="1077"/>
        <v>SubDepósito</v>
      </c>
      <c r="AE1717" t="str">
        <f t="shared" si="1078"/>
        <v>Marca</v>
      </c>
      <c r="AF1717" t="str">
        <f t="shared" si="1079"/>
        <v>Super Rubro</v>
      </c>
      <c r="AG1717" t="str">
        <f t="shared" si="1080"/>
        <v>ComercioExterior</v>
      </c>
      <c r="AH1717" t="str">
        <f t="shared" si="1081"/>
        <v>PrecioFOB</v>
      </c>
      <c r="AI1717" t="str">
        <f t="shared" si="1082"/>
        <v>Monto II</v>
      </c>
      <c r="AJ1717" t="str">
        <f t="shared" si="1083"/>
        <v>Porcentaje II</v>
      </c>
      <c r="AK1717" t="str">
        <f t="shared" si="1084"/>
        <v>Foto</v>
      </c>
      <c r="AL1717" t="str">
        <f>"{\rtf1\ansi\ansicpg1252\deff0\deflang2058{\fonttbl{\f0\fnil\fcharset0 MS Sans Serif}} \viewkind4\uc1\pard\f0\fs16 CONMUTADOR DE LUCES PALIO SIENA 1997/2000 EX DV4948\par } "</f>
        <v xml:space="preserve">{\rtf1\ansi\ansicpg1252\deff0\deflang2058{\fonttbl{\f0\fnil\fcharset0 MS Sans Serif}} \viewkind4\uc1\pard\f0\fs16 CONMUTADOR DE LUCES PALIO SIENA 1997/2000 EX DV4948\par } </v>
      </c>
      <c r="AM1717" t="str">
        <f t="shared" si="1105"/>
        <v xml:space="preserve"> </v>
      </c>
    </row>
    <row r="1718" spans="1:39" x14ac:dyDescent="0.25">
      <c r="A1718" t="str">
        <f>"DV10112"</f>
        <v>DV10112</v>
      </c>
      <c r="B1718" t="str">
        <f>"CONMUTADOR DE LUCES PEUGEOT 206 EX DV1082"</f>
        <v>CONMUTADOR DE LUCES PEUGEOT 206 EX DV1082</v>
      </c>
      <c r="C1718" t="str">
        <f>"$ 27968,05"</f>
        <v>$ 27968,05</v>
      </c>
      <c r="D1718" t="str">
        <f>"$ 27968,05"</f>
        <v>$ 27968,05</v>
      </c>
      <c r="E1718" t="str">
        <f>"$ 27968,05"</f>
        <v>$ 27968,05</v>
      </c>
      <c r="F1718" t="str">
        <f>"$ 27968,05"</f>
        <v>$ 27968,05</v>
      </c>
      <c r="G1718" t="str">
        <f>"$ 27968,05"</f>
        <v>$ 27968,05</v>
      </c>
      <c r="H1718" t="str">
        <f t="shared" si="1067"/>
        <v>$ 0,00</v>
      </c>
      <c r="I1718" t="str">
        <f t="shared" si="1102"/>
        <v>CONMUTADOR DE LUCES</v>
      </c>
      <c r="J1718" t="str">
        <f t="shared" si="1068"/>
        <v>1</v>
      </c>
      <c r="K1718" t="str">
        <f t="shared" si="1106"/>
        <v>0</v>
      </c>
      <c r="L1718" t="str">
        <f>"6,000"</f>
        <v>6,000</v>
      </c>
      <c r="M1718" t="str">
        <f t="shared" si="1069"/>
        <v xml:space="preserve"> </v>
      </c>
      <c r="N1718" t="str">
        <f t="shared" si="1103"/>
        <v>DIVAIO</v>
      </c>
      <c r="O1718" t="str">
        <f t="shared" si="1104"/>
        <v>CONMUTADORES</v>
      </c>
      <c r="P1718" t="str">
        <f t="shared" si="1097"/>
        <v>0</v>
      </c>
      <c r="Q1718" t="str">
        <f t="shared" si="1097"/>
        <v>0</v>
      </c>
      <c r="R1718" t="str">
        <f t="shared" si="1098"/>
        <v>0,00</v>
      </c>
      <c r="S1718" t="str">
        <f t="shared" si="1098"/>
        <v>0,00</v>
      </c>
      <c r="T1718" t="str">
        <f t="shared" si="1066"/>
        <v xml:space="preserve"> </v>
      </c>
      <c r="U1718" t="str">
        <f t="shared" si="1086"/>
        <v xml:space="preserve"> </v>
      </c>
      <c r="V1718" t="str">
        <f>"6,000"</f>
        <v>6,000</v>
      </c>
      <c r="W1718" t="str">
        <f t="shared" si="1070"/>
        <v>Lista 4</v>
      </c>
      <c r="X1718" t="str">
        <f t="shared" si="1071"/>
        <v>Lista 5</v>
      </c>
      <c r="Y1718" t="str">
        <f t="shared" si="1072"/>
        <v>Oferta Gral.</v>
      </c>
      <c r="Z1718" t="str">
        <f t="shared" si="1073"/>
        <v>Rubro</v>
      </c>
      <c r="AA1718" t="str">
        <f t="shared" si="1074"/>
        <v>Cantidad por Bulto</v>
      </c>
      <c r="AB1718" t="str">
        <f t="shared" si="1075"/>
        <v>INNER</v>
      </c>
      <c r="AC1718" t="str">
        <f t="shared" si="1076"/>
        <v>Stock en Bultos</v>
      </c>
      <c r="AD1718" t="str">
        <f t="shared" si="1077"/>
        <v>SubDepósito</v>
      </c>
      <c r="AE1718" t="str">
        <f t="shared" si="1078"/>
        <v>Marca</v>
      </c>
      <c r="AF1718" t="str">
        <f t="shared" si="1079"/>
        <v>Super Rubro</v>
      </c>
      <c r="AG1718" t="str">
        <f t="shared" si="1080"/>
        <v>ComercioExterior</v>
      </c>
      <c r="AH1718" t="str">
        <f t="shared" si="1081"/>
        <v>PrecioFOB</v>
      </c>
      <c r="AI1718" t="str">
        <f t="shared" si="1082"/>
        <v>Monto II</v>
      </c>
      <c r="AJ1718" t="str">
        <f t="shared" si="1083"/>
        <v>Porcentaje II</v>
      </c>
      <c r="AK1718" t="str">
        <f t="shared" si="1084"/>
        <v>Foto</v>
      </c>
      <c r="AL1718" t="str">
        <f>"{\rtf1\ansi\ansicpg1252\deff0\deflang2058{\fonttbl{\f0\fnil\fcharset0 MS Sans Serif}} \viewkind4\uc1\pard\f0\fs16 CONMUTADOR DE LUCES PEUGEOT 206 EX DV1082\par } "</f>
        <v xml:space="preserve">{\rtf1\ansi\ansicpg1252\deff0\deflang2058{\fonttbl{\f0\fnil\fcharset0 MS Sans Serif}} \viewkind4\uc1\pard\f0\fs16 CONMUTADOR DE LUCES PEUGEOT 206 EX DV1082\par } </v>
      </c>
      <c r="AM1718" t="str">
        <f t="shared" si="1105"/>
        <v xml:space="preserve"> </v>
      </c>
    </row>
    <row r="1719" spans="1:39" x14ac:dyDescent="0.25">
      <c r="A1719" t="str">
        <f>"DV10104"</f>
        <v>DV10104</v>
      </c>
      <c r="B1719" t="str">
        <f>"CONMUTADOR DE LUCES PEUGEOT 405 EX DV4939"</f>
        <v>CONMUTADOR DE LUCES PEUGEOT 405 EX DV4939</v>
      </c>
      <c r="C1719" t="str">
        <f>"$ 25793,09"</f>
        <v>$ 25793,09</v>
      </c>
      <c r="D1719" t="str">
        <f>"$ 25793,09"</f>
        <v>$ 25793,09</v>
      </c>
      <c r="E1719" t="str">
        <f>"$ 25793,09"</f>
        <v>$ 25793,09</v>
      </c>
      <c r="F1719" t="str">
        <f>"$ 25793,09"</f>
        <v>$ 25793,09</v>
      </c>
      <c r="G1719" t="str">
        <f>"$ 25793,09"</f>
        <v>$ 25793,09</v>
      </c>
      <c r="H1719" t="str">
        <f t="shared" si="1067"/>
        <v>$ 0,00</v>
      </c>
      <c r="I1719" t="str">
        <f t="shared" si="1102"/>
        <v>CONMUTADOR DE LUCES</v>
      </c>
      <c r="J1719" t="str">
        <f t="shared" si="1068"/>
        <v>1</v>
      </c>
      <c r="K1719" t="str">
        <f t="shared" si="1106"/>
        <v>0</v>
      </c>
      <c r="L1719" t="str">
        <f>"0,000"</f>
        <v>0,000</v>
      </c>
      <c r="M1719" t="str">
        <f t="shared" si="1069"/>
        <v xml:space="preserve"> </v>
      </c>
      <c r="N1719" t="str">
        <f t="shared" si="1103"/>
        <v>DIVAIO</v>
      </c>
      <c r="O1719" t="str">
        <f t="shared" si="1104"/>
        <v>CONMUTADORES</v>
      </c>
      <c r="P1719" t="str">
        <f t="shared" si="1097"/>
        <v>0</v>
      </c>
      <c r="Q1719" t="str">
        <f t="shared" si="1097"/>
        <v>0</v>
      </c>
      <c r="R1719" t="str">
        <f t="shared" si="1098"/>
        <v>0,00</v>
      </c>
      <c r="S1719" t="str">
        <f t="shared" si="1098"/>
        <v>0,00</v>
      </c>
      <c r="T1719" t="str">
        <f t="shared" si="1066"/>
        <v xml:space="preserve"> </v>
      </c>
      <c r="U1719" t="str">
        <f t="shared" si="1086"/>
        <v xml:space="preserve"> </v>
      </c>
      <c r="V1719" t="str">
        <f>"0,000"</f>
        <v>0,000</v>
      </c>
      <c r="W1719" t="str">
        <f t="shared" si="1070"/>
        <v>Lista 4</v>
      </c>
      <c r="X1719" t="str">
        <f t="shared" si="1071"/>
        <v>Lista 5</v>
      </c>
      <c r="Y1719" t="str">
        <f t="shared" si="1072"/>
        <v>Oferta Gral.</v>
      </c>
      <c r="Z1719" t="str">
        <f t="shared" si="1073"/>
        <v>Rubro</v>
      </c>
      <c r="AA1719" t="str">
        <f t="shared" si="1074"/>
        <v>Cantidad por Bulto</v>
      </c>
      <c r="AB1719" t="str">
        <f t="shared" si="1075"/>
        <v>INNER</v>
      </c>
      <c r="AC1719" t="str">
        <f t="shared" si="1076"/>
        <v>Stock en Bultos</v>
      </c>
      <c r="AD1719" t="str">
        <f t="shared" si="1077"/>
        <v>SubDepósito</v>
      </c>
      <c r="AE1719" t="str">
        <f t="shared" si="1078"/>
        <v>Marca</v>
      </c>
      <c r="AF1719" t="str">
        <f t="shared" si="1079"/>
        <v>Super Rubro</v>
      </c>
      <c r="AG1719" t="str">
        <f t="shared" si="1080"/>
        <v>ComercioExterior</v>
      </c>
      <c r="AH1719" t="str">
        <f t="shared" si="1081"/>
        <v>PrecioFOB</v>
      </c>
      <c r="AI1719" t="str">
        <f t="shared" si="1082"/>
        <v>Monto II</v>
      </c>
      <c r="AJ1719" t="str">
        <f t="shared" si="1083"/>
        <v>Porcentaje II</v>
      </c>
      <c r="AK1719" t="str">
        <f t="shared" si="1084"/>
        <v>Foto</v>
      </c>
      <c r="AL1719" t="str">
        <f>"{\rtf1\ansi\ansicpg1252\deff0\deflang2058{\fonttbl{\f0\fnil\fcharset0 MS Sans Serif}} \viewkind4\uc1\pard\f0\fs16 CONMUTADOR DE LUCES PEUGEOT 405 EX DV4939\par } "</f>
        <v xml:space="preserve">{\rtf1\ansi\ansicpg1252\deff0\deflang2058{\fonttbl{\f0\fnil\fcharset0 MS Sans Serif}} \viewkind4\uc1\pard\f0\fs16 CONMUTADOR DE LUCES PEUGEOT 405 EX DV4939\par } </v>
      </c>
      <c r="AM1719" t="str">
        <f t="shared" si="1105"/>
        <v xml:space="preserve"> </v>
      </c>
    </row>
    <row r="1720" spans="1:39" x14ac:dyDescent="0.25">
      <c r="A1720" t="str">
        <f>"DV10102"</f>
        <v>DV10102</v>
      </c>
      <c r="B1720" t="str">
        <f>"CONMUTADOR DE LUCES PEUGEOT 504 1980/87 EX DV4922"</f>
        <v>CONMUTADOR DE LUCES PEUGEOT 504 1980/87 EX DV4922</v>
      </c>
      <c r="C1720" t="str">
        <f>"$ 28495,95"</f>
        <v>$ 28495,95</v>
      </c>
      <c r="D1720" t="str">
        <f>"$ 28495,95"</f>
        <v>$ 28495,95</v>
      </c>
      <c r="E1720" t="str">
        <f>"$ 28495,95"</f>
        <v>$ 28495,95</v>
      </c>
      <c r="F1720" t="str">
        <f>"$ 28495,95"</f>
        <v>$ 28495,95</v>
      </c>
      <c r="G1720" t="str">
        <f>"$ 28495,95"</f>
        <v>$ 28495,95</v>
      </c>
      <c r="H1720" t="str">
        <f t="shared" si="1067"/>
        <v>$ 0,00</v>
      </c>
      <c r="I1720" t="str">
        <f t="shared" si="1102"/>
        <v>CONMUTADOR DE LUCES</v>
      </c>
      <c r="J1720" t="str">
        <f t="shared" si="1068"/>
        <v>1</v>
      </c>
      <c r="K1720" t="str">
        <f t="shared" si="1106"/>
        <v>0</v>
      </c>
      <c r="L1720" t="str">
        <f>"0,000"</f>
        <v>0,000</v>
      </c>
      <c r="M1720" t="str">
        <f t="shared" si="1069"/>
        <v xml:space="preserve"> </v>
      </c>
      <c r="N1720" t="str">
        <f t="shared" si="1103"/>
        <v>DIVAIO</v>
      </c>
      <c r="O1720" t="str">
        <f t="shared" si="1104"/>
        <v>CONMUTADORES</v>
      </c>
      <c r="P1720" t="str">
        <f t="shared" si="1097"/>
        <v>0</v>
      </c>
      <c r="Q1720" t="str">
        <f t="shared" si="1097"/>
        <v>0</v>
      </c>
      <c r="R1720" t="str">
        <f t="shared" si="1098"/>
        <v>0,00</v>
      </c>
      <c r="S1720" t="str">
        <f t="shared" si="1098"/>
        <v>0,00</v>
      </c>
      <c r="T1720" t="str">
        <f t="shared" si="1066"/>
        <v xml:space="preserve"> </v>
      </c>
      <c r="U1720" t="str">
        <f t="shared" si="1086"/>
        <v xml:space="preserve"> </v>
      </c>
      <c r="V1720" t="str">
        <f>"0,000"</f>
        <v>0,000</v>
      </c>
      <c r="W1720" t="str">
        <f t="shared" si="1070"/>
        <v>Lista 4</v>
      </c>
      <c r="X1720" t="str">
        <f t="shared" si="1071"/>
        <v>Lista 5</v>
      </c>
      <c r="Y1720" t="str">
        <f t="shared" si="1072"/>
        <v>Oferta Gral.</v>
      </c>
      <c r="Z1720" t="str">
        <f t="shared" si="1073"/>
        <v>Rubro</v>
      </c>
      <c r="AA1720" t="str">
        <f t="shared" si="1074"/>
        <v>Cantidad por Bulto</v>
      </c>
      <c r="AB1720" t="str">
        <f t="shared" si="1075"/>
        <v>INNER</v>
      </c>
      <c r="AC1720" t="str">
        <f t="shared" si="1076"/>
        <v>Stock en Bultos</v>
      </c>
      <c r="AD1720" t="str">
        <f t="shared" si="1077"/>
        <v>SubDepósito</v>
      </c>
      <c r="AE1720" t="str">
        <f t="shared" si="1078"/>
        <v>Marca</v>
      </c>
      <c r="AF1720" t="str">
        <f t="shared" si="1079"/>
        <v>Super Rubro</v>
      </c>
      <c r="AG1720" t="str">
        <f t="shared" si="1080"/>
        <v>ComercioExterior</v>
      </c>
      <c r="AH1720" t="str">
        <f t="shared" si="1081"/>
        <v>PrecioFOB</v>
      </c>
      <c r="AI1720" t="str">
        <f t="shared" si="1082"/>
        <v>Monto II</v>
      </c>
      <c r="AJ1720" t="str">
        <f t="shared" si="1083"/>
        <v>Porcentaje II</v>
      </c>
      <c r="AK1720" t="str">
        <f t="shared" si="1084"/>
        <v>Foto</v>
      </c>
      <c r="AL1720" t="str">
        <f>"{\rtf1\ansi\ansicpg1252\deff0\deflang2058{\fonttbl{\f0\fnil\fcharset0 MS Sans Serif}} \viewkind4\uc1\pard\f0\fs16 CONMUTADOR DE LUCES PEUGEOT 504 1980/87 EX DV4922\par } "</f>
        <v xml:space="preserve">{\rtf1\ansi\ansicpg1252\deff0\deflang2058{\fonttbl{\f0\fnil\fcharset0 MS Sans Serif}} \viewkind4\uc1\pard\f0\fs16 CONMUTADOR DE LUCES PEUGEOT 504 1980/87 EX DV4922\par } </v>
      </c>
      <c r="AM1720" t="str">
        <f t="shared" si="1105"/>
        <v xml:space="preserve"> </v>
      </c>
    </row>
    <row r="1721" spans="1:39" x14ac:dyDescent="0.25">
      <c r="A1721" t="str">
        <f>"DV10205"</f>
        <v>DV10205</v>
      </c>
      <c r="B1721" t="str">
        <f>"CONMUTADOR DE LUCES R19 EX DV4935"</f>
        <v>CONMUTADOR DE LUCES R19 EX DV4935</v>
      </c>
      <c r="C1721" t="str">
        <f>"$ 28918,27"</f>
        <v>$ 28918,27</v>
      </c>
      <c r="D1721" t="str">
        <f>"$ 28918,27"</f>
        <v>$ 28918,27</v>
      </c>
      <c r="E1721" t="str">
        <f>"$ 28918,27"</f>
        <v>$ 28918,27</v>
      </c>
      <c r="F1721" t="str">
        <f>"$ 28918,27"</f>
        <v>$ 28918,27</v>
      </c>
      <c r="G1721" t="str">
        <f>"$ 28918,27"</f>
        <v>$ 28918,27</v>
      </c>
      <c r="H1721" t="str">
        <f t="shared" si="1067"/>
        <v>$ 0,00</v>
      </c>
      <c r="I1721" t="str">
        <f t="shared" si="1102"/>
        <v>CONMUTADOR DE LUCES</v>
      </c>
      <c r="J1721" t="str">
        <f t="shared" si="1068"/>
        <v>1</v>
      </c>
      <c r="K1721" t="str">
        <f t="shared" si="1106"/>
        <v>0</v>
      </c>
      <c r="L1721" t="str">
        <f>"0,000"</f>
        <v>0,000</v>
      </c>
      <c r="M1721" t="str">
        <f t="shared" si="1069"/>
        <v xml:space="preserve"> </v>
      </c>
      <c r="N1721" t="str">
        <f t="shared" si="1103"/>
        <v>DIVAIO</v>
      </c>
      <c r="O1721" t="str">
        <f t="shared" si="1104"/>
        <v>CONMUTADORES</v>
      </c>
      <c r="P1721" t="str">
        <f t="shared" si="1097"/>
        <v>0</v>
      </c>
      <c r="Q1721" t="str">
        <f t="shared" si="1097"/>
        <v>0</v>
      </c>
      <c r="R1721" t="str">
        <f t="shared" si="1098"/>
        <v>0,00</v>
      </c>
      <c r="S1721" t="str">
        <f t="shared" si="1098"/>
        <v>0,00</v>
      </c>
      <c r="T1721" t="str">
        <f t="shared" si="1066"/>
        <v xml:space="preserve"> </v>
      </c>
      <c r="U1721" t="str">
        <f t="shared" si="1086"/>
        <v xml:space="preserve"> </v>
      </c>
      <c r="V1721" t="str">
        <f>"0,000"</f>
        <v>0,000</v>
      </c>
      <c r="W1721" t="str">
        <f t="shared" si="1070"/>
        <v>Lista 4</v>
      </c>
      <c r="X1721" t="str">
        <f t="shared" si="1071"/>
        <v>Lista 5</v>
      </c>
      <c r="Y1721" t="str">
        <f t="shared" si="1072"/>
        <v>Oferta Gral.</v>
      </c>
      <c r="Z1721" t="str">
        <f t="shared" si="1073"/>
        <v>Rubro</v>
      </c>
      <c r="AA1721" t="str">
        <f t="shared" si="1074"/>
        <v>Cantidad por Bulto</v>
      </c>
      <c r="AB1721" t="str">
        <f t="shared" si="1075"/>
        <v>INNER</v>
      </c>
      <c r="AC1721" t="str">
        <f t="shared" si="1076"/>
        <v>Stock en Bultos</v>
      </c>
      <c r="AD1721" t="str">
        <f t="shared" si="1077"/>
        <v>SubDepósito</v>
      </c>
      <c r="AE1721" t="str">
        <f t="shared" si="1078"/>
        <v>Marca</v>
      </c>
      <c r="AF1721" t="str">
        <f t="shared" si="1079"/>
        <v>Super Rubro</v>
      </c>
      <c r="AG1721" t="str">
        <f t="shared" si="1080"/>
        <v>ComercioExterior</v>
      </c>
      <c r="AH1721" t="str">
        <f t="shared" si="1081"/>
        <v>PrecioFOB</v>
      </c>
      <c r="AI1721" t="str">
        <f t="shared" si="1082"/>
        <v>Monto II</v>
      </c>
      <c r="AJ1721" t="str">
        <f t="shared" si="1083"/>
        <v>Porcentaje II</v>
      </c>
      <c r="AK1721" t="str">
        <f t="shared" si="1084"/>
        <v>Foto</v>
      </c>
      <c r="AL1721" t="str">
        <f>"{\rtf1\ansi\ansicpg1252\deff0\deflang2058{\fonttbl{\f0\fnil\fcharset0 MS Sans Serif}} \viewkind4\uc1\pard\f0\fs16 CONMUTADOR DE LUCES R19 EX DV4935\par } "</f>
        <v xml:space="preserve">{\rtf1\ansi\ansicpg1252\deff0\deflang2058{\fonttbl{\f0\fnil\fcharset0 MS Sans Serif}} \viewkind4\uc1\pard\f0\fs16 CONMUTADOR DE LUCES R19 EX DV4935\par } </v>
      </c>
      <c r="AM1721" t="str">
        <f t="shared" si="1105"/>
        <v xml:space="preserve"> </v>
      </c>
    </row>
    <row r="1722" spans="1:39" x14ac:dyDescent="0.25">
      <c r="A1722" t="str">
        <f>"DV10221"</f>
        <v>DV10221</v>
      </c>
      <c r="B1722" t="str">
        <f>"CONMUTADOR DE LUCES R9/11 EX DV4931"</f>
        <v>CONMUTADOR DE LUCES R9/11 EX DV4931</v>
      </c>
      <c r="C1722" t="str">
        <f>"$ 29857,91"</f>
        <v>$ 29857,91</v>
      </c>
      <c r="D1722" t="str">
        <f>"$ 29857,91"</f>
        <v>$ 29857,91</v>
      </c>
      <c r="E1722" t="str">
        <f>"$ 29857,91"</f>
        <v>$ 29857,91</v>
      </c>
      <c r="F1722" t="str">
        <f>"$ 29857,91"</f>
        <v>$ 29857,91</v>
      </c>
      <c r="G1722" t="str">
        <f>"$ 29857,91"</f>
        <v>$ 29857,91</v>
      </c>
      <c r="H1722" t="str">
        <f t="shared" si="1067"/>
        <v>$ 0,00</v>
      </c>
      <c r="I1722" t="str">
        <f t="shared" si="1102"/>
        <v>CONMUTADOR DE LUCES</v>
      </c>
      <c r="J1722" t="str">
        <f t="shared" si="1068"/>
        <v>1</v>
      </c>
      <c r="K1722" t="str">
        <f t="shared" si="1106"/>
        <v>0</v>
      </c>
      <c r="L1722" t="str">
        <f>"2,000"</f>
        <v>2,000</v>
      </c>
      <c r="M1722" t="str">
        <f t="shared" si="1069"/>
        <v xml:space="preserve"> </v>
      </c>
      <c r="N1722" t="str">
        <f t="shared" si="1103"/>
        <v>DIVAIO</v>
      </c>
      <c r="O1722" t="str">
        <f t="shared" si="1104"/>
        <v>CONMUTADORES</v>
      </c>
      <c r="P1722" t="str">
        <f t="shared" si="1097"/>
        <v>0</v>
      </c>
      <c r="Q1722" t="str">
        <f t="shared" si="1097"/>
        <v>0</v>
      </c>
      <c r="R1722" t="str">
        <f t="shared" si="1098"/>
        <v>0,00</v>
      </c>
      <c r="S1722" t="str">
        <f t="shared" si="1098"/>
        <v>0,00</v>
      </c>
      <c r="T1722" t="str">
        <f t="shared" si="1066"/>
        <v xml:space="preserve"> </v>
      </c>
      <c r="U1722" t="str">
        <f t="shared" si="1086"/>
        <v xml:space="preserve"> </v>
      </c>
      <c r="V1722" t="str">
        <f>"2,000"</f>
        <v>2,000</v>
      </c>
      <c r="W1722" t="str">
        <f t="shared" si="1070"/>
        <v>Lista 4</v>
      </c>
      <c r="X1722" t="str">
        <f t="shared" si="1071"/>
        <v>Lista 5</v>
      </c>
      <c r="Y1722" t="str">
        <f t="shared" si="1072"/>
        <v>Oferta Gral.</v>
      </c>
      <c r="Z1722" t="str">
        <f t="shared" si="1073"/>
        <v>Rubro</v>
      </c>
      <c r="AA1722" t="str">
        <f t="shared" si="1074"/>
        <v>Cantidad por Bulto</v>
      </c>
      <c r="AB1722" t="str">
        <f t="shared" si="1075"/>
        <v>INNER</v>
      </c>
      <c r="AC1722" t="str">
        <f t="shared" si="1076"/>
        <v>Stock en Bultos</v>
      </c>
      <c r="AD1722" t="str">
        <f t="shared" si="1077"/>
        <v>SubDepósito</v>
      </c>
      <c r="AE1722" t="str">
        <f t="shared" si="1078"/>
        <v>Marca</v>
      </c>
      <c r="AF1722" t="str">
        <f t="shared" si="1079"/>
        <v>Super Rubro</v>
      </c>
      <c r="AG1722" t="str">
        <f t="shared" si="1080"/>
        <v>ComercioExterior</v>
      </c>
      <c r="AH1722" t="str">
        <f t="shared" si="1081"/>
        <v>PrecioFOB</v>
      </c>
      <c r="AI1722" t="str">
        <f t="shared" si="1082"/>
        <v>Monto II</v>
      </c>
      <c r="AJ1722" t="str">
        <f t="shared" si="1083"/>
        <v>Porcentaje II</v>
      </c>
      <c r="AK1722" t="str">
        <f t="shared" si="1084"/>
        <v>Foto</v>
      </c>
      <c r="AL1722" t="str">
        <f>"{\rtf1\ansi\ansicpg1252\deff0\deflang2058{\fonttbl{\f0\fnil\fcharset0 MS Sans Serif}} \viewkind4\uc1\pard\f0\fs16 CONMUTADOR DE LUCES R9/11 EX DV4931\par } "</f>
        <v xml:space="preserve">{\rtf1\ansi\ansicpg1252\deff0\deflang2058{\fonttbl{\f0\fnil\fcharset0 MS Sans Serif}} \viewkind4\uc1\pard\f0\fs16 CONMUTADOR DE LUCES R9/11 EX DV4931\par } </v>
      </c>
      <c r="AM1722" t="str">
        <f t="shared" si="1105"/>
        <v xml:space="preserve"> </v>
      </c>
    </row>
    <row r="1723" spans="1:39" x14ac:dyDescent="0.25">
      <c r="A1723" t="str">
        <f>"DV10201"</f>
        <v>DV10201</v>
      </c>
      <c r="B1723" t="str">
        <f>"CONMUTADOR DE LUCES RENAULT 12 TORINO EX DV4542"</f>
        <v>CONMUTADOR DE LUCES RENAULT 12 TORINO EX DV4542</v>
      </c>
      <c r="C1723" t="str">
        <f>"$ 31832,25"</f>
        <v>$ 31832,25</v>
      </c>
      <c r="D1723" t="str">
        <f>"$ 31832,25"</f>
        <v>$ 31832,25</v>
      </c>
      <c r="E1723" t="str">
        <f>"$ 31832,25"</f>
        <v>$ 31832,25</v>
      </c>
      <c r="F1723" t="str">
        <f>"$ 31832,25"</f>
        <v>$ 31832,25</v>
      </c>
      <c r="G1723" t="str">
        <f>"$ 31832,25"</f>
        <v>$ 31832,25</v>
      </c>
      <c r="H1723" t="str">
        <f t="shared" si="1067"/>
        <v>$ 0,00</v>
      </c>
      <c r="I1723" t="str">
        <f t="shared" si="1102"/>
        <v>CONMUTADOR DE LUCES</v>
      </c>
      <c r="J1723" t="str">
        <f t="shared" si="1068"/>
        <v>1</v>
      </c>
      <c r="K1723" t="str">
        <f t="shared" si="1106"/>
        <v>0</v>
      </c>
      <c r="L1723" t="str">
        <f>"4,000"</f>
        <v>4,000</v>
      </c>
      <c r="M1723" t="str">
        <f t="shared" si="1069"/>
        <v xml:space="preserve"> </v>
      </c>
      <c r="N1723" t="str">
        <f t="shared" si="1103"/>
        <v>DIVAIO</v>
      </c>
      <c r="O1723" t="str">
        <f t="shared" si="1104"/>
        <v>CONMUTADORES</v>
      </c>
      <c r="P1723" t="str">
        <f t="shared" ref="P1723:Q1742" si="1107">"0"</f>
        <v>0</v>
      </c>
      <c r="Q1723" t="str">
        <f t="shared" si="1107"/>
        <v>0</v>
      </c>
      <c r="R1723" t="str">
        <f t="shared" ref="R1723:S1742" si="1108">"0,00"</f>
        <v>0,00</v>
      </c>
      <c r="S1723" t="str">
        <f t="shared" si="1108"/>
        <v>0,00</v>
      </c>
      <c r="T1723" t="str">
        <f t="shared" si="1066"/>
        <v xml:space="preserve"> </v>
      </c>
      <c r="U1723" t="str">
        <f t="shared" si="1086"/>
        <v xml:space="preserve"> </v>
      </c>
      <c r="V1723" t="str">
        <f>"4,000"</f>
        <v>4,000</v>
      </c>
      <c r="W1723" t="str">
        <f t="shared" si="1070"/>
        <v>Lista 4</v>
      </c>
      <c r="X1723" t="str">
        <f t="shared" si="1071"/>
        <v>Lista 5</v>
      </c>
      <c r="Y1723" t="str">
        <f t="shared" si="1072"/>
        <v>Oferta Gral.</v>
      </c>
      <c r="Z1723" t="str">
        <f t="shared" si="1073"/>
        <v>Rubro</v>
      </c>
      <c r="AA1723" t="str">
        <f t="shared" si="1074"/>
        <v>Cantidad por Bulto</v>
      </c>
      <c r="AB1723" t="str">
        <f t="shared" si="1075"/>
        <v>INNER</v>
      </c>
      <c r="AC1723" t="str">
        <f t="shared" si="1076"/>
        <v>Stock en Bultos</v>
      </c>
      <c r="AD1723" t="str">
        <f t="shared" si="1077"/>
        <v>SubDepósito</v>
      </c>
      <c r="AE1723" t="str">
        <f t="shared" si="1078"/>
        <v>Marca</v>
      </c>
      <c r="AF1723" t="str">
        <f t="shared" si="1079"/>
        <v>Super Rubro</v>
      </c>
      <c r="AG1723" t="str">
        <f t="shared" si="1080"/>
        <v>ComercioExterior</v>
      </c>
      <c r="AH1723" t="str">
        <f t="shared" si="1081"/>
        <v>PrecioFOB</v>
      </c>
      <c r="AI1723" t="str">
        <f t="shared" si="1082"/>
        <v>Monto II</v>
      </c>
      <c r="AJ1723" t="str">
        <f t="shared" si="1083"/>
        <v>Porcentaje II</v>
      </c>
      <c r="AK1723" t="str">
        <f t="shared" si="1084"/>
        <v>Foto</v>
      </c>
      <c r="AL1723" t="str">
        <f>"{\rtf1\ansi\ansicpg1252\deff0\deflang2058{\fonttbl{\f0\fnil\fcharset0 MS Sans Serif}} \viewkind4\uc1\pard\f0\fs16 CONMUTADOR DE LUCES RENAULT 12 TORINO EX DV4542\par } "</f>
        <v xml:space="preserve">{\rtf1\ansi\ansicpg1252\deff0\deflang2058{\fonttbl{\f0\fnil\fcharset0 MS Sans Serif}} \viewkind4\uc1\pard\f0\fs16 CONMUTADOR DE LUCES RENAULT 12 TORINO EX DV4542\par } </v>
      </c>
      <c r="AM1723" t="str">
        <f t="shared" si="1105"/>
        <v xml:space="preserve"> </v>
      </c>
    </row>
    <row r="1724" spans="1:39" x14ac:dyDescent="0.25">
      <c r="A1724" t="str">
        <f>"DV10113"</f>
        <v>DV10113</v>
      </c>
      <c r="B1724" t="str">
        <f>"CONMUTADOR DE LUCES RENAULT 21 EX DV4934"</f>
        <v>CONMUTADOR DE LUCES RENAULT 21 EX DV4934</v>
      </c>
      <c r="C1724" t="str">
        <f>"$ 28664,86"</f>
        <v>$ 28664,86</v>
      </c>
      <c r="D1724" t="str">
        <f>"$ 28664,86"</f>
        <v>$ 28664,86</v>
      </c>
      <c r="E1724" t="str">
        <f>"$ 28664,86"</f>
        <v>$ 28664,86</v>
      </c>
      <c r="F1724" t="str">
        <f>"$ 28664,86"</f>
        <v>$ 28664,86</v>
      </c>
      <c r="G1724" t="str">
        <f>"$ 28664,86"</f>
        <v>$ 28664,86</v>
      </c>
      <c r="H1724" t="str">
        <f t="shared" si="1067"/>
        <v>$ 0,00</v>
      </c>
      <c r="I1724" t="str">
        <f t="shared" si="1102"/>
        <v>CONMUTADOR DE LUCES</v>
      </c>
      <c r="J1724" t="str">
        <f t="shared" si="1068"/>
        <v>1</v>
      </c>
      <c r="K1724" t="str">
        <f t="shared" si="1106"/>
        <v>0</v>
      </c>
      <c r="L1724" t="str">
        <f>"4,000"</f>
        <v>4,000</v>
      </c>
      <c r="M1724" t="str">
        <f t="shared" si="1069"/>
        <v xml:space="preserve"> </v>
      </c>
      <c r="N1724" t="str">
        <f t="shared" si="1103"/>
        <v>DIVAIO</v>
      </c>
      <c r="O1724" t="str">
        <f t="shared" si="1104"/>
        <v>CONMUTADORES</v>
      </c>
      <c r="P1724" t="str">
        <f t="shared" si="1107"/>
        <v>0</v>
      </c>
      <c r="Q1724" t="str">
        <f t="shared" si="1107"/>
        <v>0</v>
      </c>
      <c r="R1724" t="str">
        <f t="shared" si="1108"/>
        <v>0,00</v>
      </c>
      <c r="S1724" t="str">
        <f t="shared" si="1108"/>
        <v>0,00</v>
      </c>
      <c r="T1724" t="str">
        <f t="shared" si="1066"/>
        <v xml:space="preserve"> </v>
      </c>
      <c r="U1724" t="str">
        <f t="shared" si="1086"/>
        <v xml:space="preserve"> </v>
      </c>
      <c r="V1724" t="str">
        <f>"4,000"</f>
        <v>4,000</v>
      </c>
      <c r="W1724" t="str">
        <f t="shared" si="1070"/>
        <v>Lista 4</v>
      </c>
      <c r="X1724" t="str">
        <f t="shared" si="1071"/>
        <v>Lista 5</v>
      </c>
      <c r="Y1724" t="str">
        <f t="shared" si="1072"/>
        <v>Oferta Gral.</v>
      </c>
      <c r="Z1724" t="str">
        <f t="shared" si="1073"/>
        <v>Rubro</v>
      </c>
      <c r="AA1724" t="str">
        <f t="shared" si="1074"/>
        <v>Cantidad por Bulto</v>
      </c>
      <c r="AB1724" t="str">
        <f t="shared" si="1075"/>
        <v>INNER</v>
      </c>
      <c r="AC1724" t="str">
        <f t="shared" si="1076"/>
        <v>Stock en Bultos</v>
      </c>
      <c r="AD1724" t="str">
        <f t="shared" si="1077"/>
        <v>SubDepósito</v>
      </c>
      <c r="AE1724" t="str">
        <f t="shared" si="1078"/>
        <v>Marca</v>
      </c>
      <c r="AF1724" t="str">
        <f t="shared" si="1079"/>
        <v>Super Rubro</v>
      </c>
      <c r="AG1724" t="str">
        <f t="shared" si="1080"/>
        <v>ComercioExterior</v>
      </c>
      <c r="AH1724" t="str">
        <f t="shared" si="1081"/>
        <v>PrecioFOB</v>
      </c>
      <c r="AI1724" t="str">
        <f t="shared" si="1082"/>
        <v>Monto II</v>
      </c>
      <c r="AJ1724" t="str">
        <f t="shared" si="1083"/>
        <v>Porcentaje II</v>
      </c>
      <c r="AK1724" t="str">
        <f t="shared" si="1084"/>
        <v>Foto</v>
      </c>
      <c r="AL1724" t="str">
        <f>"{\rtf1\ansi\ansicpg1252\deff0\deflang2058{\fonttbl{\f0\fnil\fcharset0 MS Sans Serif}} \viewkind4\uc1\pard\f0\fs16 CONMUTADOR DE LUCES RENAULT 21 EX DV4934\par } "</f>
        <v xml:space="preserve">{\rtf1\ansi\ansicpg1252\deff0\deflang2058{\fonttbl{\f0\fnil\fcharset0 MS Sans Serif}} \viewkind4\uc1\pard\f0\fs16 CONMUTADOR DE LUCES RENAULT 21 EX DV4934\par } </v>
      </c>
      <c r="AM1724" t="str">
        <f t="shared" si="1105"/>
        <v xml:space="preserve"> </v>
      </c>
    </row>
    <row r="1725" spans="1:39" x14ac:dyDescent="0.25">
      <c r="A1725" t="str">
        <f>"DV10222"</f>
        <v>DV10222</v>
      </c>
      <c r="B1725" t="str">
        <f>"CONMUTADOR DE LUCES RENAULT EXPRESS EX DV4936"</f>
        <v>CONMUTADOR DE LUCES RENAULT EXPRESS EX DV4936</v>
      </c>
      <c r="C1725" t="str">
        <f>"$ 29857,91"</f>
        <v>$ 29857,91</v>
      </c>
      <c r="D1725" t="str">
        <f>"$ 29857,91"</f>
        <v>$ 29857,91</v>
      </c>
      <c r="E1725" t="str">
        <f>"$ 29857,91"</f>
        <v>$ 29857,91</v>
      </c>
      <c r="F1725" t="str">
        <f>"$ 29857,91"</f>
        <v>$ 29857,91</v>
      </c>
      <c r="G1725" t="str">
        <f>"$ 29857,91"</f>
        <v>$ 29857,91</v>
      </c>
      <c r="H1725" t="str">
        <f t="shared" si="1067"/>
        <v>$ 0,00</v>
      </c>
      <c r="I1725" t="str">
        <f t="shared" si="1102"/>
        <v>CONMUTADOR DE LUCES</v>
      </c>
      <c r="J1725" t="str">
        <f t="shared" si="1068"/>
        <v>1</v>
      </c>
      <c r="K1725" t="str">
        <f t="shared" si="1106"/>
        <v>0</v>
      </c>
      <c r="L1725" t="str">
        <f>"0,000"</f>
        <v>0,000</v>
      </c>
      <c r="M1725" t="str">
        <f t="shared" si="1069"/>
        <v xml:space="preserve"> </v>
      </c>
      <c r="N1725" t="str">
        <f t="shared" si="1103"/>
        <v>DIVAIO</v>
      </c>
      <c r="O1725" t="str">
        <f t="shared" si="1104"/>
        <v>CONMUTADORES</v>
      </c>
      <c r="P1725" t="str">
        <f t="shared" si="1107"/>
        <v>0</v>
      </c>
      <c r="Q1725" t="str">
        <f t="shared" si="1107"/>
        <v>0</v>
      </c>
      <c r="R1725" t="str">
        <f t="shared" si="1108"/>
        <v>0,00</v>
      </c>
      <c r="S1725" t="str">
        <f t="shared" si="1108"/>
        <v>0,00</v>
      </c>
      <c r="T1725" t="str">
        <f t="shared" si="1066"/>
        <v xml:space="preserve"> </v>
      </c>
      <c r="U1725" t="str">
        <f t="shared" si="1086"/>
        <v xml:space="preserve"> </v>
      </c>
      <c r="V1725" t="str">
        <f>"0,000"</f>
        <v>0,000</v>
      </c>
      <c r="W1725" t="str">
        <f t="shared" si="1070"/>
        <v>Lista 4</v>
      </c>
      <c r="X1725" t="str">
        <f t="shared" si="1071"/>
        <v>Lista 5</v>
      </c>
      <c r="Y1725" t="str">
        <f t="shared" si="1072"/>
        <v>Oferta Gral.</v>
      </c>
      <c r="Z1725" t="str">
        <f t="shared" si="1073"/>
        <v>Rubro</v>
      </c>
      <c r="AA1725" t="str">
        <f t="shared" si="1074"/>
        <v>Cantidad por Bulto</v>
      </c>
      <c r="AB1725" t="str">
        <f t="shared" si="1075"/>
        <v>INNER</v>
      </c>
      <c r="AC1725" t="str">
        <f t="shared" si="1076"/>
        <v>Stock en Bultos</v>
      </c>
      <c r="AD1725" t="str">
        <f t="shared" si="1077"/>
        <v>SubDepósito</v>
      </c>
      <c r="AE1725" t="str">
        <f t="shared" si="1078"/>
        <v>Marca</v>
      </c>
      <c r="AF1725" t="str">
        <f t="shared" si="1079"/>
        <v>Super Rubro</v>
      </c>
      <c r="AG1725" t="str">
        <f t="shared" si="1080"/>
        <v>ComercioExterior</v>
      </c>
      <c r="AH1725" t="str">
        <f t="shared" si="1081"/>
        <v>PrecioFOB</v>
      </c>
      <c r="AI1725" t="str">
        <f t="shared" si="1082"/>
        <v>Monto II</v>
      </c>
      <c r="AJ1725" t="str">
        <f t="shared" si="1083"/>
        <v>Porcentaje II</v>
      </c>
      <c r="AK1725" t="str">
        <f t="shared" si="1084"/>
        <v>Foto</v>
      </c>
      <c r="AL1725" t="str">
        <f>"{\rtf1\ansi\ansicpg1252\deff0\deflang2058{\fonttbl{\f0\fnil\fcharset0 MS Sans Serif}} \viewkind4\uc1\pard\f0\fs16 CONMUTADOR DE LUCES RENAULT EXPRESS EX DV4936\par } "</f>
        <v xml:space="preserve">{\rtf1\ansi\ansicpg1252\deff0\deflang2058{\fonttbl{\f0\fnil\fcharset0 MS Sans Serif}} \viewkind4\uc1\pard\f0\fs16 CONMUTADOR DE LUCES RENAULT EXPRESS EX DV4936\par } </v>
      </c>
      <c r="AM1725" t="str">
        <f t="shared" si="1105"/>
        <v xml:space="preserve"> </v>
      </c>
    </row>
    <row r="1726" spans="1:39" x14ac:dyDescent="0.25">
      <c r="A1726" t="str">
        <f>"DV10204"</f>
        <v>DV10204</v>
      </c>
      <c r="B1726" t="str">
        <f>"CONMUTADOR DE LUCES RENAULT TRAFIC EX DV4933"</f>
        <v>CONMUTADOR DE LUCES RENAULT TRAFIC EX DV4933</v>
      </c>
      <c r="C1726" t="str">
        <f>"$ 28105,30"</f>
        <v>$ 28105,30</v>
      </c>
      <c r="D1726" t="str">
        <f>"$ 28105,30"</f>
        <v>$ 28105,30</v>
      </c>
      <c r="E1726" t="str">
        <f>"$ 28105,30"</f>
        <v>$ 28105,30</v>
      </c>
      <c r="F1726" t="str">
        <f>"$ 28105,30"</f>
        <v>$ 28105,30</v>
      </c>
      <c r="G1726" t="str">
        <f>"$ 28105,30"</f>
        <v>$ 28105,30</v>
      </c>
      <c r="H1726" t="str">
        <f t="shared" si="1067"/>
        <v>$ 0,00</v>
      </c>
      <c r="I1726" t="str">
        <f t="shared" si="1102"/>
        <v>CONMUTADOR DE LUCES</v>
      </c>
      <c r="J1726" t="str">
        <f t="shared" si="1068"/>
        <v>1</v>
      </c>
      <c r="K1726" t="str">
        <f t="shared" si="1106"/>
        <v>0</v>
      </c>
      <c r="L1726" t="str">
        <f>"4,000"</f>
        <v>4,000</v>
      </c>
      <c r="M1726" t="str">
        <f t="shared" si="1069"/>
        <v xml:space="preserve"> </v>
      </c>
      <c r="N1726" t="str">
        <f t="shared" si="1103"/>
        <v>DIVAIO</v>
      </c>
      <c r="O1726" t="str">
        <f t="shared" si="1104"/>
        <v>CONMUTADORES</v>
      </c>
      <c r="P1726" t="str">
        <f t="shared" si="1107"/>
        <v>0</v>
      </c>
      <c r="Q1726" t="str">
        <f t="shared" si="1107"/>
        <v>0</v>
      </c>
      <c r="R1726" t="str">
        <f t="shared" si="1108"/>
        <v>0,00</v>
      </c>
      <c r="S1726" t="str">
        <f t="shared" si="1108"/>
        <v>0,00</v>
      </c>
      <c r="T1726" t="str">
        <f t="shared" si="1066"/>
        <v xml:space="preserve"> </v>
      </c>
      <c r="U1726" t="str">
        <f t="shared" si="1086"/>
        <v xml:space="preserve"> </v>
      </c>
      <c r="V1726" t="str">
        <f>"4,000"</f>
        <v>4,000</v>
      </c>
      <c r="W1726" t="str">
        <f t="shared" si="1070"/>
        <v>Lista 4</v>
      </c>
      <c r="X1726" t="str">
        <f t="shared" si="1071"/>
        <v>Lista 5</v>
      </c>
      <c r="Y1726" t="str">
        <f t="shared" si="1072"/>
        <v>Oferta Gral.</v>
      </c>
      <c r="Z1726" t="str">
        <f t="shared" si="1073"/>
        <v>Rubro</v>
      </c>
      <c r="AA1726" t="str">
        <f t="shared" si="1074"/>
        <v>Cantidad por Bulto</v>
      </c>
      <c r="AB1726" t="str">
        <f t="shared" si="1075"/>
        <v>INNER</v>
      </c>
      <c r="AC1726" t="str">
        <f t="shared" si="1076"/>
        <v>Stock en Bultos</v>
      </c>
      <c r="AD1726" t="str">
        <f t="shared" si="1077"/>
        <v>SubDepósito</v>
      </c>
      <c r="AE1726" t="str">
        <f t="shared" si="1078"/>
        <v>Marca</v>
      </c>
      <c r="AF1726" t="str">
        <f t="shared" si="1079"/>
        <v>Super Rubro</v>
      </c>
      <c r="AG1726" t="str">
        <f t="shared" si="1080"/>
        <v>ComercioExterior</v>
      </c>
      <c r="AH1726" t="str">
        <f t="shared" si="1081"/>
        <v>PrecioFOB</v>
      </c>
      <c r="AI1726" t="str">
        <f t="shared" si="1082"/>
        <v>Monto II</v>
      </c>
      <c r="AJ1726" t="str">
        <f t="shared" si="1083"/>
        <v>Porcentaje II</v>
      </c>
      <c r="AK1726" t="str">
        <f t="shared" si="1084"/>
        <v>Foto</v>
      </c>
      <c r="AL1726" t="str">
        <f>"{\rtf1\ansi\ansicpg1252\deff0\deflang2058{\fonttbl{\f0\fnil\fcharset0 MS Sans Serif}} \viewkind4\uc1\pard\f0\fs16 CONMUTADOR DE LUCES RENAULT TRAFIC EX DV4933\par } "</f>
        <v xml:space="preserve">{\rtf1\ansi\ansicpg1252\deff0\deflang2058{\fonttbl{\f0\fnil\fcharset0 MS Sans Serif}} \viewkind4\uc1\pard\f0\fs16 CONMUTADOR DE LUCES RENAULT TRAFIC EX DV4933\par } </v>
      </c>
      <c r="AM1726" t="str">
        <f t="shared" si="1105"/>
        <v xml:space="preserve"> </v>
      </c>
    </row>
    <row r="1727" spans="1:39" x14ac:dyDescent="0.25">
      <c r="A1727" t="str">
        <f>"DV10203"</f>
        <v>DV10203</v>
      </c>
      <c r="B1727" t="str">
        <f>"CONMUTADOR DE LUCES RENAULT TWINGO GRIS EX DV4937G"</f>
        <v>CONMUTADOR DE LUCES RENAULT TWINGO GRIS EX DV4937G</v>
      </c>
      <c r="C1727" t="str">
        <f t="shared" ref="C1727:G1728" si="1109">"$ 28495,95"</f>
        <v>$ 28495,95</v>
      </c>
      <c r="D1727" t="str">
        <f t="shared" si="1109"/>
        <v>$ 28495,95</v>
      </c>
      <c r="E1727" t="str">
        <f t="shared" si="1109"/>
        <v>$ 28495,95</v>
      </c>
      <c r="F1727" t="str">
        <f t="shared" si="1109"/>
        <v>$ 28495,95</v>
      </c>
      <c r="G1727" t="str">
        <f t="shared" si="1109"/>
        <v>$ 28495,95</v>
      </c>
      <c r="H1727" t="str">
        <f t="shared" si="1067"/>
        <v>$ 0,00</v>
      </c>
      <c r="I1727" t="str">
        <f t="shared" si="1102"/>
        <v>CONMUTADOR DE LUCES</v>
      </c>
      <c r="J1727" t="str">
        <f t="shared" si="1068"/>
        <v>1</v>
      </c>
      <c r="K1727" t="str">
        <f t="shared" si="1106"/>
        <v>0</v>
      </c>
      <c r="L1727" t="str">
        <f>"0,000"</f>
        <v>0,000</v>
      </c>
      <c r="M1727" t="str">
        <f t="shared" si="1069"/>
        <v xml:space="preserve"> </v>
      </c>
      <c r="N1727" t="str">
        <f t="shared" si="1103"/>
        <v>DIVAIO</v>
      </c>
      <c r="O1727" t="str">
        <f t="shared" si="1104"/>
        <v>CONMUTADORES</v>
      </c>
      <c r="P1727" t="str">
        <f t="shared" si="1107"/>
        <v>0</v>
      </c>
      <c r="Q1727" t="str">
        <f t="shared" si="1107"/>
        <v>0</v>
      </c>
      <c r="R1727" t="str">
        <f t="shared" si="1108"/>
        <v>0,00</v>
      </c>
      <c r="S1727" t="str">
        <f t="shared" si="1108"/>
        <v>0,00</v>
      </c>
      <c r="T1727" t="str">
        <f t="shared" si="1066"/>
        <v xml:space="preserve"> </v>
      </c>
      <c r="U1727" t="str">
        <f t="shared" si="1086"/>
        <v xml:space="preserve"> </v>
      </c>
      <c r="V1727" t="str">
        <f>"0,000"</f>
        <v>0,000</v>
      </c>
      <c r="W1727" t="str">
        <f t="shared" si="1070"/>
        <v>Lista 4</v>
      </c>
      <c r="X1727" t="str">
        <f t="shared" si="1071"/>
        <v>Lista 5</v>
      </c>
      <c r="Y1727" t="str">
        <f t="shared" si="1072"/>
        <v>Oferta Gral.</v>
      </c>
      <c r="Z1727" t="str">
        <f t="shared" si="1073"/>
        <v>Rubro</v>
      </c>
      <c r="AA1727" t="str">
        <f t="shared" si="1074"/>
        <v>Cantidad por Bulto</v>
      </c>
      <c r="AB1727" t="str">
        <f t="shared" si="1075"/>
        <v>INNER</v>
      </c>
      <c r="AC1727" t="str">
        <f t="shared" si="1076"/>
        <v>Stock en Bultos</v>
      </c>
      <c r="AD1727" t="str">
        <f t="shared" si="1077"/>
        <v>SubDepósito</v>
      </c>
      <c r="AE1727" t="str">
        <f t="shared" si="1078"/>
        <v>Marca</v>
      </c>
      <c r="AF1727" t="str">
        <f t="shared" si="1079"/>
        <v>Super Rubro</v>
      </c>
      <c r="AG1727" t="str">
        <f t="shared" si="1080"/>
        <v>ComercioExterior</v>
      </c>
      <c r="AH1727" t="str">
        <f t="shared" si="1081"/>
        <v>PrecioFOB</v>
      </c>
      <c r="AI1727" t="str">
        <f t="shared" si="1082"/>
        <v>Monto II</v>
      </c>
      <c r="AJ1727" t="str">
        <f t="shared" si="1083"/>
        <v>Porcentaje II</v>
      </c>
      <c r="AK1727" t="str">
        <f t="shared" si="1084"/>
        <v>Foto</v>
      </c>
      <c r="AL1727" t="str">
        <f>"{\rtf1\ansi\ansicpg1252\deff0\deflang2058{\fonttbl{\f0\fnil\fcharset0 MS Sans Serif}} \viewkind4\uc1\pard\f0\fs16 CONMUTADOR DE LUCES RENAULT TWINGO GRIS EX DV4937G\par } "</f>
        <v xml:space="preserve">{\rtf1\ansi\ansicpg1252\deff0\deflang2058{\fonttbl{\f0\fnil\fcharset0 MS Sans Serif}} \viewkind4\uc1\pard\f0\fs16 CONMUTADOR DE LUCES RENAULT TWINGO GRIS EX DV4937G\par } </v>
      </c>
      <c r="AM1727" t="str">
        <f t="shared" si="1105"/>
        <v xml:space="preserve"> </v>
      </c>
    </row>
    <row r="1728" spans="1:39" x14ac:dyDescent="0.25">
      <c r="A1728" t="str">
        <f>"DV10202"</f>
        <v>DV10202</v>
      </c>
      <c r="B1728" t="str">
        <f>"CONMUTADOR DE LUCES RENAULT TWINGO NEGRA EX DV4937N"</f>
        <v>CONMUTADOR DE LUCES RENAULT TWINGO NEGRA EX DV4937N</v>
      </c>
      <c r="C1728" t="str">
        <f t="shared" si="1109"/>
        <v>$ 28495,95</v>
      </c>
      <c r="D1728" t="str">
        <f t="shared" si="1109"/>
        <v>$ 28495,95</v>
      </c>
      <c r="E1728" t="str">
        <f t="shared" si="1109"/>
        <v>$ 28495,95</v>
      </c>
      <c r="F1728" t="str">
        <f t="shared" si="1109"/>
        <v>$ 28495,95</v>
      </c>
      <c r="G1728" t="str">
        <f t="shared" si="1109"/>
        <v>$ 28495,95</v>
      </c>
      <c r="H1728" t="str">
        <f t="shared" si="1067"/>
        <v>$ 0,00</v>
      </c>
      <c r="I1728" t="str">
        <f t="shared" si="1102"/>
        <v>CONMUTADOR DE LUCES</v>
      </c>
      <c r="J1728" t="str">
        <f t="shared" si="1068"/>
        <v>1</v>
      </c>
      <c r="K1728" t="str">
        <f t="shared" si="1106"/>
        <v>0</v>
      </c>
      <c r="L1728" t="str">
        <f>"1,000"</f>
        <v>1,000</v>
      </c>
      <c r="M1728" t="str">
        <f t="shared" si="1069"/>
        <v xml:space="preserve"> </v>
      </c>
      <c r="N1728" t="str">
        <f t="shared" si="1103"/>
        <v>DIVAIO</v>
      </c>
      <c r="O1728" t="str">
        <f t="shared" si="1104"/>
        <v>CONMUTADORES</v>
      </c>
      <c r="P1728" t="str">
        <f t="shared" si="1107"/>
        <v>0</v>
      </c>
      <c r="Q1728" t="str">
        <f t="shared" si="1107"/>
        <v>0</v>
      </c>
      <c r="R1728" t="str">
        <f t="shared" si="1108"/>
        <v>0,00</v>
      </c>
      <c r="S1728" t="str">
        <f t="shared" si="1108"/>
        <v>0,00</v>
      </c>
      <c r="T1728" t="str">
        <f t="shared" ref="T1728:T1791" si="1110">" "</f>
        <v xml:space="preserve"> </v>
      </c>
      <c r="U1728" t="str">
        <f t="shared" si="1086"/>
        <v xml:space="preserve"> </v>
      </c>
      <c r="V1728" t="str">
        <f>"1,000"</f>
        <v>1,000</v>
      </c>
      <c r="W1728" t="str">
        <f t="shared" si="1070"/>
        <v>Lista 4</v>
      </c>
      <c r="X1728" t="str">
        <f t="shared" si="1071"/>
        <v>Lista 5</v>
      </c>
      <c r="Y1728" t="str">
        <f t="shared" si="1072"/>
        <v>Oferta Gral.</v>
      </c>
      <c r="Z1728" t="str">
        <f t="shared" si="1073"/>
        <v>Rubro</v>
      </c>
      <c r="AA1728" t="str">
        <f t="shared" si="1074"/>
        <v>Cantidad por Bulto</v>
      </c>
      <c r="AB1728" t="str">
        <f t="shared" si="1075"/>
        <v>INNER</v>
      </c>
      <c r="AC1728" t="str">
        <f t="shared" si="1076"/>
        <v>Stock en Bultos</v>
      </c>
      <c r="AD1728" t="str">
        <f t="shared" si="1077"/>
        <v>SubDepósito</v>
      </c>
      <c r="AE1728" t="str">
        <f t="shared" si="1078"/>
        <v>Marca</v>
      </c>
      <c r="AF1728" t="str">
        <f t="shared" si="1079"/>
        <v>Super Rubro</v>
      </c>
      <c r="AG1728" t="str">
        <f t="shared" si="1080"/>
        <v>ComercioExterior</v>
      </c>
      <c r="AH1728" t="str">
        <f t="shared" si="1081"/>
        <v>PrecioFOB</v>
      </c>
      <c r="AI1728" t="str">
        <f t="shared" si="1082"/>
        <v>Monto II</v>
      </c>
      <c r="AJ1728" t="str">
        <f t="shared" si="1083"/>
        <v>Porcentaje II</v>
      </c>
      <c r="AK1728" t="str">
        <f t="shared" si="1084"/>
        <v>Foto</v>
      </c>
      <c r="AL1728" t="str">
        <f>"{\rtf1\ansi\ansicpg1252\deff0\deflang2058{\fonttbl{\f0\fnil\fcharset0 MS Sans Serif}} \viewkind4\uc1\pard\f0\fs16 CONMUTADOR DE LUCES RENAULT TWINGO NEGRA EX DV4937N\par } "</f>
        <v xml:space="preserve">{\rtf1\ansi\ansicpg1252\deff0\deflang2058{\fonttbl{\f0\fnil\fcharset0 MS Sans Serif}} \viewkind4\uc1\pard\f0\fs16 CONMUTADOR DE LUCES RENAULT TWINGO NEGRA EX DV4937N\par } </v>
      </c>
      <c r="AM1728" t="str">
        <f t="shared" si="1105"/>
        <v xml:space="preserve"> </v>
      </c>
    </row>
    <row r="1729" spans="1:39" x14ac:dyDescent="0.25">
      <c r="A1729" t="str">
        <f>"DV10301"</f>
        <v>DV10301</v>
      </c>
      <c r="B1729" t="str">
        <f>"CONMUTADOR DE LUCES Y GIROS VW GOL 1999 EX DV4940"</f>
        <v>CONMUTADOR DE LUCES Y GIROS VW GOL 1999 EX DV4940</v>
      </c>
      <c r="C1729" t="str">
        <f>"$ 36847,28"</f>
        <v>$ 36847,28</v>
      </c>
      <c r="D1729" t="str">
        <f>"$ 36847,28"</f>
        <v>$ 36847,28</v>
      </c>
      <c r="E1729" t="str">
        <f>"$ 36847,28"</f>
        <v>$ 36847,28</v>
      </c>
      <c r="F1729" t="str">
        <f>"$ 36847,28"</f>
        <v>$ 36847,28</v>
      </c>
      <c r="G1729" t="str">
        <f>"$ 36847,28"</f>
        <v>$ 36847,28</v>
      </c>
      <c r="H1729" t="str">
        <f t="shared" si="1067"/>
        <v>$ 0,00</v>
      </c>
      <c r="I1729" t="str">
        <f t="shared" si="1102"/>
        <v>CONMUTADOR DE LUCES</v>
      </c>
      <c r="J1729" t="str">
        <f t="shared" si="1068"/>
        <v>1</v>
      </c>
      <c r="K1729" t="str">
        <f t="shared" si="1106"/>
        <v>0</v>
      </c>
      <c r="L1729" t="str">
        <f>"2,000"</f>
        <v>2,000</v>
      </c>
      <c r="M1729" t="str">
        <f t="shared" si="1069"/>
        <v xml:space="preserve"> </v>
      </c>
      <c r="N1729" t="str">
        <f t="shared" si="1103"/>
        <v>DIVAIO</v>
      </c>
      <c r="O1729" t="str">
        <f t="shared" si="1104"/>
        <v>CONMUTADORES</v>
      </c>
      <c r="P1729" t="str">
        <f t="shared" si="1107"/>
        <v>0</v>
      </c>
      <c r="Q1729" t="str">
        <f t="shared" si="1107"/>
        <v>0</v>
      </c>
      <c r="R1729" t="str">
        <f t="shared" si="1108"/>
        <v>0,00</v>
      </c>
      <c r="S1729" t="str">
        <f t="shared" si="1108"/>
        <v>0,00</v>
      </c>
      <c r="T1729" t="str">
        <f t="shared" si="1110"/>
        <v xml:space="preserve"> </v>
      </c>
      <c r="U1729" t="str">
        <f t="shared" si="1086"/>
        <v xml:space="preserve"> </v>
      </c>
      <c r="V1729" t="str">
        <f>"2,000"</f>
        <v>2,000</v>
      </c>
      <c r="W1729" t="str">
        <f t="shared" si="1070"/>
        <v>Lista 4</v>
      </c>
      <c r="X1729" t="str">
        <f t="shared" si="1071"/>
        <v>Lista 5</v>
      </c>
      <c r="Y1729" t="str">
        <f t="shared" si="1072"/>
        <v>Oferta Gral.</v>
      </c>
      <c r="Z1729" t="str">
        <f t="shared" si="1073"/>
        <v>Rubro</v>
      </c>
      <c r="AA1729" t="str">
        <f t="shared" si="1074"/>
        <v>Cantidad por Bulto</v>
      </c>
      <c r="AB1729" t="str">
        <f t="shared" si="1075"/>
        <v>INNER</v>
      </c>
      <c r="AC1729" t="str">
        <f t="shared" si="1076"/>
        <v>Stock en Bultos</v>
      </c>
      <c r="AD1729" t="str">
        <f t="shared" si="1077"/>
        <v>SubDepósito</v>
      </c>
      <c r="AE1729" t="str">
        <f t="shared" si="1078"/>
        <v>Marca</v>
      </c>
      <c r="AF1729" t="str">
        <f t="shared" si="1079"/>
        <v>Super Rubro</v>
      </c>
      <c r="AG1729" t="str">
        <f t="shared" si="1080"/>
        <v>ComercioExterior</v>
      </c>
      <c r="AH1729" t="str">
        <f t="shared" si="1081"/>
        <v>PrecioFOB</v>
      </c>
      <c r="AI1729" t="str">
        <f t="shared" si="1082"/>
        <v>Monto II</v>
      </c>
      <c r="AJ1729" t="str">
        <f t="shared" si="1083"/>
        <v>Porcentaje II</v>
      </c>
      <c r="AK1729" t="str">
        <f t="shared" si="1084"/>
        <v>Foto</v>
      </c>
      <c r="AL1729" t="str">
        <f>"{\rtf1\ansi\ansicpg1252\deff0\deflang2058{\fonttbl{\f0\fnil\fcharset0 MS Sans Serif}} \viewkind4\uc1\pard\f0\fs16 CONMUTADOR DE LUCES Y GIROS VW GOL 1999 EX DV4940\par } "</f>
        <v xml:space="preserve">{\rtf1\ansi\ansicpg1252\deff0\deflang2058{\fonttbl{\f0\fnil\fcharset0 MS Sans Serif}} \viewkind4\uc1\pard\f0\fs16 CONMUTADOR DE LUCES Y GIROS VW GOL 1999 EX DV4940\par } </v>
      </c>
      <c r="AM1729" t="str">
        <f t="shared" si="1105"/>
        <v xml:space="preserve"> </v>
      </c>
    </row>
    <row r="1730" spans="1:39" x14ac:dyDescent="0.25">
      <c r="A1730" t="str">
        <f>"DV10219"</f>
        <v>DV10219</v>
      </c>
      <c r="B1730" t="str">
        <f>"CONMUTADOR LIMPIAPARABRISAS R12/TORINO 80/85 EX DV4921"</f>
        <v>CONMUTADOR LIMPIAPARABRISAS R12/TORINO 80/85 EX DV4921</v>
      </c>
      <c r="C1730" t="str">
        <f>"$ 13493,07"</f>
        <v>$ 13493,07</v>
      </c>
      <c r="D1730" t="str">
        <f>"$ 13493,07"</f>
        <v>$ 13493,07</v>
      </c>
      <c r="E1730" t="str">
        <f>"$ 13493,07"</f>
        <v>$ 13493,07</v>
      </c>
      <c r="F1730" t="str">
        <f>"$ 13493,07"</f>
        <v>$ 13493,07</v>
      </c>
      <c r="G1730" t="str">
        <f>"$ 13493,07"</f>
        <v>$ 13493,07</v>
      </c>
      <c r="H1730" t="str">
        <f t="shared" si="1067"/>
        <v>$ 0,00</v>
      </c>
      <c r="I1730" t="str">
        <f t="shared" si="1102"/>
        <v>CONMUTADOR DE LUCES</v>
      </c>
      <c r="J1730" t="str">
        <f t="shared" si="1068"/>
        <v>1</v>
      </c>
      <c r="K1730" t="str">
        <f t="shared" si="1106"/>
        <v>0</v>
      </c>
      <c r="L1730" t="str">
        <f>"4,000"</f>
        <v>4,000</v>
      </c>
      <c r="M1730" t="str">
        <f t="shared" si="1069"/>
        <v xml:space="preserve"> </v>
      </c>
      <c r="N1730" t="str">
        <f t="shared" si="1103"/>
        <v>DIVAIO</v>
      </c>
      <c r="O1730" t="str">
        <f t="shared" si="1104"/>
        <v>CONMUTADORES</v>
      </c>
      <c r="P1730" t="str">
        <f t="shared" si="1107"/>
        <v>0</v>
      </c>
      <c r="Q1730" t="str">
        <f t="shared" si="1107"/>
        <v>0</v>
      </c>
      <c r="R1730" t="str">
        <f t="shared" si="1108"/>
        <v>0,00</v>
      </c>
      <c r="S1730" t="str">
        <f t="shared" si="1108"/>
        <v>0,00</v>
      </c>
      <c r="T1730" t="str">
        <f t="shared" si="1110"/>
        <v xml:space="preserve"> </v>
      </c>
      <c r="U1730" t="str">
        <f t="shared" si="1086"/>
        <v xml:space="preserve"> </v>
      </c>
      <c r="V1730" t="str">
        <f>"4,000"</f>
        <v>4,000</v>
      </c>
      <c r="W1730" t="str">
        <f t="shared" si="1070"/>
        <v>Lista 4</v>
      </c>
      <c r="X1730" t="str">
        <f t="shared" si="1071"/>
        <v>Lista 5</v>
      </c>
      <c r="Y1730" t="str">
        <f t="shared" si="1072"/>
        <v>Oferta Gral.</v>
      </c>
      <c r="Z1730" t="str">
        <f t="shared" si="1073"/>
        <v>Rubro</v>
      </c>
      <c r="AA1730" t="str">
        <f t="shared" si="1074"/>
        <v>Cantidad por Bulto</v>
      </c>
      <c r="AB1730" t="str">
        <f t="shared" si="1075"/>
        <v>INNER</v>
      </c>
      <c r="AC1730" t="str">
        <f t="shared" si="1076"/>
        <v>Stock en Bultos</v>
      </c>
      <c r="AD1730" t="str">
        <f t="shared" si="1077"/>
        <v>SubDepósito</v>
      </c>
      <c r="AE1730" t="str">
        <f t="shared" si="1078"/>
        <v>Marca</v>
      </c>
      <c r="AF1730" t="str">
        <f t="shared" si="1079"/>
        <v>Super Rubro</v>
      </c>
      <c r="AG1730" t="str">
        <f t="shared" si="1080"/>
        <v>ComercioExterior</v>
      </c>
      <c r="AH1730" t="str">
        <f t="shared" si="1081"/>
        <v>PrecioFOB</v>
      </c>
      <c r="AI1730" t="str">
        <f t="shared" si="1082"/>
        <v>Monto II</v>
      </c>
      <c r="AJ1730" t="str">
        <f t="shared" si="1083"/>
        <v>Porcentaje II</v>
      </c>
      <c r="AK1730" t="str">
        <f t="shared" si="1084"/>
        <v>Foto</v>
      </c>
      <c r="AL1730" t="str">
        <f>"{\rtf1\ansi\ansicpg1252\deff0\deflang2058{\fonttbl{\f0\fnil\fcharset0 MS Sans Serif}} \viewkind4\uc1\pard\f0\fs16 CONMUTADOR LIMPIAPARABRISAS R12/TORINO 80/85 EX DV4921\par } "</f>
        <v xml:space="preserve">{\rtf1\ansi\ansicpg1252\deff0\deflang2058{\fonttbl{\f0\fnil\fcharset0 MS Sans Serif}} \viewkind4\uc1\pard\f0\fs16 CONMUTADOR LIMPIAPARABRISAS R12/TORINO 80/85 EX DV4921\par } </v>
      </c>
      <c r="AM1730" t="str">
        <f t="shared" si="1105"/>
        <v xml:space="preserve"> </v>
      </c>
    </row>
    <row r="1731" spans="1:39" x14ac:dyDescent="0.25">
      <c r="A1731" t="str">
        <f>"DV10216"</f>
        <v>DV10216</v>
      </c>
      <c r="B1731" t="str">
        <f>"CONMUTADOR LUCES CLIO II KANGOO S/BOCINA EX DV4946"</f>
        <v>CONMUTADOR LUCES CLIO II KANGOO S/BOCINA EX DV4946</v>
      </c>
      <c r="C1731" t="str">
        <f>"$ 41872,86"</f>
        <v>$ 41872,86</v>
      </c>
      <c r="D1731" t="str">
        <f>"$ 41872,86"</f>
        <v>$ 41872,86</v>
      </c>
      <c r="E1731" t="str">
        <f>"$ 41872,86"</f>
        <v>$ 41872,86</v>
      </c>
      <c r="F1731" t="str">
        <f>"$ 41872,86"</f>
        <v>$ 41872,86</v>
      </c>
      <c r="G1731" t="str">
        <f>"$ 41872,86"</f>
        <v>$ 41872,86</v>
      </c>
      <c r="H1731" t="str">
        <f t="shared" ref="H1731:H1794" si="1111">"$ 0,00"</f>
        <v>$ 0,00</v>
      </c>
      <c r="I1731" t="str">
        <f t="shared" si="1102"/>
        <v>CONMUTADOR DE LUCES</v>
      </c>
      <c r="J1731" t="str">
        <f t="shared" ref="J1731:J1794" si="1112">"1"</f>
        <v>1</v>
      </c>
      <c r="K1731" t="str">
        <f t="shared" si="1106"/>
        <v>0</v>
      </c>
      <c r="L1731" t="str">
        <f>"6,000"</f>
        <v>6,000</v>
      </c>
      <c r="M1731" t="str">
        <f t="shared" ref="M1731:M1794" si="1113">" "</f>
        <v xml:space="preserve"> </v>
      </c>
      <c r="N1731" t="str">
        <f t="shared" si="1103"/>
        <v>DIVAIO</v>
      </c>
      <c r="O1731" t="str">
        <f t="shared" si="1104"/>
        <v>CONMUTADORES</v>
      </c>
      <c r="P1731" t="str">
        <f t="shared" si="1107"/>
        <v>0</v>
      </c>
      <c r="Q1731" t="str">
        <f t="shared" si="1107"/>
        <v>0</v>
      </c>
      <c r="R1731" t="str">
        <f t="shared" si="1108"/>
        <v>0,00</v>
      </c>
      <c r="S1731" t="str">
        <f t="shared" si="1108"/>
        <v>0,00</v>
      </c>
      <c r="T1731" t="str">
        <f t="shared" si="1110"/>
        <v xml:space="preserve"> </v>
      </c>
      <c r="U1731" t="str">
        <f t="shared" si="1086"/>
        <v xml:space="preserve"> </v>
      </c>
      <c r="V1731" t="str">
        <f>"6,000"</f>
        <v>6,000</v>
      </c>
      <c r="W1731" t="str">
        <f t="shared" ref="W1731:W1794" si="1114">"Lista 4"</f>
        <v>Lista 4</v>
      </c>
      <c r="X1731" t="str">
        <f t="shared" ref="X1731:X1794" si="1115">"Lista 5"</f>
        <v>Lista 5</v>
      </c>
      <c r="Y1731" t="str">
        <f t="shared" ref="Y1731:Y1794" si="1116">"Oferta Gral."</f>
        <v>Oferta Gral.</v>
      </c>
      <c r="Z1731" t="str">
        <f t="shared" ref="Z1731:Z1794" si="1117">"Rubro"</f>
        <v>Rubro</v>
      </c>
      <c r="AA1731" t="str">
        <f t="shared" ref="AA1731:AA1794" si="1118">"Cantidad por Bulto"</f>
        <v>Cantidad por Bulto</v>
      </c>
      <c r="AB1731" t="str">
        <f t="shared" ref="AB1731:AB1794" si="1119">"INNER"</f>
        <v>INNER</v>
      </c>
      <c r="AC1731" t="str">
        <f t="shared" ref="AC1731:AC1794" si="1120">"Stock en Bultos"</f>
        <v>Stock en Bultos</v>
      </c>
      <c r="AD1731" t="str">
        <f t="shared" ref="AD1731:AD1794" si="1121">"SubDepósito"</f>
        <v>SubDepósito</v>
      </c>
      <c r="AE1731" t="str">
        <f t="shared" ref="AE1731:AE1794" si="1122">"Marca"</f>
        <v>Marca</v>
      </c>
      <c r="AF1731" t="str">
        <f t="shared" ref="AF1731:AF1794" si="1123">"Super Rubro"</f>
        <v>Super Rubro</v>
      </c>
      <c r="AG1731" t="str">
        <f t="shared" ref="AG1731:AG1794" si="1124">"ComercioExterior"</f>
        <v>ComercioExterior</v>
      </c>
      <c r="AH1731" t="str">
        <f t="shared" ref="AH1731:AH1794" si="1125">"PrecioFOB"</f>
        <v>PrecioFOB</v>
      </c>
      <c r="AI1731" t="str">
        <f t="shared" ref="AI1731:AI1794" si="1126">"Monto II"</f>
        <v>Monto II</v>
      </c>
      <c r="AJ1731" t="str">
        <f t="shared" ref="AJ1731:AJ1794" si="1127">"Porcentaje II"</f>
        <v>Porcentaje II</v>
      </c>
      <c r="AK1731" t="str">
        <f t="shared" ref="AK1731:AK1794" si="1128">"Foto"</f>
        <v>Foto</v>
      </c>
      <c r="AL1731" t="str">
        <f>"{\rtf1\ansi\ansicpg1252\deff0\deflang2058{\fonttbl{\f0\fnil\fcharset0 MS Sans Serif}} \viewkind4\uc1\pard\f0\fs16 CONMUTADOR LUCES CLIO II KANGOO S/BOCINA EX DV4946\par } "</f>
        <v xml:space="preserve">{\rtf1\ansi\ansicpg1252\deff0\deflang2058{\fonttbl{\f0\fnil\fcharset0 MS Sans Serif}} \viewkind4\uc1\pard\f0\fs16 CONMUTADOR LUCES CLIO II KANGOO S/BOCINA EX DV4946\par } </v>
      </c>
      <c r="AM1731" t="str">
        <f t="shared" si="1105"/>
        <v xml:space="preserve"> </v>
      </c>
    </row>
    <row r="1732" spans="1:39" x14ac:dyDescent="0.25">
      <c r="A1732" t="str">
        <f>"DV10103"</f>
        <v>DV10103</v>
      </c>
      <c r="B1732" t="str">
        <f>"CONMUTADOR LUCES PEUGEOT 505 EX DV4938"</f>
        <v>CONMUTADOR LUCES PEUGEOT 505 EX DV4938</v>
      </c>
      <c r="C1732" t="str">
        <f>"$ 28664,86"</f>
        <v>$ 28664,86</v>
      </c>
      <c r="D1732" t="str">
        <f>"$ 28664,86"</f>
        <v>$ 28664,86</v>
      </c>
      <c r="E1732" t="str">
        <f>"$ 28664,86"</f>
        <v>$ 28664,86</v>
      </c>
      <c r="F1732" t="str">
        <f>"$ 28664,86"</f>
        <v>$ 28664,86</v>
      </c>
      <c r="G1732" t="str">
        <f>"$ 28664,86"</f>
        <v>$ 28664,86</v>
      </c>
      <c r="H1732" t="str">
        <f t="shared" si="1111"/>
        <v>$ 0,00</v>
      </c>
      <c r="I1732" t="str">
        <f t="shared" si="1102"/>
        <v>CONMUTADOR DE LUCES</v>
      </c>
      <c r="J1732" t="str">
        <f t="shared" si="1112"/>
        <v>1</v>
      </c>
      <c r="K1732" t="str">
        <f t="shared" si="1106"/>
        <v>0</v>
      </c>
      <c r="L1732" t="str">
        <f>"0,000"</f>
        <v>0,000</v>
      </c>
      <c r="M1732" t="str">
        <f t="shared" si="1113"/>
        <v xml:space="preserve"> </v>
      </c>
      <c r="N1732" t="str">
        <f t="shared" si="1103"/>
        <v>DIVAIO</v>
      </c>
      <c r="O1732" t="str">
        <f t="shared" si="1104"/>
        <v>CONMUTADORES</v>
      </c>
      <c r="P1732" t="str">
        <f t="shared" si="1107"/>
        <v>0</v>
      </c>
      <c r="Q1732" t="str">
        <f t="shared" si="1107"/>
        <v>0</v>
      </c>
      <c r="R1732" t="str">
        <f t="shared" si="1108"/>
        <v>0,00</v>
      </c>
      <c r="S1732" t="str">
        <f t="shared" si="1108"/>
        <v>0,00</v>
      </c>
      <c r="T1732" t="str">
        <f t="shared" si="1110"/>
        <v xml:space="preserve"> </v>
      </c>
      <c r="U1732" t="str">
        <f t="shared" si="1086"/>
        <v xml:space="preserve"> </v>
      </c>
      <c r="V1732" t="str">
        <f>"0,000"</f>
        <v>0,000</v>
      </c>
      <c r="W1732" t="str">
        <f t="shared" si="1114"/>
        <v>Lista 4</v>
      </c>
      <c r="X1732" t="str">
        <f t="shared" si="1115"/>
        <v>Lista 5</v>
      </c>
      <c r="Y1732" t="str">
        <f t="shared" si="1116"/>
        <v>Oferta Gral.</v>
      </c>
      <c r="Z1732" t="str">
        <f t="shared" si="1117"/>
        <v>Rubro</v>
      </c>
      <c r="AA1732" t="str">
        <f t="shared" si="1118"/>
        <v>Cantidad por Bulto</v>
      </c>
      <c r="AB1732" t="str">
        <f t="shared" si="1119"/>
        <v>INNER</v>
      </c>
      <c r="AC1732" t="str">
        <f t="shared" si="1120"/>
        <v>Stock en Bultos</v>
      </c>
      <c r="AD1732" t="str">
        <f t="shared" si="1121"/>
        <v>SubDepósito</v>
      </c>
      <c r="AE1732" t="str">
        <f t="shared" si="1122"/>
        <v>Marca</v>
      </c>
      <c r="AF1732" t="str">
        <f t="shared" si="1123"/>
        <v>Super Rubro</v>
      </c>
      <c r="AG1732" t="str">
        <f t="shared" si="1124"/>
        <v>ComercioExterior</v>
      </c>
      <c r="AH1732" t="str">
        <f t="shared" si="1125"/>
        <v>PrecioFOB</v>
      </c>
      <c r="AI1732" t="str">
        <f t="shared" si="1126"/>
        <v>Monto II</v>
      </c>
      <c r="AJ1732" t="str">
        <f t="shared" si="1127"/>
        <v>Porcentaje II</v>
      </c>
      <c r="AK1732" t="str">
        <f t="shared" si="1128"/>
        <v>Foto</v>
      </c>
      <c r="AL1732" t="str">
        <f>"{\rtf1\ansi\ansicpg1252\deff0\deflang2058{\fonttbl{\f0\fnil\fcharset0 MS Sans Serif}} \viewkind4\uc1\pard\f0\fs16 CONMUTADOR LUCES PEUGEOT 505 EX DV4938\par } "</f>
        <v xml:space="preserve">{\rtf1\ansi\ansicpg1252\deff0\deflang2058{\fonttbl{\f0\fnil\fcharset0 MS Sans Serif}} \viewkind4\uc1\pard\f0\fs16 CONMUTADOR LUCES PEUGEOT 505 EX DV4938\par } </v>
      </c>
      <c r="AM1732" t="str">
        <f t="shared" si="1105"/>
        <v xml:space="preserve"> </v>
      </c>
    </row>
    <row r="1733" spans="1:39" x14ac:dyDescent="0.25">
      <c r="A1733" t="str">
        <f>"DV10211"</f>
        <v>DV10211</v>
      </c>
      <c r="B1733" t="str">
        <f>"CONMUTADOR LUCES RENAULT CLIO II KANGOO C/BOCINA EX DV4947"</f>
        <v>CONMUTADOR LUCES RENAULT CLIO II KANGOO C/BOCINA EX DV4947</v>
      </c>
      <c r="C1733" t="str">
        <f>"$ 36868,41"</f>
        <v>$ 36868,41</v>
      </c>
      <c r="D1733" t="str">
        <f>"$ 36868,41"</f>
        <v>$ 36868,41</v>
      </c>
      <c r="E1733" t="str">
        <f>"$ 36868,41"</f>
        <v>$ 36868,41</v>
      </c>
      <c r="F1733" t="str">
        <f>"$ 36868,41"</f>
        <v>$ 36868,41</v>
      </c>
      <c r="G1733" t="str">
        <f>"$ 36868,41"</f>
        <v>$ 36868,41</v>
      </c>
      <c r="H1733" t="str">
        <f t="shared" si="1111"/>
        <v>$ 0,00</v>
      </c>
      <c r="I1733" t="str">
        <f t="shared" si="1102"/>
        <v>CONMUTADOR DE LUCES</v>
      </c>
      <c r="J1733" t="str">
        <f t="shared" si="1112"/>
        <v>1</v>
      </c>
      <c r="K1733" t="str">
        <f t="shared" si="1106"/>
        <v>0</v>
      </c>
      <c r="L1733" t="str">
        <f>"9,000"</f>
        <v>9,000</v>
      </c>
      <c r="M1733" t="str">
        <f t="shared" si="1113"/>
        <v xml:space="preserve"> </v>
      </c>
      <c r="N1733" t="str">
        <f t="shared" si="1103"/>
        <v>DIVAIO</v>
      </c>
      <c r="O1733" t="str">
        <f t="shared" si="1104"/>
        <v>CONMUTADORES</v>
      </c>
      <c r="P1733" t="str">
        <f t="shared" si="1107"/>
        <v>0</v>
      </c>
      <c r="Q1733" t="str">
        <f t="shared" si="1107"/>
        <v>0</v>
      </c>
      <c r="R1733" t="str">
        <f t="shared" si="1108"/>
        <v>0,00</v>
      </c>
      <c r="S1733" t="str">
        <f t="shared" si="1108"/>
        <v>0,00</v>
      </c>
      <c r="T1733" t="str">
        <f t="shared" si="1110"/>
        <v xml:space="preserve"> </v>
      </c>
      <c r="U1733" t="str">
        <f t="shared" si="1086"/>
        <v xml:space="preserve"> </v>
      </c>
      <c r="V1733" t="str">
        <f>"9,000"</f>
        <v>9,000</v>
      </c>
      <c r="W1733" t="str">
        <f t="shared" si="1114"/>
        <v>Lista 4</v>
      </c>
      <c r="X1733" t="str">
        <f t="shared" si="1115"/>
        <v>Lista 5</v>
      </c>
      <c r="Y1733" t="str">
        <f t="shared" si="1116"/>
        <v>Oferta Gral.</v>
      </c>
      <c r="Z1733" t="str">
        <f t="shared" si="1117"/>
        <v>Rubro</v>
      </c>
      <c r="AA1733" t="str">
        <f t="shared" si="1118"/>
        <v>Cantidad por Bulto</v>
      </c>
      <c r="AB1733" t="str">
        <f t="shared" si="1119"/>
        <v>INNER</v>
      </c>
      <c r="AC1733" t="str">
        <f t="shared" si="1120"/>
        <v>Stock en Bultos</v>
      </c>
      <c r="AD1733" t="str">
        <f t="shared" si="1121"/>
        <v>SubDepósito</v>
      </c>
      <c r="AE1733" t="str">
        <f t="shared" si="1122"/>
        <v>Marca</v>
      </c>
      <c r="AF1733" t="str">
        <f t="shared" si="1123"/>
        <v>Super Rubro</v>
      </c>
      <c r="AG1733" t="str">
        <f t="shared" si="1124"/>
        <v>ComercioExterior</v>
      </c>
      <c r="AH1733" t="str">
        <f t="shared" si="1125"/>
        <v>PrecioFOB</v>
      </c>
      <c r="AI1733" t="str">
        <f t="shared" si="1126"/>
        <v>Monto II</v>
      </c>
      <c r="AJ1733" t="str">
        <f t="shared" si="1127"/>
        <v>Porcentaje II</v>
      </c>
      <c r="AK1733" t="str">
        <f t="shared" si="1128"/>
        <v>Foto</v>
      </c>
      <c r="AL1733" t="str">
        <f>"{\rtf1\ansi\ansicpg1252\deff0\deflang2058{\fonttbl{\f0\fnil\fcharset0 MS Sans Serif}} \viewkind4\uc1\pard\f0\fs16 CONMUTADOR LUCES RENAULT CLIO II KANGOO C/BOCINA EX DV4947\par } "</f>
        <v xml:space="preserve">{\rtf1\ansi\ansicpg1252\deff0\deflang2058{\fonttbl{\f0\fnil\fcharset0 MS Sans Serif}} \viewkind4\uc1\pard\f0\fs16 CONMUTADOR LUCES RENAULT CLIO II KANGOO C/BOCINA EX DV4947\par } </v>
      </c>
      <c r="AM1733" t="str">
        <f t="shared" si="1105"/>
        <v xml:space="preserve"> </v>
      </c>
    </row>
    <row r="1734" spans="1:39" x14ac:dyDescent="0.25">
      <c r="A1734" t="str">
        <f>"DV10218"</f>
        <v>DV10218</v>
      </c>
      <c r="B1734" t="str">
        <f>"CONMUTADOR LUCES SANDERO/LOGAN 2"</f>
        <v>CONMUTADOR LUCES SANDERO/LOGAN 2</v>
      </c>
      <c r="C1734" t="str">
        <f>"$ 50519,84"</f>
        <v>$ 50519,84</v>
      </c>
      <c r="D1734" t="str">
        <f>"$ 50519,84"</f>
        <v>$ 50519,84</v>
      </c>
      <c r="E1734" t="str">
        <f>"$ 50519,84"</f>
        <v>$ 50519,84</v>
      </c>
      <c r="F1734" t="str">
        <f>"$ 50519,84"</f>
        <v>$ 50519,84</v>
      </c>
      <c r="G1734" t="str">
        <f>"$ 50519,84"</f>
        <v>$ 50519,84</v>
      </c>
      <c r="H1734" t="str">
        <f t="shared" si="1111"/>
        <v>$ 0,00</v>
      </c>
      <c r="I1734" t="str">
        <f t="shared" si="1102"/>
        <v>CONMUTADOR DE LUCES</v>
      </c>
      <c r="J1734" t="str">
        <f t="shared" si="1112"/>
        <v>1</v>
      </c>
      <c r="K1734" t="str">
        <f t="shared" si="1106"/>
        <v>0</v>
      </c>
      <c r="L1734" t="str">
        <f>"2,000"</f>
        <v>2,000</v>
      </c>
      <c r="M1734" t="str">
        <f t="shared" si="1113"/>
        <v xml:space="preserve"> </v>
      </c>
      <c r="N1734" t="str">
        <f t="shared" si="1103"/>
        <v>DIVAIO</v>
      </c>
      <c r="O1734" t="str">
        <f t="shared" si="1104"/>
        <v>CONMUTADORES</v>
      </c>
      <c r="P1734" t="str">
        <f t="shared" si="1107"/>
        <v>0</v>
      </c>
      <c r="Q1734" t="str">
        <f t="shared" si="1107"/>
        <v>0</v>
      </c>
      <c r="R1734" t="str">
        <f t="shared" si="1108"/>
        <v>0,00</v>
      </c>
      <c r="S1734" t="str">
        <f t="shared" si="1108"/>
        <v>0,00</v>
      </c>
      <c r="T1734" t="str">
        <f t="shared" si="1110"/>
        <v xml:space="preserve"> </v>
      </c>
      <c r="U1734" t="str">
        <f t="shared" si="1086"/>
        <v xml:space="preserve"> </v>
      </c>
      <c r="V1734" t="str">
        <f>"2,000"</f>
        <v>2,000</v>
      </c>
      <c r="W1734" t="str">
        <f t="shared" si="1114"/>
        <v>Lista 4</v>
      </c>
      <c r="X1734" t="str">
        <f t="shared" si="1115"/>
        <v>Lista 5</v>
      </c>
      <c r="Y1734" t="str">
        <f t="shared" si="1116"/>
        <v>Oferta Gral.</v>
      </c>
      <c r="Z1734" t="str">
        <f t="shared" si="1117"/>
        <v>Rubro</v>
      </c>
      <c r="AA1734" t="str">
        <f t="shared" si="1118"/>
        <v>Cantidad por Bulto</v>
      </c>
      <c r="AB1734" t="str">
        <f t="shared" si="1119"/>
        <v>INNER</v>
      </c>
      <c r="AC1734" t="str">
        <f t="shared" si="1120"/>
        <v>Stock en Bultos</v>
      </c>
      <c r="AD1734" t="str">
        <f t="shared" si="1121"/>
        <v>SubDepósito</v>
      </c>
      <c r="AE1734" t="str">
        <f t="shared" si="1122"/>
        <v>Marca</v>
      </c>
      <c r="AF1734" t="str">
        <f t="shared" si="1123"/>
        <v>Super Rubro</v>
      </c>
      <c r="AG1734" t="str">
        <f t="shared" si="1124"/>
        <v>ComercioExterior</v>
      </c>
      <c r="AH1734" t="str">
        <f t="shared" si="1125"/>
        <v>PrecioFOB</v>
      </c>
      <c r="AI1734" t="str">
        <f t="shared" si="1126"/>
        <v>Monto II</v>
      </c>
      <c r="AJ1734" t="str">
        <f t="shared" si="1127"/>
        <v>Porcentaje II</v>
      </c>
      <c r="AK1734" t="str">
        <f t="shared" si="1128"/>
        <v>Foto</v>
      </c>
      <c r="AL1734" t="str">
        <f>"{\rtf1\ansi\ansicpg1252\deff0\deflang11274{\fonttbl{\f0\fnil\fcharset0 MS Sans Serif}} \viewkind4\uc1\pard\f0\fs16 CONMUTADOR LUCES SANDERO/LOGAN 2\par } "</f>
        <v xml:space="preserve">{\rtf1\ansi\ansicpg1252\deff0\deflang11274{\fonttbl{\f0\fnil\fcharset0 MS Sans Serif}} \viewkind4\uc1\pard\f0\fs16 CONMUTADOR LUCES SANDERO/LOGAN 2\par } </v>
      </c>
      <c r="AM1734" t="str">
        <f>"-"</f>
        <v>-</v>
      </c>
    </row>
    <row r="1735" spans="1:39" x14ac:dyDescent="0.25">
      <c r="A1735" t="str">
        <f>"DV10302"</f>
        <v>DV10302</v>
      </c>
      <c r="B1735" t="str">
        <f>"CONMUTADOR LUCES VW GOL DESDE 95 CON BALIZAS EX DV4941"</f>
        <v>CONMUTADOR LUCES VW GOL DESDE 95 CON BALIZAS EX DV4941</v>
      </c>
      <c r="C1735" t="str">
        <f>"$ 36921,20"</f>
        <v>$ 36921,20</v>
      </c>
      <c r="D1735" t="str">
        <f>"$ 36921,20"</f>
        <v>$ 36921,20</v>
      </c>
      <c r="E1735" t="str">
        <f>"$ 36921,20"</f>
        <v>$ 36921,20</v>
      </c>
      <c r="F1735" t="str">
        <f>"$ 36921,20"</f>
        <v>$ 36921,20</v>
      </c>
      <c r="G1735" t="str">
        <f>"$ 36921,20"</f>
        <v>$ 36921,20</v>
      </c>
      <c r="H1735" t="str">
        <f t="shared" si="1111"/>
        <v>$ 0,00</v>
      </c>
      <c r="I1735" t="str">
        <f t="shared" si="1102"/>
        <v>CONMUTADOR DE LUCES</v>
      </c>
      <c r="J1735" t="str">
        <f t="shared" si="1112"/>
        <v>1</v>
      </c>
      <c r="K1735" t="str">
        <f t="shared" si="1106"/>
        <v>0</v>
      </c>
      <c r="L1735" t="str">
        <f>"6,000"</f>
        <v>6,000</v>
      </c>
      <c r="M1735" t="str">
        <f t="shared" si="1113"/>
        <v xml:space="preserve"> </v>
      </c>
      <c r="N1735" t="str">
        <f t="shared" si="1103"/>
        <v>DIVAIO</v>
      </c>
      <c r="O1735" t="str">
        <f t="shared" si="1104"/>
        <v>CONMUTADORES</v>
      </c>
      <c r="P1735" t="str">
        <f t="shared" si="1107"/>
        <v>0</v>
      </c>
      <c r="Q1735" t="str">
        <f t="shared" si="1107"/>
        <v>0</v>
      </c>
      <c r="R1735" t="str">
        <f t="shared" si="1108"/>
        <v>0,00</v>
      </c>
      <c r="S1735" t="str">
        <f t="shared" si="1108"/>
        <v>0,00</v>
      </c>
      <c r="T1735" t="str">
        <f t="shared" si="1110"/>
        <v xml:space="preserve"> </v>
      </c>
      <c r="U1735" t="str">
        <f t="shared" si="1086"/>
        <v xml:space="preserve"> </v>
      </c>
      <c r="V1735" t="str">
        <f>"6,000"</f>
        <v>6,000</v>
      </c>
      <c r="W1735" t="str">
        <f t="shared" si="1114"/>
        <v>Lista 4</v>
      </c>
      <c r="X1735" t="str">
        <f t="shared" si="1115"/>
        <v>Lista 5</v>
      </c>
      <c r="Y1735" t="str">
        <f t="shared" si="1116"/>
        <v>Oferta Gral.</v>
      </c>
      <c r="Z1735" t="str">
        <f t="shared" si="1117"/>
        <v>Rubro</v>
      </c>
      <c r="AA1735" t="str">
        <f t="shared" si="1118"/>
        <v>Cantidad por Bulto</v>
      </c>
      <c r="AB1735" t="str">
        <f t="shared" si="1119"/>
        <v>INNER</v>
      </c>
      <c r="AC1735" t="str">
        <f t="shared" si="1120"/>
        <v>Stock en Bultos</v>
      </c>
      <c r="AD1735" t="str">
        <f t="shared" si="1121"/>
        <v>SubDepósito</v>
      </c>
      <c r="AE1735" t="str">
        <f t="shared" si="1122"/>
        <v>Marca</v>
      </c>
      <c r="AF1735" t="str">
        <f t="shared" si="1123"/>
        <v>Super Rubro</v>
      </c>
      <c r="AG1735" t="str">
        <f t="shared" si="1124"/>
        <v>ComercioExterior</v>
      </c>
      <c r="AH1735" t="str">
        <f t="shared" si="1125"/>
        <v>PrecioFOB</v>
      </c>
      <c r="AI1735" t="str">
        <f t="shared" si="1126"/>
        <v>Monto II</v>
      </c>
      <c r="AJ1735" t="str">
        <f t="shared" si="1127"/>
        <v>Porcentaje II</v>
      </c>
      <c r="AK1735" t="str">
        <f t="shared" si="1128"/>
        <v>Foto</v>
      </c>
      <c r="AL1735" t="str">
        <f>"{\rtf1\ansi\ansicpg1252\deff0\deflang2058{\fonttbl{\f0\fnil\fcharset0 MS Sans Serif}} \viewkind4\uc1\pard\f0\fs16 CONMUTADOR LUCES VW GOL DESDE 95 CON BALIZAS EX DV4941\par } "</f>
        <v xml:space="preserve">{\rtf1\ansi\ansicpg1252\deff0\deflang2058{\fonttbl{\f0\fnil\fcharset0 MS Sans Serif}} \viewkind4\uc1\pard\f0\fs16 CONMUTADOR LUCES VW GOL DESDE 95 CON BALIZAS EX DV4941\par } </v>
      </c>
      <c r="AM1735" t="str">
        <f>" "</f>
        <v xml:space="preserve"> </v>
      </c>
    </row>
    <row r="1736" spans="1:39" x14ac:dyDescent="0.25">
      <c r="A1736" t="str">
        <f>"DV10702"</f>
        <v>DV10702</v>
      </c>
      <c r="B1736" t="str">
        <f>"CONMUTADOR LUZ DE GIRO CHEVROLET CORSA EX DV4944"</f>
        <v>CONMUTADOR LUZ DE GIRO CHEVROLET CORSA EX DV4944</v>
      </c>
      <c r="C1736" t="str">
        <f>"$ 20651,36"</f>
        <v>$ 20651,36</v>
      </c>
      <c r="D1736" t="str">
        <f>"$ 20651,36"</f>
        <v>$ 20651,36</v>
      </c>
      <c r="E1736" t="str">
        <f>"$ 20651,36"</f>
        <v>$ 20651,36</v>
      </c>
      <c r="F1736" t="str">
        <f>"$ 20651,36"</f>
        <v>$ 20651,36</v>
      </c>
      <c r="G1736" t="str">
        <f>"$ 20651,36"</f>
        <v>$ 20651,36</v>
      </c>
      <c r="H1736" t="str">
        <f t="shared" si="1111"/>
        <v>$ 0,00</v>
      </c>
      <c r="I1736" t="str">
        <f t="shared" si="1102"/>
        <v>CONMUTADOR DE LUCES</v>
      </c>
      <c r="J1736" t="str">
        <f t="shared" si="1112"/>
        <v>1</v>
      </c>
      <c r="K1736" t="str">
        <f t="shared" si="1106"/>
        <v>0</v>
      </c>
      <c r="L1736" t="str">
        <f>"36,000"</f>
        <v>36,000</v>
      </c>
      <c r="M1736" t="str">
        <f t="shared" si="1113"/>
        <v xml:space="preserve"> </v>
      </c>
      <c r="N1736" t="str">
        <f t="shared" si="1103"/>
        <v>DIVAIO</v>
      </c>
      <c r="O1736" t="str">
        <f t="shared" si="1104"/>
        <v>CONMUTADORES</v>
      </c>
      <c r="P1736" t="str">
        <f t="shared" si="1107"/>
        <v>0</v>
      </c>
      <c r="Q1736" t="str">
        <f t="shared" si="1107"/>
        <v>0</v>
      </c>
      <c r="R1736" t="str">
        <f t="shared" si="1108"/>
        <v>0,00</v>
      </c>
      <c r="S1736" t="str">
        <f t="shared" si="1108"/>
        <v>0,00</v>
      </c>
      <c r="T1736" t="str">
        <f t="shared" si="1110"/>
        <v xml:space="preserve"> </v>
      </c>
      <c r="U1736" t="str">
        <f t="shared" si="1086"/>
        <v xml:space="preserve"> </v>
      </c>
      <c r="V1736" t="str">
        <f>"36,000"</f>
        <v>36,000</v>
      </c>
      <c r="W1736" t="str">
        <f t="shared" si="1114"/>
        <v>Lista 4</v>
      </c>
      <c r="X1736" t="str">
        <f t="shared" si="1115"/>
        <v>Lista 5</v>
      </c>
      <c r="Y1736" t="str">
        <f t="shared" si="1116"/>
        <v>Oferta Gral.</v>
      </c>
      <c r="Z1736" t="str">
        <f t="shared" si="1117"/>
        <v>Rubro</v>
      </c>
      <c r="AA1736" t="str">
        <f t="shared" si="1118"/>
        <v>Cantidad por Bulto</v>
      </c>
      <c r="AB1736" t="str">
        <f t="shared" si="1119"/>
        <v>INNER</v>
      </c>
      <c r="AC1736" t="str">
        <f t="shared" si="1120"/>
        <v>Stock en Bultos</v>
      </c>
      <c r="AD1736" t="str">
        <f t="shared" si="1121"/>
        <v>SubDepósito</v>
      </c>
      <c r="AE1736" t="str">
        <f t="shared" si="1122"/>
        <v>Marca</v>
      </c>
      <c r="AF1736" t="str">
        <f t="shared" si="1123"/>
        <v>Super Rubro</v>
      </c>
      <c r="AG1736" t="str">
        <f t="shared" si="1124"/>
        <v>ComercioExterior</v>
      </c>
      <c r="AH1736" t="str">
        <f t="shared" si="1125"/>
        <v>PrecioFOB</v>
      </c>
      <c r="AI1736" t="str">
        <f t="shared" si="1126"/>
        <v>Monto II</v>
      </c>
      <c r="AJ1736" t="str">
        <f t="shared" si="1127"/>
        <v>Porcentaje II</v>
      </c>
      <c r="AK1736" t="str">
        <f t="shared" si="1128"/>
        <v>Foto</v>
      </c>
      <c r="AL1736" t="str">
        <f>"{\rtf1\ansi\ansicpg1252\deff0\deflang2058{\fonttbl{\f0\fnil\fcharset0 MS Sans Serif}} \viewkind4\uc1\pard\f0\fs16 CONMUTADOR LUZ DE GIRO CHEVROLET CORSA EX DV4944\par } "</f>
        <v xml:space="preserve">{\rtf1\ansi\ansicpg1252\deff0\deflang2058{\fonttbl{\f0\fnil\fcharset0 MS Sans Serif}} \viewkind4\uc1\pard\f0\fs16 CONMUTADOR LUZ DE GIRO CHEVROLET CORSA EX DV4944\par } </v>
      </c>
      <c r="AM1736" t="str">
        <f>" "</f>
        <v xml:space="preserve"> </v>
      </c>
    </row>
    <row r="1737" spans="1:39" x14ac:dyDescent="0.25">
      <c r="A1737" t="str">
        <f>"CON490"</f>
        <v>CON490</v>
      </c>
      <c r="B1737" t="str">
        <f>"CONTACTOR  CITROEN C-15"</f>
        <v>CONTACTOR  CITROEN C-15</v>
      </c>
      <c r="C1737" t="str">
        <f>"$ 5908,62"</f>
        <v>$ 5908,62</v>
      </c>
      <c r="D1737" t="str">
        <f>"$ 5908,62"</f>
        <v>$ 5908,62</v>
      </c>
      <c r="E1737" t="str">
        <f>"$ 5908,62"</f>
        <v>$ 5908,62</v>
      </c>
      <c r="F1737" t="str">
        <f>"$ 5908,62"</f>
        <v>$ 5908,62</v>
      </c>
      <c r="G1737" t="str">
        <f>"$ 5908,62"</f>
        <v>$ 5908,62</v>
      </c>
      <c r="H1737" t="str">
        <f t="shared" si="1111"/>
        <v>$ 0,00</v>
      </c>
      <c r="I1737" t="str">
        <f t="shared" ref="I1737:I1766" si="1129">"CABLES CONTACTOR ARRANQUE"</f>
        <v>CABLES CONTACTOR ARRANQUE</v>
      </c>
      <c r="J1737" t="str">
        <f t="shared" si="1112"/>
        <v>1</v>
      </c>
      <c r="K1737" t="str">
        <f t="shared" si="1106"/>
        <v>0</v>
      </c>
      <c r="L1737" t="str">
        <f>"0,000"</f>
        <v>0,000</v>
      </c>
      <c r="M1737" t="str">
        <f t="shared" si="1113"/>
        <v xml:space="preserve"> </v>
      </c>
      <c r="N1737" t="str">
        <f t="shared" ref="N1737:N1766" si="1130">"OYSTER"</f>
        <v>OYSTER</v>
      </c>
      <c r="O1737" t="str">
        <f t="shared" ref="O1737:O1766" si="1131">"CABLES"</f>
        <v>CABLES</v>
      </c>
      <c r="P1737" t="str">
        <f t="shared" si="1107"/>
        <v>0</v>
      </c>
      <c r="Q1737" t="str">
        <f t="shared" si="1107"/>
        <v>0</v>
      </c>
      <c r="R1737" t="str">
        <f t="shared" si="1108"/>
        <v>0,00</v>
      </c>
      <c r="S1737" t="str">
        <f t="shared" si="1108"/>
        <v>0,00</v>
      </c>
      <c r="T1737" t="str">
        <f t="shared" si="1110"/>
        <v xml:space="preserve"> </v>
      </c>
      <c r="U1737" t="str">
        <f t="shared" si="1086"/>
        <v xml:space="preserve"> </v>
      </c>
      <c r="V1737" t="str">
        <f>"0,000"</f>
        <v>0,000</v>
      </c>
      <c r="W1737" t="str">
        <f t="shared" si="1114"/>
        <v>Lista 4</v>
      </c>
      <c r="X1737" t="str">
        <f t="shared" si="1115"/>
        <v>Lista 5</v>
      </c>
      <c r="Y1737" t="str">
        <f t="shared" si="1116"/>
        <v>Oferta Gral.</v>
      </c>
      <c r="Z1737" t="str">
        <f t="shared" si="1117"/>
        <v>Rubro</v>
      </c>
      <c r="AA1737" t="str">
        <f t="shared" si="1118"/>
        <v>Cantidad por Bulto</v>
      </c>
      <c r="AB1737" t="str">
        <f t="shared" si="1119"/>
        <v>INNER</v>
      </c>
      <c r="AC1737" t="str">
        <f t="shared" si="1120"/>
        <v>Stock en Bultos</v>
      </c>
      <c r="AD1737" t="str">
        <f t="shared" si="1121"/>
        <v>SubDepósito</v>
      </c>
      <c r="AE1737" t="str">
        <f t="shared" si="1122"/>
        <v>Marca</v>
      </c>
      <c r="AF1737" t="str">
        <f t="shared" si="1123"/>
        <v>Super Rubro</v>
      </c>
      <c r="AG1737" t="str">
        <f t="shared" si="1124"/>
        <v>ComercioExterior</v>
      </c>
      <c r="AH1737" t="str">
        <f t="shared" si="1125"/>
        <v>PrecioFOB</v>
      </c>
      <c r="AI1737" t="str">
        <f t="shared" si="1126"/>
        <v>Monto II</v>
      </c>
      <c r="AJ1737" t="str">
        <f t="shared" si="1127"/>
        <v>Porcentaje II</v>
      </c>
      <c r="AK1737" t="str">
        <f t="shared" si="1128"/>
        <v>Foto</v>
      </c>
      <c r="AL1737" t="str">
        <f>"{\rtf1\ansi\ansicpg1252\deff0\deflang11274{\fonttbl{\f0\fnil\fcharset0 MS Sans Serif}} \viewkind4\uc1\pard\f0\fs16 CONTACTOR  CITROEN C-15\par } "</f>
        <v xml:space="preserve">{\rtf1\ansi\ansicpg1252\deff0\deflang11274{\fonttbl{\f0\fnil\fcharset0 MS Sans Serif}} \viewkind4\uc1\pard\f0\fs16 CONTACTOR  CITROEN C-15\par } </v>
      </c>
      <c r="AM1737" t="str">
        <f t="shared" ref="AM1737:AM1768" si="1132">"-"</f>
        <v>-</v>
      </c>
    </row>
    <row r="1738" spans="1:39" x14ac:dyDescent="0.25">
      <c r="A1738" t="str">
        <f>"CON443"</f>
        <v>CON443</v>
      </c>
      <c r="B1738" t="str">
        <f>"CONTACTOR  FIAT 125 - 1600"</f>
        <v>CONTACTOR  FIAT 125 - 1600</v>
      </c>
      <c r="C1738" t="str">
        <f>"$ 9564,15"</f>
        <v>$ 9564,15</v>
      </c>
      <c r="D1738" t="str">
        <f>"$ 9564,15"</f>
        <v>$ 9564,15</v>
      </c>
      <c r="E1738" t="str">
        <f>"$ 9564,15"</f>
        <v>$ 9564,15</v>
      </c>
      <c r="F1738" t="str">
        <f>"$ 9564,15"</f>
        <v>$ 9564,15</v>
      </c>
      <c r="G1738" t="str">
        <f>"$ 9564,15"</f>
        <v>$ 9564,15</v>
      </c>
      <c r="H1738" t="str">
        <f t="shared" si="1111"/>
        <v>$ 0,00</v>
      </c>
      <c r="I1738" t="str">
        <f t="shared" si="1129"/>
        <v>CABLES CONTACTOR ARRANQUE</v>
      </c>
      <c r="J1738" t="str">
        <f t="shared" si="1112"/>
        <v>1</v>
      </c>
      <c r="K1738" t="str">
        <f t="shared" si="1106"/>
        <v>0</v>
      </c>
      <c r="L1738" t="str">
        <f>"2,000"</f>
        <v>2,000</v>
      </c>
      <c r="M1738" t="str">
        <f t="shared" si="1113"/>
        <v xml:space="preserve"> </v>
      </c>
      <c r="N1738" t="str">
        <f t="shared" si="1130"/>
        <v>OYSTER</v>
      </c>
      <c r="O1738" t="str">
        <f t="shared" si="1131"/>
        <v>CABLES</v>
      </c>
      <c r="P1738" t="str">
        <f t="shared" si="1107"/>
        <v>0</v>
      </c>
      <c r="Q1738" t="str">
        <f t="shared" si="1107"/>
        <v>0</v>
      </c>
      <c r="R1738" t="str">
        <f t="shared" si="1108"/>
        <v>0,00</v>
      </c>
      <c r="S1738" t="str">
        <f t="shared" si="1108"/>
        <v>0,00</v>
      </c>
      <c r="T1738" t="str">
        <f t="shared" si="1110"/>
        <v xml:space="preserve"> </v>
      </c>
      <c r="U1738" t="str">
        <f t="shared" si="1086"/>
        <v xml:space="preserve"> </v>
      </c>
      <c r="V1738" t="str">
        <f>"2,000"</f>
        <v>2,000</v>
      </c>
      <c r="W1738" t="str">
        <f t="shared" si="1114"/>
        <v>Lista 4</v>
      </c>
      <c r="X1738" t="str">
        <f t="shared" si="1115"/>
        <v>Lista 5</v>
      </c>
      <c r="Y1738" t="str">
        <f t="shared" si="1116"/>
        <v>Oferta Gral.</v>
      </c>
      <c r="Z1738" t="str">
        <f t="shared" si="1117"/>
        <v>Rubro</v>
      </c>
      <c r="AA1738" t="str">
        <f t="shared" si="1118"/>
        <v>Cantidad por Bulto</v>
      </c>
      <c r="AB1738" t="str">
        <f t="shared" si="1119"/>
        <v>INNER</v>
      </c>
      <c r="AC1738" t="str">
        <f t="shared" si="1120"/>
        <v>Stock en Bultos</v>
      </c>
      <c r="AD1738" t="str">
        <f t="shared" si="1121"/>
        <v>SubDepósito</v>
      </c>
      <c r="AE1738" t="str">
        <f t="shared" si="1122"/>
        <v>Marca</v>
      </c>
      <c r="AF1738" t="str">
        <f t="shared" si="1123"/>
        <v>Super Rubro</v>
      </c>
      <c r="AG1738" t="str">
        <f t="shared" si="1124"/>
        <v>ComercioExterior</v>
      </c>
      <c r="AH1738" t="str">
        <f t="shared" si="1125"/>
        <v>PrecioFOB</v>
      </c>
      <c r="AI1738" t="str">
        <f t="shared" si="1126"/>
        <v>Monto II</v>
      </c>
      <c r="AJ1738" t="str">
        <f t="shared" si="1127"/>
        <v>Porcentaje II</v>
      </c>
      <c r="AK1738" t="str">
        <f t="shared" si="1128"/>
        <v>Foto</v>
      </c>
      <c r="AL1738" t="str">
        <f>"{\rtf1\ansi\ansicpg1252\deff0\deflang11274{\fonttbl{\f0\fnil\fcharset0 MS Sans Serif}} \viewkind4\uc1\pard\f0\fs16 CONTACTOR  FIAT 125 - 1600\par } "</f>
        <v xml:space="preserve">{\rtf1\ansi\ansicpg1252\deff0\deflang11274{\fonttbl{\f0\fnil\fcharset0 MS Sans Serif}} \viewkind4\uc1\pard\f0\fs16 CONTACTOR  FIAT 125 - 1600\par } </v>
      </c>
      <c r="AM1738" t="str">
        <f t="shared" si="1132"/>
        <v>-</v>
      </c>
    </row>
    <row r="1739" spans="1:39" x14ac:dyDescent="0.25">
      <c r="A1739" t="str">
        <f>"CON450"</f>
        <v>CON450</v>
      </c>
      <c r="B1739" t="str">
        <f>"CONTACTOR  FIAT 128 - 147"</f>
        <v>CONTACTOR  FIAT 128 - 147</v>
      </c>
      <c r="C1739" t="str">
        <f t="shared" ref="C1739:G1742" si="1133">"$ 6782,27"</f>
        <v>$ 6782,27</v>
      </c>
      <c r="D1739" t="str">
        <f t="shared" si="1133"/>
        <v>$ 6782,27</v>
      </c>
      <c r="E1739" t="str">
        <f t="shared" si="1133"/>
        <v>$ 6782,27</v>
      </c>
      <c r="F1739" t="str">
        <f t="shared" si="1133"/>
        <v>$ 6782,27</v>
      </c>
      <c r="G1739" t="str">
        <f t="shared" si="1133"/>
        <v>$ 6782,27</v>
      </c>
      <c r="H1739" t="str">
        <f t="shared" si="1111"/>
        <v>$ 0,00</v>
      </c>
      <c r="I1739" t="str">
        <f t="shared" si="1129"/>
        <v>CABLES CONTACTOR ARRANQUE</v>
      </c>
      <c r="J1739" t="str">
        <f t="shared" si="1112"/>
        <v>1</v>
      </c>
      <c r="K1739" t="str">
        <f t="shared" si="1106"/>
        <v>0</v>
      </c>
      <c r="L1739" t="str">
        <f>"0,000"</f>
        <v>0,000</v>
      </c>
      <c r="M1739" t="str">
        <f t="shared" si="1113"/>
        <v xml:space="preserve"> </v>
      </c>
      <c r="N1739" t="str">
        <f t="shared" si="1130"/>
        <v>OYSTER</v>
      </c>
      <c r="O1739" t="str">
        <f t="shared" si="1131"/>
        <v>CABLES</v>
      </c>
      <c r="P1739" t="str">
        <f t="shared" si="1107"/>
        <v>0</v>
      </c>
      <c r="Q1739" t="str">
        <f t="shared" si="1107"/>
        <v>0</v>
      </c>
      <c r="R1739" t="str">
        <f t="shared" si="1108"/>
        <v>0,00</v>
      </c>
      <c r="S1739" t="str">
        <f t="shared" si="1108"/>
        <v>0,00</v>
      </c>
      <c r="T1739" t="str">
        <f t="shared" si="1110"/>
        <v xml:space="preserve"> </v>
      </c>
      <c r="U1739" t="str">
        <f t="shared" si="1086"/>
        <v xml:space="preserve"> </v>
      </c>
      <c r="V1739" t="str">
        <f>"0,000"</f>
        <v>0,000</v>
      </c>
      <c r="W1739" t="str">
        <f t="shared" si="1114"/>
        <v>Lista 4</v>
      </c>
      <c r="X1739" t="str">
        <f t="shared" si="1115"/>
        <v>Lista 5</v>
      </c>
      <c r="Y1739" t="str">
        <f t="shared" si="1116"/>
        <v>Oferta Gral.</v>
      </c>
      <c r="Z1739" t="str">
        <f t="shared" si="1117"/>
        <v>Rubro</v>
      </c>
      <c r="AA1739" t="str">
        <f t="shared" si="1118"/>
        <v>Cantidad por Bulto</v>
      </c>
      <c r="AB1739" t="str">
        <f t="shared" si="1119"/>
        <v>INNER</v>
      </c>
      <c r="AC1739" t="str">
        <f t="shared" si="1120"/>
        <v>Stock en Bultos</v>
      </c>
      <c r="AD1739" t="str">
        <f t="shared" si="1121"/>
        <v>SubDepósito</v>
      </c>
      <c r="AE1739" t="str">
        <f t="shared" si="1122"/>
        <v>Marca</v>
      </c>
      <c r="AF1739" t="str">
        <f t="shared" si="1123"/>
        <v>Super Rubro</v>
      </c>
      <c r="AG1739" t="str">
        <f t="shared" si="1124"/>
        <v>ComercioExterior</v>
      </c>
      <c r="AH1739" t="str">
        <f t="shared" si="1125"/>
        <v>PrecioFOB</v>
      </c>
      <c r="AI1739" t="str">
        <f t="shared" si="1126"/>
        <v>Monto II</v>
      </c>
      <c r="AJ1739" t="str">
        <f t="shared" si="1127"/>
        <v>Porcentaje II</v>
      </c>
      <c r="AK1739" t="str">
        <f t="shared" si="1128"/>
        <v>Foto</v>
      </c>
      <c r="AL1739" t="str">
        <f>"{\rtf1\ansi\ansicpg1252\deff0\deflang11274{\fonttbl{\f0\fnil\fcharset0 MS Sans Serif}} \viewkind4\uc1\pard\f0\fs16 CONTACTOR  FIAT 128 - 147\par } "</f>
        <v xml:space="preserve">{\rtf1\ansi\ansicpg1252\deff0\deflang11274{\fonttbl{\f0\fnil\fcharset0 MS Sans Serif}} \viewkind4\uc1\pard\f0\fs16 CONTACTOR  FIAT 128 - 147\par } </v>
      </c>
      <c r="AM1739" t="str">
        <f t="shared" si="1132"/>
        <v>-</v>
      </c>
    </row>
    <row r="1740" spans="1:39" x14ac:dyDescent="0.25">
      <c r="A1740" t="str">
        <f>"CON483"</f>
        <v>CON483</v>
      </c>
      <c r="B1740" t="str">
        <f>"CONTACTOR  FIAT DUCATO 92/95"</f>
        <v>CONTACTOR  FIAT DUCATO 92/95</v>
      </c>
      <c r="C1740" t="str">
        <f t="shared" si="1133"/>
        <v>$ 6782,27</v>
      </c>
      <c r="D1740" t="str">
        <f t="shared" si="1133"/>
        <v>$ 6782,27</v>
      </c>
      <c r="E1740" t="str">
        <f t="shared" si="1133"/>
        <v>$ 6782,27</v>
      </c>
      <c r="F1740" t="str">
        <f t="shared" si="1133"/>
        <v>$ 6782,27</v>
      </c>
      <c r="G1740" t="str">
        <f t="shared" si="1133"/>
        <v>$ 6782,27</v>
      </c>
      <c r="H1740" t="str">
        <f t="shared" si="1111"/>
        <v>$ 0,00</v>
      </c>
      <c r="I1740" t="str">
        <f t="shared" si="1129"/>
        <v>CABLES CONTACTOR ARRANQUE</v>
      </c>
      <c r="J1740" t="str">
        <f t="shared" si="1112"/>
        <v>1</v>
      </c>
      <c r="K1740" t="str">
        <f t="shared" si="1106"/>
        <v>0</v>
      </c>
      <c r="L1740" t="str">
        <f>"0,000"</f>
        <v>0,000</v>
      </c>
      <c r="M1740" t="str">
        <f t="shared" si="1113"/>
        <v xml:space="preserve"> </v>
      </c>
      <c r="N1740" t="str">
        <f t="shared" si="1130"/>
        <v>OYSTER</v>
      </c>
      <c r="O1740" t="str">
        <f t="shared" si="1131"/>
        <v>CABLES</v>
      </c>
      <c r="P1740" t="str">
        <f t="shared" si="1107"/>
        <v>0</v>
      </c>
      <c r="Q1740" t="str">
        <f t="shared" si="1107"/>
        <v>0</v>
      </c>
      <c r="R1740" t="str">
        <f t="shared" si="1108"/>
        <v>0,00</v>
      </c>
      <c r="S1740" t="str">
        <f t="shared" si="1108"/>
        <v>0,00</v>
      </c>
      <c r="T1740" t="str">
        <f t="shared" si="1110"/>
        <v xml:space="preserve"> </v>
      </c>
      <c r="U1740" t="str">
        <f t="shared" ref="U1740:U1803" si="1134">" "</f>
        <v xml:space="preserve"> </v>
      </c>
      <c r="V1740" t="str">
        <f>"0,000"</f>
        <v>0,000</v>
      </c>
      <c r="W1740" t="str">
        <f t="shared" si="1114"/>
        <v>Lista 4</v>
      </c>
      <c r="X1740" t="str">
        <f t="shared" si="1115"/>
        <v>Lista 5</v>
      </c>
      <c r="Y1740" t="str">
        <f t="shared" si="1116"/>
        <v>Oferta Gral.</v>
      </c>
      <c r="Z1740" t="str">
        <f t="shared" si="1117"/>
        <v>Rubro</v>
      </c>
      <c r="AA1740" t="str">
        <f t="shared" si="1118"/>
        <v>Cantidad por Bulto</v>
      </c>
      <c r="AB1740" t="str">
        <f t="shared" si="1119"/>
        <v>INNER</v>
      </c>
      <c r="AC1740" t="str">
        <f t="shared" si="1120"/>
        <v>Stock en Bultos</v>
      </c>
      <c r="AD1740" t="str">
        <f t="shared" si="1121"/>
        <v>SubDepósito</v>
      </c>
      <c r="AE1740" t="str">
        <f t="shared" si="1122"/>
        <v>Marca</v>
      </c>
      <c r="AF1740" t="str">
        <f t="shared" si="1123"/>
        <v>Super Rubro</v>
      </c>
      <c r="AG1740" t="str">
        <f t="shared" si="1124"/>
        <v>ComercioExterior</v>
      </c>
      <c r="AH1740" t="str">
        <f t="shared" si="1125"/>
        <v>PrecioFOB</v>
      </c>
      <c r="AI1740" t="str">
        <f t="shared" si="1126"/>
        <v>Monto II</v>
      </c>
      <c r="AJ1740" t="str">
        <f t="shared" si="1127"/>
        <v>Porcentaje II</v>
      </c>
      <c r="AK1740" t="str">
        <f t="shared" si="1128"/>
        <v>Foto</v>
      </c>
      <c r="AL1740" t="str">
        <f>"{\rtf1\ansi\ansicpg1252\deff0\deflang11274{\fonttbl{\f0\fnil\fcharset0 MS Sans Serif}} \viewkind4\uc1\pard\f0\fs16 CONTACTOR  FIAT DUCATO 92/95\par } "</f>
        <v xml:space="preserve">{\rtf1\ansi\ansicpg1252\deff0\deflang11274{\fonttbl{\f0\fnil\fcharset0 MS Sans Serif}} \viewkind4\uc1\pard\f0\fs16 CONTACTOR  FIAT DUCATO 92/95\par } </v>
      </c>
      <c r="AM1740" t="str">
        <f t="shared" si="1132"/>
        <v>-</v>
      </c>
    </row>
    <row r="1741" spans="1:39" x14ac:dyDescent="0.25">
      <c r="A1741" t="str">
        <f>"CON444"</f>
        <v>CON444</v>
      </c>
      <c r="B1741" t="str">
        <f>"CONTACTOR  FIAT REGATTA"</f>
        <v>CONTACTOR  FIAT REGATTA</v>
      </c>
      <c r="C1741" t="str">
        <f t="shared" si="1133"/>
        <v>$ 6782,27</v>
      </c>
      <c r="D1741" t="str">
        <f t="shared" si="1133"/>
        <v>$ 6782,27</v>
      </c>
      <c r="E1741" t="str">
        <f t="shared" si="1133"/>
        <v>$ 6782,27</v>
      </c>
      <c r="F1741" t="str">
        <f t="shared" si="1133"/>
        <v>$ 6782,27</v>
      </c>
      <c r="G1741" t="str">
        <f t="shared" si="1133"/>
        <v>$ 6782,27</v>
      </c>
      <c r="H1741" t="str">
        <f t="shared" si="1111"/>
        <v>$ 0,00</v>
      </c>
      <c r="I1741" t="str">
        <f t="shared" si="1129"/>
        <v>CABLES CONTACTOR ARRANQUE</v>
      </c>
      <c r="J1741" t="str">
        <f t="shared" si="1112"/>
        <v>1</v>
      </c>
      <c r="K1741" t="str">
        <f t="shared" si="1106"/>
        <v>0</v>
      </c>
      <c r="L1741" t="str">
        <f>"3,000"</f>
        <v>3,000</v>
      </c>
      <c r="M1741" t="str">
        <f t="shared" si="1113"/>
        <v xml:space="preserve"> </v>
      </c>
      <c r="N1741" t="str">
        <f t="shared" si="1130"/>
        <v>OYSTER</v>
      </c>
      <c r="O1741" t="str">
        <f t="shared" si="1131"/>
        <v>CABLES</v>
      </c>
      <c r="P1741" t="str">
        <f t="shared" si="1107"/>
        <v>0</v>
      </c>
      <c r="Q1741" t="str">
        <f t="shared" si="1107"/>
        <v>0</v>
      </c>
      <c r="R1741" t="str">
        <f t="shared" si="1108"/>
        <v>0,00</v>
      </c>
      <c r="S1741" t="str">
        <f t="shared" si="1108"/>
        <v>0,00</v>
      </c>
      <c r="T1741" t="str">
        <f t="shared" si="1110"/>
        <v xml:space="preserve"> </v>
      </c>
      <c r="U1741" t="str">
        <f t="shared" si="1134"/>
        <v xml:space="preserve"> </v>
      </c>
      <c r="V1741" t="str">
        <f>"3,000"</f>
        <v>3,000</v>
      </c>
      <c r="W1741" t="str">
        <f t="shared" si="1114"/>
        <v>Lista 4</v>
      </c>
      <c r="X1741" t="str">
        <f t="shared" si="1115"/>
        <v>Lista 5</v>
      </c>
      <c r="Y1741" t="str">
        <f t="shared" si="1116"/>
        <v>Oferta Gral.</v>
      </c>
      <c r="Z1741" t="str">
        <f t="shared" si="1117"/>
        <v>Rubro</v>
      </c>
      <c r="AA1741" t="str">
        <f t="shared" si="1118"/>
        <v>Cantidad por Bulto</v>
      </c>
      <c r="AB1741" t="str">
        <f t="shared" si="1119"/>
        <v>INNER</v>
      </c>
      <c r="AC1741" t="str">
        <f t="shared" si="1120"/>
        <v>Stock en Bultos</v>
      </c>
      <c r="AD1741" t="str">
        <f t="shared" si="1121"/>
        <v>SubDepósito</v>
      </c>
      <c r="AE1741" t="str">
        <f t="shared" si="1122"/>
        <v>Marca</v>
      </c>
      <c r="AF1741" t="str">
        <f t="shared" si="1123"/>
        <v>Super Rubro</v>
      </c>
      <c r="AG1741" t="str">
        <f t="shared" si="1124"/>
        <v>ComercioExterior</v>
      </c>
      <c r="AH1741" t="str">
        <f t="shared" si="1125"/>
        <v>PrecioFOB</v>
      </c>
      <c r="AI1741" t="str">
        <f t="shared" si="1126"/>
        <v>Monto II</v>
      </c>
      <c r="AJ1741" t="str">
        <f t="shared" si="1127"/>
        <v>Porcentaje II</v>
      </c>
      <c r="AK1741" t="str">
        <f t="shared" si="1128"/>
        <v>Foto</v>
      </c>
      <c r="AL1741" t="str">
        <f>"{\rtf1\ansi\ansicpg1252\deff0\deflang11274{\fonttbl{\f0\fnil\fcharset0 MS Sans Serif}} \viewkind4\uc1\pard\f0\fs16 CONTACTOR  FIAT REGATTA\par } "</f>
        <v xml:space="preserve">{\rtf1\ansi\ansicpg1252\deff0\deflang11274{\fonttbl{\f0\fnil\fcharset0 MS Sans Serif}} \viewkind4\uc1\pard\f0\fs16 CONTACTOR  FIAT REGATTA\par } </v>
      </c>
      <c r="AM1741" t="str">
        <f t="shared" si="1132"/>
        <v>-</v>
      </c>
    </row>
    <row r="1742" spans="1:39" x14ac:dyDescent="0.25">
      <c r="A1742" t="str">
        <f>"CON448"</f>
        <v>CON448</v>
      </c>
      <c r="B1742" t="str">
        <f>"CONTACTOR  FIAT UNO - DUNA"</f>
        <v>CONTACTOR  FIAT UNO - DUNA</v>
      </c>
      <c r="C1742" t="str">
        <f t="shared" si="1133"/>
        <v>$ 6782,27</v>
      </c>
      <c r="D1742" t="str">
        <f t="shared" si="1133"/>
        <v>$ 6782,27</v>
      </c>
      <c r="E1742" t="str">
        <f t="shared" si="1133"/>
        <v>$ 6782,27</v>
      </c>
      <c r="F1742" t="str">
        <f t="shared" si="1133"/>
        <v>$ 6782,27</v>
      </c>
      <c r="G1742" t="str">
        <f t="shared" si="1133"/>
        <v>$ 6782,27</v>
      </c>
      <c r="H1742" t="str">
        <f t="shared" si="1111"/>
        <v>$ 0,00</v>
      </c>
      <c r="I1742" t="str">
        <f t="shared" si="1129"/>
        <v>CABLES CONTACTOR ARRANQUE</v>
      </c>
      <c r="J1742" t="str">
        <f t="shared" si="1112"/>
        <v>1</v>
      </c>
      <c r="K1742" t="str">
        <f t="shared" si="1106"/>
        <v>0</v>
      </c>
      <c r="L1742" t="str">
        <f>"1,000"</f>
        <v>1,000</v>
      </c>
      <c r="M1742" t="str">
        <f t="shared" si="1113"/>
        <v xml:space="preserve"> </v>
      </c>
      <c r="N1742" t="str">
        <f t="shared" si="1130"/>
        <v>OYSTER</v>
      </c>
      <c r="O1742" t="str">
        <f t="shared" si="1131"/>
        <v>CABLES</v>
      </c>
      <c r="P1742" t="str">
        <f t="shared" si="1107"/>
        <v>0</v>
      </c>
      <c r="Q1742" t="str">
        <f t="shared" si="1107"/>
        <v>0</v>
      </c>
      <c r="R1742" t="str">
        <f t="shared" si="1108"/>
        <v>0,00</v>
      </c>
      <c r="S1742" t="str">
        <f t="shared" si="1108"/>
        <v>0,00</v>
      </c>
      <c r="T1742" t="str">
        <f t="shared" si="1110"/>
        <v xml:space="preserve"> </v>
      </c>
      <c r="U1742" t="str">
        <f t="shared" si="1134"/>
        <v xml:space="preserve"> </v>
      </c>
      <c r="V1742" t="str">
        <f>"1,000"</f>
        <v>1,000</v>
      </c>
      <c r="W1742" t="str">
        <f t="shared" si="1114"/>
        <v>Lista 4</v>
      </c>
      <c r="X1742" t="str">
        <f t="shared" si="1115"/>
        <v>Lista 5</v>
      </c>
      <c r="Y1742" t="str">
        <f t="shared" si="1116"/>
        <v>Oferta Gral.</v>
      </c>
      <c r="Z1742" t="str">
        <f t="shared" si="1117"/>
        <v>Rubro</v>
      </c>
      <c r="AA1742" t="str">
        <f t="shared" si="1118"/>
        <v>Cantidad por Bulto</v>
      </c>
      <c r="AB1742" t="str">
        <f t="shared" si="1119"/>
        <v>INNER</v>
      </c>
      <c r="AC1742" t="str">
        <f t="shared" si="1120"/>
        <v>Stock en Bultos</v>
      </c>
      <c r="AD1742" t="str">
        <f t="shared" si="1121"/>
        <v>SubDepósito</v>
      </c>
      <c r="AE1742" t="str">
        <f t="shared" si="1122"/>
        <v>Marca</v>
      </c>
      <c r="AF1742" t="str">
        <f t="shared" si="1123"/>
        <v>Super Rubro</v>
      </c>
      <c r="AG1742" t="str">
        <f t="shared" si="1124"/>
        <v>ComercioExterior</v>
      </c>
      <c r="AH1742" t="str">
        <f t="shared" si="1125"/>
        <v>PrecioFOB</v>
      </c>
      <c r="AI1742" t="str">
        <f t="shared" si="1126"/>
        <v>Monto II</v>
      </c>
      <c r="AJ1742" t="str">
        <f t="shared" si="1127"/>
        <v>Porcentaje II</v>
      </c>
      <c r="AK1742" t="str">
        <f t="shared" si="1128"/>
        <v>Foto</v>
      </c>
      <c r="AL1742" t="str">
        <f>"{\rtf1\ansi\ansicpg1252\deff0\deflang11274{\fonttbl{\f0\fnil\fcharset0 MS Sans Serif}} \viewkind4\uc1\pard\f0\fs16 CONTACTOR  FIAT UNO - DUNA\par } "</f>
        <v xml:space="preserve">{\rtf1\ansi\ansicpg1252\deff0\deflang11274{\fonttbl{\f0\fnil\fcharset0 MS Sans Serif}} \viewkind4\uc1\pard\f0\fs16 CONTACTOR  FIAT UNO - DUNA\par } </v>
      </c>
      <c r="AM1742" t="str">
        <f t="shared" si="1132"/>
        <v>-</v>
      </c>
    </row>
    <row r="1743" spans="1:39" x14ac:dyDescent="0.25">
      <c r="A1743" t="str">
        <f>"CON488"</f>
        <v>CON488</v>
      </c>
      <c r="B1743" t="str">
        <f>"CONTACTOR  PEUGEOT 106 – 405 ........... SISTEMA K7 (Y)"</f>
        <v>CONTACTOR  PEUGEOT 106 – 405 ........... SISTEMA K7 (Y)</v>
      </c>
      <c r="C1743" t="str">
        <f>"$ 13794,45"</f>
        <v>$ 13794,45</v>
      </c>
      <c r="D1743" t="str">
        <f>"$ 13794,45"</f>
        <v>$ 13794,45</v>
      </c>
      <c r="E1743" t="str">
        <f>"$ 13794,45"</f>
        <v>$ 13794,45</v>
      </c>
      <c r="F1743" t="str">
        <f>"$ 13794,45"</f>
        <v>$ 13794,45</v>
      </c>
      <c r="G1743" t="str">
        <f>"$ 13794,45"</f>
        <v>$ 13794,45</v>
      </c>
      <c r="H1743" t="str">
        <f t="shared" si="1111"/>
        <v>$ 0,00</v>
      </c>
      <c r="I1743" t="str">
        <f t="shared" si="1129"/>
        <v>CABLES CONTACTOR ARRANQUE</v>
      </c>
      <c r="J1743" t="str">
        <f t="shared" si="1112"/>
        <v>1</v>
      </c>
      <c r="K1743" t="str">
        <f t="shared" si="1106"/>
        <v>0</v>
      </c>
      <c r="L1743" t="str">
        <f>"0,000"</f>
        <v>0,000</v>
      </c>
      <c r="M1743" t="str">
        <f t="shared" si="1113"/>
        <v xml:space="preserve"> </v>
      </c>
      <c r="N1743" t="str">
        <f t="shared" si="1130"/>
        <v>OYSTER</v>
      </c>
      <c r="O1743" t="str">
        <f t="shared" si="1131"/>
        <v>CABLES</v>
      </c>
      <c r="P1743" t="str">
        <f t="shared" ref="P1743:Q1762" si="1135">"0"</f>
        <v>0</v>
      </c>
      <c r="Q1743" t="str">
        <f t="shared" si="1135"/>
        <v>0</v>
      </c>
      <c r="R1743" t="str">
        <f t="shared" ref="R1743:S1762" si="1136">"0,00"</f>
        <v>0,00</v>
      </c>
      <c r="S1743" t="str">
        <f t="shared" si="1136"/>
        <v>0,00</v>
      </c>
      <c r="T1743" t="str">
        <f t="shared" si="1110"/>
        <v xml:space="preserve"> </v>
      </c>
      <c r="U1743" t="str">
        <f t="shared" si="1134"/>
        <v xml:space="preserve"> </v>
      </c>
      <c r="V1743" t="str">
        <f>"0,000"</f>
        <v>0,000</v>
      </c>
      <c r="W1743" t="str">
        <f t="shared" si="1114"/>
        <v>Lista 4</v>
      </c>
      <c r="X1743" t="str">
        <f t="shared" si="1115"/>
        <v>Lista 5</v>
      </c>
      <c r="Y1743" t="str">
        <f t="shared" si="1116"/>
        <v>Oferta Gral.</v>
      </c>
      <c r="Z1743" t="str">
        <f t="shared" si="1117"/>
        <v>Rubro</v>
      </c>
      <c r="AA1743" t="str">
        <f t="shared" si="1118"/>
        <v>Cantidad por Bulto</v>
      </c>
      <c r="AB1743" t="str">
        <f t="shared" si="1119"/>
        <v>INNER</v>
      </c>
      <c r="AC1743" t="str">
        <f t="shared" si="1120"/>
        <v>Stock en Bultos</v>
      </c>
      <c r="AD1743" t="str">
        <f t="shared" si="1121"/>
        <v>SubDepósito</v>
      </c>
      <c r="AE1743" t="str">
        <f t="shared" si="1122"/>
        <v>Marca</v>
      </c>
      <c r="AF1743" t="str">
        <f t="shared" si="1123"/>
        <v>Super Rubro</v>
      </c>
      <c r="AG1743" t="str">
        <f t="shared" si="1124"/>
        <v>ComercioExterior</v>
      </c>
      <c r="AH1743" t="str">
        <f t="shared" si="1125"/>
        <v>PrecioFOB</v>
      </c>
      <c r="AI1743" t="str">
        <f t="shared" si="1126"/>
        <v>Monto II</v>
      </c>
      <c r="AJ1743" t="str">
        <f t="shared" si="1127"/>
        <v>Porcentaje II</v>
      </c>
      <c r="AK1743" t="str">
        <f t="shared" si="1128"/>
        <v>Foto</v>
      </c>
      <c r="AL1743" t="str">
        <f>"{\rtf1\ansi\ansicpg1252\deff0\deflang11274{\fonttbl{\f0\fnil\fcharset0 MS Sans Serif}} \viewkind4\uc1\pard\f0\fs16 CONTACTOR  PEUGEOT 106 \endash  405 ........... SISTEMA K7 (Y)\par } "</f>
        <v xml:space="preserve">{\rtf1\ansi\ansicpg1252\deff0\deflang11274{\fonttbl{\f0\fnil\fcharset0 MS Sans Serif}} \viewkind4\uc1\pard\f0\fs16 CONTACTOR  PEUGEOT 106 \endash  405 ........... SISTEMA K7 (Y)\par } </v>
      </c>
      <c r="AM1743" t="str">
        <f t="shared" si="1132"/>
        <v>-</v>
      </c>
    </row>
    <row r="1744" spans="1:39" x14ac:dyDescent="0.25">
      <c r="A1744" t="str">
        <f>"CON456"</f>
        <v>CON456</v>
      </c>
      <c r="B1744" t="str">
        <f>"CONTACTOR  PEUGEOT 205"</f>
        <v>CONTACTOR  PEUGEOT 205</v>
      </c>
      <c r="C1744" t="str">
        <f>"$ 11081,54"</f>
        <v>$ 11081,54</v>
      </c>
      <c r="D1744" t="str">
        <f>"$ 11081,54"</f>
        <v>$ 11081,54</v>
      </c>
      <c r="E1744" t="str">
        <f>"$ 11081,54"</f>
        <v>$ 11081,54</v>
      </c>
      <c r="F1744" t="str">
        <f>"$ 11081,54"</f>
        <v>$ 11081,54</v>
      </c>
      <c r="G1744" t="str">
        <f>"$ 11081,54"</f>
        <v>$ 11081,54</v>
      </c>
      <c r="H1744" t="str">
        <f t="shared" si="1111"/>
        <v>$ 0,00</v>
      </c>
      <c r="I1744" t="str">
        <f t="shared" si="1129"/>
        <v>CABLES CONTACTOR ARRANQUE</v>
      </c>
      <c r="J1744" t="str">
        <f t="shared" si="1112"/>
        <v>1</v>
      </c>
      <c r="K1744" t="str">
        <f t="shared" si="1106"/>
        <v>0</v>
      </c>
      <c r="L1744" t="str">
        <f>"2,000"</f>
        <v>2,000</v>
      </c>
      <c r="M1744" t="str">
        <f t="shared" si="1113"/>
        <v xml:space="preserve"> </v>
      </c>
      <c r="N1744" t="str">
        <f t="shared" si="1130"/>
        <v>OYSTER</v>
      </c>
      <c r="O1744" t="str">
        <f t="shared" si="1131"/>
        <v>CABLES</v>
      </c>
      <c r="P1744" t="str">
        <f t="shared" si="1135"/>
        <v>0</v>
      </c>
      <c r="Q1744" t="str">
        <f t="shared" si="1135"/>
        <v>0</v>
      </c>
      <c r="R1744" t="str">
        <f t="shared" si="1136"/>
        <v>0,00</v>
      </c>
      <c r="S1744" t="str">
        <f t="shared" si="1136"/>
        <v>0,00</v>
      </c>
      <c r="T1744" t="str">
        <f t="shared" si="1110"/>
        <v xml:space="preserve"> </v>
      </c>
      <c r="U1744" t="str">
        <f t="shared" si="1134"/>
        <v xml:space="preserve"> </v>
      </c>
      <c r="V1744" t="str">
        <f>"2,000"</f>
        <v>2,000</v>
      </c>
      <c r="W1744" t="str">
        <f t="shared" si="1114"/>
        <v>Lista 4</v>
      </c>
      <c r="X1744" t="str">
        <f t="shared" si="1115"/>
        <v>Lista 5</v>
      </c>
      <c r="Y1744" t="str">
        <f t="shared" si="1116"/>
        <v>Oferta Gral.</v>
      </c>
      <c r="Z1744" t="str">
        <f t="shared" si="1117"/>
        <v>Rubro</v>
      </c>
      <c r="AA1744" t="str">
        <f t="shared" si="1118"/>
        <v>Cantidad por Bulto</v>
      </c>
      <c r="AB1744" t="str">
        <f t="shared" si="1119"/>
        <v>INNER</v>
      </c>
      <c r="AC1744" t="str">
        <f t="shared" si="1120"/>
        <v>Stock en Bultos</v>
      </c>
      <c r="AD1744" t="str">
        <f t="shared" si="1121"/>
        <v>SubDepósito</v>
      </c>
      <c r="AE1744" t="str">
        <f t="shared" si="1122"/>
        <v>Marca</v>
      </c>
      <c r="AF1744" t="str">
        <f t="shared" si="1123"/>
        <v>Super Rubro</v>
      </c>
      <c r="AG1744" t="str">
        <f t="shared" si="1124"/>
        <v>ComercioExterior</v>
      </c>
      <c r="AH1744" t="str">
        <f t="shared" si="1125"/>
        <v>PrecioFOB</v>
      </c>
      <c r="AI1744" t="str">
        <f t="shared" si="1126"/>
        <v>Monto II</v>
      </c>
      <c r="AJ1744" t="str">
        <f t="shared" si="1127"/>
        <v>Porcentaje II</v>
      </c>
      <c r="AK1744" t="str">
        <f t="shared" si="1128"/>
        <v>Foto</v>
      </c>
      <c r="AL1744" t="str">
        <f>"{\rtf1\ansi\ansicpg1252\deff0\deflang11274{\fonttbl{\f0\fnil\fcharset0 MS Sans Serif}} \viewkind4\uc1\pard\f0\fs16 CONTACTOR  PEUGEOT 205\par } "</f>
        <v xml:space="preserve">{\rtf1\ansi\ansicpg1252\deff0\deflang11274{\fonttbl{\f0\fnil\fcharset0 MS Sans Serif}} \viewkind4\uc1\pard\f0\fs16 CONTACTOR  PEUGEOT 205\par } </v>
      </c>
      <c r="AM1744" t="str">
        <f t="shared" si="1132"/>
        <v>-</v>
      </c>
    </row>
    <row r="1745" spans="1:39" x14ac:dyDescent="0.25">
      <c r="A1745" t="str">
        <f>"CON489"</f>
        <v>CON489</v>
      </c>
      <c r="B1745" t="str">
        <f>"CONTACTOR  PEUGEOT 206 ................. SISTEMA K7 (Y)"</f>
        <v>CONTACTOR  PEUGEOT 206 ................. SISTEMA K7 (Y)</v>
      </c>
      <c r="C1745" t="str">
        <f>"$ 13794,45"</f>
        <v>$ 13794,45</v>
      </c>
      <c r="D1745" t="str">
        <f>"$ 13794,45"</f>
        <v>$ 13794,45</v>
      </c>
      <c r="E1745" t="str">
        <f>"$ 13794,45"</f>
        <v>$ 13794,45</v>
      </c>
      <c r="F1745" t="str">
        <f>"$ 13794,45"</f>
        <v>$ 13794,45</v>
      </c>
      <c r="G1745" t="str">
        <f>"$ 13794,45"</f>
        <v>$ 13794,45</v>
      </c>
      <c r="H1745" t="str">
        <f t="shared" si="1111"/>
        <v>$ 0,00</v>
      </c>
      <c r="I1745" t="str">
        <f t="shared" si="1129"/>
        <v>CABLES CONTACTOR ARRANQUE</v>
      </c>
      <c r="J1745" t="str">
        <f t="shared" si="1112"/>
        <v>1</v>
      </c>
      <c r="K1745" t="str">
        <f t="shared" si="1106"/>
        <v>0</v>
      </c>
      <c r="L1745" t="str">
        <f>"0,000"</f>
        <v>0,000</v>
      </c>
      <c r="M1745" t="str">
        <f t="shared" si="1113"/>
        <v xml:space="preserve"> </v>
      </c>
      <c r="N1745" t="str">
        <f t="shared" si="1130"/>
        <v>OYSTER</v>
      </c>
      <c r="O1745" t="str">
        <f t="shared" si="1131"/>
        <v>CABLES</v>
      </c>
      <c r="P1745" t="str">
        <f t="shared" si="1135"/>
        <v>0</v>
      </c>
      <c r="Q1745" t="str">
        <f t="shared" si="1135"/>
        <v>0</v>
      </c>
      <c r="R1745" t="str">
        <f t="shared" si="1136"/>
        <v>0,00</v>
      </c>
      <c r="S1745" t="str">
        <f t="shared" si="1136"/>
        <v>0,00</v>
      </c>
      <c r="T1745" t="str">
        <f t="shared" si="1110"/>
        <v xml:space="preserve"> </v>
      </c>
      <c r="U1745" t="str">
        <f t="shared" si="1134"/>
        <v xml:space="preserve"> </v>
      </c>
      <c r="V1745" t="str">
        <f>"0,000"</f>
        <v>0,000</v>
      </c>
      <c r="W1745" t="str">
        <f t="shared" si="1114"/>
        <v>Lista 4</v>
      </c>
      <c r="X1745" t="str">
        <f t="shared" si="1115"/>
        <v>Lista 5</v>
      </c>
      <c r="Y1745" t="str">
        <f t="shared" si="1116"/>
        <v>Oferta Gral.</v>
      </c>
      <c r="Z1745" t="str">
        <f t="shared" si="1117"/>
        <v>Rubro</v>
      </c>
      <c r="AA1745" t="str">
        <f t="shared" si="1118"/>
        <v>Cantidad por Bulto</v>
      </c>
      <c r="AB1745" t="str">
        <f t="shared" si="1119"/>
        <v>INNER</v>
      </c>
      <c r="AC1745" t="str">
        <f t="shared" si="1120"/>
        <v>Stock en Bultos</v>
      </c>
      <c r="AD1745" t="str">
        <f t="shared" si="1121"/>
        <v>SubDepósito</v>
      </c>
      <c r="AE1745" t="str">
        <f t="shared" si="1122"/>
        <v>Marca</v>
      </c>
      <c r="AF1745" t="str">
        <f t="shared" si="1123"/>
        <v>Super Rubro</v>
      </c>
      <c r="AG1745" t="str">
        <f t="shared" si="1124"/>
        <v>ComercioExterior</v>
      </c>
      <c r="AH1745" t="str">
        <f t="shared" si="1125"/>
        <v>PrecioFOB</v>
      </c>
      <c r="AI1745" t="str">
        <f t="shared" si="1126"/>
        <v>Monto II</v>
      </c>
      <c r="AJ1745" t="str">
        <f t="shared" si="1127"/>
        <v>Porcentaje II</v>
      </c>
      <c r="AK1745" t="str">
        <f t="shared" si="1128"/>
        <v>Foto</v>
      </c>
      <c r="AL1745" t="str">
        <f>"{\rtf1\ansi\ansicpg1252\deff0\deflang11274{\fonttbl{\f0\fnil\fcharset0 MS Sans Serif}} \viewkind4\uc1\pard\f0\fs16 CONTACTOR  PEUGEOT 206 ................. SISTEMA K7 (Y)\par } "</f>
        <v xml:space="preserve">{\rtf1\ansi\ansicpg1252\deff0\deflang11274{\fonttbl{\f0\fnil\fcharset0 MS Sans Serif}} \viewkind4\uc1\pard\f0\fs16 CONTACTOR  PEUGEOT 206 ................. SISTEMA K7 (Y)\par } </v>
      </c>
      <c r="AM1745" t="str">
        <f t="shared" si="1132"/>
        <v>-</v>
      </c>
    </row>
    <row r="1746" spans="1:39" x14ac:dyDescent="0.25">
      <c r="A1746" t="str">
        <f>"CON491"</f>
        <v>CON491</v>
      </c>
      <c r="B1746" t="str">
        <f>"CONTACTOR  PEUGEOT 206 MULTIPLEXADO 2006/"</f>
        <v>CONTACTOR  PEUGEOT 206 MULTIPLEXADO 2006/</v>
      </c>
      <c r="C1746" t="str">
        <f>"$ 13610,53"</f>
        <v>$ 13610,53</v>
      </c>
      <c r="D1746" t="str">
        <f>"$ 13610,53"</f>
        <v>$ 13610,53</v>
      </c>
      <c r="E1746" t="str">
        <f>"$ 13610,53"</f>
        <v>$ 13610,53</v>
      </c>
      <c r="F1746" t="str">
        <f>"$ 13610,53"</f>
        <v>$ 13610,53</v>
      </c>
      <c r="G1746" t="str">
        <f>"$ 13610,53"</f>
        <v>$ 13610,53</v>
      </c>
      <c r="H1746" t="str">
        <f t="shared" si="1111"/>
        <v>$ 0,00</v>
      </c>
      <c r="I1746" t="str">
        <f t="shared" si="1129"/>
        <v>CABLES CONTACTOR ARRANQUE</v>
      </c>
      <c r="J1746" t="str">
        <f t="shared" si="1112"/>
        <v>1</v>
      </c>
      <c r="K1746" t="str">
        <f t="shared" si="1106"/>
        <v>0</v>
      </c>
      <c r="L1746" t="str">
        <f>"1,000"</f>
        <v>1,000</v>
      </c>
      <c r="M1746" t="str">
        <f t="shared" si="1113"/>
        <v xml:space="preserve"> </v>
      </c>
      <c r="N1746" t="str">
        <f t="shared" si="1130"/>
        <v>OYSTER</v>
      </c>
      <c r="O1746" t="str">
        <f t="shared" si="1131"/>
        <v>CABLES</v>
      </c>
      <c r="P1746" t="str">
        <f t="shared" si="1135"/>
        <v>0</v>
      </c>
      <c r="Q1746" t="str">
        <f t="shared" si="1135"/>
        <v>0</v>
      </c>
      <c r="R1746" t="str">
        <f t="shared" si="1136"/>
        <v>0,00</v>
      </c>
      <c r="S1746" t="str">
        <f t="shared" si="1136"/>
        <v>0,00</v>
      </c>
      <c r="T1746" t="str">
        <f t="shared" si="1110"/>
        <v xml:space="preserve"> </v>
      </c>
      <c r="U1746" t="str">
        <f t="shared" si="1134"/>
        <v xml:space="preserve"> </v>
      </c>
      <c r="V1746" t="str">
        <f>"1,000"</f>
        <v>1,000</v>
      </c>
      <c r="W1746" t="str">
        <f t="shared" si="1114"/>
        <v>Lista 4</v>
      </c>
      <c r="X1746" t="str">
        <f t="shared" si="1115"/>
        <v>Lista 5</v>
      </c>
      <c r="Y1746" t="str">
        <f t="shared" si="1116"/>
        <v>Oferta Gral.</v>
      </c>
      <c r="Z1746" t="str">
        <f t="shared" si="1117"/>
        <v>Rubro</v>
      </c>
      <c r="AA1746" t="str">
        <f t="shared" si="1118"/>
        <v>Cantidad por Bulto</v>
      </c>
      <c r="AB1746" t="str">
        <f t="shared" si="1119"/>
        <v>INNER</v>
      </c>
      <c r="AC1746" t="str">
        <f t="shared" si="1120"/>
        <v>Stock en Bultos</v>
      </c>
      <c r="AD1746" t="str">
        <f t="shared" si="1121"/>
        <v>SubDepósito</v>
      </c>
      <c r="AE1746" t="str">
        <f t="shared" si="1122"/>
        <v>Marca</v>
      </c>
      <c r="AF1746" t="str">
        <f t="shared" si="1123"/>
        <v>Super Rubro</v>
      </c>
      <c r="AG1746" t="str">
        <f t="shared" si="1124"/>
        <v>ComercioExterior</v>
      </c>
      <c r="AH1746" t="str">
        <f t="shared" si="1125"/>
        <v>PrecioFOB</v>
      </c>
      <c r="AI1746" t="str">
        <f t="shared" si="1126"/>
        <v>Monto II</v>
      </c>
      <c r="AJ1746" t="str">
        <f t="shared" si="1127"/>
        <v>Porcentaje II</v>
      </c>
      <c r="AK1746" t="str">
        <f t="shared" si="1128"/>
        <v>Foto</v>
      </c>
      <c r="AL1746" t="str">
        <f>"{\rtf1\ansi\ansicpg1252\deff0\deflang11274{\fonttbl{\f0\fnil\fcharset0 MS Sans Serif}} \viewkind4\uc1\pard\f0\fs16 CONTACTOR  PEUGEOT 206 MULTIPLEXADO 2006/\par } "</f>
        <v xml:space="preserve">{\rtf1\ansi\ansicpg1252\deff0\deflang11274{\fonttbl{\f0\fnil\fcharset0 MS Sans Serif}} \viewkind4\uc1\pard\f0\fs16 CONTACTOR  PEUGEOT 206 MULTIPLEXADO 2006/\par } </v>
      </c>
      <c r="AM1746" t="str">
        <f t="shared" si="1132"/>
        <v>-</v>
      </c>
    </row>
    <row r="1747" spans="1:39" x14ac:dyDescent="0.25">
      <c r="A1747" t="str">
        <f>"CON487"</f>
        <v>CON487</v>
      </c>
      <c r="B1747" t="str">
        <f>"CONTACTOR  PEUGEOT 306 ................. SISTEMA K7 (Y)"</f>
        <v>CONTACTOR  PEUGEOT 306 ................. SISTEMA K7 (Y)</v>
      </c>
      <c r="C1747" t="str">
        <f>"$ 13794,45"</f>
        <v>$ 13794,45</v>
      </c>
      <c r="D1747" t="str">
        <f>"$ 13794,45"</f>
        <v>$ 13794,45</v>
      </c>
      <c r="E1747" t="str">
        <f>"$ 13794,45"</f>
        <v>$ 13794,45</v>
      </c>
      <c r="F1747" t="str">
        <f>"$ 13794,45"</f>
        <v>$ 13794,45</v>
      </c>
      <c r="G1747" t="str">
        <f>"$ 13794,45"</f>
        <v>$ 13794,45</v>
      </c>
      <c r="H1747" t="str">
        <f t="shared" si="1111"/>
        <v>$ 0,00</v>
      </c>
      <c r="I1747" t="str">
        <f t="shared" si="1129"/>
        <v>CABLES CONTACTOR ARRANQUE</v>
      </c>
      <c r="J1747" t="str">
        <f t="shared" si="1112"/>
        <v>1</v>
      </c>
      <c r="K1747" t="str">
        <f t="shared" si="1106"/>
        <v>0</v>
      </c>
      <c r="L1747" t="str">
        <f>"1,000"</f>
        <v>1,000</v>
      </c>
      <c r="M1747" t="str">
        <f t="shared" si="1113"/>
        <v xml:space="preserve"> </v>
      </c>
      <c r="N1747" t="str">
        <f t="shared" si="1130"/>
        <v>OYSTER</v>
      </c>
      <c r="O1747" t="str">
        <f t="shared" si="1131"/>
        <v>CABLES</v>
      </c>
      <c r="P1747" t="str">
        <f t="shared" si="1135"/>
        <v>0</v>
      </c>
      <c r="Q1747" t="str">
        <f t="shared" si="1135"/>
        <v>0</v>
      </c>
      <c r="R1747" t="str">
        <f t="shared" si="1136"/>
        <v>0,00</v>
      </c>
      <c r="S1747" t="str">
        <f t="shared" si="1136"/>
        <v>0,00</v>
      </c>
      <c r="T1747" t="str">
        <f t="shared" si="1110"/>
        <v xml:space="preserve"> </v>
      </c>
      <c r="U1747" t="str">
        <f t="shared" si="1134"/>
        <v xml:space="preserve"> </v>
      </c>
      <c r="V1747" t="str">
        <f>"1,000"</f>
        <v>1,000</v>
      </c>
      <c r="W1747" t="str">
        <f t="shared" si="1114"/>
        <v>Lista 4</v>
      </c>
      <c r="X1747" t="str">
        <f t="shared" si="1115"/>
        <v>Lista 5</v>
      </c>
      <c r="Y1747" t="str">
        <f t="shared" si="1116"/>
        <v>Oferta Gral.</v>
      </c>
      <c r="Z1747" t="str">
        <f t="shared" si="1117"/>
        <v>Rubro</v>
      </c>
      <c r="AA1747" t="str">
        <f t="shared" si="1118"/>
        <v>Cantidad por Bulto</v>
      </c>
      <c r="AB1747" t="str">
        <f t="shared" si="1119"/>
        <v>INNER</v>
      </c>
      <c r="AC1747" t="str">
        <f t="shared" si="1120"/>
        <v>Stock en Bultos</v>
      </c>
      <c r="AD1747" t="str">
        <f t="shared" si="1121"/>
        <v>SubDepósito</v>
      </c>
      <c r="AE1747" t="str">
        <f t="shared" si="1122"/>
        <v>Marca</v>
      </c>
      <c r="AF1747" t="str">
        <f t="shared" si="1123"/>
        <v>Super Rubro</v>
      </c>
      <c r="AG1747" t="str">
        <f t="shared" si="1124"/>
        <v>ComercioExterior</v>
      </c>
      <c r="AH1747" t="str">
        <f t="shared" si="1125"/>
        <v>PrecioFOB</v>
      </c>
      <c r="AI1747" t="str">
        <f t="shared" si="1126"/>
        <v>Monto II</v>
      </c>
      <c r="AJ1747" t="str">
        <f t="shared" si="1127"/>
        <v>Porcentaje II</v>
      </c>
      <c r="AK1747" t="str">
        <f t="shared" si="1128"/>
        <v>Foto</v>
      </c>
      <c r="AL1747" t="str">
        <f>"{\rtf1\ansi\ansicpg1252\deff0\deflang11274{\fonttbl{\f0\fnil\fcharset0 MS Sans Serif}} \viewkind4\uc1\pard\f0\fs16 CONTACTOR  PEUGEOT 306 ................. SISTEMA K7 (Y)\par } "</f>
        <v xml:space="preserve">{\rtf1\ansi\ansicpg1252\deff0\deflang11274{\fonttbl{\f0\fnil\fcharset0 MS Sans Serif}} \viewkind4\uc1\pard\f0\fs16 CONTACTOR  PEUGEOT 306 ................. SISTEMA K7 (Y)\par } </v>
      </c>
      <c r="AM1747" t="str">
        <f t="shared" si="1132"/>
        <v>-</v>
      </c>
    </row>
    <row r="1748" spans="1:39" x14ac:dyDescent="0.25">
      <c r="A1748" t="str">
        <f>"CON455"</f>
        <v>CON455</v>
      </c>
      <c r="B1748" t="str">
        <f>"CONTACTOR  PEUGEOT 405 HASTA ’93"</f>
        <v>CONTACTOR  PEUGEOT 405 HASTA ’93</v>
      </c>
      <c r="C1748" t="str">
        <f>"$ 6000,59"</f>
        <v>$ 6000,59</v>
      </c>
      <c r="D1748" t="str">
        <f>"$ 6000,59"</f>
        <v>$ 6000,59</v>
      </c>
      <c r="E1748" t="str">
        <f>"$ 6000,59"</f>
        <v>$ 6000,59</v>
      </c>
      <c r="F1748" t="str">
        <f>"$ 6000,59"</f>
        <v>$ 6000,59</v>
      </c>
      <c r="G1748" t="str">
        <f>"$ 6000,59"</f>
        <v>$ 6000,59</v>
      </c>
      <c r="H1748" t="str">
        <f t="shared" si="1111"/>
        <v>$ 0,00</v>
      </c>
      <c r="I1748" t="str">
        <f t="shared" si="1129"/>
        <v>CABLES CONTACTOR ARRANQUE</v>
      </c>
      <c r="J1748" t="str">
        <f t="shared" si="1112"/>
        <v>1</v>
      </c>
      <c r="K1748" t="str">
        <f t="shared" si="1106"/>
        <v>0</v>
      </c>
      <c r="L1748" t="str">
        <f>"0,000"</f>
        <v>0,000</v>
      </c>
      <c r="M1748" t="str">
        <f t="shared" si="1113"/>
        <v xml:space="preserve"> </v>
      </c>
      <c r="N1748" t="str">
        <f t="shared" si="1130"/>
        <v>OYSTER</v>
      </c>
      <c r="O1748" t="str">
        <f t="shared" si="1131"/>
        <v>CABLES</v>
      </c>
      <c r="P1748" t="str">
        <f t="shared" si="1135"/>
        <v>0</v>
      </c>
      <c r="Q1748" t="str">
        <f t="shared" si="1135"/>
        <v>0</v>
      </c>
      <c r="R1748" t="str">
        <f t="shared" si="1136"/>
        <v>0,00</v>
      </c>
      <c r="S1748" t="str">
        <f t="shared" si="1136"/>
        <v>0,00</v>
      </c>
      <c r="T1748" t="str">
        <f t="shared" si="1110"/>
        <v xml:space="preserve"> </v>
      </c>
      <c r="U1748" t="str">
        <f t="shared" si="1134"/>
        <v xml:space="preserve"> </v>
      </c>
      <c r="V1748" t="str">
        <f>"0,000"</f>
        <v>0,000</v>
      </c>
      <c r="W1748" t="str">
        <f t="shared" si="1114"/>
        <v>Lista 4</v>
      </c>
      <c r="X1748" t="str">
        <f t="shared" si="1115"/>
        <v>Lista 5</v>
      </c>
      <c r="Y1748" t="str">
        <f t="shared" si="1116"/>
        <v>Oferta Gral.</v>
      </c>
      <c r="Z1748" t="str">
        <f t="shared" si="1117"/>
        <v>Rubro</v>
      </c>
      <c r="AA1748" t="str">
        <f t="shared" si="1118"/>
        <v>Cantidad por Bulto</v>
      </c>
      <c r="AB1748" t="str">
        <f t="shared" si="1119"/>
        <v>INNER</v>
      </c>
      <c r="AC1748" t="str">
        <f t="shared" si="1120"/>
        <v>Stock en Bultos</v>
      </c>
      <c r="AD1748" t="str">
        <f t="shared" si="1121"/>
        <v>SubDepósito</v>
      </c>
      <c r="AE1748" t="str">
        <f t="shared" si="1122"/>
        <v>Marca</v>
      </c>
      <c r="AF1748" t="str">
        <f t="shared" si="1123"/>
        <v>Super Rubro</v>
      </c>
      <c r="AG1748" t="str">
        <f t="shared" si="1124"/>
        <v>ComercioExterior</v>
      </c>
      <c r="AH1748" t="str">
        <f t="shared" si="1125"/>
        <v>PrecioFOB</v>
      </c>
      <c r="AI1748" t="str">
        <f t="shared" si="1126"/>
        <v>Monto II</v>
      </c>
      <c r="AJ1748" t="str">
        <f t="shared" si="1127"/>
        <v>Porcentaje II</v>
      </c>
      <c r="AK1748" t="str">
        <f t="shared" si="1128"/>
        <v>Foto</v>
      </c>
      <c r="AL1748" t="str">
        <f>"{\rtf1\ansi\ansicpg1252\deff0\deflang11274{\fonttbl{\f0\fnil\fcharset0 MS Sans Serif}} \viewkind4\uc1\pard\f0\fs16 CONTACTOR  PEUGEOT 405 HASTA \rquote 93\par } "</f>
        <v xml:space="preserve">{\rtf1\ansi\ansicpg1252\deff0\deflang11274{\fonttbl{\f0\fnil\fcharset0 MS Sans Serif}} \viewkind4\uc1\pard\f0\fs16 CONTACTOR  PEUGEOT 405 HASTA \rquote 93\par } </v>
      </c>
      <c r="AM1748" t="str">
        <f t="shared" si="1132"/>
        <v>-</v>
      </c>
    </row>
    <row r="1749" spans="1:39" x14ac:dyDescent="0.25">
      <c r="A1749" t="str">
        <f>"CON451"</f>
        <v>CON451</v>
      </c>
      <c r="B1749" t="str">
        <f>"CONTACTOR  PEUGEOT 504 90/93"</f>
        <v>CONTACTOR  PEUGEOT 504 90/93</v>
      </c>
      <c r="C1749" t="str">
        <f>"$ 4851,05"</f>
        <v>$ 4851,05</v>
      </c>
      <c r="D1749" t="str">
        <f>"$ 4851,05"</f>
        <v>$ 4851,05</v>
      </c>
      <c r="E1749" t="str">
        <f>"$ 4851,05"</f>
        <v>$ 4851,05</v>
      </c>
      <c r="F1749" t="str">
        <f>"$ 4851,05"</f>
        <v>$ 4851,05</v>
      </c>
      <c r="G1749" t="str">
        <f>"$ 4851,05"</f>
        <v>$ 4851,05</v>
      </c>
      <c r="H1749" t="str">
        <f t="shared" si="1111"/>
        <v>$ 0,00</v>
      </c>
      <c r="I1749" t="str">
        <f t="shared" si="1129"/>
        <v>CABLES CONTACTOR ARRANQUE</v>
      </c>
      <c r="J1749" t="str">
        <f t="shared" si="1112"/>
        <v>1</v>
      </c>
      <c r="K1749" t="str">
        <f t="shared" si="1106"/>
        <v>0</v>
      </c>
      <c r="L1749" t="str">
        <f>"0,000"</f>
        <v>0,000</v>
      </c>
      <c r="M1749" t="str">
        <f t="shared" si="1113"/>
        <v xml:space="preserve"> </v>
      </c>
      <c r="N1749" t="str">
        <f t="shared" si="1130"/>
        <v>OYSTER</v>
      </c>
      <c r="O1749" t="str">
        <f t="shared" si="1131"/>
        <v>CABLES</v>
      </c>
      <c r="P1749" t="str">
        <f t="shared" si="1135"/>
        <v>0</v>
      </c>
      <c r="Q1749" t="str">
        <f t="shared" si="1135"/>
        <v>0</v>
      </c>
      <c r="R1749" t="str">
        <f t="shared" si="1136"/>
        <v>0,00</v>
      </c>
      <c r="S1749" t="str">
        <f t="shared" si="1136"/>
        <v>0,00</v>
      </c>
      <c r="T1749" t="str">
        <f t="shared" si="1110"/>
        <v xml:space="preserve"> </v>
      </c>
      <c r="U1749" t="str">
        <f t="shared" si="1134"/>
        <v xml:space="preserve"> </v>
      </c>
      <c r="V1749" t="str">
        <f>"0,000"</f>
        <v>0,000</v>
      </c>
      <c r="W1749" t="str">
        <f t="shared" si="1114"/>
        <v>Lista 4</v>
      </c>
      <c r="X1749" t="str">
        <f t="shared" si="1115"/>
        <v>Lista 5</v>
      </c>
      <c r="Y1749" t="str">
        <f t="shared" si="1116"/>
        <v>Oferta Gral.</v>
      </c>
      <c r="Z1749" t="str">
        <f t="shared" si="1117"/>
        <v>Rubro</v>
      </c>
      <c r="AA1749" t="str">
        <f t="shared" si="1118"/>
        <v>Cantidad por Bulto</v>
      </c>
      <c r="AB1749" t="str">
        <f t="shared" si="1119"/>
        <v>INNER</v>
      </c>
      <c r="AC1749" t="str">
        <f t="shared" si="1120"/>
        <v>Stock en Bultos</v>
      </c>
      <c r="AD1749" t="str">
        <f t="shared" si="1121"/>
        <v>SubDepósito</v>
      </c>
      <c r="AE1749" t="str">
        <f t="shared" si="1122"/>
        <v>Marca</v>
      </c>
      <c r="AF1749" t="str">
        <f t="shared" si="1123"/>
        <v>Super Rubro</v>
      </c>
      <c r="AG1749" t="str">
        <f t="shared" si="1124"/>
        <v>ComercioExterior</v>
      </c>
      <c r="AH1749" t="str">
        <f t="shared" si="1125"/>
        <v>PrecioFOB</v>
      </c>
      <c r="AI1749" t="str">
        <f t="shared" si="1126"/>
        <v>Monto II</v>
      </c>
      <c r="AJ1749" t="str">
        <f t="shared" si="1127"/>
        <v>Porcentaje II</v>
      </c>
      <c r="AK1749" t="str">
        <f t="shared" si="1128"/>
        <v>Foto</v>
      </c>
      <c r="AL1749" t="str">
        <f>"{\rtf1\ansi\ansicpg1252\deff0\deflang11274{\fonttbl{\f0\fnil\fcharset0 MS Sans Serif}} \viewkind4\uc1\pard\f0\fs16 CONTACTOR  PEUGEOT 504 90/93\par } "</f>
        <v xml:space="preserve">{\rtf1\ansi\ansicpg1252\deff0\deflang11274{\fonttbl{\f0\fnil\fcharset0 MS Sans Serif}} \viewkind4\uc1\pard\f0\fs16 CONTACTOR  PEUGEOT 504 90/93\par } </v>
      </c>
      <c r="AM1749" t="str">
        <f t="shared" si="1132"/>
        <v>-</v>
      </c>
    </row>
    <row r="1750" spans="1:39" x14ac:dyDescent="0.25">
      <c r="A1750" t="str">
        <f>"CON445"</f>
        <v>CON445</v>
      </c>
      <c r="B1750" t="str">
        <f>"CONTACTOR  PEUGEOT 504 SALON80/89PICK-UP90/93"</f>
        <v>CONTACTOR  PEUGEOT 504 SALON80/89PICK-UP90/93</v>
      </c>
      <c r="C1750" t="str">
        <f>"$ 5793,67"</f>
        <v>$ 5793,67</v>
      </c>
      <c r="D1750" t="str">
        <f>"$ 5793,67"</f>
        <v>$ 5793,67</v>
      </c>
      <c r="E1750" t="str">
        <f>"$ 5793,67"</f>
        <v>$ 5793,67</v>
      </c>
      <c r="F1750" t="str">
        <f>"$ 5793,67"</f>
        <v>$ 5793,67</v>
      </c>
      <c r="G1750" t="str">
        <f>"$ 5793,67"</f>
        <v>$ 5793,67</v>
      </c>
      <c r="H1750" t="str">
        <f t="shared" si="1111"/>
        <v>$ 0,00</v>
      </c>
      <c r="I1750" t="str">
        <f t="shared" si="1129"/>
        <v>CABLES CONTACTOR ARRANQUE</v>
      </c>
      <c r="J1750" t="str">
        <f t="shared" si="1112"/>
        <v>1</v>
      </c>
      <c r="K1750" t="str">
        <f t="shared" si="1106"/>
        <v>0</v>
      </c>
      <c r="L1750" t="str">
        <f>"0,000"</f>
        <v>0,000</v>
      </c>
      <c r="M1750" t="str">
        <f t="shared" si="1113"/>
        <v xml:space="preserve"> </v>
      </c>
      <c r="N1750" t="str">
        <f t="shared" si="1130"/>
        <v>OYSTER</v>
      </c>
      <c r="O1750" t="str">
        <f t="shared" si="1131"/>
        <v>CABLES</v>
      </c>
      <c r="P1750" t="str">
        <f t="shared" si="1135"/>
        <v>0</v>
      </c>
      <c r="Q1750" t="str">
        <f t="shared" si="1135"/>
        <v>0</v>
      </c>
      <c r="R1750" t="str">
        <f t="shared" si="1136"/>
        <v>0,00</v>
      </c>
      <c r="S1750" t="str">
        <f t="shared" si="1136"/>
        <v>0,00</v>
      </c>
      <c r="T1750" t="str">
        <f t="shared" si="1110"/>
        <v xml:space="preserve"> </v>
      </c>
      <c r="U1750" t="str">
        <f t="shared" si="1134"/>
        <v xml:space="preserve"> </v>
      </c>
      <c r="V1750" t="str">
        <f>"0,000"</f>
        <v>0,000</v>
      </c>
      <c r="W1750" t="str">
        <f t="shared" si="1114"/>
        <v>Lista 4</v>
      </c>
      <c r="X1750" t="str">
        <f t="shared" si="1115"/>
        <v>Lista 5</v>
      </c>
      <c r="Y1750" t="str">
        <f t="shared" si="1116"/>
        <v>Oferta Gral.</v>
      </c>
      <c r="Z1750" t="str">
        <f t="shared" si="1117"/>
        <v>Rubro</v>
      </c>
      <c r="AA1750" t="str">
        <f t="shared" si="1118"/>
        <v>Cantidad por Bulto</v>
      </c>
      <c r="AB1750" t="str">
        <f t="shared" si="1119"/>
        <v>INNER</v>
      </c>
      <c r="AC1750" t="str">
        <f t="shared" si="1120"/>
        <v>Stock en Bultos</v>
      </c>
      <c r="AD1750" t="str">
        <f t="shared" si="1121"/>
        <v>SubDepósito</v>
      </c>
      <c r="AE1750" t="str">
        <f t="shared" si="1122"/>
        <v>Marca</v>
      </c>
      <c r="AF1750" t="str">
        <f t="shared" si="1123"/>
        <v>Super Rubro</v>
      </c>
      <c r="AG1750" t="str">
        <f t="shared" si="1124"/>
        <v>ComercioExterior</v>
      </c>
      <c r="AH1750" t="str">
        <f t="shared" si="1125"/>
        <v>PrecioFOB</v>
      </c>
      <c r="AI1750" t="str">
        <f t="shared" si="1126"/>
        <v>Monto II</v>
      </c>
      <c r="AJ1750" t="str">
        <f t="shared" si="1127"/>
        <v>Porcentaje II</v>
      </c>
      <c r="AK1750" t="str">
        <f t="shared" si="1128"/>
        <v>Foto</v>
      </c>
      <c r="AL1750" t="str">
        <f>"{\rtf1\ansi\ansicpg1252\deff0\deflang11274{\fonttbl{\f0\fnil\fcharset0 MS Sans Serif}} \viewkind4\uc1\pard\f0\fs16 CONTACTOR  PEUGEOT 504 SALON80/89PICK-UP90/93\par } "</f>
        <v xml:space="preserve">{\rtf1\ansi\ansicpg1252\deff0\deflang11274{\fonttbl{\f0\fnil\fcharset0 MS Sans Serif}} \viewkind4\uc1\pard\f0\fs16 CONTACTOR  PEUGEOT 504 SALON80/89PICK-UP90/93\par } </v>
      </c>
      <c r="AM1750" t="str">
        <f t="shared" si="1132"/>
        <v>-</v>
      </c>
    </row>
    <row r="1751" spans="1:39" x14ac:dyDescent="0.25">
      <c r="A1751" t="str">
        <f>"CON484"</f>
        <v>CON484</v>
      </c>
      <c r="B1751" t="str">
        <f>"CONTACTOR  PEUGEOT 504 ‘97/"</f>
        <v>CONTACTOR  PEUGEOT 504 ‘97/</v>
      </c>
      <c r="C1751" t="str">
        <f>"$ 6000,59"</f>
        <v>$ 6000,59</v>
      </c>
      <c r="D1751" t="str">
        <f>"$ 6000,59"</f>
        <v>$ 6000,59</v>
      </c>
      <c r="E1751" t="str">
        <f>"$ 6000,59"</f>
        <v>$ 6000,59</v>
      </c>
      <c r="F1751" t="str">
        <f>"$ 6000,59"</f>
        <v>$ 6000,59</v>
      </c>
      <c r="G1751" t="str">
        <f>"$ 6000,59"</f>
        <v>$ 6000,59</v>
      </c>
      <c r="H1751" t="str">
        <f t="shared" si="1111"/>
        <v>$ 0,00</v>
      </c>
      <c r="I1751" t="str">
        <f t="shared" si="1129"/>
        <v>CABLES CONTACTOR ARRANQUE</v>
      </c>
      <c r="J1751" t="str">
        <f t="shared" si="1112"/>
        <v>1</v>
      </c>
      <c r="K1751" t="str">
        <f t="shared" si="1106"/>
        <v>0</v>
      </c>
      <c r="L1751" t="str">
        <f>"0,000"</f>
        <v>0,000</v>
      </c>
      <c r="M1751" t="str">
        <f t="shared" si="1113"/>
        <v xml:space="preserve"> </v>
      </c>
      <c r="N1751" t="str">
        <f t="shared" si="1130"/>
        <v>OYSTER</v>
      </c>
      <c r="O1751" t="str">
        <f t="shared" si="1131"/>
        <v>CABLES</v>
      </c>
      <c r="P1751" t="str">
        <f t="shared" si="1135"/>
        <v>0</v>
      </c>
      <c r="Q1751" t="str">
        <f t="shared" si="1135"/>
        <v>0</v>
      </c>
      <c r="R1751" t="str">
        <f t="shared" si="1136"/>
        <v>0,00</v>
      </c>
      <c r="S1751" t="str">
        <f t="shared" si="1136"/>
        <v>0,00</v>
      </c>
      <c r="T1751" t="str">
        <f t="shared" si="1110"/>
        <v xml:space="preserve"> </v>
      </c>
      <c r="U1751" t="str">
        <f t="shared" si="1134"/>
        <v xml:space="preserve"> </v>
      </c>
      <c r="V1751" t="str">
        <f>"0,000"</f>
        <v>0,000</v>
      </c>
      <c r="W1751" t="str">
        <f t="shared" si="1114"/>
        <v>Lista 4</v>
      </c>
      <c r="X1751" t="str">
        <f t="shared" si="1115"/>
        <v>Lista 5</v>
      </c>
      <c r="Y1751" t="str">
        <f t="shared" si="1116"/>
        <v>Oferta Gral.</v>
      </c>
      <c r="Z1751" t="str">
        <f t="shared" si="1117"/>
        <v>Rubro</v>
      </c>
      <c r="AA1751" t="str">
        <f t="shared" si="1118"/>
        <v>Cantidad por Bulto</v>
      </c>
      <c r="AB1751" t="str">
        <f t="shared" si="1119"/>
        <v>INNER</v>
      </c>
      <c r="AC1751" t="str">
        <f t="shared" si="1120"/>
        <v>Stock en Bultos</v>
      </c>
      <c r="AD1751" t="str">
        <f t="shared" si="1121"/>
        <v>SubDepósito</v>
      </c>
      <c r="AE1751" t="str">
        <f t="shared" si="1122"/>
        <v>Marca</v>
      </c>
      <c r="AF1751" t="str">
        <f t="shared" si="1123"/>
        <v>Super Rubro</v>
      </c>
      <c r="AG1751" t="str">
        <f t="shared" si="1124"/>
        <v>ComercioExterior</v>
      </c>
      <c r="AH1751" t="str">
        <f t="shared" si="1125"/>
        <v>PrecioFOB</v>
      </c>
      <c r="AI1751" t="str">
        <f t="shared" si="1126"/>
        <v>Monto II</v>
      </c>
      <c r="AJ1751" t="str">
        <f t="shared" si="1127"/>
        <v>Porcentaje II</v>
      </c>
      <c r="AK1751" t="str">
        <f t="shared" si="1128"/>
        <v>Foto</v>
      </c>
      <c r="AL1751" t="str">
        <f>"{\rtf1\ansi\ansicpg1252\deff0\deflang11274{\fonttbl{\f0\fnil\fcharset0 MS Sans Serif}} \viewkind4\uc1\pard\f0\fs16 CONTACTOR  PEUGEOT 504 \lquote 97/\par } "</f>
        <v xml:space="preserve">{\rtf1\ansi\ansicpg1252\deff0\deflang11274{\fonttbl{\f0\fnil\fcharset0 MS Sans Serif}} \viewkind4\uc1\pard\f0\fs16 CONTACTOR  PEUGEOT 504 \lquote 97/\par } </v>
      </c>
      <c r="AM1751" t="str">
        <f t="shared" si="1132"/>
        <v>-</v>
      </c>
    </row>
    <row r="1752" spans="1:39" x14ac:dyDescent="0.25">
      <c r="A1752" t="str">
        <f>"CON482"</f>
        <v>CON482</v>
      </c>
      <c r="B1752" t="str">
        <f>"CONTACTOR  PEUGEOT 504 ’93–’96 YPICK-UP"</f>
        <v>CONTACTOR  PEUGEOT 504 ’93–’96 YPICK-UP</v>
      </c>
      <c r="C1752" t="str">
        <f t="shared" ref="C1752:G1753" si="1137">"$ 5609,74"</f>
        <v>$ 5609,74</v>
      </c>
      <c r="D1752" t="str">
        <f t="shared" si="1137"/>
        <v>$ 5609,74</v>
      </c>
      <c r="E1752" t="str">
        <f t="shared" si="1137"/>
        <v>$ 5609,74</v>
      </c>
      <c r="F1752" t="str">
        <f t="shared" si="1137"/>
        <v>$ 5609,74</v>
      </c>
      <c r="G1752" t="str">
        <f t="shared" si="1137"/>
        <v>$ 5609,74</v>
      </c>
      <c r="H1752" t="str">
        <f t="shared" si="1111"/>
        <v>$ 0,00</v>
      </c>
      <c r="I1752" t="str">
        <f t="shared" si="1129"/>
        <v>CABLES CONTACTOR ARRANQUE</v>
      </c>
      <c r="J1752" t="str">
        <f t="shared" si="1112"/>
        <v>1</v>
      </c>
      <c r="K1752" t="str">
        <f t="shared" si="1106"/>
        <v>0</v>
      </c>
      <c r="L1752" t="str">
        <f>"0,000"</f>
        <v>0,000</v>
      </c>
      <c r="M1752" t="str">
        <f t="shared" si="1113"/>
        <v xml:space="preserve"> </v>
      </c>
      <c r="N1752" t="str">
        <f t="shared" si="1130"/>
        <v>OYSTER</v>
      </c>
      <c r="O1752" t="str">
        <f t="shared" si="1131"/>
        <v>CABLES</v>
      </c>
      <c r="P1752" t="str">
        <f t="shared" si="1135"/>
        <v>0</v>
      </c>
      <c r="Q1752" t="str">
        <f t="shared" si="1135"/>
        <v>0</v>
      </c>
      <c r="R1752" t="str">
        <f t="shared" si="1136"/>
        <v>0,00</v>
      </c>
      <c r="S1752" t="str">
        <f t="shared" si="1136"/>
        <v>0,00</v>
      </c>
      <c r="T1752" t="str">
        <f t="shared" si="1110"/>
        <v xml:space="preserve"> </v>
      </c>
      <c r="U1752" t="str">
        <f t="shared" si="1134"/>
        <v xml:space="preserve"> </v>
      </c>
      <c r="V1752" t="str">
        <f>"0,000"</f>
        <v>0,000</v>
      </c>
      <c r="W1752" t="str">
        <f t="shared" si="1114"/>
        <v>Lista 4</v>
      </c>
      <c r="X1752" t="str">
        <f t="shared" si="1115"/>
        <v>Lista 5</v>
      </c>
      <c r="Y1752" t="str">
        <f t="shared" si="1116"/>
        <v>Oferta Gral.</v>
      </c>
      <c r="Z1752" t="str">
        <f t="shared" si="1117"/>
        <v>Rubro</v>
      </c>
      <c r="AA1752" t="str">
        <f t="shared" si="1118"/>
        <v>Cantidad por Bulto</v>
      </c>
      <c r="AB1752" t="str">
        <f t="shared" si="1119"/>
        <v>INNER</v>
      </c>
      <c r="AC1752" t="str">
        <f t="shared" si="1120"/>
        <v>Stock en Bultos</v>
      </c>
      <c r="AD1752" t="str">
        <f t="shared" si="1121"/>
        <v>SubDepósito</v>
      </c>
      <c r="AE1752" t="str">
        <f t="shared" si="1122"/>
        <v>Marca</v>
      </c>
      <c r="AF1752" t="str">
        <f t="shared" si="1123"/>
        <v>Super Rubro</v>
      </c>
      <c r="AG1752" t="str">
        <f t="shared" si="1124"/>
        <v>ComercioExterior</v>
      </c>
      <c r="AH1752" t="str">
        <f t="shared" si="1125"/>
        <v>PrecioFOB</v>
      </c>
      <c r="AI1752" t="str">
        <f t="shared" si="1126"/>
        <v>Monto II</v>
      </c>
      <c r="AJ1752" t="str">
        <f t="shared" si="1127"/>
        <v>Porcentaje II</v>
      </c>
      <c r="AK1752" t="str">
        <f t="shared" si="1128"/>
        <v>Foto</v>
      </c>
      <c r="AL1752" t="str">
        <f>"{\rtf1\ansi\ansicpg1252\deff0\deflang11274{\fonttbl{\f0\fnil\fcharset0 MS Sans Serif}} \viewkind4\uc1\pard\f0\fs16 CONTACTOR  PEUGEOT 504 \rquote 93\endash\rquote 96 YPICK-UP\par } "</f>
        <v xml:space="preserve">{\rtf1\ansi\ansicpg1252\deff0\deflang11274{\fonttbl{\f0\fnil\fcharset0 MS Sans Serif}} \viewkind4\uc1\pard\f0\fs16 CONTACTOR  PEUGEOT 504 \rquote 93\endash\rquote 96 YPICK-UP\par } </v>
      </c>
      <c r="AM1752" t="str">
        <f t="shared" si="1132"/>
        <v>-</v>
      </c>
    </row>
    <row r="1753" spans="1:39" x14ac:dyDescent="0.25">
      <c r="A1753" t="str">
        <f>"CON453"</f>
        <v>CON453</v>
      </c>
      <c r="B1753" t="str">
        <f>"CONTACTOR  PEUGEOT 505 GAMMA DESDE `86"</f>
        <v>CONTACTOR  PEUGEOT 505 GAMMA DESDE `86</v>
      </c>
      <c r="C1753" t="str">
        <f t="shared" si="1137"/>
        <v>$ 5609,74</v>
      </c>
      <c r="D1753" t="str">
        <f t="shared" si="1137"/>
        <v>$ 5609,74</v>
      </c>
      <c r="E1753" t="str">
        <f t="shared" si="1137"/>
        <v>$ 5609,74</v>
      </c>
      <c r="F1753" t="str">
        <f t="shared" si="1137"/>
        <v>$ 5609,74</v>
      </c>
      <c r="G1753" t="str">
        <f t="shared" si="1137"/>
        <v>$ 5609,74</v>
      </c>
      <c r="H1753" t="str">
        <f t="shared" si="1111"/>
        <v>$ 0,00</v>
      </c>
      <c r="I1753" t="str">
        <f t="shared" si="1129"/>
        <v>CABLES CONTACTOR ARRANQUE</v>
      </c>
      <c r="J1753" t="str">
        <f t="shared" si="1112"/>
        <v>1</v>
      </c>
      <c r="K1753" t="str">
        <f t="shared" si="1106"/>
        <v>0</v>
      </c>
      <c r="L1753" t="str">
        <f>"4,000"</f>
        <v>4,000</v>
      </c>
      <c r="M1753" t="str">
        <f t="shared" si="1113"/>
        <v xml:space="preserve"> </v>
      </c>
      <c r="N1753" t="str">
        <f t="shared" si="1130"/>
        <v>OYSTER</v>
      </c>
      <c r="O1753" t="str">
        <f t="shared" si="1131"/>
        <v>CABLES</v>
      </c>
      <c r="P1753" t="str">
        <f t="shared" si="1135"/>
        <v>0</v>
      </c>
      <c r="Q1753" t="str">
        <f t="shared" si="1135"/>
        <v>0</v>
      </c>
      <c r="R1753" t="str">
        <f t="shared" si="1136"/>
        <v>0,00</v>
      </c>
      <c r="S1753" t="str">
        <f t="shared" si="1136"/>
        <v>0,00</v>
      </c>
      <c r="T1753" t="str">
        <f t="shared" si="1110"/>
        <v xml:space="preserve"> </v>
      </c>
      <c r="U1753" t="str">
        <f t="shared" si="1134"/>
        <v xml:space="preserve"> </v>
      </c>
      <c r="V1753" t="str">
        <f>"4,000"</f>
        <v>4,000</v>
      </c>
      <c r="W1753" t="str">
        <f t="shared" si="1114"/>
        <v>Lista 4</v>
      </c>
      <c r="X1753" t="str">
        <f t="shared" si="1115"/>
        <v>Lista 5</v>
      </c>
      <c r="Y1753" t="str">
        <f t="shared" si="1116"/>
        <v>Oferta Gral.</v>
      </c>
      <c r="Z1753" t="str">
        <f t="shared" si="1117"/>
        <v>Rubro</v>
      </c>
      <c r="AA1753" t="str">
        <f t="shared" si="1118"/>
        <v>Cantidad por Bulto</v>
      </c>
      <c r="AB1753" t="str">
        <f t="shared" si="1119"/>
        <v>INNER</v>
      </c>
      <c r="AC1753" t="str">
        <f t="shared" si="1120"/>
        <v>Stock en Bultos</v>
      </c>
      <c r="AD1753" t="str">
        <f t="shared" si="1121"/>
        <v>SubDepósito</v>
      </c>
      <c r="AE1753" t="str">
        <f t="shared" si="1122"/>
        <v>Marca</v>
      </c>
      <c r="AF1753" t="str">
        <f t="shared" si="1123"/>
        <v>Super Rubro</v>
      </c>
      <c r="AG1753" t="str">
        <f t="shared" si="1124"/>
        <v>ComercioExterior</v>
      </c>
      <c r="AH1753" t="str">
        <f t="shared" si="1125"/>
        <v>PrecioFOB</v>
      </c>
      <c r="AI1753" t="str">
        <f t="shared" si="1126"/>
        <v>Monto II</v>
      </c>
      <c r="AJ1753" t="str">
        <f t="shared" si="1127"/>
        <v>Porcentaje II</v>
      </c>
      <c r="AK1753" t="str">
        <f t="shared" si="1128"/>
        <v>Foto</v>
      </c>
      <c r="AL1753" t="str">
        <f>"{\rtf1\ansi\ansicpg1252\deff0\deflang11274{\fonttbl{\f0\fnil\fcharset0 MS Sans Serif}} \viewkind4\uc1\pard\f0\fs16 CONTACTOR  PEUGEOT 505 GAMMA DESDE `86\par } "</f>
        <v xml:space="preserve">{\rtf1\ansi\ansicpg1252\deff0\deflang11274{\fonttbl{\f0\fnil\fcharset0 MS Sans Serif}} \viewkind4\uc1\pard\f0\fs16 CONTACTOR  PEUGEOT 505 GAMMA DESDE `86\par } </v>
      </c>
      <c r="AM1753" t="str">
        <f t="shared" si="1132"/>
        <v>-</v>
      </c>
    </row>
    <row r="1754" spans="1:39" x14ac:dyDescent="0.25">
      <c r="A1754" t="str">
        <f>"CON446"</f>
        <v>CON446</v>
      </c>
      <c r="B1754" t="str">
        <f>"CONTACTOR  PEUGEOT 505 `80 - `85"</f>
        <v>CONTACTOR  PEUGEOT 505 `80 - `85</v>
      </c>
      <c r="C1754" t="str">
        <f t="shared" ref="C1754:G1757" si="1138">"$ 4345,25"</f>
        <v>$ 4345,25</v>
      </c>
      <c r="D1754" t="str">
        <f t="shared" si="1138"/>
        <v>$ 4345,25</v>
      </c>
      <c r="E1754" t="str">
        <f t="shared" si="1138"/>
        <v>$ 4345,25</v>
      </c>
      <c r="F1754" t="str">
        <f t="shared" si="1138"/>
        <v>$ 4345,25</v>
      </c>
      <c r="G1754" t="str">
        <f t="shared" si="1138"/>
        <v>$ 4345,25</v>
      </c>
      <c r="H1754" t="str">
        <f t="shared" si="1111"/>
        <v>$ 0,00</v>
      </c>
      <c r="I1754" t="str">
        <f t="shared" si="1129"/>
        <v>CABLES CONTACTOR ARRANQUE</v>
      </c>
      <c r="J1754" t="str">
        <f t="shared" si="1112"/>
        <v>1</v>
      </c>
      <c r="K1754" t="str">
        <f t="shared" si="1106"/>
        <v>0</v>
      </c>
      <c r="L1754" t="str">
        <f>"1,000"</f>
        <v>1,000</v>
      </c>
      <c r="M1754" t="str">
        <f t="shared" si="1113"/>
        <v xml:space="preserve"> </v>
      </c>
      <c r="N1754" t="str">
        <f t="shared" si="1130"/>
        <v>OYSTER</v>
      </c>
      <c r="O1754" t="str">
        <f t="shared" si="1131"/>
        <v>CABLES</v>
      </c>
      <c r="P1754" t="str">
        <f t="shared" si="1135"/>
        <v>0</v>
      </c>
      <c r="Q1754" t="str">
        <f t="shared" si="1135"/>
        <v>0</v>
      </c>
      <c r="R1754" t="str">
        <f t="shared" si="1136"/>
        <v>0,00</v>
      </c>
      <c r="S1754" t="str">
        <f t="shared" si="1136"/>
        <v>0,00</v>
      </c>
      <c r="T1754" t="str">
        <f t="shared" si="1110"/>
        <v xml:space="preserve"> </v>
      </c>
      <c r="U1754" t="str">
        <f t="shared" si="1134"/>
        <v xml:space="preserve"> </v>
      </c>
      <c r="V1754" t="str">
        <f>"1,000"</f>
        <v>1,000</v>
      </c>
      <c r="W1754" t="str">
        <f t="shared" si="1114"/>
        <v>Lista 4</v>
      </c>
      <c r="X1754" t="str">
        <f t="shared" si="1115"/>
        <v>Lista 5</v>
      </c>
      <c r="Y1754" t="str">
        <f t="shared" si="1116"/>
        <v>Oferta Gral.</v>
      </c>
      <c r="Z1754" t="str">
        <f t="shared" si="1117"/>
        <v>Rubro</v>
      </c>
      <c r="AA1754" t="str">
        <f t="shared" si="1118"/>
        <v>Cantidad por Bulto</v>
      </c>
      <c r="AB1754" t="str">
        <f t="shared" si="1119"/>
        <v>INNER</v>
      </c>
      <c r="AC1754" t="str">
        <f t="shared" si="1120"/>
        <v>Stock en Bultos</v>
      </c>
      <c r="AD1754" t="str">
        <f t="shared" si="1121"/>
        <v>SubDepósito</v>
      </c>
      <c r="AE1754" t="str">
        <f t="shared" si="1122"/>
        <v>Marca</v>
      </c>
      <c r="AF1754" t="str">
        <f t="shared" si="1123"/>
        <v>Super Rubro</v>
      </c>
      <c r="AG1754" t="str">
        <f t="shared" si="1124"/>
        <v>ComercioExterior</v>
      </c>
      <c r="AH1754" t="str">
        <f t="shared" si="1125"/>
        <v>PrecioFOB</v>
      </c>
      <c r="AI1754" t="str">
        <f t="shared" si="1126"/>
        <v>Monto II</v>
      </c>
      <c r="AJ1754" t="str">
        <f t="shared" si="1127"/>
        <v>Porcentaje II</v>
      </c>
      <c r="AK1754" t="str">
        <f t="shared" si="1128"/>
        <v>Foto</v>
      </c>
      <c r="AL1754" t="str">
        <f>"{\rtf1\ansi\ansicpg1252\deff0\deflang11274{\fonttbl{\f0\fnil\fcharset0 MS Sans Serif}} \viewkind4\uc1\pard\f0\fs16 CONTACTOR  PEUGEOT 505 `80 - `85\par } "</f>
        <v xml:space="preserve">{\rtf1\ansi\ansicpg1252\deff0\deflang11274{\fonttbl{\f0\fnil\fcharset0 MS Sans Serif}} \viewkind4\uc1\pard\f0\fs16 CONTACTOR  PEUGEOT 505 `80 - `85\par } </v>
      </c>
      <c r="AM1754" t="str">
        <f t="shared" si="1132"/>
        <v>-</v>
      </c>
    </row>
    <row r="1755" spans="1:39" x14ac:dyDescent="0.25">
      <c r="A1755" t="str">
        <f>"CON441"</f>
        <v>CON441</v>
      </c>
      <c r="B1755" t="str">
        <f>"CONTACTOR  RENAULT 12 DESDE 80"</f>
        <v>CONTACTOR  RENAULT 12 DESDE 80</v>
      </c>
      <c r="C1755" t="str">
        <f t="shared" si="1138"/>
        <v>$ 4345,25</v>
      </c>
      <c r="D1755" t="str">
        <f t="shared" si="1138"/>
        <v>$ 4345,25</v>
      </c>
      <c r="E1755" t="str">
        <f t="shared" si="1138"/>
        <v>$ 4345,25</v>
      </c>
      <c r="F1755" t="str">
        <f t="shared" si="1138"/>
        <v>$ 4345,25</v>
      </c>
      <c r="G1755" t="str">
        <f t="shared" si="1138"/>
        <v>$ 4345,25</v>
      </c>
      <c r="H1755" t="str">
        <f t="shared" si="1111"/>
        <v>$ 0,00</v>
      </c>
      <c r="I1755" t="str">
        <f t="shared" si="1129"/>
        <v>CABLES CONTACTOR ARRANQUE</v>
      </c>
      <c r="J1755" t="str">
        <f t="shared" si="1112"/>
        <v>1</v>
      </c>
      <c r="K1755" t="str">
        <f t="shared" si="1106"/>
        <v>0</v>
      </c>
      <c r="L1755" t="str">
        <f>"15,000"</f>
        <v>15,000</v>
      </c>
      <c r="M1755" t="str">
        <f t="shared" si="1113"/>
        <v xml:space="preserve"> </v>
      </c>
      <c r="N1755" t="str">
        <f t="shared" si="1130"/>
        <v>OYSTER</v>
      </c>
      <c r="O1755" t="str">
        <f t="shared" si="1131"/>
        <v>CABLES</v>
      </c>
      <c r="P1755" t="str">
        <f t="shared" si="1135"/>
        <v>0</v>
      </c>
      <c r="Q1755" t="str">
        <f t="shared" si="1135"/>
        <v>0</v>
      </c>
      <c r="R1755" t="str">
        <f t="shared" si="1136"/>
        <v>0,00</v>
      </c>
      <c r="S1755" t="str">
        <f t="shared" si="1136"/>
        <v>0,00</v>
      </c>
      <c r="T1755" t="str">
        <f t="shared" si="1110"/>
        <v xml:space="preserve"> </v>
      </c>
      <c r="U1755" t="str">
        <f t="shared" si="1134"/>
        <v xml:space="preserve"> </v>
      </c>
      <c r="V1755" t="str">
        <f>"15,000"</f>
        <v>15,000</v>
      </c>
      <c r="W1755" t="str">
        <f t="shared" si="1114"/>
        <v>Lista 4</v>
      </c>
      <c r="X1755" t="str">
        <f t="shared" si="1115"/>
        <v>Lista 5</v>
      </c>
      <c r="Y1755" t="str">
        <f t="shared" si="1116"/>
        <v>Oferta Gral.</v>
      </c>
      <c r="Z1755" t="str">
        <f t="shared" si="1117"/>
        <v>Rubro</v>
      </c>
      <c r="AA1755" t="str">
        <f t="shared" si="1118"/>
        <v>Cantidad por Bulto</v>
      </c>
      <c r="AB1755" t="str">
        <f t="shared" si="1119"/>
        <v>INNER</v>
      </c>
      <c r="AC1755" t="str">
        <f t="shared" si="1120"/>
        <v>Stock en Bultos</v>
      </c>
      <c r="AD1755" t="str">
        <f t="shared" si="1121"/>
        <v>SubDepósito</v>
      </c>
      <c r="AE1755" t="str">
        <f t="shared" si="1122"/>
        <v>Marca</v>
      </c>
      <c r="AF1755" t="str">
        <f t="shared" si="1123"/>
        <v>Super Rubro</v>
      </c>
      <c r="AG1755" t="str">
        <f t="shared" si="1124"/>
        <v>ComercioExterior</v>
      </c>
      <c r="AH1755" t="str">
        <f t="shared" si="1125"/>
        <v>PrecioFOB</v>
      </c>
      <c r="AI1755" t="str">
        <f t="shared" si="1126"/>
        <v>Monto II</v>
      </c>
      <c r="AJ1755" t="str">
        <f t="shared" si="1127"/>
        <v>Porcentaje II</v>
      </c>
      <c r="AK1755" t="str">
        <f t="shared" si="1128"/>
        <v>Foto</v>
      </c>
      <c r="AL1755" t="str">
        <f>"{\rtf1\ansi\ansicpg1252\deff0\deflang11274{\fonttbl{\f0\fnil\fcharset0 MS Sans Serif}} \viewkind4\uc1\pard\f0\fs16 CONTACTOR  RENAULT 12 DESDE 80\par } "</f>
        <v xml:space="preserve">{\rtf1\ansi\ansicpg1252\deff0\deflang11274{\fonttbl{\f0\fnil\fcharset0 MS Sans Serif}} \viewkind4\uc1\pard\f0\fs16 CONTACTOR  RENAULT 12 DESDE 80\par } </v>
      </c>
      <c r="AM1755" t="str">
        <f t="shared" si="1132"/>
        <v>-</v>
      </c>
    </row>
    <row r="1756" spans="1:39" x14ac:dyDescent="0.25">
      <c r="A1756" t="str">
        <f>"CON454"</f>
        <v>CON454</v>
      </c>
      <c r="B1756" t="str">
        <f>"CONTACTOR  RENAULT 12 MOD.VIEJO HASTA`80"</f>
        <v>CONTACTOR  RENAULT 12 MOD.VIEJO HASTA`80</v>
      </c>
      <c r="C1756" t="str">
        <f t="shared" si="1138"/>
        <v>$ 4345,25</v>
      </c>
      <c r="D1756" t="str">
        <f t="shared" si="1138"/>
        <v>$ 4345,25</v>
      </c>
      <c r="E1756" t="str">
        <f t="shared" si="1138"/>
        <v>$ 4345,25</v>
      </c>
      <c r="F1756" t="str">
        <f t="shared" si="1138"/>
        <v>$ 4345,25</v>
      </c>
      <c r="G1756" t="str">
        <f t="shared" si="1138"/>
        <v>$ 4345,25</v>
      </c>
      <c r="H1756" t="str">
        <f t="shared" si="1111"/>
        <v>$ 0,00</v>
      </c>
      <c r="I1756" t="str">
        <f t="shared" si="1129"/>
        <v>CABLES CONTACTOR ARRANQUE</v>
      </c>
      <c r="J1756" t="str">
        <f t="shared" si="1112"/>
        <v>1</v>
      </c>
      <c r="K1756" t="str">
        <f t="shared" si="1106"/>
        <v>0</v>
      </c>
      <c r="L1756" t="str">
        <f>"4,000"</f>
        <v>4,000</v>
      </c>
      <c r="M1756" t="str">
        <f t="shared" si="1113"/>
        <v xml:space="preserve"> </v>
      </c>
      <c r="N1756" t="str">
        <f t="shared" si="1130"/>
        <v>OYSTER</v>
      </c>
      <c r="O1756" t="str">
        <f t="shared" si="1131"/>
        <v>CABLES</v>
      </c>
      <c r="P1756" t="str">
        <f t="shared" si="1135"/>
        <v>0</v>
      </c>
      <c r="Q1756" t="str">
        <f t="shared" si="1135"/>
        <v>0</v>
      </c>
      <c r="R1756" t="str">
        <f t="shared" si="1136"/>
        <v>0,00</v>
      </c>
      <c r="S1756" t="str">
        <f t="shared" si="1136"/>
        <v>0,00</v>
      </c>
      <c r="T1756" t="str">
        <f t="shared" si="1110"/>
        <v xml:space="preserve"> </v>
      </c>
      <c r="U1756" t="str">
        <f t="shared" si="1134"/>
        <v xml:space="preserve"> </v>
      </c>
      <c r="V1756" t="str">
        <f>"4,000"</f>
        <v>4,000</v>
      </c>
      <c r="W1756" t="str">
        <f t="shared" si="1114"/>
        <v>Lista 4</v>
      </c>
      <c r="X1756" t="str">
        <f t="shared" si="1115"/>
        <v>Lista 5</v>
      </c>
      <c r="Y1756" t="str">
        <f t="shared" si="1116"/>
        <v>Oferta Gral.</v>
      </c>
      <c r="Z1756" t="str">
        <f t="shared" si="1117"/>
        <v>Rubro</v>
      </c>
      <c r="AA1756" t="str">
        <f t="shared" si="1118"/>
        <v>Cantidad por Bulto</v>
      </c>
      <c r="AB1756" t="str">
        <f t="shared" si="1119"/>
        <v>INNER</v>
      </c>
      <c r="AC1756" t="str">
        <f t="shared" si="1120"/>
        <v>Stock en Bultos</v>
      </c>
      <c r="AD1756" t="str">
        <f t="shared" si="1121"/>
        <v>SubDepósito</v>
      </c>
      <c r="AE1756" t="str">
        <f t="shared" si="1122"/>
        <v>Marca</v>
      </c>
      <c r="AF1756" t="str">
        <f t="shared" si="1123"/>
        <v>Super Rubro</v>
      </c>
      <c r="AG1756" t="str">
        <f t="shared" si="1124"/>
        <v>ComercioExterior</v>
      </c>
      <c r="AH1756" t="str">
        <f t="shared" si="1125"/>
        <v>PrecioFOB</v>
      </c>
      <c r="AI1756" t="str">
        <f t="shared" si="1126"/>
        <v>Monto II</v>
      </c>
      <c r="AJ1756" t="str">
        <f t="shared" si="1127"/>
        <v>Porcentaje II</v>
      </c>
      <c r="AK1756" t="str">
        <f t="shared" si="1128"/>
        <v>Foto</v>
      </c>
      <c r="AL1756" t="str">
        <f>"{\rtf1\ansi\ansicpg1252\deff0\deflang11274{\fonttbl{\f0\fnil\fcharset0 MS Sans Serif}} \viewkind4\uc1\pard\f0\fs16 CONTACTOR  RENAULT 12 MOD.VIEJO HASTA`80\par } "</f>
        <v xml:space="preserve">{\rtf1\ansi\ansicpg1252\deff0\deflang11274{\fonttbl{\f0\fnil\fcharset0 MS Sans Serif}} \viewkind4\uc1\pard\f0\fs16 CONTACTOR  RENAULT 12 MOD.VIEJO HASTA`80\par } </v>
      </c>
      <c r="AM1756" t="str">
        <f t="shared" si="1132"/>
        <v>-</v>
      </c>
    </row>
    <row r="1757" spans="1:39" x14ac:dyDescent="0.25">
      <c r="A1757" t="str">
        <f>"CON440"</f>
        <v>CON440</v>
      </c>
      <c r="B1757" t="str">
        <f>"CONTACTOR  RENAULT 18"</f>
        <v>CONTACTOR  RENAULT 18</v>
      </c>
      <c r="C1757" t="str">
        <f t="shared" si="1138"/>
        <v>$ 4345,25</v>
      </c>
      <c r="D1757" t="str">
        <f t="shared" si="1138"/>
        <v>$ 4345,25</v>
      </c>
      <c r="E1757" t="str">
        <f t="shared" si="1138"/>
        <v>$ 4345,25</v>
      </c>
      <c r="F1757" t="str">
        <f t="shared" si="1138"/>
        <v>$ 4345,25</v>
      </c>
      <c r="G1757" t="str">
        <f t="shared" si="1138"/>
        <v>$ 4345,25</v>
      </c>
      <c r="H1757" t="str">
        <f t="shared" si="1111"/>
        <v>$ 0,00</v>
      </c>
      <c r="I1757" t="str">
        <f t="shared" si="1129"/>
        <v>CABLES CONTACTOR ARRANQUE</v>
      </c>
      <c r="J1757" t="str">
        <f t="shared" si="1112"/>
        <v>1</v>
      </c>
      <c r="K1757" t="str">
        <f t="shared" si="1106"/>
        <v>0</v>
      </c>
      <c r="L1757" t="str">
        <f>"8,000"</f>
        <v>8,000</v>
      </c>
      <c r="M1757" t="str">
        <f t="shared" si="1113"/>
        <v xml:space="preserve"> </v>
      </c>
      <c r="N1757" t="str">
        <f t="shared" si="1130"/>
        <v>OYSTER</v>
      </c>
      <c r="O1757" t="str">
        <f t="shared" si="1131"/>
        <v>CABLES</v>
      </c>
      <c r="P1757" t="str">
        <f t="shared" si="1135"/>
        <v>0</v>
      </c>
      <c r="Q1757" t="str">
        <f t="shared" si="1135"/>
        <v>0</v>
      </c>
      <c r="R1757" t="str">
        <f t="shared" si="1136"/>
        <v>0,00</v>
      </c>
      <c r="S1757" t="str">
        <f t="shared" si="1136"/>
        <v>0,00</v>
      </c>
      <c r="T1757" t="str">
        <f t="shared" si="1110"/>
        <v xml:space="preserve"> </v>
      </c>
      <c r="U1757" t="str">
        <f t="shared" si="1134"/>
        <v xml:space="preserve"> </v>
      </c>
      <c r="V1757" t="str">
        <f>"8,000"</f>
        <v>8,000</v>
      </c>
      <c r="W1757" t="str">
        <f t="shared" si="1114"/>
        <v>Lista 4</v>
      </c>
      <c r="X1757" t="str">
        <f t="shared" si="1115"/>
        <v>Lista 5</v>
      </c>
      <c r="Y1757" t="str">
        <f t="shared" si="1116"/>
        <v>Oferta Gral.</v>
      </c>
      <c r="Z1757" t="str">
        <f t="shared" si="1117"/>
        <v>Rubro</v>
      </c>
      <c r="AA1757" t="str">
        <f t="shared" si="1118"/>
        <v>Cantidad por Bulto</v>
      </c>
      <c r="AB1757" t="str">
        <f t="shared" si="1119"/>
        <v>INNER</v>
      </c>
      <c r="AC1757" t="str">
        <f t="shared" si="1120"/>
        <v>Stock en Bultos</v>
      </c>
      <c r="AD1757" t="str">
        <f t="shared" si="1121"/>
        <v>SubDepósito</v>
      </c>
      <c r="AE1757" t="str">
        <f t="shared" si="1122"/>
        <v>Marca</v>
      </c>
      <c r="AF1757" t="str">
        <f t="shared" si="1123"/>
        <v>Super Rubro</v>
      </c>
      <c r="AG1757" t="str">
        <f t="shared" si="1124"/>
        <v>ComercioExterior</v>
      </c>
      <c r="AH1757" t="str">
        <f t="shared" si="1125"/>
        <v>PrecioFOB</v>
      </c>
      <c r="AI1757" t="str">
        <f t="shared" si="1126"/>
        <v>Monto II</v>
      </c>
      <c r="AJ1757" t="str">
        <f t="shared" si="1127"/>
        <v>Porcentaje II</v>
      </c>
      <c r="AK1757" t="str">
        <f t="shared" si="1128"/>
        <v>Foto</v>
      </c>
      <c r="AL1757" t="str">
        <f>"{\rtf1\ansi\ansicpg1252\deff0\deflang11274{\fonttbl{\f0\fnil\fcharset0 MS Sans Serif}} \viewkind4\uc1\pard\f0\fs16 CONTACTOR  RENAULT 18\par } "</f>
        <v xml:space="preserve">{\rtf1\ansi\ansicpg1252\deff0\deflang11274{\fonttbl{\f0\fnil\fcharset0 MS Sans Serif}} \viewkind4\uc1\pard\f0\fs16 CONTACTOR  RENAULT 18\par } </v>
      </c>
      <c r="AM1757" t="str">
        <f t="shared" si="1132"/>
        <v>-</v>
      </c>
    </row>
    <row r="1758" spans="1:39" x14ac:dyDescent="0.25">
      <c r="A1758" t="str">
        <f>"CON458"</f>
        <v>CON458</v>
      </c>
      <c r="B1758" t="str">
        <f>"CONTACTOR  RENAULT 19    ............... SISTEMA K7 (Y)"</f>
        <v>CONTACTOR  RENAULT 19    ............... SISTEMA K7 (Y)</v>
      </c>
      <c r="C1758" t="str">
        <f>"$ 7150,12"</f>
        <v>$ 7150,12</v>
      </c>
      <c r="D1758" t="str">
        <f>"$ 7150,12"</f>
        <v>$ 7150,12</v>
      </c>
      <c r="E1758" t="str">
        <f>"$ 7150,12"</f>
        <v>$ 7150,12</v>
      </c>
      <c r="F1758" t="str">
        <f>"$ 7150,12"</f>
        <v>$ 7150,12</v>
      </c>
      <c r="G1758" t="str">
        <f>"$ 7150,12"</f>
        <v>$ 7150,12</v>
      </c>
      <c r="H1758" t="str">
        <f t="shared" si="1111"/>
        <v>$ 0,00</v>
      </c>
      <c r="I1758" t="str">
        <f t="shared" si="1129"/>
        <v>CABLES CONTACTOR ARRANQUE</v>
      </c>
      <c r="J1758" t="str">
        <f t="shared" si="1112"/>
        <v>1</v>
      </c>
      <c r="K1758" t="str">
        <f t="shared" si="1106"/>
        <v>0</v>
      </c>
      <c r="L1758" t="str">
        <f>"0,000"</f>
        <v>0,000</v>
      </c>
      <c r="M1758" t="str">
        <f t="shared" si="1113"/>
        <v xml:space="preserve"> </v>
      </c>
      <c r="N1758" t="str">
        <f t="shared" si="1130"/>
        <v>OYSTER</v>
      </c>
      <c r="O1758" t="str">
        <f t="shared" si="1131"/>
        <v>CABLES</v>
      </c>
      <c r="P1758" t="str">
        <f t="shared" si="1135"/>
        <v>0</v>
      </c>
      <c r="Q1758" t="str">
        <f t="shared" si="1135"/>
        <v>0</v>
      </c>
      <c r="R1758" t="str">
        <f t="shared" si="1136"/>
        <v>0,00</v>
      </c>
      <c r="S1758" t="str">
        <f t="shared" si="1136"/>
        <v>0,00</v>
      </c>
      <c r="T1758" t="str">
        <f t="shared" si="1110"/>
        <v xml:space="preserve"> </v>
      </c>
      <c r="U1758" t="str">
        <f t="shared" si="1134"/>
        <v xml:space="preserve"> </v>
      </c>
      <c r="V1758" t="str">
        <f>"0,000"</f>
        <v>0,000</v>
      </c>
      <c r="W1758" t="str">
        <f t="shared" si="1114"/>
        <v>Lista 4</v>
      </c>
      <c r="X1758" t="str">
        <f t="shared" si="1115"/>
        <v>Lista 5</v>
      </c>
      <c r="Y1758" t="str">
        <f t="shared" si="1116"/>
        <v>Oferta Gral.</v>
      </c>
      <c r="Z1758" t="str">
        <f t="shared" si="1117"/>
        <v>Rubro</v>
      </c>
      <c r="AA1758" t="str">
        <f t="shared" si="1118"/>
        <v>Cantidad por Bulto</v>
      </c>
      <c r="AB1758" t="str">
        <f t="shared" si="1119"/>
        <v>INNER</v>
      </c>
      <c r="AC1758" t="str">
        <f t="shared" si="1120"/>
        <v>Stock en Bultos</v>
      </c>
      <c r="AD1758" t="str">
        <f t="shared" si="1121"/>
        <v>SubDepósito</v>
      </c>
      <c r="AE1758" t="str">
        <f t="shared" si="1122"/>
        <v>Marca</v>
      </c>
      <c r="AF1758" t="str">
        <f t="shared" si="1123"/>
        <v>Super Rubro</v>
      </c>
      <c r="AG1758" t="str">
        <f t="shared" si="1124"/>
        <v>ComercioExterior</v>
      </c>
      <c r="AH1758" t="str">
        <f t="shared" si="1125"/>
        <v>PrecioFOB</v>
      </c>
      <c r="AI1758" t="str">
        <f t="shared" si="1126"/>
        <v>Monto II</v>
      </c>
      <c r="AJ1758" t="str">
        <f t="shared" si="1127"/>
        <v>Porcentaje II</v>
      </c>
      <c r="AK1758" t="str">
        <f t="shared" si="1128"/>
        <v>Foto</v>
      </c>
      <c r="AL1758" t="str">
        <f>"{\rtf1\ansi\ansicpg1252\deff0\deflang11274{\fonttbl{\f0\fnil\fcharset0 MS Sans Serif}} \viewkind4\uc1\pard\f0\fs16 CONTACTOR  RENAULT 19    ............... SISTEMA K7 (Y)\par } "</f>
        <v xml:space="preserve">{\rtf1\ansi\ansicpg1252\deff0\deflang11274{\fonttbl{\f0\fnil\fcharset0 MS Sans Serif}} \viewkind4\uc1\pard\f0\fs16 CONTACTOR  RENAULT 19    ............... SISTEMA K7 (Y)\par } </v>
      </c>
      <c r="AM1758" t="str">
        <f t="shared" si="1132"/>
        <v>-</v>
      </c>
    </row>
    <row r="1759" spans="1:39" x14ac:dyDescent="0.25">
      <c r="A1759" t="str">
        <f>"CON447"</f>
        <v>CON447</v>
      </c>
      <c r="B1759" t="str">
        <f>"CONTACTOR  RENAULT 21"</f>
        <v>CONTACTOR  RENAULT 21</v>
      </c>
      <c r="C1759" t="str">
        <f>"$ 6000,59"</f>
        <v>$ 6000,59</v>
      </c>
      <c r="D1759" t="str">
        <f>"$ 6000,59"</f>
        <v>$ 6000,59</v>
      </c>
      <c r="E1759" t="str">
        <f>"$ 6000,59"</f>
        <v>$ 6000,59</v>
      </c>
      <c r="F1759" t="str">
        <f>"$ 6000,59"</f>
        <v>$ 6000,59</v>
      </c>
      <c r="G1759" t="str">
        <f>"$ 6000,59"</f>
        <v>$ 6000,59</v>
      </c>
      <c r="H1759" t="str">
        <f t="shared" si="1111"/>
        <v>$ 0,00</v>
      </c>
      <c r="I1759" t="str">
        <f t="shared" si="1129"/>
        <v>CABLES CONTACTOR ARRANQUE</v>
      </c>
      <c r="J1759" t="str">
        <f t="shared" si="1112"/>
        <v>1</v>
      </c>
      <c r="K1759" t="str">
        <f t="shared" si="1106"/>
        <v>0</v>
      </c>
      <c r="L1759" t="str">
        <f>"2,000"</f>
        <v>2,000</v>
      </c>
      <c r="M1759" t="str">
        <f t="shared" si="1113"/>
        <v xml:space="preserve"> </v>
      </c>
      <c r="N1759" t="str">
        <f t="shared" si="1130"/>
        <v>OYSTER</v>
      </c>
      <c r="O1759" t="str">
        <f t="shared" si="1131"/>
        <v>CABLES</v>
      </c>
      <c r="P1759" t="str">
        <f t="shared" si="1135"/>
        <v>0</v>
      </c>
      <c r="Q1759" t="str">
        <f t="shared" si="1135"/>
        <v>0</v>
      </c>
      <c r="R1759" t="str">
        <f t="shared" si="1136"/>
        <v>0,00</v>
      </c>
      <c r="S1759" t="str">
        <f t="shared" si="1136"/>
        <v>0,00</v>
      </c>
      <c r="T1759" t="str">
        <f t="shared" si="1110"/>
        <v xml:space="preserve"> </v>
      </c>
      <c r="U1759" t="str">
        <f t="shared" si="1134"/>
        <v xml:space="preserve"> </v>
      </c>
      <c r="V1759" t="str">
        <f>"2,000"</f>
        <v>2,000</v>
      </c>
      <c r="W1759" t="str">
        <f t="shared" si="1114"/>
        <v>Lista 4</v>
      </c>
      <c r="X1759" t="str">
        <f t="shared" si="1115"/>
        <v>Lista 5</v>
      </c>
      <c r="Y1759" t="str">
        <f t="shared" si="1116"/>
        <v>Oferta Gral.</v>
      </c>
      <c r="Z1759" t="str">
        <f t="shared" si="1117"/>
        <v>Rubro</v>
      </c>
      <c r="AA1759" t="str">
        <f t="shared" si="1118"/>
        <v>Cantidad por Bulto</v>
      </c>
      <c r="AB1759" t="str">
        <f t="shared" si="1119"/>
        <v>INNER</v>
      </c>
      <c r="AC1759" t="str">
        <f t="shared" si="1120"/>
        <v>Stock en Bultos</v>
      </c>
      <c r="AD1759" t="str">
        <f t="shared" si="1121"/>
        <v>SubDepósito</v>
      </c>
      <c r="AE1759" t="str">
        <f t="shared" si="1122"/>
        <v>Marca</v>
      </c>
      <c r="AF1759" t="str">
        <f t="shared" si="1123"/>
        <v>Super Rubro</v>
      </c>
      <c r="AG1759" t="str">
        <f t="shared" si="1124"/>
        <v>ComercioExterior</v>
      </c>
      <c r="AH1759" t="str">
        <f t="shared" si="1125"/>
        <v>PrecioFOB</v>
      </c>
      <c r="AI1759" t="str">
        <f t="shared" si="1126"/>
        <v>Monto II</v>
      </c>
      <c r="AJ1759" t="str">
        <f t="shared" si="1127"/>
        <v>Porcentaje II</v>
      </c>
      <c r="AK1759" t="str">
        <f t="shared" si="1128"/>
        <v>Foto</v>
      </c>
      <c r="AL1759" t="str">
        <f>"{\rtf1\ansi\ansicpg1252\deff0\deflang11274{\fonttbl{\f0\fnil\fcharset0 MS Sans Serif}} \viewkind4\uc1\pard\f0\fs16 CONTACTOR  RENAULT 21\par } "</f>
        <v xml:space="preserve">{\rtf1\ansi\ansicpg1252\deff0\deflang11274{\fonttbl{\f0\fnil\fcharset0 MS Sans Serif}} \viewkind4\uc1\pard\f0\fs16 CONTACTOR  RENAULT 21\par } </v>
      </c>
      <c r="AM1759" t="str">
        <f t="shared" si="1132"/>
        <v>-</v>
      </c>
    </row>
    <row r="1760" spans="1:39" x14ac:dyDescent="0.25">
      <c r="A1760" t="str">
        <f>"CON442"</f>
        <v>CON442</v>
      </c>
      <c r="B1760" t="str">
        <f>"CONTACTOR  RENAULT 9/11/TRAFFIC"</f>
        <v>CONTACTOR  RENAULT 9/11/TRAFFIC</v>
      </c>
      <c r="C1760" t="str">
        <f>"$ 4345,25"</f>
        <v>$ 4345,25</v>
      </c>
      <c r="D1760" t="str">
        <f>"$ 4345,25"</f>
        <v>$ 4345,25</v>
      </c>
      <c r="E1760" t="str">
        <f>"$ 4345,25"</f>
        <v>$ 4345,25</v>
      </c>
      <c r="F1760" t="str">
        <f>"$ 4345,25"</f>
        <v>$ 4345,25</v>
      </c>
      <c r="G1760" t="str">
        <f>"$ 4345,25"</f>
        <v>$ 4345,25</v>
      </c>
      <c r="H1760" t="str">
        <f t="shared" si="1111"/>
        <v>$ 0,00</v>
      </c>
      <c r="I1760" t="str">
        <f t="shared" si="1129"/>
        <v>CABLES CONTACTOR ARRANQUE</v>
      </c>
      <c r="J1760" t="str">
        <f t="shared" si="1112"/>
        <v>1</v>
      </c>
      <c r="K1760" t="str">
        <f t="shared" si="1106"/>
        <v>0</v>
      </c>
      <c r="L1760" t="str">
        <f>"16,000"</f>
        <v>16,000</v>
      </c>
      <c r="M1760" t="str">
        <f t="shared" si="1113"/>
        <v xml:space="preserve"> </v>
      </c>
      <c r="N1760" t="str">
        <f t="shared" si="1130"/>
        <v>OYSTER</v>
      </c>
      <c r="O1760" t="str">
        <f t="shared" si="1131"/>
        <v>CABLES</v>
      </c>
      <c r="P1760" t="str">
        <f t="shared" si="1135"/>
        <v>0</v>
      </c>
      <c r="Q1760" t="str">
        <f t="shared" si="1135"/>
        <v>0</v>
      </c>
      <c r="R1760" t="str">
        <f t="shared" si="1136"/>
        <v>0,00</v>
      </c>
      <c r="S1760" t="str">
        <f t="shared" si="1136"/>
        <v>0,00</v>
      </c>
      <c r="T1760" t="str">
        <f t="shared" si="1110"/>
        <v xml:space="preserve"> </v>
      </c>
      <c r="U1760" t="str">
        <f t="shared" si="1134"/>
        <v xml:space="preserve"> </v>
      </c>
      <c r="V1760" t="str">
        <f>"16,000"</f>
        <v>16,000</v>
      </c>
      <c r="W1760" t="str">
        <f t="shared" si="1114"/>
        <v>Lista 4</v>
      </c>
      <c r="X1760" t="str">
        <f t="shared" si="1115"/>
        <v>Lista 5</v>
      </c>
      <c r="Y1760" t="str">
        <f t="shared" si="1116"/>
        <v>Oferta Gral.</v>
      </c>
      <c r="Z1760" t="str">
        <f t="shared" si="1117"/>
        <v>Rubro</v>
      </c>
      <c r="AA1760" t="str">
        <f t="shared" si="1118"/>
        <v>Cantidad por Bulto</v>
      </c>
      <c r="AB1760" t="str">
        <f t="shared" si="1119"/>
        <v>INNER</v>
      </c>
      <c r="AC1760" t="str">
        <f t="shared" si="1120"/>
        <v>Stock en Bultos</v>
      </c>
      <c r="AD1760" t="str">
        <f t="shared" si="1121"/>
        <v>SubDepósito</v>
      </c>
      <c r="AE1760" t="str">
        <f t="shared" si="1122"/>
        <v>Marca</v>
      </c>
      <c r="AF1760" t="str">
        <f t="shared" si="1123"/>
        <v>Super Rubro</v>
      </c>
      <c r="AG1760" t="str">
        <f t="shared" si="1124"/>
        <v>ComercioExterior</v>
      </c>
      <c r="AH1760" t="str">
        <f t="shared" si="1125"/>
        <v>PrecioFOB</v>
      </c>
      <c r="AI1760" t="str">
        <f t="shared" si="1126"/>
        <v>Monto II</v>
      </c>
      <c r="AJ1760" t="str">
        <f t="shared" si="1127"/>
        <v>Porcentaje II</v>
      </c>
      <c r="AK1760" t="str">
        <f t="shared" si="1128"/>
        <v>Foto</v>
      </c>
      <c r="AL1760" t="str">
        <f>"{\rtf1\ansi\ansicpg1252\deff0\deflang11274{\fonttbl{\f0\fnil\fcharset0 MS Sans Serif}} \viewkind4\uc1\pard\f0\fs16 CONTACTOR  RENAULT 9/11/TRAFFIC\par } "</f>
        <v xml:space="preserve">{\rtf1\ansi\ansicpg1252\deff0\deflang11274{\fonttbl{\f0\fnil\fcharset0 MS Sans Serif}} \viewkind4\uc1\pard\f0\fs16 CONTACTOR  RENAULT 9/11/TRAFFIC\par } </v>
      </c>
      <c r="AM1760" t="str">
        <f t="shared" si="1132"/>
        <v>-</v>
      </c>
    </row>
    <row r="1761" spans="1:39" x14ac:dyDescent="0.25">
      <c r="A1761" t="str">
        <f>"CON457"</f>
        <v>CON457</v>
      </c>
      <c r="B1761" t="str">
        <f>"CONTACTOR  RENAULT 9/TRAFIC 97"</f>
        <v>CONTACTOR  RENAULT 9/TRAFIC 97</v>
      </c>
      <c r="C1761" t="str">
        <f>"$ 7150,12"</f>
        <v>$ 7150,12</v>
      </c>
      <c r="D1761" t="str">
        <f>"$ 7150,12"</f>
        <v>$ 7150,12</v>
      </c>
      <c r="E1761" t="str">
        <f>"$ 7150,12"</f>
        <v>$ 7150,12</v>
      </c>
      <c r="F1761" t="str">
        <f>"$ 7150,12"</f>
        <v>$ 7150,12</v>
      </c>
      <c r="G1761" t="str">
        <f>"$ 7150,12"</f>
        <v>$ 7150,12</v>
      </c>
      <c r="H1761" t="str">
        <f t="shared" si="1111"/>
        <v>$ 0,00</v>
      </c>
      <c r="I1761" t="str">
        <f t="shared" si="1129"/>
        <v>CABLES CONTACTOR ARRANQUE</v>
      </c>
      <c r="J1761" t="str">
        <f t="shared" si="1112"/>
        <v>1</v>
      </c>
      <c r="K1761" t="str">
        <f t="shared" si="1106"/>
        <v>0</v>
      </c>
      <c r="L1761" t="str">
        <f>"0,000"</f>
        <v>0,000</v>
      </c>
      <c r="M1761" t="str">
        <f t="shared" si="1113"/>
        <v xml:space="preserve"> </v>
      </c>
      <c r="N1761" t="str">
        <f t="shared" si="1130"/>
        <v>OYSTER</v>
      </c>
      <c r="O1761" t="str">
        <f t="shared" si="1131"/>
        <v>CABLES</v>
      </c>
      <c r="P1761" t="str">
        <f t="shared" si="1135"/>
        <v>0</v>
      </c>
      <c r="Q1761" t="str">
        <f t="shared" si="1135"/>
        <v>0</v>
      </c>
      <c r="R1761" t="str">
        <f t="shared" si="1136"/>
        <v>0,00</v>
      </c>
      <c r="S1761" t="str">
        <f t="shared" si="1136"/>
        <v>0,00</v>
      </c>
      <c r="T1761" t="str">
        <f t="shared" si="1110"/>
        <v xml:space="preserve"> </v>
      </c>
      <c r="U1761" t="str">
        <f t="shared" si="1134"/>
        <v xml:space="preserve"> </v>
      </c>
      <c r="V1761" t="str">
        <f>"0,000"</f>
        <v>0,000</v>
      </c>
      <c r="W1761" t="str">
        <f t="shared" si="1114"/>
        <v>Lista 4</v>
      </c>
      <c r="X1761" t="str">
        <f t="shared" si="1115"/>
        <v>Lista 5</v>
      </c>
      <c r="Y1761" t="str">
        <f t="shared" si="1116"/>
        <v>Oferta Gral.</v>
      </c>
      <c r="Z1761" t="str">
        <f t="shared" si="1117"/>
        <v>Rubro</v>
      </c>
      <c r="AA1761" t="str">
        <f t="shared" si="1118"/>
        <v>Cantidad por Bulto</v>
      </c>
      <c r="AB1761" t="str">
        <f t="shared" si="1119"/>
        <v>INNER</v>
      </c>
      <c r="AC1761" t="str">
        <f t="shared" si="1120"/>
        <v>Stock en Bultos</v>
      </c>
      <c r="AD1761" t="str">
        <f t="shared" si="1121"/>
        <v>SubDepósito</v>
      </c>
      <c r="AE1761" t="str">
        <f t="shared" si="1122"/>
        <v>Marca</v>
      </c>
      <c r="AF1761" t="str">
        <f t="shared" si="1123"/>
        <v>Super Rubro</v>
      </c>
      <c r="AG1761" t="str">
        <f t="shared" si="1124"/>
        <v>ComercioExterior</v>
      </c>
      <c r="AH1761" t="str">
        <f t="shared" si="1125"/>
        <v>PrecioFOB</v>
      </c>
      <c r="AI1761" t="str">
        <f t="shared" si="1126"/>
        <v>Monto II</v>
      </c>
      <c r="AJ1761" t="str">
        <f t="shared" si="1127"/>
        <v>Porcentaje II</v>
      </c>
      <c r="AK1761" t="str">
        <f t="shared" si="1128"/>
        <v>Foto</v>
      </c>
      <c r="AL1761" t="str">
        <f>"{\rtf1\ansi\ansicpg1252\deff0\deflang11274{\fonttbl{\f0\fnil\fcharset0 MS Sans Serif}} \viewkind4\uc1\pard\f0\fs16 CONTACTOR  RENAULT 9/TRAFIC 97\par } "</f>
        <v xml:space="preserve">{\rtf1\ansi\ansicpg1252\deff0\deflang11274{\fonttbl{\f0\fnil\fcharset0 MS Sans Serif}} \viewkind4\uc1\pard\f0\fs16 CONTACTOR  RENAULT 9/TRAFIC 97\par } </v>
      </c>
      <c r="AM1761" t="str">
        <f t="shared" si="1132"/>
        <v>-</v>
      </c>
    </row>
    <row r="1762" spans="1:39" x14ac:dyDescent="0.25">
      <c r="A1762" t="str">
        <f>"CON492"</f>
        <v>CON492</v>
      </c>
      <c r="B1762" t="str">
        <f>"CONTACTOR  RENAULT CLIO II SISTEMA K7(Y)"</f>
        <v>CONTACTOR  RENAULT CLIO II SISTEMA K7(Y)</v>
      </c>
      <c r="C1762" t="str">
        <f>"$ 8552,56"</f>
        <v>$ 8552,56</v>
      </c>
      <c r="D1762" t="str">
        <f>"$ 8552,56"</f>
        <v>$ 8552,56</v>
      </c>
      <c r="E1762" t="str">
        <f>"$ 8552,56"</f>
        <v>$ 8552,56</v>
      </c>
      <c r="F1762" t="str">
        <f>"$ 8552,56"</f>
        <v>$ 8552,56</v>
      </c>
      <c r="G1762" t="str">
        <f>"$ 8552,56"</f>
        <v>$ 8552,56</v>
      </c>
      <c r="H1762" t="str">
        <f t="shared" si="1111"/>
        <v>$ 0,00</v>
      </c>
      <c r="I1762" t="str">
        <f t="shared" si="1129"/>
        <v>CABLES CONTACTOR ARRANQUE</v>
      </c>
      <c r="J1762" t="str">
        <f t="shared" si="1112"/>
        <v>1</v>
      </c>
      <c r="K1762" t="str">
        <f t="shared" si="1106"/>
        <v>0</v>
      </c>
      <c r="L1762" t="str">
        <f>"0,000"</f>
        <v>0,000</v>
      </c>
      <c r="M1762" t="str">
        <f t="shared" si="1113"/>
        <v xml:space="preserve"> </v>
      </c>
      <c r="N1762" t="str">
        <f t="shared" si="1130"/>
        <v>OYSTER</v>
      </c>
      <c r="O1762" t="str">
        <f t="shared" si="1131"/>
        <v>CABLES</v>
      </c>
      <c r="P1762" t="str">
        <f t="shared" si="1135"/>
        <v>0</v>
      </c>
      <c r="Q1762" t="str">
        <f t="shared" si="1135"/>
        <v>0</v>
      </c>
      <c r="R1762" t="str">
        <f t="shared" si="1136"/>
        <v>0,00</v>
      </c>
      <c r="S1762" t="str">
        <f t="shared" si="1136"/>
        <v>0,00</v>
      </c>
      <c r="T1762" t="str">
        <f t="shared" si="1110"/>
        <v xml:space="preserve"> </v>
      </c>
      <c r="U1762" t="str">
        <f t="shared" si="1134"/>
        <v xml:space="preserve"> </v>
      </c>
      <c r="V1762" t="str">
        <f>"0,000"</f>
        <v>0,000</v>
      </c>
      <c r="W1762" t="str">
        <f t="shared" si="1114"/>
        <v>Lista 4</v>
      </c>
      <c r="X1762" t="str">
        <f t="shared" si="1115"/>
        <v>Lista 5</v>
      </c>
      <c r="Y1762" t="str">
        <f t="shared" si="1116"/>
        <v>Oferta Gral.</v>
      </c>
      <c r="Z1762" t="str">
        <f t="shared" si="1117"/>
        <v>Rubro</v>
      </c>
      <c r="AA1762" t="str">
        <f t="shared" si="1118"/>
        <v>Cantidad por Bulto</v>
      </c>
      <c r="AB1762" t="str">
        <f t="shared" si="1119"/>
        <v>INNER</v>
      </c>
      <c r="AC1762" t="str">
        <f t="shared" si="1120"/>
        <v>Stock en Bultos</v>
      </c>
      <c r="AD1762" t="str">
        <f t="shared" si="1121"/>
        <v>SubDepósito</v>
      </c>
      <c r="AE1762" t="str">
        <f t="shared" si="1122"/>
        <v>Marca</v>
      </c>
      <c r="AF1762" t="str">
        <f t="shared" si="1123"/>
        <v>Super Rubro</v>
      </c>
      <c r="AG1762" t="str">
        <f t="shared" si="1124"/>
        <v>ComercioExterior</v>
      </c>
      <c r="AH1762" t="str">
        <f t="shared" si="1125"/>
        <v>PrecioFOB</v>
      </c>
      <c r="AI1762" t="str">
        <f t="shared" si="1126"/>
        <v>Monto II</v>
      </c>
      <c r="AJ1762" t="str">
        <f t="shared" si="1127"/>
        <v>Porcentaje II</v>
      </c>
      <c r="AK1762" t="str">
        <f t="shared" si="1128"/>
        <v>Foto</v>
      </c>
      <c r="AL1762" t="str">
        <f>"{\rtf1\ansi\ansicpg1252\deff0\deflang11274{\fonttbl{\f0\fnil\fcharset0 MS Sans Serif}} \viewkind4\uc1\pard\f0\fs16 CONTACTOR  RENAULT CLIO II SISTEMA K7(Y)\par } "</f>
        <v xml:space="preserve">{\rtf1\ansi\ansicpg1252\deff0\deflang11274{\fonttbl{\f0\fnil\fcharset0 MS Sans Serif}} \viewkind4\uc1\pard\f0\fs16 CONTACTOR  RENAULT CLIO II SISTEMA K7(Y)\par } </v>
      </c>
      <c r="AM1762" t="str">
        <f t="shared" si="1132"/>
        <v>-</v>
      </c>
    </row>
    <row r="1763" spans="1:39" x14ac:dyDescent="0.25">
      <c r="A1763" t="str">
        <f>"CON459"</f>
        <v>CON459</v>
      </c>
      <c r="B1763" t="str">
        <f>"CONTACTOR  RENAULT CLIO................. SISTEMA K7 (Y)"</f>
        <v>CONTACTOR  RENAULT CLIO................. SISTEMA K7 (Y)</v>
      </c>
      <c r="C1763" t="str">
        <f t="shared" ref="C1763:G1764" si="1139">"$ 7150,12"</f>
        <v>$ 7150,12</v>
      </c>
      <c r="D1763" t="str">
        <f t="shared" si="1139"/>
        <v>$ 7150,12</v>
      </c>
      <c r="E1763" t="str">
        <f t="shared" si="1139"/>
        <v>$ 7150,12</v>
      </c>
      <c r="F1763" t="str">
        <f t="shared" si="1139"/>
        <v>$ 7150,12</v>
      </c>
      <c r="G1763" t="str">
        <f t="shared" si="1139"/>
        <v>$ 7150,12</v>
      </c>
      <c r="H1763" t="str">
        <f t="shared" si="1111"/>
        <v>$ 0,00</v>
      </c>
      <c r="I1763" t="str">
        <f t="shared" si="1129"/>
        <v>CABLES CONTACTOR ARRANQUE</v>
      </c>
      <c r="J1763" t="str">
        <f t="shared" si="1112"/>
        <v>1</v>
      </c>
      <c r="K1763" t="str">
        <f t="shared" si="1106"/>
        <v>0</v>
      </c>
      <c r="L1763" t="str">
        <f>"0,000"</f>
        <v>0,000</v>
      </c>
      <c r="M1763" t="str">
        <f t="shared" si="1113"/>
        <v xml:space="preserve"> </v>
      </c>
      <c r="N1763" t="str">
        <f t="shared" si="1130"/>
        <v>OYSTER</v>
      </c>
      <c r="O1763" t="str">
        <f t="shared" si="1131"/>
        <v>CABLES</v>
      </c>
      <c r="P1763" t="str">
        <f t="shared" ref="P1763:Q1782" si="1140">"0"</f>
        <v>0</v>
      </c>
      <c r="Q1763" t="str">
        <f t="shared" si="1140"/>
        <v>0</v>
      </c>
      <c r="R1763" t="str">
        <f t="shared" ref="R1763:S1782" si="1141">"0,00"</f>
        <v>0,00</v>
      </c>
      <c r="S1763" t="str">
        <f t="shared" si="1141"/>
        <v>0,00</v>
      </c>
      <c r="T1763" t="str">
        <f t="shared" si="1110"/>
        <v xml:space="preserve"> </v>
      </c>
      <c r="U1763" t="str">
        <f t="shared" si="1134"/>
        <v xml:space="preserve"> </v>
      </c>
      <c r="V1763" t="str">
        <f>"0,000"</f>
        <v>0,000</v>
      </c>
      <c r="W1763" t="str">
        <f t="shared" si="1114"/>
        <v>Lista 4</v>
      </c>
      <c r="X1763" t="str">
        <f t="shared" si="1115"/>
        <v>Lista 5</v>
      </c>
      <c r="Y1763" t="str">
        <f t="shared" si="1116"/>
        <v>Oferta Gral.</v>
      </c>
      <c r="Z1763" t="str">
        <f t="shared" si="1117"/>
        <v>Rubro</v>
      </c>
      <c r="AA1763" t="str">
        <f t="shared" si="1118"/>
        <v>Cantidad por Bulto</v>
      </c>
      <c r="AB1763" t="str">
        <f t="shared" si="1119"/>
        <v>INNER</v>
      </c>
      <c r="AC1763" t="str">
        <f t="shared" si="1120"/>
        <v>Stock en Bultos</v>
      </c>
      <c r="AD1763" t="str">
        <f t="shared" si="1121"/>
        <v>SubDepósito</v>
      </c>
      <c r="AE1763" t="str">
        <f t="shared" si="1122"/>
        <v>Marca</v>
      </c>
      <c r="AF1763" t="str">
        <f t="shared" si="1123"/>
        <v>Super Rubro</v>
      </c>
      <c r="AG1763" t="str">
        <f t="shared" si="1124"/>
        <v>ComercioExterior</v>
      </c>
      <c r="AH1763" t="str">
        <f t="shared" si="1125"/>
        <v>PrecioFOB</v>
      </c>
      <c r="AI1763" t="str">
        <f t="shared" si="1126"/>
        <v>Monto II</v>
      </c>
      <c r="AJ1763" t="str">
        <f t="shared" si="1127"/>
        <v>Porcentaje II</v>
      </c>
      <c r="AK1763" t="str">
        <f t="shared" si="1128"/>
        <v>Foto</v>
      </c>
      <c r="AL1763" t="str">
        <f>"{\rtf1\ansi\ansicpg1252\deff0\deflang11274{\fonttbl{\f0\fnil\fcharset0 MS Sans Serif}} \viewkind4\uc1\pard\f0\fs16 CONTACTOR  RENAULT CLIO................. SISTEMA K7 (Y)\par } "</f>
        <v xml:space="preserve">{\rtf1\ansi\ansicpg1252\deff0\deflang11274{\fonttbl{\f0\fnil\fcharset0 MS Sans Serif}} \viewkind4\uc1\pard\f0\fs16 CONTACTOR  RENAULT CLIO................. SISTEMA K7 (Y)\par } </v>
      </c>
      <c r="AM1763" t="str">
        <f t="shared" si="1132"/>
        <v>-</v>
      </c>
    </row>
    <row r="1764" spans="1:39" x14ac:dyDescent="0.25">
      <c r="A1764" t="str">
        <f>"CON481"</f>
        <v>CON481</v>
      </c>
      <c r="B1764" t="str">
        <f>"CONTACTOR  RENAULT EXPRESS ............. SISTEMA K7 (Y)"</f>
        <v>CONTACTOR  RENAULT EXPRESS ............. SISTEMA K7 (Y)</v>
      </c>
      <c r="C1764" t="str">
        <f t="shared" si="1139"/>
        <v>$ 7150,12</v>
      </c>
      <c r="D1764" t="str">
        <f t="shared" si="1139"/>
        <v>$ 7150,12</v>
      </c>
      <c r="E1764" t="str">
        <f t="shared" si="1139"/>
        <v>$ 7150,12</v>
      </c>
      <c r="F1764" t="str">
        <f t="shared" si="1139"/>
        <v>$ 7150,12</v>
      </c>
      <c r="G1764" t="str">
        <f t="shared" si="1139"/>
        <v>$ 7150,12</v>
      </c>
      <c r="H1764" t="str">
        <f t="shared" si="1111"/>
        <v>$ 0,00</v>
      </c>
      <c r="I1764" t="str">
        <f t="shared" si="1129"/>
        <v>CABLES CONTACTOR ARRANQUE</v>
      </c>
      <c r="J1764" t="str">
        <f t="shared" si="1112"/>
        <v>1</v>
      </c>
      <c r="K1764" t="str">
        <f t="shared" si="1106"/>
        <v>0</v>
      </c>
      <c r="L1764" t="str">
        <f>"2,000"</f>
        <v>2,000</v>
      </c>
      <c r="M1764" t="str">
        <f t="shared" si="1113"/>
        <v xml:space="preserve"> </v>
      </c>
      <c r="N1764" t="str">
        <f t="shared" si="1130"/>
        <v>OYSTER</v>
      </c>
      <c r="O1764" t="str">
        <f t="shared" si="1131"/>
        <v>CABLES</v>
      </c>
      <c r="P1764" t="str">
        <f t="shared" si="1140"/>
        <v>0</v>
      </c>
      <c r="Q1764" t="str">
        <f t="shared" si="1140"/>
        <v>0</v>
      </c>
      <c r="R1764" t="str">
        <f t="shared" si="1141"/>
        <v>0,00</v>
      </c>
      <c r="S1764" t="str">
        <f t="shared" si="1141"/>
        <v>0,00</v>
      </c>
      <c r="T1764" t="str">
        <f t="shared" si="1110"/>
        <v xml:space="preserve"> </v>
      </c>
      <c r="U1764" t="str">
        <f t="shared" si="1134"/>
        <v xml:space="preserve"> </v>
      </c>
      <c r="V1764" t="str">
        <f>"2,000"</f>
        <v>2,000</v>
      </c>
      <c r="W1764" t="str">
        <f t="shared" si="1114"/>
        <v>Lista 4</v>
      </c>
      <c r="X1764" t="str">
        <f t="shared" si="1115"/>
        <v>Lista 5</v>
      </c>
      <c r="Y1764" t="str">
        <f t="shared" si="1116"/>
        <v>Oferta Gral.</v>
      </c>
      <c r="Z1764" t="str">
        <f t="shared" si="1117"/>
        <v>Rubro</v>
      </c>
      <c r="AA1764" t="str">
        <f t="shared" si="1118"/>
        <v>Cantidad por Bulto</v>
      </c>
      <c r="AB1764" t="str">
        <f t="shared" si="1119"/>
        <v>INNER</v>
      </c>
      <c r="AC1764" t="str">
        <f t="shared" si="1120"/>
        <v>Stock en Bultos</v>
      </c>
      <c r="AD1764" t="str">
        <f t="shared" si="1121"/>
        <v>SubDepósito</v>
      </c>
      <c r="AE1764" t="str">
        <f t="shared" si="1122"/>
        <v>Marca</v>
      </c>
      <c r="AF1764" t="str">
        <f t="shared" si="1123"/>
        <v>Super Rubro</v>
      </c>
      <c r="AG1764" t="str">
        <f t="shared" si="1124"/>
        <v>ComercioExterior</v>
      </c>
      <c r="AH1764" t="str">
        <f t="shared" si="1125"/>
        <v>PrecioFOB</v>
      </c>
      <c r="AI1764" t="str">
        <f t="shared" si="1126"/>
        <v>Monto II</v>
      </c>
      <c r="AJ1764" t="str">
        <f t="shared" si="1127"/>
        <v>Porcentaje II</v>
      </c>
      <c r="AK1764" t="str">
        <f t="shared" si="1128"/>
        <v>Foto</v>
      </c>
      <c r="AL1764" t="str">
        <f>"{\rtf1\ansi\ansicpg1252\deff0\deflang11274{\fonttbl{\f0\fnil\fcharset0 MS Sans Serif}} \viewkind4\uc1\pard\f0\fs16 CONTACTOR  RENAULT EXPRESS ............. SISTEMA K7 (Y)\par } "</f>
        <v xml:space="preserve">{\rtf1\ansi\ansicpg1252\deff0\deflang11274{\fonttbl{\f0\fnil\fcharset0 MS Sans Serif}} \viewkind4\uc1\pard\f0\fs16 CONTACTOR  RENAULT EXPRESS ............. SISTEMA K7 (Y)\par } </v>
      </c>
      <c r="AM1764" t="str">
        <f t="shared" si="1132"/>
        <v>-</v>
      </c>
    </row>
    <row r="1765" spans="1:39" x14ac:dyDescent="0.25">
      <c r="A1765" t="str">
        <f>"CON485"</f>
        <v>CON485</v>
      </c>
      <c r="B1765" t="str">
        <f>"CONTACTOR  RENAULT MEGANE – SCENIC II .. SISTEMA K7 (Y)"</f>
        <v>CONTACTOR  RENAULT MEGANE – SCENIC II .. SISTEMA K7 (Y)</v>
      </c>
      <c r="C1765" t="str">
        <f>"$ 8782,47"</f>
        <v>$ 8782,47</v>
      </c>
      <c r="D1765" t="str">
        <f>"$ 8782,47"</f>
        <v>$ 8782,47</v>
      </c>
      <c r="E1765" t="str">
        <f>"$ 8782,47"</f>
        <v>$ 8782,47</v>
      </c>
      <c r="F1765" t="str">
        <f>"$ 8782,47"</f>
        <v>$ 8782,47</v>
      </c>
      <c r="G1765" t="str">
        <f>"$ 8782,47"</f>
        <v>$ 8782,47</v>
      </c>
      <c r="H1765" t="str">
        <f t="shared" si="1111"/>
        <v>$ 0,00</v>
      </c>
      <c r="I1765" t="str">
        <f t="shared" si="1129"/>
        <v>CABLES CONTACTOR ARRANQUE</v>
      </c>
      <c r="J1765" t="str">
        <f t="shared" si="1112"/>
        <v>1</v>
      </c>
      <c r="K1765" t="str">
        <f t="shared" si="1106"/>
        <v>0</v>
      </c>
      <c r="L1765" t="str">
        <f>"3,000"</f>
        <v>3,000</v>
      </c>
      <c r="M1765" t="str">
        <f t="shared" si="1113"/>
        <v xml:space="preserve"> </v>
      </c>
      <c r="N1765" t="str">
        <f t="shared" si="1130"/>
        <v>OYSTER</v>
      </c>
      <c r="O1765" t="str">
        <f t="shared" si="1131"/>
        <v>CABLES</v>
      </c>
      <c r="P1765" t="str">
        <f t="shared" si="1140"/>
        <v>0</v>
      </c>
      <c r="Q1765" t="str">
        <f t="shared" si="1140"/>
        <v>0</v>
      </c>
      <c r="R1765" t="str">
        <f t="shared" si="1141"/>
        <v>0,00</v>
      </c>
      <c r="S1765" t="str">
        <f t="shared" si="1141"/>
        <v>0,00</v>
      </c>
      <c r="T1765" t="str">
        <f t="shared" si="1110"/>
        <v xml:space="preserve"> </v>
      </c>
      <c r="U1765" t="str">
        <f t="shared" si="1134"/>
        <v xml:space="preserve"> </v>
      </c>
      <c r="V1765" t="str">
        <f>"3,000"</f>
        <v>3,000</v>
      </c>
      <c r="W1765" t="str">
        <f t="shared" si="1114"/>
        <v>Lista 4</v>
      </c>
      <c r="X1765" t="str">
        <f t="shared" si="1115"/>
        <v>Lista 5</v>
      </c>
      <c r="Y1765" t="str">
        <f t="shared" si="1116"/>
        <v>Oferta Gral.</v>
      </c>
      <c r="Z1765" t="str">
        <f t="shared" si="1117"/>
        <v>Rubro</v>
      </c>
      <c r="AA1765" t="str">
        <f t="shared" si="1118"/>
        <v>Cantidad por Bulto</v>
      </c>
      <c r="AB1765" t="str">
        <f t="shared" si="1119"/>
        <v>INNER</v>
      </c>
      <c r="AC1765" t="str">
        <f t="shared" si="1120"/>
        <v>Stock en Bultos</v>
      </c>
      <c r="AD1765" t="str">
        <f t="shared" si="1121"/>
        <v>SubDepósito</v>
      </c>
      <c r="AE1765" t="str">
        <f t="shared" si="1122"/>
        <v>Marca</v>
      </c>
      <c r="AF1765" t="str">
        <f t="shared" si="1123"/>
        <v>Super Rubro</v>
      </c>
      <c r="AG1765" t="str">
        <f t="shared" si="1124"/>
        <v>ComercioExterior</v>
      </c>
      <c r="AH1765" t="str">
        <f t="shared" si="1125"/>
        <v>PrecioFOB</v>
      </c>
      <c r="AI1765" t="str">
        <f t="shared" si="1126"/>
        <v>Monto II</v>
      </c>
      <c r="AJ1765" t="str">
        <f t="shared" si="1127"/>
        <v>Porcentaje II</v>
      </c>
      <c r="AK1765" t="str">
        <f t="shared" si="1128"/>
        <v>Foto</v>
      </c>
      <c r="AL1765" t="str">
        <f>"{\rtf1\ansi\ansicpg1252\deff0\deflang11274{\fonttbl{\f0\fnil\fcharset0 MS Sans Serif}} \viewkind4\uc1\pard\f0\fs16 CONTACTOR  RENAULT MEGANE \endash  SCENIC II .. SISTEMA K7 (Y)\par } "</f>
        <v xml:space="preserve">{\rtf1\ansi\ansicpg1252\deff0\deflang11274{\fonttbl{\f0\fnil\fcharset0 MS Sans Serif}} \viewkind4\uc1\pard\f0\fs16 CONTACTOR  RENAULT MEGANE \endash  SCENIC II .. SISTEMA K7 (Y)\par } </v>
      </c>
      <c r="AM1765" t="str">
        <f t="shared" si="1132"/>
        <v>-</v>
      </c>
    </row>
    <row r="1766" spans="1:39" x14ac:dyDescent="0.25">
      <c r="A1766" t="str">
        <f>"CON486"</f>
        <v>CON486</v>
      </c>
      <c r="B1766" t="str">
        <f>"CONTACTOR  TWINGO ...................... SISTEMA K7 (Y)"</f>
        <v>CONTACTOR  TWINGO ...................... SISTEMA K7 (Y)</v>
      </c>
      <c r="C1766" t="str">
        <f>"$ 8345,64"</f>
        <v>$ 8345,64</v>
      </c>
      <c r="D1766" t="str">
        <f>"$ 8345,64"</f>
        <v>$ 8345,64</v>
      </c>
      <c r="E1766" t="str">
        <f>"$ 8345,64"</f>
        <v>$ 8345,64</v>
      </c>
      <c r="F1766" t="str">
        <f>"$ 8345,64"</f>
        <v>$ 8345,64</v>
      </c>
      <c r="G1766" t="str">
        <f>"$ 8345,64"</f>
        <v>$ 8345,64</v>
      </c>
      <c r="H1766" t="str">
        <f t="shared" si="1111"/>
        <v>$ 0,00</v>
      </c>
      <c r="I1766" t="str">
        <f t="shared" si="1129"/>
        <v>CABLES CONTACTOR ARRANQUE</v>
      </c>
      <c r="J1766" t="str">
        <f t="shared" si="1112"/>
        <v>1</v>
      </c>
      <c r="K1766" t="str">
        <f t="shared" si="1106"/>
        <v>0</v>
      </c>
      <c r="L1766" t="str">
        <f>"2,000"</f>
        <v>2,000</v>
      </c>
      <c r="M1766" t="str">
        <f t="shared" si="1113"/>
        <v xml:space="preserve"> </v>
      </c>
      <c r="N1766" t="str">
        <f t="shared" si="1130"/>
        <v>OYSTER</v>
      </c>
      <c r="O1766" t="str">
        <f t="shared" si="1131"/>
        <v>CABLES</v>
      </c>
      <c r="P1766" t="str">
        <f t="shared" si="1140"/>
        <v>0</v>
      </c>
      <c r="Q1766" t="str">
        <f t="shared" si="1140"/>
        <v>0</v>
      </c>
      <c r="R1766" t="str">
        <f t="shared" si="1141"/>
        <v>0,00</v>
      </c>
      <c r="S1766" t="str">
        <f t="shared" si="1141"/>
        <v>0,00</v>
      </c>
      <c r="T1766" t="str">
        <f t="shared" si="1110"/>
        <v xml:space="preserve"> </v>
      </c>
      <c r="U1766" t="str">
        <f t="shared" si="1134"/>
        <v xml:space="preserve"> </v>
      </c>
      <c r="V1766" t="str">
        <f>"2,000"</f>
        <v>2,000</v>
      </c>
      <c r="W1766" t="str">
        <f t="shared" si="1114"/>
        <v>Lista 4</v>
      </c>
      <c r="X1766" t="str">
        <f t="shared" si="1115"/>
        <v>Lista 5</v>
      </c>
      <c r="Y1766" t="str">
        <f t="shared" si="1116"/>
        <v>Oferta Gral.</v>
      </c>
      <c r="Z1766" t="str">
        <f t="shared" si="1117"/>
        <v>Rubro</v>
      </c>
      <c r="AA1766" t="str">
        <f t="shared" si="1118"/>
        <v>Cantidad por Bulto</v>
      </c>
      <c r="AB1766" t="str">
        <f t="shared" si="1119"/>
        <v>INNER</v>
      </c>
      <c r="AC1766" t="str">
        <f t="shared" si="1120"/>
        <v>Stock en Bultos</v>
      </c>
      <c r="AD1766" t="str">
        <f t="shared" si="1121"/>
        <v>SubDepósito</v>
      </c>
      <c r="AE1766" t="str">
        <f t="shared" si="1122"/>
        <v>Marca</v>
      </c>
      <c r="AF1766" t="str">
        <f t="shared" si="1123"/>
        <v>Super Rubro</v>
      </c>
      <c r="AG1766" t="str">
        <f t="shared" si="1124"/>
        <v>ComercioExterior</v>
      </c>
      <c r="AH1766" t="str">
        <f t="shared" si="1125"/>
        <v>PrecioFOB</v>
      </c>
      <c r="AI1766" t="str">
        <f t="shared" si="1126"/>
        <v>Monto II</v>
      </c>
      <c r="AJ1766" t="str">
        <f t="shared" si="1127"/>
        <v>Porcentaje II</v>
      </c>
      <c r="AK1766" t="str">
        <f t="shared" si="1128"/>
        <v>Foto</v>
      </c>
      <c r="AL1766" t="str">
        <f>"{\rtf1\ansi\ansicpg1252\deff0\deflang11274{\fonttbl{\f0\fnil\fcharset0 MS Sans Serif}} \viewkind4\uc1\pard\f0\fs16 CONTACTOR  TWINGO ...................... SISTEMA K7 (Y)\par } "</f>
        <v xml:space="preserve">{\rtf1\ansi\ansicpg1252\deff0\deflang11274{\fonttbl{\f0\fnil\fcharset0 MS Sans Serif}} \viewkind4\uc1\pard\f0\fs16 CONTACTOR  TWINGO ...................... SISTEMA K7 (Y)\par } </v>
      </c>
      <c r="AM1766" t="str">
        <f t="shared" si="1132"/>
        <v>-</v>
      </c>
    </row>
    <row r="1767" spans="1:39" x14ac:dyDescent="0.25">
      <c r="A1767" t="str">
        <f>"M1007"</f>
        <v>M1007</v>
      </c>
      <c r="B1767" t="str">
        <f>"CORSA MPFI MULTIPUNTO"</f>
        <v>CORSA MPFI MULTIPUNTO</v>
      </c>
      <c r="C1767" t="str">
        <f>"$ 12797,79"</f>
        <v>$ 12797,79</v>
      </c>
      <c r="D1767" t="str">
        <f>"$ 12797,79"</f>
        <v>$ 12797,79</v>
      </c>
      <c r="E1767" t="str">
        <f>"$ 12797,79"</f>
        <v>$ 12797,79</v>
      </c>
      <c r="F1767" t="str">
        <f>"$ 12797,79"</f>
        <v>$ 12797,79</v>
      </c>
      <c r="G1767" t="str">
        <f>"$ 12797,79"</f>
        <v>$ 12797,79</v>
      </c>
      <c r="H1767" t="str">
        <f t="shared" si="1111"/>
        <v>$ 0,00</v>
      </c>
      <c r="I1767" t="str">
        <f>"SENSOR MARIPOSA TPS"</f>
        <v>SENSOR MARIPOSA TPS</v>
      </c>
      <c r="J1767" t="str">
        <f t="shared" si="1112"/>
        <v>1</v>
      </c>
      <c r="K1767" t="str">
        <f t="shared" si="1106"/>
        <v>0</v>
      </c>
      <c r="L1767" t="str">
        <f>"2,000"</f>
        <v>2,000</v>
      </c>
      <c r="M1767" t="str">
        <f t="shared" si="1113"/>
        <v xml:space="preserve"> </v>
      </c>
      <c r="N1767" t="str">
        <f>"FISPA"</f>
        <v>FISPA</v>
      </c>
      <c r="O1767" t="str">
        <f>"SENSORES"</f>
        <v>SENSORES</v>
      </c>
      <c r="P1767" t="str">
        <f t="shared" si="1140"/>
        <v>0</v>
      </c>
      <c r="Q1767" t="str">
        <f t="shared" si="1140"/>
        <v>0</v>
      </c>
      <c r="R1767" t="str">
        <f t="shared" si="1141"/>
        <v>0,00</v>
      </c>
      <c r="S1767" t="str">
        <f t="shared" si="1141"/>
        <v>0,00</v>
      </c>
      <c r="T1767" t="str">
        <f t="shared" si="1110"/>
        <v xml:space="preserve"> </v>
      </c>
      <c r="U1767" t="str">
        <f t="shared" si="1134"/>
        <v xml:space="preserve"> </v>
      </c>
      <c r="V1767" t="str">
        <f>"2,000"</f>
        <v>2,000</v>
      </c>
      <c r="W1767" t="str">
        <f t="shared" si="1114"/>
        <v>Lista 4</v>
      </c>
      <c r="X1767" t="str">
        <f t="shared" si="1115"/>
        <v>Lista 5</v>
      </c>
      <c r="Y1767" t="str">
        <f t="shared" si="1116"/>
        <v>Oferta Gral.</v>
      </c>
      <c r="Z1767" t="str">
        <f t="shared" si="1117"/>
        <v>Rubro</v>
      </c>
      <c r="AA1767" t="str">
        <f t="shared" si="1118"/>
        <v>Cantidad por Bulto</v>
      </c>
      <c r="AB1767" t="str">
        <f t="shared" si="1119"/>
        <v>INNER</v>
      </c>
      <c r="AC1767" t="str">
        <f t="shared" si="1120"/>
        <v>Stock en Bultos</v>
      </c>
      <c r="AD1767" t="str">
        <f t="shared" si="1121"/>
        <v>SubDepósito</v>
      </c>
      <c r="AE1767" t="str">
        <f t="shared" si="1122"/>
        <v>Marca</v>
      </c>
      <c r="AF1767" t="str">
        <f t="shared" si="1123"/>
        <v>Super Rubro</v>
      </c>
      <c r="AG1767" t="str">
        <f t="shared" si="1124"/>
        <v>ComercioExterior</v>
      </c>
      <c r="AH1767" t="str">
        <f t="shared" si="1125"/>
        <v>PrecioFOB</v>
      </c>
      <c r="AI1767" t="str">
        <f t="shared" si="1126"/>
        <v>Monto II</v>
      </c>
      <c r="AJ1767" t="str">
        <f t="shared" si="1127"/>
        <v>Porcentaje II</v>
      </c>
      <c r="AK1767" t="str">
        <f t="shared" si="1128"/>
        <v>Foto</v>
      </c>
      <c r="AL1767" t="str">
        <f>" "</f>
        <v xml:space="preserve"> </v>
      </c>
      <c r="AM1767" t="str">
        <f t="shared" si="1132"/>
        <v>-</v>
      </c>
    </row>
    <row r="1768" spans="1:39" x14ac:dyDescent="0.25">
      <c r="A1768" t="str">
        <f>"CV013"</f>
        <v>CV013</v>
      </c>
      <c r="B1768" t="str">
        <f>"CUBRE VOLANTE CUERO NEGRO/BLANCO"</f>
        <v>CUBRE VOLANTE CUERO NEGRO/BLANCO</v>
      </c>
      <c r="C1768" t="str">
        <f>"$ 13250,24"</f>
        <v>$ 13250,24</v>
      </c>
      <c r="D1768" t="str">
        <f>"$ 13250,24"</f>
        <v>$ 13250,24</v>
      </c>
      <c r="E1768" t="str">
        <f>"$ 13250,24"</f>
        <v>$ 13250,24</v>
      </c>
      <c r="F1768" t="str">
        <f>"$ 13250,24"</f>
        <v>$ 13250,24</v>
      </c>
      <c r="G1768" t="str">
        <f>"$ 13250,24"</f>
        <v>$ 13250,24</v>
      </c>
      <c r="H1768" t="str">
        <f t="shared" si="1111"/>
        <v>$ 0,00</v>
      </c>
      <c r="I1768" t="str">
        <f>"CUBREVOLANTES"</f>
        <v>CUBREVOLANTES</v>
      </c>
      <c r="J1768" t="str">
        <f t="shared" si="1112"/>
        <v>1</v>
      </c>
      <c r="K1768" t="str">
        <f t="shared" si="1106"/>
        <v>0</v>
      </c>
      <c r="L1768" t="str">
        <f>"2,000"</f>
        <v>2,000</v>
      </c>
      <c r="M1768" t="str">
        <f t="shared" si="1113"/>
        <v xml:space="preserve"> </v>
      </c>
      <c r="N1768" t="str">
        <f t="shared" ref="N1768:N1787" si="1142">"OREGON"</f>
        <v>OREGON</v>
      </c>
      <c r="O1768" t="str">
        <f>"CUBREVOLANTES"</f>
        <v>CUBREVOLANTES</v>
      </c>
      <c r="P1768" t="str">
        <f t="shared" si="1140"/>
        <v>0</v>
      </c>
      <c r="Q1768" t="str">
        <f t="shared" si="1140"/>
        <v>0</v>
      </c>
      <c r="R1768" t="str">
        <f t="shared" si="1141"/>
        <v>0,00</v>
      </c>
      <c r="S1768" t="str">
        <f t="shared" si="1141"/>
        <v>0,00</v>
      </c>
      <c r="T1768" t="str">
        <f t="shared" si="1110"/>
        <v xml:space="preserve"> </v>
      </c>
      <c r="U1768" t="str">
        <f t="shared" si="1134"/>
        <v xml:space="preserve"> </v>
      </c>
      <c r="V1768" t="str">
        <f>"2,000"</f>
        <v>2,000</v>
      </c>
      <c r="W1768" t="str">
        <f t="shared" si="1114"/>
        <v>Lista 4</v>
      </c>
      <c r="X1768" t="str">
        <f t="shared" si="1115"/>
        <v>Lista 5</v>
      </c>
      <c r="Y1768" t="str">
        <f t="shared" si="1116"/>
        <v>Oferta Gral.</v>
      </c>
      <c r="Z1768" t="str">
        <f t="shared" si="1117"/>
        <v>Rubro</v>
      </c>
      <c r="AA1768" t="str">
        <f t="shared" si="1118"/>
        <v>Cantidad por Bulto</v>
      </c>
      <c r="AB1768" t="str">
        <f t="shared" si="1119"/>
        <v>INNER</v>
      </c>
      <c r="AC1768" t="str">
        <f t="shared" si="1120"/>
        <v>Stock en Bultos</v>
      </c>
      <c r="AD1768" t="str">
        <f t="shared" si="1121"/>
        <v>SubDepósito</v>
      </c>
      <c r="AE1768" t="str">
        <f t="shared" si="1122"/>
        <v>Marca</v>
      </c>
      <c r="AF1768" t="str">
        <f t="shared" si="1123"/>
        <v>Super Rubro</v>
      </c>
      <c r="AG1768" t="str">
        <f t="shared" si="1124"/>
        <v>ComercioExterior</v>
      </c>
      <c r="AH1768" t="str">
        <f t="shared" si="1125"/>
        <v>PrecioFOB</v>
      </c>
      <c r="AI1768" t="str">
        <f t="shared" si="1126"/>
        <v>Monto II</v>
      </c>
      <c r="AJ1768" t="str">
        <f t="shared" si="1127"/>
        <v>Porcentaje II</v>
      </c>
      <c r="AK1768" t="str">
        <f t="shared" si="1128"/>
        <v>Foto</v>
      </c>
      <c r="AL1768" t="str">
        <f>"{\rtf1\ansi\ansicpg1252\deff0\deflang11274{\fonttbl{\f0\fnil\fcharset0 MS Sans Serif}} \viewkind4\uc1\pard\f0\fs16 CUBRE VOLANTE CUERO NEGRO/BLANCO\par } "</f>
        <v xml:space="preserve">{\rtf1\ansi\ansicpg1252\deff0\deflang11274{\fonttbl{\f0\fnil\fcharset0 MS Sans Serif}} \viewkind4\uc1\pard\f0\fs16 CUBRE VOLANTE CUERO NEGRO/BLANCO\par } </v>
      </c>
      <c r="AM1768" t="str">
        <f t="shared" si="1132"/>
        <v>-</v>
      </c>
    </row>
    <row r="1769" spans="1:39" x14ac:dyDescent="0.25">
      <c r="A1769" t="str">
        <f>"CV014"</f>
        <v>CV014</v>
      </c>
      <c r="B1769" t="str">
        <f>"CUBRE VOLANTE CUERO NGRO/ROJO"</f>
        <v>CUBRE VOLANTE CUERO NGRO/ROJO</v>
      </c>
      <c r="C1769" t="str">
        <f>"$ 12901,83"</f>
        <v>$ 12901,83</v>
      </c>
      <c r="D1769" t="str">
        <f>"$ 12901,83"</f>
        <v>$ 12901,83</v>
      </c>
      <c r="E1769" t="str">
        <f>"$ 12901,83"</f>
        <v>$ 12901,83</v>
      </c>
      <c r="F1769" t="str">
        <f>"$ 12901,83"</f>
        <v>$ 12901,83</v>
      </c>
      <c r="G1769" t="str">
        <f>"$ 12901,83"</f>
        <v>$ 12901,83</v>
      </c>
      <c r="H1769" t="str">
        <f t="shared" si="1111"/>
        <v>$ 0,00</v>
      </c>
      <c r="I1769" t="str">
        <f>"CUBREVOLANTES"</f>
        <v>CUBREVOLANTES</v>
      </c>
      <c r="J1769" t="str">
        <f t="shared" si="1112"/>
        <v>1</v>
      </c>
      <c r="K1769" t="str">
        <f t="shared" si="1106"/>
        <v>0</v>
      </c>
      <c r="L1769" t="str">
        <f>"1,000"</f>
        <v>1,000</v>
      </c>
      <c r="M1769" t="str">
        <f t="shared" si="1113"/>
        <v xml:space="preserve"> </v>
      </c>
      <c r="N1769" t="str">
        <f t="shared" si="1142"/>
        <v>OREGON</v>
      </c>
      <c r="O1769" t="str">
        <f>"CUBREVOLANTES"</f>
        <v>CUBREVOLANTES</v>
      </c>
      <c r="P1769" t="str">
        <f t="shared" si="1140"/>
        <v>0</v>
      </c>
      <c r="Q1769" t="str">
        <f t="shared" si="1140"/>
        <v>0</v>
      </c>
      <c r="R1769" t="str">
        <f t="shared" si="1141"/>
        <v>0,00</v>
      </c>
      <c r="S1769" t="str">
        <f t="shared" si="1141"/>
        <v>0,00</v>
      </c>
      <c r="T1769" t="str">
        <f t="shared" si="1110"/>
        <v xml:space="preserve"> </v>
      </c>
      <c r="U1769" t="str">
        <f t="shared" si="1134"/>
        <v xml:space="preserve"> </v>
      </c>
      <c r="V1769" t="str">
        <f>"1,000"</f>
        <v>1,000</v>
      </c>
      <c r="W1769" t="str">
        <f t="shared" si="1114"/>
        <v>Lista 4</v>
      </c>
      <c r="X1769" t="str">
        <f t="shared" si="1115"/>
        <v>Lista 5</v>
      </c>
      <c r="Y1769" t="str">
        <f t="shared" si="1116"/>
        <v>Oferta Gral.</v>
      </c>
      <c r="Z1769" t="str">
        <f t="shared" si="1117"/>
        <v>Rubro</v>
      </c>
      <c r="AA1769" t="str">
        <f t="shared" si="1118"/>
        <v>Cantidad por Bulto</v>
      </c>
      <c r="AB1769" t="str">
        <f t="shared" si="1119"/>
        <v>INNER</v>
      </c>
      <c r="AC1769" t="str">
        <f t="shared" si="1120"/>
        <v>Stock en Bultos</v>
      </c>
      <c r="AD1769" t="str">
        <f t="shared" si="1121"/>
        <v>SubDepósito</v>
      </c>
      <c r="AE1769" t="str">
        <f t="shared" si="1122"/>
        <v>Marca</v>
      </c>
      <c r="AF1769" t="str">
        <f t="shared" si="1123"/>
        <v>Super Rubro</v>
      </c>
      <c r="AG1769" t="str">
        <f t="shared" si="1124"/>
        <v>ComercioExterior</v>
      </c>
      <c r="AH1769" t="str">
        <f t="shared" si="1125"/>
        <v>PrecioFOB</v>
      </c>
      <c r="AI1769" t="str">
        <f t="shared" si="1126"/>
        <v>Monto II</v>
      </c>
      <c r="AJ1769" t="str">
        <f t="shared" si="1127"/>
        <v>Porcentaje II</v>
      </c>
      <c r="AK1769" t="str">
        <f t="shared" si="1128"/>
        <v>Foto</v>
      </c>
      <c r="AL1769" t="str">
        <f>"{\rtf1\ansi\ansicpg1252\deff0\deflang11274{\fonttbl{\f0\fnil\fcharset0 MS Sans Serif}} \viewkind4\uc1\pard\f0\fs16 CUBRE VOLANTE CUERO NGRO/ROJO\par } "</f>
        <v xml:space="preserve">{\rtf1\ansi\ansicpg1252\deff0\deflang11274{\fonttbl{\f0\fnil\fcharset0 MS Sans Serif}} \viewkind4\uc1\pard\f0\fs16 CUBRE VOLANTE CUERO NGRO/ROJO\par } </v>
      </c>
      <c r="AM1769" t="str">
        <f>" "</f>
        <v xml:space="preserve"> </v>
      </c>
    </row>
    <row r="1770" spans="1:39" x14ac:dyDescent="0.25">
      <c r="A1770" t="str">
        <f>"AL004"</f>
        <v>AL004</v>
      </c>
      <c r="B1770" t="str">
        <f>"CUBREALFOMBRAS PVC 3 PIEZAS NEGRO"</f>
        <v>CUBREALFOMBRAS PVC 3 PIEZAS NEGRO</v>
      </c>
      <c r="C1770" t="str">
        <f>"$ 36203,26"</f>
        <v>$ 36203,26</v>
      </c>
      <c r="D1770" t="str">
        <f>"$ 36203,26"</f>
        <v>$ 36203,26</v>
      </c>
      <c r="E1770" t="str">
        <f>"$ 36203,26"</f>
        <v>$ 36203,26</v>
      </c>
      <c r="F1770" t="str">
        <f>"$ 36203,26"</f>
        <v>$ 36203,26</v>
      </c>
      <c r="G1770" t="str">
        <f>"$ 36203,26"</f>
        <v>$ 36203,26</v>
      </c>
      <c r="H1770" t="str">
        <f t="shared" si="1111"/>
        <v>$ 0,00</v>
      </c>
      <c r="I1770" t="str">
        <f>"KIT CUBREALFOMBRAS"</f>
        <v>KIT CUBREALFOMBRAS</v>
      </c>
      <c r="J1770" t="str">
        <f t="shared" si="1112"/>
        <v>1</v>
      </c>
      <c r="K1770" t="str">
        <f t="shared" si="1106"/>
        <v>0</v>
      </c>
      <c r="L1770" t="str">
        <f>"17,000"</f>
        <v>17,000</v>
      </c>
      <c r="M1770" t="str">
        <f t="shared" si="1113"/>
        <v xml:space="preserve"> </v>
      </c>
      <c r="N1770" t="str">
        <f t="shared" si="1142"/>
        <v>OREGON</v>
      </c>
      <c r="O1770" t="str">
        <f>"CUBRE ALFOMBRAS"</f>
        <v>CUBRE ALFOMBRAS</v>
      </c>
      <c r="P1770" t="str">
        <f t="shared" si="1140"/>
        <v>0</v>
      </c>
      <c r="Q1770" t="str">
        <f t="shared" si="1140"/>
        <v>0</v>
      </c>
      <c r="R1770" t="str">
        <f t="shared" si="1141"/>
        <v>0,00</v>
      </c>
      <c r="S1770" t="str">
        <f t="shared" si="1141"/>
        <v>0,00</v>
      </c>
      <c r="T1770" t="str">
        <f t="shared" si="1110"/>
        <v xml:space="preserve"> </v>
      </c>
      <c r="U1770" t="str">
        <f t="shared" si="1134"/>
        <v xml:space="preserve"> </v>
      </c>
      <c r="V1770" t="str">
        <f>"17,000"</f>
        <v>17,000</v>
      </c>
      <c r="W1770" t="str">
        <f t="shared" si="1114"/>
        <v>Lista 4</v>
      </c>
      <c r="X1770" t="str">
        <f t="shared" si="1115"/>
        <v>Lista 5</v>
      </c>
      <c r="Y1770" t="str">
        <f t="shared" si="1116"/>
        <v>Oferta Gral.</v>
      </c>
      <c r="Z1770" t="str">
        <f t="shared" si="1117"/>
        <v>Rubro</v>
      </c>
      <c r="AA1770" t="str">
        <f t="shared" si="1118"/>
        <v>Cantidad por Bulto</v>
      </c>
      <c r="AB1770" t="str">
        <f t="shared" si="1119"/>
        <v>INNER</v>
      </c>
      <c r="AC1770" t="str">
        <f t="shared" si="1120"/>
        <v>Stock en Bultos</v>
      </c>
      <c r="AD1770" t="str">
        <f t="shared" si="1121"/>
        <v>SubDepósito</v>
      </c>
      <c r="AE1770" t="str">
        <f t="shared" si="1122"/>
        <v>Marca</v>
      </c>
      <c r="AF1770" t="str">
        <f t="shared" si="1123"/>
        <v>Super Rubro</v>
      </c>
      <c r="AG1770" t="str">
        <f t="shared" si="1124"/>
        <v>ComercioExterior</v>
      </c>
      <c r="AH1770" t="str">
        <f t="shared" si="1125"/>
        <v>PrecioFOB</v>
      </c>
      <c r="AI1770" t="str">
        <f t="shared" si="1126"/>
        <v>Monto II</v>
      </c>
      <c r="AJ1770" t="str">
        <f t="shared" si="1127"/>
        <v>Porcentaje II</v>
      </c>
      <c r="AK1770" t="str">
        <f t="shared" si="1128"/>
        <v>Foto</v>
      </c>
      <c r="AL1770" t="str">
        <f>"{\rtf1\ansi\ansicpg1252\deff0\deflang11274{\fonttbl{\f0\fnil\fcharset0 MS Sans Serif}} \viewkind4\uc1\pard\f0\fs16 CUBREALFOMBRAS PVC 3 PIEZAS NEGRO\par } "</f>
        <v xml:space="preserve">{\rtf1\ansi\ansicpg1252\deff0\deflang11274{\fonttbl{\f0\fnil\fcharset0 MS Sans Serif}} \viewkind4\uc1\pard\f0\fs16 CUBREALFOMBRAS PVC 3 PIEZAS NEGRO\par } </v>
      </c>
      <c r="AM1770" t="str">
        <f>" "</f>
        <v xml:space="preserve"> </v>
      </c>
    </row>
    <row r="1771" spans="1:39" x14ac:dyDescent="0.25">
      <c r="A1771" t="str">
        <f>"AL001"</f>
        <v>AL001</v>
      </c>
      <c r="B1771" t="str">
        <f>"CUBREALFOMBRAS PVC 4 PIEZAS NEGRO"</f>
        <v>CUBREALFOMBRAS PVC 4 PIEZAS NEGRO</v>
      </c>
      <c r="C1771" t="str">
        <f>"$ 28453,71"</f>
        <v>$ 28453,71</v>
      </c>
      <c r="D1771" t="str">
        <f>"$ 28453,71"</f>
        <v>$ 28453,71</v>
      </c>
      <c r="E1771" t="str">
        <f>"$ 28453,71"</f>
        <v>$ 28453,71</v>
      </c>
      <c r="F1771" t="str">
        <f>"$ 28453,71"</f>
        <v>$ 28453,71</v>
      </c>
      <c r="G1771" t="str">
        <f>"$ 28453,71"</f>
        <v>$ 28453,71</v>
      </c>
      <c r="H1771" t="str">
        <f t="shared" si="1111"/>
        <v>$ 0,00</v>
      </c>
      <c r="I1771" t="str">
        <f>"KIT CUBREALFOMBRAS"</f>
        <v>KIT CUBREALFOMBRAS</v>
      </c>
      <c r="J1771" t="str">
        <f t="shared" si="1112"/>
        <v>1</v>
      </c>
      <c r="K1771" t="str">
        <f t="shared" si="1106"/>
        <v>0</v>
      </c>
      <c r="L1771" t="str">
        <f>"26,000"</f>
        <v>26,000</v>
      </c>
      <c r="M1771" t="str">
        <f t="shared" si="1113"/>
        <v xml:space="preserve"> </v>
      </c>
      <c r="N1771" t="str">
        <f t="shared" si="1142"/>
        <v>OREGON</v>
      </c>
      <c r="O1771" t="str">
        <f>"CUBRE ALFOMBRAS"</f>
        <v>CUBRE ALFOMBRAS</v>
      </c>
      <c r="P1771" t="str">
        <f t="shared" si="1140"/>
        <v>0</v>
      </c>
      <c r="Q1771" t="str">
        <f t="shared" si="1140"/>
        <v>0</v>
      </c>
      <c r="R1771" t="str">
        <f t="shared" si="1141"/>
        <v>0,00</v>
      </c>
      <c r="S1771" t="str">
        <f t="shared" si="1141"/>
        <v>0,00</v>
      </c>
      <c r="T1771" t="str">
        <f t="shared" si="1110"/>
        <v xml:space="preserve"> </v>
      </c>
      <c r="U1771" t="str">
        <f t="shared" si="1134"/>
        <v xml:space="preserve"> </v>
      </c>
      <c r="V1771" t="str">
        <f>"26,000"</f>
        <v>26,000</v>
      </c>
      <c r="W1771" t="str">
        <f t="shared" si="1114"/>
        <v>Lista 4</v>
      </c>
      <c r="X1771" t="str">
        <f t="shared" si="1115"/>
        <v>Lista 5</v>
      </c>
      <c r="Y1771" t="str">
        <f t="shared" si="1116"/>
        <v>Oferta Gral.</v>
      </c>
      <c r="Z1771" t="str">
        <f t="shared" si="1117"/>
        <v>Rubro</v>
      </c>
      <c r="AA1771" t="str">
        <f t="shared" si="1118"/>
        <v>Cantidad por Bulto</v>
      </c>
      <c r="AB1771" t="str">
        <f t="shared" si="1119"/>
        <v>INNER</v>
      </c>
      <c r="AC1771" t="str">
        <f t="shared" si="1120"/>
        <v>Stock en Bultos</v>
      </c>
      <c r="AD1771" t="str">
        <f t="shared" si="1121"/>
        <v>SubDepósito</v>
      </c>
      <c r="AE1771" t="str">
        <f t="shared" si="1122"/>
        <v>Marca</v>
      </c>
      <c r="AF1771" t="str">
        <f t="shared" si="1123"/>
        <v>Super Rubro</v>
      </c>
      <c r="AG1771" t="str">
        <f t="shared" si="1124"/>
        <v>ComercioExterior</v>
      </c>
      <c r="AH1771" t="str">
        <f t="shared" si="1125"/>
        <v>PrecioFOB</v>
      </c>
      <c r="AI1771" t="str">
        <f t="shared" si="1126"/>
        <v>Monto II</v>
      </c>
      <c r="AJ1771" t="str">
        <f t="shared" si="1127"/>
        <v>Porcentaje II</v>
      </c>
      <c r="AK1771" t="str">
        <f t="shared" si="1128"/>
        <v>Foto</v>
      </c>
      <c r="AL1771" t="str">
        <f>"{\rtf1\ansi\ansicpg1252\deff0\deflang11274{\fonttbl{\f0\fnil\fcharset0 MS Sans Serif}} \viewkind4\uc1\pard\f0\fs16 CUBREALFOMBRAS PVC 4 PIEZAS NEGRO\par } "</f>
        <v xml:space="preserve">{\rtf1\ansi\ansicpg1252\deff0\deflang11274{\fonttbl{\f0\fnil\fcharset0 MS Sans Serif}} \viewkind4\uc1\pard\f0\fs16 CUBREALFOMBRAS PVC 4 PIEZAS NEGRO\par } </v>
      </c>
      <c r="AM1771" t="str">
        <f>" "</f>
        <v xml:space="preserve"> </v>
      </c>
    </row>
    <row r="1772" spans="1:39" x14ac:dyDescent="0.25">
      <c r="A1772" t="str">
        <f>"CV015"</f>
        <v>CV015</v>
      </c>
      <c r="B1772" t="str">
        <f>"CUBREVOLANTE CUERO NEGRO/AZUL"</f>
        <v>CUBREVOLANTE CUERO NEGRO/AZUL</v>
      </c>
      <c r="C1772" t="str">
        <f>"$ 13672,56"</f>
        <v>$ 13672,56</v>
      </c>
      <c r="D1772" t="str">
        <f>"$ 13672,56"</f>
        <v>$ 13672,56</v>
      </c>
      <c r="E1772" t="str">
        <f>"$ 13672,56"</f>
        <v>$ 13672,56</v>
      </c>
      <c r="F1772" t="str">
        <f>"$ 13672,56"</f>
        <v>$ 13672,56</v>
      </c>
      <c r="G1772" t="str">
        <f>"$ 13672,56"</f>
        <v>$ 13672,56</v>
      </c>
      <c r="H1772" t="str">
        <f t="shared" si="1111"/>
        <v>$ 0,00</v>
      </c>
      <c r="I1772" t="str">
        <f t="shared" ref="I1772:I1787" si="1143">"CUBREVOLANTES"</f>
        <v>CUBREVOLANTES</v>
      </c>
      <c r="J1772" t="str">
        <f t="shared" si="1112"/>
        <v>1</v>
      </c>
      <c r="K1772" t="str">
        <f t="shared" si="1106"/>
        <v>0</v>
      </c>
      <c r="L1772" t="str">
        <f>"2,000"</f>
        <v>2,000</v>
      </c>
      <c r="M1772" t="str">
        <f t="shared" si="1113"/>
        <v xml:space="preserve"> </v>
      </c>
      <c r="N1772" t="str">
        <f t="shared" si="1142"/>
        <v>OREGON</v>
      </c>
      <c r="O1772" t="str">
        <f t="shared" ref="O1772:O1787" si="1144">"CUBREVOLANTES"</f>
        <v>CUBREVOLANTES</v>
      </c>
      <c r="P1772" t="str">
        <f t="shared" si="1140"/>
        <v>0</v>
      </c>
      <c r="Q1772" t="str">
        <f t="shared" si="1140"/>
        <v>0</v>
      </c>
      <c r="R1772" t="str">
        <f t="shared" si="1141"/>
        <v>0,00</v>
      </c>
      <c r="S1772" t="str">
        <f t="shared" si="1141"/>
        <v>0,00</v>
      </c>
      <c r="T1772" t="str">
        <f t="shared" si="1110"/>
        <v xml:space="preserve"> </v>
      </c>
      <c r="U1772" t="str">
        <f t="shared" si="1134"/>
        <v xml:space="preserve"> </v>
      </c>
      <c r="V1772" t="str">
        <f>"2,000"</f>
        <v>2,000</v>
      </c>
      <c r="W1772" t="str">
        <f t="shared" si="1114"/>
        <v>Lista 4</v>
      </c>
      <c r="X1772" t="str">
        <f t="shared" si="1115"/>
        <v>Lista 5</v>
      </c>
      <c r="Y1772" t="str">
        <f t="shared" si="1116"/>
        <v>Oferta Gral.</v>
      </c>
      <c r="Z1772" t="str">
        <f t="shared" si="1117"/>
        <v>Rubro</v>
      </c>
      <c r="AA1772" t="str">
        <f t="shared" si="1118"/>
        <v>Cantidad por Bulto</v>
      </c>
      <c r="AB1772" t="str">
        <f t="shared" si="1119"/>
        <v>INNER</v>
      </c>
      <c r="AC1772" t="str">
        <f t="shared" si="1120"/>
        <v>Stock en Bultos</v>
      </c>
      <c r="AD1772" t="str">
        <f t="shared" si="1121"/>
        <v>SubDepósito</v>
      </c>
      <c r="AE1772" t="str">
        <f t="shared" si="1122"/>
        <v>Marca</v>
      </c>
      <c r="AF1772" t="str">
        <f t="shared" si="1123"/>
        <v>Super Rubro</v>
      </c>
      <c r="AG1772" t="str">
        <f t="shared" si="1124"/>
        <v>ComercioExterior</v>
      </c>
      <c r="AH1772" t="str">
        <f t="shared" si="1125"/>
        <v>PrecioFOB</v>
      </c>
      <c r="AI1772" t="str">
        <f t="shared" si="1126"/>
        <v>Monto II</v>
      </c>
      <c r="AJ1772" t="str">
        <f t="shared" si="1127"/>
        <v>Porcentaje II</v>
      </c>
      <c r="AK1772" t="str">
        <f t="shared" si="1128"/>
        <v>Foto</v>
      </c>
      <c r="AL1772" t="str">
        <f>"{\rtf1\ansi\ansicpg1252\deff0\deflang11274{\fonttbl{\f0\fnil\fcharset0 MS Sans Serif}} \viewkind4\uc1\pard\f0\fs16 CUBREVOLANTE CUERO NEGRO/AZUL\par } "</f>
        <v xml:space="preserve">{\rtf1\ansi\ansicpg1252\deff0\deflang11274{\fonttbl{\f0\fnil\fcharset0 MS Sans Serif}} \viewkind4\uc1\pard\f0\fs16 CUBREVOLANTE CUERO NEGRO/AZUL\par } </v>
      </c>
      <c r="AM1772" t="str">
        <f>" "</f>
        <v xml:space="preserve"> </v>
      </c>
    </row>
    <row r="1773" spans="1:39" x14ac:dyDescent="0.25">
      <c r="A1773" t="str">
        <f>"CV016"</f>
        <v>CV016</v>
      </c>
      <c r="B1773" t="str">
        <f>"CUBREVOLANTE CUERO NEGRO/NARANJA"</f>
        <v>CUBREVOLANTE CUERO NEGRO/NARANJA</v>
      </c>
      <c r="C1773" t="str">
        <f>"$ 12521,73"</f>
        <v>$ 12521,73</v>
      </c>
      <c r="D1773" t="str">
        <f>"$ 12521,73"</f>
        <v>$ 12521,73</v>
      </c>
      <c r="E1773" t="str">
        <f>"$ 12521,73"</f>
        <v>$ 12521,73</v>
      </c>
      <c r="F1773" t="str">
        <f>"$ 12521,73"</f>
        <v>$ 12521,73</v>
      </c>
      <c r="G1773" t="str">
        <f>"$ 12521,73"</f>
        <v>$ 12521,73</v>
      </c>
      <c r="H1773" t="str">
        <f t="shared" si="1111"/>
        <v>$ 0,00</v>
      </c>
      <c r="I1773" t="str">
        <f t="shared" si="1143"/>
        <v>CUBREVOLANTES</v>
      </c>
      <c r="J1773" t="str">
        <f t="shared" si="1112"/>
        <v>1</v>
      </c>
      <c r="K1773" t="str">
        <f t="shared" si="1106"/>
        <v>0</v>
      </c>
      <c r="L1773" t="str">
        <f>"2,000"</f>
        <v>2,000</v>
      </c>
      <c r="M1773" t="str">
        <f t="shared" si="1113"/>
        <v xml:space="preserve"> </v>
      </c>
      <c r="N1773" t="str">
        <f t="shared" si="1142"/>
        <v>OREGON</v>
      </c>
      <c r="O1773" t="str">
        <f t="shared" si="1144"/>
        <v>CUBREVOLANTES</v>
      </c>
      <c r="P1773" t="str">
        <f t="shared" si="1140"/>
        <v>0</v>
      </c>
      <c r="Q1773" t="str">
        <f t="shared" si="1140"/>
        <v>0</v>
      </c>
      <c r="R1773" t="str">
        <f t="shared" si="1141"/>
        <v>0,00</v>
      </c>
      <c r="S1773" t="str">
        <f t="shared" si="1141"/>
        <v>0,00</v>
      </c>
      <c r="T1773" t="str">
        <f t="shared" si="1110"/>
        <v xml:space="preserve"> </v>
      </c>
      <c r="U1773" t="str">
        <f t="shared" si="1134"/>
        <v xml:space="preserve"> </v>
      </c>
      <c r="V1773" t="str">
        <f>"2,000"</f>
        <v>2,000</v>
      </c>
      <c r="W1773" t="str">
        <f t="shared" si="1114"/>
        <v>Lista 4</v>
      </c>
      <c r="X1773" t="str">
        <f t="shared" si="1115"/>
        <v>Lista 5</v>
      </c>
      <c r="Y1773" t="str">
        <f t="shared" si="1116"/>
        <v>Oferta Gral.</v>
      </c>
      <c r="Z1773" t="str">
        <f t="shared" si="1117"/>
        <v>Rubro</v>
      </c>
      <c r="AA1773" t="str">
        <f t="shared" si="1118"/>
        <v>Cantidad por Bulto</v>
      </c>
      <c r="AB1773" t="str">
        <f t="shared" si="1119"/>
        <v>INNER</v>
      </c>
      <c r="AC1773" t="str">
        <f t="shared" si="1120"/>
        <v>Stock en Bultos</v>
      </c>
      <c r="AD1773" t="str">
        <f t="shared" si="1121"/>
        <v>SubDepósito</v>
      </c>
      <c r="AE1773" t="str">
        <f t="shared" si="1122"/>
        <v>Marca</v>
      </c>
      <c r="AF1773" t="str">
        <f t="shared" si="1123"/>
        <v>Super Rubro</v>
      </c>
      <c r="AG1773" t="str">
        <f t="shared" si="1124"/>
        <v>ComercioExterior</v>
      </c>
      <c r="AH1773" t="str">
        <f t="shared" si="1125"/>
        <v>PrecioFOB</v>
      </c>
      <c r="AI1773" t="str">
        <f t="shared" si="1126"/>
        <v>Monto II</v>
      </c>
      <c r="AJ1773" t="str">
        <f t="shared" si="1127"/>
        <v>Porcentaje II</v>
      </c>
      <c r="AK1773" t="str">
        <f t="shared" si="1128"/>
        <v>Foto</v>
      </c>
      <c r="AL1773" t="str">
        <f>"{\rtf1\ansi\ansicpg1252\deff0\deflang11274{\fonttbl{\f0\fnil\fcharset0 MS Sans Serif}} \viewkind4\uc1\pard\f0\fs16 CUBREVOLANTE CUERO NEGRO/NARANJA\par \par \par } "</f>
        <v xml:space="preserve">{\rtf1\ansi\ansicpg1252\deff0\deflang11274{\fonttbl{\f0\fnil\fcharset0 MS Sans Serif}} \viewkind4\uc1\pard\f0\fs16 CUBREVOLANTE CUERO NEGRO/NARANJA\par \par \par } </v>
      </c>
      <c r="AM1773" t="str">
        <f>" "</f>
        <v xml:space="preserve"> </v>
      </c>
    </row>
    <row r="1774" spans="1:39" x14ac:dyDescent="0.25">
      <c r="A1774" t="str">
        <f>"CV012"</f>
        <v>CV012</v>
      </c>
      <c r="B1774" t="str">
        <f>"CUBREVOLANTE PVC 38*8.2 CM GRIS"</f>
        <v>CUBREVOLANTE PVC 38*8.2 CM GRIS</v>
      </c>
      <c r="C1774" t="str">
        <f>"$ 7601,73"</f>
        <v>$ 7601,73</v>
      </c>
      <c r="D1774" t="str">
        <f>"$ 7601,73"</f>
        <v>$ 7601,73</v>
      </c>
      <c r="E1774" t="str">
        <f>"$ 7601,73"</f>
        <v>$ 7601,73</v>
      </c>
      <c r="F1774" t="str">
        <f>"$ 7601,73"</f>
        <v>$ 7601,73</v>
      </c>
      <c r="G1774" t="str">
        <f>"$ 7601,73"</f>
        <v>$ 7601,73</v>
      </c>
      <c r="H1774" t="str">
        <f t="shared" si="1111"/>
        <v>$ 0,00</v>
      </c>
      <c r="I1774" t="str">
        <f t="shared" si="1143"/>
        <v>CUBREVOLANTES</v>
      </c>
      <c r="J1774" t="str">
        <f t="shared" si="1112"/>
        <v>1</v>
      </c>
      <c r="K1774" t="str">
        <f t="shared" si="1106"/>
        <v>0</v>
      </c>
      <c r="L1774" t="str">
        <f>"32,000"</f>
        <v>32,000</v>
      </c>
      <c r="M1774" t="str">
        <f t="shared" si="1113"/>
        <v xml:space="preserve"> </v>
      </c>
      <c r="N1774" t="str">
        <f t="shared" si="1142"/>
        <v>OREGON</v>
      </c>
      <c r="O1774" t="str">
        <f t="shared" si="1144"/>
        <v>CUBREVOLANTES</v>
      </c>
      <c r="P1774" t="str">
        <f t="shared" si="1140"/>
        <v>0</v>
      </c>
      <c r="Q1774" t="str">
        <f t="shared" si="1140"/>
        <v>0</v>
      </c>
      <c r="R1774" t="str">
        <f t="shared" si="1141"/>
        <v>0,00</v>
      </c>
      <c r="S1774" t="str">
        <f t="shared" si="1141"/>
        <v>0,00</v>
      </c>
      <c r="T1774" t="str">
        <f t="shared" si="1110"/>
        <v xml:space="preserve"> </v>
      </c>
      <c r="U1774" t="str">
        <f t="shared" si="1134"/>
        <v xml:space="preserve"> </v>
      </c>
      <c r="V1774" t="str">
        <f>"32,000"</f>
        <v>32,000</v>
      </c>
      <c r="W1774" t="str">
        <f t="shared" si="1114"/>
        <v>Lista 4</v>
      </c>
      <c r="X1774" t="str">
        <f t="shared" si="1115"/>
        <v>Lista 5</v>
      </c>
      <c r="Y1774" t="str">
        <f t="shared" si="1116"/>
        <v>Oferta Gral.</v>
      </c>
      <c r="Z1774" t="str">
        <f t="shared" si="1117"/>
        <v>Rubro</v>
      </c>
      <c r="AA1774" t="str">
        <f t="shared" si="1118"/>
        <v>Cantidad por Bulto</v>
      </c>
      <c r="AB1774" t="str">
        <f t="shared" si="1119"/>
        <v>INNER</v>
      </c>
      <c r="AC1774" t="str">
        <f t="shared" si="1120"/>
        <v>Stock en Bultos</v>
      </c>
      <c r="AD1774" t="str">
        <f t="shared" si="1121"/>
        <v>SubDepósito</v>
      </c>
      <c r="AE1774" t="str">
        <f t="shared" si="1122"/>
        <v>Marca</v>
      </c>
      <c r="AF1774" t="str">
        <f t="shared" si="1123"/>
        <v>Super Rubro</v>
      </c>
      <c r="AG1774" t="str">
        <f t="shared" si="1124"/>
        <v>ComercioExterior</v>
      </c>
      <c r="AH1774" t="str">
        <f t="shared" si="1125"/>
        <v>PrecioFOB</v>
      </c>
      <c r="AI1774" t="str">
        <f t="shared" si="1126"/>
        <v>Monto II</v>
      </c>
      <c r="AJ1774" t="str">
        <f t="shared" si="1127"/>
        <v>Porcentaje II</v>
      </c>
      <c r="AK1774" t="str">
        <f t="shared" si="1128"/>
        <v>Foto</v>
      </c>
      <c r="AL1774" t="str">
        <f>"{\rtf1\ansi\ansicpg1252\deff0\deflang11274{\fonttbl{\f0\fnil\fcharset0 MS Sans Serif}} \viewkind4\uc1\pard\f0\fs16 CUBREVOLANTE PVC 38*8.2 CM GRIS\par } "</f>
        <v xml:space="preserve">{\rtf1\ansi\ansicpg1252\deff0\deflang11274{\fonttbl{\f0\fnil\fcharset0 MS Sans Serif}} \viewkind4\uc1\pard\f0\fs16 CUBREVOLANTE PVC 38*8.2 CM GRIS\par } </v>
      </c>
      <c r="AM1774" t="str">
        <f t="shared" ref="AM1774:AM1782" si="1145">"-"</f>
        <v>-</v>
      </c>
    </row>
    <row r="1775" spans="1:39" x14ac:dyDescent="0.25">
      <c r="A1775" t="str">
        <f>"CV011"</f>
        <v>CV011</v>
      </c>
      <c r="B1775" t="str">
        <f>"CUBREVOLANTE PVC 38*8.2CM NEGRO"</f>
        <v>CUBREVOLANTE PVC 38*8.2CM NEGRO</v>
      </c>
      <c r="C1775" t="str">
        <f>"$ 7738,98"</f>
        <v>$ 7738,98</v>
      </c>
      <c r="D1775" t="str">
        <f>"$ 7738,98"</f>
        <v>$ 7738,98</v>
      </c>
      <c r="E1775" t="str">
        <f>"$ 7738,98"</f>
        <v>$ 7738,98</v>
      </c>
      <c r="F1775" t="str">
        <f>"$ 7738,98"</f>
        <v>$ 7738,98</v>
      </c>
      <c r="G1775" t="str">
        <f>"$ 7738,98"</f>
        <v>$ 7738,98</v>
      </c>
      <c r="H1775" t="str">
        <f t="shared" si="1111"/>
        <v>$ 0,00</v>
      </c>
      <c r="I1775" t="str">
        <f t="shared" si="1143"/>
        <v>CUBREVOLANTES</v>
      </c>
      <c r="J1775" t="str">
        <f t="shared" si="1112"/>
        <v>1</v>
      </c>
      <c r="K1775" t="str">
        <f t="shared" si="1106"/>
        <v>0</v>
      </c>
      <c r="L1775" t="str">
        <f>"101,000"</f>
        <v>101,000</v>
      </c>
      <c r="M1775" t="str">
        <f t="shared" si="1113"/>
        <v xml:space="preserve"> </v>
      </c>
      <c r="N1775" t="str">
        <f t="shared" si="1142"/>
        <v>OREGON</v>
      </c>
      <c r="O1775" t="str">
        <f t="shared" si="1144"/>
        <v>CUBREVOLANTES</v>
      </c>
      <c r="P1775" t="str">
        <f t="shared" si="1140"/>
        <v>0</v>
      </c>
      <c r="Q1775" t="str">
        <f t="shared" si="1140"/>
        <v>0</v>
      </c>
      <c r="R1775" t="str">
        <f t="shared" si="1141"/>
        <v>0,00</v>
      </c>
      <c r="S1775" t="str">
        <f t="shared" si="1141"/>
        <v>0,00</v>
      </c>
      <c r="T1775" t="str">
        <f t="shared" si="1110"/>
        <v xml:space="preserve"> </v>
      </c>
      <c r="U1775" t="str">
        <f t="shared" si="1134"/>
        <v xml:space="preserve"> </v>
      </c>
      <c r="V1775" t="str">
        <f>"101,000"</f>
        <v>101,000</v>
      </c>
      <c r="W1775" t="str">
        <f t="shared" si="1114"/>
        <v>Lista 4</v>
      </c>
      <c r="X1775" t="str">
        <f t="shared" si="1115"/>
        <v>Lista 5</v>
      </c>
      <c r="Y1775" t="str">
        <f t="shared" si="1116"/>
        <v>Oferta Gral.</v>
      </c>
      <c r="Z1775" t="str">
        <f t="shared" si="1117"/>
        <v>Rubro</v>
      </c>
      <c r="AA1775" t="str">
        <f t="shared" si="1118"/>
        <v>Cantidad por Bulto</v>
      </c>
      <c r="AB1775" t="str">
        <f t="shared" si="1119"/>
        <v>INNER</v>
      </c>
      <c r="AC1775" t="str">
        <f t="shared" si="1120"/>
        <v>Stock en Bultos</v>
      </c>
      <c r="AD1775" t="str">
        <f t="shared" si="1121"/>
        <v>SubDepósito</v>
      </c>
      <c r="AE1775" t="str">
        <f t="shared" si="1122"/>
        <v>Marca</v>
      </c>
      <c r="AF1775" t="str">
        <f t="shared" si="1123"/>
        <v>Super Rubro</v>
      </c>
      <c r="AG1775" t="str">
        <f t="shared" si="1124"/>
        <v>ComercioExterior</v>
      </c>
      <c r="AH1775" t="str">
        <f t="shared" si="1125"/>
        <v>PrecioFOB</v>
      </c>
      <c r="AI1775" t="str">
        <f t="shared" si="1126"/>
        <v>Monto II</v>
      </c>
      <c r="AJ1775" t="str">
        <f t="shared" si="1127"/>
        <v>Porcentaje II</v>
      </c>
      <c r="AK1775" t="str">
        <f t="shared" si="1128"/>
        <v>Foto</v>
      </c>
      <c r="AL1775" t="str">
        <f>"{\rtf1\ansi\ansicpg1252\deff0\deflang11274{\fonttbl{\f0\fnil\fcharset0 MS Sans Serif}} \viewkind4\uc1\pard\f0\fs16 CUBREVOLANTE PVC 38*8.2CM NEGRO\par } "</f>
        <v xml:space="preserve">{\rtf1\ansi\ansicpg1252\deff0\deflang11274{\fonttbl{\f0\fnil\fcharset0 MS Sans Serif}} \viewkind4\uc1\pard\f0\fs16 CUBREVOLANTE PVC 38*8.2CM NEGRO\par } </v>
      </c>
      <c r="AM1775" t="str">
        <f t="shared" si="1145"/>
        <v>-</v>
      </c>
    </row>
    <row r="1776" spans="1:39" x14ac:dyDescent="0.25">
      <c r="A1776" t="str">
        <f>"CV023"</f>
        <v>CV023</v>
      </c>
      <c r="B1776" t="str">
        <f>"CUBREVOLANTE PVC 38CM COLOR ROSA"</f>
        <v>CUBREVOLANTE PVC 38CM COLOR ROSA</v>
      </c>
      <c r="C1776" t="str">
        <f>"$ 9597,20"</f>
        <v>$ 9597,20</v>
      </c>
      <c r="D1776" t="str">
        <f>"$ 9597,20"</f>
        <v>$ 9597,20</v>
      </c>
      <c r="E1776" t="str">
        <f>"$ 9597,20"</f>
        <v>$ 9597,20</v>
      </c>
      <c r="F1776" t="str">
        <f>"$ 9597,20"</f>
        <v>$ 9597,20</v>
      </c>
      <c r="G1776" t="str">
        <f>"$ 9597,20"</f>
        <v>$ 9597,20</v>
      </c>
      <c r="H1776" t="str">
        <f t="shared" si="1111"/>
        <v>$ 0,00</v>
      </c>
      <c r="I1776" t="str">
        <f t="shared" si="1143"/>
        <v>CUBREVOLANTES</v>
      </c>
      <c r="J1776" t="str">
        <f t="shared" si="1112"/>
        <v>1</v>
      </c>
      <c r="K1776" t="str">
        <f t="shared" si="1106"/>
        <v>0</v>
      </c>
      <c r="L1776" t="str">
        <f>"6,000"</f>
        <v>6,000</v>
      </c>
      <c r="M1776" t="str">
        <f t="shared" si="1113"/>
        <v xml:space="preserve"> </v>
      </c>
      <c r="N1776" t="str">
        <f t="shared" si="1142"/>
        <v>OREGON</v>
      </c>
      <c r="O1776" t="str">
        <f t="shared" si="1144"/>
        <v>CUBREVOLANTES</v>
      </c>
      <c r="P1776" t="str">
        <f t="shared" si="1140"/>
        <v>0</v>
      </c>
      <c r="Q1776" t="str">
        <f t="shared" si="1140"/>
        <v>0</v>
      </c>
      <c r="R1776" t="str">
        <f t="shared" si="1141"/>
        <v>0,00</v>
      </c>
      <c r="S1776" t="str">
        <f t="shared" si="1141"/>
        <v>0,00</v>
      </c>
      <c r="T1776" t="str">
        <f t="shared" si="1110"/>
        <v xml:space="preserve"> </v>
      </c>
      <c r="U1776" t="str">
        <f t="shared" si="1134"/>
        <v xml:space="preserve"> </v>
      </c>
      <c r="V1776" t="str">
        <f>"6,000"</f>
        <v>6,000</v>
      </c>
      <c r="W1776" t="str">
        <f t="shared" si="1114"/>
        <v>Lista 4</v>
      </c>
      <c r="X1776" t="str">
        <f t="shared" si="1115"/>
        <v>Lista 5</v>
      </c>
      <c r="Y1776" t="str">
        <f t="shared" si="1116"/>
        <v>Oferta Gral.</v>
      </c>
      <c r="Z1776" t="str">
        <f t="shared" si="1117"/>
        <v>Rubro</v>
      </c>
      <c r="AA1776" t="str">
        <f t="shared" si="1118"/>
        <v>Cantidad por Bulto</v>
      </c>
      <c r="AB1776" t="str">
        <f t="shared" si="1119"/>
        <v>INNER</v>
      </c>
      <c r="AC1776" t="str">
        <f t="shared" si="1120"/>
        <v>Stock en Bultos</v>
      </c>
      <c r="AD1776" t="str">
        <f t="shared" si="1121"/>
        <v>SubDepósito</v>
      </c>
      <c r="AE1776" t="str">
        <f t="shared" si="1122"/>
        <v>Marca</v>
      </c>
      <c r="AF1776" t="str">
        <f t="shared" si="1123"/>
        <v>Super Rubro</v>
      </c>
      <c r="AG1776" t="str">
        <f t="shared" si="1124"/>
        <v>ComercioExterior</v>
      </c>
      <c r="AH1776" t="str">
        <f t="shared" si="1125"/>
        <v>PrecioFOB</v>
      </c>
      <c r="AI1776" t="str">
        <f t="shared" si="1126"/>
        <v>Monto II</v>
      </c>
      <c r="AJ1776" t="str">
        <f t="shared" si="1127"/>
        <v>Porcentaje II</v>
      </c>
      <c r="AK1776" t="str">
        <f t="shared" si="1128"/>
        <v>Foto</v>
      </c>
      <c r="AL1776" t="str">
        <f>"{\rtf1\ansi\ansicpg1252\deff0\deflang11274{\fonttbl{\f0\fnil\fcharset0 MS Sans Serif}} \viewkind4\uc1\pard\f0\fs16 CUBREVOLANTE PVC 38CM COLOR ROSA\par } "</f>
        <v xml:space="preserve">{\rtf1\ansi\ansicpg1252\deff0\deflang11274{\fonttbl{\f0\fnil\fcharset0 MS Sans Serif}} \viewkind4\uc1\pard\f0\fs16 CUBREVOLANTE PVC 38CM COLOR ROSA\par } </v>
      </c>
      <c r="AM1776" t="str">
        <f t="shared" si="1145"/>
        <v>-</v>
      </c>
    </row>
    <row r="1777" spans="1:39" x14ac:dyDescent="0.25">
      <c r="A1777" t="str">
        <f>"CV006"</f>
        <v>CV006</v>
      </c>
      <c r="B1777" t="str">
        <f>"CUBREVOLANTE PVC 38CM NEGRO/AZUL"</f>
        <v>CUBREVOLANTE PVC 38CM NEGRO/AZUL</v>
      </c>
      <c r="C1777" t="str">
        <f>"$ 10262,34"</f>
        <v>$ 10262,34</v>
      </c>
      <c r="D1777" t="str">
        <f>"$ 10262,34"</f>
        <v>$ 10262,34</v>
      </c>
      <c r="E1777" t="str">
        <f>"$ 10262,34"</f>
        <v>$ 10262,34</v>
      </c>
      <c r="F1777" t="str">
        <f>"$ 10262,34"</f>
        <v>$ 10262,34</v>
      </c>
      <c r="G1777" t="str">
        <f>"$ 10262,34"</f>
        <v>$ 10262,34</v>
      </c>
      <c r="H1777" t="str">
        <f t="shared" si="1111"/>
        <v>$ 0,00</v>
      </c>
      <c r="I1777" t="str">
        <f t="shared" si="1143"/>
        <v>CUBREVOLANTES</v>
      </c>
      <c r="J1777" t="str">
        <f t="shared" si="1112"/>
        <v>1</v>
      </c>
      <c r="K1777" t="str">
        <f t="shared" si="1106"/>
        <v>0</v>
      </c>
      <c r="L1777" t="str">
        <f>"37,000"</f>
        <v>37,000</v>
      </c>
      <c r="M1777" t="str">
        <f t="shared" si="1113"/>
        <v xml:space="preserve"> </v>
      </c>
      <c r="N1777" t="str">
        <f t="shared" si="1142"/>
        <v>OREGON</v>
      </c>
      <c r="O1777" t="str">
        <f t="shared" si="1144"/>
        <v>CUBREVOLANTES</v>
      </c>
      <c r="P1777" t="str">
        <f t="shared" si="1140"/>
        <v>0</v>
      </c>
      <c r="Q1777" t="str">
        <f t="shared" si="1140"/>
        <v>0</v>
      </c>
      <c r="R1777" t="str">
        <f t="shared" si="1141"/>
        <v>0,00</v>
      </c>
      <c r="S1777" t="str">
        <f t="shared" si="1141"/>
        <v>0,00</v>
      </c>
      <c r="T1777" t="str">
        <f t="shared" si="1110"/>
        <v xml:space="preserve"> </v>
      </c>
      <c r="U1777" t="str">
        <f t="shared" si="1134"/>
        <v xml:space="preserve"> </v>
      </c>
      <c r="V1777" t="str">
        <f>"37,000"</f>
        <v>37,000</v>
      </c>
      <c r="W1777" t="str">
        <f t="shared" si="1114"/>
        <v>Lista 4</v>
      </c>
      <c r="X1777" t="str">
        <f t="shared" si="1115"/>
        <v>Lista 5</v>
      </c>
      <c r="Y1777" t="str">
        <f t="shared" si="1116"/>
        <v>Oferta Gral.</v>
      </c>
      <c r="Z1777" t="str">
        <f t="shared" si="1117"/>
        <v>Rubro</v>
      </c>
      <c r="AA1777" t="str">
        <f t="shared" si="1118"/>
        <v>Cantidad por Bulto</v>
      </c>
      <c r="AB1777" t="str">
        <f t="shared" si="1119"/>
        <v>INNER</v>
      </c>
      <c r="AC1777" t="str">
        <f t="shared" si="1120"/>
        <v>Stock en Bultos</v>
      </c>
      <c r="AD1777" t="str">
        <f t="shared" si="1121"/>
        <v>SubDepósito</v>
      </c>
      <c r="AE1777" t="str">
        <f t="shared" si="1122"/>
        <v>Marca</v>
      </c>
      <c r="AF1777" t="str">
        <f t="shared" si="1123"/>
        <v>Super Rubro</v>
      </c>
      <c r="AG1777" t="str">
        <f t="shared" si="1124"/>
        <v>ComercioExterior</v>
      </c>
      <c r="AH1777" t="str">
        <f t="shared" si="1125"/>
        <v>PrecioFOB</v>
      </c>
      <c r="AI1777" t="str">
        <f t="shared" si="1126"/>
        <v>Monto II</v>
      </c>
      <c r="AJ1777" t="str">
        <f t="shared" si="1127"/>
        <v>Porcentaje II</v>
      </c>
      <c r="AK1777" t="str">
        <f t="shared" si="1128"/>
        <v>Foto</v>
      </c>
      <c r="AL1777" t="str">
        <f>"{\rtf1\ansi\ansicpg1252\deff0\deflang11274{\fonttbl{\f0\fnil\fcharset0 MS Sans Serif}} \viewkind4\uc1\pard\f0\fs16 CUBREVOLANTE PVC 38CM NEGRO/AZUL\par } "</f>
        <v xml:space="preserve">{\rtf1\ansi\ansicpg1252\deff0\deflang11274{\fonttbl{\f0\fnil\fcharset0 MS Sans Serif}} \viewkind4\uc1\pard\f0\fs16 CUBREVOLANTE PVC 38CM NEGRO/AZUL\par } </v>
      </c>
      <c r="AM1777" t="str">
        <f t="shared" si="1145"/>
        <v>-</v>
      </c>
    </row>
    <row r="1778" spans="1:39" x14ac:dyDescent="0.25">
      <c r="A1778" t="str">
        <f>"CV003"</f>
        <v>CV003</v>
      </c>
      <c r="B1778" t="str">
        <f>"CUBREVOLANTE PVC 38CM NEGRO/AZUL"</f>
        <v>CUBREVOLANTE PVC 38CM NEGRO/AZUL</v>
      </c>
      <c r="C1778" t="str">
        <f>"$ 9502,17"</f>
        <v>$ 9502,17</v>
      </c>
      <c r="D1778" t="str">
        <f>"$ 9502,17"</f>
        <v>$ 9502,17</v>
      </c>
      <c r="E1778" t="str">
        <f>"$ 9502,17"</f>
        <v>$ 9502,17</v>
      </c>
      <c r="F1778" t="str">
        <f>"$ 9502,17"</f>
        <v>$ 9502,17</v>
      </c>
      <c r="G1778" t="str">
        <f>"$ 9502,17"</f>
        <v>$ 9502,17</v>
      </c>
      <c r="H1778" t="str">
        <f t="shared" si="1111"/>
        <v>$ 0,00</v>
      </c>
      <c r="I1778" t="str">
        <f t="shared" si="1143"/>
        <v>CUBREVOLANTES</v>
      </c>
      <c r="J1778" t="str">
        <f t="shared" si="1112"/>
        <v>1</v>
      </c>
      <c r="K1778" t="str">
        <f t="shared" si="1106"/>
        <v>0</v>
      </c>
      <c r="L1778" t="str">
        <f>"33,000"</f>
        <v>33,000</v>
      </c>
      <c r="M1778" t="str">
        <f t="shared" si="1113"/>
        <v xml:space="preserve"> </v>
      </c>
      <c r="N1778" t="str">
        <f t="shared" si="1142"/>
        <v>OREGON</v>
      </c>
      <c r="O1778" t="str">
        <f t="shared" si="1144"/>
        <v>CUBREVOLANTES</v>
      </c>
      <c r="P1778" t="str">
        <f t="shared" si="1140"/>
        <v>0</v>
      </c>
      <c r="Q1778" t="str">
        <f t="shared" si="1140"/>
        <v>0</v>
      </c>
      <c r="R1778" t="str">
        <f t="shared" si="1141"/>
        <v>0,00</v>
      </c>
      <c r="S1778" t="str">
        <f t="shared" si="1141"/>
        <v>0,00</v>
      </c>
      <c r="T1778" t="str">
        <f t="shared" si="1110"/>
        <v xml:space="preserve"> </v>
      </c>
      <c r="U1778" t="str">
        <f t="shared" si="1134"/>
        <v xml:space="preserve"> </v>
      </c>
      <c r="V1778" t="str">
        <f>"33,000"</f>
        <v>33,000</v>
      </c>
      <c r="W1778" t="str">
        <f t="shared" si="1114"/>
        <v>Lista 4</v>
      </c>
      <c r="X1778" t="str">
        <f t="shared" si="1115"/>
        <v>Lista 5</v>
      </c>
      <c r="Y1778" t="str">
        <f t="shared" si="1116"/>
        <v>Oferta Gral.</v>
      </c>
      <c r="Z1778" t="str">
        <f t="shared" si="1117"/>
        <v>Rubro</v>
      </c>
      <c r="AA1778" t="str">
        <f t="shared" si="1118"/>
        <v>Cantidad por Bulto</v>
      </c>
      <c r="AB1778" t="str">
        <f t="shared" si="1119"/>
        <v>INNER</v>
      </c>
      <c r="AC1778" t="str">
        <f t="shared" si="1120"/>
        <v>Stock en Bultos</v>
      </c>
      <c r="AD1778" t="str">
        <f t="shared" si="1121"/>
        <v>SubDepósito</v>
      </c>
      <c r="AE1778" t="str">
        <f t="shared" si="1122"/>
        <v>Marca</v>
      </c>
      <c r="AF1778" t="str">
        <f t="shared" si="1123"/>
        <v>Super Rubro</v>
      </c>
      <c r="AG1778" t="str">
        <f t="shared" si="1124"/>
        <v>ComercioExterior</v>
      </c>
      <c r="AH1778" t="str">
        <f t="shared" si="1125"/>
        <v>PrecioFOB</v>
      </c>
      <c r="AI1778" t="str">
        <f t="shared" si="1126"/>
        <v>Monto II</v>
      </c>
      <c r="AJ1778" t="str">
        <f t="shared" si="1127"/>
        <v>Porcentaje II</v>
      </c>
      <c r="AK1778" t="str">
        <f t="shared" si="1128"/>
        <v>Foto</v>
      </c>
      <c r="AL1778" t="str">
        <f>"{\rtf1\ansi\ansicpg1252\deff0\deflang11274{\fonttbl{\f0\fnil\fcharset0 MS Sans Serif}} \viewkind4\uc1\pard\f0\fs16 CUBREVOLANTE PVC 38CM NEGRO/AZUL\par } "</f>
        <v xml:space="preserve">{\rtf1\ansi\ansicpg1252\deff0\deflang11274{\fonttbl{\f0\fnil\fcharset0 MS Sans Serif}} \viewkind4\uc1\pard\f0\fs16 CUBREVOLANTE PVC 38CM NEGRO/AZUL\par } </v>
      </c>
      <c r="AM1778" t="str">
        <f t="shared" si="1145"/>
        <v>-</v>
      </c>
    </row>
    <row r="1779" spans="1:39" x14ac:dyDescent="0.25">
      <c r="A1779" t="str">
        <f>"CV009"</f>
        <v>CV009</v>
      </c>
      <c r="B1779" t="str">
        <f>"CUBREVOLANTE PVC 38CM NEGRO/AZUL"</f>
        <v>CUBREVOLANTE PVC 38CM NEGRO/AZUL</v>
      </c>
      <c r="C1779" t="str">
        <f>"$ 7738,98"</f>
        <v>$ 7738,98</v>
      </c>
      <c r="D1779" t="str">
        <f>"$ 7738,98"</f>
        <v>$ 7738,98</v>
      </c>
      <c r="E1779" t="str">
        <f>"$ 7738,98"</f>
        <v>$ 7738,98</v>
      </c>
      <c r="F1779" t="str">
        <f>"$ 7738,98"</f>
        <v>$ 7738,98</v>
      </c>
      <c r="G1779" t="str">
        <f>"$ 7738,98"</f>
        <v>$ 7738,98</v>
      </c>
      <c r="H1779" t="str">
        <f t="shared" si="1111"/>
        <v>$ 0,00</v>
      </c>
      <c r="I1779" t="str">
        <f t="shared" si="1143"/>
        <v>CUBREVOLANTES</v>
      </c>
      <c r="J1779" t="str">
        <f t="shared" si="1112"/>
        <v>1</v>
      </c>
      <c r="K1779" t="str">
        <f t="shared" si="1106"/>
        <v>0</v>
      </c>
      <c r="L1779" t="str">
        <f>"49,000"</f>
        <v>49,000</v>
      </c>
      <c r="M1779" t="str">
        <f t="shared" si="1113"/>
        <v xml:space="preserve"> </v>
      </c>
      <c r="N1779" t="str">
        <f t="shared" si="1142"/>
        <v>OREGON</v>
      </c>
      <c r="O1779" t="str">
        <f t="shared" si="1144"/>
        <v>CUBREVOLANTES</v>
      </c>
      <c r="P1779" t="str">
        <f t="shared" si="1140"/>
        <v>0</v>
      </c>
      <c r="Q1779" t="str">
        <f t="shared" si="1140"/>
        <v>0</v>
      </c>
      <c r="R1779" t="str">
        <f t="shared" si="1141"/>
        <v>0,00</v>
      </c>
      <c r="S1779" t="str">
        <f t="shared" si="1141"/>
        <v>0,00</v>
      </c>
      <c r="T1779" t="str">
        <f t="shared" si="1110"/>
        <v xml:space="preserve"> </v>
      </c>
      <c r="U1779" t="str">
        <f t="shared" si="1134"/>
        <v xml:space="preserve"> </v>
      </c>
      <c r="V1779" t="str">
        <f>"49,000"</f>
        <v>49,000</v>
      </c>
      <c r="W1779" t="str">
        <f t="shared" si="1114"/>
        <v>Lista 4</v>
      </c>
      <c r="X1779" t="str">
        <f t="shared" si="1115"/>
        <v>Lista 5</v>
      </c>
      <c r="Y1779" t="str">
        <f t="shared" si="1116"/>
        <v>Oferta Gral.</v>
      </c>
      <c r="Z1779" t="str">
        <f t="shared" si="1117"/>
        <v>Rubro</v>
      </c>
      <c r="AA1779" t="str">
        <f t="shared" si="1118"/>
        <v>Cantidad por Bulto</v>
      </c>
      <c r="AB1779" t="str">
        <f t="shared" si="1119"/>
        <v>INNER</v>
      </c>
      <c r="AC1779" t="str">
        <f t="shared" si="1120"/>
        <v>Stock en Bultos</v>
      </c>
      <c r="AD1779" t="str">
        <f t="shared" si="1121"/>
        <v>SubDepósito</v>
      </c>
      <c r="AE1779" t="str">
        <f t="shared" si="1122"/>
        <v>Marca</v>
      </c>
      <c r="AF1779" t="str">
        <f t="shared" si="1123"/>
        <v>Super Rubro</v>
      </c>
      <c r="AG1779" t="str">
        <f t="shared" si="1124"/>
        <v>ComercioExterior</v>
      </c>
      <c r="AH1779" t="str">
        <f t="shared" si="1125"/>
        <v>PrecioFOB</v>
      </c>
      <c r="AI1779" t="str">
        <f t="shared" si="1126"/>
        <v>Monto II</v>
      </c>
      <c r="AJ1779" t="str">
        <f t="shared" si="1127"/>
        <v>Porcentaje II</v>
      </c>
      <c r="AK1779" t="str">
        <f t="shared" si="1128"/>
        <v>Foto</v>
      </c>
      <c r="AL1779" t="str">
        <f>"{\rtf1\ansi\ansicpg1252\deff0\deflang11274{\fonttbl{\f0\fnil\fcharset0 MS Sans Serif}} \viewkind4\uc1\pard\f0\fs16 CUBREVOLANTE PVC 38CM NEGRO/AZUL\par } "</f>
        <v xml:space="preserve">{\rtf1\ansi\ansicpg1252\deff0\deflang11274{\fonttbl{\f0\fnil\fcharset0 MS Sans Serif}} \viewkind4\uc1\pard\f0\fs16 CUBREVOLANTE PVC 38CM NEGRO/AZUL\par } </v>
      </c>
      <c r="AM1779" t="str">
        <f t="shared" si="1145"/>
        <v>-</v>
      </c>
    </row>
    <row r="1780" spans="1:39" x14ac:dyDescent="0.25">
      <c r="A1780" t="str">
        <f>"CV008"</f>
        <v>CV008</v>
      </c>
      <c r="B1780" t="str">
        <f>"CUBREVOLANTE PVC 38CM NEGRO/PLATA"</f>
        <v>CUBREVOLANTE PVC 38CM NEGRO/PLATA</v>
      </c>
      <c r="C1780" t="str">
        <f>"$ 7601,73"</f>
        <v>$ 7601,73</v>
      </c>
      <c r="D1780" t="str">
        <f>"$ 7601,73"</f>
        <v>$ 7601,73</v>
      </c>
      <c r="E1780" t="str">
        <f>"$ 7601,73"</f>
        <v>$ 7601,73</v>
      </c>
      <c r="F1780" t="str">
        <f>"$ 7601,73"</f>
        <v>$ 7601,73</v>
      </c>
      <c r="G1780" t="str">
        <f>"$ 7601,73"</f>
        <v>$ 7601,73</v>
      </c>
      <c r="H1780" t="str">
        <f t="shared" si="1111"/>
        <v>$ 0,00</v>
      </c>
      <c r="I1780" t="str">
        <f t="shared" si="1143"/>
        <v>CUBREVOLANTES</v>
      </c>
      <c r="J1780" t="str">
        <f t="shared" si="1112"/>
        <v>1</v>
      </c>
      <c r="K1780" t="str">
        <f t="shared" ref="K1780:K1843" si="1146">"0"</f>
        <v>0</v>
      </c>
      <c r="L1780" t="str">
        <f>"52,000"</f>
        <v>52,000</v>
      </c>
      <c r="M1780" t="str">
        <f t="shared" si="1113"/>
        <v xml:space="preserve"> </v>
      </c>
      <c r="N1780" t="str">
        <f t="shared" si="1142"/>
        <v>OREGON</v>
      </c>
      <c r="O1780" t="str">
        <f t="shared" si="1144"/>
        <v>CUBREVOLANTES</v>
      </c>
      <c r="P1780" t="str">
        <f t="shared" si="1140"/>
        <v>0</v>
      </c>
      <c r="Q1780" t="str">
        <f t="shared" si="1140"/>
        <v>0</v>
      </c>
      <c r="R1780" t="str">
        <f t="shared" si="1141"/>
        <v>0,00</v>
      </c>
      <c r="S1780" t="str">
        <f t="shared" si="1141"/>
        <v>0,00</v>
      </c>
      <c r="T1780" t="str">
        <f t="shared" si="1110"/>
        <v xml:space="preserve"> </v>
      </c>
      <c r="U1780" t="str">
        <f t="shared" si="1134"/>
        <v xml:space="preserve"> </v>
      </c>
      <c r="V1780" t="str">
        <f>"52,000"</f>
        <v>52,000</v>
      </c>
      <c r="W1780" t="str">
        <f t="shared" si="1114"/>
        <v>Lista 4</v>
      </c>
      <c r="X1780" t="str">
        <f t="shared" si="1115"/>
        <v>Lista 5</v>
      </c>
      <c r="Y1780" t="str">
        <f t="shared" si="1116"/>
        <v>Oferta Gral.</v>
      </c>
      <c r="Z1780" t="str">
        <f t="shared" si="1117"/>
        <v>Rubro</v>
      </c>
      <c r="AA1780" t="str">
        <f t="shared" si="1118"/>
        <v>Cantidad por Bulto</v>
      </c>
      <c r="AB1780" t="str">
        <f t="shared" si="1119"/>
        <v>INNER</v>
      </c>
      <c r="AC1780" t="str">
        <f t="shared" si="1120"/>
        <v>Stock en Bultos</v>
      </c>
      <c r="AD1780" t="str">
        <f t="shared" si="1121"/>
        <v>SubDepósito</v>
      </c>
      <c r="AE1780" t="str">
        <f t="shared" si="1122"/>
        <v>Marca</v>
      </c>
      <c r="AF1780" t="str">
        <f t="shared" si="1123"/>
        <v>Super Rubro</v>
      </c>
      <c r="AG1780" t="str">
        <f t="shared" si="1124"/>
        <v>ComercioExterior</v>
      </c>
      <c r="AH1780" t="str">
        <f t="shared" si="1125"/>
        <v>PrecioFOB</v>
      </c>
      <c r="AI1780" t="str">
        <f t="shared" si="1126"/>
        <v>Monto II</v>
      </c>
      <c r="AJ1780" t="str">
        <f t="shared" si="1127"/>
        <v>Porcentaje II</v>
      </c>
      <c r="AK1780" t="str">
        <f t="shared" si="1128"/>
        <v>Foto</v>
      </c>
      <c r="AL1780" t="str">
        <f>"{\rtf1\ansi\ansicpg1252\deff0\deflang11274{\fonttbl{\f0\fnil\fcharset0 MS Sans Serif}} \viewkind4\uc1\pard\f0\fs16 CUBREVOLANTE PVC 38CM NEGRO/PLATA\par } "</f>
        <v xml:space="preserve">{\rtf1\ansi\ansicpg1252\deff0\deflang11274{\fonttbl{\f0\fnil\fcharset0 MS Sans Serif}} \viewkind4\uc1\pard\f0\fs16 CUBREVOLANTE PVC 38CM NEGRO/PLATA\par } </v>
      </c>
      <c r="AM1780" t="str">
        <f t="shared" si="1145"/>
        <v>-</v>
      </c>
    </row>
    <row r="1781" spans="1:39" x14ac:dyDescent="0.25">
      <c r="A1781" t="str">
        <f>"CV005"</f>
        <v>CV005</v>
      </c>
      <c r="B1781" t="str">
        <f>"CUBREVOLANTE PVC 38CM NEGRO/PLATA"</f>
        <v>CUBREVOLANTE PVC 38CM NEGRO/PLATA</v>
      </c>
      <c r="C1781" t="str">
        <f>"$ 10072,30"</f>
        <v>$ 10072,30</v>
      </c>
      <c r="D1781" t="str">
        <f>"$ 10072,30"</f>
        <v>$ 10072,30</v>
      </c>
      <c r="E1781" t="str">
        <f>"$ 10072,30"</f>
        <v>$ 10072,30</v>
      </c>
      <c r="F1781" t="str">
        <f>"$ 10072,30"</f>
        <v>$ 10072,30</v>
      </c>
      <c r="G1781" t="str">
        <f>"$ 10072,30"</f>
        <v>$ 10072,30</v>
      </c>
      <c r="H1781" t="str">
        <f t="shared" si="1111"/>
        <v>$ 0,00</v>
      </c>
      <c r="I1781" t="str">
        <f t="shared" si="1143"/>
        <v>CUBREVOLANTES</v>
      </c>
      <c r="J1781" t="str">
        <f t="shared" si="1112"/>
        <v>1</v>
      </c>
      <c r="K1781" t="str">
        <f t="shared" si="1146"/>
        <v>0</v>
      </c>
      <c r="L1781" t="str">
        <f>"55,000"</f>
        <v>55,000</v>
      </c>
      <c r="M1781" t="str">
        <f t="shared" si="1113"/>
        <v xml:space="preserve"> </v>
      </c>
      <c r="N1781" t="str">
        <f t="shared" si="1142"/>
        <v>OREGON</v>
      </c>
      <c r="O1781" t="str">
        <f t="shared" si="1144"/>
        <v>CUBREVOLANTES</v>
      </c>
      <c r="P1781" t="str">
        <f t="shared" si="1140"/>
        <v>0</v>
      </c>
      <c r="Q1781" t="str">
        <f t="shared" si="1140"/>
        <v>0</v>
      </c>
      <c r="R1781" t="str">
        <f t="shared" si="1141"/>
        <v>0,00</v>
      </c>
      <c r="S1781" t="str">
        <f t="shared" si="1141"/>
        <v>0,00</v>
      </c>
      <c r="T1781" t="str">
        <f t="shared" si="1110"/>
        <v xml:space="preserve"> </v>
      </c>
      <c r="U1781" t="str">
        <f t="shared" si="1134"/>
        <v xml:space="preserve"> </v>
      </c>
      <c r="V1781" t="str">
        <f>"55,000"</f>
        <v>55,000</v>
      </c>
      <c r="W1781" t="str">
        <f t="shared" si="1114"/>
        <v>Lista 4</v>
      </c>
      <c r="X1781" t="str">
        <f t="shared" si="1115"/>
        <v>Lista 5</v>
      </c>
      <c r="Y1781" t="str">
        <f t="shared" si="1116"/>
        <v>Oferta Gral.</v>
      </c>
      <c r="Z1781" t="str">
        <f t="shared" si="1117"/>
        <v>Rubro</v>
      </c>
      <c r="AA1781" t="str">
        <f t="shared" si="1118"/>
        <v>Cantidad por Bulto</v>
      </c>
      <c r="AB1781" t="str">
        <f t="shared" si="1119"/>
        <v>INNER</v>
      </c>
      <c r="AC1781" t="str">
        <f t="shared" si="1120"/>
        <v>Stock en Bultos</v>
      </c>
      <c r="AD1781" t="str">
        <f t="shared" si="1121"/>
        <v>SubDepósito</v>
      </c>
      <c r="AE1781" t="str">
        <f t="shared" si="1122"/>
        <v>Marca</v>
      </c>
      <c r="AF1781" t="str">
        <f t="shared" si="1123"/>
        <v>Super Rubro</v>
      </c>
      <c r="AG1781" t="str">
        <f t="shared" si="1124"/>
        <v>ComercioExterior</v>
      </c>
      <c r="AH1781" t="str">
        <f t="shared" si="1125"/>
        <v>PrecioFOB</v>
      </c>
      <c r="AI1781" t="str">
        <f t="shared" si="1126"/>
        <v>Monto II</v>
      </c>
      <c r="AJ1781" t="str">
        <f t="shared" si="1127"/>
        <v>Porcentaje II</v>
      </c>
      <c r="AK1781" t="str">
        <f t="shared" si="1128"/>
        <v>Foto</v>
      </c>
      <c r="AL1781" t="str">
        <f>"{\rtf1\ansi\ansicpg1252\deff0\deflang11274{\fonttbl{\f0\fnil\fcharset0 MS Sans Serif}} \viewkind4\uc1\pard\f0\fs16 CUBREVOLANTE PVC 38CM NEGRO/PLATA\par } "</f>
        <v xml:space="preserve">{\rtf1\ansi\ansicpg1252\deff0\deflang11274{\fonttbl{\f0\fnil\fcharset0 MS Sans Serif}} \viewkind4\uc1\pard\f0\fs16 CUBREVOLANTE PVC 38CM NEGRO/PLATA\par } </v>
      </c>
      <c r="AM1781" t="str">
        <f t="shared" si="1145"/>
        <v>-</v>
      </c>
    </row>
    <row r="1782" spans="1:39" x14ac:dyDescent="0.25">
      <c r="A1782" t="str">
        <f>"CV002"</f>
        <v>CV002</v>
      </c>
      <c r="B1782" t="str">
        <f>"CUBREVOLANTE PVC 38CM NEGRO/PLATEADO"</f>
        <v>CUBREVOLANTE PVC 38CM NEGRO/PLATEADO</v>
      </c>
      <c r="C1782" t="str">
        <f>"$ 7960,71"</f>
        <v>$ 7960,71</v>
      </c>
      <c r="D1782" t="str">
        <f>"$ 7960,71"</f>
        <v>$ 7960,71</v>
      </c>
      <c r="E1782" t="str">
        <f>"$ 7960,71"</f>
        <v>$ 7960,71</v>
      </c>
      <c r="F1782" t="str">
        <f>"$ 7960,71"</f>
        <v>$ 7960,71</v>
      </c>
      <c r="G1782" t="str">
        <f>"$ 7960,71"</f>
        <v>$ 7960,71</v>
      </c>
      <c r="H1782" t="str">
        <f t="shared" si="1111"/>
        <v>$ 0,00</v>
      </c>
      <c r="I1782" t="str">
        <f t="shared" si="1143"/>
        <v>CUBREVOLANTES</v>
      </c>
      <c r="J1782" t="str">
        <f t="shared" si="1112"/>
        <v>1</v>
      </c>
      <c r="K1782" t="str">
        <f t="shared" si="1146"/>
        <v>0</v>
      </c>
      <c r="L1782" t="str">
        <f>"41,000"</f>
        <v>41,000</v>
      </c>
      <c r="M1782" t="str">
        <f t="shared" si="1113"/>
        <v xml:space="preserve"> </v>
      </c>
      <c r="N1782" t="str">
        <f t="shared" si="1142"/>
        <v>OREGON</v>
      </c>
      <c r="O1782" t="str">
        <f t="shared" si="1144"/>
        <v>CUBREVOLANTES</v>
      </c>
      <c r="P1782" t="str">
        <f t="shared" si="1140"/>
        <v>0</v>
      </c>
      <c r="Q1782" t="str">
        <f t="shared" si="1140"/>
        <v>0</v>
      </c>
      <c r="R1782" t="str">
        <f t="shared" si="1141"/>
        <v>0,00</v>
      </c>
      <c r="S1782" t="str">
        <f t="shared" si="1141"/>
        <v>0,00</v>
      </c>
      <c r="T1782" t="str">
        <f t="shared" si="1110"/>
        <v xml:space="preserve"> </v>
      </c>
      <c r="U1782" t="str">
        <f t="shared" si="1134"/>
        <v xml:space="preserve"> </v>
      </c>
      <c r="V1782" t="str">
        <f>"41,000"</f>
        <v>41,000</v>
      </c>
      <c r="W1782" t="str">
        <f t="shared" si="1114"/>
        <v>Lista 4</v>
      </c>
      <c r="X1782" t="str">
        <f t="shared" si="1115"/>
        <v>Lista 5</v>
      </c>
      <c r="Y1782" t="str">
        <f t="shared" si="1116"/>
        <v>Oferta Gral.</v>
      </c>
      <c r="Z1782" t="str">
        <f t="shared" si="1117"/>
        <v>Rubro</v>
      </c>
      <c r="AA1782" t="str">
        <f t="shared" si="1118"/>
        <v>Cantidad por Bulto</v>
      </c>
      <c r="AB1782" t="str">
        <f t="shared" si="1119"/>
        <v>INNER</v>
      </c>
      <c r="AC1782" t="str">
        <f t="shared" si="1120"/>
        <v>Stock en Bultos</v>
      </c>
      <c r="AD1782" t="str">
        <f t="shared" si="1121"/>
        <v>SubDepósito</v>
      </c>
      <c r="AE1782" t="str">
        <f t="shared" si="1122"/>
        <v>Marca</v>
      </c>
      <c r="AF1782" t="str">
        <f t="shared" si="1123"/>
        <v>Super Rubro</v>
      </c>
      <c r="AG1782" t="str">
        <f t="shared" si="1124"/>
        <v>ComercioExterior</v>
      </c>
      <c r="AH1782" t="str">
        <f t="shared" si="1125"/>
        <v>PrecioFOB</v>
      </c>
      <c r="AI1782" t="str">
        <f t="shared" si="1126"/>
        <v>Monto II</v>
      </c>
      <c r="AJ1782" t="str">
        <f t="shared" si="1127"/>
        <v>Porcentaje II</v>
      </c>
      <c r="AK1782" t="str">
        <f t="shared" si="1128"/>
        <v>Foto</v>
      </c>
      <c r="AL1782" t="str">
        <f>"{\rtf1\ansi\ansicpg1252\deff0\deflang11274{\fonttbl{\f0\fnil\fcharset0 MS Sans Serif}} \viewkind4\uc1\pard\f0\fs16 CUBREVOLANTE PVC 38CM NEGRO/PLATEADO\par } "</f>
        <v xml:space="preserve">{\rtf1\ansi\ansicpg1252\deff0\deflang11274{\fonttbl{\f0\fnil\fcharset0 MS Sans Serif}} \viewkind4\uc1\pard\f0\fs16 CUBREVOLANTE PVC 38CM NEGRO/PLATEADO\par } </v>
      </c>
      <c r="AM1782" t="str">
        <f t="shared" si="1145"/>
        <v>-</v>
      </c>
    </row>
    <row r="1783" spans="1:39" x14ac:dyDescent="0.25">
      <c r="A1783" t="str">
        <f>"CV001"</f>
        <v>CV001</v>
      </c>
      <c r="B1783" t="str">
        <f>"CUBREVOLANTE PVC 38CM NEGRO/PLATEADO"</f>
        <v>CUBREVOLANTE PVC 38CM NEGRO/PLATEADO</v>
      </c>
      <c r="C1783" t="str">
        <f>"$ 8161,30"</f>
        <v>$ 8161,30</v>
      </c>
      <c r="D1783" t="str">
        <f>"$ 8161,30"</f>
        <v>$ 8161,30</v>
      </c>
      <c r="E1783" t="str">
        <f>"$ 8161,30"</f>
        <v>$ 8161,30</v>
      </c>
      <c r="F1783" t="str">
        <f>"$ 8161,30"</f>
        <v>$ 8161,30</v>
      </c>
      <c r="G1783" t="str">
        <f>"$ 8161,30"</f>
        <v>$ 8161,30</v>
      </c>
      <c r="H1783" t="str">
        <f t="shared" si="1111"/>
        <v>$ 0,00</v>
      </c>
      <c r="I1783" t="str">
        <f t="shared" si="1143"/>
        <v>CUBREVOLANTES</v>
      </c>
      <c r="J1783" t="str">
        <f t="shared" si="1112"/>
        <v>1</v>
      </c>
      <c r="K1783" t="str">
        <f t="shared" si="1146"/>
        <v>0</v>
      </c>
      <c r="L1783" t="str">
        <f>"49,000"</f>
        <v>49,000</v>
      </c>
      <c r="M1783" t="str">
        <f t="shared" si="1113"/>
        <v xml:space="preserve"> </v>
      </c>
      <c r="N1783" t="str">
        <f t="shared" si="1142"/>
        <v>OREGON</v>
      </c>
      <c r="O1783" t="str">
        <f t="shared" si="1144"/>
        <v>CUBREVOLANTES</v>
      </c>
      <c r="P1783" t="str">
        <f t="shared" ref="P1783:Q1802" si="1147">"0"</f>
        <v>0</v>
      </c>
      <c r="Q1783" t="str">
        <f t="shared" si="1147"/>
        <v>0</v>
      </c>
      <c r="R1783" t="str">
        <f t="shared" ref="R1783:S1802" si="1148">"0,00"</f>
        <v>0,00</v>
      </c>
      <c r="S1783" t="str">
        <f t="shared" si="1148"/>
        <v>0,00</v>
      </c>
      <c r="T1783" t="str">
        <f t="shared" si="1110"/>
        <v xml:space="preserve"> </v>
      </c>
      <c r="U1783" t="str">
        <f t="shared" si="1134"/>
        <v xml:space="preserve"> </v>
      </c>
      <c r="V1783" t="str">
        <f>"49,000"</f>
        <v>49,000</v>
      </c>
      <c r="W1783" t="str">
        <f t="shared" si="1114"/>
        <v>Lista 4</v>
      </c>
      <c r="X1783" t="str">
        <f t="shared" si="1115"/>
        <v>Lista 5</v>
      </c>
      <c r="Y1783" t="str">
        <f t="shared" si="1116"/>
        <v>Oferta Gral.</v>
      </c>
      <c r="Z1783" t="str">
        <f t="shared" si="1117"/>
        <v>Rubro</v>
      </c>
      <c r="AA1783" t="str">
        <f t="shared" si="1118"/>
        <v>Cantidad por Bulto</v>
      </c>
      <c r="AB1783" t="str">
        <f t="shared" si="1119"/>
        <v>INNER</v>
      </c>
      <c r="AC1783" t="str">
        <f t="shared" si="1120"/>
        <v>Stock en Bultos</v>
      </c>
      <c r="AD1783" t="str">
        <f t="shared" si="1121"/>
        <v>SubDepósito</v>
      </c>
      <c r="AE1783" t="str">
        <f t="shared" si="1122"/>
        <v>Marca</v>
      </c>
      <c r="AF1783" t="str">
        <f t="shared" si="1123"/>
        <v>Super Rubro</v>
      </c>
      <c r="AG1783" t="str">
        <f t="shared" si="1124"/>
        <v>ComercioExterior</v>
      </c>
      <c r="AH1783" t="str">
        <f t="shared" si="1125"/>
        <v>PrecioFOB</v>
      </c>
      <c r="AI1783" t="str">
        <f t="shared" si="1126"/>
        <v>Monto II</v>
      </c>
      <c r="AJ1783" t="str">
        <f t="shared" si="1127"/>
        <v>Porcentaje II</v>
      </c>
      <c r="AK1783" t="str">
        <f t="shared" si="1128"/>
        <v>Foto</v>
      </c>
      <c r="AL1783" t="str">
        <f>"{\rtf1\ansi\ansicpg1252\deff0\deflang11274{\fonttbl{\f0\fnil\fcharset0 MS Sans Serif}} \viewkind4\uc1\pard\f0\fs16 CUBREVOLANTE PVC 38CM NEGRO/PLATEADO\par } "</f>
        <v xml:space="preserve">{\rtf1\ansi\ansicpg1252\deff0\deflang11274{\fonttbl{\f0\fnil\fcharset0 MS Sans Serif}} \viewkind4\uc1\pard\f0\fs16 CUBREVOLANTE PVC 38CM NEGRO/PLATEADO\par } </v>
      </c>
      <c r="AM1783" t="str">
        <f>" "</f>
        <v xml:space="preserve"> </v>
      </c>
    </row>
    <row r="1784" spans="1:39" x14ac:dyDescent="0.25">
      <c r="A1784" t="str">
        <f>"CV004"</f>
        <v>CV004</v>
      </c>
      <c r="B1784" t="str">
        <f>"CUBREVOLANTE PVC 38CM NEGRO/ROJO"</f>
        <v>CUBREVOLANTE PVC 38CM NEGRO/ROJO</v>
      </c>
      <c r="C1784" t="str">
        <f>"$ 7855,13"</f>
        <v>$ 7855,13</v>
      </c>
      <c r="D1784" t="str">
        <f>"$ 7855,13"</f>
        <v>$ 7855,13</v>
      </c>
      <c r="E1784" t="str">
        <f>"$ 7855,13"</f>
        <v>$ 7855,13</v>
      </c>
      <c r="F1784" t="str">
        <f>"$ 7855,13"</f>
        <v>$ 7855,13</v>
      </c>
      <c r="G1784" t="str">
        <f>"$ 7855,13"</f>
        <v>$ 7855,13</v>
      </c>
      <c r="H1784" t="str">
        <f t="shared" si="1111"/>
        <v>$ 0,00</v>
      </c>
      <c r="I1784" t="str">
        <f t="shared" si="1143"/>
        <v>CUBREVOLANTES</v>
      </c>
      <c r="J1784" t="str">
        <f t="shared" si="1112"/>
        <v>1</v>
      </c>
      <c r="K1784" t="str">
        <f t="shared" si="1146"/>
        <v>0</v>
      </c>
      <c r="L1784" t="str">
        <f>"35,000"</f>
        <v>35,000</v>
      </c>
      <c r="M1784" t="str">
        <f t="shared" si="1113"/>
        <v xml:space="preserve"> </v>
      </c>
      <c r="N1784" t="str">
        <f t="shared" si="1142"/>
        <v>OREGON</v>
      </c>
      <c r="O1784" t="str">
        <f t="shared" si="1144"/>
        <v>CUBREVOLANTES</v>
      </c>
      <c r="P1784" t="str">
        <f t="shared" si="1147"/>
        <v>0</v>
      </c>
      <c r="Q1784" t="str">
        <f t="shared" si="1147"/>
        <v>0</v>
      </c>
      <c r="R1784" t="str">
        <f t="shared" si="1148"/>
        <v>0,00</v>
      </c>
      <c r="S1784" t="str">
        <f t="shared" si="1148"/>
        <v>0,00</v>
      </c>
      <c r="T1784" t="str">
        <f t="shared" si="1110"/>
        <v xml:space="preserve"> </v>
      </c>
      <c r="U1784" t="str">
        <f t="shared" si="1134"/>
        <v xml:space="preserve"> </v>
      </c>
      <c r="V1784" t="str">
        <f>"35,000"</f>
        <v>35,000</v>
      </c>
      <c r="W1784" t="str">
        <f t="shared" si="1114"/>
        <v>Lista 4</v>
      </c>
      <c r="X1784" t="str">
        <f t="shared" si="1115"/>
        <v>Lista 5</v>
      </c>
      <c r="Y1784" t="str">
        <f t="shared" si="1116"/>
        <v>Oferta Gral.</v>
      </c>
      <c r="Z1784" t="str">
        <f t="shared" si="1117"/>
        <v>Rubro</v>
      </c>
      <c r="AA1784" t="str">
        <f t="shared" si="1118"/>
        <v>Cantidad por Bulto</v>
      </c>
      <c r="AB1784" t="str">
        <f t="shared" si="1119"/>
        <v>INNER</v>
      </c>
      <c r="AC1784" t="str">
        <f t="shared" si="1120"/>
        <v>Stock en Bultos</v>
      </c>
      <c r="AD1784" t="str">
        <f t="shared" si="1121"/>
        <v>SubDepósito</v>
      </c>
      <c r="AE1784" t="str">
        <f t="shared" si="1122"/>
        <v>Marca</v>
      </c>
      <c r="AF1784" t="str">
        <f t="shared" si="1123"/>
        <v>Super Rubro</v>
      </c>
      <c r="AG1784" t="str">
        <f t="shared" si="1124"/>
        <v>ComercioExterior</v>
      </c>
      <c r="AH1784" t="str">
        <f t="shared" si="1125"/>
        <v>PrecioFOB</v>
      </c>
      <c r="AI1784" t="str">
        <f t="shared" si="1126"/>
        <v>Monto II</v>
      </c>
      <c r="AJ1784" t="str">
        <f t="shared" si="1127"/>
        <v>Porcentaje II</v>
      </c>
      <c r="AK1784" t="str">
        <f t="shared" si="1128"/>
        <v>Foto</v>
      </c>
      <c r="AL1784" t="str">
        <f>"{\rtf1\ansi\ansicpg1252\deff0\deflang11274{\fonttbl{\f0\fnil\fcharset0 MS Sans Serif}} \viewkind4\uc1\pard\f0\fs16 CUBREVOLANTE PVC 38CM NEGRO/ROJO\par } "</f>
        <v xml:space="preserve">{\rtf1\ansi\ansicpg1252\deff0\deflang11274{\fonttbl{\f0\fnil\fcharset0 MS Sans Serif}} \viewkind4\uc1\pard\f0\fs16 CUBREVOLANTE PVC 38CM NEGRO/ROJO\par } </v>
      </c>
      <c r="AM1784" t="str">
        <f t="shared" ref="AM1784:AM1812" si="1149">"-"</f>
        <v>-</v>
      </c>
    </row>
    <row r="1785" spans="1:39" x14ac:dyDescent="0.25">
      <c r="A1785" t="str">
        <f>"CV007"</f>
        <v>CV007</v>
      </c>
      <c r="B1785" t="str">
        <f>"CUBREVOLANTE PVC 38CM NEGRO/ROJO"</f>
        <v>CUBREVOLANTE PVC 38CM NEGRO/ROJO</v>
      </c>
      <c r="C1785" t="str">
        <f>"$ 7622,85"</f>
        <v>$ 7622,85</v>
      </c>
      <c r="D1785" t="str">
        <f>"$ 7622,85"</f>
        <v>$ 7622,85</v>
      </c>
      <c r="E1785" t="str">
        <f>"$ 7622,85"</f>
        <v>$ 7622,85</v>
      </c>
      <c r="F1785" t="str">
        <f>"$ 7622,85"</f>
        <v>$ 7622,85</v>
      </c>
      <c r="G1785" t="str">
        <f>"$ 7622,85"</f>
        <v>$ 7622,85</v>
      </c>
      <c r="H1785" t="str">
        <f t="shared" si="1111"/>
        <v>$ 0,00</v>
      </c>
      <c r="I1785" t="str">
        <f t="shared" si="1143"/>
        <v>CUBREVOLANTES</v>
      </c>
      <c r="J1785" t="str">
        <f t="shared" si="1112"/>
        <v>1</v>
      </c>
      <c r="K1785" t="str">
        <f t="shared" si="1146"/>
        <v>0</v>
      </c>
      <c r="L1785" t="str">
        <f>"56,000"</f>
        <v>56,000</v>
      </c>
      <c r="M1785" t="str">
        <f t="shared" si="1113"/>
        <v xml:space="preserve"> </v>
      </c>
      <c r="N1785" t="str">
        <f t="shared" si="1142"/>
        <v>OREGON</v>
      </c>
      <c r="O1785" t="str">
        <f t="shared" si="1144"/>
        <v>CUBREVOLANTES</v>
      </c>
      <c r="P1785" t="str">
        <f t="shared" si="1147"/>
        <v>0</v>
      </c>
      <c r="Q1785" t="str">
        <f t="shared" si="1147"/>
        <v>0</v>
      </c>
      <c r="R1785" t="str">
        <f t="shared" si="1148"/>
        <v>0,00</v>
      </c>
      <c r="S1785" t="str">
        <f t="shared" si="1148"/>
        <v>0,00</v>
      </c>
      <c r="T1785" t="str">
        <f t="shared" si="1110"/>
        <v xml:space="preserve"> </v>
      </c>
      <c r="U1785" t="str">
        <f t="shared" si="1134"/>
        <v xml:space="preserve"> </v>
      </c>
      <c r="V1785" t="str">
        <f>"56,000"</f>
        <v>56,000</v>
      </c>
      <c r="W1785" t="str">
        <f t="shared" si="1114"/>
        <v>Lista 4</v>
      </c>
      <c r="X1785" t="str">
        <f t="shared" si="1115"/>
        <v>Lista 5</v>
      </c>
      <c r="Y1785" t="str">
        <f t="shared" si="1116"/>
        <v>Oferta Gral.</v>
      </c>
      <c r="Z1785" t="str">
        <f t="shared" si="1117"/>
        <v>Rubro</v>
      </c>
      <c r="AA1785" t="str">
        <f t="shared" si="1118"/>
        <v>Cantidad por Bulto</v>
      </c>
      <c r="AB1785" t="str">
        <f t="shared" si="1119"/>
        <v>INNER</v>
      </c>
      <c r="AC1785" t="str">
        <f t="shared" si="1120"/>
        <v>Stock en Bultos</v>
      </c>
      <c r="AD1785" t="str">
        <f t="shared" si="1121"/>
        <v>SubDepósito</v>
      </c>
      <c r="AE1785" t="str">
        <f t="shared" si="1122"/>
        <v>Marca</v>
      </c>
      <c r="AF1785" t="str">
        <f t="shared" si="1123"/>
        <v>Super Rubro</v>
      </c>
      <c r="AG1785" t="str">
        <f t="shared" si="1124"/>
        <v>ComercioExterior</v>
      </c>
      <c r="AH1785" t="str">
        <f t="shared" si="1125"/>
        <v>PrecioFOB</v>
      </c>
      <c r="AI1785" t="str">
        <f t="shared" si="1126"/>
        <v>Monto II</v>
      </c>
      <c r="AJ1785" t="str">
        <f t="shared" si="1127"/>
        <v>Porcentaje II</v>
      </c>
      <c r="AK1785" t="str">
        <f t="shared" si="1128"/>
        <v>Foto</v>
      </c>
      <c r="AL1785" t="str">
        <f>"{\rtf1\ansi\ansicpg1252\deff0\deflang11274{\fonttbl{\f0\fnil\fcharset0 MS Sans Serif}} \viewkind4\uc1\pard\f0\fs16 CUBREVOLANTE PVC 38CM NEGRO/ROJO\par } "</f>
        <v xml:space="preserve">{\rtf1\ansi\ansicpg1252\deff0\deflang11274{\fonttbl{\f0\fnil\fcharset0 MS Sans Serif}} \viewkind4\uc1\pard\f0\fs16 CUBREVOLANTE PVC 38CM NEGRO/ROJO\par } </v>
      </c>
      <c r="AM1785" t="str">
        <f t="shared" si="1149"/>
        <v>-</v>
      </c>
    </row>
    <row r="1786" spans="1:39" x14ac:dyDescent="0.25">
      <c r="A1786" t="str">
        <f>"CV010"</f>
        <v>CV010</v>
      </c>
      <c r="B1786" t="str">
        <f>"CUBREVOLANTE PVC 38CM NEGRO/ROJO"</f>
        <v>CUBREVOLANTE PVC 38CM NEGRO/ROJO</v>
      </c>
      <c r="C1786" t="str">
        <f>"$ 8045,17"</f>
        <v>$ 8045,17</v>
      </c>
      <c r="D1786" t="str">
        <f>"$ 8045,17"</f>
        <v>$ 8045,17</v>
      </c>
      <c r="E1786" t="str">
        <f>"$ 8045,17"</f>
        <v>$ 8045,17</v>
      </c>
      <c r="F1786" t="str">
        <f>"$ 8045,17"</f>
        <v>$ 8045,17</v>
      </c>
      <c r="G1786" t="str">
        <f>"$ 8045,17"</f>
        <v>$ 8045,17</v>
      </c>
      <c r="H1786" t="str">
        <f t="shared" si="1111"/>
        <v>$ 0,00</v>
      </c>
      <c r="I1786" t="str">
        <f t="shared" si="1143"/>
        <v>CUBREVOLANTES</v>
      </c>
      <c r="J1786" t="str">
        <f t="shared" si="1112"/>
        <v>1</v>
      </c>
      <c r="K1786" t="str">
        <f t="shared" si="1146"/>
        <v>0</v>
      </c>
      <c r="L1786" t="str">
        <f>"41,000"</f>
        <v>41,000</v>
      </c>
      <c r="M1786" t="str">
        <f t="shared" si="1113"/>
        <v xml:space="preserve"> </v>
      </c>
      <c r="N1786" t="str">
        <f t="shared" si="1142"/>
        <v>OREGON</v>
      </c>
      <c r="O1786" t="str">
        <f t="shared" si="1144"/>
        <v>CUBREVOLANTES</v>
      </c>
      <c r="P1786" t="str">
        <f t="shared" si="1147"/>
        <v>0</v>
      </c>
      <c r="Q1786" t="str">
        <f t="shared" si="1147"/>
        <v>0</v>
      </c>
      <c r="R1786" t="str">
        <f t="shared" si="1148"/>
        <v>0,00</v>
      </c>
      <c r="S1786" t="str">
        <f t="shared" si="1148"/>
        <v>0,00</v>
      </c>
      <c r="T1786" t="str">
        <f t="shared" si="1110"/>
        <v xml:space="preserve"> </v>
      </c>
      <c r="U1786" t="str">
        <f t="shared" si="1134"/>
        <v xml:space="preserve"> </v>
      </c>
      <c r="V1786" t="str">
        <f>"41,000"</f>
        <v>41,000</v>
      </c>
      <c r="W1786" t="str">
        <f t="shared" si="1114"/>
        <v>Lista 4</v>
      </c>
      <c r="X1786" t="str">
        <f t="shared" si="1115"/>
        <v>Lista 5</v>
      </c>
      <c r="Y1786" t="str">
        <f t="shared" si="1116"/>
        <v>Oferta Gral.</v>
      </c>
      <c r="Z1786" t="str">
        <f t="shared" si="1117"/>
        <v>Rubro</v>
      </c>
      <c r="AA1786" t="str">
        <f t="shared" si="1118"/>
        <v>Cantidad por Bulto</v>
      </c>
      <c r="AB1786" t="str">
        <f t="shared" si="1119"/>
        <v>INNER</v>
      </c>
      <c r="AC1786" t="str">
        <f t="shared" si="1120"/>
        <v>Stock en Bultos</v>
      </c>
      <c r="AD1786" t="str">
        <f t="shared" si="1121"/>
        <v>SubDepósito</v>
      </c>
      <c r="AE1786" t="str">
        <f t="shared" si="1122"/>
        <v>Marca</v>
      </c>
      <c r="AF1786" t="str">
        <f t="shared" si="1123"/>
        <v>Super Rubro</v>
      </c>
      <c r="AG1786" t="str">
        <f t="shared" si="1124"/>
        <v>ComercioExterior</v>
      </c>
      <c r="AH1786" t="str">
        <f t="shared" si="1125"/>
        <v>PrecioFOB</v>
      </c>
      <c r="AI1786" t="str">
        <f t="shared" si="1126"/>
        <v>Monto II</v>
      </c>
      <c r="AJ1786" t="str">
        <f t="shared" si="1127"/>
        <v>Porcentaje II</v>
      </c>
      <c r="AK1786" t="str">
        <f t="shared" si="1128"/>
        <v>Foto</v>
      </c>
      <c r="AL1786" t="str">
        <f>"{\rtf1\ansi\ansicpg1252\deff0\deflang11274{\fonttbl{\f0\fnil\fcharset0 MS Sans Serif}} \viewkind4\uc1\pard\f0\fs16 CUBREVOLANTE PVC 38CM NEGRO/ROJO\par } "</f>
        <v xml:space="preserve">{\rtf1\ansi\ansicpg1252\deff0\deflang11274{\fonttbl{\f0\fnil\fcharset0 MS Sans Serif}} \viewkind4\uc1\pard\f0\fs16 CUBREVOLANTE PVC 38CM NEGRO/ROJO\par } </v>
      </c>
      <c r="AM1786" t="str">
        <f t="shared" si="1149"/>
        <v>-</v>
      </c>
    </row>
    <row r="1787" spans="1:39" x14ac:dyDescent="0.25">
      <c r="A1787" t="str">
        <f>"CV022"</f>
        <v>CV022</v>
      </c>
      <c r="B1787" t="str">
        <f>"CUBREVOLANTE PVC 38CM NEGRO/ROSA"</f>
        <v>CUBREVOLANTE PVC 38CM NEGRO/ROSA</v>
      </c>
      <c r="C1787" t="str">
        <f>"$ 9322,67"</f>
        <v>$ 9322,67</v>
      </c>
      <c r="D1787" t="str">
        <f>"$ 9322,67"</f>
        <v>$ 9322,67</v>
      </c>
      <c r="E1787" t="str">
        <f>"$ 9322,67"</f>
        <v>$ 9322,67</v>
      </c>
      <c r="F1787" t="str">
        <f>"$ 9322,67"</f>
        <v>$ 9322,67</v>
      </c>
      <c r="G1787" t="str">
        <f>"$ 9322,67"</f>
        <v>$ 9322,67</v>
      </c>
      <c r="H1787" t="str">
        <f t="shared" si="1111"/>
        <v>$ 0,00</v>
      </c>
      <c r="I1787" t="str">
        <f t="shared" si="1143"/>
        <v>CUBREVOLANTES</v>
      </c>
      <c r="J1787" t="str">
        <f t="shared" si="1112"/>
        <v>1</v>
      </c>
      <c r="K1787" t="str">
        <f t="shared" si="1146"/>
        <v>0</v>
      </c>
      <c r="L1787" t="str">
        <f>"7,000"</f>
        <v>7,000</v>
      </c>
      <c r="M1787" t="str">
        <f t="shared" si="1113"/>
        <v xml:space="preserve"> </v>
      </c>
      <c r="N1787" t="str">
        <f t="shared" si="1142"/>
        <v>OREGON</v>
      </c>
      <c r="O1787" t="str">
        <f t="shared" si="1144"/>
        <v>CUBREVOLANTES</v>
      </c>
      <c r="P1787" t="str">
        <f t="shared" si="1147"/>
        <v>0</v>
      </c>
      <c r="Q1787" t="str">
        <f t="shared" si="1147"/>
        <v>0</v>
      </c>
      <c r="R1787" t="str">
        <f t="shared" si="1148"/>
        <v>0,00</v>
      </c>
      <c r="S1787" t="str">
        <f t="shared" si="1148"/>
        <v>0,00</v>
      </c>
      <c r="T1787" t="str">
        <f t="shared" si="1110"/>
        <v xml:space="preserve"> </v>
      </c>
      <c r="U1787" t="str">
        <f t="shared" si="1134"/>
        <v xml:space="preserve"> </v>
      </c>
      <c r="V1787" t="str">
        <f>"7,000"</f>
        <v>7,000</v>
      </c>
      <c r="W1787" t="str">
        <f t="shared" si="1114"/>
        <v>Lista 4</v>
      </c>
      <c r="X1787" t="str">
        <f t="shared" si="1115"/>
        <v>Lista 5</v>
      </c>
      <c r="Y1787" t="str">
        <f t="shared" si="1116"/>
        <v>Oferta Gral.</v>
      </c>
      <c r="Z1787" t="str">
        <f t="shared" si="1117"/>
        <v>Rubro</v>
      </c>
      <c r="AA1787" t="str">
        <f t="shared" si="1118"/>
        <v>Cantidad por Bulto</v>
      </c>
      <c r="AB1787" t="str">
        <f t="shared" si="1119"/>
        <v>INNER</v>
      </c>
      <c r="AC1787" t="str">
        <f t="shared" si="1120"/>
        <v>Stock en Bultos</v>
      </c>
      <c r="AD1787" t="str">
        <f t="shared" si="1121"/>
        <v>SubDepósito</v>
      </c>
      <c r="AE1787" t="str">
        <f t="shared" si="1122"/>
        <v>Marca</v>
      </c>
      <c r="AF1787" t="str">
        <f t="shared" si="1123"/>
        <v>Super Rubro</v>
      </c>
      <c r="AG1787" t="str">
        <f t="shared" si="1124"/>
        <v>ComercioExterior</v>
      </c>
      <c r="AH1787" t="str">
        <f t="shared" si="1125"/>
        <v>PrecioFOB</v>
      </c>
      <c r="AI1787" t="str">
        <f t="shared" si="1126"/>
        <v>Monto II</v>
      </c>
      <c r="AJ1787" t="str">
        <f t="shared" si="1127"/>
        <v>Porcentaje II</v>
      </c>
      <c r="AK1787" t="str">
        <f t="shared" si="1128"/>
        <v>Foto</v>
      </c>
      <c r="AL1787" t="str">
        <f>"{\rtf1\ansi\ansicpg1252\deff0\deflang11274{\fonttbl{\f0\fnil\fcharset0 MS Sans Serif}} \viewkind4\uc1\pard\f0\fs16 CUBREVOLANTE PVC 38CM NEGRO/ROSA\par } "</f>
        <v xml:space="preserve">{\rtf1\ansi\ansicpg1252\deff0\deflang11274{\fonttbl{\f0\fnil\fcharset0 MS Sans Serif}} \viewkind4\uc1\pard\f0\fs16 CUBREVOLANTE PVC 38CM NEGRO/ROSA\par } </v>
      </c>
      <c r="AM1787" t="str">
        <f t="shared" si="1149"/>
        <v>-</v>
      </c>
    </row>
    <row r="1788" spans="1:39" x14ac:dyDescent="0.25">
      <c r="A1788" t="str">
        <f>"FI60034"</f>
        <v>FI60034</v>
      </c>
      <c r="B1788" t="str">
        <f>"CUERPO MARIPOSA  AUDI A3/A4/ A5/A6/Q5/TT VW TIGUAN/PASSAT/VENTO III 2.0 TDI 16V ORIG.CONTINENTAL"</f>
        <v>CUERPO MARIPOSA  AUDI A3/A4/ A5/A6/Q5/TT VW TIGUAN/PASSAT/VENTO III 2.0 TDI 16V ORIG.CONTINENTAL</v>
      </c>
      <c r="C1788" t="str">
        <f>"$ 272755,89"</f>
        <v>$ 272755,89</v>
      </c>
      <c r="D1788" t="str">
        <f>"$ 272755,89"</f>
        <v>$ 272755,89</v>
      </c>
      <c r="E1788" t="str">
        <f>"$ 272755,89"</f>
        <v>$ 272755,89</v>
      </c>
      <c r="F1788" t="str">
        <f>"$ 272755,89"</f>
        <v>$ 272755,89</v>
      </c>
      <c r="G1788" t="str">
        <f>"$ 272755,89"</f>
        <v>$ 272755,89</v>
      </c>
      <c r="H1788" t="str">
        <f t="shared" si="1111"/>
        <v>$ 0,00</v>
      </c>
      <c r="I1788" t="str">
        <f t="shared" ref="I1788:I1821" si="1150">"CUERPO MARIPOSA"</f>
        <v>CUERPO MARIPOSA</v>
      </c>
      <c r="J1788" t="str">
        <f t="shared" si="1112"/>
        <v>1</v>
      </c>
      <c r="K1788" t="str">
        <f t="shared" si="1146"/>
        <v>0</v>
      </c>
      <c r="L1788" t="str">
        <f>"1,000"</f>
        <v>1,000</v>
      </c>
      <c r="M1788" t="str">
        <f t="shared" si="1113"/>
        <v xml:space="preserve"> </v>
      </c>
      <c r="N1788" t="str">
        <f t="shared" ref="N1788:N1821" si="1151">"FISPA"</f>
        <v>FISPA</v>
      </c>
      <c r="O1788" t="str">
        <f t="shared" ref="O1788:O1821" si="1152">"CUERPO MARIPOSA"</f>
        <v>CUERPO MARIPOSA</v>
      </c>
      <c r="P1788" t="str">
        <f t="shared" si="1147"/>
        <v>0</v>
      </c>
      <c r="Q1788" t="str">
        <f t="shared" si="1147"/>
        <v>0</v>
      </c>
      <c r="R1788" t="str">
        <f t="shared" si="1148"/>
        <v>0,00</v>
      </c>
      <c r="S1788" t="str">
        <f t="shared" si="1148"/>
        <v>0,00</v>
      </c>
      <c r="T1788" t="str">
        <f t="shared" si="1110"/>
        <v xml:space="preserve"> </v>
      </c>
      <c r="U1788" t="str">
        <f t="shared" si="1134"/>
        <v xml:space="preserve"> </v>
      </c>
      <c r="V1788" t="str">
        <f>"1,000"</f>
        <v>1,000</v>
      </c>
      <c r="W1788" t="str">
        <f t="shared" si="1114"/>
        <v>Lista 4</v>
      </c>
      <c r="X1788" t="str">
        <f t="shared" si="1115"/>
        <v>Lista 5</v>
      </c>
      <c r="Y1788" t="str">
        <f t="shared" si="1116"/>
        <v>Oferta Gral.</v>
      </c>
      <c r="Z1788" t="str">
        <f t="shared" si="1117"/>
        <v>Rubro</v>
      </c>
      <c r="AA1788" t="str">
        <f t="shared" si="1118"/>
        <v>Cantidad por Bulto</v>
      </c>
      <c r="AB1788" t="str">
        <f t="shared" si="1119"/>
        <v>INNER</v>
      </c>
      <c r="AC1788" t="str">
        <f t="shared" si="1120"/>
        <v>Stock en Bultos</v>
      </c>
      <c r="AD1788" t="str">
        <f t="shared" si="1121"/>
        <v>SubDepósito</v>
      </c>
      <c r="AE1788" t="str">
        <f t="shared" si="1122"/>
        <v>Marca</v>
      </c>
      <c r="AF1788" t="str">
        <f t="shared" si="1123"/>
        <v>Super Rubro</v>
      </c>
      <c r="AG1788" t="str">
        <f t="shared" si="1124"/>
        <v>ComercioExterior</v>
      </c>
      <c r="AH1788" t="str">
        <f t="shared" si="1125"/>
        <v>PrecioFOB</v>
      </c>
      <c r="AI1788" t="str">
        <f t="shared" si="1126"/>
        <v>Monto II</v>
      </c>
      <c r="AJ1788" t="str">
        <f t="shared" si="1127"/>
        <v>Porcentaje II</v>
      </c>
      <c r="AK1788" t="str">
        <f t="shared" si="1128"/>
        <v>Foto</v>
      </c>
      <c r="AL1788" t="str">
        <f>"{\rtf1\ansi\ansicpg1252\deff0\deflang11274{\fonttbl{\f0\fnil\fcharset0 MS Sans Serif}} \viewkind4\uc1\pard\f0\fs16 CUERPO MARIPOSA  AUDI A3/A4/ A5/A6/Q5/TT VW TIGUAN/PASSAT/VENTO III 2.0 TDI 16V ORIG.CONTINENTAL\par } "</f>
        <v xml:space="preserve">{\rtf1\ansi\ansicpg1252\deff0\deflang11274{\fonttbl{\f0\fnil\fcharset0 MS Sans Serif}} \viewkind4\uc1\pard\f0\fs16 CUERPO MARIPOSA  AUDI A3/A4/ A5/A6/Q5/TT VW TIGUAN/PASSAT/VENTO III 2.0 TDI 16V ORIG.CONTINENTAL\par } </v>
      </c>
      <c r="AM1788" t="str">
        <f t="shared" si="1149"/>
        <v>-</v>
      </c>
    </row>
    <row r="1789" spans="1:39" x14ac:dyDescent="0.25">
      <c r="A1789" t="str">
        <f>"FI60045"</f>
        <v>FI60045</v>
      </c>
      <c r="B1789" t="str">
        <f>"CUERPO MARIPOSA  HYUNDAI TUCSON/STA F- KIA SPORTAGE/SORENTO MOTOR 2.4L 06-13 "</f>
        <v xml:space="preserve">CUERPO MARIPOSA  HYUNDAI TUCSON/STA F- KIA SPORTAGE/SORENTO MOTOR 2.4L 06-13 </v>
      </c>
      <c r="C1789" t="str">
        <f>"$ 286502,07"</f>
        <v>$ 286502,07</v>
      </c>
      <c r="D1789" t="str">
        <f>"$ 286502,07"</f>
        <v>$ 286502,07</v>
      </c>
      <c r="E1789" t="str">
        <f>"$ 286502,07"</f>
        <v>$ 286502,07</v>
      </c>
      <c r="F1789" t="str">
        <f>"$ 286502,07"</f>
        <v>$ 286502,07</v>
      </c>
      <c r="G1789" t="str">
        <f>"$ 286502,07"</f>
        <v>$ 286502,07</v>
      </c>
      <c r="H1789" t="str">
        <f t="shared" si="1111"/>
        <v>$ 0,00</v>
      </c>
      <c r="I1789" t="str">
        <f t="shared" si="1150"/>
        <v>CUERPO MARIPOSA</v>
      </c>
      <c r="J1789" t="str">
        <f t="shared" si="1112"/>
        <v>1</v>
      </c>
      <c r="K1789" t="str">
        <f t="shared" si="1146"/>
        <v>0</v>
      </c>
      <c r="L1789" t="str">
        <f>"0,000"</f>
        <v>0,000</v>
      </c>
      <c r="M1789" t="str">
        <f t="shared" si="1113"/>
        <v xml:space="preserve"> </v>
      </c>
      <c r="N1789" t="str">
        <f t="shared" si="1151"/>
        <v>FISPA</v>
      </c>
      <c r="O1789" t="str">
        <f t="shared" si="1152"/>
        <v>CUERPO MARIPOSA</v>
      </c>
      <c r="P1789" t="str">
        <f t="shared" si="1147"/>
        <v>0</v>
      </c>
      <c r="Q1789" t="str">
        <f t="shared" si="1147"/>
        <v>0</v>
      </c>
      <c r="R1789" t="str">
        <f t="shared" si="1148"/>
        <v>0,00</v>
      </c>
      <c r="S1789" t="str">
        <f t="shared" si="1148"/>
        <v>0,00</v>
      </c>
      <c r="T1789" t="str">
        <f t="shared" si="1110"/>
        <v xml:space="preserve"> </v>
      </c>
      <c r="U1789" t="str">
        <f t="shared" si="1134"/>
        <v xml:space="preserve"> </v>
      </c>
      <c r="V1789" t="str">
        <f>"0,000"</f>
        <v>0,000</v>
      </c>
      <c r="W1789" t="str">
        <f t="shared" si="1114"/>
        <v>Lista 4</v>
      </c>
      <c r="X1789" t="str">
        <f t="shared" si="1115"/>
        <v>Lista 5</v>
      </c>
      <c r="Y1789" t="str">
        <f t="shared" si="1116"/>
        <v>Oferta Gral.</v>
      </c>
      <c r="Z1789" t="str">
        <f t="shared" si="1117"/>
        <v>Rubro</v>
      </c>
      <c r="AA1789" t="str">
        <f t="shared" si="1118"/>
        <v>Cantidad por Bulto</v>
      </c>
      <c r="AB1789" t="str">
        <f t="shared" si="1119"/>
        <v>INNER</v>
      </c>
      <c r="AC1789" t="str">
        <f t="shared" si="1120"/>
        <v>Stock en Bultos</v>
      </c>
      <c r="AD1789" t="str">
        <f t="shared" si="1121"/>
        <v>SubDepósito</v>
      </c>
      <c r="AE1789" t="str">
        <f t="shared" si="1122"/>
        <v>Marca</v>
      </c>
      <c r="AF1789" t="str">
        <f t="shared" si="1123"/>
        <v>Super Rubro</v>
      </c>
      <c r="AG1789" t="str">
        <f t="shared" si="1124"/>
        <v>ComercioExterior</v>
      </c>
      <c r="AH1789" t="str">
        <f t="shared" si="1125"/>
        <v>PrecioFOB</v>
      </c>
      <c r="AI1789" t="str">
        <f t="shared" si="1126"/>
        <v>Monto II</v>
      </c>
      <c r="AJ1789" t="str">
        <f t="shared" si="1127"/>
        <v>Porcentaje II</v>
      </c>
      <c r="AK1789" t="str">
        <f t="shared" si="1128"/>
        <v>Foto</v>
      </c>
      <c r="AL178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89" t="str">
        <f t="shared" si="1149"/>
        <v>-</v>
      </c>
    </row>
    <row r="1790" spans="1:39" x14ac:dyDescent="0.25">
      <c r="A1790" t="str">
        <f>"FI60006"</f>
        <v>FI60006</v>
      </c>
      <c r="B1790" t="str">
        <f>"CUERPO MARIPOSA AUDI A3 / IBIZA/ BORA / GOLF IV / POLO                      ALTERNATIVO"</f>
        <v>CUERPO MARIPOSA AUDI A3 / IBIZA/ BORA / GOLF IV / POLO                      ALTERNATIVO</v>
      </c>
      <c r="C1790" t="str">
        <f>"$ 191184,47"</f>
        <v>$ 191184,47</v>
      </c>
      <c r="D1790" t="str">
        <f>"$ 191184,47"</f>
        <v>$ 191184,47</v>
      </c>
      <c r="E1790" t="str">
        <f>"$ 191184,47"</f>
        <v>$ 191184,47</v>
      </c>
      <c r="F1790" t="str">
        <f>"$ 191184,47"</f>
        <v>$ 191184,47</v>
      </c>
      <c r="G1790" t="str">
        <f>"$ 191184,47"</f>
        <v>$ 191184,47</v>
      </c>
      <c r="H1790" t="str">
        <f t="shared" si="1111"/>
        <v>$ 0,00</v>
      </c>
      <c r="I1790" t="str">
        <f t="shared" si="1150"/>
        <v>CUERPO MARIPOSA</v>
      </c>
      <c r="J1790" t="str">
        <f t="shared" si="1112"/>
        <v>1</v>
      </c>
      <c r="K1790" t="str">
        <f t="shared" si="1146"/>
        <v>0</v>
      </c>
      <c r="L1790" t="str">
        <f>"0,000"</f>
        <v>0,000</v>
      </c>
      <c r="M1790" t="str">
        <f t="shared" si="1113"/>
        <v xml:space="preserve"> </v>
      </c>
      <c r="N1790" t="str">
        <f t="shared" si="1151"/>
        <v>FISPA</v>
      </c>
      <c r="O1790" t="str">
        <f t="shared" si="1152"/>
        <v>CUERPO MARIPOSA</v>
      </c>
      <c r="P1790" t="str">
        <f t="shared" si="1147"/>
        <v>0</v>
      </c>
      <c r="Q1790" t="str">
        <f t="shared" si="1147"/>
        <v>0</v>
      </c>
      <c r="R1790" t="str">
        <f t="shared" si="1148"/>
        <v>0,00</v>
      </c>
      <c r="S1790" t="str">
        <f t="shared" si="1148"/>
        <v>0,00</v>
      </c>
      <c r="T1790" t="str">
        <f t="shared" si="1110"/>
        <v xml:space="preserve"> </v>
      </c>
      <c r="U1790" t="str">
        <f t="shared" si="1134"/>
        <v xml:space="preserve"> </v>
      </c>
      <c r="V1790" t="str">
        <f>"0,000"</f>
        <v>0,000</v>
      </c>
      <c r="W1790" t="str">
        <f t="shared" si="1114"/>
        <v>Lista 4</v>
      </c>
      <c r="X1790" t="str">
        <f t="shared" si="1115"/>
        <v>Lista 5</v>
      </c>
      <c r="Y1790" t="str">
        <f t="shared" si="1116"/>
        <v>Oferta Gral.</v>
      </c>
      <c r="Z1790" t="str">
        <f t="shared" si="1117"/>
        <v>Rubro</v>
      </c>
      <c r="AA1790" t="str">
        <f t="shared" si="1118"/>
        <v>Cantidad por Bulto</v>
      </c>
      <c r="AB1790" t="str">
        <f t="shared" si="1119"/>
        <v>INNER</v>
      </c>
      <c r="AC1790" t="str">
        <f t="shared" si="1120"/>
        <v>Stock en Bultos</v>
      </c>
      <c r="AD1790" t="str">
        <f t="shared" si="1121"/>
        <v>SubDepósito</v>
      </c>
      <c r="AE1790" t="str">
        <f t="shared" si="1122"/>
        <v>Marca</v>
      </c>
      <c r="AF1790" t="str">
        <f t="shared" si="1123"/>
        <v>Super Rubro</v>
      </c>
      <c r="AG1790" t="str">
        <f t="shared" si="1124"/>
        <v>ComercioExterior</v>
      </c>
      <c r="AH1790" t="str">
        <f t="shared" si="1125"/>
        <v>PrecioFOB</v>
      </c>
      <c r="AI1790" t="str">
        <f t="shared" si="1126"/>
        <v>Monto II</v>
      </c>
      <c r="AJ1790" t="str">
        <f t="shared" si="1127"/>
        <v>Porcentaje II</v>
      </c>
      <c r="AK1790" t="str">
        <f t="shared" si="1128"/>
        <v>Foto</v>
      </c>
      <c r="AL179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90" t="str">
        <f t="shared" si="1149"/>
        <v>-</v>
      </c>
    </row>
    <row r="1791" spans="1:39" x14ac:dyDescent="0.25">
      <c r="A1791" t="str">
        <f>"FI60021"</f>
        <v>FI60021</v>
      </c>
      <c r="B1791" t="str">
        <f>"CUERPO MARIPOSA AUDI A3 2.0 TDI  VW TIGUAN / PASSAT/ VENTO IV 2.0 TDI             ORIGINAL CONTINENTAL"</f>
        <v>CUERPO MARIPOSA AUDI A3 2.0 TDI  VW TIGUAN / PASSAT/ VENTO IV 2.0 TDI             ORIGINAL CONTINENTAL</v>
      </c>
      <c r="C1791" t="str">
        <f>"$ 247111,49"</f>
        <v>$ 247111,49</v>
      </c>
      <c r="D1791" t="str">
        <f>"$ 247111,49"</f>
        <v>$ 247111,49</v>
      </c>
      <c r="E1791" t="str">
        <f>"$ 247111,49"</f>
        <v>$ 247111,49</v>
      </c>
      <c r="F1791" t="str">
        <f>"$ 247111,49"</f>
        <v>$ 247111,49</v>
      </c>
      <c r="G1791" t="str">
        <f>"$ 247111,49"</f>
        <v>$ 247111,49</v>
      </c>
      <c r="H1791" t="str">
        <f t="shared" si="1111"/>
        <v>$ 0,00</v>
      </c>
      <c r="I1791" t="str">
        <f t="shared" si="1150"/>
        <v>CUERPO MARIPOSA</v>
      </c>
      <c r="J1791" t="str">
        <f t="shared" si="1112"/>
        <v>1</v>
      </c>
      <c r="K1791" t="str">
        <f t="shared" si="1146"/>
        <v>0</v>
      </c>
      <c r="L1791" t="str">
        <f>"0,000"</f>
        <v>0,000</v>
      </c>
      <c r="M1791" t="str">
        <f t="shared" si="1113"/>
        <v xml:space="preserve"> </v>
      </c>
      <c r="N1791" t="str">
        <f t="shared" si="1151"/>
        <v>FISPA</v>
      </c>
      <c r="O1791" t="str">
        <f t="shared" si="1152"/>
        <v>CUERPO MARIPOSA</v>
      </c>
      <c r="P1791" t="str">
        <f t="shared" si="1147"/>
        <v>0</v>
      </c>
      <c r="Q1791" t="str">
        <f t="shared" si="1147"/>
        <v>0</v>
      </c>
      <c r="R1791" t="str">
        <f t="shared" si="1148"/>
        <v>0,00</v>
      </c>
      <c r="S1791" t="str">
        <f t="shared" si="1148"/>
        <v>0,00</v>
      </c>
      <c r="T1791" t="str">
        <f t="shared" si="1110"/>
        <v xml:space="preserve"> </v>
      </c>
      <c r="U1791" t="str">
        <f t="shared" si="1134"/>
        <v xml:space="preserve"> </v>
      </c>
      <c r="V1791" t="str">
        <f>"0,000"</f>
        <v>0,000</v>
      </c>
      <c r="W1791" t="str">
        <f t="shared" si="1114"/>
        <v>Lista 4</v>
      </c>
      <c r="X1791" t="str">
        <f t="shared" si="1115"/>
        <v>Lista 5</v>
      </c>
      <c r="Y1791" t="str">
        <f t="shared" si="1116"/>
        <v>Oferta Gral.</v>
      </c>
      <c r="Z1791" t="str">
        <f t="shared" si="1117"/>
        <v>Rubro</v>
      </c>
      <c r="AA1791" t="str">
        <f t="shared" si="1118"/>
        <v>Cantidad por Bulto</v>
      </c>
      <c r="AB1791" t="str">
        <f t="shared" si="1119"/>
        <v>INNER</v>
      </c>
      <c r="AC1791" t="str">
        <f t="shared" si="1120"/>
        <v>Stock en Bultos</v>
      </c>
      <c r="AD1791" t="str">
        <f t="shared" si="1121"/>
        <v>SubDepósito</v>
      </c>
      <c r="AE1791" t="str">
        <f t="shared" si="1122"/>
        <v>Marca</v>
      </c>
      <c r="AF1791" t="str">
        <f t="shared" si="1123"/>
        <v>Super Rubro</v>
      </c>
      <c r="AG1791" t="str">
        <f t="shared" si="1124"/>
        <v>ComercioExterior</v>
      </c>
      <c r="AH1791" t="str">
        <f t="shared" si="1125"/>
        <v>PrecioFOB</v>
      </c>
      <c r="AI1791" t="str">
        <f t="shared" si="1126"/>
        <v>Monto II</v>
      </c>
      <c r="AJ1791" t="str">
        <f t="shared" si="1127"/>
        <v>Porcentaje II</v>
      </c>
      <c r="AK1791" t="str">
        <f t="shared" si="1128"/>
        <v>Foto</v>
      </c>
      <c r="AL1791" t="str">
        <f>"{\rtf1\ansi\ansicpg1252\deff0\deflang11274{\fonttbl{\f0\fnil\fcharset0 MS Sans Serif}} \viewkind4\uc1\pard\f0\fs16 CUERPO MARIPOSA AUDI A3 2.0 TDI  VW TIGUAN / PASSAT/ VENTO IV 2.0 TDI             ORIGINAL CONTINENTAL\par } "</f>
        <v xml:space="preserve">{\rtf1\ansi\ansicpg1252\deff0\deflang11274{\fonttbl{\f0\fnil\fcharset0 MS Sans Serif}} \viewkind4\uc1\pard\f0\fs16 CUERPO MARIPOSA AUDI A3 2.0 TDI  VW TIGUAN / PASSAT/ VENTO IV 2.0 TDI             ORIGINAL CONTINENTAL\par } </v>
      </c>
      <c r="AM1791" t="str">
        <f t="shared" si="1149"/>
        <v>-</v>
      </c>
    </row>
    <row r="1792" spans="1:39" x14ac:dyDescent="0.25">
      <c r="A1792" t="str">
        <f>"FI60009"</f>
        <v>FI60009</v>
      </c>
      <c r="B1792" t="str">
        <f>"CUERPO MARIPOSA CHEVROLET CORSA / AGILE 1.0                                    ALTERNATIVO"</f>
        <v>CUERPO MARIPOSA CHEVROLET CORSA / AGILE 1.0                                    ALTERNATIVO</v>
      </c>
      <c r="C1792" t="str">
        <f>"$ 251794,85"</f>
        <v>$ 251794,85</v>
      </c>
      <c r="D1792" t="str">
        <f>"$ 251794,85"</f>
        <v>$ 251794,85</v>
      </c>
      <c r="E1792" t="str">
        <f>"$ 251794,85"</f>
        <v>$ 251794,85</v>
      </c>
      <c r="F1792" t="str">
        <f>"$ 251794,85"</f>
        <v>$ 251794,85</v>
      </c>
      <c r="G1792" t="str">
        <f>"$ 251794,85"</f>
        <v>$ 251794,85</v>
      </c>
      <c r="H1792" t="str">
        <f t="shared" si="1111"/>
        <v>$ 0,00</v>
      </c>
      <c r="I1792" t="str">
        <f t="shared" si="1150"/>
        <v>CUERPO MARIPOSA</v>
      </c>
      <c r="J1792" t="str">
        <f t="shared" si="1112"/>
        <v>1</v>
      </c>
      <c r="K1792" t="str">
        <f t="shared" si="1146"/>
        <v>0</v>
      </c>
      <c r="L1792" t="str">
        <f>"1,000"</f>
        <v>1,000</v>
      </c>
      <c r="M1792" t="str">
        <f t="shared" si="1113"/>
        <v xml:space="preserve"> </v>
      </c>
      <c r="N1792" t="str">
        <f t="shared" si="1151"/>
        <v>FISPA</v>
      </c>
      <c r="O1792" t="str">
        <f t="shared" si="1152"/>
        <v>CUERPO MARIPOSA</v>
      </c>
      <c r="P1792" t="str">
        <f t="shared" si="1147"/>
        <v>0</v>
      </c>
      <c r="Q1792" t="str">
        <f t="shared" si="1147"/>
        <v>0</v>
      </c>
      <c r="R1792" t="str">
        <f t="shared" si="1148"/>
        <v>0,00</v>
      </c>
      <c r="S1792" t="str">
        <f t="shared" si="1148"/>
        <v>0,00</v>
      </c>
      <c r="T1792" t="str">
        <f t="shared" ref="T1792:T1855" si="1153">" "</f>
        <v xml:space="preserve"> </v>
      </c>
      <c r="U1792" t="str">
        <f t="shared" si="1134"/>
        <v xml:space="preserve"> </v>
      </c>
      <c r="V1792" t="str">
        <f>"1,000"</f>
        <v>1,000</v>
      </c>
      <c r="W1792" t="str">
        <f t="shared" si="1114"/>
        <v>Lista 4</v>
      </c>
      <c r="X1792" t="str">
        <f t="shared" si="1115"/>
        <v>Lista 5</v>
      </c>
      <c r="Y1792" t="str">
        <f t="shared" si="1116"/>
        <v>Oferta Gral.</v>
      </c>
      <c r="Z1792" t="str">
        <f t="shared" si="1117"/>
        <v>Rubro</v>
      </c>
      <c r="AA1792" t="str">
        <f t="shared" si="1118"/>
        <v>Cantidad por Bulto</v>
      </c>
      <c r="AB1792" t="str">
        <f t="shared" si="1119"/>
        <v>INNER</v>
      </c>
      <c r="AC1792" t="str">
        <f t="shared" si="1120"/>
        <v>Stock en Bultos</v>
      </c>
      <c r="AD1792" t="str">
        <f t="shared" si="1121"/>
        <v>SubDepósito</v>
      </c>
      <c r="AE1792" t="str">
        <f t="shared" si="1122"/>
        <v>Marca</v>
      </c>
      <c r="AF1792" t="str">
        <f t="shared" si="1123"/>
        <v>Super Rubro</v>
      </c>
      <c r="AG1792" t="str">
        <f t="shared" si="1124"/>
        <v>ComercioExterior</v>
      </c>
      <c r="AH1792" t="str">
        <f t="shared" si="1125"/>
        <v>PrecioFOB</v>
      </c>
      <c r="AI1792" t="str">
        <f t="shared" si="1126"/>
        <v>Monto II</v>
      </c>
      <c r="AJ1792" t="str">
        <f t="shared" si="1127"/>
        <v>Porcentaje II</v>
      </c>
      <c r="AK1792" t="str">
        <f t="shared" si="1128"/>
        <v>Foto</v>
      </c>
      <c r="AL179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92" t="str">
        <f t="shared" si="1149"/>
        <v>-</v>
      </c>
    </row>
    <row r="1793" spans="1:39" x14ac:dyDescent="0.25">
      <c r="A1793" t="str">
        <f>"FI60008"</f>
        <v>FI60008</v>
      </c>
      <c r="B1793" t="str">
        <f>"CUERPO MARIPOSA CHEVROLET CORSA 1.4                                                 ALTERNATIVO"</f>
        <v>CUERPO MARIPOSA CHEVROLET CORSA 1.4                                                 ALTERNATIVO</v>
      </c>
      <c r="C1793" t="str">
        <f>"$ 197543,70"</f>
        <v>$ 197543,70</v>
      </c>
      <c r="D1793" t="str">
        <f>"$ 197543,70"</f>
        <v>$ 197543,70</v>
      </c>
      <c r="E1793" t="str">
        <f>"$ 197543,70"</f>
        <v>$ 197543,70</v>
      </c>
      <c r="F1793" t="str">
        <f>"$ 197543,70"</f>
        <v>$ 197543,70</v>
      </c>
      <c r="G1793" t="str">
        <f>"$ 197543,70"</f>
        <v>$ 197543,70</v>
      </c>
      <c r="H1793" t="str">
        <f t="shared" si="1111"/>
        <v>$ 0,00</v>
      </c>
      <c r="I1793" t="str">
        <f t="shared" si="1150"/>
        <v>CUERPO MARIPOSA</v>
      </c>
      <c r="J1793" t="str">
        <f t="shared" si="1112"/>
        <v>1</v>
      </c>
      <c r="K1793" t="str">
        <f t="shared" si="1146"/>
        <v>0</v>
      </c>
      <c r="L1793" t="str">
        <f>"1,000"</f>
        <v>1,000</v>
      </c>
      <c r="M1793" t="str">
        <f t="shared" si="1113"/>
        <v xml:space="preserve"> </v>
      </c>
      <c r="N1793" t="str">
        <f t="shared" si="1151"/>
        <v>FISPA</v>
      </c>
      <c r="O1793" t="str">
        <f t="shared" si="1152"/>
        <v>CUERPO MARIPOSA</v>
      </c>
      <c r="P1793" t="str">
        <f t="shared" si="1147"/>
        <v>0</v>
      </c>
      <c r="Q1793" t="str">
        <f t="shared" si="1147"/>
        <v>0</v>
      </c>
      <c r="R1793" t="str">
        <f t="shared" si="1148"/>
        <v>0,00</v>
      </c>
      <c r="S1793" t="str">
        <f t="shared" si="1148"/>
        <v>0,00</v>
      </c>
      <c r="T1793" t="str">
        <f t="shared" si="1153"/>
        <v xml:space="preserve"> </v>
      </c>
      <c r="U1793" t="str">
        <f t="shared" si="1134"/>
        <v xml:space="preserve"> </v>
      </c>
      <c r="V1793" t="str">
        <f>"1,000"</f>
        <v>1,000</v>
      </c>
      <c r="W1793" t="str">
        <f t="shared" si="1114"/>
        <v>Lista 4</v>
      </c>
      <c r="X1793" t="str">
        <f t="shared" si="1115"/>
        <v>Lista 5</v>
      </c>
      <c r="Y1793" t="str">
        <f t="shared" si="1116"/>
        <v>Oferta Gral.</v>
      </c>
      <c r="Z1793" t="str">
        <f t="shared" si="1117"/>
        <v>Rubro</v>
      </c>
      <c r="AA1793" t="str">
        <f t="shared" si="1118"/>
        <v>Cantidad por Bulto</v>
      </c>
      <c r="AB1793" t="str">
        <f t="shared" si="1119"/>
        <v>INNER</v>
      </c>
      <c r="AC1793" t="str">
        <f t="shared" si="1120"/>
        <v>Stock en Bultos</v>
      </c>
      <c r="AD1793" t="str">
        <f t="shared" si="1121"/>
        <v>SubDepósito</v>
      </c>
      <c r="AE1793" t="str">
        <f t="shared" si="1122"/>
        <v>Marca</v>
      </c>
      <c r="AF1793" t="str">
        <f t="shared" si="1123"/>
        <v>Super Rubro</v>
      </c>
      <c r="AG1793" t="str">
        <f t="shared" si="1124"/>
        <v>ComercioExterior</v>
      </c>
      <c r="AH1793" t="str">
        <f t="shared" si="1125"/>
        <v>PrecioFOB</v>
      </c>
      <c r="AI1793" t="str">
        <f t="shared" si="1126"/>
        <v>Monto II</v>
      </c>
      <c r="AJ1793" t="str">
        <f t="shared" si="1127"/>
        <v>Porcentaje II</v>
      </c>
      <c r="AK1793" t="str">
        <f t="shared" si="1128"/>
        <v>Foto</v>
      </c>
      <c r="AL1793" t="str">
        <f>"{\rtf1\ansi\ansicpg1252\deff0\deflang11274{\fonttbl{\f0\fnil\fcharset0 MS Sans Serif}} \viewkind4\uc1\pard\f0\fs16 CUERPO MARIPOSA CHEVROLET CORSA 1.4                                                 ALTERNATIVO\par } "</f>
        <v xml:space="preserve">{\rtf1\ansi\ansicpg1252\deff0\deflang11274{\fonttbl{\f0\fnil\fcharset0 MS Sans Serif}} \viewkind4\uc1\pard\f0\fs16 CUERPO MARIPOSA CHEVROLET CORSA 1.4                                                 ALTERNATIVO\par } </v>
      </c>
      <c r="AM1793" t="str">
        <f t="shared" si="1149"/>
        <v>-</v>
      </c>
    </row>
    <row r="1794" spans="1:39" x14ac:dyDescent="0.25">
      <c r="A1794" t="str">
        <f>"FI60016"</f>
        <v>FI60016</v>
      </c>
      <c r="B1794" t="str">
        <f>"CUERPO MARIPOSA CITROEN BERLINGO/C3/FIAT IORINO/QUBO/P-PARTNER              ALTERNATIVO"</f>
        <v>CUERPO MARIPOSA CITROEN BERLINGO/C3/FIAT IORINO/QUBO/P-PARTNER              ALTERNATIVO</v>
      </c>
      <c r="C1794" t="str">
        <f>"$ 216367,49"</f>
        <v>$ 216367,49</v>
      </c>
      <c r="D1794" t="str">
        <f>"$ 216367,49"</f>
        <v>$ 216367,49</v>
      </c>
      <c r="E1794" t="str">
        <f>"$ 216367,49"</f>
        <v>$ 216367,49</v>
      </c>
      <c r="F1794" t="str">
        <f>"$ 216367,49"</f>
        <v>$ 216367,49</v>
      </c>
      <c r="G1794" t="str">
        <f>"$ 216367,49"</f>
        <v>$ 216367,49</v>
      </c>
      <c r="H1794" t="str">
        <f t="shared" si="1111"/>
        <v>$ 0,00</v>
      </c>
      <c r="I1794" t="str">
        <f t="shared" si="1150"/>
        <v>CUERPO MARIPOSA</v>
      </c>
      <c r="J1794" t="str">
        <f t="shared" si="1112"/>
        <v>1</v>
      </c>
      <c r="K1794" t="str">
        <f t="shared" si="1146"/>
        <v>0</v>
      </c>
      <c r="L1794" t="str">
        <f>"1,000"</f>
        <v>1,000</v>
      </c>
      <c r="M1794" t="str">
        <f t="shared" si="1113"/>
        <v xml:space="preserve"> </v>
      </c>
      <c r="N1794" t="str">
        <f t="shared" si="1151"/>
        <v>FISPA</v>
      </c>
      <c r="O1794" t="str">
        <f t="shared" si="1152"/>
        <v>CUERPO MARIPOSA</v>
      </c>
      <c r="P1794" t="str">
        <f t="shared" si="1147"/>
        <v>0</v>
      </c>
      <c r="Q1794" t="str">
        <f t="shared" si="1147"/>
        <v>0</v>
      </c>
      <c r="R1794" t="str">
        <f t="shared" si="1148"/>
        <v>0,00</v>
      </c>
      <c r="S1794" t="str">
        <f t="shared" si="1148"/>
        <v>0,00</v>
      </c>
      <c r="T1794" t="str">
        <f t="shared" si="1153"/>
        <v xml:space="preserve"> </v>
      </c>
      <c r="U1794" t="str">
        <f t="shared" si="1134"/>
        <v xml:space="preserve"> </v>
      </c>
      <c r="V1794" t="str">
        <f>"1,000"</f>
        <v>1,000</v>
      </c>
      <c r="W1794" t="str">
        <f t="shared" si="1114"/>
        <v>Lista 4</v>
      </c>
      <c r="X1794" t="str">
        <f t="shared" si="1115"/>
        <v>Lista 5</v>
      </c>
      <c r="Y1794" t="str">
        <f t="shared" si="1116"/>
        <v>Oferta Gral.</v>
      </c>
      <c r="Z1794" t="str">
        <f t="shared" si="1117"/>
        <v>Rubro</v>
      </c>
      <c r="AA1794" t="str">
        <f t="shared" si="1118"/>
        <v>Cantidad por Bulto</v>
      </c>
      <c r="AB1794" t="str">
        <f t="shared" si="1119"/>
        <v>INNER</v>
      </c>
      <c r="AC1794" t="str">
        <f t="shared" si="1120"/>
        <v>Stock en Bultos</v>
      </c>
      <c r="AD1794" t="str">
        <f t="shared" si="1121"/>
        <v>SubDepósito</v>
      </c>
      <c r="AE1794" t="str">
        <f t="shared" si="1122"/>
        <v>Marca</v>
      </c>
      <c r="AF1794" t="str">
        <f t="shared" si="1123"/>
        <v>Super Rubro</v>
      </c>
      <c r="AG1794" t="str">
        <f t="shared" si="1124"/>
        <v>ComercioExterior</v>
      </c>
      <c r="AH1794" t="str">
        <f t="shared" si="1125"/>
        <v>PrecioFOB</v>
      </c>
      <c r="AI1794" t="str">
        <f t="shared" si="1126"/>
        <v>Monto II</v>
      </c>
      <c r="AJ1794" t="str">
        <f t="shared" si="1127"/>
        <v>Porcentaje II</v>
      </c>
      <c r="AK1794" t="str">
        <f t="shared" si="1128"/>
        <v>Foto</v>
      </c>
      <c r="AL1794" t="str">
        <f>"{\rtf1\ansi\ansicpg1252\deff0\deflang11274{\fonttbl{\f0\fnil\fcharset0 MS Sans Serif}} \viewkind4\uc1\pard\f0\fs16 CUERPO MARIPOSA CITROEN BERLINGO/C3/FIAT IORINO/QUBO/P-PARTNER              ALTERNATIVO\par } "</f>
        <v xml:space="preserve">{\rtf1\ansi\ansicpg1252\deff0\deflang11274{\fonttbl{\f0\fnil\fcharset0 MS Sans Serif}} \viewkind4\uc1\pard\f0\fs16 CUERPO MARIPOSA CITROEN BERLINGO/C3/FIAT IORINO/QUBO/P-PARTNER              ALTERNATIVO\par } </v>
      </c>
      <c r="AM1794" t="str">
        <f t="shared" si="1149"/>
        <v>-</v>
      </c>
    </row>
    <row r="1795" spans="1:39" x14ac:dyDescent="0.25">
      <c r="A1795" t="str">
        <f>"FI60043"</f>
        <v>FI60043</v>
      </c>
      <c r="B1795" t="str">
        <f>"CUERPO MARIPOSA CITRÖEN BERLINGO - C3 - C4  P-206/207/307/508 - PARTNER 1.6 &amp; 1.6 16V (TU5JP4)"</f>
        <v>CUERPO MARIPOSA CITRÖEN BERLINGO - C3 - C4  P-206/207/307/508 - PARTNER 1.6 &amp; 1.6 16V (TU5JP4)</v>
      </c>
      <c r="C1795" t="str">
        <f>"$ 252969,05"</f>
        <v>$ 252969,05</v>
      </c>
      <c r="D1795" t="str">
        <f>"$ 252969,05"</f>
        <v>$ 252969,05</v>
      </c>
      <c r="E1795" t="str">
        <f>"$ 252969,05"</f>
        <v>$ 252969,05</v>
      </c>
      <c r="F1795" t="str">
        <f>"$ 252969,05"</f>
        <v>$ 252969,05</v>
      </c>
      <c r="G1795" t="str">
        <f>"$ 252969,05"</f>
        <v>$ 252969,05</v>
      </c>
      <c r="H1795" t="str">
        <f t="shared" ref="H1795:H1858" si="1154">"$ 0,00"</f>
        <v>$ 0,00</v>
      </c>
      <c r="I1795" t="str">
        <f t="shared" si="1150"/>
        <v>CUERPO MARIPOSA</v>
      </c>
      <c r="J1795" t="str">
        <f t="shared" ref="J1795:J1858" si="1155">"1"</f>
        <v>1</v>
      </c>
      <c r="K1795" t="str">
        <f t="shared" si="1146"/>
        <v>0</v>
      </c>
      <c r="L1795" t="str">
        <f>"0,000"</f>
        <v>0,000</v>
      </c>
      <c r="M1795" t="str">
        <f t="shared" ref="M1795:M1858" si="1156">" "</f>
        <v xml:space="preserve"> </v>
      </c>
      <c r="N1795" t="str">
        <f t="shared" si="1151"/>
        <v>FISPA</v>
      </c>
      <c r="O1795" t="str">
        <f t="shared" si="1152"/>
        <v>CUERPO MARIPOSA</v>
      </c>
      <c r="P1795" t="str">
        <f t="shared" si="1147"/>
        <v>0</v>
      </c>
      <c r="Q1795" t="str">
        <f t="shared" si="1147"/>
        <v>0</v>
      </c>
      <c r="R1795" t="str">
        <f t="shared" si="1148"/>
        <v>0,00</v>
      </c>
      <c r="S1795" t="str">
        <f t="shared" si="1148"/>
        <v>0,00</v>
      </c>
      <c r="T1795" t="str">
        <f t="shared" si="1153"/>
        <v xml:space="preserve"> </v>
      </c>
      <c r="U1795" t="str">
        <f t="shared" si="1134"/>
        <v xml:space="preserve"> </v>
      </c>
      <c r="V1795" t="str">
        <f>"0,000"</f>
        <v>0,000</v>
      </c>
      <c r="W1795" t="str">
        <f t="shared" ref="W1795:W1858" si="1157">"Lista 4"</f>
        <v>Lista 4</v>
      </c>
      <c r="X1795" t="str">
        <f t="shared" ref="X1795:X1858" si="1158">"Lista 5"</f>
        <v>Lista 5</v>
      </c>
      <c r="Y1795" t="str">
        <f t="shared" ref="Y1795:Y1858" si="1159">"Oferta Gral."</f>
        <v>Oferta Gral.</v>
      </c>
      <c r="Z1795" t="str">
        <f t="shared" ref="Z1795:Z1858" si="1160">"Rubro"</f>
        <v>Rubro</v>
      </c>
      <c r="AA1795" t="str">
        <f t="shared" ref="AA1795:AA1858" si="1161">"Cantidad por Bulto"</f>
        <v>Cantidad por Bulto</v>
      </c>
      <c r="AB1795" t="str">
        <f t="shared" ref="AB1795:AB1858" si="1162">"INNER"</f>
        <v>INNER</v>
      </c>
      <c r="AC1795" t="str">
        <f t="shared" ref="AC1795:AC1858" si="1163">"Stock en Bultos"</f>
        <v>Stock en Bultos</v>
      </c>
      <c r="AD1795" t="str">
        <f t="shared" ref="AD1795:AD1858" si="1164">"SubDepósito"</f>
        <v>SubDepósito</v>
      </c>
      <c r="AE1795" t="str">
        <f t="shared" ref="AE1795:AE1858" si="1165">"Marca"</f>
        <v>Marca</v>
      </c>
      <c r="AF1795" t="str">
        <f t="shared" ref="AF1795:AF1858" si="1166">"Super Rubro"</f>
        <v>Super Rubro</v>
      </c>
      <c r="AG1795" t="str">
        <f t="shared" ref="AG1795:AG1858" si="1167">"ComercioExterior"</f>
        <v>ComercioExterior</v>
      </c>
      <c r="AH1795" t="str">
        <f t="shared" ref="AH1795:AH1858" si="1168">"PrecioFOB"</f>
        <v>PrecioFOB</v>
      </c>
      <c r="AI1795" t="str">
        <f t="shared" ref="AI1795:AI1858" si="1169">"Monto II"</f>
        <v>Monto II</v>
      </c>
      <c r="AJ1795" t="str">
        <f t="shared" ref="AJ1795:AJ1858" si="1170">"Porcentaje II"</f>
        <v>Porcentaje II</v>
      </c>
      <c r="AK1795" t="str">
        <f t="shared" ref="AK1795:AK1858" si="1171">"Foto"</f>
        <v>Foto</v>
      </c>
      <c r="AL179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95" t="str">
        <f t="shared" si="1149"/>
        <v>-</v>
      </c>
    </row>
    <row r="1796" spans="1:39" x14ac:dyDescent="0.25">
      <c r="A1796" t="str">
        <f>"FI60015"</f>
        <v>FI60015</v>
      </c>
      <c r="B1796" t="str">
        <f>"CUERPO MARIPOSA CLIO II 1.2 16V / P206 1.2 16V  ALTERNATIVO                                          "</f>
        <v xml:space="preserve">CUERPO MARIPOSA CLIO II 1.2 16V / P206 1.2 16V  ALTERNATIVO                                          </v>
      </c>
      <c r="C1796" t="str">
        <f>"$ 182990,71"</f>
        <v>$ 182990,71</v>
      </c>
      <c r="D1796" t="str">
        <f>"$ 182990,71"</f>
        <v>$ 182990,71</v>
      </c>
      <c r="E1796" t="str">
        <f>"$ 182990,71"</f>
        <v>$ 182990,71</v>
      </c>
      <c r="F1796" t="str">
        <f>"$ 182990,71"</f>
        <v>$ 182990,71</v>
      </c>
      <c r="G1796" t="str">
        <f>"$ 182990,71"</f>
        <v>$ 182990,71</v>
      </c>
      <c r="H1796" t="str">
        <f t="shared" si="1154"/>
        <v>$ 0,00</v>
      </c>
      <c r="I1796" t="str">
        <f t="shared" si="1150"/>
        <v>CUERPO MARIPOSA</v>
      </c>
      <c r="J1796" t="str">
        <f t="shared" si="1155"/>
        <v>1</v>
      </c>
      <c r="K1796" t="str">
        <f t="shared" si="1146"/>
        <v>0</v>
      </c>
      <c r="L1796" t="str">
        <f>"2,000"</f>
        <v>2,000</v>
      </c>
      <c r="M1796" t="str">
        <f t="shared" si="1156"/>
        <v xml:space="preserve"> </v>
      </c>
      <c r="N1796" t="str">
        <f t="shared" si="1151"/>
        <v>FISPA</v>
      </c>
      <c r="O1796" t="str">
        <f t="shared" si="1152"/>
        <v>CUERPO MARIPOSA</v>
      </c>
      <c r="P1796" t="str">
        <f t="shared" si="1147"/>
        <v>0</v>
      </c>
      <c r="Q1796" t="str">
        <f t="shared" si="1147"/>
        <v>0</v>
      </c>
      <c r="R1796" t="str">
        <f t="shared" si="1148"/>
        <v>0,00</v>
      </c>
      <c r="S1796" t="str">
        <f t="shared" si="1148"/>
        <v>0,00</v>
      </c>
      <c r="T1796" t="str">
        <f t="shared" si="1153"/>
        <v xml:space="preserve"> </v>
      </c>
      <c r="U1796" t="str">
        <f t="shared" si="1134"/>
        <v xml:space="preserve"> </v>
      </c>
      <c r="V1796" t="str">
        <f>"2,000"</f>
        <v>2,000</v>
      </c>
      <c r="W1796" t="str">
        <f t="shared" si="1157"/>
        <v>Lista 4</v>
      </c>
      <c r="X1796" t="str">
        <f t="shared" si="1158"/>
        <v>Lista 5</v>
      </c>
      <c r="Y1796" t="str">
        <f t="shared" si="1159"/>
        <v>Oferta Gral.</v>
      </c>
      <c r="Z1796" t="str">
        <f t="shared" si="1160"/>
        <v>Rubro</v>
      </c>
      <c r="AA1796" t="str">
        <f t="shared" si="1161"/>
        <v>Cantidad por Bulto</v>
      </c>
      <c r="AB1796" t="str">
        <f t="shared" si="1162"/>
        <v>INNER</v>
      </c>
      <c r="AC1796" t="str">
        <f t="shared" si="1163"/>
        <v>Stock en Bultos</v>
      </c>
      <c r="AD1796" t="str">
        <f t="shared" si="1164"/>
        <v>SubDepósito</v>
      </c>
      <c r="AE1796" t="str">
        <f t="shared" si="1165"/>
        <v>Marca</v>
      </c>
      <c r="AF1796" t="str">
        <f t="shared" si="1166"/>
        <v>Super Rubro</v>
      </c>
      <c r="AG1796" t="str">
        <f t="shared" si="1167"/>
        <v>ComercioExterior</v>
      </c>
      <c r="AH1796" t="str">
        <f t="shared" si="1168"/>
        <v>PrecioFOB</v>
      </c>
      <c r="AI1796" t="str">
        <f t="shared" si="1169"/>
        <v>Monto II</v>
      </c>
      <c r="AJ1796" t="str">
        <f t="shared" si="1170"/>
        <v>Porcentaje II</v>
      </c>
      <c r="AK1796" t="str">
        <f t="shared" si="1171"/>
        <v>Foto</v>
      </c>
      <c r="AL179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96" t="str">
        <f t="shared" si="1149"/>
        <v>-</v>
      </c>
    </row>
    <row r="1797" spans="1:39" x14ac:dyDescent="0.25">
      <c r="A1797" t="str">
        <f>"FI60010"</f>
        <v>FI60010</v>
      </c>
      <c r="B1797" t="str">
        <f>"CUERPO MARIPOSA CORSA 1.8 / PALIO / SIENA / DOBLO 1.8 8V            ALTERNATIVO"</f>
        <v>CUERPO MARIPOSA CORSA 1.8 / PALIO / SIENA / DOBLO 1.8 8V            ALTERNATIVO</v>
      </c>
      <c r="C1797" t="str">
        <f>"$ 173509,24"</f>
        <v>$ 173509,24</v>
      </c>
      <c r="D1797" t="str">
        <f>"$ 173509,24"</f>
        <v>$ 173509,24</v>
      </c>
      <c r="E1797" t="str">
        <f>"$ 173509,24"</f>
        <v>$ 173509,24</v>
      </c>
      <c r="F1797" t="str">
        <f>"$ 173509,24"</f>
        <v>$ 173509,24</v>
      </c>
      <c r="G1797" t="str">
        <f>"$ 173509,24"</f>
        <v>$ 173509,24</v>
      </c>
      <c r="H1797" t="str">
        <f t="shared" si="1154"/>
        <v>$ 0,00</v>
      </c>
      <c r="I1797" t="str">
        <f t="shared" si="1150"/>
        <v>CUERPO MARIPOSA</v>
      </c>
      <c r="J1797" t="str">
        <f t="shared" si="1155"/>
        <v>1</v>
      </c>
      <c r="K1797" t="str">
        <f t="shared" si="1146"/>
        <v>0</v>
      </c>
      <c r="L1797" t="str">
        <f>"1,000"</f>
        <v>1,000</v>
      </c>
      <c r="M1797" t="str">
        <f t="shared" si="1156"/>
        <v xml:space="preserve"> </v>
      </c>
      <c r="N1797" t="str">
        <f t="shared" si="1151"/>
        <v>FISPA</v>
      </c>
      <c r="O1797" t="str">
        <f t="shared" si="1152"/>
        <v>CUERPO MARIPOSA</v>
      </c>
      <c r="P1797" t="str">
        <f t="shared" si="1147"/>
        <v>0</v>
      </c>
      <c r="Q1797" t="str">
        <f t="shared" si="1147"/>
        <v>0</v>
      </c>
      <c r="R1797" t="str">
        <f t="shared" si="1148"/>
        <v>0,00</v>
      </c>
      <c r="S1797" t="str">
        <f t="shared" si="1148"/>
        <v>0,00</v>
      </c>
      <c r="T1797" t="str">
        <f t="shared" si="1153"/>
        <v xml:space="preserve"> </v>
      </c>
      <c r="U1797" t="str">
        <f t="shared" si="1134"/>
        <v xml:space="preserve"> </v>
      </c>
      <c r="V1797" t="str">
        <f>"1,000"</f>
        <v>1,000</v>
      </c>
      <c r="W1797" t="str">
        <f t="shared" si="1157"/>
        <v>Lista 4</v>
      </c>
      <c r="X1797" t="str">
        <f t="shared" si="1158"/>
        <v>Lista 5</v>
      </c>
      <c r="Y1797" t="str">
        <f t="shared" si="1159"/>
        <v>Oferta Gral.</v>
      </c>
      <c r="Z1797" t="str">
        <f t="shared" si="1160"/>
        <v>Rubro</v>
      </c>
      <c r="AA1797" t="str">
        <f t="shared" si="1161"/>
        <v>Cantidad por Bulto</v>
      </c>
      <c r="AB1797" t="str">
        <f t="shared" si="1162"/>
        <v>INNER</v>
      </c>
      <c r="AC1797" t="str">
        <f t="shared" si="1163"/>
        <v>Stock en Bultos</v>
      </c>
      <c r="AD1797" t="str">
        <f t="shared" si="1164"/>
        <v>SubDepósito</v>
      </c>
      <c r="AE1797" t="str">
        <f t="shared" si="1165"/>
        <v>Marca</v>
      </c>
      <c r="AF1797" t="str">
        <f t="shared" si="1166"/>
        <v>Super Rubro</v>
      </c>
      <c r="AG1797" t="str">
        <f t="shared" si="1167"/>
        <v>ComercioExterior</v>
      </c>
      <c r="AH1797" t="str">
        <f t="shared" si="1168"/>
        <v>PrecioFOB</v>
      </c>
      <c r="AI1797" t="str">
        <f t="shared" si="1169"/>
        <v>Monto II</v>
      </c>
      <c r="AJ1797" t="str">
        <f t="shared" si="1170"/>
        <v>Porcentaje II</v>
      </c>
      <c r="AK1797" t="str">
        <f t="shared" si="1171"/>
        <v>Foto</v>
      </c>
      <c r="AL179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97" t="str">
        <f t="shared" si="1149"/>
        <v>-</v>
      </c>
    </row>
    <row r="1798" spans="1:39" x14ac:dyDescent="0.25">
      <c r="A1798" t="str">
        <f>"FI60048"</f>
        <v>FI60048</v>
      </c>
      <c r="B1798" t="str">
        <f>"CUERPO MARIPOSA FIAT BRAVO - IDEA - LINEA - PUNTO - STILO -  TODOS 1.4 16V"</f>
        <v>CUERPO MARIPOSA FIAT BRAVO - IDEA - LINEA - PUNTO - STILO -  TODOS 1.4 16V</v>
      </c>
      <c r="C1798" t="str">
        <f>"$ 186495,00"</f>
        <v>$ 186495,00</v>
      </c>
      <c r="D1798" t="str">
        <f>"$ 186495,00"</f>
        <v>$ 186495,00</v>
      </c>
      <c r="E1798" t="str">
        <f>"$ 186495,00"</f>
        <v>$ 186495,00</v>
      </c>
      <c r="F1798" t="str">
        <f>"$ 186495,00"</f>
        <v>$ 186495,00</v>
      </c>
      <c r="G1798" t="str">
        <f>"$ 186495,00"</f>
        <v>$ 186495,00</v>
      </c>
      <c r="H1798" t="str">
        <f t="shared" si="1154"/>
        <v>$ 0,00</v>
      </c>
      <c r="I1798" t="str">
        <f t="shared" si="1150"/>
        <v>CUERPO MARIPOSA</v>
      </c>
      <c r="J1798" t="str">
        <f t="shared" si="1155"/>
        <v>1</v>
      </c>
      <c r="K1798" t="str">
        <f t="shared" si="1146"/>
        <v>0</v>
      </c>
      <c r="L1798" t="str">
        <f>"2,000"</f>
        <v>2,000</v>
      </c>
      <c r="M1798" t="str">
        <f t="shared" si="1156"/>
        <v xml:space="preserve"> </v>
      </c>
      <c r="N1798" t="str">
        <f t="shared" si="1151"/>
        <v>FISPA</v>
      </c>
      <c r="O1798" t="str">
        <f t="shared" si="1152"/>
        <v>CUERPO MARIPOSA</v>
      </c>
      <c r="P1798" t="str">
        <f t="shared" si="1147"/>
        <v>0</v>
      </c>
      <c r="Q1798" t="str">
        <f t="shared" si="1147"/>
        <v>0</v>
      </c>
      <c r="R1798" t="str">
        <f t="shared" si="1148"/>
        <v>0,00</v>
      </c>
      <c r="S1798" t="str">
        <f t="shared" si="1148"/>
        <v>0,00</v>
      </c>
      <c r="T1798" t="str">
        <f t="shared" si="1153"/>
        <v xml:space="preserve"> </v>
      </c>
      <c r="U1798" t="str">
        <f t="shared" si="1134"/>
        <v xml:space="preserve"> </v>
      </c>
      <c r="V1798" t="str">
        <f>"2,000"</f>
        <v>2,000</v>
      </c>
      <c r="W1798" t="str">
        <f t="shared" si="1157"/>
        <v>Lista 4</v>
      </c>
      <c r="X1798" t="str">
        <f t="shared" si="1158"/>
        <v>Lista 5</v>
      </c>
      <c r="Y1798" t="str">
        <f t="shared" si="1159"/>
        <v>Oferta Gral.</v>
      </c>
      <c r="Z1798" t="str">
        <f t="shared" si="1160"/>
        <v>Rubro</v>
      </c>
      <c r="AA1798" t="str">
        <f t="shared" si="1161"/>
        <v>Cantidad por Bulto</v>
      </c>
      <c r="AB1798" t="str">
        <f t="shared" si="1162"/>
        <v>INNER</v>
      </c>
      <c r="AC1798" t="str">
        <f t="shared" si="1163"/>
        <v>Stock en Bultos</v>
      </c>
      <c r="AD1798" t="str">
        <f t="shared" si="1164"/>
        <v>SubDepósito</v>
      </c>
      <c r="AE1798" t="str">
        <f t="shared" si="1165"/>
        <v>Marca</v>
      </c>
      <c r="AF1798" t="str">
        <f t="shared" si="1166"/>
        <v>Super Rubro</v>
      </c>
      <c r="AG1798" t="str">
        <f t="shared" si="1167"/>
        <v>ComercioExterior</v>
      </c>
      <c r="AH1798" t="str">
        <f t="shared" si="1168"/>
        <v>PrecioFOB</v>
      </c>
      <c r="AI1798" t="str">
        <f t="shared" si="1169"/>
        <v>Monto II</v>
      </c>
      <c r="AJ1798" t="str">
        <f t="shared" si="1170"/>
        <v>Porcentaje II</v>
      </c>
      <c r="AK1798" t="str">
        <f t="shared" si="1171"/>
        <v>Foto</v>
      </c>
      <c r="AL1798" t="str">
        <f>"{\rtf1\ansi\ansicpg1252\deff0\deflang11274{\fonttbl{\f0\fnil\fcharset0 MS Sans Serif}} \viewkind4\uc1\pard\f0\fs16 CUERPO MARIPOSA FIAT BRAVO - IDEA - LINEA - PUNTO - STILO -  TODOS 1.4 16V\par } "</f>
        <v xml:space="preserve">{\rtf1\ansi\ansicpg1252\deff0\deflang11274{\fonttbl{\f0\fnil\fcharset0 MS Sans Serif}} \viewkind4\uc1\pard\f0\fs16 CUERPO MARIPOSA FIAT BRAVO - IDEA - LINEA - PUNTO - STILO -  TODOS 1.4 16V\par } </v>
      </c>
      <c r="AM1798" t="str">
        <f t="shared" si="1149"/>
        <v>-</v>
      </c>
    </row>
    <row r="1799" spans="1:39" x14ac:dyDescent="0.25">
      <c r="A1799" t="str">
        <f>"FI60047"</f>
        <v>FI60047</v>
      </c>
      <c r="B1799" t="str">
        <f>"CUERPO MARIPOSA FIAT MAREA - BRAVO 2.0 20V - STILO 2.4 20V"</f>
        <v>CUERPO MARIPOSA FIAT MAREA - BRAVO 2.0 20V - STILO 2.4 20V</v>
      </c>
      <c r="C1799" t="str">
        <f>"$ 597890,57"</f>
        <v>$ 597890,57</v>
      </c>
      <c r="D1799" t="str">
        <f>"$ 597890,57"</f>
        <v>$ 597890,57</v>
      </c>
      <c r="E1799" t="str">
        <f>"$ 597890,57"</f>
        <v>$ 597890,57</v>
      </c>
      <c r="F1799" t="str">
        <f>"$ 597890,57"</f>
        <v>$ 597890,57</v>
      </c>
      <c r="G1799" t="str">
        <f>"$ 597890,57"</f>
        <v>$ 597890,57</v>
      </c>
      <c r="H1799" t="str">
        <f t="shared" si="1154"/>
        <v>$ 0,00</v>
      </c>
      <c r="I1799" t="str">
        <f t="shared" si="1150"/>
        <v>CUERPO MARIPOSA</v>
      </c>
      <c r="J1799" t="str">
        <f t="shared" si="1155"/>
        <v>1</v>
      </c>
      <c r="K1799" t="str">
        <f t="shared" si="1146"/>
        <v>0</v>
      </c>
      <c r="L1799" t="str">
        <f>"0,000"</f>
        <v>0,000</v>
      </c>
      <c r="M1799" t="str">
        <f t="shared" si="1156"/>
        <v xml:space="preserve"> </v>
      </c>
      <c r="N1799" t="str">
        <f t="shared" si="1151"/>
        <v>FISPA</v>
      </c>
      <c r="O1799" t="str">
        <f t="shared" si="1152"/>
        <v>CUERPO MARIPOSA</v>
      </c>
      <c r="P1799" t="str">
        <f t="shared" si="1147"/>
        <v>0</v>
      </c>
      <c r="Q1799" t="str">
        <f t="shared" si="1147"/>
        <v>0</v>
      </c>
      <c r="R1799" t="str">
        <f t="shared" si="1148"/>
        <v>0,00</v>
      </c>
      <c r="S1799" t="str">
        <f t="shared" si="1148"/>
        <v>0,00</v>
      </c>
      <c r="T1799" t="str">
        <f t="shared" si="1153"/>
        <v xml:space="preserve"> </v>
      </c>
      <c r="U1799" t="str">
        <f t="shared" si="1134"/>
        <v xml:space="preserve"> </v>
      </c>
      <c r="V1799" t="str">
        <f>"0,000"</f>
        <v>0,000</v>
      </c>
      <c r="W1799" t="str">
        <f t="shared" si="1157"/>
        <v>Lista 4</v>
      </c>
      <c r="X1799" t="str">
        <f t="shared" si="1158"/>
        <v>Lista 5</v>
      </c>
      <c r="Y1799" t="str">
        <f t="shared" si="1159"/>
        <v>Oferta Gral.</v>
      </c>
      <c r="Z1799" t="str">
        <f t="shared" si="1160"/>
        <v>Rubro</v>
      </c>
      <c r="AA1799" t="str">
        <f t="shared" si="1161"/>
        <v>Cantidad por Bulto</v>
      </c>
      <c r="AB1799" t="str">
        <f t="shared" si="1162"/>
        <v>INNER</v>
      </c>
      <c r="AC1799" t="str">
        <f t="shared" si="1163"/>
        <v>Stock en Bultos</v>
      </c>
      <c r="AD1799" t="str">
        <f t="shared" si="1164"/>
        <v>SubDepósito</v>
      </c>
      <c r="AE1799" t="str">
        <f t="shared" si="1165"/>
        <v>Marca</v>
      </c>
      <c r="AF1799" t="str">
        <f t="shared" si="1166"/>
        <v>Super Rubro</v>
      </c>
      <c r="AG1799" t="str">
        <f t="shared" si="1167"/>
        <v>ComercioExterior</v>
      </c>
      <c r="AH1799" t="str">
        <f t="shared" si="1168"/>
        <v>PrecioFOB</v>
      </c>
      <c r="AI1799" t="str">
        <f t="shared" si="1169"/>
        <v>Monto II</v>
      </c>
      <c r="AJ1799" t="str">
        <f t="shared" si="1170"/>
        <v>Porcentaje II</v>
      </c>
      <c r="AK1799" t="str">
        <f t="shared" si="1171"/>
        <v>Foto</v>
      </c>
      <c r="AL1799" t="str">
        <f>"{\rtf1\ansi\ansicpg1252\deff0\deflang11274{\fonttbl{\f0\fnil\fcharset0 MS Sans Serif}} \viewkind4\uc1\pard\f0\fs16 CUERPO MARIPOSA FIAT MAREA - BRAVO 2.0 20V - STILO 2.4 20V\par } "</f>
        <v xml:space="preserve">{\rtf1\ansi\ansicpg1252\deff0\deflang11274{\fonttbl{\f0\fnil\fcharset0 MS Sans Serif}} \viewkind4\uc1\pard\f0\fs16 CUERPO MARIPOSA FIAT MAREA - BRAVO 2.0 20V - STILO 2.4 20V\par } </v>
      </c>
      <c r="AM1799" t="str">
        <f t="shared" si="1149"/>
        <v>-</v>
      </c>
    </row>
    <row r="1800" spans="1:39" x14ac:dyDescent="0.25">
      <c r="A1800" t="str">
        <f>"FI60005"</f>
        <v>FI60005</v>
      </c>
      <c r="B1800" t="str">
        <f>"CUERPO MARIPOSA FIAT PALIO / SIENA / IDEA 1.4 FIRE FLEX         ALTERNATIVO"</f>
        <v>CUERPO MARIPOSA FIAT PALIO / SIENA / IDEA 1.4 FIRE FLEX         ALTERNATIVO</v>
      </c>
      <c r="C1800" t="str">
        <f>"$ 149573,65"</f>
        <v>$ 149573,65</v>
      </c>
      <c r="D1800" t="str">
        <f>"$ 149573,65"</f>
        <v>$ 149573,65</v>
      </c>
      <c r="E1800" t="str">
        <f>"$ 149573,65"</f>
        <v>$ 149573,65</v>
      </c>
      <c r="F1800" t="str">
        <f>"$ 149573,65"</f>
        <v>$ 149573,65</v>
      </c>
      <c r="G1800" t="str">
        <f>"$ 149573,65"</f>
        <v>$ 149573,65</v>
      </c>
      <c r="H1800" t="str">
        <f t="shared" si="1154"/>
        <v>$ 0,00</v>
      </c>
      <c r="I1800" t="str">
        <f t="shared" si="1150"/>
        <v>CUERPO MARIPOSA</v>
      </c>
      <c r="J1800" t="str">
        <f t="shared" si="1155"/>
        <v>1</v>
      </c>
      <c r="K1800" t="str">
        <f t="shared" si="1146"/>
        <v>0</v>
      </c>
      <c r="L1800" t="str">
        <f>"2,000"</f>
        <v>2,000</v>
      </c>
      <c r="M1800" t="str">
        <f t="shared" si="1156"/>
        <v xml:space="preserve"> </v>
      </c>
      <c r="N1800" t="str">
        <f t="shared" si="1151"/>
        <v>FISPA</v>
      </c>
      <c r="O1800" t="str">
        <f t="shared" si="1152"/>
        <v>CUERPO MARIPOSA</v>
      </c>
      <c r="P1800" t="str">
        <f t="shared" si="1147"/>
        <v>0</v>
      </c>
      <c r="Q1800" t="str">
        <f t="shared" si="1147"/>
        <v>0</v>
      </c>
      <c r="R1800" t="str">
        <f t="shared" si="1148"/>
        <v>0,00</v>
      </c>
      <c r="S1800" t="str">
        <f t="shared" si="1148"/>
        <v>0,00</v>
      </c>
      <c r="T1800" t="str">
        <f t="shared" si="1153"/>
        <v xml:space="preserve"> </v>
      </c>
      <c r="U1800" t="str">
        <f t="shared" si="1134"/>
        <v xml:space="preserve"> </v>
      </c>
      <c r="V1800" t="str">
        <f>"2,000"</f>
        <v>2,000</v>
      </c>
      <c r="W1800" t="str">
        <f t="shared" si="1157"/>
        <v>Lista 4</v>
      </c>
      <c r="X1800" t="str">
        <f t="shared" si="1158"/>
        <v>Lista 5</v>
      </c>
      <c r="Y1800" t="str">
        <f t="shared" si="1159"/>
        <v>Oferta Gral.</v>
      </c>
      <c r="Z1800" t="str">
        <f t="shared" si="1160"/>
        <v>Rubro</v>
      </c>
      <c r="AA1800" t="str">
        <f t="shared" si="1161"/>
        <v>Cantidad por Bulto</v>
      </c>
      <c r="AB1800" t="str">
        <f t="shared" si="1162"/>
        <v>INNER</v>
      </c>
      <c r="AC1800" t="str">
        <f t="shared" si="1163"/>
        <v>Stock en Bultos</v>
      </c>
      <c r="AD1800" t="str">
        <f t="shared" si="1164"/>
        <v>SubDepósito</v>
      </c>
      <c r="AE1800" t="str">
        <f t="shared" si="1165"/>
        <v>Marca</v>
      </c>
      <c r="AF1800" t="str">
        <f t="shared" si="1166"/>
        <v>Super Rubro</v>
      </c>
      <c r="AG1800" t="str">
        <f t="shared" si="1167"/>
        <v>ComercioExterior</v>
      </c>
      <c r="AH1800" t="str">
        <f t="shared" si="1168"/>
        <v>PrecioFOB</v>
      </c>
      <c r="AI1800" t="str">
        <f t="shared" si="1169"/>
        <v>Monto II</v>
      </c>
      <c r="AJ1800" t="str">
        <f t="shared" si="1170"/>
        <v>Porcentaje II</v>
      </c>
      <c r="AK1800" t="str">
        <f t="shared" si="1171"/>
        <v>Foto</v>
      </c>
      <c r="AL180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0" t="str">
        <f t="shared" si="1149"/>
        <v>-</v>
      </c>
    </row>
    <row r="1801" spans="1:39" x14ac:dyDescent="0.25">
      <c r="A1801" t="str">
        <f>"FI60007"</f>
        <v>FI60007</v>
      </c>
      <c r="B1801" t="str">
        <f>"CUERPO MARIPOSA FIAT PALIO / SIENA / UNO 1.0 / 1.3 / FIRE            ALTERNATIVO"</f>
        <v>CUERPO MARIPOSA FIAT PALIO / SIENA / UNO 1.0 / 1.3 / FIRE            ALTERNATIVO</v>
      </c>
      <c r="C1801" t="str">
        <f>"$ 125954,18"</f>
        <v>$ 125954,18</v>
      </c>
      <c r="D1801" t="str">
        <f>"$ 125954,18"</f>
        <v>$ 125954,18</v>
      </c>
      <c r="E1801" t="str">
        <f>"$ 125954,18"</f>
        <v>$ 125954,18</v>
      </c>
      <c r="F1801" t="str">
        <f>"$ 125954,18"</f>
        <v>$ 125954,18</v>
      </c>
      <c r="G1801" t="str">
        <f>"$ 125954,18"</f>
        <v>$ 125954,18</v>
      </c>
      <c r="H1801" t="str">
        <f t="shared" si="1154"/>
        <v>$ 0,00</v>
      </c>
      <c r="I1801" t="str">
        <f t="shared" si="1150"/>
        <v>CUERPO MARIPOSA</v>
      </c>
      <c r="J1801" t="str">
        <f t="shared" si="1155"/>
        <v>1</v>
      </c>
      <c r="K1801" t="str">
        <f t="shared" si="1146"/>
        <v>0</v>
      </c>
      <c r="L1801" t="str">
        <f>"1,000"</f>
        <v>1,000</v>
      </c>
      <c r="M1801" t="str">
        <f t="shared" si="1156"/>
        <v xml:space="preserve"> </v>
      </c>
      <c r="N1801" t="str">
        <f t="shared" si="1151"/>
        <v>FISPA</v>
      </c>
      <c r="O1801" t="str">
        <f t="shared" si="1152"/>
        <v>CUERPO MARIPOSA</v>
      </c>
      <c r="P1801" t="str">
        <f t="shared" si="1147"/>
        <v>0</v>
      </c>
      <c r="Q1801" t="str">
        <f t="shared" si="1147"/>
        <v>0</v>
      </c>
      <c r="R1801" t="str">
        <f t="shared" si="1148"/>
        <v>0,00</v>
      </c>
      <c r="S1801" t="str">
        <f t="shared" si="1148"/>
        <v>0,00</v>
      </c>
      <c r="T1801" t="str">
        <f t="shared" si="1153"/>
        <v xml:space="preserve"> </v>
      </c>
      <c r="U1801" t="str">
        <f t="shared" si="1134"/>
        <v xml:space="preserve"> </v>
      </c>
      <c r="V1801" t="str">
        <f>"1,000"</f>
        <v>1,000</v>
      </c>
      <c r="W1801" t="str">
        <f t="shared" si="1157"/>
        <v>Lista 4</v>
      </c>
      <c r="X1801" t="str">
        <f t="shared" si="1158"/>
        <v>Lista 5</v>
      </c>
      <c r="Y1801" t="str">
        <f t="shared" si="1159"/>
        <v>Oferta Gral.</v>
      </c>
      <c r="Z1801" t="str">
        <f t="shared" si="1160"/>
        <v>Rubro</v>
      </c>
      <c r="AA1801" t="str">
        <f t="shared" si="1161"/>
        <v>Cantidad por Bulto</v>
      </c>
      <c r="AB1801" t="str">
        <f t="shared" si="1162"/>
        <v>INNER</v>
      </c>
      <c r="AC1801" t="str">
        <f t="shared" si="1163"/>
        <v>Stock en Bultos</v>
      </c>
      <c r="AD1801" t="str">
        <f t="shared" si="1164"/>
        <v>SubDepósito</v>
      </c>
      <c r="AE1801" t="str">
        <f t="shared" si="1165"/>
        <v>Marca</v>
      </c>
      <c r="AF1801" t="str">
        <f t="shared" si="1166"/>
        <v>Super Rubro</v>
      </c>
      <c r="AG1801" t="str">
        <f t="shared" si="1167"/>
        <v>ComercioExterior</v>
      </c>
      <c r="AH1801" t="str">
        <f t="shared" si="1168"/>
        <v>PrecioFOB</v>
      </c>
      <c r="AI1801" t="str">
        <f t="shared" si="1169"/>
        <v>Monto II</v>
      </c>
      <c r="AJ1801" t="str">
        <f t="shared" si="1170"/>
        <v>Porcentaje II</v>
      </c>
      <c r="AK1801" t="str">
        <f t="shared" si="1171"/>
        <v>Foto</v>
      </c>
      <c r="AL180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01" t="str">
        <f t="shared" si="1149"/>
        <v>-</v>
      </c>
    </row>
    <row r="1802" spans="1:39" x14ac:dyDescent="0.25">
      <c r="A1802" t="str">
        <f>"FI60004"</f>
        <v>FI60004</v>
      </c>
      <c r="B1802" t="str">
        <f>"CUERPO MARIPOSA FIAT PALIO FIRE 1.3 / SIENA 1.0,1.3 / PUNTO, STILO, BRAVA 1.2    ALTERNATIVO"</f>
        <v>CUERPO MARIPOSA FIAT PALIO FIRE 1.3 / SIENA 1.0,1.3 / PUNTO, STILO, BRAVA 1.2    ALTERNATIVO</v>
      </c>
      <c r="C1802" t="str">
        <f>"$ 179451,02"</f>
        <v>$ 179451,02</v>
      </c>
      <c r="D1802" t="str">
        <f>"$ 179451,02"</f>
        <v>$ 179451,02</v>
      </c>
      <c r="E1802" t="str">
        <f>"$ 179451,02"</f>
        <v>$ 179451,02</v>
      </c>
      <c r="F1802" t="str">
        <f>"$ 179451,02"</f>
        <v>$ 179451,02</v>
      </c>
      <c r="G1802" t="str">
        <f>"$ 179451,02"</f>
        <v>$ 179451,02</v>
      </c>
      <c r="H1802" t="str">
        <f t="shared" si="1154"/>
        <v>$ 0,00</v>
      </c>
      <c r="I1802" t="str">
        <f t="shared" si="1150"/>
        <v>CUERPO MARIPOSA</v>
      </c>
      <c r="J1802" t="str">
        <f t="shared" si="1155"/>
        <v>1</v>
      </c>
      <c r="K1802" t="str">
        <f t="shared" si="1146"/>
        <v>0</v>
      </c>
      <c r="L1802" t="str">
        <f>"2,000"</f>
        <v>2,000</v>
      </c>
      <c r="M1802" t="str">
        <f t="shared" si="1156"/>
        <v xml:space="preserve"> </v>
      </c>
      <c r="N1802" t="str">
        <f t="shared" si="1151"/>
        <v>FISPA</v>
      </c>
      <c r="O1802" t="str">
        <f t="shared" si="1152"/>
        <v>CUERPO MARIPOSA</v>
      </c>
      <c r="P1802" t="str">
        <f t="shared" si="1147"/>
        <v>0</v>
      </c>
      <c r="Q1802" t="str">
        <f t="shared" si="1147"/>
        <v>0</v>
      </c>
      <c r="R1802" t="str">
        <f t="shared" si="1148"/>
        <v>0,00</v>
      </c>
      <c r="S1802" t="str">
        <f t="shared" si="1148"/>
        <v>0,00</v>
      </c>
      <c r="T1802" t="str">
        <f t="shared" si="1153"/>
        <v xml:space="preserve"> </v>
      </c>
      <c r="U1802" t="str">
        <f t="shared" si="1134"/>
        <v xml:space="preserve"> </v>
      </c>
      <c r="V1802" t="str">
        <f>"2,000"</f>
        <v>2,000</v>
      </c>
      <c r="W1802" t="str">
        <f t="shared" si="1157"/>
        <v>Lista 4</v>
      </c>
      <c r="X1802" t="str">
        <f t="shared" si="1158"/>
        <v>Lista 5</v>
      </c>
      <c r="Y1802" t="str">
        <f t="shared" si="1159"/>
        <v>Oferta Gral.</v>
      </c>
      <c r="Z1802" t="str">
        <f t="shared" si="1160"/>
        <v>Rubro</v>
      </c>
      <c r="AA1802" t="str">
        <f t="shared" si="1161"/>
        <v>Cantidad por Bulto</v>
      </c>
      <c r="AB1802" t="str">
        <f t="shared" si="1162"/>
        <v>INNER</v>
      </c>
      <c r="AC1802" t="str">
        <f t="shared" si="1163"/>
        <v>Stock en Bultos</v>
      </c>
      <c r="AD1802" t="str">
        <f t="shared" si="1164"/>
        <v>SubDepósito</v>
      </c>
      <c r="AE1802" t="str">
        <f t="shared" si="1165"/>
        <v>Marca</v>
      </c>
      <c r="AF1802" t="str">
        <f t="shared" si="1166"/>
        <v>Super Rubro</v>
      </c>
      <c r="AG1802" t="str">
        <f t="shared" si="1167"/>
        <v>ComercioExterior</v>
      </c>
      <c r="AH1802" t="str">
        <f t="shared" si="1168"/>
        <v>PrecioFOB</v>
      </c>
      <c r="AI1802" t="str">
        <f t="shared" si="1169"/>
        <v>Monto II</v>
      </c>
      <c r="AJ1802" t="str">
        <f t="shared" si="1170"/>
        <v>Porcentaje II</v>
      </c>
      <c r="AK1802" t="str">
        <f t="shared" si="1171"/>
        <v>Foto</v>
      </c>
      <c r="AL180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2" t="str">
        <f t="shared" si="1149"/>
        <v>-</v>
      </c>
    </row>
    <row r="1803" spans="1:39" x14ac:dyDescent="0.25">
      <c r="A1803" t="str">
        <f>"FI60044"</f>
        <v>FI60044</v>
      </c>
      <c r="B1803" t="str">
        <f>"CUERPO MARIPOSA FORD ECOSPORT - FIESTA - FOCUS - MONDEO MOTOR SIGMA 1.6 16V "</f>
        <v xml:space="preserve">CUERPO MARIPOSA FORD ECOSPORT - FIESTA - FOCUS - MONDEO MOTOR SIGMA 1.6 16V </v>
      </c>
      <c r="C1803" t="str">
        <f>"$ 179094,61"</f>
        <v>$ 179094,61</v>
      </c>
      <c r="D1803" t="str">
        <f>"$ 179094,61"</f>
        <v>$ 179094,61</v>
      </c>
      <c r="E1803" t="str">
        <f>"$ 179094,61"</f>
        <v>$ 179094,61</v>
      </c>
      <c r="F1803" t="str">
        <f>"$ 179094,61"</f>
        <v>$ 179094,61</v>
      </c>
      <c r="G1803" t="str">
        <f>"$ 179094,61"</f>
        <v>$ 179094,61</v>
      </c>
      <c r="H1803" t="str">
        <f t="shared" si="1154"/>
        <v>$ 0,00</v>
      </c>
      <c r="I1803" t="str">
        <f t="shared" si="1150"/>
        <v>CUERPO MARIPOSA</v>
      </c>
      <c r="J1803" t="str">
        <f t="shared" si="1155"/>
        <v>1</v>
      </c>
      <c r="K1803" t="str">
        <f t="shared" si="1146"/>
        <v>0</v>
      </c>
      <c r="L1803" t="str">
        <f>"2,000"</f>
        <v>2,000</v>
      </c>
      <c r="M1803" t="str">
        <f t="shared" si="1156"/>
        <v xml:space="preserve"> </v>
      </c>
      <c r="N1803" t="str">
        <f t="shared" si="1151"/>
        <v>FISPA</v>
      </c>
      <c r="O1803" t="str">
        <f t="shared" si="1152"/>
        <v>CUERPO MARIPOSA</v>
      </c>
      <c r="P1803" t="str">
        <f t="shared" ref="P1803:Q1822" si="1172">"0"</f>
        <v>0</v>
      </c>
      <c r="Q1803" t="str">
        <f t="shared" si="1172"/>
        <v>0</v>
      </c>
      <c r="R1803" t="str">
        <f t="shared" ref="R1803:S1822" si="1173">"0,00"</f>
        <v>0,00</v>
      </c>
      <c r="S1803" t="str">
        <f t="shared" si="1173"/>
        <v>0,00</v>
      </c>
      <c r="T1803" t="str">
        <f t="shared" si="1153"/>
        <v xml:space="preserve"> </v>
      </c>
      <c r="U1803" t="str">
        <f t="shared" si="1134"/>
        <v xml:space="preserve"> </v>
      </c>
      <c r="V1803" t="str">
        <f>"2,000"</f>
        <v>2,000</v>
      </c>
      <c r="W1803" t="str">
        <f t="shared" si="1157"/>
        <v>Lista 4</v>
      </c>
      <c r="X1803" t="str">
        <f t="shared" si="1158"/>
        <v>Lista 5</v>
      </c>
      <c r="Y1803" t="str">
        <f t="shared" si="1159"/>
        <v>Oferta Gral.</v>
      </c>
      <c r="Z1803" t="str">
        <f t="shared" si="1160"/>
        <v>Rubro</v>
      </c>
      <c r="AA1803" t="str">
        <f t="shared" si="1161"/>
        <v>Cantidad por Bulto</v>
      </c>
      <c r="AB1803" t="str">
        <f t="shared" si="1162"/>
        <v>INNER</v>
      </c>
      <c r="AC1803" t="str">
        <f t="shared" si="1163"/>
        <v>Stock en Bultos</v>
      </c>
      <c r="AD1803" t="str">
        <f t="shared" si="1164"/>
        <v>SubDepósito</v>
      </c>
      <c r="AE1803" t="str">
        <f t="shared" si="1165"/>
        <v>Marca</v>
      </c>
      <c r="AF1803" t="str">
        <f t="shared" si="1166"/>
        <v>Super Rubro</v>
      </c>
      <c r="AG1803" t="str">
        <f t="shared" si="1167"/>
        <v>ComercioExterior</v>
      </c>
      <c r="AH1803" t="str">
        <f t="shared" si="1168"/>
        <v>PrecioFOB</v>
      </c>
      <c r="AI1803" t="str">
        <f t="shared" si="1169"/>
        <v>Monto II</v>
      </c>
      <c r="AJ1803" t="str">
        <f t="shared" si="1170"/>
        <v>Porcentaje II</v>
      </c>
      <c r="AK1803" t="str">
        <f t="shared" si="1171"/>
        <v>Foto</v>
      </c>
      <c r="AL180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3" t="str">
        <f t="shared" si="1149"/>
        <v>-</v>
      </c>
    </row>
    <row r="1804" spans="1:39" x14ac:dyDescent="0.25">
      <c r="A1804" t="str">
        <f>"FI60046"</f>
        <v>FI60046</v>
      </c>
      <c r="B1804" t="str">
        <f>"CUERPO MARIPOSA FORD FIESTA 1.4 (FXJB) / 1.6 (FJYP) -FOCUS 1.8 2.0 2.0T 03-12 - FOCUS II 1.8 / 2.0 "</f>
        <v xml:space="preserve">CUERPO MARIPOSA FORD FIESTA 1.4 (FXJB) / 1.6 (FJYP) -FOCUS 1.8 2.0 2.0T 03-12 - FOCUS II 1.8 / 2.0 </v>
      </c>
      <c r="C1804" t="str">
        <f>"$ 305816,54"</f>
        <v>$ 305816,54</v>
      </c>
      <c r="D1804" t="str">
        <f>"$ 305816,54"</f>
        <v>$ 305816,54</v>
      </c>
      <c r="E1804" t="str">
        <f>"$ 305816,54"</f>
        <v>$ 305816,54</v>
      </c>
      <c r="F1804" t="str">
        <f>"$ 305816,54"</f>
        <v>$ 305816,54</v>
      </c>
      <c r="G1804" t="str">
        <f>"$ 305816,54"</f>
        <v>$ 305816,54</v>
      </c>
      <c r="H1804" t="str">
        <f t="shared" si="1154"/>
        <v>$ 0,00</v>
      </c>
      <c r="I1804" t="str">
        <f t="shared" si="1150"/>
        <v>CUERPO MARIPOSA</v>
      </c>
      <c r="J1804" t="str">
        <f t="shared" si="1155"/>
        <v>1</v>
      </c>
      <c r="K1804" t="str">
        <f t="shared" si="1146"/>
        <v>0</v>
      </c>
      <c r="L1804" t="str">
        <f>"0,000"</f>
        <v>0,000</v>
      </c>
      <c r="M1804" t="str">
        <f t="shared" si="1156"/>
        <v xml:space="preserve"> </v>
      </c>
      <c r="N1804" t="str">
        <f t="shared" si="1151"/>
        <v>FISPA</v>
      </c>
      <c r="O1804" t="str">
        <f t="shared" si="1152"/>
        <v>CUERPO MARIPOSA</v>
      </c>
      <c r="P1804" t="str">
        <f t="shared" si="1172"/>
        <v>0</v>
      </c>
      <c r="Q1804" t="str">
        <f t="shared" si="1172"/>
        <v>0</v>
      </c>
      <c r="R1804" t="str">
        <f t="shared" si="1173"/>
        <v>0,00</v>
      </c>
      <c r="S1804" t="str">
        <f t="shared" si="1173"/>
        <v>0,00</v>
      </c>
      <c r="T1804" t="str">
        <f t="shared" si="1153"/>
        <v xml:space="preserve"> </v>
      </c>
      <c r="U1804" t="str">
        <f t="shared" ref="U1804:U1867" si="1174">" "</f>
        <v xml:space="preserve"> </v>
      </c>
      <c r="V1804" t="str">
        <f>"0,000"</f>
        <v>0,000</v>
      </c>
      <c r="W1804" t="str">
        <f t="shared" si="1157"/>
        <v>Lista 4</v>
      </c>
      <c r="X1804" t="str">
        <f t="shared" si="1158"/>
        <v>Lista 5</v>
      </c>
      <c r="Y1804" t="str">
        <f t="shared" si="1159"/>
        <v>Oferta Gral.</v>
      </c>
      <c r="Z1804" t="str">
        <f t="shared" si="1160"/>
        <v>Rubro</v>
      </c>
      <c r="AA1804" t="str">
        <f t="shared" si="1161"/>
        <v>Cantidad por Bulto</v>
      </c>
      <c r="AB1804" t="str">
        <f t="shared" si="1162"/>
        <v>INNER</v>
      </c>
      <c r="AC1804" t="str">
        <f t="shared" si="1163"/>
        <v>Stock en Bultos</v>
      </c>
      <c r="AD1804" t="str">
        <f t="shared" si="1164"/>
        <v>SubDepósito</v>
      </c>
      <c r="AE1804" t="str">
        <f t="shared" si="1165"/>
        <v>Marca</v>
      </c>
      <c r="AF1804" t="str">
        <f t="shared" si="1166"/>
        <v>Super Rubro</v>
      </c>
      <c r="AG1804" t="str">
        <f t="shared" si="1167"/>
        <v>ComercioExterior</v>
      </c>
      <c r="AH1804" t="str">
        <f t="shared" si="1168"/>
        <v>PrecioFOB</v>
      </c>
      <c r="AI1804" t="str">
        <f t="shared" si="1169"/>
        <v>Monto II</v>
      </c>
      <c r="AJ1804" t="str">
        <f t="shared" si="1170"/>
        <v>Porcentaje II</v>
      </c>
      <c r="AK1804" t="str">
        <f t="shared" si="1171"/>
        <v>Foto</v>
      </c>
      <c r="AL180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4" t="str">
        <f t="shared" si="1149"/>
        <v>-</v>
      </c>
    </row>
    <row r="1805" spans="1:39" x14ac:dyDescent="0.25">
      <c r="A1805" t="str">
        <f>"FI60000"</f>
        <v>FI60000</v>
      </c>
      <c r="B1805" t="str">
        <f>"CUERPO MARIPOSA GOLF 1.8 / BORA 1.8T                                       ALTERNATIVO"</f>
        <v>CUERPO MARIPOSA GOLF 1.8 / BORA 1.8T                                       ALTERNATIVO</v>
      </c>
      <c r="C1805" t="str">
        <f>"$ 203270,66"</f>
        <v>$ 203270,66</v>
      </c>
      <c r="D1805" t="str">
        <f>"$ 203270,66"</f>
        <v>$ 203270,66</v>
      </c>
      <c r="E1805" t="str">
        <f>"$ 203270,66"</f>
        <v>$ 203270,66</v>
      </c>
      <c r="F1805" t="str">
        <f>"$ 203270,66"</f>
        <v>$ 203270,66</v>
      </c>
      <c r="G1805" t="str">
        <f>"$ 203270,66"</f>
        <v>$ 203270,66</v>
      </c>
      <c r="H1805" t="str">
        <f t="shared" si="1154"/>
        <v>$ 0,00</v>
      </c>
      <c r="I1805" t="str">
        <f t="shared" si="1150"/>
        <v>CUERPO MARIPOSA</v>
      </c>
      <c r="J1805" t="str">
        <f t="shared" si="1155"/>
        <v>1</v>
      </c>
      <c r="K1805" t="str">
        <f t="shared" si="1146"/>
        <v>0</v>
      </c>
      <c r="L1805" t="str">
        <f>"0,000"</f>
        <v>0,000</v>
      </c>
      <c r="M1805" t="str">
        <f t="shared" si="1156"/>
        <v xml:space="preserve"> </v>
      </c>
      <c r="N1805" t="str">
        <f t="shared" si="1151"/>
        <v>FISPA</v>
      </c>
      <c r="O1805" t="str">
        <f t="shared" si="1152"/>
        <v>CUERPO MARIPOSA</v>
      </c>
      <c r="P1805" t="str">
        <f t="shared" si="1172"/>
        <v>0</v>
      </c>
      <c r="Q1805" t="str">
        <f t="shared" si="1172"/>
        <v>0</v>
      </c>
      <c r="R1805" t="str">
        <f t="shared" si="1173"/>
        <v>0,00</v>
      </c>
      <c r="S1805" t="str">
        <f t="shared" si="1173"/>
        <v>0,00</v>
      </c>
      <c r="T1805" t="str">
        <f t="shared" si="1153"/>
        <v xml:space="preserve"> </v>
      </c>
      <c r="U1805" t="str">
        <f t="shared" si="1174"/>
        <v xml:space="preserve"> </v>
      </c>
      <c r="V1805" t="str">
        <f>"0,000"</f>
        <v>0,000</v>
      </c>
      <c r="W1805" t="str">
        <f t="shared" si="1157"/>
        <v>Lista 4</v>
      </c>
      <c r="X1805" t="str">
        <f t="shared" si="1158"/>
        <v>Lista 5</v>
      </c>
      <c r="Y1805" t="str">
        <f t="shared" si="1159"/>
        <v>Oferta Gral.</v>
      </c>
      <c r="Z1805" t="str">
        <f t="shared" si="1160"/>
        <v>Rubro</v>
      </c>
      <c r="AA1805" t="str">
        <f t="shared" si="1161"/>
        <v>Cantidad por Bulto</v>
      </c>
      <c r="AB1805" t="str">
        <f t="shared" si="1162"/>
        <v>INNER</v>
      </c>
      <c r="AC1805" t="str">
        <f t="shared" si="1163"/>
        <v>Stock en Bultos</v>
      </c>
      <c r="AD1805" t="str">
        <f t="shared" si="1164"/>
        <v>SubDepósito</v>
      </c>
      <c r="AE1805" t="str">
        <f t="shared" si="1165"/>
        <v>Marca</v>
      </c>
      <c r="AF1805" t="str">
        <f t="shared" si="1166"/>
        <v>Super Rubro</v>
      </c>
      <c r="AG1805" t="str">
        <f t="shared" si="1167"/>
        <v>ComercioExterior</v>
      </c>
      <c r="AH1805" t="str">
        <f t="shared" si="1168"/>
        <v>PrecioFOB</v>
      </c>
      <c r="AI1805" t="str">
        <f t="shared" si="1169"/>
        <v>Monto II</v>
      </c>
      <c r="AJ1805" t="str">
        <f t="shared" si="1170"/>
        <v>Porcentaje II</v>
      </c>
      <c r="AK1805" t="str">
        <f t="shared" si="1171"/>
        <v>Foto</v>
      </c>
      <c r="AL180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05" t="str">
        <f t="shared" si="1149"/>
        <v>-</v>
      </c>
    </row>
    <row r="1806" spans="1:39" x14ac:dyDescent="0.25">
      <c r="A1806" t="str">
        <f>"FI60031"</f>
        <v>FI60031</v>
      </c>
      <c r="B1806" t="str">
        <f>"CUERPO MARIPOSA MEGANE 2 1.6 16V ORIGINAL VDO 8200171134"</f>
        <v>CUERPO MARIPOSA MEGANE 2 1.6 16V ORIGINAL VDO 8200171134</v>
      </c>
      <c r="C1806" t="str">
        <f>"$ 199361,14"</f>
        <v>$ 199361,14</v>
      </c>
      <c r="D1806" t="str">
        <f>"$ 199361,14"</f>
        <v>$ 199361,14</v>
      </c>
      <c r="E1806" t="str">
        <f>"$ 199361,14"</f>
        <v>$ 199361,14</v>
      </c>
      <c r="F1806" t="str">
        <f>"$ 199361,14"</f>
        <v>$ 199361,14</v>
      </c>
      <c r="G1806" t="str">
        <f>"$ 199361,14"</f>
        <v>$ 199361,14</v>
      </c>
      <c r="H1806" t="str">
        <f t="shared" si="1154"/>
        <v>$ 0,00</v>
      </c>
      <c r="I1806" t="str">
        <f t="shared" si="1150"/>
        <v>CUERPO MARIPOSA</v>
      </c>
      <c r="J1806" t="str">
        <f t="shared" si="1155"/>
        <v>1</v>
      </c>
      <c r="K1806" t="str">
        <f t="shared" si="1146"/>
        <v>0</v>
      </c>
      <c r="L1806" t="str">
        <f>"2,000"</f>
        <v>2,000</v>
      </c>
      <c r="M1806" t="str">
        <f t="shared" si="1156"/>
        <v xml:space="preserve"> </v>
      </c>
      <c r="N1806" t="str">
        <f t="shared" si="1151"/>
        <v>FISPA</v>
      </c>
      <c r="O1806" t="str">
        <f t="shared" si="1152"/>
        <v>CUERPO MARIPOSA</v>
      </c>
      <c r="P1806" t="str">
        <f t="shared" si="1172"/>
        <v>0</v>
      </c>
      <c r="Q1806" t="str">
        <f t="shared" si="1172"/>
        <v>0</v>
      </c>
      <c r="R1806" t="str">
        <f t="shared" si="1173"/>
        <v>0,00</v>
      </c>
      <c r="S1806" t="str">
        <f t="shared" si="1173"/>
        <v>0,00</v>
      </c>
      <c r="T1806" t="str">
        <f t="shared" si="1153"/>
        <v xml:space="preserve"> </v>
      </c>
      <c r="U1806" t="str">
        <f t="shared" si="1174"/>
        <v xml:space="preserve"> </v>
      </c>
      <c r="V1806" t="str">
        <f>"2,000"</f>
        <v>2,000</v>
      </c>
      <c r="W1806" t="str">
        <f t="shared" si="1157"/>
        <v>Lista 4</v>
      </c>
      <c r="X1806" t="str">
        <f t="shared" si="1158"/>
        <v>Lista 5</v>
      </c>
      <c r="Y1806" t="str">
        <f t="shared" si="1159"/>
        <v>Oferta Gral.</v>
      </c>
      <c r="Z1806" t="str">
        <f t="shared" si="1160"/>
        <v>Rubro</v>
      </c>
      <c r="AA1806" t="str">
        <f t="shared" si="1161"/>
        <v>Cantidad por Bulto</v>
      </c>
      <c r="AB1806" t="str">
        <f t="shared" si="1162"/>
        <v>INNER</v>
      </c>
      <c r="AC1806" t="str">
        <f t="shared" si="1163"/>
        <v>Stock en Bultos</v>
      </c>
      <c r="AD1806" t="str">
        <f t="shared" si="1164"/>
        <v>SubDepósito</v>
      </c>
      <c r="AE1806" t="str">
        <f t="shared" si="1165"/>
        <v>Marca</v>
      </c>
      <c r="AF1806" t="str">
        <f t="shared" si="1166"/>
        <v>Super Rubro</v>
      </c>
      <c r="AG1806" t="str">
        <f t="shared" si="1167"/>
        <v>ComercioExterior</v>
      </c>
      <c r="AH1806" t="str">
        <f t="shared" si="1168"/>
        <v>PrecioFOB</v>
      </c>
      <c r="AI1806" t="str">
        <f t="shared" si="1169"/>
        <v>Monto II</v>
      </c>
      <c r="AJ1806" t="str">
        <f t="shared" si="1170"/>
        <v>Porcentaje II</v>
      </c>
      <c r="AK1806" t="str">
        <f t="shared" si="1171"/>
        <v>Foto</v>
      </c>
      <c r="AL1806" t="str">
        <f>"{\rtf1\ansi\ansicpg1252\deff0\deflang11274{\fonttbl{\f0\fnil\fcharset0 MS Sans Serif}} \viewkind4\uc1\pard\f0\fs16 CUERPO MARIPOSA MEGANE 2 1.6 16V ORIGINAL VDO 8200171134\par } "</f>
        <v xml:space="preserve">{\rtf1\ansi\ansicpg1252\deff0\deflang11274{\fonttbl{\f0\fnil\fcharset0 MS Sans Serif}} \viewkind4\uc1\pard\f0\fs16 CUERPO MARIPOSA MEGANE 2 1.6 16V ORIGINAL VDO 8200171134\par } </v>
      </c>
      <c r="AM1806" t="str">
        <f t="shared" si="1149"/>
        <v>-</v>
      </c>
    </row>
    <row r="1807" spans="1:39" x14ac:dyDescent="0.25">
      <c r="A1807" t="str">
        <f>"FI60041"</f>
        <v>FI60041</v>
      </c>
      <c r="B1807" t="str">
        <f>"CUERPO MARIPOSA MINI COOPER      ORIGINAL VDO"</f>
        <v>CUERPO MARIPOSA MINI COOPER      ORIGINAL VDO</v>
      </c>
      <c r="C1807" t="str">
        <f>"$ 264487,68"</f>
        <v>$ 264487,68</v>
      </c>
      <c r="D1807" t="str">
        <f>"$ 264487,68"</f>
        <v>$ 264487,68</v>
      </c>
      <c r="E1807" t="str">
        <f>"$ 264487,68"</f>
        <v>$ 264487,68</v>
      </c>
      <c r="F1807" t="str">
        <f>"$ 264487,68"</f>
        <v>$ 264487,68</v>
      </c>
      <c r="G1807" t="str">
        <f>"$ 264487,68"</f>
        <v>$ 264487,68</v>
      </c>
      <c r="H1807" t="str">
        <f t="shared" si="1154"/>
        <v>$ 0,00</v>
      </c>
      <c r="I1807" t="str">
        <f t="shared" si="1150"/>
        <v>CUERPO MARIPOSA</v>
      </c>
      <c r="J1807" t="str">
        <f t="shared" si="1155"/>
        <v>1</v>
      </c>
      <c r="K1807" t="str">
        <f t="shared" si="1146"/>
        <v>0</v>
      </c>
      <c r="L1807" t="str">
        <f>"0,000"</f>
        <v>0,000</v>
      </c>
      <c r="M1807" t="str">
        <f t="shared" si="1156"/>
        <v xml:space="preserve"> </v>
      </c>
      <c r="N1807" t="str">
        <f t="shared" si="1151"/>
        <v>FISPA</v>
      </c>
      <c r="O1807" t="str">
        <f t="shared" si="1152"/>
        <v>CUERPO MARIPOSA</v>
      </c>
      <c r="P1807" t="str">
        <f t="shared" si="1172"/>
        <v>0</v>
      </c>
      <c r="Q1807" t="str">
        <f t="shared" si="1172"/>
        <v>0</v>
      </c>
      <c r="R1807" t="str">
        <f t="shared" si="1173"/>
        <v>0,00</v>
      </c>
      <c r="S1807" t="str">
        <f t="shared" si="1173"/>
        <v>0,00</v>
      </c>
      <c r="T1807" t="str">
        <f t="shared" si="1153"/>
        <v xml:space="preserve"> </v>
      </c>
      <c r="U1807" t="str">
        <f t="shared" si="1174"/>
        <v xml:space="preserve"> </v>
      </c>
      <c r="V1807" t="str">
        <f>"0,000"</f>
        <v>0,000</v>
      </c>
      <c r="W1807" t="str">
        <f t="shared" si="1157"/>
        <v>Lista 4</v>
      </c>
      <c r="X1807" t="str">
        <f t="shared" si="1158"/>
        <v>Lista 5</v>
      </c>
      <c r="Y1807" t="str">
        <f t="shared" si="1159"/>
        <v>Oferta Gral.</v>
      </c>
      <c r="Z1807" t="str">
        <f t="shared" si="1160"/>
        <v>Rubro</v>
      </c>
      <c r="AA1807" t="str">
        <f t="shared" si="1161"/>
        <v>Cantidad por Bulto</v>
      </c>
      <c r="AB1807" t="str">
        <f t="shared" si="1162"/>
        <v>INNER</v>
      </c>
      <c r="AC1807" t="str">
        <f t="shared" si="1163"/>
        <v>Stock en Bultos</v>
      </c>
      <c r="AD1807" t="str">
        <f t="shared" si="1164"/>
        <v>SubDepósito</v>
      </c>
      <c r="AE1807" t="str">
        <f t="shared" si="1165"/>
        <v>Marca</v>
      </c>
      <c r="AF1807" t="str">
        <f t="shared" si="1166"/>
        <v>Super Rubro</v>
      </c>
      <c r="AG1807" t="str">
        <f t="shared" si="1167"/>
        <v>ComercioExterior</v>
      </c>
      <c r="AH1807" t="str">
        <f t="shared" si="1168"/>
        <v>PrecioFOB</v>
      </c>
      <c r="AI1807" t="str">
        <f t="shared" si="1169"/>
        <v>Monto II</v>
      </c>
      <c r="AJ1807" t="str">
        <f t="shared" si="1170"/>
        <v>Porcentaje II</v>
      </c>
      <c r="AK1807" t="str">
        <f t="shared" si="1171"/>
        <v>Foto</v>
      </c>
      <c r="AL180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07" t="str">
        <f t="shared" si="1149"/>
        <v>-</v>
      </c>
    </row>
    <row r="1808" spans="1:39" x14ac:dyDescent="0.25">
      <c r="A1808" t="str">
        <f>"FI60011"</f>
        <v>FI60011</v>
      </c>
      <c r="B1808" t="str">
        <f>"CUERPO MARIPOSA P206/307/308/PARTNER 1.6 16V / C3 / C4 / BERLINGO 1.6 16V      ALTERNATIVO"</f>
        <v>CUERPO MARIPOSA P206/307/308/PARTNER 1.6 16V / C3 / C4 / BERLINGO 1.6 16V      ALTERNATIVO</v>
      </c>
      <c r="C1808" t="str">
        <f t="shared" ref="C1808:G1809" si="1175">"$ 164420,79"</f>
        <v>$ 164420,79</v>
      </c>
      <c r="D1808" t="str">
        <f t="shared" si="1175"/>
        <v>$ 164420,79</v>
      </c>
      <c r="E1808" t="str">
        <f t="shared" si="1175"/>
        <v>$ 164420,79</v>
      </c>
      <c r="F1808" t="str">
        <f t="shared" si="1175"/>
        <v>$ 164420,79</v>
      </c>
      <c r="G1808" t="str">
        <f t="shared" si="1175"/>
        <v>$ 164420,79</v>
      </c>
      <c r="H1808" t="str">
        <f t="shared" si="1154"/>
        <v>$ 0,00</v>
      </c>
      <c r="I1808" t="str">
        <f t="shared" si="1150"/>
        <v>CUERPO MARIPOSA</v>
      </c>
      <c r="J1808" t="str">
        <f t="shared" si="1155"/>
        <v>1</v>
      </c>
      <c r="K1808" t="str">
        <f t="shared" si="1146"/>
        <v>0</v>
      </c>
      <c r="L1808" t="str">
        <f>"1,000"</f>
        <v>1,000</v>
      </c>
      <c r="M1808" t="str">
        <f t="shared" si="1156"/>
        <v xml:space="preserve"> </v>
      </c>
      <c r="N1808" t="str">
        <f t="shared" si="1151"/>
        <v>FISPA</v>
      </c>
      <c r="O1808" t="str">
        <f t="shared" si="1152"/>
        <v>CUERPO MARIPOSA</v>
      </c>
      <c r="P1808" t="str">
        <f t="shared" si="1172"/>
        <v>0</v>
      </c>
      <c r="Q1808" t="str">
        <f t="shared" si="1172"/>
        <v>0</v>
      </c>
      <c r="R1808" t="str">
        <f t="shared" si="1173"/>
        <v>0,00</v>
      </c>
      <c r="S1808" t="str">
        <f t="shared" si="1173"/>
        <v>0,00</v>
      </c>
      <c r="T1808" t="str">
        <f t="shared" si="1153"/>
        <v xml:space="preserve"> </v>
      </c>
      <c r="U1808" t="str">
        <f t="shared" si="1174"/>
        <v xml:space="preserve"> </v>
      </c>
      <c r="V1808" t="str">
        <f>"1,000"</f>
        <v>1,000</v>
      </c>
      <c r="W1808" t="str">
        <f t="shared" si="1157"/>
        <v>Lista 4</v>
      </c>
      <c r="X1808" t="str">
        <f t="shared" si="1158"/>
        <v>Lista 5</v>
      </c>
      <c r="Y1808" t="str">
        <f t="shared" si="1159"/>
        <v>Oferta Gral.</v>
      </c>
      <c r="Z1808" t="str">
        <f t="shared" si="1160"/>
        <v>Rubro</v>
      </c>
      <c r="AA1808" t="str">
        <f t="shared" si="1161"/>
        <v>Cantidad por Bulto</v>
      </c>
      <c r="AB1808" t="str">
        <f t="shared" si="1162"/>
        <v>INNER</v>
      </c>
      <c r="AC1808" t="str">
        <f t="shared" si="1163"/>
        <v>Stock en Bultos</v>
      </c>
      <c r="AD1808" t="str">
        <f t="shared" si="1164"/>
        <v>SubDepósito</v>
      </c>
      <c r="AE1808" t="str">
        <f t="shared" si="1165"/>
        <v>Marca</v>
      </c>
      <c r="AF1808" t="str">
        <f t="shared" si="1166"/>
        <v>Super Rubro</v>
      </c>
      <c r="AG1808" t="str">
        <f t="shared" si="1167"/>
        <v>ComercioExterior</v>
      </c>
      <c r="AH1808" t="str">
        <f t="shared" si="1168"/>
        <v>PrecioFOB</v>
      </c>
      <c r="AI1808" t="str">
        <f t="shared" si="1169"/>
        <v>Monto II</v>
      </c>
      <c r="AJ1808" t="str">
        <f t="shared" si="1170"/>
        <v>Porcentaje II</v>
      </c>
      <c r="AK1808" t="str">
        <f t="shared" si="1171"/>
        <v>Foto</v>
      </c>
      <c r="AL180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8" t="str">
        <f t="shared" si="1149"/>
        <v>-</v>
      </c>
    </row>
    <row r="1809" spans="1:39" x14ac:dyDescent="0.25">
      <c r="A1809" t="str">
        <f>"FI60001"</f>
        <v>FI60001</v>
      </c>
      <c r="B1809" t="str">
        <f>"CUERPO MARIPOSA PEUGEOT 206 / 307 / PARTNER / BERLINGO / C3 / C4                    ALTERNATIVO"</f>
        <v>CUERPO MARIPOSA PEUGEOT 206 / 307 / PARTNER / BERLINGO / C3 / C4                    ALTERNATIVO</v>
      </c>
      <c r="C1809" t="str">
        <f t="shared" si="1175"/>
        <v>$ 164420,79</v>
      </c>
      <c r="D1809" t="str">
        <f t="shared" si="1175"/>
        <v>$ 164420,79</v>
      </c>
      <c r="E1809" t="str">
        <f t="shared" si="1175"/>
        <v>$ 164420,79</v>
      </c>
      <c r="F1809" t="str">
        <f t="shared" si="1175"/>
        <v>$ 164420,79</v>
      </c>
      <c r="G1809" t="str">
        <f t="shared" si="1175"/>
        <v>$ 164420,79</v>
      </c>
      <c r="H1809" t="str">
        <f t="shared" si="1154"/>
        <v>$ 0,00</v>
      </c>
      <c r="I1809" t="str">
        <f t="shared" si="1150"/>
        <v>CUERPO MARIPOSA</v>
      </c>
      <c r="J1809" t="str">
        <f t="shared" si="1155"/>
        <v>1</v>
      </c>
      <c r="K1809" t="str">
        <f t="shared" si="1146"/>
        <v>0</v>
      </c>
      <c r="L1809" t="str">
        <f>"1,000"</f>
        <v>1,000</v>
      </c>
      <c r="M1809" t="str">
        <f t="shared" si="1156"/>
        <v xml:space="preserve"> </v>
      </c>
      <c r="N1809" t="str">
        <f t="shared" si="1151"/>
        <v>FISPA</v>
      </c>
      <c r="O1809" t="str">
        <f t="shared" si="1152"/>
        <v>CUERPO MARIPOSA</v>
      </c>
      <c r="P1809" t="str">
        <f t="shared" si="1172"/>
        <v>0</v>
      </c>
      <c r="Q1809" t="str">
        <f t="shared" si="1172"/>
        <v>0</v>
      </c>
      <c r="R1809" t="str">
        <f t="shared" si="1173"/>
        <v>0,00</v>
      </c>
      <c r="S1809" t="str">
        <f t="shared" si="1173"/>
        <v>0,00</v>
      </c>
      <c r="T1809" t="str">
        <f t="shared" si="1153"/>
        <v xml:space="preserve"> </v>
      </c>
      <c r="U1809" t="str">
        <f t="shared" si="1174"/>
        <v xml:space="preserve"> </v>
      </c>
      <c r="V1809" t="str">
        <f>"1,000"</f>
        <v>1,000</v>
      </c>
      <c r="W1809" t="str">
        <f t="shared" si="1157"/>
        <v>Lista 4</v>
      </c>
      <c r="X1809" t="str">
        <f t="shared" si="1158"/>
        <v>Lista 5</v>
      </c>
      <c r="Y1809" t="str">
        <f t="shared" si="1159"/>
        <v>Oferta Gral.</v>
      </c>
      <c r="Z1809" t="str">
        <f t="shared" si="1160"/>
        <v>Rubro</v>
      </c>
      <c r="AA1809" t="str">
        <f t="shared" si="1161"/>
        <v>Cantidad por Bulto</v>
      </c>
      <c r="AB1809" t="str">
        <f t="shared" si="1162"/>
        <v>INNER</v>
      </c>
      <c r="AC1809" t="str">
        <f t="shared" si="1163"/>
        <v>Stock en Bultos</v>
      </c>
      <c r="AD1809" t="str">
        <f t="shared" si="1164"/>
        <v>SubDepósito</v>
      </c>
      <c r="AE1809" t="str">
        <f t="shared" si="1165"/>
        <v>Marca</v>
      </c>
      <c r="AF1809" t="str">
        <f t="shared" si="1166"/>
        <v>Super Rubro</v>
      </c>
      <c r="AG1809" t="str">
        <f t="shared" si="1167"/>
        <v>ComercioExterior</v>
      </c>
      <c r="AH1809" t="str">
        <f t="shared" si="1168"/>
        <v>PrecioFOB</v>
      </c>
      <c r="AI1809" t="str">
        <f t="shared" si="1169"/>
        <v>Monto II</v>
      </c>
      <c r="AJ1809" t="str">
        <f t="shared" si="1170"/>
        <v>Porcentaje II</v>
      </c>
      <c r="AK1809" t="str">
        <f t="shared" si="1171"/>
        <v>Foto</v>
      </c>
      <c r="AL180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9" t="str">
        <f t="shared" si="1149"/>
        <v>-</v>
      </c>
    </row>
    <row r="1810" spans="1:39" x14ac:dyDescent="0.25">
      <c r="A1810" t="str">
        <f>"FI60028"</f>
        <v>FI60028</v>
      </c>
      <c r="B1810" t="str">
        <f>"CUERPO MARIPOSA PEUGEOT 307 407 CITROEN PICASSO 2.0 16V ORIGINAL VDO"</f>
        <v>CUERPO MARIPOSA PEUGEOT 307 407 CITROEN PICASSO 2.0 16V ORIGINAL VDO</v>
      </c>
      <c r="C1810" t="str">
        <f>"$ 202892,28"</f>
        <v>$ 202892,28</v>
      </c>
      <c r="D1810" t="str">
        <f>"$ 202892,28"</f>
        <v>$ 202892,28</v>
      </c>
      <c r="E1810" t="str">
        <f>"$ 202892,28"</f>
        <v>$ 202892,28</v>
      </c>
      <c r="F1810" t="str">
        <f>"$ 202892,28"</f>
        <v>$ 202892,28</v>
      </c>
      <c r="G1810" t="str">
        <f>"$ 202892,28"</f>
        <v>$ 202892,28</v>
      </c>
      <c r="H1810" t="str">
        <f t="shared" si="1154"/>
        <v>$ 0,00</v>
      </c>
      <c r="I1810" t="str">
        <f t="shared" si="1150"/>
        <v>CUERPO MARIPOSA</v>
      </c>
      <c r="J1810" t="str">
        <f t="shared" si="1155"/>
        <v>1</v>
      </c>
      <c r="K1810" t="str">
        <f t="shared" si="1146"/>
        <v>0</v>
      </c>
      <c r="L1810" t="str">
        <f>"0,000"</f>
        <v>0,000</v>
      </c>
      <c r="M1810" t="str">
        <f t="shared" si="1156"/>
        <v xml:space="preserve"> </v>
      </c>
      <c r="N1810" t="str">
        <f t="shared" si="1151"/>
        <v>FISPA</v>
      </c>
      <c r="O1810" t="str">
        <f t="shared" si="1152"/>
        <v>CUERPO MARIPOSA</v>
      </c>
      <c r="P1810" t="str">
        <f t="shared" si="1172"/>
        <v>0</v>
      </c>
      <c r="Q1810" t="str">
        <f t="shared" si="1172"/>
        <v>0</v>
      </c>
      <c r="R1810" t="str">
        <f t="shared" si="1173"/>
        <v>0,00</v>
      </c>
      <c r="S1810" t="str">
        <f t="shared" si="1173"/>
        <v>0,00</v>
      </c>
      <c r="T1810" t="str">
        <f t="shared" si="1153"/>
        <v xml:space="preserve"> </v>
      </c>
      <c r="U1810" t="str">
        <f t="shared" si="1174"/>
        <v xml:space="preserve"> </v>
      </c>
      <c r="V1810" t="str">
        <f>"0,000"</f>
        <v>0,000</v>
      </c>
      <c r="W1810" t="str">
        <f t="shared" si="1157"/>
        <v>Lista 4</v>
      </c>
      <c r="X1810" t="str">
        <f t="shared" si="1158"/>
        <v>Lista 5</v>
      </c>
      <c r="Y1810" t="str">
        <f t="shared" si="1159"/>
        <v>Oferta Gral.</v>
      </c>
      <c r="Z1810" t="str">
        <f t="shared" si="1160"/>
        <v>Rubro</v>
      </c>
      <c r="AA1810" t="str">
        <f t="shared" si="1161"/>
        <v>Cantidad por Bulto</v>
      </c>
      <c r="AB1810" t="str">
        <f t="shared" si="1162"/>
        <v>INNER</v>
      </c>
      <c r="AC1810" t="str">
        <f t="shared" si="1163"/>
        <v>Stock en Bultos</v>
      </c>
      <c r="AD1810" t="str">
        <f t="shared" si="1164"/>
        <v>SubDepósito</v>
      </c>
      <c r="AE1810" t="str">
        <f t="shared" si="1165"/>
        <v>Marca</v>
      </c>
      <c r="AF1810" t="str">
        <f t="shared" si="1166"/>
        <v>Super Rubro</v>
      </c>
      <c r="AG1810" t="str">
        <f t="shared" si="1167"/>
        <v>ComercioExterior</v>
      </c>
      <c r="AH1810" t="str">
        <f t="shared" si="1168"/>
        <v>PrecioFOB</v>
      </c>
      <c r="AI1810" t="str">
        <f t="shared" si="1169"/>
        <v>Monto II</v>
      </c>
      <c r="AJ1810" t="str">
        <f t="shared" si="1170"/>
        <v>Porcentaje II</v>
      </c>
      <c r="AK1810" t="str">
        <f t="shared" si="1171"/>
        <v>Foto</v>
      </c>
      <c r="AL1810" t="str">
        <f>"{\rtf1\ansi\ansicpg1252\deff0\deflang11274{\fonttbl{\f0\fnil\fcharset0 MS Sans Serif}} \viewkind4\uc1\pard\f0\fs16 CUERPO MARIPOSA PEUGEOT 307 407 CITROEN PICASSO 2.0 16V ORIGINAL VDO\par } "</f>
        <v xml:space="preserve">{\rtf1\ansi\ansicpg1252\deff0\deflang11274{\fonttbl{\f0\fnil\fcharset0 MS Sans Serif}} \viewkind4\uc1\pard\f0\fs16 CUERPO MARIPOSA PEUGEOT 307 407 CITROEN PICASSO 2.0 16V ORIGINAL VDO\par } </v>
      </c>
      <c r="AM1810" t="str">
        <f t="shared" si="1149"/>
        <v>-</v>
      </c>
    </row>
    <row r="1811" spans="1:39" x14ac:dyDescent="0.25">
      <c r="A1811" t="str">
        <f>"FI60018"</f>
        <v>FI60018</v>
      </c>
      <c r="B1811" t="str">
        <f>"CUERPO MARIPOSA PEUGEOT 405 MODELO NUEVO ALTERNATIVO"</f>
        <v>CUERPO MARIPOSA PEUGEOT 405 MODELO NUEVO ALTERNATIVO</v>
      </c>
      <c r="C1811" t="str">
        <f t="shared" ref="C1811:G1812" si="1176">"$ 213837,23"</f>
        <v>$ 213837,23</v>
      </c>
      <c r="D1811" t="str">
        <f t="shared" si="1176"/>
        <v>$ 213837,23</v>
      </c>
      <c r="E1811" t="str">
        <f t="shared" si="1176"/>
        <v>$ 213837,23</v>
      </c>
      <c r="F1811" t="str">
        <f t="shared" si="1176"/>
        <v>$ 213837,23</v>
      </c>
      <c r="G1811" t="str">
        <f t="shared" si="1176"/>
        <v>$ 213837,23</v>
      </c>
      <c r="H1811" t="str">
        <f t="shared" si="1154"/>
        <v>$ 0,00</v>
      </c>
      <c r="I1811" t="str">
        <f t="shared" si="1150"/>
        <v>CUERPO MARIPOSA</v>
      </c>
      <c r="J1811" t="str">
        <f t="shared" si="1155"/>
        <v>1</v>
      </c>
      <c r="K1811" t="str">
        <f t="shared" si="1146"/>
        <v>0</v>
      </c>
      <c r="L1811" t="str">
        <f>"0,000"</f>
        <v>0,000</v>
      </c>
      <c r="M1811" t="str">
        <f t="shared" si="1156"/>
        <v xml:space="preserve"> </v>
      </c>
      <c r="N1811" t="str">
        <f t="shared" si="1151"/>
        <v>FISPA</v>
      </c>
      <c r="O1811" t="str">
        <f t="shared" si="1152"/>
        <v>CUERPO MARIPOSA</v>
      </c>
      <c r="P1811" t="str">
        <f t="shared" si="1172"/>
        <v>0</v>
      </c>
      <c r="Q1811" t="str">
        <f t="shared" si="1172"/>
        <v>0</v>
      </c>
      <c r="R1811" t="str">
        <f t="shared" si="1173"/>
        <v>0,00</v>
      </c>
      <c r="S1811" t="str">
        <f t="shared" si="1173"/>
        <v>0,00</v>
      </c>
      <c r="T1811" t="str">
        <f t="shared" si="1153"/>
        <v xml:space="preserve"> </v>
      </c>
      <c r="U1811" t="str">
        <f t="shared" si="1174"/>
        <v xml:space="preserve"> </v>
      </c>
      <c r="V1811" t="str">
        <f>"0,000"</f>
        <v>0,000</v>
      </c>
      <c r="W1811" t="str">
        <f t="shared" si="1157"/>
        <v>Lista 4</v>
      </c>
      <c r="X1811" t="str">
        <f t="shared" si="1158"/>
        <v>Lista 5</v>
      </c>
      <c r="Y1811" t="str">
        <f t="shared" si="1159"/>
        <v>Oferta Gral.</v>
      </c>
      <c r="Z1811" t="str">
        <f t="shared" si="1160"/>
        <v>Rubro</v>
      </c>
      <c r="AA1811" t="str">
        <f t="shared" si="1161"/>
        <v>Cantidad por Bulto</v>
      </c>
      <c r="AB1811" t="str">
        <f t="shared" si="1162"/>
        <v>INNER</v>
      </c>
      <c r="AC1811" t="str">
        <f t="shared" si="1163"/>
        <v>Stock en Bultos</v>
      </c>
      <c r="AD1811" t="str">
        <f t="shared" si="1164"/>
        <v>SubDepósito</v>
      </c>
      <c r="AE1811" t="str">
        <f t="shared" si="1165"/>
        <v>Marca</v>
      </c>
      <c r="AF1811" t="str">
        <f t="shared" si="1166"/>
        <v>Super Rubro</v>
      </c>
      <c r="AG1811" t="str">
        <f t="shared" si="1167"/>
        <v>ComercioExterior</v>
      </c>
      <c r="AH1811" t="str">
        <f t="shared" si="1168"/>
        <v>PrecioFOB</v>
      </c>
      <c r="AI1811" t="str">
        <f t="shared" si="1169"/>
        <v>Monto II</v>
      </c>
      <c r="AJ1811" t="str">
        <f t="shared" si="1170"/>
        <v>Porcentaje II</v>
      </c>
      <c r="AK1811" t="str">
        <f t="shared" si="1171"/>
        <v>Foto</v>
      </c>
      <c r="AL181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1" t="str">
        <f t="shared" si="1149"/>
        <v>-</v>
      </c>
    </row>
    <row r="1812" spans="1:39" x14ac:dyDescent="0.25">
      <c r="A1812" t="str">
        <f>"FI60019"</f>
        <v>FI60019</v>
      </c>
      <c r="B1812" t="str">
        <f>"CUERPO MARIPOSA PEUGEOT 405 MODELO VIEJO  ALTERNATIVO   "</f>
        <v xml:space="preserve">CUERPO MARIPOSA PEUGEOT 405 MODELO VIEJO  ALTERNATIVO   </v>
      </c>
      <c r="C1812" t="str">
        <f t="shared" si="1176"/>
        <v>$ 213837,23</v>
      </c>
      <c r="D1812" t="str">
        <f t="shared" si="1176"/>
        <v>$ 213837,23</v>
      </c>
      <c r="E1812" t="str">
        <f t="shared" si="1176"/>
        <v>$ 213837,23</v>
      </c>
      <c r="F1812" t="str">
        <f t="shared" si="1176"/>
        <v>$ 213837,23</v>
      </c>
      <c r="G1812" t="str">
        <f t="shared" si="1176"/>
        <v>$ 213837,23</v>
      </c>
      <c r="H1812" t="str">
        <f t="shared" si="1154"/>
        <v>$ 0,00</v>
      </c>
      <c r="I1812" t="str">
        <f t="shared" si="1150"/>
        <v>CUERPO MARIPOSA</v>
      </c>
      <c r="J1812" t="str">
        <f t="shared" si="1155"/>
        <v>1</v>
      </c>
      <c r="K1812" t="str">
        <f t="shared" si="1146"/>
        <v>0</v>
      </c>
      <c r="L1812" t="str">
        <f>"0,000"</f>
        <v>0,000</v>
      </c>
      <c r="M1812" t="str">
        <f t="shared" si="1156"/>
        <v xml:space="preserve"> </v>
      </c>
      <c r="N1812" t="str">
        <f t="shared" si="1151"/>
        <v>FISPA</v>
      </c>
      <c r="O1812" t="str">
        <f t="shared" si="1152"/>
        <v>CUERPO MARIPOSA</v>
      </c>
      <c r="P1812" t="str">
        <f t="shared" si="1172"/>
        <v>0</v>
      </c>
      <c r="Q1812" t="str">
        <f t="shared" si="1172"/>
        <v>0</v>
      </c>
      <c r="R1812" t="str">
        <f t="shared" si="1173"/>
        <v>0,00</v>
      </c>
      <c r="S1812" t="str">
        <f t="shared" si="1173"/>
        <v>0,00</v>
      </c>
      <c r="T1812" t="str">
        <f t="shared" si="1153"/>
        <v xml:space="preserve"> </v>
      </c>
      <c r="U1812" t="str">
        <f t="shared" si="1174"/>
        <v xml:space="preserve"> </v>
      </c>
      <c r="V1812" t="str">
        <f>"0,000"</f>
        <v>0,000</v>
      </c>
      <c r="W1812" t="str">
        <f t="shared" si="1157"/>
        <v>Lista 4</v>
      </c>
      <c r="X1812" t="str">
        <f t="shared" si="1158"/>
        <v>Lista 5</v>
      </c>
      <c r="Y1812" t="str">
        <f t="shared" si="1159"/>
        <v>Oferta Gral.</v>
      </c>
      <c r="Z1812" t="str">
        <f t="shared" si="1160"/>
        <v>Rubro</v>
      </c>
      <c r="AA1812" t="str">
        <f t="shared" si="1161"/>
        <v>Cantidad por Bulto</v>
      </c>
      <c r="AB1812" t="str">
        <f t="shared" si="1162"/>
        <v>INNER</v>
      </c>
      <c r="AC1812" t="str">
        <f t="shared" si="1163"/>
        <v>Stock en Bultos</v>
      </c>
      <c r="AD1812" t="str">
        <f t="shared" si="1164"/>
        <v>SubDepósito</v>
      </c>
      <c r="AE1812" t="str">
        <f t="shared" si="1165"/>
        <v>Marca</v>
      </c>
      <c r="AF1812" t="str">
        <f t="shared" si="1166"/>
        <v>Super Rubro</v>
      </c>
      <c r="AG1812" t="str">
        <f t="shared" si="1167"/>
        <v>ComercioExterior</v>
      </c>
      <c r="AH1812" t="str">
        <f t="shared" si="1168"/>
        <v>PrecioFOB</v>
      </c>
      <c r="AI1812" t="str">
        <f t="shared" si="1169"/>
        <v>Monto II</v>
      </c>
      <c r="AJ1812" t="str">
        <f t="shared" si="1170"/>
        <v>Porcentaje II</v>
      </c>
      <c r="AK1812" t="str">
        <f t="shared" si="1171"/>
        <v>Foto</v>
      </c>
      <c r="AL181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2" t="str">
        <f t="shared" si="1149"/>
        <v>-</v>
      </c>
    </row>
    <row r="1813" spans="1:39" x14ac:dyDescent="0.25">
      <c r="A1813" t="str">
        <f>"FI60063"</f>
        <v>FI60063</v>
      </c>
      <c r="B1813" t="str">
        <f>"CUERPO MARIPOSA RENAULT 1.6 16V 7700102870/7700875435"</f>
        <v>CUERPO MARIPOSA RENAULT 1.6 16V 7700102870/7700875435</v>
      </c>
      <c r="C1813" t="str">
        <f>"$ 94093,36"</f>
        <v>$ 94093,36</v>
      </c>
      <c r="D1813" t="str">
        <f>"$ 94093,36"</f>
        <v>$ 94093,36</v>
      </c>
      <c r="E1813" t="str">
        <f>"$ 94093,36"</f>
        <v>$ 94093,36</v>
      </c>
      <c r="F1813" t="str">
        <f>"$ 94093,36"</f>
        <v>$ 94093,36</v>
      </c>
      <c r="G1813" t="str">
        <f>"$ 94093,36"</f>
        <v>$ 94093,36</v>
      </c>
      <c r="H1813" t="str">
        <f t="shared" si="1154"/>
        <v>$ 0,00</v>
      </c>
      <c r="I1813" t="str">
        <f t="shared" si="1150"/>
        <v>CUERPO MARIPOSA</v>
      </c>
      <c r="J1813" t="str">
        <f t="shared" si="1155"/>
        <v>1</v>
      </c>
      <c r="K1813" t="str">
        <f t="shared" si="1146"/>
        <v>0</v>
      </c>
      <c r="L1813" t="str">
        <f>"1,000"</f>
        <v>1,000</v>
      </c>
      <c r="M1813" t="str">
        <f t="shared" si="1156"/>
        <v xml:space="preserve"> </v>
      </c>
      <c r="N1813" t="str">
        <f t="shared" si="1151"/>
        <v>FISPA</v>
      </c>
      <c r="O1813" t="str">
        <f t="shared" si="1152"/>
        <v>CUERPO MARIPOSA</v>
      </c>
      <c r="P1813" t="str">
        <f t="shared" si="1172"/>
        <v>0</v>
      </c>
      <c r="Q1813" t="str">
        <f t="shared" si="1172"/>
        <v>0</v>
      </c>
      <c r="R1813" t="str">
        <f t="shared" si="1173"/>
        <v>0,00</v>
      </c>
      <c r="S1813" t="str">
        <f t="shared" si="1173"/>
        <v>0,00</v>
      </c>
      <c r="T1813" t="str">
        <f t="shared" si="1153"/>
        <v xml:space="preserve"> </v>
      </c>
      <c r="U1813" t="str">
        <f t="shared" si="1174"/>
        <v xml:space="preserve"> </v>
      </c>
      <c r="V1813" t="str">
        <f>"1,000"</f>
        <v>1,000</v>
      </c>
      <c r="W1813" t="str">
        <f t="shared" si="1157"/>
        <v>Lista 4</v>
      </c>
      <c r="X1813" t="str">
        <f t="shared" si="1158"/>
        <v>Lista 5</v>
      </c>
      <c r="Y1813" t="str">
        <f t="shared" si="1159"/>
        <v>Oferta Gral.</v>
      </c>
      <c r="Z1813" t="str">
        <f t="shared" si="1160"/>
        <v>Rubro</v>
      </c>
      <c r="AA1813" t="str">
        <f t="shared" si="1161"/>
        <v>Cantidad por Bulto</v>
      </c>
      <c r="AB1813" t="str">
        <f t="shared" si="1162"/>
        <v>INNER</v>
      </c>
      <c r="AC1813" t="str">
        <f t="shared" si="1163"/>
        <v>Stock en Bultos</v>
      </c>
      <c r="AD1813" t="str">
        <f t="shared" si="1164"/>
        <v>SubDepósito</v>
      </c>
      <c r="AE1813" t="str">
        <f t="shared" si="1165"/>
        <v>Marca</v>
      </c>
      <c r="AF1813" t="str">
        <f t="shared" si="1166"/>
        <v>Super Rubro</v>
      </c>
      <c r="AG1813" t="str">
        <f t="shared" si="1167"/>
        <v>ComercioExterior</v>
      </c>
      <c r="AH1813" t="str">
        <f t="shared" si="1168"/>
        <v>PrecioFOB</v>
      </c>
      <c r="AI1813" t="str">
        <f t="shared" si="1169"/>
        <v>Monto II</v>
      </c>
      <c r="AJ1813" t="str">
        <f t="shared" si="1170"/>
        <v>Porcentaje II</v>
      </c>
      <c r="AK1813" t="str">
        <f t="shared" si="1171"/>
        <v>Foto</v>
      </c>
      <c r="AL1813" t="str">
        <f>"{\rtf1\ansi\ansicpg1252\deff0\deflang11274{\fonttbl{\f0\fnil\fcharset0 MS Sans Serif}} \viewkind4\uc1\pard\f0\fs16 CUERPO MARIPOSA RENAULT 1.6 16V 7700102870/7700875435\par } "</f>
        <v xml:space="preserve">{\rtf1\ansi\ansicpg1252\deff0\deflang11274{\fonttbl{\f0\fnil\fcharset0 MS Sans Serif}} \viewkind4\uc1\pard\f0\fs16 CUERPO MARIPOSA RENAULT 1.6 16V 7700102870/7700875435\par } </v>
      </c>
      <c r="AM1813" t="str">
        <f>" "</f>
        <v xml:space="preserve"> </v>
      </c>
    </row>
    <row r="1814" spans="1:39" x14ac:dyDescent="0.25">
      <c r="A1814" t="str">
        <f>"FI60069"</f>
        <v>FI60069</v>
      </c>
      <c r="B1814" t="str">
        <f>"CUERPO MARIPOSA RENAULT K4M ALTERNATIVO DEL 60025"</f>
        <v>CUERPO MARIPOSA RENAULT K4M ALTERNATIVO DEL 60025</v>
      </c>
      <c r="C1814" t="str">
        <f>"$ 203254,79"</f>
        <v>$ 203254,79</v>
      </c>
      <c r="D1814" t="str">
        <f>"$ 203254,79"</f>
        <v>$ 203254,79</v>
      </c>
      <c r="E1814" t="str">
        <f>"$ 203254,79"</f>
        <v>$ 203254,79</v>
      </c>
      <c r="F1814" t="str">
        <f>"$ 203254,79"</f>
        <v>$ 203254,79</v>
      </c>
      <c r="G1814" t="str">
        <f>"$ 203254,79"</f>
        <v>$ 203254,79</v>
      </c>
      <c r="H1814" t="str">
        <f t="shared" si="1154"/>
        <v>$ 0,00</v>
      </c>
      <c r="I1814" t="str">
        <f t="shared" si="1150"/>
        <v>CUERPO MARIPOSA</v>
      </c>
      <c r="J1814" t="str">
        <f t="shared" si="1155"/>
        <v>1</v>
      </c>
      <c r="K1814" t="str">
        <f t="shared" si="1146"/>
        <v>0</v>
      </c>
      <c r="L1814" t="str">
        <f>"3,000"</f>
        <v>3,000</v>
      </c>
      <c r="M1814" t="str">
        <f t="shared" si="1156"/>
        <v xml:space="preserve"> </v>
      </c>
      <c r="N1814" t="str">
        <f t="shared" si="1151"/>
        <v>FISPA</v>
      </c>
      <c r="O1814" t="str">
        <f t="shared" si="1152"/>
        <v>CUERPO MARIPOSA</v>
      </c>
      <c r="P1814" t="str">
        <f t="shared" si="1172"/>
        <v>0</v>
      </c>
      <c r="Q1814" t="str">
        <f t="shared" si="1172"/>
        <v>0</v>
      </c>
      <c r="R1814" t="str">
        <f t="shared" si="1173"/>
        <v>0,00</v>
      </c>
      <c r="S1814" t="str">
        <f t="shared" si="1173"/>
        <v>0,00</v>
      </c>
      <c r="T1814" t="str">
        <f t="shared" si="1153"/>
        <v xml:space="preserve"> </v>
      </c>
      <c r="U1814" t="str">
        <f t="shared" si="1174"/>
        <v xml:space="preserve"> </v>
      </c>
      <c r="V1814" t="str">
        <f>"3,000"</f>
        <v>3,000</v>
      </c>
      <c r="W1814" t="str">
        <f t="shared" si="1157"/>
        <v>Lista 4</v>
      </c>
      <c r="X1814" t="str">
        <f t="shared" si="1158"/>
        <v>Lista 5</v>
      </c>
      <c r="Y1814" t="str">
        <f t="shared" si="1159"/>
        <v>Oferta Gral.</v>
      </c>
      <c r="Z1814" t="str">
        <f t="shared" si="1160"/>
        <v>Rubro</v>
      </c>
      <c r="AA1814" t="str">
        <f t="shared" si="1161"/>
        <v>Cantidad por Bulto</v>
      </c>
      <c r="AB1814" t="str">
        <f t="shared" si="1162"/>
        <v>INNER</v>
      </c>
      <c r="AC1814" t="str">
        <f t="shared" si="1163"/>
        <v>Stock en Bultos</v>
      </c>
      <c r="AD1814" t="str">
        <f t="shared" si="1164"/>
        <v>SubDepósito</v>
      </c>
      <c r="AE1814" t="str">
        <f t="shared" si="1165"/>
        <v>Marca</v>
      </c>
      <c r="AF1814" t="str">
        <f t="shared" si="1166"/>
        <v>Super Rubro</v>
      </c>
      <c r="AG1814" t="str">
        <f t="shared" si="1167"/>
        <v>ComercioExterior</v>
      </c>
      <c r="AH1814" t="str">
        <f t="shared" si="1168"/>
        <v>PrecioFOB</v>
      </c>
      <c r="AI1814" t="str">
        <f t="shared" si="1169"/>
        <v>Monto II</v>
      </c>
      <c r="AJ1814" t="str">
        <f t="shared" si="1170"/>
        <v>Porcentaje II</v>
      </c>
      <c r="AK1814" t="str">
        <f t="shared" si="1171"/>
        <v>Foto</v>
      </c>
      <c r="AL181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4" t="str">
        <f>"-"</f>
        <v>-</v>
      </c>
    </row>
    <row r="1815" spans="1:39" x14ac:dyDescent="0.25">
      <c r="A1815" t="str">
        <f>"FI60065"</f>
        <v>FI60065</v>
      </c>
      <c r="B1815" t="str">
        <f>"CUERPO MARIPOSA RENAULT K7M 1.6 8V 8200908869"</f>
        <v>CUERPO MARIPOSA RENAULT K7M 1.6 8V 8200908869</v>
      </c>
      <c r="C1815" t="str">
        <f>"$ 127947,39"</f>
        <v>$ 127947,39</v>
      </c>
      <c r="D1815" t="str">
        <f>"$ 127947,39"</f>
        <v>$ 127947,39</v>
      </c>
      <c r="E1815" t="str">
        <f>"$ 127947,39"</f>
        <v>$ 127947,39</v>
      </c>
      <c r="F1815" t="str">
        <f>"$ 127947,39"</f>
        <v>$ 127947,39</v>
      </c>
      <c r="G1815" t="str">
        <f>"$ 127947,39"</f>
        <v>$ 127947,39</v>
      </c>
      <c r="H1815" t="str">
        <f t="shared" si="1154"/>
        <v>$ 0,00</v>
      </c>
      <c r="I1815" t="str">
        <f t="shared" si="1150"/>
        <v>CUERPO MARIPOSA</v>
      </c>
      <c r="J1815" t="str">
        <f t="shared" si="1155"/>
        <v>1</v>
      </c>
      <c r="K1815" t="str">
        <f t="shared" si="1146"/>
        <v>0</v>
      </c>
      <c r="L1815" t="str">
        <f>"2,000"</f>
        <v>2,000</v>
      </c>
      <c r="M1815" t="str">
        <f t="shared" si="1156"/>
        <v xml:space="preserve"> </v>
      </c>
      <c r="N1815" t="str">
        <f t="shared" si="1151"/>
        <v>FISPA</v>
      </c>
      <c r="O1815" t="str">
        <f t="shared" si="1152"/>
        <v>CUERPO MARIPOSA</v>
      </c>
      <c r="P1815" t="str">
        <f t="shared" si="1172"/>
        <v>0</v>
      </c>
      <c r="Q1815" t="str">
        <f t="shared" si="1172"/>
        <v>0</v>
      </c>
      <c r="R1815" t="str">
        <f t="shared" si="1173"/>
        <v>0,00</v>
      </c>
      <c r="S1815" t="str">
        <f t="shared" si="1173"/>
        <v>0,00</v>
      </c>
      <c r="T1815" t="str">
        <f t="shared" si="1153"/>
        <v xml:space="preserve"> </v>
      </c>
      <c r="U1815" t="str">
        <f t="shared" si="1174"/>
        <v xml:space="preserve"> </v>
      </c>
      <c r="V1815" t="str">
        <f>"2,000"</f>
        <v>2,000</v>
      </c>
      <c r="W1815" t="str">
        <f t="shared" si="1157"/>
        <v>Lista 4</v>
      </c>
      <c r="X1815" t="str">
        <f t="shared" si="1158"/>
        <v>Lista 5</v>
      </c>
      <c r="Y1815" t="str">
        <f t="shared" si="1159"/>
        <v>Oferta Gral.</v>
      </c>
      <c r="Z1815" t="str">
        <f t="shared" si="1160"/>
        <v>Rubro</v>
      </c>
      <c r="AA1815" t="str">
        <f t="shared" si="1161"/>
        <v>Cantidad por Bulto</v>
      </c>
      <c r="AB1815" t="str">
        <f t="shared" si="1162"/>
        <v>INNER</v>
      </c>
      <c r="AC1815" t="str">
        <f t="shared" si="1163"/>
        <v>Stock en Bultos</v>
      </c>
      <c r="AD1815" t="str">
        <f t="shared" si="1164"/>
        <v>SubDepósito</v>
      </c>
      <c r="AE1815" t="str">
        <f t="shared" si="1165"/>
        <v>Marca</v>
      </c>
      <c r="AF1815" t="str">
        <f t="shared" si="1166"/>
        <v>Super Rubro</v>
      </c>
      <c r="AG1815" t="str">
        <f t="shared" si="1167"/>
        <v>ComercioExterior</v>
      </c>
      <c r="AH1815" t="str">
        <f t="shared" si="1168"/>
        <v>PrecioFOB</v>
      </c>
      <c r="AI1815" t="str">
        <f t="shared" si="1169"/>
        <v>Monto II</v>
      </c>
      <c r="AJ1815" t="str">
        <f t="shared" si="1170"/>
        <v>Porcentaje II</v>
      </c>
      <c r="AK1815" t="str">
        <f t="shared" si="1171"/>
        <v>Foto</v>
      </c>
      <c r="AL1815" t="str">
        <f>"{\rtf1\ansi\ansicpg1252\deff0\deflang11274{\fonttbl{\f0\fnil\fcharset0 MS Sans Serif}} \viewkind4\uc1\pard\f0\fs16 CUERPO MARIPOSA RENAULT K7M 1.6 8V 8200908869\par } "</f>
        <v xml:space="preserve">{\rtf1\ansi\ansicpg1252\deff0\deflang11274{\fonttbl{\f0\fnil\fcharset0 MS Sans Serif}} \viewkind4\uc1\pard\f0\fs16 CUERPO MARIPOSA RENAULT K7M 1.6 8V 8200908869\par } </v>
      </c>
      <c r="AM1815" t="str">
        <f>" "</f>
        <v xml:space="preserve"> </v>
      </c>
    </row>
    <row r="1816" spans="1:39" x14ac:dyDescent="0.25">
      <c r="A1816" t="str">
        <f>"FI60014"</f>
        <v>FI60014</v>
      </c>
      <c r="B1816" t="str">
        <f>"CUERPO MARIPOSA SEAT CORDOBA / IBIZA / VW GOLF II                   ALTERNATIVO"</f>
        <v>CUERPO MARIPOSA SEAT CORDOBA / IBIZA / VW GOLF II                   ALTERNATIVO</v>
      </c>
      <c r="C1816" t="str">
        <f>"$ 198470,12"</f>
        <v>$ 198470,12</v>
      </c>
      <c r="D1816" t="str">
        <f>"$ 198470,12"</f>
        <v>$ 198470,12</v>
      </c>
      <c r="E1816" t="str">
        <f>"$ 198470,12"</f>
        <v>$ 198470,12</v>
      </c>
      <c r="F1816" t="str">
        <f>"$ 198470,12"</f>
        <v>$ 198470,12</v>
      </c>
      <c r="G1816" t="str">
        <f>"$ 198470,12"</f>
        <v>$ 198470,12</v>
      </c>
      <c r="H1816" t="str">
        <f t="shared" si="1154"/>
        <v>$ 0,00</v>
      </c>
      <c r="I1816" t="str">
        <f t="shared" si="1150"/>
        <v>CUERPO MARIPOSA</v>
      </c>
      <c r="J1816" t="str">
        <f t="shared" si="1155"/>
        <v>1</v>
      </c>
      <c r="K1816" t="str">
        <f t="shared" si="1146"/>
        <v>0</v>
      </c>
      <c r="L1816" t="str">
        <f>"0,000"</f>
        <v>0,000</v>
      </c>
      <c r="M1816" t="str">
        <f t="shared" si="1156"/>
        <v xml:space="preserve"> </v>
      </c>
      <c r="N1816" t="str">
        <f t="shared" si="1151"/>
        <v>FISPA</v>
      </c>
      <c r="O1816" t="str">
        <f t="shared" si="1152"/>
        <v>CUERPO MARIPOSA</v>
      </c>
      <c r="P1816" t="str">
        <f t="shared" si="1172"/>
        <v>0</v>
      </c>
      <c r="Q1816" t="str">
        <f t="shared" si="1172"/>
        <v>0</v>
      </c>
      <c r="R1816" t="str">
        <f t="shared" si="1173"/>
        <v>0,00</v>
      </c>
      <c r="S1816" t="str">
        <f t="shared" si="1173"/>
        <v>0,00</v>
      </c>
      <c r="T1816" t="str">
        <f t="shared" si="1153"/>
        <v xml:space="preserve"> </v>
      </c>
      <c r="U1816" t="str">
        <f t="shared" si="1174"/>
        <v xml:space="preserve"> </v>
      </c>
      <c r="V1816" t="str">
        <f>"0,000"</f>
        <v>0,000</v>
      </c>
      <c r="W1816" t="str">
        <f t="shared" si="1157"/>
        <v>Lista 4</v>
      </c>
      <c r="X1816" t="str">
        <f t="shared" si="1158"/>
        <v>Lista 5</v>
      </c>
      <c r="Y1816" t="str">
        <f t="shared" si="1159"/>
        <v>Oferta Gral.</v>
      </c>
      <c r="Z1816" t="str">
        <f t="shared" si="1160"/>
        <v>Rubro</v>
      </c>
      <c r="AA1816" t="str">
        <f t="shared" si="1161"/>
        <v>Cantidad por Bulto</v>
      </c>
      <c r="AB1816" t="str">
        <f t="shared" si="1162"/>
        <v>INNER</v>
      </c>
      <c r="AC1816" t="str">
        <f t="shared" si="1163"/>
        <v>Stock en Bultos</v>
      </c>
      <c r="AD1816" t="str">
        <f t="shared" si="1164"/>
        <v>SubDepósito</v>
      </c>
      <c r="AE1816" t="str">
        <f t="shared" si="1165"/>
        <v>Marca</v>
      </c>
      <c r="AF1816" t="str">
        <f t="shared" si="1166"/>
        <v>Super Rubro</v>
      </c>
      <c r="AG1816" t="str">
        <f t="shared" si="1167"/>
        <v>ComercioExterior</v>
      </c>
      <c r="AH1816" t="str">
        <f t="shared" si="1168"/>
        <v>PrecioFOB</v>
      </c>
      <c r="AI1816" t="str">
        <f t="shared" si="1169"/>
        <v>Monto II</v>
      </c>
      <c r="AJ1816" t="str">
        <f t="shared" si="1170"/>
        <v>Porcentaje II</v>
      </c>
      <c r="AK1816" t="str">
        <f t="shared" si="1171"/>
        <v>Foto</v>
      </c>
      <c r="AL18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16" t="str">
        <f t="shared" ref="AM1816:AM1822" si="1177">"-"</f>
        <v>-</v>
      </c>
    </row>
    <row r="1817" spans="1:39" x14ac:dyDescent="0.25">
      <c r="A1817" t="str">
        <f>"FI60012"</f>
        <v>FI60012</v>
      </c>
      <c r="B1817" t="str">
        <f>"CUERPO MARIPOSA VW BORA / GOLF IV / NEW BEETLE   ALTERNATIVO"</f>
        <v>CUERPO MARIPOSA VW BORA / GOLF IV / NEW BEETLE   ALTERNATIVO</v>
      </c>
      <c r="C1817" t="str">
        <f>"$ 199157,30"</f>
        <v>$ 199157,30</v>
      </c>
      <c r="D1817" t="str">
        <f>"$ 199157,30"</f>
        <v>$ 199157,30</v>
      </c>
      <c r="E1817" t="str">
        <f>"$ 199157,30"</f>
        <v>$ 199157,30</v>
      </c>
      <c r="F1817" t="str">
        <f>"$ 199157,30"</f>
        <v>$ 199157,30</v>
      </c>
      <c r="G1817" t="str">
        <f>"$ 199157,30"</f>
        <v>$ 199157,30</v>
      </c>
      <c r="H1817" t="str">
        <f t="shared" si="1154"/>
        <v>$ 0,00</v>
      </c>
      <c r="I1817" t="str">
        <f t="shared" si="1150"/>
        <v>CUERPO MARIPOSA</v>
      </c>
      <c r="J1817" t="str">
        <f t="shared" si="1155"/>
        <v>1</v>
      </c>
      <c r="K1817" t="str">
        <f t="shared" si="1146"/>
        <v>0</v>
      </c>
      <c r="L1817" t="str">
        <f>"0,000"</f>
        <v>0,000</v>
      </c>
      <c r="M1817" t="str">
        <f t="shared" si="1156"/>
        <v xml:space="preserve"> </v>
      </c>
      <c r="N1817" t="str">
        <f t="shared" si="1151"/>
        <v>FISPA</v>
      </c>
      <c r="O1817" t="str">
        <f t="shared" si="1152"/>
        <v>CUERPO MARIPOSA</v>
      </c>
      <c r="P1817" t="str">
        <f t="shared" si="1172"/>
        <v>0</v>
      </c>
      <c r="Q1817" t="str">
        <f t="shared" si="1172"/>
        <v>0</v>
      </c>
      <c r="R1817" t="str">
        <f t="shared" si="1173"/>
        <v>0,00</v>
      </c>
      <c r="S1817" t="str">
        <f t="shared" si="1173"/>
        <v>0,00</v>
      </c>
      <c r="T1817" t="str">
        <f t="shared" si="1153"/>
        <v xml:space="preserve"> </v>
      </c>
      <c r="U1817" t="str">
        <f t="shared" si="1174"/>
        <v xml:space="preserve"> </v>
      </c>
      <c r="V1817" t="str">
        <f>"0,000"</f>
        <v>0,000</v>
      </c>
      <c r="W1817" t="str">
        <f t="shared" si="1157"/>
        <v>Lista 4</v>
      </c>
      <c r="X1817" t="str">
        <f t="shared" si="1158"/>
        <v>Lista 5</v>
      </c>
      <c r="Y1817" t="str">
        <f t="shared" si="1159"/>
        <v>Oferta Gral.</v>
      </c>
      <c r="Z1817" t="str">
        <f t="shared" si="1160"/>
        <v>Rubro</v>
      </c>
      <c r="AA1817" t="str">
        <f t="shared" si="1161"/>
        <v>Cantidad por Bulto</v>
      </c>
      <c r="AB1817" t="str">
        <f t="shared" si="1162"/>
        <v>INNER</v>
      </c>
      <c r="AC1817" t="str">
        <f t="shared" si="1163"/>
        <v>Stock en Bultos</v>
      </c>
      <c r="AD1817" t="str">
        <f t="shared" si="1164"/>
        <v>SubDepósito</v>
      </c>
      <c r="AE1817" t="str">
        <f t="shared" si="1165"/>
        <v>Marca</v>
      </c>
      <c r="AF1817" t="str">
        <f t="shared" si="1166"/>
        <v>Super Rubro</v>
      </c>
      <c r="AG1817" t="str">
        <f t="shared" si="1167"/>
        <v>ComercioExterior</v>
      </c>
      <c r="AH1817" t="str">
        <f t="shared" si="1168"/>
        <v>PrecioFOB</v>
      </c>
      <c r="AI1817" t="str">
        <f t="shared" si="1169"/>
        <v>Monto II</v>
      </c>
      <c r="AJ1817" t="str">
        <f t="shared" si="1170"/>
        <v>Porcentaje II</v>
      </c>
      <c r="AK1817" t="str">
        <f t="shared" si="1171"/>
        <v>Foto</v>
      </c>
      <c r="AL181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7" t="str">
        <f t="shared" si="1177"/>
        <v>-</v>
      </c>
    </row>
    <row r="1818" spans="1:39" x14ac:dyDescent="0.25">
      <c r="A1818" t="str">
        <f>"FI60003"</f>
        <v>FI60003</v>
      </c>
      <c r="B1818" t="str">
        <f>"CUERPO MARIPOSA VW GOL TREND 1.6 2008&gt;                                   ALTERNATIVO"</f>
        <v>CUERPO MARIPOSA VW GOL TREND 1.6 2008&gt;                                   ALTERNATIVO</v>
      </c>
      <c r="C1818" t="str">
        <f>"$ 173240,71"</f>
        <v>$ 173240,71</v>
      </c>
      <c r="D1818" t="str">
        <f>"$ 173240,71"</f>
        <v>$ 173240,71</v>
      </c>
      <c r="E1818" t="str">
        <f>"$ 173240,71"</f>
        <v>$ 173240,71</v>
      </c>
      <c r="F1818" t="str">
        <f>"$ 173240,71"</f>
        <v>$ 173240,71</v>
      </c>
      <c r="G1818" t="str">
        <f>"$ 173240,71"</f>
        <v>$ 173240,71</v>
      </c>
      <c r="H1818" t="str">
        <f t="shared" si="1154"/>
        <v>$ 0,00</v>
      </c>
      <c r="I1818" t="str">
        <f t="shared" si="1150"/>
        <v>CUERPO MARIPOSA</v>
      </c>
      <c r="J1818" t="str">
        <f t="shared" si="1155"/>
        <v>1</v>
      </c>
      <c r="K1818" t="str">
        <f t="shared" si="1146"/>
        <v>0</v>
      </c>
      <c r="L1818" t="str">
        <f>"2,000"</f>
        <v>2,000</v>
      </c>
      <c r="M1818" t="str">
        <f t="shared" si="1156"/>
        <v xml:space="preserve"> </v>
      </c>
      <c r="N1818" t="str">
        <f t="shared" si="1151"/>
        <v>FISPA</v>
      </c>
      <c r="O1818" t="str">
        <f t="shared" si="1152"/>
        <v>CUERPO MARIPOSA</v>
      </c>
      <c r="P1818" t="str">
        <f t="shared" si="1172"/>
        <v>0</v>
      </c>
      <c r="Q1818" t="str">
        <f t="shared" si="1172"/>
        <v>0</v>
      </c>
      <c r="R1818" t="str">
        <f t="shared" si="1173"/>
        <v>0,00</v>
      </c>
      <c r="S1818" t="str">
        <f t="shared" si="1173"/>
        <v>0,00</v>
      </c>
      <c r="T1818" t="str">
        <f t="shared" si="1153"/>
        <v xml:space="preserve"> </v>
      </c>
      <c r="U1818" t="str">
        <f t="shared" si="1174"/>
        <v xml:space="preserve"> </v>
      </c>
      <c r="V1818" t="str">
        <f>"2,000"</f>
        <v>2,000</v>
      </c>
      <c r="W1818" t="str">
        <f t="shared" si="1157"/>
        <v>Lista 4</v>
      </c>
      <c r="X1818" t="str">
        <f t="shared" si="1158"/>
        <v>Lista 5</v>
      </c>
      <c r="Y1818" t="str">
        <f t="shared" si="1159"/>
        <v>Oferta Gral.</v>
      </c>
      <c r="Z1818" t="str">
        <f t="shared" si="1160"/>
        <v>Rubro</v>
      </c>
      <c r="AA1818" t="str">
        <f t="shared" si="1161"/>
        <v>Cantidad por Bulto</v>
      </c>
      <c r="AB1818" t="str">
        <f t="shared" si="1162"/>
        <v>INNER</v>
      </c>
      <c r="AC1818" t="str">
        <f t="shared" si="1163"/>
        <v>Stock en Bultos</v>
      </c>
      <c r="AD1818" t="str">
        <f t="shared" si="1164"/>
        <v>SubDepósito</v>
      </c>
      <c r="AE1818" t="str">
        <f t="shared" si="1165"/>
        <v>Marca</v>
      </c>
      <c r="AF1818" t="str">
        <f t="shared" si="1166"/>
        <v>Super Rubro</v>
      </c>
      <c r="AG1818" t="str">
        <f t="shared" si="1167"/>
        <v>ComercioExterior</v>
      </c>
      <c r="AH1818" t="str">
        <f t="shared" si="1168"/>
        <v>PrecioFOB</v>
      </c>
      <c r="AI1818" t="str">
        <f t="shared" si="1169"/>
        <v>Monto II</v>
      </c>
      <c r="AJ1818" t="str">
        <f t="shared" si="1170"/>
        <v>Porcentaje II</v>
      </c>
      <c r="AK1818" t="str">
        <f t="shared" si="1171"/>
        <v>Foto</v>
      </c>
      <c r="AL181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18" t="str">
        <f t="shared" si="1177"/>
        <v>-</v>
      </c>
    </row>
    <row r="1819" spans="1:39" x14ac:dyDescent="0.25">
      <c r="A1819" t="str">
        <f>"FI60017"</f>
        <v>FI60017</v>
      </c>
      <c r="B1819" t="str">
        <f>"CUERPO MARIPOSA VW GOL/ GOL TREND 1.6 2010 ALTERNATIVO"</f>
        <v>CUERPO MARIPOSA VW GOL/ GOL TREND 1.6 2010 ALTERNATIVO</v>
      </c>
      <c r="C1819" t="str">
        <f>"$ 201567,95"</f>
        <v>$ 201567,95</v>
      </c>
      <c r="D1819" t="str">
        <f>"$ 201567,95"</f>
        <v>$ 201567,95</v>
      </c>
      <c r="E1819" t="str">
        <f>"$ 201567,95"</f>
        <v>$ 201567,95</v>
      </c>
      <c r="F1819" t="str">
        <f>"$ 201567,95"</f>
        <v>$ 201567,95</v>
      </c>
      <c r="G1819" t="str">
        <f>"$ 201567,95"</f>
        <v>$ 201567,95</v>
      </c>
      <c r="H1819" t="str">
        <f t="shared" si="1154"/>
        <v>$ 0,00</v>
      </c>
      <c r="I1819" t="str">
        <f t="shared" si="1150"/>
        <v>CUERPO MARIPOSA</v>
      </c>
      <c r="J1819" t="str">
        <f t="shared" si="1155"/>
        <v>1</v>
      </c>
      <c r="K1819" t="str">
        <f t="shared" si="1146"/>
        <v>0</v>
      </c>
      <c r="L1819" t="str">
        <f>"2,000"</f>
        <v>2,000</v>
      </c>
      <c r="M1819" t="str">
        <f t="shared" si="1156"/>
        <v xml:space="preserve"> </v>
      </c>
      <c r="N1819" t="str">
        <f t="shared" si="1151"/>
        <v>FISPA</v>
      </c>
      <c r="O1819" t="str">
        <f t="shared" si="1152"/>
        <v>CUERPO MARIPOSA</v>
      </c>
      <c r="P1819" t="str">
        <f t="shared" si="1172"/>
        <v>0</v>
      </c>
      <c r="Q1819" t="str">
        <f t="shared" si="1172"/>
        <v>0</v>
      </c>
      <c r="R1819" t="str">
        <f t="shared" si="1173"/>
        <v>0,00</v>
      </c>
      <c r="S1819" t="str">
        <f t="shared" si="1173"/>
        <v>0,00</v>
      </c>
      <c r="T1819" t="str">
        <f t="shared" si="1153"/>
        <v xml:space="preserve"> </v>
      </c>
      <c r="U1819" t="str">
        <f t="shared" si="1174"/>
        <v xml:space="preserve"> </v>
      </c>
      <c r="V1819" t="str">
        <f>"2,000"</f>
        <v>2,000</v>
      </c>
      <c r="W1819" t="str">
        <f t="shared" si="1157"/>
        <v>Lista 4</v>
      </c>
      <c r="X1819" t="str">
        <f t="shared" si="1158"/>
        <v>Lista 5</v>
      </c>
      <c r="Y1819" t="str">
        <f t="shared" si="1159"/>
        <v>Oferta Gral.</v>
      </c>
      <c r="Z1819" t="str">
        <f t="shared" si="1160"/>
        <v>Rubro</v>
      </c>
      <c r="AA1819" t="str">
        <f t="shared" si="1161"/>
        <v>Cantidad por Bulto</v>
      </c>
      <c r="AB1819" t="str">
        <f t="shared" si="1162"/>
        <v>INNER</v>
      </c>
      <c r="AC1819" t="str">
        <f t="shared" si="1163"/>
        <v>Stock en Bultos</v>
      </c>
      <c r="AD1819" t="str">
        <f t="shared" si="1164"/>
        <v>SubDepósito</v>
      </c>
      <c r="AE1819" t="str">
        <f t="shared" si="1165"/>
        <v>Marca</v>
      </c>
      <c r="AF1819" t="str">
        <f t="shared" si="1166"/>
        <v>Super Rubro</v>
      </c>
      <c r="AG1819" t="str">
        <f t="shared" si="1167"/>
        <v>ComercioExterior</v>
      </c>
      <c r="AH1819" t="str">
        <f t="shared" si="1168"/>
        <v>PrecioFOB</v>
      </c>
      <c r="AI1819" t="str">
        <f t="shared" si="1169"/>
        <v>Monto II</v>
      </c>
      <c r="AJ1819" t="str">
        <f t="shared" si="1170"/>
        <v>Porcentaje II</v>
      </c>
      <c r="AK1819" t="str">
        <f t="shared" si="1171"/>
        <v>Foto</v>
      </c>
      <c r="AL181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9" t="str">
        <f t="shared" si="1177"/>
        <v>-</v>
      </c>
    </row>
    <row r="1820" spans="1:39" x14ac:dyDescent="0.25">
      <c r="A1820" t="str">
        <f>"FI60002"</f>
        <v>FI60002</v>
      </c>
      <c r="B1820" t="str">
        <f>"CUERPO MARIPOSA VW GOLF / POLO - VW GOL 1.6V FLEX 2003/…                                     ALTERNATIVO"</f>
        <v>CUERPO MARIPOSA VW GOLF / POLO - VW GOL 1.6V FLEX 2003/…                                     ALTERNATIVO</v>
      </c>
      <c r="C1820" t="str">
        <f>"$ 182893,06"</f>
        <v>$ 182893,06</v>
      </c>
      <c r="D1820" t="str">
        <f>"$ 182893,06"</f>
        <v>$ 182893,06</v>
      </c>
      <c r="E1820" t="str">
        <f>"$ 182893,06"</f>
        <v>$ 182893,06</v>
      </c>
      <c r="F1820" t="str">
        <f>"$ 182893,06"</f>
        <v>$ 182893,06</v>
      </c>
      <c r="G1820" t="str">
        <f>"$ 182893,06"</f>
        <v>$ 182893,06</v>
      </c>
      <c r="H1820" t="str">
        <f t="shared" si="1154"/>
        <v>$ 0,00</v>
      </c>
      <c r="I1820" t="str">
        <f t="shared" si="1150"/>
        <v>CUERPO MARIPOSA</v>
      </c>
      <c r="J1820" t="str">
        <f t="shared" si="1155"/>
        <v>1</v>
      </c>
      <c r="K1820" t="str">
        <f t="shared" si="1146"/>
        <v>0</v>
      </c>
      <c r="L1820" t="str">
        <f>"1,000"</f>
        <v>1,000</v>
      </c>
      <c r="M1820" t="str">
        <f t="shared" si="1156"/>
        <v xml:space="preserve"> </v>
      </c>
      <c r="N1820" t="str">
        <f t="shared" si="1151"/>
        <v>FISPA</v>
      </c>
      <c r="O1820" t="str">
        <f t="shared" si="1152"/>
        <v>CUERPO MARIPOSA</v>
      </c>
      <c r="P1820" t="str">
        <f t="shared" si="1172"/>
        <v>0</v>
      </c>
      <c r="Q1820" t="str">
        <f t="shared" si="1172"/>
        <v>0</v>
      </c>
      <c r="R1820" t="str">
        <f t="shared" si="1173"/>
        <v>0,00</v>
      </c>
      <c r="S1820" t="str">
        <f t="shared" si="1173"/>
        <v>0,00</v>
      </c>
      <c r="T1820" t="str">
        <f t="shared" si="1153"/>
        <v xml:space="preserve"> </v>
      </c>
      <c r="U1820" t="str">
        <f t="shared" si="1174"/>
        <v xml:space="preserve"> </v>
      </c>
      <c r="V1820" t="str">
        <f>"1,000"</f>
        <v>1,000</v>
      </c>
      <c r="W1820" t="str">
        <f t="shared" si="1157"/>
        <v>Lista 4</v>
      </c>
      <c r="X1820" t="str">
        <f t="shared" si="1158"/>
        <v>Lista 5</v>
      </c>
      <c r="Y1820" t="str">
        <f t="shared" si="1159"/>
        <v>Oferta Gral.</v>
      </c>
      <c r="Z1820" t="str">
        <f t="shared" si="1160"/>
        <v>Rubro</v>
      </c>
      <c r="AA1820" t="str">
        <f t="shared" si="1161"/>
        <v>Cantidad por Bulto</v>
      </c>
      <c r="AB1820" t="str">
        <f t="shared" si="1162"/>
        <v>INNER</v>
      </c>
      <c r="AC1820" t="str">
        <f t="shared" si="1163"/>
        <v>Stock en Bultos</v>
      </c>
      <c r="AD1820" t="str">
        <f t="shared" si="1164"/>
        <v>SubDepósito</v>
      </c>
      <c r="AE1820" t="str">
        <f t="shared" si="1165"/>
        <v>Marca</v>
      </c>
      <c r="AF1820" t="str">
        <f t="shared" si="1166"/>
        <v>Super Rubro</v>
      </c>
      <c r="AG1820" t="str">
        <f t="shared" si="1167"/>
        <v>ComercioExterior</v>
      </c>
      <c r="AH1820" t="str">
        <f t="shared" si="1168"/>
        <v>PrecioFOB</v>
      </c>
      <c r="AI1820" t="str">
        <f t="shared" si="1169"/>
        <v>Monto II</v>
      </c>
      <c r="AJ1820" t="str">
        <f t="shared" si="1170"/>
        <v>Porcentaje II</v>
      </c>
      <c r="AK1820" t="str">
        <f t="shared" si="1171"/>
        <v>Foto</v>
      </c>
      <c r="AL182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20" t="str">
        <f t="shared" si="1177"/>
        <v>-</v>
      </c>
    </row>
    <row r="1821" spans="1:39" x14ac:dyDescent="0.25">
      <c r="A1821" t="str">
        <f>"FI60013"</f>
        <v>FI60013</v>
      </c>
      <c r="B1821" t="str">
        <f>"CUERPO MARIPOSA VW GOLF IV 2.0                                                     ALTERNATIVO"</f>
        <v>CUERPO MARIPOSA VW GOLF IV 2.0                                                     ALTERNATIVO</v>
      </c>
      <c r="C1821" t="str">
        <f>"$ 303835,54"</f>
        <v>$ 303835,54</v>
      </c>
      <c r="D1821" t="str">
        <f>"$ 303835,54"</f>
        <v>$ 303835,54</v>
      </c>
      <c r="E1821" t="str">
        <f>"$ 303835,54"</f>
        <v>$ 303835,54</v>
      </c>
      <c r="F1821" t="str">
        <f>"$ 303835,54"</f>
        <v>$ 303835,54</v>
      </c>
      <c r="G1821" t="str">
        <f>"$ 303835,54"</f>
        <v>$ 303835,54</v>
      </c>
      <c r="H1821" t="str">
        <f t="shared" si="1154"/>
        <v>$ 0,00</v>
      </c>
      <c r="I1821" t="str">
        <f t="shared" si="1150"/>
        <v>CUERPO MARIPOSA</v>
      </c>
      <c r="J1821" t="str">
        <f t="shared" si="1155"/>
        <v>1</v>
      </c>
      <c r="K1821" t="str">
        <f t="shared" si="1146"/>
        <v>0</v>
      </c>
      <c r="L1821" t="str">
        <f>"0,000"</f>
        <v>0,000</v>
      </c>
      <c r="M1821" t="str">
        <f t="shared" si="1156"/>
        <v xml:space="preserve"> </v>
      </c>
      <c r="N1821" t="str">
        <f t="shared" si="1151"/>
        <v>FISPA</v>
      </c>
      <c r="O1821" t="str">
        <f t="shared" si="1152"/>
        <v>CUERPO MARIPOSA</v>
      </c>
      <c r="P1821" t="str">
        <f t="shared" si="1172"/>
        <v>0</v>
      </c>
      <c r="Q1821" t="str">
        <f t="shared" si="1172"/>
        <v>0</v>
      </c>
      <c r="R1821" t="str">
        <f t="shared" si="1173"/>
        <v>0,00</v>
      </c>
      <c r="S1821" t="str">
        <f t="shared" si="1173"/>
        <v>0,00</v>
      </c>
      <c r="T1821" t="str">
        <f t="shared" si="1153"/>
        <v xml:space="preserve"> </v>
      </c>
      <c r="U1821" t="str">
        <f t="shared" si="1174"/>
        <v xml:space="preserve"> </v>
      </c>
      <c r="V1821" t="str">
        <f>"0,000"</f>
        <v>0,000</v>
      </c>
      <c r="W1821" t="str">
        <f t="shared" si="1157"/>
        <v>Lista 4</v>
      </c>
      <c r="X1821" t="str">
        <f t="shared" si="1158"/>
        <v>Lista 5</v>
      </c>
      <c r="Y1821" t="str">
        <f t="shared" si="1159"/>
        <v>Oferta Gral.</v>
      </c>
      <c r="Z1821" t="str">
        <f t="shared" si="1160"/>
        <v>Rubro</v>
      </c>
      <c r="AA1821" t="str">
        <f t="shared" si="1161"/>
        <v>Cantidad por Bulto</v>
      </c>
      <c r="AB1821" t="str">
        <f t="shared" si="1162"/>
        <v>INNER</v>
      </c>
      <c r="AC1821" t="str">
        <f t="shared" si="1163"/>
        <v>Stock en Bultos</v>
      </c>
      <c r="AD1821" t="str">
        <f t="shared" si="1164"/>
        <v>SubDepósito</v>
      </c>
      <c r="AE1821" t="str">
        <f t="shared" si="1165"/>
        <v>Marca</v>
      </c>
      <c r="AF1821" t="str">
        <f t="shared" si="1166"/>
        <v>Super Rubro</v>
      </c>
      <c r="AG1821" t="str">
        <f t="shared" si="1167"/>
        <v>ComercioExterior</v>
      </c>
      <c r="AH1821" t="str">
        <f t="shared" si="1168"/>
        <v>PrecioFOB</v>
      </c>
      <c r="AI1821" t="str">
        <f t="shared" si="1169"/>
        <v>Monto II</v>
      </c>
      <c r="AJ1821" t="str">
        <f t="shared" si="1170"/>
        <v>Porcentaje II</v>
      </c>
      <c r="AK1821" t="str">
        <f t="shared" si="1171"/>
        <v>Foto</v>
      </c>
      <c r="AL182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21" t="str">
        <f t="shared" si="1177"/>
        <v>-</v>
      </c>
    </row>
    <row r="1822" spans="1:39" x14ac:dyDescent="0.25">
      <c r="A1822" t="str">
        <f>"OSDH371A"</f>
        <v>OSDH371A</v>
      </c>
      <c r="B1822" t="str">
        <f>"DEPOSITO DIRECCION HIDRAULICA VW AMAROK 2HO-422-371-B"</f>
        <v>DEPOSITO DIRECCION HIDRAULICA VW AMAROK 2HO-422-371-B</v>
      </c>
      <c r="C1822" t="str">
        <f>"$ 63522,08"</f>
        <v>$ 63522,08</v>
      </c>
      <c r="D1822" t="str">
        <f>"$ 63522,08"</f>
        <v>$ 63522,08</v>
      </c>
      <c r="E1822" t="str">
        <f>"$ 63522,08"</f>
        <v>$ 63522,08</v>
      </c>
      <c r="F1822" t="str">
        <f>"$ 63522,08"</f>
        <v>$ 63522,08</v>
      </c>
      <c r="G1822" t="str">
        <f>"$ 63522,08"</f>
        <v>$ 63522,08</v>
      </c>
      <c r="H1822" t="str">
        <f t="shared" si="1154"/>
        <v>$ 0,00</v>
      </c>
      <c r="I1822" t="str">
        <f>"DEPOSITO DIRECCION HIDRAULICA"</f>
        <v>DEPOSITO DIRECCION HIDRAULICA</v>
      </c>
      <c r="J1822" t="str">
        <f t="shared" si="1155"/>
        <v>1</v>
      </c>
      <c r="K1822" t="str">
        <f t="shared" si="1146"/>
        <v>0</v>
      </c>
      <c r="L1822" t="str">
        <f>"0,000"</f>
        <v>0,000</v>
      </c>
      <c r="M1822" t="str">
        <f t="shared" si="1156"/>
        <v xml:space="preserve"> </v>
      </c>
      <c r="N1822" t="str">
        <f>"OSSCA"</f>
        <v>OSSCA</v>
      </c>
      <c r="O1822" t="str">
        <f>"DEPOSITOS DIRECCION"</f>
        <v>DEPOSITOS DIRECCION</v>
      </c>
      <c r="P1822" t="str">
        <f t="shared" si="1172"/>
        <v>0</v>
      </c>
      <c r="Q1822" t="str">
        <f t="shared" si="1172"/>
        <v>0</v>
      </c>
      <c r="R1822" t="str">
        <f t="shared" si="1173"/>
        <v>0,00</v>
      </c>
      <c r="S1822" t="str">
        <f t="shared" si="1173"/>
        <v>0,00</v>
      </c>
      <c r="T1822" t="str">
        <f t="shared" si="1153"/>
        <v xml:space="preserve"> </v>
      </c>
      <c r="U1822" t="str">
        <f t="shared" si="1174"/>
        <v xml:space="preserve"> </v>
      </c>
      <c r="V1822" t="str">
        <f>"0,000"</f>
        <v>0,000</v>
      </c>
      <c r="W1822" t="str">
        <f t="shared" si="1157"/>
        <v>Lista 4</v>
      </c>
      <c r="X1822" t="str">
        <f t="shared" si="1158"/>
        <v>Lista 5</v>
      </c>
      <c r="Y1822" t="str">
        <f t="shared" si="1159"/>
        <v>Oferta Gral.</v>
      </c>
      <c r="Z1822" t="str">
        <f t="shared" si="1160"/>
        <v>Rubro</v>
      </c>
      <c r="AA1822" t="str">
        <f t="shared" si="1161"/>
        <v>Cantidad por Bulto</v>
      </c>
      <c r="AB1822" t="str">
        <f t="shared" si="1162"/>
        <v>INNER</v>
      </c>
      <c r="AC1822" t="str">
        <f t="shared" si="1163"/>
        <v>Stock en Bultos</v>
      </c>
      <c r="AD1822" t="str">
        <f t="shared" si="1164"/>
        <v>SubDepósito</v>
      </c>
      <c r="AE1822" t="str">
        <f t="shared" si="1165"/>
        <v>Marca</v>
      </c>
      <c r="AF1822" t="str">
        <f t="shared" si="1166"/>
        <v>Super Rubro</v>
      </c>
      <c r="AG1822" t="str">
        <f t="shared" si="1167"/>
        <v>ComercioExterior</v>
      </c>
      <c r="AH1822" t="str">
        <f t="shared" si="1168"/>
        <v>PrecioFOB</v>
      </c>
      <c r="AI1822" t="str">
        <f t="shared" si="1169"/>
        <v>Monto II</v>
      </c>
      <c r="AJ1822" t="str">
        <f t="shared" si="1170"/>
        <v>Porcentaje II</v>
      </c>
      <c r="AK1822" t="str">
        <f t="shared" si="1171"/>
        <v>Foto</v>
      </c>
      <c r="AL1822" t="str">
        <f>"{\rtf1\ansi\ansicpg1252\deff0\deflang11274{\fonttbl{\f0\fnil\fcharset0 MS Sans Serif}} \viewkind4\uc1\pard\f0\fs16 DEPOSITO DIRECCION HIDRAULICA VW AMAROK 2HO-422-371-B\par } "</f>
        <v xml:space="preserve">{\rtf1\ansi\ansicpg1252\deff0\deflang11274{\fonttbl{\f0\fnil\fcharset0 MS Sans Serif}} \viewkind4\uc1\pard\f0\fs16 DEPOSITO DIRECCION HIDRAULICA VW AMAROK 2HO-422-371-B\par } </v>
      </c>
      <c r="AM1822" t="str">
        <f t="shared" si="1177"/>
        <v>-</v>
      </c>
    </row>
    <row r="1823" spans="1:39" x14ac:dyDescent="0.25">
      <c r="A1823" t="str">
        <f>"DR977"</f>
        <v>DR977</v>
      </c>
      <c r="B1823" t="str">
        <f>"DEPOSITO RECUPERADOR VW POLO VIRTUS T-CROSS 2Q0-121407-C"</f>
        <v>DEPOSITO RECUPERADOR VW POLO VIRTUS T-CROSS 2Q0-121407-C</v>
      </c>
      <c r="C1823" t="str">
        <f>"$ 44645,89"</f>
        <v>$ 44645,89</v>
      </c>
      <c r="D1823" t="str">
        <f>"$ 44645,89"</f>
        <v>$ 44645,89</v>
      </c>
      <c r="E1823" t="str">
        <f>"$ 44645,89"</f>
        <v>$ 44645,89</v>
      </c>
      <c r="F1823" t="str">
        <f>"$ 44645,89"</f>
        <v>$ 44645,89</v>
      </c>
      <c r="G1823" t="str">
        <f>"$ 44645,89"</f>
        <v>$ 44645,89</v>
      </c>
      <c r="H1823" t="str">
        <f t="shared" si="1154"/>
        <v>$ 0,00</v>
      </c>
      <c r="I1823" t="str">
        <f>"DEPOSITO DE EXPANSION"</f>
        <v>DEPOSITO DE EXPANSION</v>
      </c>
      <c r="J1823" t="str">
        <f t="shared" si="1155"/>
        <v>1</v>
      </c>
      <c r="K1823" t="str">
        <f t="shared" si="1146"/>
        <v>0</v>
      </c>
      <c r="L1823" t="str">
        <f>"23,000"</f>
        <v>23,000</v>
      </c>
      <c r="M1823" t="str">
        <f t="shared" si="1156"/>
        <v xml:space="preserve"> </v>
      </c>
      <c r="N1823" t="str">
        <f>"OSSCA"</f>
        <v>OSSCA</v>
      </c>
      <c r="O1823" t="str">
        <f>"DEPOSITO DE EXPANSION"</f>
        <v>DEPOSITO DE EXPANSION</v>
      </c>
      <c r="P1823" t="str">
        <f t="shared" ref="P1823:Q1842" si="1178">"0"</f>
        <v>0</v>
      </c>
      <c r="Q1823" t="str">
        <f t="shared" si="1178"/>
        <v>0</v>
      </c>
      <c r="R1823" t="str">
        <f t="shared" ref="R1823:S1842" si="1179">"0,00"</f>
        <v>0,00</v>
      </c>
      <c r="S1823" t="str">
        <f t="shared" si="1179"/>
        <v>0,00</v>
      </c>
      <c r="T1823" t="str">
        <f t="shared" si="1153"/>
        <v xml:space="preserve"> </v>
      </c>
      <c r="U1823" t="str">
        <f t="shared" si="1174"/>
        <v xml:space="preserve"> </v>
      </c>
      <c r="V1823" t="str">
        <f>"23,000"</f>
        <v>23,000</v>
      </c>
      <c r="W1823" t="str">
        <f t="shared" si="1157"/>
        <v>Lista 4</v>
      </c>
      <c r="X1823" t="str">
        <f t="shared" si="1158"/>
        <v>Lista 5</v>
      </c>
      <c r="Y1823" t="str">
        <f t="shared" si="1159"/>
        <v>Oferta Gral.</v>
      </c>
      <c r="Z1823" t="str">
        <f t="shared" si="1160"/>
        <v>Rubro</v>
      </c>
      <c r="AA1823" t="str">
        <f t="shared" si="1161"/>
        <v>Cantidad por Bulto</v>
      </c>
      <c r="AB1823" t="str">
        <f t="shared" si="1162"/>
        <v>INNER</v>
      </c>
      <c r="AC1823" t="str">
        <f t="shared" si="1163"/>
        <v>Stock en Bultos</v>
      </c>
      <c r="AD1823" t="str">
        <f t="shared" si="1164"/>
        <v>SubDepósito</v>
      </c>
      <c r="AE1823" t="str">
        <f t="shared" si="1165"/>
        <v>Marca</v>
      </c>
      <c r="AF1823" t="str">
        <f t="shared" si="1166"/>
        <v>Super Rubro</v>
      </c>
      <c r="AG1823" t="str">
        <f t="shared" si="1167"/>
        <v>ComercioExterior</v>
      </c>
      <c r="AH1823" t="str">
        <f t="shared" si="1168"/>
        <v>PrecioFOB</v>
      </c>
      <c r="AI1823" t="str">
        <f t="shared" si="1169"/>
        <v>Monto II</v>
      </c>
      <c r="AJ1823" t="str">
        <f t="shared" si="1170"/>
        <v>Porcentaje II</v>
      </c>
      <c r="AK1823" t="str">
        <f t="shared" si="1171"/>
        <v>Foto</v>
      </c>
      <c r="AL1823" t="str">
        <f>"{\rtf1\ansi\ansicpg1252\deff0\deflang11274{\fonttbl{\f0\fnil\fcharset0 MS Sans Serif}} \viewkind4\uc1\pard\f0\fs16 DEPOSITO RECUPERADOR VW POLO VIRTUS T-CROSS 2Q0-121407-C\par \par } "</f>
        <v xml:space="preserve">{\rtf1\ansi\ansicpg1252\deff0\deflang11274{\fonttbl{\f0\fnil\fcharset0 MS Sans Serif}} \viewkind4\uc1\pard\f0\fs16 DEPOSITO RECUPERADOR VW POLO VIRTUS T-CROSS 2Q0-121407-C\par \par } </v>
      </c>
      <c r="AM1823" t="str">
        <f t="shared" ref="AM1823:AM1830" si="1180">" "</f>
        <v xml:space="preserve"> </v>
      </c>
    </row>
    <row r="1824" spans="1:39" x14ac:dyDescent="0.25">
      <c r="A1824" t="str">
        <f>"KU22"</f>
        <v>KU22</v>
      </c>
      <c r="B1824" t="str">
        <f>"DESTELLADOR UNIVERSAL 12V 2T (RTM22)"</f>
        <v>DESTELLADOR UNIVERSAL 12V 2T (RTM22)</v>
      </c>
      <c r="C1824" t="str">
        <f>"$ 3019,57"</f>
        <v>$ 3019,57</v>
      </c>
      <c r="D1824" t="str">
        <f>"$ 3019,57"</f>
        <v>$ 3019,57</v>
      </c>
      <c r="E1824" t="str">
        <f>"$ 3019,57"</f>
        <v>$ 3019,57</v>
      </c>
      <c r="F1824" t="str">
        <f>"$ 3019,57"</f>
        <v>$ 3019,57</v>
      </c>
      <c r="G1824" t="str">
        <f>"$ 3019,57"</f>
        <v>$ 3019,57</v>
      </c>
      <c r="H1824" t="str">
        <f t="shared" si="1154"/>
        <v>$ 0,00</v>
      </c>
      <c r="I1824" t="str">
        <f t="shared" ref="I1824:I1830" si="1181">"DESTELLADOR"</f>
        <v>DESTELLADOR</v>
      </c>
      <c r="J1824" t="str">
        <f t="shared" si="1155"/>
        <v>1</v>
      </c>
      <c r="K1824" t="str">
        <f t="shared" si="1146"/>
        <v>0</v>
      </c>
      <c r="L1824" t="str">
        <f>"11,000"</f>
        <v>11,000</v>
      </c>
      <c r="M1824" t="str">
        <f t="shared" si="1156"/>
        <v xml:space="preserve"> </v>
      </c>
      <c r="N1824" t="str">
        <f t="shared" ref="N1824:N1830" si="1182">"KUBE"</f>
        <v>KUBE</v>
      </c>
      <c r="O1824" t="str">
        <f t="shared" ref="O1824:O1830" si="1183">"RELAY Y DESTELLADORES"</f>
        <v>RELAY Y DESTELLADORES</v>
      </c>
      <c r="P1824" t="str">
        <f t="shared" si="1178"/>
        <v>0</v>
      </c>
      <c r="Q1824" t="str">
        <f t="shared" si="1178"/>
        <v>0</v>
      </c>
      <c r="R1824" t="str">
        <f t="shared" si="1179"/>
        <v>0,00</v>
      </c>
      <c r="S1824" t="str">
        <f t="shared" si="1179"/>
        <v>0,00</v>
      </c>
      <c r="T1824" t="str">
        <f t="shared" si="1153"/>
        <v xml:space="preserve"> </v>
      </c>
      <c r="U1824" t="str">
        <f t="shared" si="1174"/>
        <v xml:space="preserve"> </v>
      </c>
      <c r="V1824" t="str">
        <f>"11,000"</f>
        <v>11,000</v>
      </c>
      <c r="W1824" t="str">
        <f t="shared" si="1157"/>
        <v>Lista 4</v>
      </c>
      <c r="X1824" t="str">
        <f t="shared" si="1158"/>
        <v>Lista 5</v>
      </c>
      <c r="Y1824" t="str">
        <f t="shared" si="1159"/>
        <v>Oferta Gral.</v>
      </c>
      <c r="Z1824" t="str">
        <f t="shared" si="1160"/>
        <v>Rubro</v>
      </c>
      <c r="AA1824" t="str">
        <f t="shared" si="1161"/>
        <v>Cantidad por Bulto</v>
      </c>
      <c r="AB1824" t="str">
        <f t="shared" si="1162"/>
        <v>INNER</v>
      </c>
      <c r="AC1824" t="str">
        <f t="shared" si="1163"/>
        <v>Stock en Bultos</v>
      </c>
      <c r="AD1824" t="str">
        <f t="shared" si="1164"/>
        <v>SubDepósito</v>
      </c>
      <c r="AE1824" t="str">
        <f t="shared" si="1165"/>
        <v>Marca</v>
      </c>
      <c r="AF1824" t="str">
        <f t="shared" si="1166"/>
        <v>Super Rubro</v>
      </c>
      <c r="AG1824" t="str">
        <f t="shared" si="1167"/>
        <v>ComercioExterior</v>
      </c>
      <c r="AH1824" t="str">
        <f t="shared" si="1168"/>
        <v>PrecioFOB</v>
      </c>
      <c r="AI1824" t="str">
        <f t="shared" si="1169"/>
        <v>Monto II</v>
      </c>
      <c r="AJ1824" t="str">
        <f t="shared" si="1170"/>
        <v>Porcentaje II</v>
      </c>
      <c r="AK1824" t="str">
        <f t="shared" si="1171"/>
        <v>Foto</v>
      </c>
      <c r="AL1824" t="str">
        <f>"{\rtf1\ansi\ansicpg1252\deff0\deflang11274{\fonttbl{\f0\fnil\fcharset0 MS Sans Serif}} \viewkind4\uc1\pard\f0\fs16 DESTELLADOR UNIVERSAL 12V 2T (RTM22)\par } "</f>
        <v xml:space="preserve">{\rtf1\ansi\ansicpg1252\deff0\deflang11274{\fonttbl{\f0\fnil\fcharset0 MS Sans Serif}} \viewkind4\uc1\pard\f0\fs16 DESTELLADOR UNIVERSAL 12V 2T (RTM22)\par } </v>
      </c>
      <c r="AM1824" t="str">
        <f t="shared" si="1180"/>
        <v xml:space="preserve"> </v>
      </c>
    </row>
    <row r="1825" spans="1:39" x14ac:dyDescent="0.25">
      <c r="A1825" t="str">
        <f>"KU23"</f>
        <v>KU23</v>
      </c>
      <c r="B1825" t="str">
        <f>"DESTELLADOR UNIVERSAL 12V 3T (RTM23)"</f>
        <v>DESTELLADOR UNIVERSAL 12V 3T (RTM23)</v>
      </c>
      <c r="C1825" t="str">
        <f>"$ 3114,60"</f>
        <v>$ 3114,60</v>
      </c>
      <c r="D1825" t="str">
        <f>"$ 3114,60"</f>
        <v>$ 3114,60</v>
      </c>
      <c r="E1825" t="str">
        <f>"$ 3114,60"</f>
        <v>$ 3114,60</v>
      </c>
      <c r="F1825" t="str">
        <f>"$ 3114,60"</f>
        <v>$ 3114,60</v>
      </c>
      <c r="G1825" t="str">
        <f>"$ 3114,60"</f>
        <v>$ 3114,60</v>
      </c>
      <c r="H1825" t="str">
        <f t="shared" si="1154"/>
        <v>$ 0,00</v>
      </c>
      <c r="I1825" t="str">
        <f t="shared" si="1181"/>
        <v>DESTELLADOR</v>
      </c>
      <c r="J1825" t="str">
        <f t="shared" si="1155"/>
        <v>1</v>
      </c>
      <c r="K1825" t="str">
        <f t="shared" si="1146"/>
        <v>0</v>
      </c>
      <c r="L1825" t="str">
        <f>"40,000"</f>
        <v>40,000</v>
      </c>
      <c r="M1825" t="str">
        <f t="shared" si="1156"/>
        <v xml:space="preserve"> </v>
      </c>
      <c r="N1825" t="str">
        <f t="shared" si="1182"/>
        <v>KUBE</v>
      </c>
      <c r="O1825" t="str">
        <f t="shared" si="1183"/>
        <v>RELAY Y DESTELLADORES</v>
      </c>
      <c r="P1825" t="str">
        <f t="shared" si="1178"/>
        <v>0</v>
      </c>
      <c r="Q1825" t="str">
        <f t="shared" si="1178"/>
        <v>0</v>
      </c>
      <c r="R1825" t="str">
        <f t="shared" si="1179"/>
        <v>0,00</v>
      </c>
      <c r="S1825" t="str">
        <f t="shared" si="1179"/>
        <v>0,00</v>
      </c>
      <c r="T1825" t="str">
        <f t="shared" si="1153"/>
        <v xml:space="preserve"> </v>
      </c>
      <c r="U1825" t="str">
        <f t="shared" si="1174"/>
        <v xml:space="preserve"> </v>
      </c>
      <c r="V1825" t="str">
        <f>"40,000"</f>
        <v>40,000</v>
      </c>
      <c r="W1825" t="str">
        <f t="shared" si="1157"/>
        <v>Lista 4</v>
      </c>
      <c r="X1825" t="str">
        <f t="shared" si="1158"/>
        <v>Lista 5</v>
      </c>
      <c r="Y1825" t="str">
        <f t="shared" si="1159"/>
        <v>Oferta Gral.</v>
      </c>
      <c r="Z1825" t="str">
        <f t="shared" si="1160"/>
        <v>Rubro</v>
      </c>
      <c r="AA1825" t="str">
        <f t="shared" si="1161"/>
        <v>Cantidad por Bulto</v>
      </c>
      <c r="AB1825" t="str">
        <f t="shared" si="1162"/>
        <v>INNER</v>
      </c>
      <c r="AC1825" t="str">
        <f t="shared" si="1163"/>
        <v>Stock en Bultos</v>
      </c>
      <c r="AD1825" t="str">
        <f t="shared" si="1164"/>
        <v>SubDepósito</v>
      </c>
      <c r="AE1825" t="str">
        <f t="shared" si="1165"/>
        <v>Marca</v>
      </c>
      <c r="AF1825" t="str">
        <f t="shared" si="1166"/>
        <v>Super Rubro</v>
      </c>
      <c r="AG1825" t="str">
        <f t="shared" si="1167"/>
        <v>ComercioExterior</v>
      </c>
      <c r="AH1825" t="str">
        <f t="shared" si="1168"/>
        <v>PrecioFOB</v>
      </c>
      <c r="AI1825" t="str">
        <f t="shared" si="1169"/>
        <v>Monto II</v>
      </c>
      <c r="AJ1825" t="str">
        <f t="shared" si="1170"/>
        <v>Porcentaje II</v>
      </c>
      <c r="AK1825" t="str">
        <f t="shared" si="1171"/>
        <v>Foto</v>
      </c>
      <c r="AL1825" t="str">
        <f>"{\rtf1\ansi\ansicpg1252\deff0\deflang11274{\fonttbl{\f0\fnil\fcharset0 MS Sans Serif}} \viewkind4\uc1\pard\f0\fs16 DESTELLADOR UNIVERSAL 12V 3T (RTM23)\par } "</f>
        <v xml:space="preserve">{\rtf1\ansi\ansicpg1252\deff0\deflang11274{\fonttbl{\f0\fnil\fcharset0 MS Sans Serif}} \viewkind4\uc1\pard\f0\fs16 DESTELLADOR UNIVERSAL 12V 3T (RTM23)\par } </v>
      </c>
      <c r="AM1825" t="str">
        <f t="shared" si="1180"/>
        <v xml:space="preserve"> </v>
      </c>
    </row>
    <row r="1826" spans="1:39" x14ac:dyDescent="0.25">
      <c r="A1826" t="str">
        <f>"KU80"</f>
        <v>KU80</v>
      </c>
      <c r="B1826" t="str">
        <f>"DESTELLADOR UNIVERSAL LINEA NVA CHICO 4T 12V (RTM80)"</f>
        <v>DESTELLADOR UNIVERSAL LINEA NVA CHICO 4T 12V (RTM80)</v>
      </c>
      <c r="C1826" t="str">
        <f>"$ 8224,66"</f>
        <v>$ 8224,66</v>
      </c>
      <c r="D1826" t="str">
        <f>"$ 8224,66"</f>
        <v>$ 8224,66</v>
      </c>
      <c r="E1826" t="str">
        <f>"$ 8224,66"</f>
        <v>$ 8224,66</v>
      </c>
      <c r="F1826" t="str">
        <f>"$ 8224,66"</f>
        <v>$ 8224,66</v>
      </c>
      <c r="G1826" t="str">
        <f>"$ 8224,66"</f>
        <v>$ 8224,66</v>
      </c>
      <c r="H1826" t="str">
        <f t="shared" si="1154"/>
        <v>$ 0,00</v>
      </c>
      <c r="I1826" t="str">
        <f t="shared" si="1181"/>
        <v>DESTELLADOR</v>
      </c>
      <c r="J1826" t="str">
        <f t="shared" si="1155"/>
        <v>1</v>
      </c>
      <c r="K1826" t="str">
        <f t="shared" si="1146"/>
        <v>0</v>
      </c>
      <c r="L1826" t="str">
        <f>"40,000"</f>
        <v>40,000</v>
      </c>
      <c r="M1826" t="str">
        <f t="shared" si="1156"/>
        <v xml:space="preserve"> </v>
      </c>
      <c r="N1826" t="str">
        <f t="shared" si="1182"/>
        <v>KUBE</v>
      </c>
      <c r="O1826" t="str">
        <f t="shared" si="1183"/>
        <v>RELAY Y DESTELLADORES</v>
      </c>
      <c r="P1826" t="str">
        <f t="shared" si="1178"/>
        <v>0</v>
      </c>
      <c r="Q1826" t="str">
        <f t="shared" si="1178"/>
        <v>0</v>
      </c>
      <c r="R1826" t="str">
        <f t="shared" si="1179"/>
        <v>0,00</v>
      </c>
      <c r="S1826" t="str">
        <f t="shared" si="1179"/>
        <v>0,00</v>
      </c>
      <c r="T1826" t="str">
        <f t="shared" si="1153"/>
        <v xml:space="preserve"> </v>
      </c>
      <c r="U1826" t="str">
        <f t="shared" si="1174"/>
        <v xml:space="preserve"> </v>
      </c>
      <c r="V1826" t="str">
        <f>"40,000"</f>
        <v>40,000</v>
      </c>
      <c r="W1826" t="str">
        <f t="shared" si="1157"/>
        <v>Lista 4</v>
      </c>
      <c r="X1826" t="str">
        <f t="shared" si="1158"/>
        <v>Lista 5</v>
      </c>
      <c r="Y1826" t="str">
        <f t="shared" si="1159"/>
        <v>Oferta Gral.</v>
      </c>
      <c r="Z1826" t="str">
        <f t="shared" si="1160"/>
        <v>Rubro</v>
      </c>
      <c r="AA1826" t="str">
        <f t="shared" si="1161"/>
        <v>Cantidad por Bulto</v>
      </c>
      <c r="AB1826" t="str">
        <f t="shared" si="1162"/>
        <v>INNER</v>
      </c>
      <c r="AC1826" t="str">
        <f t="shared" si="1163"/>
        <v>Stock en Bultos</v>
      </c>
      <c r="AD1826" t="str">
        <f t="shared" si="1164"/>
        <v>SubDepósito</v>
      </c>
      <c r="AE1826" t="str">
        <f t="shared" si="1165"/>
        <v>Marca</v>
      </c>
      <c r="AF1826" t="str">
        <f t="shared" si="1166"/>
        <v>Super Rubro</v>
      </c>
      <c r="AG1826" t="str">
        <f t="shared" si="1167"/>
        <v>ComercioExterior</v>
      </c>
      <c r="AH1826" t="str">
        <f t="shared" si="1168"/>
        <v>PrecioFOB</v>
      </c>
      <c r="AI1826" t="str">
        <f t="shared" si="1169"/>
        <v>Monto II</v>
      </c>
      <c r="AJ1826" t="str">
        <f t="shared" si="1170"/>
        <v>Porcentaje II</v>
      </c>
      <c r="AK1826" t="str">
        <f t="shared" si="1171"/>
        <v>Foto</v>
      </c>
      <c r="AL1826" t="str">
        <f>"{\rtf1\ansi\ansicpg1252\deff0\deflang11274{\fonttbl{\f0\fnil\fcharset0 MS Sans Serif}} \viewkind4\uc1\pard\f0\fs16 DESTELLADOR UNIVERSAL LINEA NVA CHICO 4T 12V (RTM80)\par } "</f>
        <v xml:space="preserve">{\rtf1\ansi\ansicpg1252\deff0\deflang11274{\fonttbl{\f0\fnil\fcharset0 MS Sans Serif}} \viewkind4\uc1\pard\f0\fs16 DESTELLADOR UNIVERSAL LINEA NVA CHICO 4T 12V (RTM80)\par } </v>
      </c>
      <c r="AM1826" t="str">
        <f t="shared" si="1180"/>
        <v xml:space="preserve"> </v>
      </c>
    </row>
    <row r="1827" spans="1:39" x14ac:dyDescent="0.25">
      <c r="A1827" t="str">
        <f>"KU84"</f>
        <v>KU84</v>
      </c>
      <c r="B1827" t="str">
        <f>"DESTELLADOR UNIVERSAL LINEA NVA CHICO 4T 24V "</f>
        <v xml:space="preserve">DESTELLADOR UNIVERSAL LINEA NVA CHICO 4T 24V </v>
      </c>
      <c r="C1827" t="str">
        <f>"$ 8932,03"</f>
        <v>$ 8932,03</v>
      </c>
      <c r="D1827" t="str">
        <f>"$ 8932,03"</f>
        <v>$ 8932,03</v>
      </c>
      <c r="E1827" t="str">
        <f>"$ 8932,03"</f>
        <v>$ 8932,03</v>
      </c>
      <c r="F1827" t="str">
        <f>"$ 8932,03"</f>
        <v>$ 8932,03</v>
      </c>
      <c r="G1827" t="str">
        <f>"$ 8932,03"</f>
        <v>$ 8932,03</v>
      </c>
      <c r="H1827" t="str">
        <f t="shared" si="1154"/>
        <v>$ 0,00</v>
      </c>
      <c r="I1827" t="str">
        <f t="shared" si="1181"/>
        <v>DESTELLADOR</v>
      </c>
      <c r="J1827" t="str">
        <f t="shared" si="1155"/>
        <v>1</v>
      </c>
      <c r="K1827" t="str">
        <f t="shared" si="1146"/>
        <v>0</v>
      </c>
      <c r="L1827" t="str">
        <f>"20,000"</f>
        <v>20,000</v>
      </c>
      <c r="M1827" t="str">
        <f t="shared" si="1156"/>
        <v xml:space="preserve"> </v>
      </c>
      <c r="N1827" t="str">
        <f t="shared" si="1182"/>
        <v>KUBE</v>
      </c>
      <c r="O1827" t="str">
        <f t="shared" si="1183"/>
        <v>RELAY Y DESTELLADORES</v>
      </c>
      <c r="P1827" t="str">
        <f t="shared" si="1178"/>
        <v>0</v>
      </c>
      <c r="Q1827" t="str">
        <f t="shared" si="1178"/>
        <v>0</v>
      </c>
      <c r="R1827" t="str">
        <f t="shared" si="1179"/>
        <v>0,00</v>
      </c>
      <c r="S1827" t="str">
        <f t="shared" si="1179"/>
        <v>0,00</v>
      </c>
      <c r="T1827" t="str">
        <f t="shared" si="1153"/>
        <v xml:space="preserve"> </v>
      </c>
      <c r="U1827" t="str">
        <f t="shared" si="1174"/>
        <v xml:space="preserve"> </v>
      </c>
      <c r="V1827" t="str">
        <f>"20,000"</f>
        <v>20,000</v>
      </c>
      <c r="W1827" t="str">
        <f t="shared" si="1157"/>
        <v>Lista 4</v>
      </c>
      <c r="X1827" t="str">
        <f t="shared" si="1158"/>
        <v>Lista 5</v>
      </c>
      <c r="Y1827" t="str">
        <f t="shared" si="1159"/>
        <v>Oferta Gral.</v>
      </c>
      <c r="Z1827" t="str">
        <f t="shared" si="1160"/>
        <v>Rubro</v>
      </c>
      <c r="AA1827" t="str">
        <f t="shared" si="1161"/>
        <v>Cantidad por Bulto</v>
      </c>
      <c r="AB1827" t="str">
        <f t="shared" si="1162"/>
        <v>INNER</v>
      </c>
      <c r="AC1827" t="str">
        <f t="shared" si="1163"/>
        <v>Stock en Bultos</v>
      </c>
      <c r="AD1827" t="str">
        <f t="shared" si="1164"/>
        <v>SubDepósito</v>
      </c>
      <c r="AE1827" t="str">
        <f t="shared" si="1165"/>
        <v>Marca</v>
      </c>
      <c r="AF1827" t="str">
        <f t="shared" si="1166"/>
        <v>Super Rubro</v>
      </c>
      <c r="AG1827" t="str">
        <f t="shared" si="1167"/>
        <v>ComercioExterior</v>
      </c>
      <c r="AH1827" t="str">
        <f t="shared" si="1168"/>
        <v>PrecioFOB</v>
      </c>
      <c r="AI1827" t="str">
        <f t="shared" si="1169"/>
        <v>Monto II</v>
      </c>
      <c r="AJ1827" t="str">
        <f t="shared" si="1170"/>
        <v>Porcentaje II</v>
      </c>
      <c r="AK1827" t="str">
        <f t="shared" si="1171"/>
        <v>Foto</v>
      </c>
      <c r="AL1827" t="str">
        <f>"{\rtf1\ansi\ansicpg1252\deff0\deflang11274{\fonttbl{\f0\fnil\fcharset0 MS Sans Serif}} \viewkind4\uc1\pard\f0\fs16 DESTELLADOR UNIVERSAL LINEA NVA CHICO 4T 24V \par } "</f>
        <v xml:space="preserve">{\rtf1\ansi\ansicpg1252\deff0\deflang11274{\fonttbl{\f0\fnil\fcharset0 MS Sans Serif}} \viewkind4\uc1\pard\f0\fs16 DESTELLADOR UNIVERSAL LINEA NVA CHICO 4T 24V \par } </v>
      </c>
      <c r="AM1827" t="str">
        <f t="shared" si="1180"/>
        <v xml:space="preserve"> </v>
      </c>
    </row>
    <row r="1828" spans="1:39" x14ac:dyDescent="0.25">
      <c r="A1828" t="str">
        <f>"KU83"</f>
        <v>KU83</v>
      </c>
      <c r="B1828" t="str">
        <f>"DESTELLADOR UNIVERSAL LINEA NVA. CHICO 3T 12V. (RTM83)"</f>
        <v>DESTELLADOR UNIVERSAL LINEA NVA. CHICO 3T 12V. (RTM83)</v>
      </c>
      <c r="C1828" t="str">
        <f t="shared" ref="C1828:G1830" si="1184">"$ 8224,66"</f>
        <v>$ 8224,66</v>
      </c>
      <c r="D1828" t="str">
        <f t="shared" si="1184"/>
        <v>$ 8224,66</v>
      </c>
      <c r="E1828" t="str">
        <f t="shared" si="1184"/>
        <v>$ 8224,66</v>
      </c>
      <c r="F1828" t="str">
        <f t="shared" si="1184"/>
        <v>$ 8224,66</v>
      </c>
      <c r="G1828" t="str">
        <f t="shared" si="1184"/>
        <v>$ 8224,66</v>
      </c>
      <c r="H1828" t="str">
        <f t="shared" si="1154"/>
        <v>$ 0,00</v>
      </c>
      <c r="I1828" t="str">
        <f t="shared" si="1181"/>
        <v>DESTELLADOR</v>
      </c>
      <c r="J1828" t="str">
        <f t="shared" si="1155"/>
        <v>1</v>
      </c>
      <c r="K1828" t="str">
        <f t="shared" si="1146"/>
        <v>0</v>
      </c>
      <c r="L1828" t="str">
        <f>"35,000"</f>
        <v>35,000</v>
      </c>
      <c r="M1828" t="str">
        <f t="shared" si="1156"/>
        <v xml:space="preserve"> </v>
      </c>
      <c r="N1828" t="str">
        <f t="shared" si="1182"/>
        <v>KUBE</v>
      </c>
      <c r="O1828" t="str">
        <f t="shared" si="1183"/>
        <v>RELAY Y DESTELLADORES</v>
      </c>
      <c r="P1828" t="str">
        <f t="shared" si="1178"/>
        <v>0</v>
      </c>
      <c r="Q1828" t="str">
        <f t="shared" si="1178"/>
        <v>0</v>
      </c>
      <c r="R1828" t="str">
        <f t="shared" si="1179"/>
        <v>0,00</v>
      </c>
      <c r="S1828" t="str">
        <f t="shared" si="1179"/>
        <v>0,00</v>
      </c>
      <c r="T1828" t="str">
        <f t="shared" si="1153"/>
        <v xml:space="preserve"> </v>
      </c>
      <c r="U1828" t="str">
        <f t="shared" si="1174"/>
        <v xml:space="preserve"> </v>
      </c>
      <c r="V1828" t="str">
        <f>"35,000"</f>
        <v>35,000</v>
      </c>
      <c r="W1828" t="str">
        <f t="shared" si="1157"/>
        <v>Lista 4</v>
      </c>
      <c r="X1828" t="str">
        <f t="shared" si="1158"/>
        <v>Lista 5</v>
      </c>
      <c r="Y1828" t="str">
        <f t="shared" si="1159"/>
        <v>Oferta Gral.</v>
      </c>
      <c r="Z1828" t="str">
        <f t="shared" si="1160"/>
        <v>Rubro</v>
      </c>
      <c r="AA1828" t="str">
        <f t="shared" si="1161"/>
        <v>Cantidad por Bulto</v>
      </c>
      <c r="AB1828" t="str">
        <f t="shared" si="1162"/>
        <v>INNER</v>
      </c>
      <c r="AC1828" t="str">
        <f t="shared" si="1163"/>
        <v>Stock en Bultos</v>
      </c>
      <c r="AD1828" t="str">
        <f t="shared" si="1164"/>
        <v>SubDepósito</v>
      </c>
      <c r="AE1828" t="str">
        <f t="shared" si="1165"/>
        <v>Marca</v>
      </c>
      <c r="AF1828" t="str">
        <f t="shared" si="1166"/>
        <v>Super Rubro</v>
      </c>
      <c r="AG1828" t="str">
        <f t="shared" si="1167"/>
        <v>ComercioExterior</v>
      </c>
      <c r="AH1828" t="str">
        <f t="shared" si="1168"/>
        <v>PrecioFOB</v>
      </c>
      <c r="AI1828" t="str">
        <f t="shared" si="1169"/>
        <v>Monto II</v>
      </c>
      <c r="AJ1828" t="str">
        <f t="shared" si="1170"/>
        <v>Porcentaje II</v>
      </c>
      <c r="AK1828" t="str">
        <f t="shared" si="1171"/>
        <v>Foto</v>
      </c>
      <c r="AL1828" t="str">
        <f>"{\rtf1\ansi\ansicpg1252\deff0\deflang11274{\fonttbl{\f0\fnil\fcharset0 MS Sans Serif}} \viewkind4\uc1\pard\f0\fs16 DESTELLADOR UNIVERSAL LINEA NVA. CHICO 3T 12V. (RTM83)\par } "</f>
        <v xml:space="preserve">{\rtf1\ansi\ansicpg1252\deff0\deflang11274{\fonttbl{\f0\fnil\fcharset0 MS Sans Serif}} \viewkind4\uc1\pard\f0\fs16 DESTELLADOR UNIVERSAL LINEA NVA. CHICO 3T 12V. (RTM83)\par } </v>
      </c>
      <c r="AM1828" t="str">
        <f t="shared" si="1180"/>
        <v xml:space="preserve"> </v>
      </c>
    </row>
    <row r="1829" spans="1:39" x14ac:dyDescent="0.25">
      <c r="A1829" t="str">
        <f>"KU72"</f>
        <v>KU72</v>
      </c>
      <c r="B1829" t="str">
        <f>"DESTELLADOR UNIVERSAL LINEA VIEJA GRANDE (RTM 72)"</f>
        <v>DESTELLADOR UNIVERSAL LINEA VIEJA GRANDE (RTM 72)</v>
      </c>
      <c r="C1829" t="str">
        <f t="shared" si="1184"/>
        <v>$ 8224,66</v>
      </c>
      <c r="D1829" t="str">
        <f t="shared" si="1184"/>
        <v>$ 8224,66</v>
      </c>
      <c r="E1829" t="str">
        <f t="shared" si="1184"/>
        <v>$ 8224,66</v>
      </c>
      <c r="F1829" t="str">
        <f t="shared" si="1184"/>
        <v>$ 8224,66</v>
      </c>
      <c r="G1829" t="str">
        <f t="shared" si="1184"/>
        <v>$ 8224,66</v>
      </c>
      <c r="H1829" t="str">
        <f t="shared" si="1154"/>
        <v>$ 0,00</v>
      </c>
      <c r="I1829" t="str">
        <f t="shared" si="1181"/>
        <v>DESTELLADOR</v>
      </c>
      <c r="J1829" t="str">
        <f t="shared" si="1155"/>
        <v>1</v>
      </c>
      <c r="K1829" t="str">
        <f t="shared" si="1146"/>
        <v>0</v>
      </c>
      <c r="L1829" t="str">
        <f>"40,000"</f>
        <v>40,000</v>
      </c>
      <c r="M1829" t="str">
        <f t="shared" si="1156"/>
        <v xml:space="preserve"> </v>
      </c>
      <c r="N1829" t="str">
        <f t="shared" si="1182"/>
        <v>KUBE</v>
      </c>
      <c r="O1829" t="str">
        <f t="shared" si="1183"/>
        <v>RELAY Y DESTELLADORES</v>
      </c>
      <c r="P1829" t="str">
        <f t="shared" si="1178"/>
        <v>0</v>
      </c>
      <c r="Q1829" t="str">
        <f t="shared" si="1178"/>
        <v>0</v>
      </c>
      <c r="R1829" t="str">
        <f t="shared" si="1179"/>
        <v>0,00</v>
      </c>
      <c r="S1829" t="str">
        <f t="shared" si="1179"/>
        <v>0,00</v>
      </c>
      <c r="T1829" t="str">
        <f t="shared" si="1153"/>
        <v xml:space="preserve"> </v>
      </c>
      <c r="U1829" t="str">
        <f t="shared" si="1174"/>
        <v xml:space="preserve"> </v>
      </c>
      <c r="V1829" t="str">
        <f>"40,000"</f>
        <v>40,000</v>
      </c>
      <c r="W1829" t="str">
        <f t="shared" si="1157"/>
        <v>Lista 4</v>
      </c>
      <c r="X1829" t="str">
        <f t="shared" si="1158"/>
        <v>Lista 5</v>
      </c>
      <c r="Y1829" t="str">
        <f t="shared" si="1159"/>
        <v>Oferta Gral.</v>
      </c>
      <c r="Z1829" t="str">
        <f t="shared" si="1160"/>
        <v>Rubro</v>
      </c>
      <c r="AA1829" t="str">
        <f t="shared" si="1161"/>
        <v>Cantidad por Bulto</v>
      </c>
      <c r="AB1829" t="str">
        <f t="shared" si="1162"/>
        <v>INNER</v>
      </c>
      <c r="AC1829" t="str">
        <f t="shared" si="1163"/>
        <v>Stock en Bultos</v>
      </c>
      <c r="AD1829" t="str">
        <f t="shared" si="1164"/>
        <v>SubDepósito</v>
      </c>
      <c r="AE1829" t="str">
        <f t="shared" si="1165"/>
        <v>Marca</v>
      </c>
      <c r="AF1829" t="str">
        <f t="shared" si="1166"/>
        <v>Super Rubro</v>
      </c>
      <c r="AG1829" t="str">
        <f t="shared" si="1167"/>
        <v>ComercioExterior</v>
      </c>
      <c r="AH1829" t="str">
        <f t="shared" si="1168"/>
        <v>PrecioFOB</v>
      </c>
      <c r="AI1829" t="str">
        <f t="shared" si="1169"/>
        <v>Monto II</v>
      </c>
      <c r="AJ1829" t="str">
        <f t="shared" si="1170"/>
        <v>Porcentaje II</v>
      </c>
      <c r="AK1829" t="str">
        <f t="shared" si="1171"/>
        <v>Foto</v>
      </c>
      <c r="AL1829" t="str">
        <f>"{\rtf1\ansi\ansicpg1252\deff0\deflang11274{\fonttbl{\f0\fnil\fcharset0 MS Sans Serif}} \viewkind4\uc1\pard\f0\fs16 DESTELLADOR UNIVERSAL LINEA VIEJA GRANDE (RTM 72)\par } "</f>
        <v xml:space="preserve">{\rtf1\ansi\ansicpg1252\deff0\deflang11274{\fonttbl{\f0\fnil\fcharset0 MS Sans Serif}} \viewkind4\uc1\pard\f0\fs16 DESTELLADOR UNIVERSAL LINEA VIEJA GRANDE (RTM 72)\par } </v>
      </c>
      <c r="AM1829" t="str">
        <f t="shared" si="1180"/>
        <v xml:space="preserve"> </v>
      </c>
    </row>
    <row r="1830" spans="1:39" x14ac:dyDescent="0.25">
      <c r="A1830" t="str">
        <f>"KU73"</f>
        <v>KU73</v>
      </c>
      <c r="B1830" t="str">
        <f>"DESTELLADOR UNIVERSAL LINEA VIEJA GRANDE 12V 3T (RTM73) "</f>
        <v xml:space="preserve">DESTELLADOR UNIVERSAL LINEA VIEJA GRANDE 12V 3T (RTM73) </v>
      </c>
      <c r="C1830" t="str">
        <f t="shared" si="1184"/>
        <v>$ 8224,66</v>
      </c>
      <c r="D1830" t="str">
        <f t="shared" si="1184"/>
        <v>$ 8224,66</v>
      </c>
      <c r="E1830" t="str">
        <f t="shared" si="1184"/>
        <v>$ 8224,66</v>
      </c>
      <c r="F1830" t="str">
        <f t="shared" si="1184"/>
        <v>$ 8224,66</v>
      </c>
      <c r="G1830" t="str">
        <f t="shared" si="1184"/>
        <v>$ 8224,66</v>
      </c>
      <c r="H1830" t="str">
        <f t="shared" si="1154"/>
        <v>$ 0,00</v>
      </c>
      <c r="I1830" t="str">
        <f t="shared" si="1181"/>
        <v>DESTELLADOR</v>
      </c>
      <c r="J1830" t="str">
        <f t="shared" si="1155"/>
        <v>1</v>
      </c>
      <c r="K1830" t="str">
        <f t="shared" si="1146"/>
        <v>0</v>
      </c>
      <c r="L1830" t="str">
        <f>"36,000"</f>
        <v>36,000</v>
      </c>
      <c r="M1830" t="str">
        <f t="shared" si="1156"/>
        <v xml:space="preserve"> </v>
      </c>
      <c r="N1830" t="str">
        <f t="shared" si="1182"/>
        <v>KUBE</v>
      </c>
      <c r="O1830" t="str">
        <f t="shared" si="1183"/>
        <v>RELAY Y DESTELLADORES</v>
      </c>
      <c r="P1830" t="str">
        <f t="shared" si="1178"/>
        <v>0</v>
      </c>
      <c r="Q1830" t="str">
        <f t="shared" si="1178"/>
        <v>0</v>
      </c>
      <c r="R1830" t="str">
        <f t="shared" si="1179"/>
        <v>0,00</v>
      </c>
      <c r="S1830" t="str">
        <f t="shared" si="1179"/>
        <v>0,00</v>
      </c>
      <c r="T1830" t="str">
        <f t="shared" si="1153"/>
        <v xml:space="preserve"> </v>
      </c>
      <c r="U1830" t="str">
        <f t="shared" si="1174"/>
        <v xml:space="preserve"> </v>
      </c>
      <c r="V1830" t="str">
        <f>"36,000"</f>
        <v>36,000</v>
      </c>
      <c r="W1830" t="str">
        <f t="shared" si="1157"/>
        <v>Lista 4</v>
      </c>
      <c r="X1830" t="str">
        <f t="shared" si="1158"/>
        <v>Lista 5</v>
      </c>
      <c r="Y1830" t="str">
        <f t="shared" si="1159"/>
        <v>Oferta Gral.</v>
      </c>
      <c r="Z1830" t="str">
        <f t="shared" si="1160"/>
        <v>Rubro</v>
      </c>
      <c r="AA1830" t="str">
        <f t="shared" si="1161"/>
        <v>Cantidad por Bulto</v>
      </c>
      <c r="AB1830" t="str">
        <f t="shared" si="1162"/>
        <v>INNER</v>
      </c>
      <c r="AC1830" t="str">
        <f t="shared" si="1163"/>
        <v>Stock en Bultos</v>
      </c>
      <c r="AD1830" t="str">
        <f t="shared" si="1164"/>
        <v>SubDepósito</v>
      </c>
      <c r="AE1830" t="str">
        <f t="shared" si="1165"/>
        <v>Marca</v>
      </c>
      <c r="AF1830" t="str">
        <f t="shared" si="1166"/>
        <v>Super Rubro</v>
      </c>
      <c r="AG1830" t="str">
        <f t="shared" si="1167"/>
        <v>ComercioExterior</v>
      </c>
      <c r="AH1830" t="str">
        <f t="shared" si="1168"/>
        <v>PrecioFOB</v>
      </c>
      <c r="AI1830" t="str">
        <f t="shared" si="1169"/>
        <v>Monto II</v>
      </c>
      <c r="AJ1830" t="str">
        <f t="shared" si="1170"/>
        <v>Porcentaje II</v>
      </c>
      <c r="AK1830" t="str">
        <f t="shared" si="1171"/>
        <v>Foto</v>
      </c>
      <c r="AL1830" t="str">
        <f>"{\rtf1\ansi\ansicpg1252\deff0\deflang11274{\fonttbl{\f0\fnil\fcharset0 MS Sans Serif}} \viewkind4\uc1\pard\f0\fs16 DESTELLADOR UNIVERSAL LINEA VIEJA GRANDE 12V 3T (RTM73) \par } "</f>
        <v xml:space="preserve">{\rtf1\ansi\ansicpg1252\deff0\deflang11274{\fonttbl{\f0\fnil\fcharset0 MS Sans Serif}} \viewkind4\uc1\pard\f0\fs16 DESTELLADOR UNIVERSAL LINEA VIEJA GRANDE 12V 3T (RTM73) \par } </v>
      </c>
      <c r="AM1830" t="str">
        <f t="shared" si="1180"/>
        <v xml:space="preserve"> </v>
      </c>
    </row>
    <row r="1831" spans="1:39" x14ac:dyDescent="0.25">
      <c r="A1831" t="str">
        <f>"VK2290MM"</f>
        <v>VK2290MM</v>
      </c>
      <c r="B1831" t="str">
        <f>"DISTRIBUIDOR ELECTR.  RENAULT TRAFFIC 2000 ELECTRONICO TIPO MAGNETI MARELLI"</f>
        <v>DISTRIBUIDOR ELECTR.  RENAULT TRAFFIC 2000 ELECTRONICO TIPO MAGNETI MARELLI</v>
      </c>
      <c r="C1831" t="str">
        <f>"$ 139196,17"</f>
        <v>$ 139196,17</v>
      </c>
      <c r="D1831" t="str">
        <f>"$ 139196,17"</f>
        <v>$ 139196,17</v>
      </c>
      <c r="E1831" t="str">
        <f>"$ 139196,17"</f>
        <v>$ 139196,17</v>
      </c>
      <c r="F1831" t="str">
        <f>"$ 139196,17"</f>
        <v>$ 139196,17</v>
      </c>
      <c r="G1831" t="str">
        <f>"$ 139196,17"</f>
        <v>$ 139196,17</v>
      </c>
      <c r="H1831" t="str">
        <f t="shared" si="1154"/>
        <v>$ 0,00</v>
      </c>
      <c r="I1831" t="str">
        <f t="shared" ref="I1831:I1850" si="1185">"DISTRIBUIDOR ELECTRÓNICO"</f>
        <v>DISTRIBUIDOR ELECTRÓNICO</v>
      </c>
      <c r="J1831" t="str">
        <f t="shared" si="1155"/>
        <v>1</v>
      </c>
      <c r="K1831" t="str">
        <f t="shared" si="1146"/>
        <v>0</v>
      </c>
      <c r="L1831" t="str">
        <f>"6,000"</f>
        <v>6,000</v>
      </c>
      <c r="M1831" t="str">
        <f t="shared" si="1156"/>
        <v xml:space="preserve"> </v>
      </c>
      <c r="N1831" t="str">
        <f t="shared" ref="N1831:N1843" si="1186">"VERKEHR"</f>
        <v>VERKEHR</v>
      </c>
      <c r="O1831" t="str">
        <f t="shared" ref="O1831:O1852" si="1187">"DISTRIBUIDORES"</f>
        <v>DISTRIBUIDORES</v>
      </c>
      <c r="P1831" t="str">
        <f t="shared" si="1178"/>
        <v>0</v>
      </c>
      <c r="Q1831" t="str">
        <f t="shared" si="1178"/>
        <v>0</v>
      </c>
      <c r="R1831" t="str">
        <f t="shared" si="1179"/>
        <v>0,00</v>
      </c>
      <c r="S1831" t="str">
        <f t="shared" si="1179"/>
        <v>0,00</v>
      </c>
      <c r="T1831" t="str">
        <f t="shared" si="1153"/>
        <v xml:space="preserve"> </v>
      </c>
      <c r="U1831" t="str">
        <f t="shared" si="1174"/>
        <v xml:space="preserve"> </v>
      </c>
      <c r="V1831" t="str">
        <f>"6,000"</f>
        <v>6,000</v>
      </c>
      <c r="W1831" t="str">
        <f t="shared" si="1157"/>
        <v>Lista 4</v>
      </c>
      <c r="X1831" t="str">
        <f t="shared" si="1158"/>
        <v>Lista 5</v>
      </c>
      <c r="Y1831" t="str">
        <f t="shared" si="1159"/>
        <v>Oferta Gral.</v>
      </c>
      <c r="Z1831" t="str">
        <f t="shared" si="1160"/>
        <v>Rubro</v>
      </c>
      <c r="AA1831" t="str">
        <f t="shared" si="1161"/>
        <v>Cantidad por Bulto</v>
      </c>
      <c r="AB1831" t="str">
        <f t="shared" si="1162"/>
        <v>INNER</v>
      </c>
      <c r="AC1831" t="str">
        <f t="shared" si="1163"/>
        <v>Stock en Bultos</v>
      </c>
      <c r="AD1831" t="str">
        <f t="shared" si="1164"/>
        <v>SubDepósito</v>
      </c>
      <c r="AE1831" t="str">
        <f t="shared" si="1165"/>
        <v>Marca</v>
      </c>
      <c r="AF1831" t="str">
        <f t="shared" si="1166"/>
        <v>Super Rubro</v>
      </c>
      <c r="AG1831" t="str">
        <f t="shared" si="1167"/>
        <v>ComercioExterior</v>
      </c>
      <c r="AH1831" t="str">
        <f t="shared" si="1168"/>
        <v>PrecioFOB</v>
      </c>
      <c r="AI1831" t="str">
        <f t="shared" si="1169"/>
        <v>Monto II</v>
      </c>
      <c r="AJ1831" t="str">
        <f t="shared" si="1170"/>
        <v>Porcentaje II</v>
      </c>
      <c r="AK1831" t="str">
        <f t="shared" si="1171"/>
        <v>Foto</v>
      </c>
      <c r="AL1831" t="str">
        <f>"{\rtf1\ansi\ansicpg1252\deff0\deflang11274{\fonttbl{\f0\fnil\fcharset0 MS Sans Serif}} \viewkind4\uc1\pard\f0\fs16 DISTRIBUIDOR ELECTR.  RENAULT TRAFFIC 2000 ELECTRONICO TIPO MAGNETI MARELLI\par } "</f>
        <v xml:space="preserve">{\rtf1\ansi\ansicpg1252\deff0\deflang11274{\fonttbl{\f0\fnil\fcharset0 MS Sans Serif}} \viewkind4\uc1\pard\f0\fs16 DISTRIBUIDOR ELECTR.  RENAULT TRAFFIC 2000 ELECTRONICO TIPO MAGNETI MARELLI\par } </v>
      </c>
      <c r="AM1831" t="str">
        <f t="shared" ref="AM1831:AM1843" si="1188">"-"</f>
        <v>-</v>
      </c>
    </row>
    <row r="1832" spans="1:39" x14ac:dyDescent="0.25">
      <c r="A1832" t="str">
        <f>"VK5052"</f>
        <v>VK5052</v>
      </c>
      <c r="B1832" t="str">
        <f>"DISTRIBUIDOR ELECTR. CHEVROLET 400, PICK-UP 6 CILINDROS ELECTRONICO TIPO INDIEL"</f>
        <v>DISTRIBUIDOR ELECTR. CHEVROLET 400, PICK-UP 6 CILINDROS ELECTRONICO TIPO INDIEL</v>
      </c>
      <c r="C1832" t="str">
        <f>"$ 183740,19"</f>
        <v>$ 183740,19</v>
      </c>
      <c r="D1832" t="str">
        <f>"$ 183740,19"</f>
        <v>$ 183740,19</v>
      </c>
      <c r="E1832" t="str">
        <f>"$ 183740,19"</f>
        <v>$ 183740,19</v>
      </c>
      <c r="F1832" t="str">
        <f>"$ 183740,19"</f>
        <v>$ 183740,19</v>
      </c>
      <c r="G1832" t="str">
        <f>"$ 183740,19"</f>
        <v>$ 183740,19</v>
      </c>
      <c r="H1832" t="str">
        <f t="shared" si="1154"/>
        <v>$ 0,00</v>
      </c>
      <c r="I1832" t="str">
        <f t="shared" si="1185"/>
        <v>DISTRIBUIDOR ELECTRÓNICO</v>
      </c>
      <c r="J1832" t="str">
        <f t="shared" si="1155"/>
        <v>1</v>
      </c>
      <c r="K1832" t="str">
        <f t="shared" si="1146"/>
        <v>0</v>
      </c>
      <c r="L1832" t="str">
        <f>"-3,000"</f>
        <v>-3,000</v>
      </c>
      <c r="M1832" t="str">
        <f t="shared" si="1156"/>
        <v xml:space="preserve"> </v>
      </c>
      <c r="N1832" t="str">
        <f t="shared" si="1186"/>
        <v>VERKEHR</v>
      </c>
      <c r="O1832" t="str">
        <f t="shared" si="1187"/>
        <v>DISTRIBUIDORES</v>
      </c>
      <c r="P1832" t="str">
        <f t="shared" si="1178"/>
        <v>0</v>
      </c>
      <c r="Q1832" t="str">
        <f t="shared" si="1178"/>
        <v>0</v>
      </c>
      <c r="R1832" t="str">
        <f t="shared" si="1179"/>
        <v>0,00</v>
      </c>
      <c r="S1832" t="str">
        <f t="shared" si="1179"/>
        <v>0,00</v>
      </c>
      <c r="T1832" t="str">
        <f t="shared" si="1153"/>
        <v xml:space="preserve"> </v>
      </c>
      <c r="U1832" t="str">
        <f t="shared" si="1174"/>
        <v xml:space="preserve"> </v>
      </c>
      <c r="V1832" t="str">
        <f>"-3,000"</f>
        <v>-3,000</v>
      </c>
      <c r="W1832" t="str">
        <f t="shared" si="1157"/>
        <v>Lista 4</v>
      </c>
      <c r="X1832" t="str">
        <f t="shared" si="1158"/>
        <v>Lista 5</v>
      </c>
      <c r="Y1832" t="str">
        <f t="shared" si="1159"/>
        <v>Oferta Gral.</v>
      </c>
      <c r="Z1832" t="str">
        <f t="shared" si="1160"/>
        <v>Rubro</v>
      </c>
      <c r="AA1832" t="str">
        <f t="shared" si="1161"/>
        <v>Cantidad por Bulto</v>
      </c>
      <c r="AB1832" t="str">
        <f t="shared" si="1162"/>
        <v>INNER</v>
      </c>
      <c r="AC1832" t="str">
        <f t="shared" si="1163"/>
        <v>Stock en Bultos</v>
      </c>
      <c r="AD1832" t="str">
        <f t="shared" si="1164"/>
        <v>SubDepósito</v>
      </c>
      <c r="AE1832" t="str">
        <f t="shared" si="1165"/>
        <v>Marca</v>
      </c>
      <c r="AF1832" t="str">
        <f t="shared" si="1166"/>
        <v>Super Rubro</v>
      </c>
      <c r="AG1832" t="str">
        <f t="shared" si="1167"/>
        <v>ComercioExterior</v>
      </c>
      <c r="AH1832" t="str">
        <f t="shared" si="1168"/>
        <v>PrecioFOB</v>
      </c>
      <c r="AI1832" t="str">
        <f t="shared" si="1169"/>
        <v>Monto II</v>
      </c>
      <c r="AJ1832" t="str">
        <f t="shared" si="1170"/>
        <v>Porcentaje II</v>
      </c>
      <c r="AK1832" t="str">
        <f t="shared" si="1171"/>
        <v>Foto</v>
      </c>
      <c r="AL1832" t="str">
        <f>"{\rtf1\ansi\ansicpg1252\deff0\deflang11274{\fonttbl{\f0\fnil\fcharset0 MS Sans Serif}} \viewkind4\uc1\pard\f0\fs16 DISTRIBUIDOR ELECTR. CHEVROLET 400, PICK-UP 6 CILINDROS ELECTRONICO TIPO INDIEL\par } "</f>
        <v xml:space="preserve">{\rtf1\ansi\ansicpg1252\deff0\deflang11274{\fonttbl{\f0\fnil\fcharset0 MS Sans Serif}} \viewkind4\uc1\pard\f0\fs16 DISTRIBUIDOR ELECTR. CHEVROLET 400, PICK-UP 6 CILINDROS ELECTRONICO TIPO INDIEL\par } </v>
      </c>
      <c r="AM1832" t="str">
        <f t="shared" si="1188"/>
        <v>-</v>
      </c>
    </row>
    <row r="1833" spans="1:39" x14ac:dyDescent="0.25">
      <c r="A1833" t="str">
        <f>"VK2260"</f>
        <v>VK2260</v>
      </c>
      <c r="B1833" t="str">
        <f>"DISTRIBUIDOR ELECTR. FIAT DUNA, UNO, REGATTA ELECTRONICO TIPO INDIEL"</f>
        <v>DISTRIBUIDOR ELECTR. FIAT DUNA, UNO, REGATTA ELECTRONICO TIPO INDIEL</v>
      </c>
      <c r="C1833" t="str">
        <f>"$ 166404,02"</f>
        <v>$ 166404,02</v>
      </c>
      <c r="D1833" t="str">
        <f>"$ 166404,02"</f>
        <v>$ 166404,02</v>
      </c>
      <c r="E1833" t="str">
        <f>"$ 166404,02"</f>
        <v>$ 166404,02</v>
      </c>
      <c r="F1833" t="str">
        <f>"$ 166404,02"</f>
        <v>$ 166404,02</v>
      </c>
      <c r="G1833" t="str">
        <f>"$ 166404,02"</f>
        <v>$ 166404,02</v>
      </c>
      <c r="H1833" t="str">
        <f t="shared" si="1154"/>
        <v>$ 0,00</v>
      </c>
      <c r="I1833" t="str">
        <f t="shared" si="1185"/>
        <v>DISTRIBUIDOR ELECTRÓNICO</v>
      </c>
      <c r="J1833" t="str">
        <f t="shared" si="1155"/>
        <v>1</v>
      </c>
      <c r="K1833" t="str">
        <f t="shared" si="1146"/>
        <v>0</v>
      </c>
      <c r="L1833" t="str">
        <f>"0,000"</f>
        <v>0,000</v>
      </c>
      <c r="M1833" t="str">
        <f t="shared" si="1156"/>
        <v xml:space="preserve"> </v>
      </c>
      <c r="N1833" t="str">
        <f t="shared" si="1186"/>
        <v>VERKEHR</v>
      </c>
      <c r="O1833" t="str">
        <f t="shared" si="1187"/>
        <v>DISTRIBUIDORES</v>
      </c>
      <c r="P1833" t="str">
        <f t="shared" si="1178"/>
        <v>0</v>
      </c>
      <c r="Q1833" t="str">
        <f t="shared" si="1178"/>
        <v>0</v>
      </c>
      <c r="R1833" t="str">
        <f t="shared" si="1179"/>
        <v>0,00</v>
      </c>
      <c r="S1833" t="str">
        <f t="shared" si="1179"/>
        <v>0,00</v>
      </c>
      <c r="T1833" t="str">
        <f t="shared" si="1153"/>
        <v xml:space="preserve"> </v>
      </c>
      <c r="U1833" t="str">
        <f t="shared" si="1174"/>
        <v xml:space="preserve"> </v>
      </c>
      <c r="V1833" t="str">
        <f>"0,000"</f>
        <v>0,000</v>
      </c>
      <c r="W1833" t="str">
        <f t="shared" si="1157"/>
        <v>Lista 4</v>
      </c>
      <c r="X1833" t="str">
        <f t="shared" si="1158"/>
        <v>Lista 5</v>
      </c>
      <c r="Y1833" t="str">
        <f t="shared" si="1159"/>
        <v>Oferta Gral.</v>
      </c>
      <c r="Z1833" t="str">
        <f t="shared" si="1160"/>
        <v>Rubro</v>
      </c>
      <c r="AA1833" t="str">
        <f t="shared" si="1161"/>
        <v>Cantidad por Bulto</v>
      </c>
      <c r="AB1833" t="str">
        <f t="shared" si="1162"/>
        <v>INNER</v>
      </c>
      <c r="AC1833" t="str">
        <f t="shared" si="1163"/>
        <v>Stock en Bultos</v>
      </c>
      <c r="AD1833" t="str">
        <f t="shared" si="1164"/>
        <v>SubDepósito</v>
      </c>
      <c r="AE1833" t="str">
        <f t="shared" si="1165"/>
        <v>Marca</v>
      </c>
      <c r="AF1833" t="str">
        <f t="shared" si="1166"/>
        <v>Super Rubro</v>
      </c>
      <c r="AG1833" t="str">
        <f t="shared" si="1167"/>
        <v>ComercioExterior</v>
      </c>
      <c r="AH1833" t="str">
        <f t="shared" si="1168"/>
        <v>PrecioFOB</v>
      </c>
      <c r="AI1833" t="str">
        <f t="shared" si="1169"/>
        <v>Monto II</v>
      </c>
      <c r="AJ1833" t="str">
        <f t="shared" si="1170"/>
        <v>Porcentaje II</v>
      </c>
      <c r="AK1833" t="str">
        <f t="shared" si="1171"/>
        <v>Foto</v>
      </c>
      <c r="AL1833" t="str">
        <f>"{\rtf1\ansi\ansicpg1252\deff0\deflang11274{\fonttbl{\f0\fnil\fcharset0 MS Sans Serif}} \viewkind4\uc1\pard\f0\fs16 DISTRIBUIDOR ELECTR. FIAT DUNA, UNO, REGATTA ELECTRONICO TIPO INDIEL\par } "</f>
        <v xml:space="preserve">{\rtf1\ansi\ansicpg1252\deff0\deflang11274{\fonttbl{\f0\fnil\fcharset0 MS Sans Serif}} \viewkind4\uc1\pard\f0\fs16 DISTRIBUIDOR ELECTR. FIAT DUNA, UNO, REGATTA ELECTRONICO TIPO INDIEL\par } </v>
      </c>
      <c r="AM1833" t="str">
        <f t="shared" si="1188"/>
        <v>-</v>
      </c>
    </row>
    <row r="1834" spans="1:39" x14ac:dyDescent="0.25">
      <c r="A1834" t="str">
        <f>"VK2260MM"</f>
        <v>VK2260MM</v>
      </c>
      <c r="B1834" t="str">
        <f>"DISTRIBUIDOR ELECTR. FIAT DUNA, UNO, REGATTA ELECTRONICO TIPO MAGNETI MARELLI"</f>
        <v>DISTRIBUIDOR ELECTR. FIAT DUNA, UNO, REGATTA ELECTRONICO TIPO MAGNETI MARELLI</v>
      </c>
      <c r="C1834" t="str">
        <f>"$ 141941,24"</f>
        <v>$ 141941,24</v>
      </c>
      <c r="D1834" t="str">
        <f>"$ 141941,24"</f>
        <v>$ 141941,24</v>
      </c>
      <c r="E1834" t="str">
        <f>"$ 141941,24"</f>
        <v>$ 141941,24</v>
      </c>
      <c r="F1834" t="str">
        <f>"$ 141941,24"</f>
        <v>$ 141941,24</v>
      </c>
      <c r="G1834" t="str">
        <f>"$ 141941,24"</f>
        <v>$ 141941,24</v>
      </c>
      <c r="H1834" t="str">
        <f t="shared" si="1154"/>
        <v>$ 0,00</v>
      </c>
      <c r="I1834" t="str">
        <f t="shared" si="1185"/>
        <v>DISTRIBUIDOR ELECTRÓNICO</v>
      </c>
      <c r="J1834" t="str">
        <f t="shared" si="1155"/>
        <v>1</v>
      </c>
      <c r="K1834" t="str">
        <f t="shared" si="1146"/>
        <v>0</v>
      </c>
      <c r="L1834" t="str">
        <f>"1,000"</f>
        <v>1,000</v>
      </c>
      <c r="M1834" t="str">
        <f t="shared" si="1156"/>
        <v xml:space="preserve"> </v>
      </c>
      <c r="N1834" t="str">
        <f t="shared" si="1186"/>
        <v>VERKEHR</v>
      </c>
      <c r="O1834" t="str">
        <f t="shared" si="1187"/>
        <v>DISTRIBUIDORES</v>
      </c>
      <c r="P1834" t="str">
        <f t="shared" si="1178"/>
        <v>0</v>
      </c>
      <c r="Q1834" t="str">
        <f t="shared" si="1178"/>
        <v>0</v>
      </c>
      <c r="R1834" t="str">
        <f t="shared" si="1179"/>
        <v>0,00</v>
      </c>
      <c r="S1834" t="str">
        <f t="shared" si="1179"/>
        <v>0,00</v>
      </c>
      <c r="T1834" t="str">
        <f t="shared" si="1153"/>
        <v xml:space="preserve"> </v>
      </c>
      <c r="U1834" t="str">
        <f t="shared" si="1174"/>
        <v xml:space="preserve"> </v>
      </c>
      <c r="V1834" t="str">
        <f>"1,000"</f>
        <v>1,000</v>
      </c>
      <c r="W1834" t="str">
        <f t="shared" si="1157"/>
        <v>Lista 4</v>
      </c>
      <c r="X1834" t="str">
        <f t="shared" si="1158"/>
        <v>Lista 5</v>
      </c>
      <c r="Y1834" t="str">
        <f t="shared" si="1159"/>
        <v>Oferta Gral.</v>
      </c>
      <c r="Z1834" t="str">
        <f t="shared" si="1160"/>
        <v>Rubro</v>
      </c>
      <c r="AA1834" t="str">
        <f t="shared" si="1161"/>
        <v>Cantidad por Bulto</v>
      </c>
      <c r="AB1834" t="str">
        <f t="shared" si="1162"/>
        <v>INNER</v>
      </c>
      <c r="AC1834" t="str">
        <f t="shared" si="1163"/>
        <v>Stock en Bultos</v>
      </c>
      <c r="AD1834" t="str">
        <f t="shared" si="1164"/>
        <v>SubDepósito</v>
      </c>
      <c r="AE1834" t="str">
        <f t="shared" si="1165"/>
        <v>Marca</v>
      </c>
      <c r="AF1834" t="str">
        <f t="shared" si="1166"/>
        <v>Super Rubro</v>
      </c>
      <c r="AG1834" t="str">
        <f t="shared" si="1167"/>
        <v>ComercioExterior</v>
      </c>
      <c r="AH1834" t="str">
        <f t="shared" si="1168"/>
        <v>PrecioFOB</v>
      </c>
      <c r="AI1834" t="str">
        <f t="shared" si="1169"/>
        <v>Monto II</v>
      </c>
      <c r="AJ1834" t="str">
        <f t="shared" si="1170"/>
        <v>Porcentaje II</v>
      </c>
      <c r="AK1834" t="str">
        <f t="shared" si="1171"/>
        <v>Foto</v>
      </c>
      <c r="AL1834" t="str">
        <f>"{\rtf1\ansi\ansicpg1252\deff0\deflang11274{\fonttbl{\f0\fnil\fcharset0 MS Sans Serif}} \viewkind4\uc1\pard\f0\fs16 DISTRIBUIDOR ELECTR. FIAT DUNA, UNO, REGATTA ELECTRONICO TIPO MAGNETI MARELLI\par } "</f>
        <v xml:space="preserve">{\rtf1\ansi\ansicpg1252\deff0\deflang11274{\fonttbl{\f0\fnil\fcharset0 MS Sans Serif}} \viewkind4\uc1\pard\f0\fs16 DISTRIBUIDOR ELECTR. FIAT DUNA, UNO, REGATTA ELECTRONICO TIPO MAGNETI MARELLI\par } </v>
      </c>
      <c r="AM1834" t="str">
        <f t="shared" si="1188"/>
        <v>-</v>
      </c>
    </row>
    <row r="1835" spans="1:39" x14ac:dyDescent="0.25">
      <c r="A1835" t="str">
        <f>"VK5047"</f>
        <v>VK5047</v>
      </c>
      <c r="B1835" t="str">
        <f>"DISTRIBUIDOR ELECTR. FORD FALCON, F100 6 CILINDROS ELECTRONICO TIPO INDIEL"</f>
        <v>DISTRIBUIDOR ELECTR. FORD FALCON, F100 6 CILINDROS ELECTRONICO TIPO INDIEL</v>
      </c>
      <c r="C1835" t="str">
        <f>"$ 183740,19"</f>
        <v>$ 183740,19</v>
      </c>
      <c r="D1835" t="str">
        <f>"$ 183740,19"</f>
        <v>$ 183740,19</v>
      </c>
      <c r="E1835" t="str">
        <f>"$ 183740,19"</f>
        <v>$ 183740,19</v>
      </c>
      <c r="F1835" t="str">
        <f>"$ 183740,19"</f>
        <v>$ 183740,19</v>
      </c>
      <c r="G1835" t="str">
        <f>"$ 183740,19"</f>
        <v>$ 183740,19</v>
      </c>
      <c r="H1835" t="str">
        <f t="shared" si="1154"/>
        <v>$ 0,00</v>
      </c>
      <c r="I1835" t="str">
        <f t="shared" si="1185"/>
        <v>DISTRIBUIDOR ELECTRÓNICO</v>
      </c>
      <c r="J1835" t="str">
        <f t="shared" si="1155"/>
        <v>1</v>
      </c>
      <c r="K1835" t="str">
        <f t="shared" si="1146"/>
        <v>0</v>
      </c>
      <c r="L1835" t="str">
        <f>"5,000"</f>
        <v>5,000</v>
      </c>
      <c r="M1835" t="str">
        <f t="shared" si="1156"/>
        <v xml:space="preserve"> </v>
      </c>
      <c r="N1835" t="str">
        <f t="shared" si="1186"/>
        <v>VERKEHR</v>
      </c>
      <c r="O1835" t="str">
        <f t="shared" si="1187"/>
        <v>DISTRIBUIDORES</v>
      </c>
      <c r="P1835" t="str">
        <f t="shared" si="1178"/>
        <v>0</v>
      </c>
      <c r="Q1835" t="str">
        <f t="shared" si="1178"/>
        <v>0</v>
      </c>
      <c r="R1835" t="str">
        <f t="shared" si="1179"/>
        <v>0,00</v>
      </c>
      <c r="S1835" t="str">
        <f t="shared" si="1179"/>
        <v>0,00</v>
      </c>
      <c r="T1835" t="str">
        <f t="shared" si="1153"/>
        <v xml:space="preserve"> </v>
      </c>
      <c r="U1835" t="str">
        <f t="shared" si="1174"/>
        <v xml:space="preserve"> </v>
      </c>
      <c r="V1835" t="str">
        <f>"5,000"</f>
        <v>5,000</v>
      </c>
      <c r="W1835" t="str">
        <f t="shared" si="1157"/>
        <v>Lista 4</v>
      </c>
      <c r="X1835" t="str">
        <f t="shared" si="1158"/>
        <v>Lista 5</v>
      </c>
      <c r="Y1835" t="str">
        <f t="shared" si="1159"/>
        <v>Oferta Gral.</v>
      </c>
      <c r="Z1835" t="str">
        <f t="shared" si="1160"/>
        <v>Rubro</v>
      </c>
      <c r="AA1835" t="str">
        <f t="shared" si="1161"/>
        <v>Cantidad por Bulto</v>
      </c>
      <c r="AB1835" t="str">
        <f t="shared" si="1162"/>
        <v>INNER</v>
      </c>
      <c r="AC1835" t="str">
        <f t="shared" si="1163"/>
        <v>Stock en Bultos</v>
      </c>
      <c r="AD1835" t="str">
        <f t="shared" si="1164"/>
        <v>SubDepósito</v>
      </c>
      <c r="AE1835" t="str">
        <f t="shared" si="1165"/>
        <v>Marca</v>
      </c>
      <c r="AF1835" t="str">
        <f t="shared" si="1166"/>
        <v>Super Rubro</v>
      </c>
      <c r="AG1835" t="str">
        <f t="shared" si="1167"/>
        <v>ComercioExterior</v>
      </c>
      <c r="AH1835" t="str">
        <f t="shared" si="1168"/>
        <v>PrecioFOB</v>
      </c>
      <c r="AI1835" t="str">
        <f t="shared" si="1169"/>
        <v>Monto II</v>
      </c>
      <c r="AJ1835" t="str">
        <f t="shared" si="1170"/>
        <v>Porcentaje II</v>
      </c>
      <c r="AK1835" t="str">
        <f t="shared" si="1171"/>
        <v>Foto</v>
      </c>
      <c r="AL1835" t="str">
        <f>"{\rtf1\ansi\ansicpg1252\deff0\deflang11274{\fonttbl{\f0\fnil\fcharset0 MS Sans Serif}} \viewkind4\uc1\pard\f0\fs16 DISTRIBUIDOR ELECTR. FORD FALCON, F100 6 CILINDROS ELECTRONICO TIPO INDIEL\par } "</f>
        <v xml:space="preserve">{\rtf1\ansi\ansicpg1252\deff0\deflang11274{\fonttbl{\f0\fnil\fcharset0 MS Sans Serif}} \viewkind4\uc1\pard\f0\fs16 DISTRIBUIDOR ELECTR. FORD FALCON, F100 6 CILINDROS ELECTRONICO TIPO INDIEL\par } </v>
      </c>
      <c r="AM1835" t="str">
        <f t="shared" si="1188"/>
        <v>-</v>
      </c>
    </row>
    <row r="1836" spans="1:39" x14ac:dyDescent="0.25">
      <c r="A1836" t="str">
        <f>"VK4123C"</f>
        <v>VK4123C</v>
      </c>
      <c r="B1836" t="str">
        <f>"DISTRIBUIDOR ELECTR. GOL/POINTER - ORION/GALAXY MOT. AUDI - CARB. - S/AVANCE - ENGR. CHICO"</f>
        <v>DISTRIBUIDOR ELECTR. GOL/POINTER - ORION/GALAXY MOT. AUDI - CARB. - S/AVANCE - ENGR. CHICO</v>
      </c>
      <c r="C1836" t="str">
        <f>"$ 83661,29"</f>
        <v>$ 83661,29</v>
      </c>
      <c r="D1836" t="str">
        <f>"$ 83661,29"</f>
        <v>$ 83661,29</v>
      </c>
      <c r="E1836" t="str">
        <f>"$ 83661,29"</f>
        <v>$ 83661,29</v>
      </c>
      <c r="F1836" t="str">
        <f>"$ 83661,29"</f>
        <v>$ 83661,29</v>
      </c>
      <c r="G1836" t="str">
        <f>"$ 83661,29"</f>
        <v>$ 83661,29</v>
      </c>
      <c r="H1836" t="str">
        <f t="shared" si="1154"/>
        <v>$ 0,00</v>
      </c>
      <c r="I1836" t="str">
        <f t="shared" si="1185"/>
        <v>DISTRIBUIDOR ELECTRÓNICO</v>
      </c>
      <c r="J1836" t="str">
        <f t="shared" si="1155"/>
        <v>1</v>
      </c>
      <c r="K1836" t="str">
        <f t="shared" si="1146"/>
        <v>0</v>
      </c>
      <c r="L1836" t="str">
        <f>"-4,000"</f>
        <v>-4,000</v>
      </c>
      <c r="M1836" t="str">
        <f t="shared" si="1156"/>
        <v xml:space="preserve"> </v>
      </c>
      <c r="N1836" t="str">
        <f t="shared" si="1186"/>
        <v>VERKEHR</v>
      </c>
      <c r="O1836" t="str">
        <f t="shared" si="1187"/>
        <v>DISTRIBUIDORES</v>
      </c>
      <c r="P1836" t="str">
        <f t="shared" si="1178"/>
        <v>0</v>
      </c>
      <c r="Q1836" t="str">
        <f t="shared" si="1178"/>
        <v>0</v>
      </c>
      <c r="R1836" t="str">
        <f t="shared" si="1179"/>
        <v>0,00</v>
      </c>
      <c r="S1836" t="str">
        <f t="shared" si="1179"/>
        <v>0,00</v>
      </c>
      <c r="T1836" t="str">
        <f t="shared" si="1153"/>
        <v xml:space="preserve"> </v>
      </c>
      <c r="U1836" t="str">
        <f t="shared" si="1174"/>
        <v xml:space="preserve"> </v>
      </c>
      <c r="V1836" t="str">
        <f>"-4,000"</f>
        <v>-4,000</v>
      </c>
      <c r="W1836" t="str">
        <f t="shared" si="1157"/>
        <v>Lista 4</v>
      </c>
      <c r="X1836" t="str">
        <f t="shared" si="1158"/>
        <v>Lista 5</v>
      </c>
      <c r="Y1836" t="str">
        <f t="shared" si="1159"/>
        <v>Oferta Gral.</v>
      </c>
      <c r="Z1836" t="str">
        <f t="shared" si="1160"/>
        <v>Rubro</v>
      </c>
      <c r="AA1836" t="str">
        <f t="shared" si="1161"/>
        <v>Cantidad por Bulto</v>
      </c>
      <c r="AB1836" t="str">
        <f t="shared" si="1162"/>
        <v>INNER</v>
      </c>
      <c r="AC1836" t="str">
        <f t="shared" si="1163"/>
        <v>Stock en Bultos</v>
      </c>
      <c r="AD1836" t="str">
        <f t="shared" si="1164"/>
        <v>SubDepósito</v>
      </c>
      <c r="AE1836" t="str">
        <f t="shared" si="1165"/>
        <v>Marca</v>
      </c>
      <c r="AF1836" t="str">
        <f t="shared" si="1166"/>
        <v>Super Rubro</v>
      </c>
      <c r="AG1836" t="str">
        <f t="shared" si="1167"/>
        <v>ComercioExterior</v>
      </c>
      <c r="AH1836" t="str">
        <f t="shared" si="1168"/>
        <v>PrecioFOB</v>
      </c>
      <c r="AI1836" t="str">
        <f t="shared" si="1169"/>
        <v>Monto II</v>
      </c>
      <c r="AJ1836" t="str">
        <f t="shared" si="1170"/>
        <v>Porcentaje II</v>
      </c>
      <c r="AK1836" t="str">
        <f t="shared" si="1171"/>
        <v>Foto</v>
      </c>
      <c r="AL1836" t="str">
        <f>"{\rtf1\ansi\ansicpg1252\deff0\deflang11274{\fonttbl{\f0\fnil\fcharset0 MS Sans Serif}} \viewkind4\uc1\pard\f0\fs16 DISTRIBUIDOR ELECTR. GOL/POINTER - ORION/GALAXY MOT. AUDI - CARB. - S/AVANCE - ENGR. CHICO\par } "</f>
        <v xml:space="preserve">{\rtf1\ansi\ansicpg1252\deff0\deflang11274{\fonttbl{\f0\fnil\fcharset0 MS Sans Serif}} \viewkind4\uc1\pard\f0\fs16 DISTRIBUIDOR ELECTR. GOL/POINTER - ORION/GALAXY MOT. AUDI - CARB. - S/AVANCE - ENGR. CHICO\par } </v>
      </c>
      <c r="AM1836" t="str">
        <f t="shared" si="1188"/>
        <v>-</v>
      </c>
    </row>
    <row r="1837" spans="1:39" x14ac:dyDescent="0.25">
      <c r="A1837" t="str">
        <f>"VK4124C"</f>
        <v>VK4124C</v>
      </c>
      <c r="B1837" t="str">
        <f>"DISTRIBUIDOR ELECTR. GOL/POINTER - ORION/GALAXY MOTOR AUDI - INY. - S/AVANCE - ENGR. CHICO"</f>
        <v>DISTRIBUIDOR ELECTR. GOL/POINTER - ORION/GALAXY MOTOR AUDI - INY. - S/AVANCE - ENGR. CHICO</v>
      </c>
      <c r="C1837" t="str">
        <f>"$ 84505,93"</f>
        <v>$ 84505,93</v>
      </c>
      <c r="D1837" t="str">
        <f>"$ 84505,93"</f>
        <v>$ 84505,93</v>
      </c>
      <c r="E1837" t="str">
        <f>"$ 84505,93"</f>
        <v>$ 84505,93</v>
      </c>
      <c r="F1837" t="str">
        <f>"$ 84505,93"</f>
        <v>$ 84505,93</v>
      </c>
      <c r="G1837" t="str">
        <f>"$ 84505,93"</f>
        <v>$ 84505,93</v>
      </c>
      <c r="H1837" t="str">
        <f t="shared" si="1154"/>
        <v>$ 0,00</v>
      </c>
      <c r="I1837" t="str">
        <f t="shared" si="1185"/>
        <v>DISTRIBUIDOR ELECTRÓNICO</v>
      </c>
      <c r="J1837" t="str">
        <f t="shared" si="1155"/>
        <v>1</v>
      </c>
      <c r="K1837" t="str">
        <f t="shared" si="1146"/>
        <v>0</v>
      </c>
      <c r="L1837" t="str">
        <f>"5,000"</f>
        <v>5,000</v>
      </c>
      <c r="M1837" t="str">
        <f t="shared" si="1156"/>
        <v xml:space="preserve"> </v>
      </c>
      <c r="N1837" t="str">
        <f t="shared" si="1186"/>
        <v>VERKEHR</v>
      </c>
      <c r="O1837" t="str">
        <f t="shared" si="1187"/>
        <v>DISTRIBUIDORES</v>
      </c>
      <c r="P1837" t="str">
        <f t="shared" si="1178"/>
        <v>0</v>
      </c>
      <c r="Q1837" t="str">
        <f t="shared" si="1178"/>
        <v>0</v>
      </c>
      <c r="R1837" t="str">
        <f t="shared" si="1179"/>
        <v>0,00</v>
      </c>
      <c r="S1837" t="str">
        <f t="shared" si="1179"/>
        <v>0,00</v>
      </c>
      <c r="T1837" t="str">
        <f t="shared" si="1153"/>
        <v xml:space="preserve"> </v>
      </c>
      <c r="U1837" t="str">
        <f t="shared" si="1174"/>
        <v xml:space="preserve"> </v>
      </c>
      <c r="V1837" t="str">
        <f>"5,000"</f>
        <v>5,000</v>
      </c>
      <c r="W1837" t="str">
        <f t="shared" si="1157"/>
        <v>Lista 4</v>
      </c>
      <c r="X1837" t="str">
        <f t="shared" si="1158"/>
        <v>Lista 5</v>
      </c>
      <c r="Y1837" t="str">
        <f t="shared" si="1159"/>
        <v>Oferta Gral.</v>
      </c>
      <c r="Z1837" t="str">
        <f t="shared" si="1160"/>
        <v>Rubro</v>
      </c>
      <c r="AA1837" t="str">
        <f t="shared" si="1161"/>
        <v>Cantidad por Bulto</v>
      </c>
      <c r="AB1837" t="str">
        <f t="shared" si="1162"/>
        <v>INNER</v>
      </c>
      <c r="AC1837" t="str">
        <f t="shared" si="1163"/>
        <v>Stock en Bultos</v>
      </c>
      <c r="AD1837" t="str">
        <f t="shared" si="1164"/>
        <v>SubDepósito</v>
      </c>
      <c r="AE1837" t="str">
        <f t="shared" si="1165"/>
        <v>Marca</v>
      </c>
      <c r="AF1837" t="str">
        <f t="shared" si="1166"/>
        <v>Super Rubro</v>
      </c>
      <c r="AG1837" t="str">
        <f t="shared" si="1167"/>
        <v>ComercioExterior</v>
      </c>
      <c r="AH1837" t="str">
        <f t="shared" si="1168"/>
        <v>PrecioFOB</v>
      </c>
      <c r="AI1837" t="str">
        <f t="shared" si="1169"/>
        <v>Monto II</v>
      </c>
      <c r="AJ1837" t="str">
        <f t="shared" si="1170"/>
        <v>Porcentaje II</v>
      </c>
      <c r="AK1837" t="str">
        <f t="shared" si="1171"/>
        <v>Foto</v>
      </c>
      <c r="AL1837" t="str">
        <f>"{\rtf1\ansi\ansicpg1252\deff0\deflang11274{\fonttbl{\f0\fnil\fcharset0 MS Sans Serif}} \viewkind4\uc1\pard\f0\fs16 DISTRIBUIDOR ELECTR. GOL/POINTER - ORION/GALAXY MOTOR AUDI - INY. - S/AVANCE - ENGR. CHICO\par } "</f>
        <v xml:space="preserve">{\rtf1\ansi\ansicpg1252\deff0\deflang11274{\fonttbl{\f0\fnil\fcharset0 MS Sans Serif}} \viewkind4\uc1\pard\f0\fs16 DISTRIBUIDOR ELECTR. GOL/POINTER - ORION/GALAXY MOTOR AUDI - INY. - S/AVANCE - ENGR. CHICO\par } </v>
      </c>
      <c r="AM1837" t="str">
        <f t="shared" si="1188"/>
        <v>-</v>
      </c>
    </row>
    <row r="1838" spans="1:39" x14ac:dyDescent="0.25">
      <c r="A1838" t="str">
        <f>"VK405"</f>
        <v>VK405</v>
      </c>
      <c r="B1838" t="str">
        <f>"DISTRIBUIDOR ELECTR. PEUGEOT 405 DUCELLIER"</f>
        <v>DISTRIBUIDOR ELECTR. PEUGEOT 405 DUCELLIER</v>
      </c>
      <c r="C1838" t="str">
        <f t="shared" ref="C1838:G1839" si="1189">"$ 139196,17"</f>
        <v>$ 139196,17</v>
      </c>
      <c r="D1838" t="str">
        <f t="shared" si="1189"/>
        <v>$ 139196,17</v>
      </c>
      <c r="E1838" t="str">
        <f t="shared" si="1189"/>
        <v>$ 139196,17</v>
      </c>
      <c r="F1838" t="str">
        <f t="shared" si="1189"/>
        <v>$ 139196,17</v>
      </c>
      <c r="G1838" t="str">
        <f t="shared" si="1189"/>
        <v>$ 139196,17</v>
      </c>
      <c r="H1838" t="str">
        <f t="shared" si="1154"/>
        <v>$ 0,00</v>
      </c>
      <c r="I1838" t="str">
        <f t="shared" si="1185"/>
        <v>DISTRIBUIDOR ELECTRÓNICO</v>
      </c>
      <c r="J1838" t="str">
        <f t="shared" si="1155"/>
        <v>1</v>
      </c>
      <c r="K1838" t="str">
        <f t="shared" si="1146"/>
        <v>0</v>
      </c>
      <c r="L1838" t="str">
        <f>"0,000"</f>
        <v>0,000</v>
      </c>
      <c r="M1838" t="str">
        <f t="shared" si="1156"/>
        <v xml:space="preserve"> </v>
      </c>
      <c r="N1838" t="str">
        <f t="shared" si="1186"/>
        <v>VERKEHR</v>
      </c>
      <c r="O1838" t="str">
        <f t="shared" si="1187"/>
        <v>DISTRIBUIDORES</v>
      </c>
      <c r="P1838" t="str">
        <f t="shared" si="1178"/>
        <v>0</v>
      </c>
      <c r="Q1838" t="str">
        <f t="shared" si="1178"/>
        <v>0</v>
      </c>
      <c r="R1838" t="str">
        <f t="shared" si="1179"/>
        <v>0,00</v>
      </c>
      <c r="S1838" t="str">
        <f t="shared" si="1179"/>
        <v>0,00</v>
      </c>
      <c r="T1838" t="str">
        <f t="shared" si="1153"/>
        <v xml:space="preserve"> </v>
      </c>
      <c r="U1838" t="str">
        <f t="shared" si="1174"/>
        <v xml:space="preserve"> </v>
      </c>
      <c r="V1838" t="str">
        <f>"0,000"</f>
        <v>0,000</v>
      </c>
      <c r="W1838" t="str">
        <f t="shared" si="1157"/>
        <v>Lista 4</v>
      </c>
      <c r="X1838" t="str">
        <f t="shared" si="1158"/>
        <v>Lista 5</v>
      </c>
      <c r="Y1838" t="str">
        <f t="shared" si="1159"/>
        <v>Oferta Gral.</v>
      </c>
      <c r="Z1838" t="str">
        <f t="shared" si="1160"/>
        <v>Rubro</v>
      </c>
      <c r="AA1838" t="str">
        <f t="shared" si="1161"/>
        <v>Cantidad por Bulto</v>
      </c>
      <c r="AB1838" t="str">
        <f t="shared" si="1162"/>
        <v>INNER</v>
      </c>
      <c r="AC1838" t="str">
        <f t="shared" si="1163"/>
        <v>Stock en Bultos</v>
      </c>
      <c r="AD1838" t="str">
        <f t="shared" si="1164"/>
        <v>SubDepósito</v>
      </c>
      <c r="AE1838" t="str">
        <f t="shared" si="1165"/>
        <v>Marca</v>
      </c>
      <c r="AF1838" t="str">
        <f t="shared" si="1166"/>
        <v>Super Rubro</v>
      </c>
      <c r="AG1838" t="str">
        <f t="shared" si="1167"/>
        <v>ComercioExterior</v>
      </c>
      <c r="AH1838" t="str">
        <f t="shared" si="1168"/>
        <v>PrecioFOB</v>
      </c>
      <c r="AI1838" t="str">
        <f t="shared" si="1169"/>
        <v>Monto II</v>
      </c>
      <c r="AJ1838" t="str">
        <f t="shared" si="1170"/>
        <v>Porcentaje II</v>
      </c>
      <c r="AK1838" t="str">
        <f t="shared" si="1171"/>
        <v>Foto</v>
      </c>
      <c r="AL1838" t="str">
        <f>"{\rtf1\ansi\ansicpg1252\deff0\deflang11274{\fonttbl{\f0\fnil\fcharset0 MS Sans Serif}} \viewkind4\uc1\pard\f0\fs16 DISTRIBUIDOR ELECTR. PEUGEOT 405 DUCELLIER\par } "</f>
        <v xml:space="preserve">{\rtf1\ansi\ansicpg1252\deff0\deflang11274{\fonttbl{\f0\fnil\fcharset0 MS Sans Serif}} \viewkind4\uc1\pard\f0\fs16 DISTRIBUIDOR ELECTR. PEUGEOT 405 DUCELLIER\par } </v>
      </c>
      <c r="AM1838" t="str">
        <f t="shared" si="1188"/>
        <v>-</v>
      </c>
    </row>
    <row r="1839" spans="1:39" x14ac:dyDescent="0.25">
      <c r="A1839" t="str">
        <f>"VK2190"</f>
        <v>VK2190</v>
      </c>
      <c r="B1839" t="str">
        <f>"DISTRIBUIDOR ELECTR. PEUGEOT 504, 505  EJE CORTO ELECTRONICO TIPO INDIEL"</f>
        <v>DISTRIBUIDOR ELECTR. PEUGEOT 504, 505  EJE CORTO ELECTRONICO TIPO INDIEL</v>
      </c>
      <c r="C1839" t="str">
        <f t="shared" si="1189"/>
        <v>$ 139196,17</v>
      </c>
      <c r="D1839" t="str">
        <f t="shared" si="1189"/>
        <v>$ 139196,17</v>
      </c>
      <c r="E1839" t="str">
        <f t="shared" si="1189"/>
        <v>$ 139196,17</v>
      </c>
      <c r="F1839" t="str">
        <f t="shared" si="1189"/>
        <v>$ 139196,17</v>
      </c>
      <c r="G1839" t="str">
        <f t="shared" si="1189"/>
        <v>$ 139196,17</v>
      </c>
      <c r="H1839" t="str">
        <f t="shared" si="1154"/>
        <v>$ 0,00</v>
      </c>
      <c r="I1839" t="str">
        <f t="shared" si="1185"/>
        <v>DISTRIBUIDOR ELECTRÓNICO</v>
      </c>
      <c r="J1839" t="str">
        <f t="shared" si="1155"/>
        <v>1</v>
      </c>
      <c r="K1839" t="str">
        <f t="shared" si="1146"/>
        <v>0</v>
      </c>
      <c r="L1839" t="str">
        <f>"0,000"</f>
        <v>0,000</v>
      </c>
      <c r="M1839" t="str">
        <f t="shared" si="1156"/>
        <v xml:space="preserve"> </v>
      </c>
      <c r="N1839" t="str">
        <f t="shared" si="1186"/>
        <v>VERKEHR</v>
      </c>
      <c r="O1839" t="str">
        <f t="shared" si="1187"/>
        <v>DISTRIBUIDORES</v>
      </c>
      <c r="P1839" t="str">
        <f t="shared" si="1178"/>
        <v>0</v>
      </c>
      <c r="Q1839" t="str">
        <f t="shared" si="1178"/>
        <v>0</v>
      </c>
      <c r="R1839" t="str">
        <f t="shared" si="1179"/>
        <v>0,00</v>
      </c>
      <c r="S1839" t="str">
        <f t="shared" si="1179"/>
        <v>0,00</v>
      </c>
      <c r="T1839" t="str">
        <f t="shared" si="1153"/>
        <v xml:space="preserve"> </v>
      </c>
      <c r="U1839" t="str">
        <f t="shared" si="1174"/>
        <v xml:space="preserve"> </v>
      </c>
      <c r="V1839" t="str">
        <f>"0,000"</f>
        <v>0,000</v>
      </c>
      <c r="W1839" t="str">
        <f t="shared" si="1157"/>
        <v>Lista 4</v>
      </c>
      <c r="X1839" t="str">
        <f t="shared" si="1158"/>
        <v>Lista 5</v>
      </c>
      <c r="Y1839" t="str">
        <f t="shared" si="1159"/>
        <v>Oferta Gral.</v>
      </c>
      <c r="Z1839" t="str">
        <f t="shared" si="1160"/>
        <v>Rubro</v>
      </c>
      <c r="AA1839" t="str">
        <f t="shared" si="1161"/>
        <v>Cantidad por Bulto</v>
      </c>
      <c r="AB1839" t="str">
        <f t="shared" si="1162"/>
        <v>INNER</v>
      </c>
      <c r="AC1839" t="str">
        <f t="shared" si="1163"/>
        <v>Stock en Bultos</v>
      </c>
      <c r="AD1839" t="str">
        <f t="shared" si="1164"/>
        <v>SubDepósito</v>
      </c>
      <c r="AE1839" t="str">
        <f t="shared" si="1165"/>
        <v>Marca</v>
      </c>
      <c r="AF1839" t="str">
        <f t="shared" si="1166"/>
        <v>Super Rubro</v>
      </c>
      <c r="AG1839" t="str">
        <f t="shared" si="1167"/>
        <v>ComercioExterior</v>
      </c>
      <c r="AH1839" t="str">
        <f t="shared" si="1168"/>
        <v>PrecioFOB</v>
      </c>
      <c r="AI1839" t="str">
        <f t="shared" si="1169"/>
        <v>Monto II</v>
      </c>
      <c r="AJ1839" t="str">
        <f t="shared" si="1170"/>
        <v>Porcentaje II</v>
      </c>
      <c r="AK1839" t="str">
        <f t="shared" si="1171"/>
        <v>Foto</v>
      </c>
      <c r="AL1839" t="str">
        <f>"{\rtf1\ansi\ansicpg1252\deff0\deflang11274{\fonttbl{\f0\fnil\fcharset0 MS Sans Serif}} \viewkind4\uc1\pard\f0\fs16 DISTRIBUIDOR ELECTR. PEUGEOT 504, 505  EJE CORTO ELECTRONICO TIPO INDIEL\par } "</f>
        <v xml:space="preserve">{\rtf1\ansi\ansicpg1252\deff0\deflang11274{\fonttbl{\f0\fnil\fcharset0 MS Sans Serif}} \viewkind4\uc1\pard\f0\fs16 DISTRIBUIDOR ELECTR. PEUGEOT 504, 505  EJE CORTO ELECTRONICO TIPO INDIEL\par } </v>
      </c>
      <c r="AM1839" t="str">
        <f t="shared" si="1188"/>
        <v>-</v>
      </c>
    </row>
    <row r="1840" spans="1:39" x14ac:dyDescent="0.25">
      <c r="A1840" t="str">
        <f>"VK1860"</f>
        <v>VK1860</v>
      </c>
      <c r="B1840" t="str">
        <f>"DISTRIBUIDOR ELECTR. RENAULT 18 - TRAFFIC ELECTRONICO TIPO INDIEL"</f>
        <v>DISTRIBUIDOR ELECTR. RENAULT 18 - TRAFFIC ELECTRONICO TIPO INDIEL</v>
      </c>
      <c r="C1840" t="str">
        <f t="shared" ref="C1840:G1841" si="1190">"$ 161146,16"</f>
        <v>$ 161146,16</v>
      </c>
      <c r="D1840" t="str">
        <f t="shared" si="1190"/>
        <v>$ 161146,16</v>
      </c>
      <c r="E1840" t="str">
        <f t="shared" si="1190"/>
        <v>$ 161146,16</v>
      </c>
      <c r="F1840" t="str">
        <f t="shared" si="1190"/>
        <v>$ 161146,16</v>
      </c>
      <c r="G1840" t="str">
        <f t="shared" si="1190"/>
        <v>$ 161146,16</v>
      </c>
      <c r="H1840" t="str">
        <f t="shared" si="1154"/>
        <v>$ 0,00</v>
      </c>
      <c r="I1840" t="str">
        <f t="shared" si="1185"/>
        <v>DISTRIBUIDOR ELECTRÓNICO</v>
      </c>
      <c r="J1840" t="str">
        <f t="shared" si="1155"/>
        <v>1</v>
      </c>
      <c r="K1840" t="str">
        <f t="shared" si="1146"/>
        <v>0</v>
      </c>
      <c r="L1840" t="str">
        <f>"-1,000"</f>
        <v>-1,000</v>
      </c>
      <c r="M1840" t="str">
        <f t="shared" si="1156"/>
        <v xml:space="preserve"> </v>
      </c>
      <c r="N1840" t="str">
        <f t="shared" si="1186"/>
        <v>VERKEHR</v>
      </c>
      <c r="O1840" t="str">
        <f t="shared" si="1187"/>
        <v>DISTRIBUIDORES</v>
      </c>
      <c r="P1840" t="str">
        <f t="shared" si="1178"/>
        <v>0</v>
      </c>
      <c r="Q1840" t="str">
        <f t="shared" si="1178"/>
        <v>0</v>
      </c>
      <c r="R1840" t="str">
        <f t="shared" si="1179"/>
        <v>0,00</v>
      </c>
      <c r="S1840" t="str">
        <f t="shared" si="1179"/>
        <v>0,00</v>
      </c>
      <c r="T1840" t="str">
        <f t="shared" si="1153"/>
        <v xml:space="preserve"> </v>
      </c>
      <c r="U1840" t="str">
        <f t="shared" si="1174"/>
        <v xml:space="preserve"> </v>
      </c>
      <c r="V1840" t="str">
        <f>"-1,000"</f>
        <v>-1,000</v>
      </c>
      <c r="W1840" t="str">
        <f t="shared" si="1157"/>
        <v>Lista 4</v>
      </c>
      <c r="X1840" t="str">
        <f t="shared" si="1158"/>
        <v>Lista 5</v>
      </c>
      <c r="Y1840" t="str">
        <f t="shared" si="1159"/>
        <v>Oferta Gral.</v>
      </c>
      <c r="Z1840" t="str">
        <f t="shared" si="1160"/>
        <v>Rubro</v>
      </c>
      <c r="AA1840" t="str">
        <f t="shared" si="1161"/>
        <v>Cantidad por Bulto</v>
      </c>
      <c r="AB1840" t="str">
        <f t="shared" si="1162"/>
        <v>INNER</v>
      </c>
      <c r="AC1840" t="str">
        <f t="shared" si="1163"/>
        <v>Stock en Bultos</v>
      </c>
      <c r="AD1840" t="str">
        <f t="shared" si="1164"/>
        <v>SubDepósito</v>
      </c>
      <c r="AE1840" t="str">
        <f t="shared" si="1165"/>
        <v>Marca</v>
      </c>
      <c r="AF1840" t="str">
        <f t="shared" si="1166"/>
        <v>Super Rubro</v>
      </c>
      <c r="AG1840" t="str">
        <f t="shared" si="1167"/>
        <v>ComercioExterior</v>
      </c>
      <c r="AH1840" t="str">
        <f t="shared" si="1168"/>
        <v>PrecioFOB</v>
      </c>
      <c r="AI1840" t="str">
        <f t="shared" si="1169"/>
        <v>Monto II</v>
      </c>
      <c r="AJ1840" t="str">
        <f t="shared" si="1170"/>
        <v>Porcentaje II</v>
      </c>
      <c r="AK1840" t="str">
        <f t="shared" si="1171"/>
        <v>Foto</v>
      </c>
      <c r="AL1840" t="str">
        <f>"{\rtf1\ansi\ansicpg1252\deff0\deflang11274{\fonttbl{\f0\fnil\fcharset0 MS Sans Serif}} \viewkind4\uc1\pard\f0\fs16 DISTRIBUIDOR ELECTR. RENAULT 18 - TRAFFIC ELECTRONICO TIPO INDIEL\par } "</f>
        <v xml:space="preserve">{\rtf1\ansi\ansicpg1252\deff0\deflang11274{\fonttbl{\f0\fnil\fcharset0 MS Sans Serif}} \viewkind4\uc1\pard\f0\fs16 DISTRIBUIDOR ELECTR. RENAULT 18 - TRAFFIC ELECTRONICO TIPO INDIEL\par } </v>
      </c>
      <c r="AM1840" t="str">
        <f t="shared" si="1188"/>
        <v>-</v>
      </c>
    </row>
    <row r="1841" spans="1:39" x14ac:dyDescent="0.25">
      <c r="A1841" t="str">
        <f>"VK1860MM"</f>
        <v>VK1860MM</v>
      </c>
      <c r="B1841" t="str">
        <f>"DISTRIBUIDOR ELECTR. RENAULT 18 - TRAFFIC ELECTRONICO TIPO MAGENTI MARELLI"</f>
        <v>DISTRIBUIDOR ELECTR. RENAULT 18 - TRAFFIC ELECTRONICO TIPO MAGENTI MARELLI</v>
      </c>
      <c r="C1841" t="str">
        <f t="shared" si="1190"/>
        <v>$ 161146,16</v>
      </c>
      <c r="D1841" t="str">
        <f t="shared" si="1190"/>
        <v>$ 161146,16</v>
      </c>
      <c r="E1841" t="str">
        <f t="shared" si="1190"/>
        <v>$ 161146,16</v>
      </c>
      <c r="F1841" t="str">
        <f t="shared" si="1190"/>
        <v>$ 161146,16</v>
      </c>
      <c r="G1841" t="str">
        <f t="shared" si="1190"/>
        <v>$ 161146,16</v>
      </c>
      <c r="H1841" t="str">
        <f t="shared" si="1154"/>
        <v>$ 0,00</v>
      </c>
      <c r="I1841" t="str">
        <f t="shared" si="1185"/>
        <v>DISTRIBUIDOR ELECTRÓNICO</v>
      </c>
      <c r="J1841" t="str">
        <f t="shared" si="1155"/>
        <v>1</v>
      </c>
      <c r="K1841" t="str">
        <f t="shared" si="1146"/>
        <v>0</v>
      </c>
      <c r="L1841" t="str">
        <f>"6,000"</f>
        <v>6,000</v>
      </c>
      <c r="M1841" t="str">
        <f t="shared" si="1156"/>
        <v xml:space="preserve"> </v>
      </c>
      <c r="N1841" t="str">
        <f t="shared" si="1186"/>
        <v>VERKEHR</v>
      </c>
      <c r="O1841" t="str">
        <f t="shared" si="1187"/>
        <v>DISTRIBUIDORES</v>
      </c>
      <c r="P1841" t="str">
        <f t="shared" si="1178"/>
        <v>0</v>
      </c>
      <c r="Q1841" t="str">
        <f t="shared" si="1178"/>
        <v>0</v>
      </c>
      <c r="R1841" t="str">
        <f t="shared" si="1179"/>
        <v>0,00</v>
      </c>
      <c r="S1841" t="str">
        <f t="shared" si="1179"/>
        <v>0,00</v>
      </c>
      <c r="T1841" t="str">
        <f t="shared" si="1153"/>
        <v xml:space="preserve"> </v>
      </c>
      <c r="U1841" t="str">
        <f t="shared" si="1174"/>
        <v xml:space="preserve"> </v>
      </c>
      <c r="V1841" t="str">
        <f>"6,000"</f>
        <v>6,000</v>
      </c>
      <c r="W1841" t="str">
        <f t="shared" si="1157"/>
        <v>Lista 4</v>
      </c>
      <c r="X1841" t="str">
        <f t="shared" si="1158"/>
        <v>Lista 5</v>
      </c>
      <c r="Y1841" t="str">
        <f t="shared" si="1159"/>
        <v>Oferta Gral.</v>
      </c>
      <c r="Z1841" t="str">
        <f t="shared" si="1160"/>
        <v>Rubro</v>
      </c>
      <c r="AA1841" t="str">
        <f t="shared" si="1161"/>
        <v>Cantidad por Bulto</v>
      </c>
      <c r="AB1841" t="str">
        <f t="shared" si="1162"/>
        <v>INNER</v>
      </c>
      <c r="AC1841" t="str">
        <f t="shared" si="1163"/>
        <v>Stock en Bultos</v>
      </c>
      <c r="AD1841" t="str">
        <f t="shared" si="1164"/>
        <v>SubDepósito</v>
      </c>
      <c r="AE1841" t="str">
        <f t="shared" si="1165"/>
        <v>Marca</v>
      </c>
      <c r="AF1841" t="str">
        <f t="shared" si="1166"/>
        <v>Super Rubro</v>
      </c>
      <c r="AG1841" t="str">
        <f t="shared" si="1167"/>
        <v>ComercioExterior</v>
      </c>
      <c r="AH1841" t="str">
        <f t="shared" si="1168"/>
        <v>PrecioFOB</v>
      </c>
      <c r="AI1841" t="str">
        <f t="shared" si="1169"/>
        <v>Monto II</v>
      </c>
      <c r="AJ1841" t="str">
        <f t="shared" si="1170"/>
        <v>Porcentaje II</v>
      </c>
      <c r="AK1841" t="str">
        <f t="shared" si="1171"/>
        <v>Foto</v>
      </c>
      <c r="AL1841" t="str">
        <f>"{\rtf1\ansi\ansicpg1252\deff0\deflang11274{\fonttbl{\f0\fnil\fcharset0 MS Sans Serif}} \viewkind4\uc1\pard\f0\fs16 DISTRIBUIDOR ELECTR. RENAULT 18 - TRAFFIC ELECTRONICO TIPO MAGENTI MARELLI\par } "</f>
        <v xml:space="preserve">{\rtf1\ansi\ansicpg1252\deff0\deflang11274{\fonttbl{\f0\fnil\fcharset0 MS Sans Serif}} \viewkind4\uc1\pard\f0\fs16 DISTRIBUIDOR ELECTR. RENAULT 18 - TRAFFIC ELECTRONICO TIPO MAGENTI MARELLI\par } </v>
      </c>
      <c r="AM1841" t="str">
        <f t="shared" si="1188"/>
        <v>-</v>
      </c>
    </row>
    <row r="1842" spans="1:39" x14ac:dyDescent="0.25">
      <c r="A1842" t="str">
        <f>"VK2280"</f>
        <v>VK2280</v>
      </c>
      <c r="B1842" t="str">
        <f>"DISTRIBUIDOR ELECTR. RENAULT 9, 11, 12, 19 ELECTRONICO TIPO INDIEL"</f>
        <v>DISTRIBUIDOR ELECTR. RENAULT 9, 11, 12, 19 ELECTRONICO TIPO INDIEL</v>
      </c>
      <c r="C1842" t="str">
        <f>"$ 166034,49"</f>
        <v>$ 166034,49</v>
      </c>
      <c r="D1842" t="str">
        <f>"$ 166034,49"</f>
        <v>$ 166034,49</v>
      </c>
      <c r="E1842" t="str">
        <f>"$ 166034,49"</f>
        <v>$ 166034,49</v>
      </c>
      <c r="F1842" t="str">
        <f>"$ 166034,49"</f>
        <v>$ 166034,49</v>
      </c>
      <c r="G1842" t="str">
        <f>"$ 166034,49"</f>
        <v>$ 166034,49</v>
      </c>
      <c r="H1842" t="str">
        <f t="shared" si="1154"/>
        <v>$ 0,00</v>
      </c>
      <c r="I1842" t="str">
        <f t="shared" si="1185"/>
        <v>DISTRIBUIDOR ELECTRÓNICO</v>
      </c>
      <c r="J1842" t="str">
        <f t="shared" si="1155"/>
        <v>1</v>
      </c>
      <c r="K1842" t="str">
        <f t="shared" si="1146"/>
        <v>0</v>
      </c>
      <c r="L1842" t="str">
        <f>"1,000"</f>
        <v>1,000</v>
      </c>
      <c r="M1842" t="str">
        <f t="shared" si="1156"/>
        <v xml:space="preserve"> </v>
      </c>
      <c r="N1842" t="str">
        <f t="shared" si="1186"/>
        <v>VERKEHR</v>
      </c>
      <c r="O1842" t="str">
        <f t="shared" si="1187"/>
        <v>DISTRIBUIDORES</v>
      </c>
      <c r="P1842" t="str">
        <f t="shared" si="1178"/>
        <v>0</v>
      </c>
      <c r="Q1842" t="str">
        <f t="shared" si="1178"/>
        <v>0</v>
      </c>
      <c r="R1842" t="str">
        <f t="shared" si="1179"/>
        <v>0,00</v>
      </c>
      <c r="S1842" t="str">
        <f t="shared" si="1179"/>
        <v>0,00</v>
      </c>
      <c r="T1842" t="str">
        <f t="shared" si="1153"/>
        <v xml:space="preserve"> </v>
      </c>
      <c r="U1842" t="str">
        <f t="shared" si="1174"/>
        <v xml:space="preserve"> </v>
      </c>
      <c r="V1842" t="str">
        <f>"1,000"</f>
        <v>1,000</v>
      </c>
      <c r="W1842" t="str">
        <f t="shared" si="1157"/>
        <v>Lista 4</v>
      </c>
      <c r="X1842" t="str">
        <f t="shared" si="1158"/>
        <v>Lista 5</v>
      </c>
      <c r="Y1842" t="str">
        <f t="shared" si="1159"/>
        <v>Oferta Gral.</v>
      </c>
      <c r="Z1842" t="str">
        <f t="shared" si="1160"/>
        <v>Rubro</v>
      </c>
      <c r="AA1842" t="str">
        <f t="shared" si="1161"/>
        <v>Cantidad por Bulto</v>
      </c>
      <c r="AB1842" t="str">
        <f t="shared" si="1162"/>
        <v>INNER</v>
      </c>
      <c r="AC1842" t="str">
        <f t="shared" si="1163"/>
        <v>Stock en Bultos</v>
      </c>
      <c r="AD1842" t="str">
        <f t="shared" si="1164"/>
        <v>SubDepósito</v>
      </c>
      <c r="AE1842" t="str">
        <f t="shared" si="1165"/>
        <v>Marca</v>
      </c>
      <c r="AF1842" t="str">
        <f t="shared" si="1166"/>
        <v>Super Rubro</v>
      </c>
      <c r="AG1842" t="str">
        <f t="shared" si="1167"/>
        <v>ComercioExterior</v>
      </c>
      <c r="AH1842" t="str">
        <f t="shared" si="1168"/>
        <v>PrecioFOB</v>
      </c>
      <c r="AI1842" t="str">
        <f t="shared" si="1169"/>
        <v>Monto II</v>
      </c>
      <c r="AJ1842" t="str">
        <f t="shared" si="1170"/>
        <v>Porcentaje II</v>
      </c>
      <c r="AK1842" t="str">
        <f t="shared" si="1171"/>
        <v>Foto</v>
      </c>
      <c r="AL1842" t="str">
        <f>"{\rtf1\ansi\ansicpg1252\deff0\deflang11274{\fonttbl{\f0\fnil\fcharset0 MS Sans Serif}} \viewkind4\uc1\pard\f0\fs16 DISTRIBUIDOR ELECTR. RENAULT 9, 11, 12, 19 ELECTRONICO TIPO INDIEL\par } "</f>
        <v xml:space="preserve">{\rtf1\ansi\ansicpg1252\deff0\deflang11274{\fonttbl{\f0\fnil\fcharset0 MS Sans Serif}} \viewkind4\uc1\pard\f0\fs16 DISTRIBUIDOR ELECTR. RENAULT 9, 11, 12, 19 ELECTRONICO TIPO INDIEL\par } </v>
      </c>
      <c r="AM1842" t="str">
        <f t="shared" si="1188"/>
        <v>-</v>
      </c>
    </row>
    <row r="1843" spans="1:39" x14ac:dyDescent="0.25">
      <c r="A1843" t="str">
        <f>"VK2280MM"</f>
        <v>VK2280MM</v>
      </c>
      <c r="B1843" t="str">
        <f>"DISTRIBUIDOR ELECTR. RENAULT 9, 11, 12, 19 ELECTRONICO TIPO MAGNETI MARELLI"</f>
        <v>DISTRIBUIDOR ELECTR. RENAULT 9, 11, 12, 19 ELECTRONICO TIPO MAGNETI MARELLI</v>
      </c>
      <c r="C1843" t="str">
        <f>"$ 141582,26"</f>
        <v>$ 141582,26</v>
      </c>
      <c r="D1843" t="str">
        <f>"$ 141582,26"</f>
        <v>$ 141582,26</v>
      </c>
      <c r="E1843" t="str">
        <f>"$ 141582,26"</f>
        <v>$ 141582,26</v>
      </c>
      <c r="F1843" t="str">
        <f>"$ 141582,26"</f>
        <v>$ 141582,26</v>
      </c>
      <c r="G1843" t="str">
        <f>"$ 141582,26"</f>
        <v>$ 141582,26</v>
      </c>
      <c r="H1843" t="str">
        <f t="shared" si="1154"/>
        <v>$ 0,00</v>
      </c>
      <c r="I1843" t="str">
        <f t="shared" si="1185"/>
        <v>DISTRIBUIDOR ELECTRÓNICO</v>
      </c>
      <c r="J1843" t="str">
        <f t="shared" si="1155"/>
        <v>1</v>
      </c>
      <c r="K1843" t="str">
        <f t="shared" si="1146"/>
        <v>0</v>
      </c>
      <c r="L1843" t="str">
        <f>"7,000"</f>
        <v>7,000</v>
      </c>
      <c r="M1843" t="str">
        <f t="shared" si="1156"/>
        <v xml:space="preserve"> </v>
      </c>
      <c r="N1843" t="str">
        <f t="shared" si="1186"/>
        <v>VERKEHR</v>
      </c>
      <c r="O1843" t="str">
        <f t="shared" si="1187"/>
        <v>DISTRIBUIDORES</v>
      </c>
      <c r="P1843" t="str">
        <f t="shared" ref="P1843:Q1862" si="1191">"0"</f>
        <v>0</v>
      </c>
      <c r="Q1843" t="str">
        <f t="shared" si="1191"/>
        <v>0</v>
      </c>
      <c r="R1843" t="str">
        <f t="shared" ref="R1843:S1862" si="1192">"0,00"</f>
        <v>0,00</v>
      </c>
      <c r="S1843" t="str">
        <f t="shared" si="1192"/>
        <v>0,00</v>
      </c>
      <c r="T1843" t="str">
        <f t="shared" si="1153"/>
        <v xml:space="preserve"> </v>
      </c>
      <c r="U1843" t="str">
        <f t="shared" si="1174"/>
        <v xml:space="preserve"> </v>
      </c>
      <c r="V1843" t="str">
        <f>"7,000"</f>
        <v>7,000</v>
      </c>
      <c r="W1843" t="str">
        <f t="shared" si="1157"/>
        <v>Lista 4</v>
      </c>
      <c r="X1843" t="str">
        <f t="shared" si="1158"/>
        <v>Lista 5</v>
      </c>
      <c r="Y1843" t="str">
        <f t="shared" si="1159"/>
        <v>Oferta Gral.</v>
      </c>
      <c r="Z1843" t="str">
        <f t="shared" si="1160"/>
        <v>Rubro</v>
      </c>
      <c r="AA1843" t="str">
        <f t="shared" si="1161"/>
        <v>Cantidad por Bulto</v>
      </c>
      <c r="AB1843" t="str">
        <f t="shared" si="1162"/>
        <v>INNER</v>
      </c>
      <c r="AC1843" t="str">
        <f t="shared" si="1163"/>
        <v>Stock en Bultos</v>
      </c>
      <c r="AD1843" t="str">
        <f t="shared" si="1164"/>
        <v>SubDepósito</v>
      </c>
      <c r="AE1843" t="str">
        <f t="shared" si="1165"/>
        <v>Marca</v>
      </c>
      <c r="AF1843" t="str">
        <f t="shared" si="1166"/>
        <v>Super Rubro</v>
      </c>
      <c r="AG1843" t="str">
        <f t="shared" si="1167"/>
        <v>ComercioExterior</v>
      </c>
      <c r="AH1843" t="str">
        <f t="shared" si="1168"/>
        <v>PrecioFOB</v>
      </c>
      <c r="AI1843" t="str">
        <f t="shared" si="1169"/>
        <v>Monto II</v>
      </c>
      <c r="AJ1843" t="str">
        <f t="shared" si="1170"/>
        <v>Porcentaje II</v>
      </c>
      <c r="AK1843" t="str">
        <f t="shared" si="1171"/>
        <v>Foto</v>
      </c>
      <c r="AL1843" t="str">
        <f>"{\rtf1\ansi\ansicpg1252\deff0\deflang11274{\fonttbl{\f0\fnil\fcharset0 MS Sans Serif}} \viewkind4\uc1\pard\f0\fs16 DISTRIBUIDOR ELECTR. RENAULT 9, 11, 12, 19 ELECTRONICO TIPO MAGNETI MARELLI\par } "</f>
        <v xml:space="preserve">{\rtf1\ansi\ansicpg1252\deff0\deflang11274{\fonttbl{\f0\fnil\fcharset0 MS Sans Serif}} \viewkind4\uc1\pard\f0\fs16 DISTRIBUIDOR ELECTR. RENAULT 9, 11, 12, 19 ELECTRONICO TIPO MAGNETI MARELLI\par } </v>
      </c>
      <c r="AM1843" t="str">
        <f t="shared" si="1188"/>
        <v>-</v>
      </c>
    </row>
    <row r="1844" spans="1:39" x14ac:dyDescent="0.25">
      <c r="A1844" t="str">
        <f>"5052"</f>
        <v>5052</v>
      </c>
      <c r="B1844" t="str">
        <f>"DISTRIBUIDOR ELECTRONICO CHEVROLET 400/PICK UP C10"</f>
        <v>DISTRIBUIDOR ELECTRONICO CHEVROLET 400/PICK UP C10</v>
      </c>
      <c r="C1844" t="str">
        <f>"$ 177178,59"</f>
        <v>$ 177178,59</v>
      </c>
      <c r="D1844" t="str">
        <f>"$ 177178,59"</f>
        <v>$ 177178,59</v>
      </c>
      <c r="E1844" t="str">
        <f>"$ 177178,59"</f>
        <v>$ 177178,59</v>
      </c>
      <c r="F1844" t="str">
        <f>"$ 177178,59"</f>
        <v>$ 177178,59</v>
      </c>
      <c r="G1844" t="str">
        <f>"$ 177178,59"</f>
        <v>$ 177178,59</v>
      </c>
      <c r="H1844" t="str">
        <f t="shared" si="1154"/>
        <v>$ 0,00</v>
      </c>
      <c r="I1844" t="str">
        <f t="shared" si="1185"/>
        <v>DISTRIBUIDOR ELECTRÓNICO</v>
      </c>
      <c r="J1844" t="str">
        <f t="shared" si="1155"/>
        <v>1</v>
      </c>
      <c r="K1844" t="str">
        <f t="shared" ref="K1844:K1873" si="1193">"0"</f>
        <v>0</v>
      </c>
      <c r="L1844" t="str">
        <f>"27,000"</f>
        <v>27,000</v>
      </c>
      <c r="M1844" t="str">
        <f t="shared" si="1156"/>
        <v xml:space="preserve"> </v>
      </c>
      <c r="N1844" t="str">
        <f>"BB"</f>
        <v>BB</v>
      </c>
      <c r="O1844" t="str">
        <f t="shared" si="1187"/>
        <v>DISTRIBUIDORES</v>
      </c>
      <c r="P1844" t="str">
        <f t="shared" si="1191"/>
        <v>0</v>
      </c>
      <c r="Q1844" t="str">
        <f t="shared" si="1191"/>
        <v>0</v>
      </c>
      <c r="R1844" t="str">
        <f t="shared" si="1192"/>
        <v>0,00</v>
      </c>
      <c r="S1844" t="str">
        <f t="shared" si="1192"/>
        <v>0,00</v>
      </c>
      <c r="T1844" t="str">
        <f t="shared" si="1153"/>
        <v xml:space="preserve"> </v>
      </c>
      <c r="U1844" t="str">
        <f t="shared" si="1174"/>
        <v xml:space="preserve"> </v>
      </c>
      <c r="V1844" t="str">
        <f>"27,000"</f>
        <v>27,000</v>
      </c>
      <c r="W1844" t="str">
        <f t="shared" si="1157"/>
        <v>Lista 4</v>
      </c>
      <c r="X1844" t="str">
        <f t="shared" si="1158"/>
        <v>Lista 5</v>
      </c>
      <c r="Y1844" t="str">
        <f t="shared" si="1159"/>
        <v>Oferta Gral.</v>
      </c>
      <c r="Z1844" t="str">
        <f t="shared" si="1160"/>
        <v>Rubro</v>
      </c>
      <c r="AA1844" t="str">
        <f t="shared" si="1161"/>
        <v>Cantidad por Bulto</v>
      </c>
      <c r="AB1844" t="str">
        <f t="shared" si="1162"/>
        <v>INNER</v>
      </c>
      <c r="AC1844" t="str">
        <f t="shared" si="1163"/>
        <v>Stock en Bultos</v>
      </c>
      <c r="AD1844" t="str">
        <f t="shared" si="1164"/>
        <v>SubDepósito</v>
      </c>
      <c r="AE1844" t="str">
        <f t="shared" si="1165"/>
        <v>Marca</v>
      </c>
      <c r="AF1844" t="str">
        <f t="shared" si="1166"/>
        <v>Super Rubro</v>
      </c>
      <c r="AG1844" t="str">
        <f t="shared" si="1167"/>
        <v>ComercioExterior</v>
      </c>
      <c r="AH1844" t="str">
        <f t="shared" si="1168"/>
        <v>PrecioFOB</v>
      </c>
      <c r="AI1844" t="str">
        <f t="shared" si="1169"/>
        <v>Monto II</v>
      </c>
      <c r="AJ1844" t="str">
        <f t="shared" si="1170"/>
        <v>Porcentaje II</v>
      </c>
      <c r="AK1844" t="str">
        <f t="shared" si="1171"/>
        <v>Foto</v>
      </c>
      <c r="AL1844" t="str">
        <f>"{\rtf1\ansi\ansicpg1252\deff0\deflang11274{\fonttbl{\f0\fnil\fcharset0 MS Sans Serif}} \viewkind4\uc1\pard\f0\fs16 DISTRIBUIDOR ELECTRONICO CHEVROLET 400/PICK UP C10\par } "</f>
        <v xml:space="preserve">{\rtf1\ansi\ansicpg1252\deff0\deflang11274{\fonttbl{\f0\fnil\fcharset0 MS Sans Serif}} \viewkind4\uc1\pard\f0\fs16 DISTRIBUIDOR ELECTRONICO CHEVROLET 400/PICK UP C10\par } </v>
      </c>
      <c r="AM1844" t="str">
        <f>" "</f>
        <v xml:space="preserve"> </v>
      </c>
    </row>
    <row r="1845" spans="1:39" x14ac:dyDescent="0.25">
      <c r="A1845" t="str">
        <f>"2260I"</f>
        <v>2260I</v>
      </c>
      <c r="B1845" t="str">
        <f>"DISTRIBUIDOR ELECTRONICO FIAT DUNA/UNO TIPO INDIEL"</f>
        <v>DISTRIBUIDOR ELECTRONICO FIAT DUNA/UNO TIPO INDIEL</v>
      </c>
      <c r="C1845" t="str">
        <f>"$ 160461,51"</f>
        <v>$ 160461,51</v>
      </c>
      <c r="D1845" t="str">
        <f>"$ 160461,51"</f>
        <v>$ 160461,51</v>
      </c>
      <c r="E1845" t="str">
        <f>"$ 160461,51"</f>
        <v>$ 160461,51</v>
      </c>
      <c r="F1845" t="str">
        <f>"$ 160461,51"</f>
        <v>$ 160461,51</v>
      </c>
      <c r="G1845" t="str">
        <f>"$ 160461,51"</f>
        <v>$ 160461,51</v>
      </c>
      <c r="H1845" t="str">
        <f t="shared" si="1154"/>
        <v>$ 0,00</v>
      </c>
      <c r="I1845" t="str">
        <f t="shared" si="1185"/>
        <v>DISTRIBUIDOR ELECTRÓNICO</v>
      </c>
      <c r="J1845" t="str">
        <f t="shared" si="1155"/>
        <v>1</v>
      </c>
      <c r="K1845" t="str">
        <f t="shared" si="1193"/>
        <v>0</v>
      </c>
      <c r="L1845" t="str">
        <f>"1,000"</f>
        <v>1,000</v>
      </c>
      <c r="M1845" t="str">
        <f t="shared" si="1156"/>
        <v xml:space="preserve"> </v>
      </c>
      <c r="N1845" t="str">
        <f>"BB"</f>
        <v>BB</v>
      </c>
      <c r="O1845" t="str">
        <f t="shared" si="1187"/>
        <v>DISTRIBUIDORES</v>
      </c>
      <c r="P1845" t="str">
        <f t="shared" si="1191"/>
        <v>0</v>
      </c>
      <c r="Q1845" t="str">
        <f t="shared" si="1191"/>
        <v>0</v>
      </c>
      <c r="R1845" t="str">
        <f t="shared" si="1192"/>
        <v>0,00</v>
      </c>
      <c r="S1845" t="str">
        <f t="shared" si="1192"/>
        <v>0,00</v>
      </c>
      <c r="T1845" t="str">
        <f t="shared" si="1153"/>
        <v xml:space="preserve"> </v>
      </c>
      <c r="U1845" t="str">
        <f t="shared" si="1174"/>
        <v xml:space="preserve"> </v>
      </c>
      <c r="V1845" t="str">
        <f>"1,000"</f>
        <v>1,000</v>
      </c>
      <c r="W1845" t="str">
        <f t="shared" si="1157"/>
        <v>Lista 4</v>
      </c>
      <c r="X1845" t="str">
        <f t="shared" si="1158"/>
        <v>Lista 5</v>
      </c>
      <c r="Y1845" t="str">
        <f t="shared" si="1159"/>
        <v>Oferta Gral.</v>
      </c>
      <c r="Z1845" t="str">
        <f t="shared" si="1160"/>
        <v>Rubro</v>
      </c>
      <c r="AA1845" t="str">
        <f t="shared" si="1161"/>
        <v>Cantidad por Bulto</v>
      </c>
      <c r="AB1845" t="str">
        <f t="shared" si="1162"/>
        <v>INNER</v>
      </c>
      <c r="AC1845" t="str">
        <f t="shared" si="1163"/>
        <v>Stock en Bultos</v>
      </c>
      <c r="AD1845" t="str">
        <f t="shared" si="1164"/>
        <v>SubDepósito</v>
      </c>
      <c r="AE1845" t="str">
        <f t="shared" si="1165"/>
        <v>Marca</v>
      </c>
      <c r="AF1845" t="str">
        <f t="shared" si="1166"/>
        <v>Super Rubro</v>
      </c>
      <c r="AG1845" t="str">
        <f t="shared" si="1167"/>
        <v>ComercioExterior</v>
      </c>
      <c r="AH1845" t="str">
        <f t="shared" si="1168"/>
        <v>PrecioFOB</v>
      </c>
      <c r="AI1845" t="str">
        <f t="shared" si="1169"/>
        <v>Monto II</v>
      </c>
      <c r="AJ1845" t="str">
        <f t="shared" si="1170"/>
        <v>Porcentaje II</v>
      </c>
      <c r="AK1845" t="str">
        <f t="shared" si="1171"/>
        <v>Foto</v>
      </c>
      <c r="AL1845" t="str">
        <f>"{\rtf1\ansi\ansicpg1252\deff0\deflang11274{\fonttbl{\f0\fnil\fcharset0 MS Sans Serif}} \viewkind4\uc1\pard\f0\fs16 DISTRIBUIDOR ELECTRONICO FIAT DUNA/UNO TIPO INDIEL\par } "</f>
        <v xml:space="preserve">{\rtf1\ansi\ansicpg1252\deff0\deflang11274{\fonttbl{\f0\fnil\fcharset0 MS Sans Serif}} \viewkind4\uc1\pard\f0\fs16 DISTRIBUIDOR ELECTRONICO FIAT DUNA/UNO TIPO INDIEL\par } </v>
      </c>
      <c r="AM1845" t="str">
        <f>" "</f>
        <v xml:space="preserve"> </v>
      </c>
    </row>
    <row r="1846" spans="1:39" x14ac:dyDescent="0.25">
      <c r="A1846" t="str">
        <f>"VK4123G"</f>
        <v>VK4123G</v>
      </c>
      <c r="B1846" t="str">
        <f>"DISTRIBUIDOR ELECTRONICO GOL MOTOR AUDI 2.0 CON AVANCE ENGRANAJE GRANDE"</f>
        <v>DISTRIBUIDOR ELECTRONICO GOL MOTOR AUDI 2.0 CON AVANCE ENGRANAJE GRANDE</v>
      </c>
      <c r="C1846" t="str">
        <f>"$ 83661,29"</f>
        <v>$ 83661,29</v>
      </c>
      <c r="D1846" t="str">
        <f>"$ 83661,29"</f>
        <v>$ 83661,29</v>
      </c>
      <c r="E1846" t="str">
        <f>"$ 83661,29"</f>
        <v>$ 83661,29</v>
      </c>
      <c r="F1846" t="str">
        <f>"$ 83661,29"</f>
        <v>$ 83661,29</v>
      </c>
      <c r="G1846" t="str">
        <f>"$ 83661,29"</f>
        <v>$ 83661,29</v>
      </c>
      <c r="H1846" t="str">
        <f t="shared" si="1154"/>
        <v>$ 0,00</v>
      </c>
      <c r="I1846" t="str">
        <f t="shared" si="1185"/>
        <v>DISTRIBUIDOR ELECTRÓNICO</v>
      </c>
      <c r="J1846" t="str">
        <f t="shared" si="1155"/>
        <v>1</v>
      </c>
      <c r="K1846" t="str">
        <f t="shared" si="1193"/>
        <v>0</v>
      </c>
      <c r="L1846" t="str">
        <f>"1,000"</f>
        <v>1,000</v>
      </c>
      <c r="M1846" t="str">
        <f t="shared" si="1156"/>
        <v xml:space="preserve"> </v>
      </c>
      <c r="N1846" t="str">
        <f>"VERKEHR"</f>
        <v>VERKEHR</v>
      </c>
      <c r="O1846" t="str">
        <f t="shared" si="1187"/>
        <v>DISTRIBUIDORES</v>
      </c>
      <c r="P1846" t="str">
        <f t="shared" si="1191"/>
        <v>0</v>
      </c>
      <c r="Q1846" t="str">
        <f t="shared" si="1191"/>
        <v>0</v>
      </c>
      <c r="R1846" t="str">
        <f t="shared" si="1192"/>
        <v>0,00</v>
      </c>
      <c r="S1846" t="str">
        <f t="shared" si="1192"/>
        <v>0,00</v>
      </c>
      <c r="T1846" t="str">
        <f t="shared" si="1153"/>
        <v xml:space="preserve"> </v>
      </c>
      <c r="U1846" t="str">
        <f t="shared" si="1174"/>
        <v xml:space="preserve"> </v>
      </c>
      <c r="V1846" t="str">
        <f>"1,000"</f>
        <v>1,000</v>
      </c>
      <c r="W1846" t="str">
        <f t="shared" si="1157"/>
        <v>Lista 4</v>
      </c>
      <c r="X1846" t="str">
        <f t="shared" si="1158"/>
        <v>Lista 5</v>
      </c>
      <c r="Y1846" t="str">
        <f t="shared" si="1159"/>
        <v>Oferta Gral.</v>
      </c>
      <c r="Z1846" t="str">
        <f t="shared" si="1160"/>
        <v>Rubro</v>
      </c>
      <c r="AA1846" t="str">
        <f t="shared" si="1161"/>
        <v>Cantidad por Bulto</v>
      </c>
      <c r="AB1846" t="str">
        <f t="shared" si="1162"/>
        <v>INNER</v>
      </c>
      <c r="AC1846" t="str">
        <f t="shared" si="1163"/>
        <v>Stock en Bultos</v>
      </c>
      <c r="AD1846" t="str">
        <f t="shared" si="1164"/>
        <v>SubDepósito</v>
      </c>
      <c r="AE1846" t="str">
        <f t="shared" si="1165"/>
        <v>Marca</v>
      </c>
      <c r="AF1846" t="str">
        <f t="shared" si="1166"/>
        <v>Super Rubro</v>
      </c>
      <c r="AG1846" t="str">
        <f t="shared" si="1167"/>
        <v>ComercioExterior</v>
      </c>
      <c r="AH1846" t="str">
        <f t="shared" si="1168"/>
        <v>PrecioFOB</v>
      </c>
      <c r="AI1846" t="str">
        <f t="shared" si="1169"/>
        <v>Monto II</v>
      </c>
      <c r="AJ1846" t="str">
        <f t="shared" si="1170"/>
        <v>Porcentaje II</v>
      </c>
      <c r="AK1846" t="str">
        <f t="shared" si="1171"/>
        <v>Foto</v>
      </c>
      <c r="AL1846" t="str">
        <f>"{\rtf1\ansi\ansicpg1252\deff0\deflang11274{\fonttbl{\f0\fnil\fcharset0 MS Sans Serif}} \viewkind4\uc1\pard\f0\fs16 DISTRIBUIDOR ELECTRONICO GOL MOTOR AUDI 2.0 CON AVANCE ENGRANAJE GRANDE\par } "</f>
        <v xml:space="preserve">{\rtf1\ansi\ansicpg1252\deff0\deflang11274{\fonttbl{\f0\fnil\fcharset0 MS Sans Serif}} \viewkind4\uc1\pard\f0\fs16 DISTRIBUIDOR ELECTRONICO GOL MOTOR AUDI 2.0 CON AVANCE ENGRANAJE GRANDE\par } </v>
      </c>
      <c r="AM1846" t="str">
        <f>"-"</f>
        <v>-</v>
      </c>
    </row>
    <row r="1847" spans="1:39" x14ac:dyDescent="0.25">
      <c r="A1847" t="str">
        <f>"1860I"</f>
        <v>1860I</v>
      </c>
      <c r="B1847" t="str">
        <f>"DISTRIBUIDOR ELECTRONICO R10 2.0 TIPO INDIEL"</f>
        <v>DISTRIBUIDOR ELECTRONICO R10 2.0 TIPO INDIEL</v>
      </c>
      <c r="C1847" t="str">
        <f t="shared" ref="C1847:G1848" si="1194">"$ 155391,41"</f>
        <v>$ 155391,41</v>
      </c>
      <c r="D1847" t="str">
        <f t="shared" si="1194"/>
        <v>$ 155391,41</v>
      </c>
      <c r="E1847" t="str">
        <f t="shared" si="1194"/>
        <v>$ 155391,41</v>
      </c>
      <c r="F1847" t="str">
        <f t="shared" si="1194"/>
        <v>$ 155391,41</v>
      </c>
      <c r="G1847" t="str">
        <f t="shared" si="1194"/>
        <v>$ 155391,41</v>
      </c>
      <c r="H1847" t="str">
        <f t="shared" si="1154"/>
        <v>$ 0,00</v>
      </c>
      <c r="I1847" t="str">
        <f t="shared" si="1185"/>
        <v>DISTRIBUIDOR ELECTRÓNICO</v>
      </c>
      <c r="J1847" t="str">
        <f t="shared" si="1155"/>
        <v>1</v>
      </c>
      <c r="K1847" t="str">
        <f t="shared" si="1193"/>
        <v>0</v>
      </c>
      <c r="L1847" t="str">
        <f>"12,000"</f>
        <v>12,000</v>
      </c>
      <c r="M1847" t="str">
        <f t="shared" si="1156"/>
        <v xml:space="preserve"> </v>
      </c>
      <c r="N1847" t="str">
        <f>"BB"</f>
        <v>BB</v>
      </c>
      <c r="O1847" t="str">
        <f t="shared" si="1187"/>
        <v>DISTRIBUIDORES</v>
      </c>
      <c r="P1847" t="str">
        <f t="shared" si="1191"/>
        <v>0</v>
      </c>
      <c r="Q1847" t="str">
        <f t="shared" si="1191"/>
        <v>0</v>
      </c>
      <c r="R1847" t="str">
        <f t="shared" si="1192"/>
        <v>0,00</v>
      </c>
      <c r="S1847" t="str">
        <f t="shared" si="1192"/>
        <v>0,00</v>
      </c>
      <c r="T1847" t="str">
        <f t="shared" si="1153"/>
        <v xml:space="preserve"> </v>
      </c>
      <c r="U1847" t="str">
        <f t="shared" si="1174"/>
        <v xml:space="preserve"> </v>
      </c>
      <c r="V1847" t="str">
        <f>"12,000"</f>
        <v>12,000</v>
      </c>
      <c r="W1847" t="str">
        <f t="shared" si="1157"/>
        <v>Lista 4</v>
      </c>
      <c r="X1847" t="str">
        <f t="shared" si="1158"/>
        <v>Lista 5</v>
      </c>
      <c r="Y1847" t="str">
        <f t="shared" si="1159"/>
        <v>Oferta Gral.</v>
      </c>
      <c r="Z1847" t="str">
        <f t="shared" si="1160"/>
        <v>Rubro</v>
      </c>
      <c r="AA1847" t="str">
        <f t="shared" si="1161"/>
        <v>Cantidad por Bulto</v>
      </c>
      <c r="AB1847" t="str">
        <f t="shared" si="1162"/>
        <v>INNER</v>
      </c>
      <c r="AC1847" t="str">
        <f t="shared" si="1163"/>
        <v>Stock en Bultos</v>
      </c>
      <c r="AD1847" t="str">
        <f t="shared" si="1164"/>
        <v>SubDepósito</v>
      </c>
      <c r="AE1847" t="str">
        <f t="shared" si="1165"/>
        <v>Marca</v>
      </c>
      <c r="AF1847" t="str">
        <f t="shared" si="1166"/>
        <v>Super Rubro</v>
      </c>
      <c r="AG1847" t="str">
        <f t="shared" si="1167"/>
        <v>ComercioExterior</v>
      </c>
      <c r="AH1847" t="str">
        <f t="shared" si="1168"/>
        <v>PrecioFOB</v>
      </c>
      <c r="AI1847" t="str">
        <f t="shared" si="1169"/>
        <v>Monto II</v>
      </c>
      <c r="AJ1847" t="str">
        <f t="shared" si="1170"/>
        <v>Porcentaje II</v>
      </c>
      <c r="AK1847" t="str">
        <f t="shared" si="1171"/>
        <v>Foto</v>
      </c>
      <c r="AL1847" t="str">
        <f>"{\rtf1\ansi\ansicpg1252\deff0\deflang11274{\fonttbl{\f0\fnil\fcharset0 MS Sans Serif}} \viewkind4\uc1\pard\f0\fs16 DISTRIBUIDOR ELECTRONICO R10 2.0 TIPO INDIEL\par } "</f>
        <v xml:space="preserve">{\rtf1\ansi\ansicpg1252\deff0\deflang11274{\fonttbl{\f0\fnil\fcharset0 MS Sans Serif}} \viewkind4\uc1\pard\f0\fs16 DISTRIBUIDOR ELECTRONICO R10 2.0 TIPO INDIEL\par } </v>
      </c>
      <c r="AM1847" t="str">
        <f>" "</f>
        <v xml:space="preserve"> </v>
      </c>
    </row>
    <row r="1848" spans="1:39" x14ac:dyDescent="0.25">
      <c r="A1848" t="str">
        <f>"1860MM"</f>
        <v>1860MM</v>
      </c>
      <c r="B1848" t="str">
        <f>"DISTRIBUIDOR ELECTRONICO R18 2.0 TIPO MARELLI"</f>
        <v>DISTRIBUIDOR ELECTRONICO R18 2.0 TIPO MARELLI</v>
      </c>
      <c r="C1848" t="str">
        <f t="shared" si="1194"/>
        <v>$ 155391,41</v>
      </c>
      <c r="D1848" t="str">
        <f t="shared" si="1194"/>
        <v>$ 155391,41</v>
      </c>
      <c r="E1848" t="str">
        <f t="shared" si="1194"/>
        <v>$ 155391,41</v>
      </c>
      <c r="F1848" t="str">
        <f t="shared" si="1194"/>
        <v>$ 155391,41</v>
      </c>
      <c r="G1848" t="str">
        <f t="shared" si="1194"/>
        <v>$ 155391,41</v>
      </c>
      <c r="H1848" t="str">
        <f t="shared" si="1154"/>
        <v>$ 0,00</v>
      </c>
      <c r="I1848" t="str">
        <f t="shared" si="1185"/>
        <v>DISTRIBUIDOR ELECTRÓNICO</v>
      </c>
      <c r="J1848" t="str">
        <f t="shared" si="1155"/>
        <v>1</v>
      </c>
      <c r="K1848" t="str">
        <f t="shared" si="1193"/>
        <v>0</v>
      </c>
      <c r="L1848" t="str">
        <f>"8,000"</f>
        <v>8,000</v>
      </c>
      <c r="M1848" t="str">
        <f t="shared" si="1156"/>
        <v xml:space="preserve"> </v>
      </c>
      <c r="N1848" t="str">
        <f>"BB"</f>
        <v>BB</v>
      </c>
      <c r="O1848" t="str">
        <f t="shared" si="1187"/>
        <v>DISTRIBUIDORES</v>
      </c>
      <c r="P1848" t="str">
        <f t="shared" si="1191"/>
        <v>0</v>
      </c>
      <c r="Q1848" t="str">
        <f t="shared" si="1191"/>
        <v>0</v>
      </c>
      <c r="R1848" t="str">
        <f t="shared" si="1192"/>
        <v>0,00</v>
      </c>
      <c r="S1848" t="str">
        <f t="shared" si="1192"/>
        <v>0,00</v>
      </c>
      <c r="T1848" t="str">
        <f t="shared" si="1153"/>
        <v xml:space="preserve"> </v>
      </c>
      <c r="U1848" t="str">
        <f t="shared" si="1174"/>
        <v xml:space="preserve"> </v>
      </c>
      <c r="V1848" t="str">
        <f>"8,000"</f>
        <v>8,000</v>
      </c>
      <c r="W1848" t="str">
        <f t="shared" si="1157"/>
        <v>Lista 4</v>
      </c>
      <c r="X1848" t="str">
        <f t="shared" si="1158"/>
        <v>Lista 5</v>
      </c>
      <c r="Y1848" t="str">
        <f t="shared" si="1159"/>
        <v>Oferta Gral.</v>
      </c>
      <c r="Z1848" t="str">
        <f t="shared" si="1160"/>
        <v>Rubro</v>
      </c>
      <c r="AA1848" t="str">
        <f t="shared" si="1161"/>
        <v>Cantidad por Bulto</v>
      </c>
      <c r="AB1848" t="str">
        <f t="shared" si="1162"/>
        <v>INNER</v>
      </c>
      <c r="AC1848" t="str">
        <f t="shared" si="1163"/>
        <v>Stock en Bultos</v>
      </c>
      <c r="AD1848" t="str">
        <f t="shared" si="1164"/>
        <v>SubDepósito</v>
      </c>
      <c r="AE1848" t="str">
        <f t="shared" si="1165"/>
        <v>Marca</v>
      </c>
      <c r="AF1848" t="str">
        <f t="shared" si="1166"/>
        <v>Super Rubro</v>
      </c>
      <c r="AG1848" t="str">
        <f t="shared" si="1167"/>
        <v>ComercioExterior</v>
      </c>
      <c r="AH1848" t="str">
        <f t="shared" si="1168"/>
        <v>PrecioFOB</v>
      </c>
      <c r="AI1848" t="str">
        <f t="shared" si="1169"/>
        <v>Monto II</v>
      </c>
      <c r="AJ1848" t="str">
        <f t="shared" si="1170"/>
        <v>Porcentaje II</v>
      </c>
      <c r="AK1848" t="str">
        <f t="shared" si="1171"/>
        <v>Foto</v>
      </c>
      <c r="AL1848" t="str">
        <f>"{\rtf1\ansi\ansicpg1252\deff0\deflang11274{\fonttbl{\f0\fnil\fcharset0 MS Sans Serif}} \viewkind4\uc1\pard\f0\fs16 DISTRIBUIDOR ELECTRONICO R18 2.0 TIPO MARELLI\par } "</f>
        <v xml:space="preserve">{\rtf1\ansi\ansicpg1252\deff0\deflang11274{\fonttbl{\f0\fnil\fcharset0 MS Sans Serif}} \viewkind4\uc1\pard\f0\fs16 DISTRIBUIDOR ELECTRONICO R18 2.0 TIPO MARELLI\par } </v>
      </c>
      <c r="AM1848" t="str">
        <f>" "</f>
        <v xml:space="preserve"> </v>
      </c>
    </row>
    <row r="1849" spans="1:39" x14ac:dyDescent="0.25">
      <c r="A1849" t="str">
        <f>"4123C"</f>
        <v>4123C</v>
      </c>
      <c r="B1849" t="str">
        <f>"DISTRIBUIDOR ELECTRONICO VW GOL ENGRANAJE CHICO CON AVANCE"</f>
        <v>DISTRIBUIDOR ELECTRONICO VW GOL ENGRANAJE CHICO CON AVANCE</v>
      </c>
      <c r="C1849" t="str">
        <f>"$ 80673,64"</f>
        <v>$ 80673,64</v>
      </c>
      <c r="D1849" t="str">
        <f>"$ 80673,64"</f>
        <v>$ 80673,64</v>
      </c>
      <c r="E1849" t="str">
        <f>"$ 80673,64"</f>
        <v>$ 80673,64</v>
      </c>
      <c r="F1849" t="str">
        <f>"$ 80673,64"</f>
        <v>$ 80673,64</v>
      </c>
      <c r="G1849" t="str">
        <f>"$ 80673,64"</f>
        <v>$ 80673,64</v>
      </c>
      <c r="H1849" t="str">
        <f t="shared" si="1154"/>
        <v>$ 0,00</v>
      </c>
      <c r="I1849" t="str">
        <f t="shared" si="1185"/>
        <v>DISTRIBUIDOR ELECTRÓNICO</v>
      </c>
      <c r="J1849" t="str">
        <f t="shared" si="1155"/>
        <v>1</v>
      </c>
      <c r="K1849" t="str">
        <f t="shared" si="1193"/>
        <v>0</v>
      </c>
      <c r="L1849" t="str">
        <f>"4,000"</f>
        <v>4,000</v>
      </c>
      <c r="M1849" t="str">
        <f t="shared" si="1156"/>
        <v xml:space="preserve"> </v>
      </c>
      <c r="N1849" t="str">
        <f>"BB"</f>
        <v>BB</v>
      </c>
      <c r="O1849" t="str">
        <f t="shared" si="1187"/>
        <v>DISTRIBUIDORES</v>
      </c>
      <c r="P1849" t="str">
        <f t="shared" si="1191"/>
        <v>0</v>
      </c>
      <c r="Q1849" t="str">
        <f t="shared" si="1191"/>
        <v>0</v>
      </c>
      <c r="R1849" t="str">
        <f t="shared" si="1192"/>
        <v>0,00</v>
      </c>
      <c r="S1849" t="str">
        <f t="shared" si="1192"/>
        <v>0,00</v>
      </c>
      <c r="T1849" t="str">
        <f t="shared" si="1153"/>
        <v xml:space="preserve"> </v>
      </c>
      <c r="U1849" t="str">
        <f t="shared" si="1174"/>
        <v xml:space="preserve"> </v>
      </c>
      <c r="V1849" t="str">
        <f>"4,000"</f>
        <v>4,000</v>
      </c>
      <c r="W1849" t="str">
        <f t="shared" si="1157"/>
        <v>Lista 4</v>
      </c>
      <c r="X1849" t="str">
        <f t="shared" si="1158"/>
        <v>Lista 5</v>
      </c>
      <c r="Y1849" t="str">
        <f t="shared" si="1159"/>
        <v>Oferta Gral.</v>
      </c>
      <c r="Z1849" t="str">
        <f t="shared" si="1160"/>
        <v>Rubro</v>
      </c>
      <c r="AA1849" t="str">
        <f t="shared" si="1161"/>
        <v>Cantidad por Bulto</v>
      </c>
      <c r="AB1849" t="str">
        <f t="shared" si="1162"/>
        <v>INNER</v>
      </c>
      <c r="AC1849" t="str">
        <f t="shared" si="1163"/>
        <v>Stock en Bultos</v>
      </c>
      <c r="AD1849" t="str">
        <f t="shared" si="1164"/>
        <v>SubDepósito</v>
      </c>
      <c r="AE1849" t="str">
        <f t="shared" si="1165"/>
        <v>Marca</v>
      </c>
      <c r="AF1849" t="str">
        <f t="shared" si="1166"/>
        <v>Super Rubro</v>
      </c>
      <c r="AG1849" t="str">
        <f t="shared" si="1167"/>
        <v>ComercioExterior</v>
      </c>
      <c r="AH1849" t="str">
        <f t="shared" si="1168"/>
        <v>PrecioFOB</v>
      </c>
      <c r="AI1849" t="str">
        <f t="shared" si="1169"/>
        <v>Monto II</v>
      </c>
      <c r="AJ1849" t="str">
        <f t="shared" si="1170"/>
        <v>Porcentaje II</v>
      </c>
      <c r="AK1849" t="str">
        <f t="shared" si="1171"/>
        <v>Foto</v>
      </c>
      <c r="AL1849" t="str">
        <f>"{\rtf1\ansi\ansicpg1252\deff0\deflang11274{\fonttbl{\f0\fnil\fcharset0 MS Sans Serif}} \viewkind4\uc1\pard\f0\fs16 DISTRIBUIDOR ELECTRONICO VW GOL ENGRANAJE CHICO CON AVANCE\par } "</f>
        <v xml:space="preserve">{\rtf1\ansi\ansicpg1252\deff0\deflang11274{\fonttbl{\f0\fnil\fcharset0 MS Sans Serif}} \viewkind4\uc1\pard\f0\fs16 DISTRIBUIDOR ELECTRONICO VW GOL ENGRANAJE CHICO CON AVANCE\par } </v>
      </c>
      <c r="AM1849" t="str">
        <f>" "</f>
        <v xml:space="preserve"> </v>
      </c>
    </row>
    <row r="1850" spans="1:39" x14ac:dyDescent="0.25">
      <c r="A1850" t="str">
        <f>"VK4124G"</f>
        <v>VK4124G</v>
      </c>
      <c r="B1850" t="str">
        <f>"DISTRIBUIDOR ELECTRONICO VW GOL MOTOR AUDI 2.0 INYECCION SIN AVANCE ENGRANAJE GRANDE"</f>
        <v>DISTRIBUIDOR ELECTRONICO VW GOL MOTOR AUDI 2.0 INYECCION SIN AVANCE ENGRANAJE GRANDE</v>
      </c>
      <c r="C1850" t="str">
        <f>"$ 83661,29"</f>
        <v>$ 83661,29</v>
      </c>
      <c r="D1850" t="str">
        <f>"$ 83661,29"</f>
        <v>$ 83661,29</v>
      </c>
      <c r="E1850" t="str">
        <f>"$ 83661,29"</f>
        <v>$ 83661,29</v>
      </c>
      <c r="F1850" t="str">
        <f>"$ 83661,29"</f>
        <v>$ 83661,29</v>
      </c>
      <c r="G1850" t="str">
        <f>"$ 83661,29"</f>
        <v>$ 83661,29</v>
      </c>
      <c r="H1850" t="str">
        <f t="shared" si="1154"/>
        <v>$ 0,00</v>
      </c>
      <c r="I1850" t="str">
        <f t="shared" si="1185"/>
        <v>DISTRIBUIDOR ELECTRÓNICO</v>
      </c>
      <c r="J1850" t="str">
        <f t="shared" si="1155"/>
        <v>1</v>
      </c>
      <c r="K1850" t="str">
        <f t="shared" si="1193"/>
        <v>0</v>
      </c>
      <c r="L1850" t="str">
        <f>"5,000"</f>
        <v>5,000</v>
      </c>
      <c r="M1850" t="str">
        <f t="shared" si="1156"/>
        <v xml:space="preserve"> </v>
      </c>
      <c r="N1850" t="str">
        <f>"VERKEHR"</f>
        <v>VERKEHR</v>
      </c>
      <c r="O1850" t="str">
        <f t="shared" si="1187"/>
        <v>DISTRIBUIDORES</v>
      </c>
      <c r="P1850" t="str">
        <f t="shared" si="1191"/>
        <v>0</v>
      </c>
      <c r="Q1850" t="str">
        <f t="shared" si="1191"/>
        <v>0</v>
      </c>
      <c r="R1850" t="str">
        <f t="shared" si="1192"/>
        <v>0,00</v>
      </c>
      <c r="S1850" t="str">
        <f t="shared" si="1192"/>
        <v>0,00</v>
      </c>
      <c r="T1850" t="str">
        <f t="shared" si="1153"/>
        <v xml:space="preserve"> </v>
      </c>
      <c r="U1850" t="str">
        <f t="shared" si="1174"/>
        <v xml:space="preserve"> </v>
      </c>
      <c r="V1850" t="str">
        <f>"5,000"</f>
        <v>5,000</v>
      </c>
      <c r="W1850" t="str">
        <f t="shared" si="1157"/>
        <v>Lista 4</v>
      </c>
      <c r="X1850" t="str">
        <f t="shared" si="1158"/>
        <v>Lista 5</v>
      </c>
      <c r="Y1850" t="str">
        <f t="shared" si="1159"/>
        <v>Oferta Gral.</v>
      </c>
      <c r="Z1850" t="str">
        <f t="shared" si="1160"/>
        <v>Rubro</v>
      </c>
      <c r="AA1850" t="str">
        <f t="shared" si="1161"/>
        <v>Cantidad por Bulto</v>
      </c>
      <c r="AB1850" t="str">
        <f t="shared" si="1162"/>
        <v>INNER</v>
      </c>
      <c r="AC1850" t="str">
        <f t="shared" si="1163"/>
        <v>Stock en Bultos</v>
      </c>
      <c r="AD1850" t="str">
        <f t="shared" si="1164"/>
        <v>SubDepósito</v>
      </c>
      <c r="AE1850" t="str">
        <f t="shared" si="1165"/>
        <v>Marca</v>
      </c>
      <c r="AF1850" t="str">
        <f t="shared" si="1166"/>
        <v>Super Rubro</v>
      </c>
      <c r="AG1850" t="str">
        <f t="shared" si="1167"/>
        <v>ComercioExterior</v>
      </c>
      <c r="AH1850" t="str">
        <f t="shared" si="1168"/>
        <v>PrecioFOB</v>
      </c>
      <c r="AI1850" t="str">
        <f t="shared" si="1169"/>
        <v>Monto II</v>
      </c>
      <c r="AJ1850" t="str">
        <f t="shared" si="1170"/>
        <v>Porcentaje II</v>
      </c>
      <c r="AK1850" t="str">
        <f t="shared" si="1171"/>
        <v>Foto</v>
      </c>
      <c r="AL1850" t="str">
        <f>"{\rtf1\ansi\ansicpg1252\deff0\deflang11274{\fonttbl{\f0\fnil\fcharset0 MS Sans Serif}} \viewkind4\uc1\pard\f0\fs16 DISTRIBUIDOR ELECTRONICO VW GOL MOTOR AUDI 2.0 INYECCION SIN AVANCE ENGRANAJE GRANDE\par } "</f>
        <v xml:space="preserve">{\rtf1\ansi\ansicpg1252\deff0\deflang11274{\fonttbl{\f0\fnil\fcharset0 MS Sans Serif}} \viewkind4\uc1\pard\f0\fs16 DISTRIBUIDOR ELECTRONICO VW GOL MOTOR AUDI 2.0 INYECCION SIN AVANCE ENGRANAJE GRANDE\par } </v>
      </c>
      <c r="AM1850" t="str">
        <f>"-"</f>
        <v>-</v>
      </c>
    </row>
    <row r="1851" spans="1:39" x14ac:dyDescent="0.25">
      <c r="A1851" t="str">
        <f>"VK504"</f>
        <v>VK504</v>
      </c>
      <c r="B1851" t="str">
        <f>"DISTRIBUIDOR MECANICO PEUGEOT 504"</f>
        <v>DISTRIBUIDOR MECANICO PEUGEOT 504</v>
      </c>
      <c r="C1851" t="str">
        <f t="shared" ref="C1851:G1852" si="1195">"$ 139196,17"</f>
        <v>$ 139196,17</v>
      </c>
      <c r="D1851" t="str">
        <f t="shared" si="1195"/>
        <v>$ 139196,17</v>
      </c>
      <c r="E1851" t="str">
        <f t="shared" si="1195"/>
        <v>$ 139196,17</v>
      </c>
      <c r="F1851" t="str">
        <f t="shared" si="1195"/>
        <v>$ 139196,17</v>
      </c>
      <c r="G1851" t="str">
        <f t="shared" si="1195"/>
        <v>$ 139196,17</v>
      </c>
      <c r="H1851" t="str">
        <f t="shared" si="1154"/>
        <v>$ 0,00</v>
      </c>
      <c r="I1851" t="str">
        <f>"DISTRIBUIDOR MECANICO"</f>
        <v>DISTRIBUIDOR MECANICO</v>
      </c>
      <c r="J1851" t="str">
        <f t="shared" si="1155"/>
        <v>1</v>
      </c>
      <c r="K1851" t="str">
        <f t="shared" si="1193"/>
        <v>0</v>
      </c>
      <c r="L1851" t="str">
        <f>"2,000"</f>
        <v>2,000</v>
      </c>
      <c r="M1851" t="str">
        <f t="shared" si="1156"/>
        <v xml:space="preserve"> </v>
      </c>
      <c r="N1851" t="str">
        <f>"VERKEHR"</f>
        <v>VERKEHR</v>
      </c>
      <c r="O1851" t="str">
        <f t="shared" si="1187"/>
        <v>DISTRIBUIDORES</v>
      </c>
      <c r="P1851" t="str">
        <f t="shared" si="1191"/>
        <v>0</v>
      </c>
      <c r="Q1851" t="str">
        <f t="shared" si="1191"/>
        <v>0</v>
      </c>
      <c r="R1851" t="str">
        <f t="shared" si="1192"/>
        <v>0,00</v>
      </c>
      <c r="S1851" t="str">
        <f t="shared" si="1192"/>
        <v>0,00</v>
      </c>
      <c r="T1851" t="str">
        <f t="shared" si="1153"/>
        <v xml:space="preserve"> </v>
      </c>
      <c r="U1851" t="str">
        <f t="shared" si="1174"/>
        <v xml:space="preserve"> </v>
      </c>
      <c r="V1851" t="str">
        <f>"2,000"</f>
        <v>2,000</v>
      </c>
      <c r="W1851" t="str">
        <f t="shared" si="1157"/>
        <v>Lista 4</v>
      </c>
      <c r="X1851" t="str">
        <f t="shared" si="1158"/>
        <v>Lista 5</v>
      </c>
      <c r="Y1851" t="str">
        <f t="shared" si="1159"/>
        <v>Oferta Gral.</v>
      </c>
      <c r="Z1851" t="str">
        <f t="shared" si="1160"/>
        <v>Rubro</v>
      </c>
      <c r="AA1851" t="str">
        <f t="shared" si="1161"/>
        <v>Cantidad por Bulto</v>
      </c>
      <c r="AB1851" t="str">
        <f t="shared" si="1162"/>
        <v>INNER</v>
      </c>
      <c r="AC1851" t="str">
        <f t="shared" si="1163"/>
        <v>Stock en Bultos</v>
      </c>
      <c r="AD1851" t="str">
        <f t="shared" si="1164"/>
        <v>SubDepósito</v>
      </c>
      <c r="AE1851" t="str">
        <f t="shared" si="1165"/>
        <v>Marca</v>
      </c>
      <c r="AF1851" t="str">
        <f t="shared" si="1166"/>
        <v>Super Rubro</v>
      </c>
      <c r="AG1851" t="str">
        <f t="shared" si="1167"/>
        <v>ComercioExterior</v>
      </c>
      <c r="AH1851" t="str">
        <f t="shared" si="1168"/>
        <v>PrecioFOB</v>
      </c>
      <c r="AI1851" t="str">
        <f t="shared" si="1169"/>
        <v>Monto II</v>
      </c>
      <c r="AJ1851" t="str">
        <f t="shared" si="1170"/>
        <v>Porcentaje II</v>
      </c>
      <c r="AK1851" t="str">
        <f t="shared" si="1171"/>
        <v>Foto</v>
      </c>
      <c r="AL1851" t="str">
        <f>"{\rtf1\ansi\ansicpg1252\deff0\deflang11274{\fonttbl{\f0\fnil\fcharset0 MS Sans Serif}} \viewkind4\uc1\pard\f0\fs16 DISTRIBUIDOR MECANICO PEUGEOT 504\par } "</f>
        <v xml:space="preserve">{\rtf1\ansi\ansicpg1252\deff0\deflang11274{\fonttbl{\f0\fnil\fcharset0 MS Sans Serif}} \viewkind4\uc1\pard\f0\fs16 DISTRIBUIDOR MECANICO PEUGEOT 504\par } </v>
      </c>
      <c r="AM1851" t="str">
        <f>" "</f>
        <v xml:space="preserve"> </v>
      </c>
    </row>
    <row r="1852" spans="1:39" x14ac:dyDescent="0.25">
      <c r="A1852" t="str">
        <f>"VKR12"</f>
        <v>VKR12</v>
      </c>
      <c r="B1852" t="str">
        <f>"DISTRIBUIDOR MECANICO R12"</f>
        <v>DISTRIBUIDOR MECANICO R12</v>
      </c>
      <c r="C1852" t="str">
        <f t="shared" si="1195"/>
        <v>$ 139196,17</v>
      </c>
      <c r="D1852" t="str">
        <f t="shared" si="1195"/>
        <v>$ 139196,17</v>
      </c>
      <c r="E1852" t="str">
        <f t="shared" si="1195"/>
        <v>$ 139196,17</v>
      </c>
      <c r="F1852" t="str">
        <f t="shared" si="1195"/>
        <v>$ 139196,17</v>
      </c>
      <c r="G1852" t="str">
        <f t="shared" si="1195"/>
        <v>$ 139196,17</v>
      </c>
      <c r="H1852" t="str">
        <f t="shared" si="1154"/>
        <v>$ 0,00</v>
      </c>
      <c r="I1852" t="str">
        <f>"DISTRIBUIDOR MECANICO"</f>
        <v>DISTRIBUIDOR MECANICO</v>
      </c>
      <c r="J1852" t="str">
        <f t="shared" si="1155"/>
        <v>1</v>
      </c>
      <c r="K1852" t="str">
        <f t="shared" si="1193"/>
        <v>0</v>
      </c>
      <c r="L1852" t="str">
        <f>"0,000"</f>
        <v>0,000</v>
      </c>
      <c r="M1852" t="str">
        <f t="shared" si="1156"/>
        <v xml:space="preserve"> </v>
      </c>
      <c r="N1852" t="str">
        <f>"VERKEHR"</f>
        <v>VERKEHR</v>
      </c>
      <c r="O1852" t="str">
        <f t="shared" si="1187"/>
        <v>DISTRIBUIDORES</v>
      </c>
      <c r="P1852" t="str">
        <f t="shared" si="1191"/>
        <v>0</v>
      </c>
      <c r="Q1852" t="str">
        <f t="shared" si="1191"/>
        <v>0</v>
      </c>
      <c r="R1852" t="str">
        <f t="shared" si="1192"/>
        <v>0,00</v>
      </c>
      <c r="S1852" t="str">
        <f t="shared" si="1192"/>
        <v>0,00</v>
      </c>
      <c r="T1852" t="str">
        <f t="shared" si="1153"/>
        <v xml:space="preserve"> </v>
      </c>
      <c r="U1852" t="str">
        <f t="shared" si="1174"/>
        <v xml:space="preserve"> </v>
      </c>
      <c r="V1852" t="str">
        <f>"0,000"</f>
        <v>0,000</v>
      </c>
      <c r="W1852" t="str">
        <f t="shared" si="1157"/>
        <v>Lista 4</v>
      </c>
      <c r="X1852" t="str">
        <f t="shared" si="1158"/>
        <v>Lista 5</v>
      </c>
      <c r="Y1852" t="str">
        <f t="shared" si="1159"/>
        <v>Oferta Gral.</v>
      </c>
      <c r="Z1852" t="str">
        <f t="shared" si="1160"/>
        <v>Rubro</v>
      </c>
      <c r="AA1852" t="str">
        <f t="shared" si="1161"/>
        <v>Cantidad por Bulto</v>
      </c>
      <c r="AB1852" t="str">
        <f t="shared" si="1162"/>
        <v>INNER</v>
      </c>
      <c r="AC1852" t="str">
        <f t="shared" si="1163"/>
        <v>Stock en Bultos</v>
      </c>
      <c r="AD1852" t="str">
        <f t="shared" si="1164"/>
        <v>SubDepósito</v>
      </c>
      <c r="AE1852" t="str">
        <f t="shared" si="1165"/>
        <v>Marca</v>
      </c>
      <c r="AF1852" t="str">
        <f t="shared" si="1166"/>
        <v>Super Rubro</v>
      </c>
      <c r="AG1852" t="str">
        <f t="shared" si="1167"/>
        <v>ComercioExterior</v>
      </c>
      <c r="AH1852" t="str">
        <f t="shared" si="1168"/>
        <v>PrecioFOB</v>
      </c>
      <c r="AI1852" t="str">
        <f t="shared" si="1169"/>
        <v>Monto II</v>
      </c>
      <c r="AJ1852" t="str">
        <f t="shared" si="1170"/>
        <v>Porcentaje II</v>
      </c>
      <c r="AK1852" t="str">
        <f t="shared" si="1171"/>
        <v>Foto</v>
      </c>
      <c r="AL1852" t="str">
        <f>"{\rtf1\ansi\ansicpg1252\deff0\deflang11274{\fonttbl{\f0\fnil\fcharset0 MS Sans Serif}} \viewkind4\uc1\pard\f0\fs16 DISTRIBUIDOR MECANICO R12\par } "</f>
        <v xml:space="preserve">{\rtf1\ansi\ansicpg1252\deff0\deflang11274{\fonttbl{\f0\fnil\fcharset0 MS Sans Serif}} \viewkind4\uc1\pard\f0\fs16 DISTRIBUIDOR MECANICO R12\par } </v>
      </c>
      <c r="AM1852" t="str">
        <f>" "</f>
        <v xml:space="preserve"> </v>
      </c>
    </row>
    <row r="1853" spans="1:39" x14ac:dyDescent="0.25">
      <c r="A1853" t="str">
        <f>"FI17006"</f>
        <v>FI17006</v>
      </c>
      <c r="B1853" t="str">
        <f>"ELECTROVALVULA AVANCE RENAULT CLIO KANGOO TRAFIC 1,9D F8Q BOMBA CAV 7701205886 7701045695"</f>
        <v>ELECTROVALVULA AVANCE RENAULT CLIO KANGOO TRAFIC 1,9D F8Q BOMBA CAV 7701205886 7701045695</v>
      </c>
      <c r="C1853" t="str">
        <f>"$ 98404,45"</f>
        <v>$ 98404,45</v>
      </c>
      <c r="D1853" t="str">
        <f>"$ 98404,45"</f>
        <v>$ 98404,45</v>
      </c>
      <c r="E1853" t="str">
        <f>"$ 98404,45"</f>
        <v>$ 98404,45</v>
      </c>
      <c r="F1853" t="str">
        <f>"$ 98404,45"</f>
        <v>$ 98404,45</v>
      </c>
      <c r="G1853" t="str">
        <f>"$ 98404,45"</f>
        <v>$ 98404,45</v>
      </c>
      <c r="H1853" t="str">
        <f t="shared" si="1154"/>
        <v>$ 0,00</v>
      </c>
      <c r="I1853" t="str">
        <f>"ELECTROVALVULA AVANCE"</f>
        <v>ELECTROVALVULA AVANCE</v>
      </c>
      <c r="J1853" t="str">
        <f t="shared" si="1155"/>
        <v>1</v>
      </c>
      <c r="K1853" t="str">
        <f t="shared" si="1193"/>
        <v>0</v>
      </c>
      <c r="L1853" t="str">
        <f>"6,000"</f>
        <v>6,000</v>
      </c>
      <c r="M1853" t="str">
        <f t="shared" si="1156"/>
        <v xml:space="preserve"> </v>
      </c>
      <c r="N1853" t="str">
        <f>"FISPA"</f>
        <v>FISPA</v>
      </c>
      <c r="O1853" t="str">
        <f>"SENSORES"</f>
        <v>SENSORES</v>
      </c>
      <c r="P1853" t="str">
        <f t="shared" si="1191"/>
        <v>0</v>
      </c>
      <c r="Q1853" t="str">
        <f t="shared" si="1191"/>
        <v>0</v>
      </c>
      <c r="R1853" t="str">
        <f t="shared" si="1192"/>
        <v>0,00</v>
      </c>
      <c r="S1853" t="str">
        <f t="shared" si="1192"/>
        <v>0,00</v>
      </c>
      <c r="T1853" t="str">
        <f t="shared" si="1153"/>
        <v xml:space="preserve"> </v>
      </c>
      <c r="U1853" t="str">
        <f t="shared" si="1174"/>
        <v xml:space="preserve"> </v>
      </c>
      <c r="V1853" t="str">
        <f>"6,000"</f>
        <v>6,000</v>
      </c>
      <c r="W1853" t="str">
        <f t="shared" si="1157"/>
        <v>Lista 4</v>
      </c>
      <c r="X1853" t="str">
        <f t="shared" si="1158"/>
        <v>Lista 5</v>
      </c>
      <c r="Y1853" t="str">
        <f t="shared" si="1159"/>
        <v>Oferta Gral.</v>
      </c>
      <c r="Z1853" t="str">
        <f t="shared" si="1160"/>
        <v>Rubro</v>
      </c>
      <c r="AA1853" t="str">
        <f t="shared" si="1161"/>
        <v>Cantidad por Bulto</v>
      </c>
      <c r="AB1853" t="str">
        <f t="shared" si="1162"/>
        <v>INNER</v>
      </c>
      <c r="AC1853" t="str">
        <f t="shared" si="1163"/>
        <v>Stock en Bultos</v>
      </c>
      <c r="AD1853" t="str">
        <f t="shared" si="1164"/>
        <v>SubDepósito</v>
      </c>
      <c r="AE1853" t="str">
        <f t="shared" si="1165"/>
        <v>Marca</v>
      </c>
      <c r="AF1853" t="str">
        <f t="shared" si="1166"/>
        <v>Super Rubro</v>
      </c>
      <c r="AG1853" t="str">
        <f t="shared" si="1167"/>
        <v>ComercioExterior</v>
      </c>
      <c r="AH1853" t="str">
        <f t="shared" si="1168"/>
        <v>PrecioFOB</v>
      </c>
      <c r="AI1853" t="str">
        <f t="shared" si="1169"/>
        <v>Monto II</v>
      </c>
      <c r="AJ1853" t="str">
        <f t="shared" si="1170"/>
        <v>Porcentaje II</v>
      </c>
      <c r="AK1853" t="str">
        <f t="shared" si="1171"/>
        <v>Foto</v>
      </c>
      <c r="AL1853" t="str">
        <f>"{\rtf1\ansi\ansicpg1252\deff0\deflang11274{\fonttbl{\f0\fnil\fcharset0 MS Sans Serif}} \viewkind4\uc1\pard\f0\fs16 ELECTROVALVULA AVANCE RENAULT CLIO KANGOO TRAFIC 1,9D F8Q BOMBA CAV 7701205886 7701045695\par } "</f>
        <v xml:space="preserve">{\rtf1\ansi\ansicpg1252\deff0\deflang11274{\fonttbl{\f0\fnil\fcharset0 MS Sans Serif}} \viewkind4\uc1\pard\f0\fs16 ELECTROVALVULA AVANCE RENAULT CLIO KANGOO TRAFIC 1,9D F8Q BOMBA CAV 7701205886 7701045695\par } </v>
      </c>
      <c r="AM1853" t="str">
        <f>"-"</f>
        <v>-</v>
      </c>
    </row>
    <row r="1854" spans="1:39" x14ac:dyDescent="0.25">
      <c r="A1854" t="str">
        <f>"FI17014"</f>
        <v>FI17014</v>
      </c>
      <c r="B1854" t="str">
        <f>"ELECTROVALVULA DE AVANCE FIAT 1,7D FORD 1,78D PEUGEOT 1,9D CAV"</f>
        <v>ELECTROVALVULA DE AVANCE FIAT 1,7D FORD 1,78D PEUGEOT 1,9D CAV</v>
      </c>
      <c r="C1854" t="str">
        <f>"$ 19885,70"</f>
        <v>$ 19885,70</v>
      </c>
      <c r="D1854" t="str">
        <f>"$ 19885,70"</f>
        <v>$ 19885,70</v>
      </c>
      <c r="E1854" t="str">
        <f>"$ 19885,70"</f>
        <v>$ 19885,70</v>
      </c>
      <c r="F1854" t="str">
        <f>"$ 19885,70"</f>
        <v>$ 19885,70</v>
      </c>
      <c r="G1854" t="str">
        <f>"$ 19885,70"</f>
        <v>$ 19885,70</v>
      </c>
      <c r="H1854" t="str">
        <f t="shared" si="1154"/>
        <v>$ 0,00</v>
      </c>
      <c r="I1854" t="str">
        <f>"ELECTROVALVULA AVANCE"</f>
        <v>ELECTROVALVULA AVANCE</v>
      </c>
      <c r="J1854" t="str">
        <f t="shared" si="1155"/>
        <v>1</v>
      </c>
      <c r="K1854" t="str">
        <f t="shared" si="1193"/>
        <v>0</v>
      </c>
      <c r="L1854" t="str">
        <f>"0,000"</f>
        <v>0,000</v>
      </c>
      <c r="M1854" t="str">
        <f t="shared" si="1156"/>
        <v xml:space="preserve"> </v>
      </c>
      <c r="N1854" t="str">
        <f>"FISPA"</f>
        <v>FISPA</v>
      </c>
      <c r="O1854" t="str">
        <f>"SENSORES"</f>
        <v>SENSORES</v>
      </c>
      <c r="P1854" t="str">
        <f t="shared" si="1191"/>
        <v>0</v>
      </c>
      <c r="Q1854" t="str">
        <f t="shared" si="1191"/>
        <v>0</v>
      </c>
      <c r="R1854" t="str">
        <f t="shared" si="1192"/>
        <v>0,00</v>
      </c>
      <c r="S1854" t="str">
        <f t="shared" si="1192"/>
        <v>0,00</v>
      </c>
      <c r="T1854" t="str">
        <f t="shared" si="1153"/>
        <v xml:space="preserve"> </v>
      </c>
      <c r="U1854" t="str">
        <f t="shared" si="1174"/>
        <v xml:space="preserve"> </v>
      </c>
      <c r="V1854" t="str">
        <f>"0,000"</f>
        <v>0,000</v>
      </c>
      <c r="W1854" t="str">
        <f t="shared" si="1157"/>
        <v>Lista 4</v>
      </c>
      <c r="X1854" t="str">
        <f t="shared" si="1158"/>
        <v>Lista 5</v>
      </c>
      <c r="Y1854" t="str">
        <f t="shared" si="1159"/>
        <v>Oferta Gral.</v>
      </c>
      <c r="Z1854" t="str">
        <f t="shared" si="1160"/>
        <v>Rubro</v>
      </c>
      <c r="AA1854" t="str">
        <f t="shared" si="1161"/>
        <v>Cantidad por Bulto</v>
      </c>
      <c r="AB1854" t="str">
        <f t="shared" si="1162"/>
        <v>INNER</v>
      </c>
      <c r="AC1854" t="str">
        <f t="shared" si="1163"/>
        <v>Stock en Bultos</v>
      </c>
      <c r="AD1854" t="str">
        <f t="shared" si="1164"/>
        <v>SubDepósito</v>
      </c>
      <c r="AE1854" t="str">
        <f t="shared" si="1165"/>
        <v>Marca</v>
      </c>
      <c r="AF1854" t="str">
        <f t="shared" si="1166"/>
        <v>Super Rubro</v>
      </c>
      <c r="AG1854" t="str">
        <f t="shared" si="1167"/>
        <v>ComercioExterior</v>
      </c>
      <c r="AH1854" t="str">
        <f t="shared" si="1168"/>
        <v>PrecioFOB</v>
      </c>
      <c r="AI1854" t="str">
        <f t="shared" si="1169"/>
        <v>Monto II</v>
      </c>
      <c r="AJ1854" t="str">
        <f t="shared" si="1170"/>
        <v>Porcentaje II</v>
      </c>
      <c r="AK1854" t="str">
        <f t="shared" si="1171"/>
        <v>Foto</v>
      </c>
      <c r="AL1854" t="str">
        <f>" "</f>
        <v xml:space="preserve"> </v>
      </c>
      <c r="AM1854" t="str">
        <f>"-"</f>
        <v>-</v>
      </c>
    </row>
    <row r="1855" spans="1:39" x14ac:dyDescent="0.25">
      <c r="A1855" t="str">
        <f>"FI17015"</f>
        <v>FI17015</v>
      </c>
      <c r="B1855" t="str">
        <f>"ELECTROVALVULA DE AVANCE FIAT 1,7D FORD 1,78D PEUGEOT 1,9D VW 1,9D TIPO BOSCH"</f>
        <v>ELECTROVALVULA DE AVANCE FIAT 1,7D FORD 1,78D PEUGEOT 1,9D VW 1,9D TIPO BOSCH</v>
      </c>
      <c r="C1855" t="str">
        <f>"$ 30366,83"</f>
        <v>$ 30366,83</v>
      </c>
      <c r="D1855" t="str">
        <f>"$ 30366,83"</f>
        <v>$ 30366,83</v>
      </c>
      <c r="E1855" t="str">
        <f>"$ 30366,83"</f>
        <v>$ 30366,83</v>
      </c>
      <c r="F1855" t="str">
        <f>"$ 30366,83"</f>
        <v>$ 30366,83</v>
      </c>
      <c r="G1855" t="str">
        <f>"$ 30366,83"</f>
        <v>$ 30366,83</v>
      </c>
      <c r="H1855" t="str">
        <f t="shared" si="1154"/>
        <v>$ 0,00</v>
      </c>
      <c r="I1855" t="str">
        <f>"ELECTROVALVULA AVANCE"</f>
        <v>ELECTROVALVULA AVANCE</v>
      </c>
      <c r="J1855" t="str">
        <f t="shared" si="1155"/>
        <v>1</v>
      </c>
      <c r="K1855" t="str">
        <f t="shared" si="1193"/>
        <v>0</v>
      </c>
      <c r="L1855" t="str">
        <f>"7,000"</f>
        <v>7,000</v>
      </c>
      <c r="M1855" t="str">
        <f t="shared" si="1156"/>
        <v xml:space="preserve"> </v>
      </c>
      <c r="N1855" t="str">
        <f>"FISPA"</f>
        <v>FISPA</v>
      </c>
      <c r="O1855" t="str">
        <f>"SENSORES"</f>
        <v>SENSORES</v>
      </c>
      <c r="P1855" t="str">
        <f t="shared" si="1191"/>
        <v>0</v>
      </c>
      <c r="Q1855" t="str">
        <f t="shared" si="1191"/>
        <v>0</v>
      </c>
      <c r="R1855" t="str">
        <f t="shared" si="1192"/>
        <v>0,00</v>
      </c>
      <c r="S1855" t="str">
        <f t="shared" si="1192"/>
        <v>0,00</v>
      </c>
      <c r="T1855" t="str">
        <f t="shared" si="1153"/>
        <v xml:space="preserve"> </v>
      </c>
      <c r="U1855" t="str">
        <f t="shared" si="1174"/>
        <v xml:space="preserve"> </v>
      </c>
      <c r="V1855" t="str">
        <f>"7,000"</f>
        <v>7,000</v>
      </c>
      <c r="W1855" t="str">
        <f t="shared" si="1157"/>
        <v>Lista 4</v>
      </c>
      <c r="X1855" t="str">
        <f t="shared" si="1158"/>
        <v>Lista 5</v>
      </c>
      <c r="Y1855" t="str">
        <f t="shared" si="1159"/>
        <v>Oferta Gral.</v>
      </c>
      <c r="Z1855" t="str">
        <f t="shared" si="1160"/>
        <v>Rubro</v>
      </c>
      <c r="AA1855" t="str">
        <f t="shared" si="1161"/>
        <v>Cantidad por Bulto</v>
      </c>
      <c r="AB1855" t="str">
        <f t="shared" si="1162"/>
        <v>INNER</v>
      </c>
      <c r="AC1855" t="str">
        <f t="shared" si="1163"/>
        <v>Stock en Bultos</v>
      </c>
      <c r="AD1855" t="str">
        <f t="shared" si="1164"/>
        <v>SubDepósito</v>
      </c>
      <c r="AE1855" t="str">
        <f t="shared" si="1165"/>
        <v>Marca</v>
      </c>
      <c r="AF1855" t="str">
        <f t="shared" si="1166"/>
        <v>Super Rubro</v>
      </c>
      <c r="AG1855" t="str">
        <f t="shared" si="1167"/>
        <v>ComercioExterior</v>
      </c>
      <c r="AH1855" t="str">
        <f t="shared" si="1168"/>
        <v>PrecioFOB</v>
      </c>
      <c r="AI1855" t="str">
        <f t="shared" si="1169"/>
        <v>Monto II</v>
      </c>
      <c r="AJ1855" t="str">
        <f t="shared" si="1170"/>
        <v>Porcentaje II</v>
      </c>
      <c r="AK1855" t="str">
        <f t="shared" si="1171"/>
        <v>Foto</v>
      </c>
      <c r="AL1855" t="str">
        <f>" "</f>
        <v xml:space="preserve"> </v>
      </c>
      <c r="AM1855" t="str">
        <f>"-"</f>
        <v>-</v>
      </c>
    </row>
    <row r="1856" spans="1:39" x14ac:dyDescent="0.25">
      <c r="A1856" t="str">
        <f>"FI17009"</f>
        <v>FI17009</v>
      </c>
      <c r="B1856" t="str">
        <f>"ELECTROVALVULA DE AVANCE RENAULT FORD PEUGEOT"</f>
        <v>ELECTROVALVULA DE AVANCE RENAULT FORD PEUGEOT</v>
      </c>
      <c r="C1856" t="str">
        <f>"$ 35537,21"</f>
        <v>$ 35537,21</v>
      </c>
      <c r="D1856" t="str">
        <f>"$ 35537,21"</f>
        <v>$ 35537,21</v>
      </c>
      <c r="E1856" t="str">
        <f>"$ 35537,21"</f>
        <v>$ 35537,21</v>
      </c>
      <c r="F1856" t="str">
        <f>"$ 35537,21"</f>
        <v>$ 35537,21</v>
      </c>
      <c r="G1856" t="str">
        <f>"$ 35537,21"</f>
        <v>$ 35537,21</v>
      </c>
      <c r="H1856" t="str">
        <f t="shared" si="1154"/>
        <v>$ 0,00</v>
      </c>
      <c r="I1856" t="str">
        <f>"ELECTROVALVULA AVANCE"</f>
        <v>ELECTROVALVULA AVANCE</v>
      </c>
      <c r="J1856" t="str">
        <f t="shared" si="1155"/>
        <v>1</v>
      </c>
      <c r="K1856" t="str">
        <f t="shared" si="1193"/>
        <v>0</v>
      </c>
      <c r="L1856" t="str">
        <f>"6,000"</f>
        <v>6,000</v>
      </c>
      <c r="M1856" t="str">
        <f t="shared" si="1156"/>
        <v xml:space="preserve"> </v>
      </c>
      <c r="N1856" t="str">
        <f>"FISPA"</f>
        <v>FISPA</v>
      </c>
      <c r="O1856" t="str">
        <f>"SENSORES"</f>
        <v>SENSORES</v>
      </c>
      <c r="P1856" t="str">
        <f t="shared" si="1191"/>
        <v>0</v>
      </c>
      <c r="Q1856" t="str">
        <f t="shared" si="1191"/>
        <v>0</v>
      </c>
      <c r="R1856" t="str">
        <f t="shared" si="1192"/>
        <v>0,00</v>
      </c>
      <c r="S1856" t="str">
        <f t="shared" si="1192"/>
        <v>0,00</v>
      </c>
      <c r="T1856" t="str">
        <f t="shared" ref="T1856:T1919" si="1196">" "</f>
        <v xml:space="preserve"> </v>
      </c>
      <c r="U1856" t="str">
        <f t="shared" si="1174"/>
        <v xml:space="preserve"> </v>
      </c>
      <c r="V1856" t="str">
        <f>"6,000"</f>
        <v>6,000</v>
      </c>
      <c r="W1856" t="str">
        <f t="shared" si="1157"/>
        <v>Lista 4</v>
      </c>
      <c r="X1856" t="str">
        <f t="shared" si="1158"/>
        <v>Lista 5</v>
      </c>
      <c r="Y1856" t="str">
        <f t="shared" si="1159"/>
        <v>Oferta Gral.</v>
      </c>
      <c r="Z1856" t="str">
        <f t="shared" si="1160"/>
        <v>Rubro</v>
      </c>
      <c r="AA1856" t="str">
        <f t="shared" si="1161"/>
        <v>Cantidad por Bulto</v>
      </c>
      <c r="AB1856" t="str">
        <f t="shared" si="1162"/>
        <v>INNER</v>
      </c>
      <c r="AC1856" t="str">
        <f t="shared" si="1163"/>
        <v>Stock en Bultos</v>
      </c>
      <c r="AD1856" t="str">
        <f t="shared" si="1164"/>
        <v>SubDepósito</v>
      </c>
      <c r="AE1856" t="str">
        <f t="shared" si="1165"/>
        <v>Marca</v>
      </c>
      <c r="AF1856" t="str">
        <f t="shared" si="1166"/>
        <v>Super Rubro</v>
      </c>
      <c r="AG1856" t="str">
        <f t="shared" si="1167"/>
        <v>ComercioExterior</v>
      </c>
      <c r="AH1856" t="str">
        <f t="shared" si="1168"/>
        <v>PrecioFOB</v>
      </c>
      <c r="AI1856" t="str">
        <f t="shared" si="1169"/>
        <v>Monto II</v>
      </c>
      <c r="AJ1856" t="str">
        <f t="shared" si="1170"/>
        <v>Porcentaje II</v>
      </c>
      <c r="AK1856" t="str">
        <f t="shared" si="1171"/>
        <v>Foto</v>
      </c>
      <c r="AL1856" t="str">
        <f>" "</f>
        <v xml:space="preserve"> </v>
      </c>
      <c r="AM1856" t="str">
        <f>"-"</f>
        <v>-</v>
      </c>
    </row>
    <row r="1857" spans="1:39" x14ac:dyDescent="0.25">
      <c r="A1857" t="str">
        <f>"FI17010"</f>
        <v>FI17010</v>
      </c>
      <c r="B1857" t="str">
        <f>"ELECTROVALVULA PARE FIAT/PEUGEOT/CITROEN/FORD/RENAULT"</f>
        <v>ELECTROVALVULA PARE FIAT/PEUGEOT/CITROEN/FORD/RENAULT</v>
      </c>
      <c r="C1857" t="str">
        <f>"$ 28867,96"</f>
        <v>$ 28867,96</v>
      </c>
      <c r="D1857" t="str">
        <f>"$ 28867,96"</f>
        <v>$ 28867,96</v>
      </c>
      <c r="E1857" t="str">
        <f>"$ 28867,96"</f>
        <v>$ 28867,96</v>
      </c>
      <c r="F1857" t="str">
        <f>"$ 28867,96"</f>
        <v>$ 28867,96</v>
      </c>
      <c r="G1857" t="str">
        <f>"$ 28867,96"</f>
        <v>$ 28867,96</v>
      </c>
      <c r="H1857" t="str">
        <f t="shared" si="1154"/>
        <v>$ 0,00</v>
      </c>
      <c r="I1857" t="str">
        <f>"ELECTROVALVULA AVANCE"</f>
        <v>ELECTROVALVULA AVANCE</v>
      </c>
      <c r="J1857" t="str">
        <f t="shared" si="1155"/>
        <v>1</v>
      </c>
      <c r="K1857" t="str">
        <f t="shared" si="1193"/>
        <v>0</v>
      </c>
      <c r="L1857" t="str">
        <f>"4,000"</f>
        <v>4,000</v>
      </c>
      <c r="M1857" t="str">
        <f t="shared" si="1156"/>
        <v xml:space="preserve"> </v>
      </c>
      <c r="N1857" t="str">
        <f>"FISPA"</f>
        <v>FISPA</v>
      </c>
      <c r="O1857" t="str">
        <f>"SENSORES"</f>
        <v>SENSORES</v>
      </c>
      <c r="P1857" t="str">
        <f t="shared" si="1191"/>
        <v>0</v>
      </c>
      <c r="Q1857" t="str">
        <f t="shared" si="1191"/>
        <v>0</v>
      </c>
      <c r="R1857" t="str">
        <f t="shared" si="1192"/>
        <v>0,00</v>
      </c>
      <c r="S1857" t="str">
        <f t="shared" si="1192"/>
        <v>0,00</v>
      </c>
      <c r="T1857" t="str">
        <f t="shared" si="1196"/>
        <v xml:space="preserve"> </v>
      </c>
      <c r="U1857" t="str">
        <f t="shared" si="1174"/>
        <v xml:space="preserve"> </v>
      </c>
      <c r="V1857" t="str">
        <f>"4,000"</f>
        <v>4,000</v>
      </c>
      <c r="W1857" t="str">
        <f t="shared" si="1157"/>
        <v>Lista 4</v>
      </c>
      <c r="X1857" t="str">
        <f t="shared" si="1158"/>
        <v>Lista 5</v>
      </c>
      <c r="Y1857" t="str">
        <f t="shared" si="1159"/>
        <v>Oferta Gral.</v>
      </c>
      <c r="Z1857" t="str">
        <f t="shared" si="1160"/>
        <v>Rubro</v>
      </c>
      <c r="AA1857" t="str">
        <f t="shared" si="1161"/>
        <v>Cantidad por Bulto</v>
      </c>
      <c r="AB1857" t="str">
        <f t="shared" si="1162"/>
        <v>INNER</v>
      </c>
      <c r="AC1857" t="str">
        <f t="shared" si="1163"/>
        <v>Stock en Bultos</v>
      </c>
      <c r="AD1857" t="str">
        <f t="shared" si="1164"/>
        <v>SubDepósito</v>
      </c>
      <c r="AE1857" t="str">
        <f t="shared" si="1165"/>
        <v>Marca</v>
      </c>
      <c r="AF1857" t="str">
        <f t="shared" si="1166"/>
        <v>Super Rubro</v>
      </c>
      <c r="AG1857" t="str">
        <f t="shared" si="1167"/>
        <v>ComercioExterior</v>
      </c>
      <c r="AH1857" t="str">
        <f t="shared" si="1168"/>
        <v>PrecioFOB</v>
      </c>
      <c r="AI1857" t="str">
        <f t="shared" si="1169"/>
        <v>Monto II</v>
      </c>
      <c r="AJ1857" t="str">
        <f t="shared" si="1170"/>
        <v>Porcentaje II</v>
      </c>
      <c r="AK1857" t="str">
        <f t="shared" si="1171"/>
        <v>Foto</v>
      </c>
      <c r="AL185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57" t="str">
        <f>"-"</f>
        <v>-</v>
      </c>
    </row>
    <row r="1858" spans="1:39" x14ac:dyDescent="0.25">
      <c r="A1858" t="str">
        <f>"DV10008"</f>
        <v>DV10008</v>
      </c>
      <c r="B1858" t="str">
        <f>"ENCENDEDOR UNIVERSAL CON LUZ MOD VIEJO"</f>
        <v>ENCENDEDOR UNIVERSAL CON LUZ MOD VIEJO</v>
      </c>
      <c r="C1858" t="str">
        <f>"$ 6767,64"</f>
        <v>$ 6767,64</v>
      </c>
      <c r="D1858" t="str">
        <f>"$ 6767,64"</f>
        <v>$ 6767,64</v>
      </c>
      <c r="E1858" t="str">
        <f>"$ 6767,64"</f>
        <v>$ 6767,64</v>
      </c>
      <c r="F1858" t="str">
        <f>"$ 6767,64"</f>
        <v>$ 6767,64</v>
      </c>
      <c r="G1858" t="str">
        <f>"$ 6767,64"</f>
        <v>$ 6767,64</v>
      </c>
      <c r="H1858" t="str">
        <f t="shared" si="1154"/>
        <v>$ 0,00</v>
      </c>
      <c r="I1858" t="str">
        <f>"ENCENDEDOR UNIVERSAL"</f>
        <v>ENCENDEDOR UNIVERSAL</v>
      </c>
      <c r="J1858" t="str">
        <f t="shared" si="1155"/>
        <v>1</v>
      </c>
      <c r="K1858" t="str">
        <f t="shared" si="1193"/>
        <v>0</v>
      </c>
      <c r="L1858" t="str">
        <f>"0,000"</f>
        <v>0,000</v>
      </c>
      <c r="M1858" t="str">
        <f t="shared" si="1156"/>
        <v xml:space="preserve"> </v>
      </c>
      <c r="N1858" t="str">
        <f>"DIVAIO"</f>
        <v>DIVAIO</v>
      </c>
      <c r="O1858" t="str">
        <f>"ENCENDEDORES"</f>
        <v>ENCENDEDORES</v>
      </c>
      <c r="P1858" t="str">
        <f t="shared" si="1191"/>
        <v>0</v>
      </c>
      <c r="Q1858" t="str">
        <f t="shared" si="1191"/>
        <v>0</v>
      </c>
      <c r="R1858" t="str">
        <f t="shared" si="1192"/>
        <v>0,00</v>
      </c>
      <c r="S1858" t="str">
        <f t="shared" si="1192"/>
        <v>0,00</v>
      </c>
      <c r="T1858" t="str">
        <f t="shared" si="1196"/>
        <v xml:space="preserve"> </v>
      </c>
      <c r="U1858" t="str">
        <f t="shared" si="1174"/>
        <v xml:space="preserve"> </v>
      </c>
      <c r="V1858" t="str">
        <f>"0,000"</f>
        <v>0,000</v>
      </c>
      <c r="W1858" t="str">
        <f t="shared" si="1157"/>
        <v>Lista 4</v>
      </c>
      <c r="X1858" t="str">
        <f t="shared" si="1158"/>
        <v>Lista 5</v>
      </c>
      <c r="Y1858" t="str">
        <f t="shared" si="1159"/>
        <v>Oferta Gral.</v>
      </c>
      <c r="Z1858" t="str">
        <f t="shared" si="1160"/>
        <v>Rubro</v>
      </c>
      <c r="AA1858" t="str">
        <f t="shared" si="1161"/>
        <v>Cantidad por Bulto</v>
      </c>
      <c r="AB1858" t="str">
        <f t="shared" si="1162"/>
        <v>INNER</v>
      </c>
      <c r="AC1858" t="str">
        <f t="shared" si="1163"/>
        <v>Stock en Bultos</v>
      </c>
      <c r="AD1858" t="str">
        <f t="shared" si="1164"/>
        <v>SubDepósito</v>
      </c>
      <c r="AE1858" t="str">
        <f t="shared" si="1165"/>
        <v>Marca</v>
      </c>
      <c r="AF1858" t="str">
        <f t="shared" si="1166"/>
        <v>Super Rubro</v>
      </c>
      <c r="AG1858" t="str">
        <f t="shared" si="1167"/>
        <v>ComercioExterior</v>
      </c>
      <c r="AH1858" t="str">
        <f t="shared" si="1168"/>
        <v>PrecioFOB</v>
      </c>
      <c r="AI1858" t="str">
        <f t="shared" si="1169"/>
        <v>Monto II</v>
      </c>
      <c r="AJ1858" t="str">
        <f t="shared" si="1170"/>
        <v>Porcentaje II</v>
      </c>
      <c r="AK1858" t="str">
        <f t="shared" si="1171"/>
        <v>Foto</v>
      </c>
      <c r="AL1858" t="str">
        <f>"{\rtf1\ansi\ansicpg1252\deff0\deflang11274{\fonttbl{\f0\fnil\fcharset0 MS Sans Serif}} \viewkind4\uc1\pard\f0\fs16 ENCENDEDOR UNIVERSAL CON LUZ MOD VIEJO\par } "</f>
        <v xml:space="preserve">{\rtf1\ansi\ansicpg1252\deff0\deflang11274{\fonttbl{\f0\fnil\fcharset0 MS Sans Serif}} \viewkind4\uc1\pard\f0\fs16 ENCENDEDOR UNIVERSAL CON LUZ MOD VIEJO\par } </v>
      </c>
      <c r="AM1858" t="str">
        <f t="shared" ref="AM1858:AM1886" si="1197">" "</f>
        <v xml:space="preserve"> </v>
      </c>
    </row>
    <row r="1859" spans="1:39" x14ac:dyDescent="0.25">
      <c r="A1859" t="str">
        <f>"DV10011"</f>
        <v>DV10011</v>
      </c>
      <c r="B1859" t="str">
        <f>"ENCENDEDOR UNIVERSAL CON LUZ MOD. NUEVO"</f>
        <v>ENCENDEDOR UNIVERSAL CON LUZ MOD. NUEVO</v>
      </c>
      <c r="C1859" t="str">
        <f>"$ 10410,14"</f>
        <v>$ 10410,14</v>
      </c>
      <c r="D1859" t="str">
        <f>"$ 10410,14"</f>
        <v>$ 10410,14</v>
      </c>
      <c r="E1859" t="str">
        <f>"$ 10410,14"</f>
        <v>$ 10410,14</v>
      </c>
      <c r="F1859" t="str">
        <f>"$ 10410,14"</f>
        <v>$ 10410,14</v>
      </c>
      <c r="G1859" t="str">
        <f>"$ 10410,14"</f>
        <v>$ 10410,14</v>
      </c>
      <c r="H1859" t="str">
        <f t="shared" ref="H1859:H1922" si="1198">"$ 0,00"</f>
        <v>$ 0,00</v>
      </c>
      <c r="I1859" t="str">
        <f>"ENCENDEDOR UNIVERSAL"</f>
        <v>ENCENDEDOR UNIVERSAL</v>
      </c>
      <c r="J1859" t="str">
        <f t="shared" ref="J1859:J1922" si="1199">"1"</f>
        <v>1</v>
      </c>
      <c r="K1859" t="str">
        <f t="shared" si="1193"/>
        <v>0</v>
      </c>
      <c r="L1859" t="str">
        <f>"7,000"</f>
        <v>7,000</v>
      </c>
      <c r="M1859" t="str">
        <f t="shared" ref="M1859:M1922" si="1200">" "</f>
        <v xml:space="preserve"> </v>
      </c>
      <c r="N1859" t="str">
        <f>"DIVAIO"</f>
        <v>DIVAIO</v>
      </c>
      <c r="O1859" t="str">
        <f>"ENCENDEDORES"</f>
        <v>ENCENDEDORES</v>
      </c>
      <c r="P1859" t="str">
        <f t="shared" si="1191"/>
        <v>0</v>
      </c>
      <c r="Q1859" t="str">
        <f t="shared" si="1191"/>
        <v>0</v>
      </c>
      <c r="R1859" t="str">
        <f t="shared" si="1192"/>
        <v>0,00</v>
      </c>
      <c r="S1859" t="str">
        <f t="shared" si="1192"/>
        <v>0,00</v>
      </c>
      <c r="T1859" t="str">
        <f t="shared" si="1196"/>
        <v xml:space="preserve"> </v>
      </c>
      <c r="U1859" t="str">
        <f t="shared" si="1174"/>
        <v xml:space="preserve"> </v>
      </c>
      <c r="V1859" t="str">
        <f>"7,000"</f>
        <v>7,000</v>
      </c>
      <c r="W1859" t="str">
        <f t="shared" ref="W1859:W1922" si="1201">"Lista 4"</f>
        <v>Lista 4</v>
      </c>
      <c r="X1859" t="str">
        <f t="shared" ref="X1859:X1922" si="1202">"Lista 5"</f>
        <v>Lista 5</v>
      </c>
      <c r="Y1859" t="str">
        <f t="shared" ref="Y1859:Y1922" si="1203">"Oferta Gral."</f>
        <v>Oferta Gral.</v>
      </c>
      <c r="Z1859" t="str">
        <f t="shared" ref="Z1859:Z1922" si="1204">"Rubro"</f>
        <v>Rubro</v>
      </c>
      <c r="AA1859" t="str">
        <f t="shared" ref="AA1859:AA1922" si="1205">"Cantidad por Bulto"</f>
        <v>Cantidad por Bulto</v>
      </c>
      <c r="AB1859" t="str">
        <f t="shared" ref="AB1859:AB1922" si="1206">"INNER"</f>
        <v>INNER</v>
      </c>
      <c r="AC1859" t="str">
        <f t="shared" ref="AC1859:AC1922" si="1207">"Stock en Bultos"</f>
        <v>Stock en Bultos</v>
      </c>
      <c r="AD1859" t="str">
        <f t="shared" ref="AD1859:AD1922" si="1208">"SubDepósito"</f>
        <v>SubDepósito</v>
      </c>
      <c r="AE1859" t="str">
        <f t="shared" ref="AE1859:AE1922" si="1209">"Marca"</f>
        <v>Marca</v>
      </c>
      <c r="AF1859" t="str">
        <f t="shared" ref="AF1859:AF1922" si="1210">"Super Rubro"</f>
        <v>Super Rubro</v>
      </c>
      <c r="AG1859" t="str">
        <f t="shared" ref="AG1859:AG1922" si="1211">"ComercioExterior"</f>
        <v>ComercioExterior</v>
      </c>
      <c r="AH1859" t="str">
        <f t="shared" ref="AH1859:AH1922" si="1212">"PrecioFOB"</f>
        <v>PrecioFOB</v>
      </c>
      <c r="AI1859" t="str">
        <f t="shared" ref="AI1859:AI1922" si="1213">"Monto II"</f>
        <v>Monto II</v>
      </c>
      <c r="AJ1859" t="str">
        <f t="shared" ref="AJ1859:AJ1922" si="1214">"Porcentaje II"</f>
        <v>Porcentaje II</v>
      </c>
      <c r="AK1859" t="str">
        <f t="shared" ref="AK1859:AK1922" si="1215">"Foto"</f>
        <v>Foto</v>
      </c>
      <c r="AL1859" t="str">
        <f>"{\rtf1\ansi\ansicpg1252\deff0\deflang11274{\fonttbl{\f0\fnil\fcharset0 MS Sans Serif}} \viewkind4\uc1\pard\f0\fs16 ENCENDEDOR UNIVERSAL CON LUZ MOD. NUEVO\par } "</f>
        <v xml:space="preserve">{\rtf1\ansi\ansicpg1252\deff0\deflang11274{\fonttbl{\f0\fnil\fcharset0 MS Sans Serif}} \viewkind4\uc1\pard\f0\fs16 ENCENDEDOR UNIVERSAL CON LUZ MOD. NUEVO\par } </v>
      </c>
      <c r="AM1859" t="str">
        <f t="shared" si="1197"/>
        <v xml:space="preserve"> </v>
      </c>
    </row>
    <row r="1860" spans="1:39" x14ac:dyDescent="0.25">
      <c r="A1860" t="str">
        <f>"TR10PR"</f>
        <v>TR10PR</v>
      </c>
      <c r="B1860" t="str">
        <f>"ESCOBILLA 10 PULGADAS LUNETA TRASERA CURVA GOMA CON 10 ENGANCHES"</f>
        <v>ESCOBILLA 10 PULGADAS LUNETA TRASERA CURVA GOMA CON 10 ENGANCHES</v>
      </c>
      <c r="C1860" t="str">
        <f t="shared" ref="C1860:G1863" si="1216">"$ 11508,18"</f>
        <v>$ 11508,18</v>
      </c>
      <c r="D1860" t="str">
        <f t="shared" si="1216"/>
        <v>$ 11508,18</v>
      </c>
      <c r="E1860" t="str">
        <f t="shared" si="1216"/>
        <v>$ 11508,18</v>
      </c>
      <c r="F1860" t="str">
        <f t="shared" si="1216"/>
        <v>$ 11508,18</v>
      </c>
      <c r="G1860" t="str">
        <f t="shared" si="1216"/>
        <v>$ 11508,18</v>
      </c>
      <c r="H1860" t="str">
        <f t="shared" si="1198"/>
        <v>$ 0,00</v>
      </c>
      <c r="I1860" t="str">
        <f>"ESCOBILLA LUNETA TRASERA CURVAS GOMA"</f>
        <v>ESCOBILLA LUNETA TRASERA CURVAS GOMA</v>
      </c>
      <c r="J1860" t="str">
        <f t="shared" si="1199"/>
        <v>1</v>
      </c>
      <c r="K1860" t="str">
        <f t="shared" si="1193"/>
        <v>0</v>
      </c>
      <c r="L1860" t="str">
        <f>"43,000"</f>
        <v>43,000</v>
      </c>
      <c r="M1860" t="str">
        <f t="shared" si="1200"/>
        <v xml:space="preserve"> </v>
      </c>
      <c r="N1860" t="str">
        <f t="shared" ref="N1860:N1886" si="1217">"EKTION"</f>
        <v>EKTION</v>
      </c>
      <c r="O1860" t="str">
        <f t="shared" ref="O1860:O1886" si="1218">"LIMPIA PARABRISAS"</f>
        <v>LIMPIA PARABRISAS</v>
      </c>
      <c r="P1860" t="str">
        <f t="shared" si="1191"/>
        <v>0</v>
      </c>
      <c r="Q1860" t="str">
        <f t="shared" si="1191"/>
        <v>0</v>
      </c>
      <c r="R1860" t="str">
        <f t="shared" si="1192"/>
        <v>0,00</v>
      </c>
      <c r="S1860" t="str">
        <f t="shared" si="1192"/>
        <v>0,00</v>
      </c>
      <c r="T1860" t="str">
        <f t="shared" si="1196"/>
        <v xml:space="preserve"> </v>
      </c>
      <c r="U1860" t="str">
        <f t="shared" si="1174"/>
        <v xml:space="preserve"> </v>
      </c>
      <c r="V1860" t="str">
        <f>"43,000"</f>
        <v>43,000</v>
      </c>
      <c r="W1860" t="str">
        <f t="shared" si="1201"/>
        <v>Lista 4</v>
      </c>
      <c r="X1860" t="str">
        <f t="shared" si="1202"/>
        <v>Lista 5</v>
      </c>
      <c r="Y1860" t="str">
        <f t="shared" si="1203"/>
        <v>Oferta Gral.</v>
      </c>
      <c r="Z1860" t="str">
        <f t="shared" si="1204"/>
        <v>Rubro</v>
      </c>
      <c r="AA1860" t="str">
        <f t="shared" si="1205"/>
        <v>Cantidad por Bulto</v>
      </c>
      <c r="AB1860" t="str">
        <f t="shared" si="1206"/>
        <v>INNER</v>
      </c>
      <c r="AC1860" t="str">
        <f t="shared" si="1207"/>
        <v>Stock en Bultos</v>
      </c>
      <c r="AD1860" t="str">
        <f t="shared" si="1208"/>
        <v>SubDepósito</v>
      </c>
      <c r="AE1860" t="str">
        <f t="shared" si="1209"/>
        <v>Marca</v>
      </c>
      <c r="AF1860" t="str">
        <f t="shared" si="1210"/>
        <v>Super Rubro</v>
      </c>
      <c r="AG1860" t="str">
        <f t="shared" si="1211"/>
        <v>ComercioExterior</v>
      </c>
      <c r="AH1860" t="str">
        <f t="shared" si="1212"/>
        <v>PrecioFOB</v>
      </c>
      <c r="AI1860" t="str">
        <f t="shared" si="1213"/>
        <v>Monto II</v>
      </c>
      <c r="AJ1860" t="str">
        <f t="shared" si="1214"/>
        <v>Porcentaje II</v>
      </c>
      <c r="AK1860" t="str">
        <f t="shared" si="1215"/>
        <v>Foto</v>
      </c>
      <c r="AL1860" t="str">
        <f>"{\rtf1\ansi\ansicpg1252\deff0\deflang11274{\fonttbl{\f0\fnil\fcharset0 MS Sans Serif}} \viewkind4\uc1\pard\f0\fs16 ESCOBILLA 10 PULGADAS LUNETA TRASERA CURVA GOMA CON 10 ENGANCHES\par } "</f>
        <v xml:space="preserve">{\rtf1\ansi\ansicpg1252\deff0\deflang11274{\fonttbl{\f0\fnil\fcharset0 MS Sans Serif}} \viewkind4\uc1\pard\f0\fs16 ESCOBILLA 10 PULGADAS LUNETA TRASERA CURVA GOMA CON 10 ENGANCHES\par } </v>
      </c>
      <c r="AM1860" t="str">
        <f t="shared" si="1197"/>
        <v xml:space="preserve"> </v>
      </c>
    </row>
    <row r="1861" spans="1:39" x14ac:dyDescent="0.25">
      <c r="A1861" t="str">
        <f>"TR12PR"</f>
        <v>TR12PR</v>
      </c>
      <c r="B1861" t="str">
        <f>"ESCOBILLA 12 PULGADAS LUNETA TRASERA CURVA GOMA CON 10 ENGANCHES"</f>
        <v>ESCOBILLA 12 PULGADAS LUNETA TRASERA CURVA GOMA CON 10 ENGANCHES</v>
      </c>
      <c r="C1861" t="str">
        <f t="shared" si="1216"/>
        <v>$ 11508,18</v>
      </c>
      <c r="D1861" t="str">
        <f t="shared" si="1216"/>
        <v>$ 11508,18</v>
      </c>
      <c r="E1861" t="str">
        <f t="shared" si="1216"/>
        <v>$ 11508,18</v>
      </c>
      <c r="F1861" t="str">
        <f t="shared" si="1216"/>
        <v>$ 11508,18</v>
      </c>
      <c r="G1861" t="str">
        <f t="shared" si="1216"/>
        <v>$ 11508,18</v>
      </c>
      <c r="H1861" t="str">
        <f t="shared" si="1198"/>
        <v>$ 0,00</v>
      </c>
      <c r="I1861" t="str">
        <f>"ESCOBILLA LUNETA TRASERA CURVAS GOMA"</f>
        <v>ESCOBILLA LUNETA TRASERA CURVAS GOMA</v>
      </c>
      <c r="J1861" t="str">
        <f t="shared" si="1199"/>
        <v>1</v>
      </c>
      <c r="K1861" t="str">
        <f t="shared" si="1193"/>
        <v>0</v>
      </c>
      <c r="L1861" t="str">
        <f>"37,000"</f>
        <v>37,000</v>
      </c>
      <c r="M1861" t="str">
        <f t="shared" si="1200"/>
        <v xml:space="preserve"> </v>
      </c>
      <c r="N1861" t="str">
        <f t="shared" si="1217"/>
        <v>EKTION</v>
      </c>
      <c r="O1861" t="str">
        <f t="shared" si="1218"/>
        <v>LIMPIA PARABRISAS</v>
      </c>
      <c r="P1861" t="str">
        <f t="shared" si="1191"/>
        <v>0</v>
      </c>
      <c r="Q1861" t="str">
        <f t="shared" si="1191"/>
        <v>0</v>
      </c>
      <c r="R1861" t="str">
        <f t="shared" si="1192"/>
        <v>0,00</v>
      </c>
      <c r="S1861" t="str">
        <f t="shared" si="1192"/>
        <v>0,00</v>
      </c>
      <c r="T1861" t="str">
        <f t="shared" si="1196"/>
        <v xml:space="preserve"> </v>
      </c>
      <c r="U1861" t="str">
        <f t="shared" si="1174"/>
        <v xml:space="preserve"> </v>
      </c>
      <c r="V1861" t="str">
        <f>"37,000"</f>
        <v>37,000</v>
      </c>
      <c r="W1861" t="str">
        <f t="shared" si="1201"/>
        <v>Lista 4</v>
      </c>
      <c r="X1861" t="str">
        <f t="shared" si="1202"/>
        <v>Lista 5</v>
      </c>
      <c r="Y1861" t="str">
        <f t="shared" si="1203"/>
        <v>Oferta Gral.</v>
      </c>
      <c r="Z1861" t="str">
        <f t="shared" si="1204"/>
        <v>Rubro</v>
      </c>
      <c r="AA1861" t="str">
        <f t="shared" si="1205"/>
        <v>Cantidad por Bulto</v>
      </c>
      <c r="AB1861" t="str">
        <f t="shared" si="1206"/>
        <v>INNER</v>
      </c>
      <c r="AC1861" t="str">
        <f t="shared" si="1207"/>
        <v>Stock en Bultos</v>
      </c>
      <c r="AD1861" t="str">
        <f t="shared" si="1208"/>
        <v>SubDepósito</v>
      </c>
      <c r="AE1861" t="str">
        <f t="shared" si="1209"/>
        <v>Marca</v>
      </c>
      <c r="AF1861" t="str">
        <f t="shared" si="1210"/>
        <v>Super Rubro</v>
      </c>
      <c r="AG1861" t="str">
        <f t="shared" si="1211"/>
        <v>ComercioExterior</v>
      </c>
      <c r="AH1861" t="str">
        <f t="shared" si="1212"/>
        <v>PrecioFOB</v>
      </c>
      <c r="AI1861" t="str">
        <f t="shared" si="1213"/>
        <v>Monto II</v>
      </c>
      <c r="AJ1861" t="str">
        <f t="shared" si="1214"/>
        <v>Porcentaje II</v>
      </c>
      <c r="AK1861" t="str">
        <f t="shared" si="1215"/>
        <v>Foto</v>
      </c>
      <c r="AL1861" t="str">
        <f>"{\rtf1\ansi\ansicpg1252\deff0\deflang11274{\fonttbl{\f0\fnil\fcharset0 MS Sans Serif}} \viewkind4\uc1\pard\f0\fs16 ESCOBILLA 12 PULGADAS LUNETA TRASERA CURVA GOMA CON 10 ENGANCHES\par } "</f>
        <v xml:space="preserve">{\rtf1\ansi\ansicpg1252\deff0\deflang11274{\fonttbl{\f0\fnil\fcharset0 MS Sans Serif}} \viewkind4\uc1\pard\f0\fs16 ESCOBILLA 12 PULGADAS LUNETA TRASERA CURVA GOMA CON 10 ENGANCHES\par } </v>
      </c>
      <c r="AM1861" t="str">
        <f t="shared" si="1197"/>
        <v xml:space="preserve"> </v>
      </c>
    </row>
    <row r="1862" spans="1:39" x14ac:dyDescent="0.25">
      <c r="A1862" t="str">
        <f>"TR14PR"</f>
        <v>TR14PR</v>
      </c>
      <c r="B1862" t="str">
        <f>"ESCOBILLA 14 PULGADAS LUNETA TRASERA CURVA GOMA CON 10 ENGANCHES"</f>
        <v>ESCOBILLA 14 PULGADAS LUNETA TRASERA CURVA GOMA CON 10 ENGANCHES</v>
      </c>
      <c r="C1862" t="str">
        <f t="shared" si="1216"/>
        <v>$ 11508,18</v>
      </c>
      <c r="D1862" t="str">
        <f t="shared" si="1216"/>
        <v>$ 11508,18</v>
      </c>
      <c r="E1862" t="str">
        <f t="shared" si="1216"/>
        <v>$ 11508,18</v>
      </c>
      <c r="F1862" t="str">
        <f t="shared" si="1216"/>
        <v>$ 11508,18</v>
      </c>
      <c r="G1862" t="str">
        <f t="shared" si="1216"/>
        <v>$ 11508,18</v>
      </c>
      <c r="H1862" t="str">
        <f t="shared" si="1198"/>
        <v>$ 0,00</v>
      </c>
      <c r="I1862" t="str">
        <f>"ESCOBILLA LUNETA TRASERA CURVAS GOMA"</f>
        <v>ESCOBILLA LUNETA TRASERA CURVAS GOMA</v>
      </c>
      <c r="J1862" t="str">
        <f t="shared" si="1199"/>
        <v>1</v>
      </c>
      <c r="K1862" t="str">
        <f t="shared" si="1193"/>
        <v>0</v>
      </c>
      <c r="L1862" t="str">
        <f>"34,000"</f>
        <v>34,000</v>
      </c>
      <c r="M1862" t="str">
        <f t="shared" si="1200"/>
        <v xml:space="preserve"> </v>
      </c>
      <c r="N1862" t="str">
        <f t="shared" si="1217"/>
        <v>EKTION</v>
      </c>
      <c r="O1862" t="str">
        <f t="shared" si="1218"/>
        <v>LIMPIA PARABRISAS</v>
      </c>
      <c r="P1862" t="str">
        <f t="shared" si="1191"/>
        <v>0</v>
      </c>
      <c r="Q1862" t="str">
        <f t="shared" si="1191"/>
        <v>0</v>
      </c>
      <c r="R1862" t="str">
        <f t="shared" si="1192"/>
        <v>0,00</v>
      </c>
      <c r="S1862" t="str">
        <f t="shared" si="1192"/>
        <v>0,00</v>
      </c>
      <c r="T1862" t="str">
        <f t="shared" si="1196"/>
        <v xml:space="preserve"> </v>
      </c>
      <c r="U1862" t="str">
        <f t="shared" si="1174"/>
        <v xml:space="preserve"> </v>
      </c>
      <c r="V1862" t="str">
        <f>"34,000"</f>
        <v>34,000</v>
      </c>
      <c r="W1862" t="str">
        <f t="shared" si="1201"/>
        <v>Lista 4</v>
      </c>
      <c r="X1862" t="str">
        <f t="shared" si="1202"/>
        <v>Lista 5</v>
      </c>
      <c r="Y1862" t="str">
        <f t="shared" si="1203"/>
        <v>Oferta Gral.</v>
      </c>
      <c r="Z1862" t="str">
        <f t="shared" si="1204"/>
        <v>Rubro</v>
      </c>
      <c r="AA1862" t="str">
        <f t="shared" si="1205"/>
        <v>Cantidad por Bulto</v>
      </c>
      <c r="AB1862" t="str">
        <f t="shared" si="1206"/>
        <v>INNER</v>
      </c>
      <c r="AC1862" t="str">
        <f t="shared" si="1207"/>
        <v>Stock en Bultos</v>
      </c>
      <c r="AD1862" t="str">
        <f t="shared" si="1208"/>
        <v>SubDepósito</v>
      </c>
      <c r="AE1862" t="str">
        <f t="shared" si="1209"/>
        <v>Marca</v>
      </c>
      <c r="AF1862" t="str">
        <f t="shared" si="1210"/>
        <v>Super Rubro</v>
      </c>
      <c r="AG1862" t="str">
        <f t="shared" si="1211"/>
        <v>ComercioExterior</v>
      </c>
      <c r="AH1862" t="str">
        <f t="shared" si="1212"/>
        <v>PrecioFOB</v>
      </c>
      <c r="AI1862" t="str">
        <f t="shared" si="1213"/>
        <v>Monto II</v>
      </c>
      <c r="AJ1862" t="str">
        <f t="shared" si="1214"/>
        <v>Porcentaje II</v>
      </c>
      <c r="AK1862" t="str">
        <f t="shared" si="1215"/>
        <v>Foto</v>
      </c>
      <c r="AL1862" t="str">
        <f>"{\rtf1\ansi\ansicpg1252\deff0\deflang11274{\fonttbl{\f0\fnil\fcharset0 MS Sans Serif}} \viewkind4\uc1\pard\f0\fs16 ESCOBILLA 14 PULGADAS LUNETA TRASERA CURVA GOMA CON 10 ENGANCHES\par } "</f>
        <v xml:space="preserve">{\rtf1\ansi\ansicpg1252\deff0\deflang11274{\fonttbl{\f0\fnil\fcharset0 MS Sans Serif}} \viewkind4\uc1\pard\f0\fs16 ESCOBILLA 14 PULGADAS LUNETA TRASERA CURVA GOMA CON 10 ENGANCHES\par } </v>
      </c>
      <c r="AM1862" t="str">
        <f t="shared" si="1197"/>
        <v xml:space="preserve"> </v>
      </c>
    </row>
    <row r="1863" spans="1:39" x14ac:dyDescent="0.25">
      <c r="A1863" t="str">
        <f>"TR16PR"</f>
        <v>TR16PR</v>
      </c>
      <c r="B1863" t="str">
        <f>"ESCOBILLA 16 PULGADAS LUNETA TRASERA CURVA GOMA CON 10 ENGANCHES"</f>
        <v>ESCOBILLA 16 PULGADAS LUNETA TRASERA CURVA GOMA CON 10 ENGANCHES</v>
      </c>
      <c r="C1863" t="str">
        <f t="shared" si="1216"/>
        <v>$ 11508,18</v>
      </c>
      <c r="D1863" t="str">
        <f t="shared" si="1216"/>
        <v>$ 11508,18</v>
      </c>
      <c r="E1863" t="str">
        <f t="shared" si="1216"/>
        <v>$ 11508,18</v>
      </c>
      <c r="F1863" t="str">
        <f t="shared" si="1216"/>
        <v>$ 11508,18</v>
      </c>
      <c r="G1863" t="str">
        <f t="shared" si="1216"/>
        <v>$ 11508,18</v>
      </c>
      <c r="H1863" t="str">
        <f t="shared" si="1198"/>
        <v>$ 0,00</v>
      </c>
      <c r="I1863" t="str">
        <f>"ESCOBILLA LUNETA TRASERA CURVAS GOMA"</f>
        <v>ESCOBILLA LUNETA TRASERA CURVAS GOMA</v>
      </c>
      <c r="J1863" t="str">
        <f t="shared" si="1199"/>
        <v>1</v>
      </c>
      <c r="K1863" t="str">
        <f t="shared" si="1193"/>
        <v>0</v>
      </c>
      <c r="L1863" t="str">
        <f>"27,000"</f>
        <v>27,000</v>
      </c>
      <c r="M1863" t="str">
        <f t="shared" si="1200"/>
        <v xml:space="preserve"> </v>
      </c>
      <c r="N1863" t="str">
        <f t="shared" si="1217"/>
        <v>EKTION</v>
      </c>
      <c r="O1863" t="str">
        <f t="shared" si="1218"/>
        <v>LIMPIA PARABRISAS</v>
      </c>
      <c r="P1863" t="str">
        <f t="shared" ref="P1863:Q1882" si="1219">"0"</f>
        <v>0</v>
      </c>
      <c r="Q1863" t="str">
        <f t="shared" si="1219"/>
        <v>0</v>
      </c>
      <c r="R1863" t="str">
        <f t="shared" ref="R1863:S1882" si="1220">"0,00"</f>
        <v>0,00</v>
      </c>
      <c r="S1863" t="str">
        <f t="shared" si="1220"/>
        <v>0,00</v>
      </c>
      <c r="T1863" t="str">
        <f t="shared" si="1196"/>
        <v xml:space="preserve"> </v>
      </c>
      <c r="U1863" t="str">
        <f t="shared" si="1174"/>
        <v xml:space="preserve"> </v>
      </c>
      <c r="V1863" t="str">
        <f>"27,000"</f>
        <v>27,000</v>
      </c>
      <c r="W1863" t="str">
        <f t="shared" si="1201"/>
        <v>Lista 4</v>
      </c>
      <c r="X1863" t="str">
        <f t="shared" si="1202"/>
        <v>Lista 5</v>
      </c>
      <c r="Y1863" t="str">
        <f t="shared" si="1203"/>
        <v>Oferta Gral.</v>
      </c>
      <c r="Z1863" t="str">
        <f t="shared" si="1204"/>
        <v>Rubro</v>
      </c>
      <c r="AA1863" t="str">
        <f t="shared" si="1205"/>
        <v>Cantidad por Bulto</v>
      </c>
      <c r="AB1863" t="str">
        <f t="shared" si="1206"/>
        <v>INNER</v>
      </c>
      <c r="AC1863" t="str">
        <f t="shared" si="1207"/>
        <v>Stock en Bultos</v>
      </c>
      <c r="AD1863" t="str">
        <f t="shared" si="1208"/>
        <v>SubDepósito</v>
      </c>
      <c r="AE1863" t="str">
        <f t="shared" si="1209"/>
        <v>Marca</v>
      </c>
      <c r="AF1863" t="str">
        <f t="shared" si="1210"/>
        <v>Super Rubro</v>
      </c>
      <c r="AG1863" t="str">
        <f t="shared" si="1211"/>
        <v>ComercioExterior</v>
      </c>
      <c r="AH1863" t="str">
        <f t="shared" si="1212"/>
        <v>PrecioFOB</v>
      </c>
      <c r="AI1863" t="str">
        <f t="shared" si="1213"/>
        <v>Monto II</v>
      </c>
      <c r="AJ1863" t="str">
        <f t="shared" si="1214"/>
        <v>Porcentaje II</v>
      </c>
      <c r="AK1863" t="str">
        <f t="shared" si="1215"/>
        <v>Foto</v>
      </c>
      <c r="AL1863" t="str">
        <f>"{\rtf1\ansi\ansicpg1252\deff0\deflang11274{\fonttbl{\f0\fnil\fcharset0 MS Sans Serif}} \viewkind4\uc1\pard\f0\fs16 ESCOBILLA 16 PULGADAS LUNETA TRASERA CURVA GOMA CON 10 ENGANCHES\par } "</f>
        <v xml:space="preserve">{\rtf1\ansi\ansicpg1252\deff0\deflang11274{\fonttbl{\f0\fnil\fcharset0 MS Sans Serif}} \viewkind4\uc1\pard\f0\fs16 ESCOBILLA 16 PULGADAS LUNETA TRASERA CURVA GOMA CON 10 ENGANCHES\par } </v>
      </c>
      <c r="AM1863" t="str">
        <f t="shared" si="1197"/>
        <v xml:space="preserve"> </v>
      </c>
    </row>
    <row r="1864" spans="1:39" x14ac:dyDescent="0.25">
      <c r="A1864" t="str">
        <f>"FIT14"</f>
        <v>FIT14</v>
      </c>
      <c r="B1864" t="str">
        <f>"ESCOBILLA FIT CURVA GOMA 14 PULGADAS CON 10 ADAPTADORES"</f>
        <v>ESCOBILLA FIT CURVA GOMA 14 PULGADAS CON 10 ADAPTADORES</v>
      </c>
      <c r="C1864" t="str">
        <f t="shared" ref="C1864:G1865" si="1221">"$ 12553,43"</f>
        <v>$ 12553,43</v>
      </c>
      <c r="D1864" t="str">
        <f t="shared" si="1221"/>
        <v>$ 12553,43</v>
      </c>
      <c r="E1864" t="str">
        <f t="shared" si="1221"/>
        <v>$ 12553,43</v>
      </c>
      <c r="F1864" t="str">
        <f t="shared" si="1221"/>
        <v>$ 12553,43</v>
      </c>
      <c r="G1864" t="str">
        <f t="shared" si="1221"/>
        <v>$ 12553,43</v>
      </c>
      <c r="H1864" t="str">
        <f t="shared" si="1198"/>
        <v>$ 0,00</v>
      </c>
      <c r="I1864" t="str">
        <f t="shared" ref="I1864:I1875" si="1222">"ESCOBILLAS FIT CURVAS GOMA"</f>
        <v>ESCOBILLAS FIT CURVAS GOMA</v>
      </c>
      <c r="J1864" t="str">
        <f t="shared" si="1199"/>
        <v>1</v>
      </c>
      <c r="K1864" t="str">
        <f t="shared" si="1193"/>
        <v>0</v>
      </c>
      <c r="L1864" t="str">
        <f>"26,000"</f>
        <v>26,000</v>
      </c>
      <c r="M1864" t="str">
        <f t="shared" si="1200"/>
        <v xml:space="preserve"> </v>
      </c>
      <c r="N1864" t="str">
        <f t="shared" si="1217"/>
        <v>EKTION</v>
      </c>
      <c r="O1864" t="str">
        <f t="shared" si="1218"/>
        <v>LIMPIA PARABRISAS</v>
      </c>
      <c r="P1864" t="str">
        <f t="shared" si="1219"/>
        <v>0</v>
      </c>
      <c r="Q1864" t="str">
        <f t="shared" si="1219"/>
        <v>0</v>
      </c>
      <c r="R1864" t="str">
        <f t="shared" si="1220"/>
        <v>0,00</v>
      </c>
      <c r="S1864" t="str">
        <f t="shared" si="1220"/>
        <v>0,00</v>
      </c>
      <c r="T1864" t="str">
        <f t="shared" si="1196"/>
        <v xml:space="preserve"> </v>
      </c>
      <c r="U1864" t="str">
        <f t="shared" si="1174"/>
        <v xml:space="preserve"> </v>
      </c>
      <c r="V1864" t="str">
        <f>"26,000"</f>
        <v>26,000</v>
      </c>
      <c r="W1864" t="str">
        <f t="shared" si="1201"/>
        <v>Lista 4</v>
      </c>
      <c r="X1864" t="str">
        <f t="shared" si="1202"/>
        <v>Lista 5</v>
      </c>
      <c r="Y1864" t="str">
        <f t="shared" si="1203"/>
        <v>Oferta Gral.</v>
      </c>
      <c r="Z1864" t="str">
        <f t="shared" si="1204"/>
        <v>Rubro</v>
      </c>
      <c r="AA1864" t="str">
        <f t="shared" si="1205"/>
        <v>Cantidad por Bulto</v>
      </c>
      <c r="AB1864" t="str">
        <f t="shared" si="1206"/>
        <v>INNER</v>
      </c>
      <c r="AC1864" t="str">
        <f t="shared" si="1207"/>
        <v>Stock en Bultos</v>
      </c>
      <c r="AD1864" t="str">
        <f t="shared" si="1208"/>
        <v>SubDepósito</v>
      </c>
      <c r="AE1864" t="str">
        <f t="shared" si="1209"/>
        <v>Marca</v>
      </c>
      <c r="AF1864" t="str">
        <f t="shared" si="1210"/>
        <v>Super Rubro</v>
      </c>
      <c r="AG1864" t="str">
        <f t="shared" si="1211"/>
        <v>ComercioExterior</v>
      </c>
      <c r="AH1864" t="str">
        <f t="shared" si="1212"/>
        <v>PrecioFOB</v>
      </c>
      <c r="AI1864" t="str">
        <f t="shared" si="1213"/>
        <v>Monto II</v>
      </c>
      <c r="AJ1864" t="str">
        <f t="shared" si="1214"/>
        <v>Porcentaje II</v>
      </c>
      <c r="AK1864" t="str">
        <f t="shared" si="1215"/>
        <v>Foto</v>
      </c>
      <c r="AL186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64" t="str">
        <f t="shared" si="1197"/>
        <v xml:space="preserve"> </v>
      </c>
    </row>
    <row r="1865" spans="1:39" x14ac:dyDescent="0.25">
      <c r="A1865" t="str">
        <f>"FIT15"</f>
        <v>FIT15</v>
      </c>
      <c r="B1865" t="str">
        <f>"ESCOBILLA FIT CURVA GOMA 15 PULGADAS CON 10 ENGANCHES"</f>
        <v>ESCOBILLA FIT CURVA GOMA 15 PULGADAS CON 10 ENGANCHES</v>
      </c>
      <c r="C1865" t="str">
        <f t="shared" si="1221"/>
        <v>$ 12553,43</v>
      </c>
      <c r="D1865" t="str">
        <f t="shared" si="1221"/>
        <v>$ 12553,43</v>
      </c>
      <c r="E1865" t="str">
        <f t="shared" si="1221"/>
        <v>$ 12553,43</v>
      </c>
      <c r="F1865" t="str">
        <f t="shared" si="1221"/>
        <v>$ 12553,43</v>
      </c>
      <c r="G1865" t="str">
        <f t="shared" si="1221"/>
        <v>$ 12553,43</v>
      </c>
      <c r="H1865" t="str">
        <f t="shared" si="1198"/>
        <v>$ 0,00</v>
      </c>
      <c r="I1865" t="str">
        <f t="shared" si="1222"/>
        <v>ESCOBILLAS FIT CURVAS GOMA</v>
      </c>
      <c r="J1865" t="str">
        <f t="shared" si="1199"/>
        <v>1</v>
      </c>
      <c r="K1865" t="str">
        <f t="shared" si="1193"/>
        <v>0</v>
      </c>
      <c r="L1865" t="str">
        <f>"36,000"</f>
        <v>36,000</v>
      </c>
      <c r="M1865" t="str">
        <f t="shared" si="1200"/>
        <v xml:space="preserve"> </v>
      </c>
      <c r="N1865" t="str">
        <f t="shared" si="1217"/>
        <v>EKTION</v>
      </c>
      <c r="O1865" t="str">
        <f t="shared" si="1218"/>
        <v>LIMPIA PARABRISAS</v>
      </c>
      <c r="P1865" t="str">
        <f t="shared" si="1219"/>
        <v>0</v>
      </c>
      <c r="Q1865" t="str">
        <f t="shared" si="1219"/>
        <v>0</v>
      </c>
      <c r="R1865" t="str">
        <f t="shared" si="1220"/>
        <v>0,00</v>
      </c>
      <c r="S1865" t="str">
        <f t="shared" si="1220"/>
        <v>0,00</v>
      </c>
      <c r="T1865" t="str">
        <f t="shared" si="1196"/>
        <v xml:space="preserve"> </v>
      </c>
      <c r="U1865" t="str">
        <f t="shared" si="1174"/>
        <v xml:space="preserve"> </v>
      </c>
      <c r="V1865" t="str">
        <f>"36,000"</f>
        <v>36,000</v>
      </c>
      <c r="W1865" t="str">
        <f t="shared" si="1201"/>
        <v>Lista 4</v>
      </c>
      <c r="X1865" t="str">
        <f t="shared" si="1202"/>
        <v>Lista 5</v>
      </c>
      <c r="Y1865" t="str">
        <f t="shared" si="1203"/>
        <v>Oferta Gral.</v>
      </c>
      <c r="Z1865" t="str">
        <f t="shared" si="1204"/>
        <v>Rubro</v>
      </c>
      <c r="AA1865" t="str">
        <f t="shared" si="1205"/>
        <v>Cantidad por Bulto</v>
      </c>
      <c r="AB1865" t="str">
        <f t="shared" si="1206"/>
        <v>INNER</v>
      </c>
      <c r="AC1865" t="str">
        <f t="shared" si="1207"/>
        <v>Stock en Bultos</v>
      </c>
      <c r="AD1865" t="str">
        <f t="shared" si="1208"/>
        <v>SubDepósito</v>
      </c>
      <c r="AE1865" t="str">
        <f t="shared" si="1209"/>
        <v>Marca</v>
      </c>
      <c r="AF1865" t="str">
        <f t="shared" si="1210"/>
        <v>Super Rubro</v>
      </c>
      <c r="AG1865" t="str">
        <f t="shared" si="1211"/>
        <v>ComercioExterior</v>
      </c>
      <c r="AH1865" t="str">
        <f t="shared" si="1212"/>
        <v>PrecioFOB</v>
      </c>
      <c r="AI1865" t="str">
        <f t="shared" si="1213"/>
        <v>Monto II</v>
      </c>
      <c r="AJ1865" t="str">
        <f t="shared" si="1214"/>
        <v>Porcentaje II</v>
      </c>
      <c r="AK1865" t="str">
        <f t="shared" si="1215"/>
        <v>Foto</v>
      </c>
      <c r="AL1865" t="str">
        <f>"{\rtf1\ansi\ansicpg1252\deff0\deflang11274{\fonttbl{\f0\fnil\fcharset0 MS Sans Serif}} \viewkind4\uc1\pard\f0\fs16 ESCOBILLA FIT CURVA GOMA 15 PULGADAS CON 10 ENGANCHES\par } "</f>
        <v xml:space="preserve">{\rtf1\ansi\ansicpg1252\deff0\deflang11274{\fonttbl{\f0\fnil\fcharset0 MS Sans Serif}} \viewkind4\uc1\pard\f0\fs16 ESCOBILLA FIT CURVA GOMA 15 PULGADAS CON 10 ENGANCHES\par } </v>
      </c>
      <c r="AM1865" t="str">
        <f t="shared" si="1197"/>
        <v xml:space="preserve"> </v>
      </c>
    </row>
    <row r="1866" spans="1:39" x14ac:dyDescent="0.25">
      <c r="A1866" t="str">
        <f>"FIT16"</f>
        <v>FIT16</v>
      </c>
      <c r="B1866" t="str">
        <f>"ESCOBILLA FIT CURVA GOMA 16 PULGADAS CON 10 ENGANCHES"</f>
        <v>ESCOBILLA FIT CURVA GOMA 16 PULGADAS CON 10 ENGANCHES</v>
      </c>
      <c r="C1866" t="str">
        <f t="shared" ref="C1866:G1869" si="1223">"$ 12986,29"</f>
        <v>$ 12986,29</v>
      </c>
      <c r="D1866" t="str">
        <f t="shared" si="1223"/>
        <v>$ 12986,29</v>
      </c>
      <c r="E1866" t="str">
        <f t="shared" si="1223"/>
        <v>$ 12986,29</v>
      </c>
      <c r="F1866" t="str">
        <f t="shared" si="1223"/>
        <v>$ 12986,29</v>
      </c>
      <c r="G1866" t="str">
        <f t="shared" si="1223"/>
        <v>$ 12986,29</v>
      </c>
      <c r="H1866" t="str">
        <f t="shared" si="1198"/>
        <v>$ 0,00</v>
      </c>
      <c r="I1866" t="str">
        <f t="shared" si="1222"/>
        <v>ESCOBILLAS FIT CURVAS GOMA</v>
      </c>
      <c r="J1866" t="str">
        <f t="shared" si="1199"/>
        <v>1</v>
      </c>
      <c r="K1866" t="str">
        <f t="shared" si="1193"/>
        <v>0</v>
      </c>
      <c r="L1866" t="str">
        <f>"60,000"</f>
        <v>60,000</v>
      </c>
      <c r="M1866" t="str">
        <f t="shared" si="1200"/>
        <v xml:space="preserve"> </v>
      </c>
      <c r="N1866" t="str">
        <f t="shared" si="1217"/>
        <v>EKTION</v>
      </c>
      <c r="O1866" t="str">
        <f t="shared" si="1218"/>
        <v>LIMPIA PARABRISAS</v>
      </c>
      <c r="P1866" t="str">
        <f t="shared" si="1219"/>
        <v>0</v>
      </c>
      <c r="Q1866" t="str">
        <f t="shared" si="1219"/>
        <v>0</v>
      </c>
      <c r="R1866" t="str">
        <f t="shared" si="1220"/>
        <v>0,00</v>
      </c>
      <c r="S1866" t="str">
        <f t="shared" si="1220"/>
        <v>0,00</v>
      </c>
      <c r="T1866" t="str">
        <f t="shared" si="1196"/>
        <v xml:space="preserve"> </v>
      </c>
      <c r="U1866" t="str">
        <f t="shared" si="1174"/>
        <v xml:space="preserve"> </v>
      </c>
      <c r="V1866" t="str">
        <f>"60,000"</f>
        <v>60,000</v>
      </c>
      <c r="W1866" t="str">
        <f t="shared" si="1201"/>
        <v>Lista 4</v>
      </c>
      <c r="X1866" t="str">
        <f t="shared" si="1202"/>
        <v>Lista 5</v>
      </c>
      <c r="Y1866" t="str">
        <f t="shared" si="1203"/>
        <v>Oferta Gral.</v>
      </c>
      <c r="Z1866" t="str">
        <f t="shared" si="1204"/>
        <v>Rubro</v>
      </c>
      <c r="AA1866" t="str">
        <f t="shared" si="1205"/>
        <v>Cantidad por Bulto</v>
      </c>
      <c r="AB1866" t="str">
        <f t="shared" si="1206"/>
        <v>INNER</v>
      </c>
      <c r="AC1866" t="str">
        <f t="shared" si="1207"/>
        <v>Stock en Bultos</v>
      </c>
      <c r="AD1866" t="str">
        <f t="shared" si="1208"/>
        <v>SubDepósito</v>
      </c>
      <c r="AE1866" t="str">
        <f t="shared" si="1209"/>
        <v>Marca</v>
      </c>
      <c r="AF1866" t="str">
        <f t="shared" si="1210"/>
        <v>Super Rubro</v>
      </c>
      <c r="AG1866" t="str">
        <f t="shared" si="1211"/>
        <v>ComercioExterior</v>
      </c>
      <c r="AH1866" t="str">
        <f t="shared" si="1212"/>
        <v>PrecioFOB</v>
      </c>
      <c r="AI1866" t="str">
        <f t="shared" si="1213"/>
        <v>Monto II</v>
      </c>
      <c r="AJ1866" t="str">
        <f t="shared" si="1214"/>
        <v>Porcentaje II</v>
      </c>
      <c r="AK1866" t="str">
        <f t="shared" si="1215"/>
        <v>Foto</v>
      </c>
      <c r="AL1866" t="str">
        <f>"{\rtf1\ansi\ansicpg1252\deff0\deflang11274{\fonttbl{\f0\fnil\fcharset0 MS Sans Serif}} \viewkind4\uc1\pard\f0\fs16 ESCOBILLA FIT CURVA GOMA 16 PULGADAS CON 10 ENGANCHES\par \par } "</f>
        <v xml:space="preserve">{\rtf1\ansi\ansicpg1252\deff0\deflang11274{\fonttbl{\f0\fnil\fcharset0 MS Sans Serif}} \viewkind4\uc1\pard\f0\fs16 ESCOBILLA FIT CURVA GOMA 16 PULGADAS CON 10 ENGANCHES\par \par } </v>
      </c>
      <c r="AM1866" t="str">
        <f t="shared" si="1197"/>
        <v xml:space="preserve"> </v>
      </c>
    </row>
    <row r="1867" spans="1:39" x14ac:dyDescent="0.25">
      <c r="A1867" t="str">
        <f>"FIT17"</f>
        <v>FIT17</v>
      </c>
      <c r="B1867" t="str">
        <f>"ESCOBILLA FIT CURVA GOMA 17 PULGADAS CON 10 ENGANCHES"</f>
        <v>ESCOBILLA FIT CURVA GOMA 17 PULGADAS CON 10 ENGANCHES</v>
      </c>
      <c r="C1867" t="str">
        <f t="shared" si="1223"/>
        <v>$ 12986,29</v>
      </c>
      <c r="D1867" t="str">
        <f t="shared" si="1223"/>
        <v>$ 12986,29</v>
      </c>
      <c r="E1867" t="str">
        <f t="shared" si="1223"/>
        <v>$ 12986,29</v>
      </c>
      <c r="F1867" t="str">
        <f t="shared" si="1223"/>
        <v>$ 12986,29</v>
      </c>
      <c r="G1867" t="str">
        <f t="shared" si="1223"/>
        <v>$ 12986,29</v>
      </c>
      <c r="H1867" t="str">
        <f t="shared" si="1198"/>
        <v>$ 0,00</v>
      </c>
      <c r="I1867" t="str">
        <f t="shared" si="1222"/>
        <v>ESCOBILLAS FIT CURVAS GOMA</v>
      </c>
      <c r="J1867" t="str">
        <f t="shared" si="1199"/>
        <v>1</v>
      </c>
      <c r="K1867" t="str">
        <f t="shared" si="1193"/>
        <v>0</v>
      </c>
      <c r="L1867" t="str">
        <f>"15,000"</f>
        <v>15,000</v>
      </c>
      <c r="M1867" t="str">
        <f t="shared" si="1200"/>
        <v xml:space="preserve"> </v>
      </c>
      <c r="N1867" t="str">
        <f t="shared" si="1217"/>
        <v>EKTION</v>
      </c>
      <c r="O1867" t="str">
        <f t="shared" si="1218"/>
        <v>LIMPIA PARABRISAS</v>
      </c>
      <c r="P1867" t="str">
        <f t="shared" si="1219"/>
        <v>0</v>
      </c>
      <c r="Q1867" t="str">
        <f t="shared" si="1219"/>
        <v>0</v>
      </c>
      <c r="R1867" t="str">
        <f t="shared" si="1220"/>
        <v>0,00</v>
      </c>
      <c r="S1867" t="str">
        <f t="shared" si="1220"/>
        <v>0,00</v>
      </c>
      <c r="T1867" t="str">
        <f t="shared" si="1196"/>
        <v xml:space="preserve"> </v>
      </c>
      <c r="U1867" t="str">
        <f t="shared" si="1174"/>
        <v xml:space="preserve"> </v>
      </c>
      <c r="V1867" t="str">
        <f>"15,000"</f>
        <v>15,000</v>
      </c>
      <c r="W1867" t="str">
        <f t="shared" si="1201"/>
        <v>Lista 4</v>
      </c>
      <c r="X1867" t="str">
        <f t="shared" si="1202"/>
        <v>Lista 5</v>
      </c>
      <c r="Y1867" t="str">
        <f t="shared" si="1203"/>
        <v>Oferta Gral.</v>
      </c>
      <c r="Z1867" t="str">
        <f t="shared" si="1204"/>
        <v>Rubro</v>
      </c>
      <c r="AA1867" t="str">
        <f t="shared" si="1205"/>
        <v>Cantidad por Bulto</v>
      </c>
      <c r="AB1867" t="str">
        <f t="shared" si="1206"/>
        <v>INNER</v>
      </c>
      <c r="AC1867" t="str">
        <f t="shared" si="1207"/>
        <v>Stock en Bultos</v>
      </c>
      <c r="AD1867" t="str">
        <f t="shared" si="1208"/>
        <v>SubDepósito</v>
      </c>
      <c r="AE1867" t="str">
        <f t="shared" si="1209"/>
        <v>Marca</v>
      </c>
      <c r="AF1867" t="str">
        <f t="shared" si="1210"/>
        <v>Super Rubro</v>
      </c>
      <c r="AG1867" t="str">
        <f t="shared" si="1211"/>
        <v>ComercioExterior</v>
      </c>
      <c r="AH1867" t="str">
        <f t="shared" si="1212"/>
        <v>PrecioFOB</v>
      </c>
      <c r="AI1867" t="str">
        <f t="shared" si="1213"/>
        <v>Monto II</v>
      </c>
      <c r="AJ1867" t="str">
        <f t="shared" si="1214"/>
        <v>Porcentaje II</v>
      </c>
      <c r="AK1867" t="str">
        <f t="shared" si="1215"/>
        <v>Foto</v>
      </c>
      <c r="AL1867" t="str">
        <f>"{\rtf1\ansi\ansicpg1252\deff0\deflang11274{\fonttbl{\f0\fnil\fcharset0 MS Sans Serif}} \viewkind4\uc1\pard\f0\fs16 ESCOBILLA FIT CURVA GOMA 17 PULGADAS CON 10 ENGANCHES\par } "</f>
        <v xml:space="preserve">{\rtf1\ansi\ansicpg1252\deff0\deflang11274{\fonttbl{\f0\fnil\fcharset0 MS Sans Serif}} \viewkind4\uc1\pard\f0\fs16 ESCOBILLA FIT CURVA GOMA 17 PULGADAS CON 10 ENGANCHES\par } </v>
      </c>
      <c r="AM1867" t="str">
        <f t="shared" si="1197"/>
        <v xml:space="preserve"> </v>
      </c>
    </row>
    <row r="1868" spans="1:39" x14ac:dyDescent="0.25">
      <c r="A1868" t="str">
        <f>"FIT18"</f>
        <v>FIT18</v>
      </c>
      <c r="B1868" t="str">
        <f>"ESCOBILLA FIT CURVA GOMA 18 PULGADAS CON 10 ENGANCHES"</f>
        <v>ESCOBILLA FIT CURVA GOMA 18 PULGADAS CON 10 ENGANCHES</v>
      </c>
      <c r="C1868" t="str">
        <f t="shared" si="1223"/>
        <v>$ 12986,29</v>
      </c>
      <c r="D1868" t="str">
        <f t="shared" si="1223"/>
        <v>$ 12986,29</v>
      </c>
      <c r="E1868" t="str">
        <f t="shared" si="1223"/>
        <v>$ 12986,29</v>
      </c>
      <c r="F1868" t="str">
        <f t="shared" si="1223"/>
        <v>$ 12986,29</v>
      </c>
      <c r="G1868" t="str">
        <f t="shared" si="1223"/>
        <v>$ 12986,29</v>
      </c>
      <c r="H1868" t="str">
        <f t="shared" si="1198"/>
        <v>$ 0,00</v>
      </c>
      <c r="I1868" t="str">
        <f t="shared" si="1222"/>
        <v>ESCOBILLAS FIT CURVAS GOMA</v>
      </c>
      <c r="J1868" t="str">
        <f t="shared" si="1199"/>
        <v>1</v>
      </c>
      <c r="K1868" t="str">
        <f t="shared" si="1193"/>
        <v>0</v>
      </c>
      <c r="L1868" t="str">
        <f>"44,000"</f>
        <v>44,000</v>
      </c>
      <c r="M1868" t="str">
        <f t="shared" si="1200"/>
        <v xml:space="preserve"> </v>
      </c>
      <c r="N1868" t="str">
        <f t="shared" si="1217"/>
        <v>EKTION</v>
      </c>
      <c r="O1868" t="str">
        <f t="shared" si="1218"/>
        <v>LIMPIA PARABRISAS</v>
      </c>
      <c r="P1868" t="str">
        <f t="shared" si="1219"/>
        <v>0</v>
      </c>
      <c r="Q1868" t="str">
        <f t="shared" si="1219"/>
        <v>0</v>
      </c>
      <c r="R1868" t="str">
        <f t="shared" si="1220"/>
        <v>0,00</v>
      </c>
      <c r="S1868" t="str">
        <f t="shared" si="1220"/>
        <v>0,00</v>
      </c>
      <c r="T1868" t="str">
        <f t="shared" si="1196"/>
        <v xml:space="preserve"> </v>
      </c>
      <c r="U1868" t="str">
        <f t="shared" ref="U1868:U1931" si="1224">" "</f>
        <v xml:space="preserve"> </v>
      </c>
      <c r="V1868" t="str">
        <f>"44,000"</f>
        <v>44,000</v>
      </c>
      <c r="W1868" t="str">
        <f t="shared" si="1201"/>
        <v>Lista 4</v>
      </c>
      <c r="X1868" t="str">
        <f t="shared" si="1202"/>
        <v>Lista 5</v>
      </c>
      <c r="Y1868" t="str">
        <f t="shared" si="1203"/>
        <v>Oferta Gral.</v>
      </c>
      <c r="Z1868" t="str">
        <f t="shared" si="1204"/>
        <v>Rubro</v>
      </c>
      <c r="AA1868" t="str">
        <f t="shared" si="1205"/>
        <v>Cantidad por Bulto</v>
      </c>
      <c r="AB1868" t="str">
        <f t="shared" si="1206"/>
        <v>INNER</v>
      </c>
      <c r="AC1868" t="str">
        <f t="shared" si="1207"/>
        <v>Stock en Bultos</v>
      </c>
      <c r="AD1868" t="str">
        <f t="shared" si="1208"/>
        <v>SubDepósito</v>
      </c>
      <c r="AE1868" t="str">
        <f t="shared" si="1209"/>
        <v>Marca</v>
      </c>
      <c r="AF1868" t="str">
        <f t="shared" si="1210"/>
        <v>Super Rubro</v>
      </c>
      <c r="AG1868" t="str">
        <f t="shared" si="1211"/>
        <v>ComercioExterior</v>
      </c>
      <c r="AH1868" t="str">
        <f t="shared" si="1212"/>
        <v>PrecioFOB</v>
      </c>
      <c r="AI1868" t="str">
        <f t="shared" si="1213"/>
        <v>Monto II</v>
      </c>
      <c r="AJ1868" t="str">
        <f t="shared" si="1214"/>
        <v>Porcentaje II</v>
      </c>
      <c r="AK1868" t="str">
        <f t="shared" si="1215"/>
        <v>Foto</v>
      </c>
      <c r="AL1868" t="str">
        <f>"{\rtf1\ansi\ansicpg1252\deff0\deflang11274{\fonttbl{\f0\fnil\fcharset0 MS Sans Serif}} \viewkind4\uc1\pard\f0\fs16 ESCOBILLA FIT CURVA GOMA 18 PULGADAS CON 10 ENGANCHES\par } "</f>
        <v xml:space="preserve">{\rtf1\ansi\ansicpg1252\deff0\deflang11274{\fonttbl{\f0\fnil\fcharset0 MS Sans Serif}} \viewkind4\uc1\pard\f0\fs16 ESCOBILLA FIT CURVA GOMA 18 PULGADAS CON 10 ENGANCHES\par } </v>
      </c>
      <c r="AM1868" t="str">
        <f t="shared" si="1197"/>
        <v xml:space="preserve"> </v>
      </c>
    </row>
    <row r="1869" spans="1:39" x14ac:dyDescent="0.25">
      <c r="A1869" t="str">
        <f>"FIT19"</f>
        <v>FIT19</v>
      </c>
      <c r="B1869" t="str">
        <f>"ESCOBILLA FIT CURVA GOMA 19 PULGADAS CON 10 ENGANCHES"</f>
        <v>ESCOBILLA FIT CURVA GOMA 19 PULGADAS CON 10 ENGANCHES</v>
      </c>
      <c r="C1869" t="str">
        <f t="shared" si="1223"/>
        <v>$ 12986,29</v>
      </c>
      <c r="D1869" t="str">
        <f t="shared" si="1223"/>
        <v>$ 12986,29</v>
      </c>
      <c r="E1869" t="str">
        <f t="shared" si="1223"/>
        <v>$ 12986,29</v>
      </c>
      <c r="F1869" t="str">
        <f t="shared" si="1223"/>
        <v>$ 12986,29</v>
      </c>
      <c r="G1869" t="str">
        <f t="shared" si="1223"/>
        <v>$ 12986,29</v>
      </c>
      <c r="H1869" t="str">
        <f t="shared" si="1198"/>
        <v>$ 0,00</v>
      </c>
      <c r="I1869" t="str">
        <f t="shared" si="1222"/>
        <v>ESCOBILLAS FIT CURVAS GOMA</v>
      </c>
      <c r="J1869" t="str">
        <f t="shared" si="1199"/>
        <v>1</v>
      </c>
      <c r="K1869" t="str">
        <f t="shared" si="1193"/>
        <v>0</v>
      </c>
      <c r="L1869" t="str">
        <f>"34,000"</f>
        <v>34,000</v>
      </c>
      <c r="M1869" t="str">
        <f t="shared" si="1200"/>
        <v xml:space="preserve"> </v>
      </c>
      <c r="N1869" t="str">
        <f t="shared" si="1217"/>
        <v>EKTION</v>
      </c>
      <c r="O1869" t="str">
        <f t="shared" si="1218"/>
        <v>LIMPIA PARABRISAS</v>
      </c>
      <c r="P1869" t="str">
        <f t="shared" si="1219"/>
        <v>0</v>
      </c>
      <c r="Q1869" t="str">
        <f t="shared" si="1219"/>
        <v>0</v>
      </c>
      <c r="R1869" t="str">
        <f t="shared" si="1220"/>
        <v>0,00</v>
      </c>
      <c r="S1869" t="str">
        <f t="shared" si="1220"/>
        <v>0,00</v>
      </c>
      <c r="T1869" t="str">
        <f t="shared" si="1196"/>
        <v xml:space="preserve"> </v>
      </c>
      <c r="U1869" t="str">
        <f t="shared" si="1224"/>
        <v xml:space="preserve"> </v>
      </c>
      <c r="V1869" t="str">
        <f>"34,000"</f>
        <v>34,000</v>
      </c>
      <c r="W1869" t="str">
        <f t="shared" si="1201"/>
        <v>Lista 4</v>
      </c>
      <c r="X1869" t="str">
        <f t="shared" si="1202"/>
        <v>Lista 5</v>
      </c>
      <c r="Y1869" t="str">
        <f t="shared" si="1203"/>
        <v>Oferta Gral.</v>
      </c>
      <c r="Z1869" t="str">
        <f t="shared" si="1204"/>
        <v>Rubro</v>
      </c>
      <c r="AA1869" t="str">
        <f t="shared" si="1205"/>
        <v>Cantidad por Bulto</v>
      </c>
      <c r="AB1869" t="str">
        <f t="shared" si="1206"/>
        <v>INNER</v>
      </c>
      <c r="AC1869" t="str">
        <f t="shared" si="1207"/>
        <v>Stock en Bultos</v>
      </c>
      <c r="AD1869" t="str">
        <f t="shared" si="1208"/>
        <v>SubDepósito</v>
      </c>
      <c r="AE1869" t="str">
        <f t="shared" si="1209"/>
        <v>Marca</v>
      </c>
      <c r="AF1869" t="str">
        <f t="shared" si="1210"/>
        <v>Super Rubro</v>
      </c>
      <c r="AG1869" t="str">
        <f t="shared" si="1211"/>
        <v>ComercioExterior</v>
      </c>
      <c r="AH1869" t="str">
        <f t="shared" si="1212"/>
        <v>PrecioFOB</v>
      </c>
      <c r="AI1869" t="str">
        <f t="shared" si="1213"/>
        <v>Monto II</v>
      </c>
      <c r="AJ1869" t="str">
        <f t="shared" si="1214"/>
        <v>Porcentaje II</v>
      </c>
      <c r="AK1869" t="str">
        <f t="shared" si="1215"/>
        <v>Foto</v>
      </c>
      <c r="AL1869" t="str">
        <f>"{\rtf1\ansi\ansicpg1252\deff0\deflang11274{\fonttbl{\f0\fnil\fcharset0 MS Sans Serif}} \viewkind4\uc1\pard\f0\fs16 ESCOBILLA FIT CURVA GOMA 19 PULGADAS CON 10 ENGANCHES\par } "</f>
        <v xml:space="preserve">{\rtf1\ansi\ansicpg1252\deff0\deflang11274{\fonttbl{\f0\fnil\fcharset0 MS Sans Serif}} \viewkind4\uc1\pard\f0\fs16 ESCOBILLA FIT CURVA GOMA 19 PULGADAS CON 10 ENGANCHES\par } </v>
      </c>
      <c r="AM1869" t="str">
        <f t="shared" si="1197"/>
        <v xml:space="preserve"> </v>
      </c>
    </row>
    <row r="1870" spans="1:39" x14ac:dyDescent="0.25">
      <c r="A1870" t="str">
        <f>"FIT20"</f>
        <v>FIT20</v>
      </c>
      <c r="B1870" t="str">
        <f>"ESCOBILLA FIT CURVA GOMA 20 PULGADAS CON 10 ENGANCHES"</f>
        <v>ESCOBILLA FIT CURVA GOMA 20 PULGADAS CON 10 ENGANCHES</v>
      </c>
      <c r="C1870" t="str">
        <f>"$ 13229,12"</f>
        <v>$ 13229,12</v>
      </c>
      <c r="D1870" t="str">
        <f>"$ 13229,12"</f>
        <v>$ 13229,12</v>
      </c>
      <c r="E1870" t="str">
        <f>"$ 13229,12"</f>
        <v>$ 13229,12</v>
      </c>
      <c r="F1870" t="str">
        <f>"$ 13229,12"</f>
        <v>$ 13229,12</v>
      </c>
      <c r="G1870" t="str">
        <f>"$ 13229,12"</f>
        <v>$ 13229,12</v>
      </c>
      <c r="H1870" t="str">
        <f t="shared" si="1198"/>
        <v>$ 0,00</v>
      </c>
      <c r="I1870" t="str">
        <f t="shared" si="1222"/>
        <v>ESCOBILLAS FIT CURVAS GOMA</v>
      </c>
      <c r="J1870" t="str">
        <f t="shared" si="1199"/>
        <v>1</v>
      </c>
      <c r="K1870" t="str">
        <f t="shared" si="1193"/>
        <v>0</v>
      </c>
      <c r="L1870" t="str">
        <f>"34,000"</f>
        <v>34,000</v>
      </c>
      <c r="M1870" t="str">
        <f t="shared" si="1200"/>
        <v xml:space="preserve"> </v>
      </c>
      <c r="N1870" t="str">
        <f t="shared" si="1217"/>
        <v>EKTION</v>
      </c>
      <c r="O1870" t="str">
        <f t="shared" si="1218"/>
        <v>LIMPIA PARABRISAS</v>
      </c>
      <c r="P1870" t="str">
        <f t="shared" si="1219"/>
        <v>0</v>
      </c>
      <c r="Q1870" t="str">
        <f t="shared" si="1219"/>
        <v>0</v>
      </c>
      <c r="R1870" t="str">
        <f t="shared" si="1220"/>
        <v>0,00</v>
      </c>
      <c r="S1870" t="str">
        <f t="shared" si="1220"/>
        <v>0,00</v>
      </c>
      <c r="T1870" t="str">
        <f t="shared" si="1196"/>
        <v xml:space="preserve"> </v>
      </c>
      <c r="U1870" t="str">
        <f t="shared" si="1224"/>
        <v xml:space="preserve"> </v>
      </c>
      <c r="V1870" t="str">
        <f>"34,000"</f>
        <v>34,000</v>
      </c>
      <c r="W1870" t="str">
        <f t="shared" si="1201"/>
        <v>Lista 4</v>
      </c>
      <c r="X1870" t="str">
        <f t="shared" si="1202"/>
        <v>Lista 5</v>
      </c>
      <c r="Y1870" t="str">
        <f t="shared" si="1203"/>
        <v>Oferta Gral.</v>
      </c>
      <c r="Z1870" t="str">
        <f t="shared" si="1204"/>
        <v>Rubro</v>
      </c>
      <c r="AA1870" t="str">
        <f t="shared" si="1205"/>
        <v>Cantidad por Bulto</v>
      </c>
      <c r="AB1870" t="str">
        <f t="shared" si="1206"/>
        <v>INNER</v>
      </c>
      <c r="AC1870" t="str">
        <f t="shared" si="1207"/>
        <v>Stock en Bultos</v>
      </c>
      <c r="AD1870" t="str">
        <f t="shared" si="1208"/>
        <v>SubDepósito</v>
      </c>
      <c r="AE1870" t="str">
        <f t="shared" si="1209"/>
        <v>Marca</v>
      </c>
      <c r="AF1870" t="str">
        <f t="shared" si="1210"/>
        <v>Super Rubro</v>
      </c>
      <c r="AG1870" t="str">
        <f t="shared" si="1211"/>
        <v>ComercioExterior</v>
      </c>
      <c r="AH1870" t="str">
        <f t="shared" si="1212"/>
        <v>PrecioFOB</v>
      </c>
      <c r="AI1870" t="str">
        <f t="shared" si="1213"/>
        <v>Monto II</v>
      </c>
      <c r="AJ1870" t="str">
        <f t="shared" si="1214"/>
        <v>Porcentaje II</v>
      </c>
      <c r="AK1870" t="str">
        <f t="shared" si="1215"/>
        <v>Foto</v>
      </c>
      <c r="AL1870" t="str">
        <f>"{\rtf1\ansi\ansicpg1252\deff0\deflang11274{\fonttbl{\f0\fnil\fcharset0 MS Sans Serif}} \viewkind4\uc1\pard\f0\fs16 ESCOBILLA FIT CURVA GOMA 20 PULGADAS CON 10 ENGANCHES\par } "</f>
        <v xml:space="preserve">{\rtf1\ansi\ansicpg1252\deff0\deflang11274{\fonttbl{\f0\fnil\fcharset0 MS Sans Serif}} \viewkind4\uc1\pard\f0\fs16 ESCOBILLA FIT CURVA GOMA 20 PULGADAS CON 10 ENGANCHES\par } </v>
      </c>
      <c r="AM1870" t="str">
        <f t="shared" si="1197"/>
        <v xml:space="preserve"> </v>
      </c>
    </row>
    <row r="1871" spans="1:39" x14ac:dyDescent="0.25">
      <c r="A1871" t="str">
        <f>"FIT21"</f>
        <v>FIT21</v>
      </c>
      <c r="B1871" t="str">
        <f>"ESCOBILLA FIT CURVA GOMA 21 PULGADAS CON 10 ENGANCHES"</f>
        <v>ESCOBILLA FIT CURVA GOMA 21 PULGADAS CON 10 ENGANCHES</v>
      </c>
      <c r="C1871" t="str">
        <f>"$ 13482,52"</f>
        <v>$ 13482,52</v>
      </c>
      <c r="D1871" t="str">
        <f>"$ 13482,52"</f>
        <v>$ 13482,52</v>
      </c>
      <c r="E1871" t="str">
        <f>"$ 13482,52"</f>
        <v>$ 13482,52</v>
      </c>
      <c r="F1871" t="str">
        <f>"$ 13482,52"</f>
        <v>$ 13482,52</v>
      </c>
      <c r="G1871" t="str">
        <f>"$ 13482,52"</f>
        <v>$ 13482,52</v>
      </c>
      <c r="H1871" t="str">
        <f t="shared" si="1198"/>
        <v>$ 0,00</v>
      </c>
      <c r="I1871" t="str">
        <f t="shared" si="1222"/>
        <v>ESCOBILLAS FIT CURVAS GOMA</v>
      </c>
      <c r="J1871" t="str">
        <f t="shared" si="1199"/>
        <v>1</v>
      </c>
      <c r="K1871" t="str">
        <f t="shared" si="1193"/>
        <v>0</v>
      </c>
      <c r="L1871" t="str">
        <f>"32,000"</f>
        <v>32,000</v>
      </c>
      <c r="M1871" t="str">
        <f t="shared" si="1200"/>
        <v xml:space="preserve"> </v>
      </c>
      <c r="N1871" t="str">
        <f t="shared" si="1217"/>
        <v>EKTION</v>
      </c>
      <c r="O1871" t="str">
        <f t="shared" si="1218"/>
        <v>LIMPIA PARABRISAS</v>
      </c>
      <c r="P1871" t="str">
        <f t="shared" si="1219"/>
        <v>0</v>
      </c>
      <c r="Q1871" t="str">
        <f t="shared" si="1219"/>
        <v>0</v>
      </c>
      <c r="R1871" t="str">
        <f t="shared" si="1220"/>
        <v>0,00</v>
      </c>
      <c r="S1871" t="str">
        <f t="shared" si="1220"/>
        <v>0,00</v>
      </c>
      <c r="T1871" t="str">
        <f t="shared" si="1196"/>
        <v xml:space="preserve"> </v>
      </c>
      <c r="U1871" t="str">
        <f t="shared" si="1224"/>
        <v xml:space="preserve"> </v>
      </c>
      <c r="V1871" t="str">
        <f>"32,000"</f>
        <v>32,000</v>
      </c>
      <c r="W1871" t="str">
        <f t="shared" si="1201"/>
        <v>Lista 4</v>
      </c>
      <c r="X1871" t="str">
        <f t="shared" si="1202"/>
        <v>Lista 5</v>
      </c>
      <c r="Y1871" t="str">
        <f t="shared" si="1203"/>
        <v>Oferta Gral.</v>
      </c>
      <c r="Z1871" t="str">
        <f t="shared" si="1204"/>
        <v>Rubro</v>
      </c>
      <c r="AA1871" t="str">
        <f t="shared" si="1205"/>
        <v>Cantidad por Bulto</v>
      </c>
      <c r="AB1871" t="str">
        <f t="shared" si="1206"/>
        <v>INNER</v>
      </c>
      <c r="AC1871" t="str">
        <f t="shared" si="1207"/>
        <v>Stock en Bultos</v>
      </c>
      <c r="AD1871" t="str">
        <f t="shared" si="1208"/>
        <v>SubDepósito</v>
      </c>
      <c r="AE1871" t="str">
        <f t="shared" si="1209"/>
        <v>Marca</v>
      </c>
      <c r="AF1871" t="str">
        <f t="shared" si="1210"/>
        <v>Super Rubro</v>
      </c>
      <c r="AG1871" t="str">
        <f t="shared" si="1211"/>
        <v>ComercioExterior</v>
      </c>
      <c r="AH1871" t="str">
        <f t="shared" si="1212"/>
        <v>PrecioFOB</v>
      </c>
      <c r="AI1871" t="str">
        <f t="shared" si="1213"/>
        <v>Monto II</v>
      </c>
      <c r="AJ1871" t="str">
        <f t="shared" si="1214"/>
        <v>Porcentaje II</v>
      </c>
      <c r="AK1871" t="str">
        <f t="shared" si="1215"/>
        <v>Foto</v>
      </c>
      <c r="AL1871" t="str">
        <f>"{\rtf1\ansi\ansicpg1252\deff0\deflang11274{\fonttbl{\f0\fnil\fcharset0 MS Sans Serif}} \viewkind4\uc1\pard\f0\fs16 ESCOBILLA FIT CURVA GOMA 21 PULGADAS CON 10 ENGANCHES\par } "</f>
        <v xml:space="preserve">{\rtf1\ansi\ansicpg1252\deff0\deflang11274{\fonttbl{\f0\fnil\fcharset0 MS Sans Serif}} \viewkind4\uc1\pard\f0\fs16 ESCOBILLA FIT CURVA GOMA 21 PULGADAS CON 10 ENGANCHES\par } </v>
      </c>
      <c r="AM1871" t="str">
        <f t="shared" si="1197"/>
        <v xml:space="preserve"> </v>
      </c>
    </row>
    <row r="1872" spans="1:39" x14ac:dyDescent="0.25">
      <c r="A1872" t="str">
        <f>"FIT22"</f>
        <v>FIT22</v>
      </c>
      <c r="B1872" t="str">
        <f>"ESCOBILLA FIT CURVA GOMA 22 PULGADAS CON 10 ENGANCHES"</f>
        <v>ESCOBILLA FIT CURVA GOMA 22 PULGADAS CON 10 ENGANCHES</v>
      </c>
      <c r="C1872" t="str">
        <f>"$ 13662,01"</f>
        <v>$ 13662,01</v>
      </c>
      <c r="D1872" t="str">
        <f>"$ 13662,01"</f>
        <v>$ 13662,01</v>
      </c>
      <c r="E1872" t="str">
        <f>"$ 13662,01"</f>
        <v>$ 13662,01</v>
      </c>
      <c r="F1872" t="str">
        <f>"$ 13662,01"</f>
        <v>$ 13662,01</v>
      </c>
      <c r="G1872" t="str">
        <f>"$ 13662,01"</f>
        <v>$ 13662,01</v>
      </c>
      <c r="H1872" t="str">
        <f t="shared" si="1198"/>
        <v>$ 0,00</v>
      </c>
      <c r="I1872" t="str">
        <f t="shared" si="1222"/>
        <v>ESCOBILLAS FIT CURVAS GOMA</v>
      </c>
      <c r="J1872" t="str">
        <f t="shared" si="1199"/>
        <v>1</v>
      </c>
      <c r="K1872" t="str">
        <f t="shared" si="1193"/>
        <v>0</v>
      </c>
      <c r="L1872" t="str">
        <f>"16,000"</f>
        <v>16,000</v>
      </c>
      <c r="M1872" t="str">
        <f t="shared" si="1200"/>
        <v xml:space="preserve"> </v>
      </c>
      <c r="N1872" t="str">
        <f t="shared" si="1217"/>
        <v>EKTION</v>
      </c>
      <c r="O1872" t="str">
        <f t="shared" si="1218"/>
        <v>LIMPIA PARABRISAS</v>
      </c>
      <c r="P1872" t="str">
        <f t="shared" si="1219"/>
        <v>0</v>
      </c>
      <c r="Q1872" t="str">
        <f t="shared" si="1219"/>
        <v>0</v>
      </c>
      <c r="R1872" t="str">
        <f t="shared" si="1220"/>
        <v>0,00</v>
      </c>
      <c r="S1872" t="str">
        <f t="shared" si="1220"/>
        <v>0,00</v>
      </c>
      <c r="T1872" t="str">
        <f t="shared" si="1196"/>
        <v xml:space="preserve"> </v>
      </c>
      <c r="U1872" t="str">
        <f t="shared" si="1224"/>
        <v xml:space="preserve"> </v>
      </c>
      <c r="V1872" t="str">
        <f>"16,000"</f>
        <v>16,000</v>
      </c>
      <c r="W1872" t="str">
        <f t="shared" si="1201"/>
        <v>Lista 4</v>
      </c>
      <c r="X1872" t="str">
        <f t="shared" si="1202"/>
        <v>Lista 5</v>
      </c>
      <c r="Y1872" t="str">
        <f t="shared" si="1203"/>
        <v>Oferta Gral.</v>
      </c>
      <c r="Z1872" t="str">
        <f t="shared" si="1204"/>
        <v>Rubro</v>
      </c>
      <c r="AA1872" t="str">
        <f t="shared" si="1205"/>
        <v>Cantidad por Bulto</v>
      </c>
      <c r="AB1872" t="str">
        <f t="shared" si="1206"/>
        <v>INNER</v>
      </c>
      <c r="AC1872" t="str">
        <f t="shared" si="1207"/>
        <v>Stock en Bultos</v>
      </c>
      <c r="AD1872" t="str">
        <f t="shared" si="1208"/>
        <v>SubDepósito</v>
      </c>
      <c r="AE1872" t="str">
        <f t="shared" si="1209"/>
        <v>Marca</v>
      </c>
      <c r="AF1872" t="str">
        <f t="shared" si="1210"/>
        <v>Super Rubro</v>
      </c>
      <c r="AG1872" t="str">
        <f t="shared" si="1211"/>
        <v>ComercioExterior</v>
      </c>
      <c r="AH1872" t="str">
        <f t="shared" si="1212"/>
        <v>PrecioFOB</v>
      </c>
      <c r="AI1872" t="str">
        <f t="shared" si="1213"/>
        <v>Monto II</v>
      </c>
      <c r="AJ1872" t="str">
        <f t="shared" si="1214"/>
        <v>Porcentaje II</v>
      </c>
      <c r="AK1872" t="str">
        <f t="shared" si="1215"/>
        <v>Foto</v>
      </c>
      <c r="AL1872" t="str">
        <f>"{\rtf1\ansi\ansicpg1252\deff0\deflang11274{\fonttbl{\f0\fnil\fcharset0 MS Sans Serif}} \viewkind4\uc1\pard\f0\fs16 ESCOBILLA FIT CURVA GOMA 22 PULGADAS CON 10 ENGANCHES\par } "</f>
        <v xml:space="preserve">{\rtf1\ansi\ansicpg1252\deff0\deflang11274{\fonttbl{\f0\fnil\fcharset0 MS Sans Serif}} \viewkind4\uc1\pard\f0\fs16 ESCOBILLA FIT CURVA GOMA 22 PULGADAS CON 10 ENGANCHES\par } </v>
      </c>
      <c r="AM1872" t="str">
        <f t="shared" si="1197"/>
        <v xml:space="preserve"> </v>
      </c>
    </row>
    <row r="1873" spans="1:39" x14ac:dyDescent="0.25">
      <c r="A1873" t="str">
        <f>"FIT24"</f>
        <v>FIT24</v>
      </c>
      <c r="B1873" t="str">
        <f>"ESCOBILLA FIT CURVA GOMA 24 PULGADAS CON 10 ENGANCHES"</f>
        <v>ESCOBILLA FIT CURVA GOMA 24 PULGADAS CON 10 ENGANCHES</v>
      </c>
      <c r="C1873" t="str">
        <f>"$ 14865,60"</f>
        <v>$ 14865,60</v>
      </c>
      <c r="D1873" t="str">
        <f>"$ 14865,60"</f>
        <v>$ 14865,60</v>
      </c>
      <c r="E1873" t="str">
        <f>"$ 14865,60"</f>
        <v>$ 14865,60</v>
      </c>
      <c r="F1873" t="str">
        <f>"$ 14865,60"</f>
        <v>$ 14865,60</v>
      </c>
      <c r="G1873" t="str">
        <f>"$ 14865,60"</f>
        <v>$ 14865,60</v>
      </c>
      <c r="H1873" t="str">
        <f t="shared" si="1198"/>
        <v>$ 0,00</v>
      </c>
      <c r="I1873" t="str">
        <f t="shared" si="1222"/>
        <v>ESCOBILLAS FIT CURVAS GOMA</v>
      </c>
      <c r="J1873" t="str">
        <f t="shared" si="1199"/>
        <v>1</v>
      </c>
      <c r="K1873" t="str">
        <f t="shared" si="1193"/>
        <v>0</v>
      </c>
      <c r="L1873" t="str">
        <f>"25,000"</f>
        <v>25,000</v>
      </c>
      <c r="M1873" t="str">
        <f t="shared" si="1200"/>
        <v xml:space="preserve"> </v>
      </c>
      <c r="N1873" t="str">
        <f t="shared" si="1217"/>
        <v>EKTION</v>
      </c>
      <c r="O1873" t="str">
        <f t="shared" si="1218"/>
        <v>LIMPIA PARABRISAS</v>
      </c>
      <c r="P1873" t="str">
        <f t="shared" si="1219"/>
        <v>0</v>
      </c>
      <c r="Q1873" t="str">
        <f t="shared" si="1219"/>
        <v>0</v>
      </c>
      <c r="R1873" t="str">
        <f t="shared" si="1220"/>
        <v>0,00</v>
      </c>
      <c r="S1873" t="str">
        <f t="shared" si="1220"/>
        <v>0,00</v>
      </c>
      <c r="T1873" t="str">
        <f t="shared" si="1196"/>
        <v xml:space="preserve"> </v>
      </c>
      <c r="U1873" t="str">
        <f t="shared" si="1224"/>
        <v xml:space="preserve"> </v>
      </c>
      <c r="V1873" t="str">
        <f>"25,000"</f>
        <v>25,000</v>
      </c>
      <c r="W1873" t="str">
        <f t="shared" si="1201"/>
        <v>Lista 4</v>
      </c>
      <c r="X1873" t="str">
        <f t="shared" si="1202"/>
        <v>Lista 5</v>
      </c>
      <c r="Y1873" t="str">
        <f t="shared" si="1203"/>
        <v>Oferta Gral.</v>
      </c>
      <c r="Z1873" t="str">
        <f t="shared" si="1204"/>
        <v>Rubro</v>
      </c>
      <c r="AA1873" t="str">
        <f t="shared" si="1205"/>
        <v>Cantidad por Bulto</v>
      </c>
      <c r="AB1873" t="str">
        <f t="shared" si="1206"/>
        <v>INNER</v>
      </c>
      <c r="AC1873" t="str">
        <f t="shared" si="1207"/>
        <v>Stock en Bultos</v>
      </c>
      <c r="AD1873" t="str">
        <f t="shared" si="1208"/>
        <v>SubDepósito</v>
      </c>
      <c r="AE1873" t="str">
        <f t="shared" si="1209"/>
        <v>Marca</v>
      </c>
      <c r="AF1873" t="str">
        <f t="shared" si="1210"/>
        <v>Super Rubro</v>
      </c>
      <c r="AG1873" t="str">
        <f t="shared" si="1211"/>
        <v>ComercioExterior</v>
      </c>
      <c r="AH1873" t="str">
        <f t="shared" si="1212"/>
        <v>PrecioFOB</v>
      </c>
      <c r="AI1873" t="str">
        <f t="shared" si="1213"/>
        <v>Monto II</v>
      </c>
      <c r="AJ1873" t="str">
        <f t="shared" si="1214"/>
        <v>Porcentaje II</v>
      </c>
      <c r="AK1873" t="str">
        <f t="shared" si="1215"/>
        <v>Foto</v>
      </c>
      <c r="AL1873" t="str">
        <f>"{\rtf1\ansi\ansicpg1252\deff0\deflang11274{\fonttbl{\f0\fnil\fcharset0 MS Sans Serif}} \viewkind4\uc1\pard\f0\fs16 ESCOBILLA FIT CURVA GOMA 24 PULGADAS CON 10 ENGANCHES\par } "</f>
        <v xml:space="preserve">{\rtf1\ansi\ansicpg1252\deff0\deflang11274{\fonttbl{\f0\fnil\fcharset0 MS Sans Serif}} \viewkind4\uc1\pard\f0\fs16 ESCOBILLA FIT CURVA GOMA 24 PULGADAS CON 10 ENGANCHES\par } </v>
      </c>
      <c r="AM1873" t="str">
        <f t="shared" si="1197"/>
        <v xml:space="preserve"> </v>
      </c>
    </row>
    <row r="1874" spans="1:39" x14ac:dyDescent="0.25">
      <c r="A1874" t="str">
        <f>"FIT26"</f>
        <v>FIT26</v>
      </c>
      <c r="B1874" t="str">
        <f>"ESCOBILLA FIT CURVA GOMA 26 PULGADAS CON 10 ENGANCHES"</f>
        <v>ESCOBILLA FIT CURVA GOMA 26 PULGADAS CON 10 ENGANCHES</v>
      </c>
      <c r="C1874" t="str">
        <f>"$ 16924,41"</f>
        <v>$ 16924,41</v>
      </c>
      <c r="D1874" t="str">
        <f>"$ 16924,41"</f>
        <v>$ 16924,41</v>
      </c>
      <c r="E1874" t="str">
        <f>"$ 16924,41"</f>
        <v>$ 16924,41</v>
      </c>
      <c r="F1874" t="str">
        <f>"$ 16924,41"</f>
        <v>$ 16924,41</v>
      </c>
      <c r="G1874" t="str">
        <f>"$ 16924,41"</f>
        <v>$ 16924,41</v>
      </c>
      <c r="H1874" t="str">
        <f t="shared" si="1198"/>
        <v>$ 0,00</v>
      </c>
      <c r="I1874" t="str">
        <f t="shared" si="1222"/>
        <v>ESCOBILLAS FIT CURVAS GOMA</v>
      </c>
      <c r="J1874" t="str">
        <f t="shared" si="1199"/>
        <v>1</v>
      </c>
      <c r="K1874" t="str">
        <f>"1"</f>
        <v>1</v>
      </c>
      <c r="L1874" t="str">
        <f>"10,000"</f>
        <v>10,000</v>
      </c>
      <c r="M1874" t="str">
        <f t="shared" si="1200"/>
        <v xml:space="preserve"> </v>
      </c>
      <c r="N1874" t="str">
        <f t="shared" si="1217"/>
        <v>EKTION</v>
      </c>
      <c r="O1874" t="str">
        <f t="shared" si="1218"/>
        <v>LIMPIA PARABRISAS</v>
      </c>
      <c r="P1874" t="str">
        <f t="shared" si="1219"/>
        <v>0</v>
      </c>
      <c r="Q1874" t="str">
        <f t="shared" si="1219"/>
        <v>0</v>
      </c>
      <c r="R1874" t="str">
        <f t="shared" si="1220"/>
        <v>0,00</v>
      </c>
      <c r="S1874" t="str">
        <f t="shared" si="1220"/>
        <v>0,00</v>
      </c>
      <c r="T1874" t="str">
        <f t="shared" si="1196"/>
        <v xml:space="preserve"> </v>
      </c>
      <c r="U1874" t="str">
        <f t="shared" si="1224"/>
        <v xml:space="preserve"> </v>
      </c>
      <c r="V1874" t="str">
        <f>"10,000"</f>
        <v>10,000</v>
      </c>
      <c r="W1874" t="str">
        <f t="shared" si="1201"/>
        <v>Lista 4</v>
      </c>
      <c r="X1874" t="str">
        <f t="shared" si="1202"/>
        <v>Lista 5</v>
      </c>
      <c r="Y1874" t="str">
        <f t="shared" si="1203"/>
        <v>Oferta Gral.</v>
      </c>
      <c r="Z1874" t="str">
        <f t="shared" si="1204"/>
        <v>Rubro</v>
      </c>
      <c r="AA1874" t="str">
        <f t="shared" si="1205"/>
        <v>Cantidad por Bulto</v>
      </c>
      <c r="AB1874" t="str">
        <f t="shared" si="1206"/>
        <v>INNER</v>
      </c>
      <c r="AC1874" t="str">
        <f t="shared" si="1207"/>
        <v>Stock en Bultos</v>
      </c>
      <c r="AD1874" t="str">
        <f t="shared" si="1208"/>
        <v>SubDepósito</v>
      </c>
      <c r="AE1874" t="str">
        <f t="shared" si="1209"/>
        <v>Marca</v>
      </c>
      <c r="AF1874" t="str">
        <f t="shared" si="1210"/>
        <v>Super Rubro</v>
      </c>
      <c r="AG1874" t="str">
        <f t="shared" si="1211"/>
        <v>ComercioExterior</v>
      </c>
      <c r="AH1874" t="str">
        <f t="shared" si="1212"/>
        <v>PrecioFOB</v>
      </c>
      <c r="AI1874" t="str">
        <f t="shared" si="1213"/>
        <v>Monto II</v>
      </c>
      <c r="AJ1874" t="str">
        <f t="shared" si="1214"/>
        <v>Porcentaje II</v>
      </c>
      <c r="AK1874" t="str">
        <f t="shared" si="1215"/>
        <v>Foto</v>
      </c>
      <c r="AL187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74" t="str">
        <f t="shared" si="1197"/>
        <v xml:space="preserve"> </v>
      </c>
    </row>
    <row r="1875" spans="1:39" x14ac:dyDescent="0.25">
      <c r="A1875" t="str">
        <f>"FIT28"</f>
        <v>FIT28</v>
      </c>
      <c r="B1875" t="str">
        <f>"ESCOBILLA FIT CURVA GOMA 28 PULGADAS CON 10 ENGANCHES"</f>
        <v>ESCOBILLA FIT CURVA GOMA 28 PULGADAS CON 10 ENGANCHES</v>
      </c>
      <c r="C1875" t="str">
        <f>"$ 18096,36"</f>
        <v>$ 18096,36</v>
      </c>
      <c r="D1875" t="str">
        <f>"$ 18096,36"</f>
        <v>$ 18096,36</v>
      </c>
      <c r="E1875" t="str">
        <f>"$ 18096,36"</f>
        <v>$ 18096,36</v>
      </c>
      <c r="F1875" t="str">
        <f>"$ 18096,36"</f>
        <v>$ 18096,36</v>
      </c>
      <c r="G1875" t="str">
        <f>"$ 18096,36"</f>
        <v>$ 18096,36</v>
      </c>
      <c r="H1875" t="str">
        <f t="shared" si="1198"/>
        <v>$ 0,00</v>
      </c>
      <c r="I1875" t="str">
        <f t="shared" si="1222"/>
        <v>ESCOBILLAS FIT CURVAS GOMA</v>
      </c>
      <c r="J1875" t="str">
        <f t="shared" si="1199"/>
        <v>1</v>
      </c>
      <c r="K1875" t="str">
        <f>"0"</f>
        <v>0</v>
      </c>
      <c r="L1875" t="str">
        <f>"27,000"</f>
        <v>27,000</v>
      </c>
      <c r="M1875" t="str">
        <f t="shared" si="1200"/>
        <v xml:space="preserve"> </v>
      </c>
      <c r="N1875" t="str">
        <f t="shared" si="1217"/>
        <v>EKTION</v>
      </c>
      <c r="O1875" t="str">
        <f t="shared" si="1218"/>
        <v>LIMPIA PARABRISAS</v>
      </c>
      <c r="P1875" t="str">
        <f t="shared" si="1219"/>
        <v>0</v>
      </c>
      <c r="Q1875" t="str">
        <f t="shared" si="1219"/>
        <v>0</v>
      </c>
      <c r="R1875" t="str">
        <f t="shared" si="1220"/>
        <v>0,00</v>
      </c>
      <c r="S1875" t="str">
        <f t="shared" si="1220"/>
        <v>0,00</v>
      </c>
      <c r="T1875" t="str">
        <f t="shared" si="1196"/>
        <v xml:space="preserve"> </v>
      </c>
      <c r="U1875" t="str">
        <f t="shared" si="1224"/>
        <v xml:space="preserve"> </v>
      </c>
      <c r="V1875" t="str">
        <f>"27,000"</f>
        <v>27,000</v>
      </c>
      <c r="W1875" t="str">
        <f t="shared" si="1201"/>
        <v>Lista 4</v>
      </c>
      <c r="X1875" t="str">
        <f t="shared" si="1202"/>
        <v>Lista 5</v>
      </c>
      <c r="Y1875" t="str">
        <f t="shared" si="1203"/>
        <v>Oferta Gral.</v>
      </c>
      <c r="Z1875" t="str">
        <f t="shared" si="1204"/>
        <v>Rubro</v>
      </c>
      <c r="AA1875" t="str">
        <f t="shared" si="1205"/>
        <v>Cantidad por Bulto</v>
      </c>
      <c r="AB1875" t="str">
        <f t="shared" si="1206"/>
        <v>INNER</v>
      </c>
      <c r="AC1875" t="str">
        <f t="shared" si="1207"/>
        <v>Stock en Bultos</v>
      </c>
      <c r="AD1875" t="str">
        <f t="shared" si="1208"/>
        <v>SubDepósito</v>
      </c>
      <c r="AE1875" t="str">
        <f t="shared" si="1209"/>
        <v>Marca</v>
      </c>
      <c r="AF1875" t="str">
        <f t="shared" si="1210"/>
        <v>Super Rubro</v>
      </c>
      <c r="AG1875" t="str">
        <f t="shared" si="1211"/>
        <v>ComercioExterior</v>
      </c>
      <c r="AH1875" t="str">
        <f t="shared" si="1212"/>
        <v>PrecioFOB</v>
      </c>
      <c r="AI1875" t="str">
        <f t="shared" si="1213"/>
        <v>Monto II</v>
      </c>
      <c r="AJ1875" t="str">
        <f t="shared" si="1214"/>
        <v>Porcentaje II</v>
      </c>
      <c r="AK1875" t="str">
        <f t="shared" si="1215"/>
        <v>Foto</v>
      </c>
      <c r="AL1875" t="str">
        <f>"{\rtf1\ansi\ansicpg1252\deff0\deflang11274{\fonttbl{\f0\fnil\fcharset0 MS Sans Serif}} \viewkind4\uc1\pard\f0\fs16 ESCOBILLA FIT CURVA GOMA 28 PULGADAS CON 10 ENGANCHES\par } "</f>
        <v xml:space="preserve">{\rtf1\ansi\ansicpg1252\deff0\deflang11274{\fonttbl{\f0\fnil\fcharset0 MS Sans Serif}} \viewkind4\uc1\pard\f0\fs16 ESCOBILLA FIT CURVA GOMA 28 PULGADAS CON 10 ENGANCHES\par } </v>
      </c>
      <c r="AM1875" t="str">
        <f t="shared" si="1197"/>
        <v xml:space="preserve"> </v>
      </c>
    </row>
    <row r="1876" spans="1:39" x14ac:dyDescent="0.25">
      <c r="A1876" t="str">
        <f>"STD13"</f>
        <v>STD13</v>
      </c>
      <c r="B1876" t="str">
        <f>"ESCOBILLA FLAT CHATA ACERO 13 PULGADAS"</f>
        <v>ESCOBILLA FLAT CHATA ACERO 13 PULGADAS</v>
      </c>
      <c r="C1876" t="str">
        <f t="shared" ref="C1876:G1877" si="1225">"$ 5131,16"</f>
        <v>$ 5131,16</v>
      </c>
      <c r="D1876" t="str">
        <f t="shared" si="1225"/>
        <v>$ 5131,16</v>
      </c>
      <c r="E1876" t="str">
        <f t="shared" si="1225"/>
        <v>$ 5131,16</v>
      </c>
      <c r="F1876" t="str">
        <f t="shared" si="1225"/>
        <v>$ 5131,16</v>
      </c>
      <c r="G1876" t="str">
        <f t="shared" si="1225"/>
        <v>$ 5131,16</v>
      </c>
      <c r="H1876" t="str">
        <f t="shared" si="1198"/>
        <v>$ 0,00</v>
      </c>
      <c r="I1876" t="str">
        <f t="shared" ref="I1876:I1886" si="1226">"ESCOBILLAS FLAT CHATAS ACERO"</f>
        <v>ESCOBILLAS FLAT CHATAS ACERO</v>
      </c>
      <c r="J1876" t="str">
        <f t="shared" si="1199"/>
        <v>1</v>
      </c>
      <c r="K1876" t="str">
        <f>"1"</f>
        <v>1</v>
      </c>
      <c r="L1876" t="str">
        <f>"21,000"</f>
        <v>21,000</v>
      </c>
      <c r="M1876" t="str">
        <f t="shared" si="1200"/>
        <v xml:space="preserve"> </v>
      </c>
      <c r="N1876" t="str">
        <f t="shared" si="1217"/>
        <v>EKTION</v>
      </c>
      <c r="O1876" t="str">
        <f t="shared" si="1218"/>
        <v>LIMPIA PARABRISAS</v>
      </c>
      <c r="P1876" t="str">
        <f t="shared" si="1219"/>
        <v>0</v>
      </c>
      <c r="Q1876" t="str">
        <f t="shared" si="1219"/>
        <v>0</v>
      </c>
      <c r="R1876" t="str">
        <f t="shared" si="1220"/>
        <v>0,00</v>
      </c>
      <c r="S1876" t="str">
        <f t="shared" si="1220"/>
        <v>0,00</v>
      </c>
      <c r="T1876" t="str">
        <f t="shared" si="1196"/>
        <v xml:space="preserve"> </v>
      </c>
      <c r="U1876" t="str">
        <f t="shared" si="1224"/>
        <v xml:space="preserve"> </v>
      </c>
      <c r="V1876" t="str">
        <f>"21,000"</f>
        <v>21,000</v>
      </c>
      <c r="W1876" t="str">
        <f t="shared" si="1201"/>
        <v>Lista 4</v>
      </c>
      <c r="X1876" t="str">
        <f t="shared" si="1202"/>
        <v>Lista 5</v>
      </c>
      <c r="Y1876" t="str">
        <f t="shared" si="1203"/>
        <v>Oferta Gral.</v>
      </c>
      <c r="Z1876" t="str">
        <f t="shared" si="1204"/>
        <v>Rubro</v>
      </c>
      <c r="AA1876" t="str">
        <f t="shared" si="1205"/>
        <v>Cantidad por Bulto</v>
      </c>
      <c r="AB1876" t="str">
        <f t="shared" si="1206"/>
        <v>INNER</v>
      </c>
      <c r="AC1876" t="str">
        <f t="shared" si="1207"/>
        <v>Stock en Bultos</v>
      </c>
      <c r="AD1876" t="str">
        <f t="shared" si="1208"/>
        <v>SubDepósito</v>
      </c>
      <c r="AE1876" t="str">
        <f t="shared" si="1209"/>
        <v>Marca</v>
      </c>
      <c r="AF1876" t="str">
        <f t="shared" si="1210"/>
        <v>Super Rubro</v>
      </c>
      <c r="AG1876" t="str">
        <f t="shared" si="1211"/>
        <v>ComercioExterior</v>
      </c>
      <c r="AH1876" t="str">
        <f t="shared" si="1212"/>
        <v>PrecioFOB</v>
      </c>
      <c r="AI1876" t="str">
        <f t="shared" si="1213"/>
        <v>Monto II</v>
      </c>
      <c r="AJ1876" t="str">
        <f t="shared" si="1214"/>
        <v>Porcentaje II</v>
      </c>
      <c r="AK1876" t="str">
        <f t="shared" si="1215"/>
        <v>Foto</v>
      </c>
      <c r="AL187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76" t="str">
        <f t="shared" si="1197"/>
        <v xml:space="preserve"> </v>
      </c>
    </row>
    <row r="1877" spans="1:39" x14ac:dyDescent="0.25">
      <c r="A1877" t="str">
        <f>"STD15"</f>
        <v>STD15</v>
      </c>
      <c r="B1877" t="str">
        <f>"ESCOBILLA FLAT CHATA ACERO 15 PULGADAS"</f>
        <v>ESCOBILLA FLAT CHATA ACERO 15 PULGADAS</v>
      </c>
      <c r="C1877" t="str">
        <f t="shared" si="1225"/>
        <v>$ 5131,16</v>
      </c>
      <c r="D1877" t="str">
        <f t="shared" si="1225"/>
        <v>$ 5131,16</v>
      </c>
      <c r="E1877" t="str">
        <f t="shared" si="1225"/>
        <v>$ 5131,16</v>
      </c>
      <c r="F1877" t="str">
        <f t="shared" si="1225"/>
        <v>$ 5131,16</v>
      </c>
      <c r="G1877" t="str">
        <f t="shared" si="1225"/>
        <v>$ 5131,16</v>
      </c>
      <c r="H1877" t="str">
        <f t="shared" si="1198"/>
        <v>$ 0,00</v>
      </c>
      <c r="I1877" t="str">
        <f t="shared" si="1226"/>
        <v>ESCOBILLAS FLAT CHATAS ACERO</v>
      </c>
      <c r="J1877" t="str">
        <f t="shared" si="1199"/>
        <v>1</v>
      </c>
      <c r="K1877" t="str">
        <f t="shared" ref="K1877:K1940" si="1227">"0"</f>
        <v>0</v>
      </c>
      <c r="L1877" t="str">
        <f>"26,000"</f>
        <v>26,000</v>
      </c>
      <c r="M1877" t="str">
        <f t="shared" si="1200"/>
        <v xml:space="preserve"> </v>
      </c>
      <c r="N1877" t="str">
        <f t="shared" si="1217"/>
        <v>EKTION</v>
      </c>
      <c r="O1877" t="str">
        <f t="shared" si="1218"/>
        <v>LIMPIA PARABRISAS</v>
      </c>
      <c r="P1877" t="str">
        <f t="shared" si="1219"/>
        <v>0</v>
      </c>
      <c r="Q1877" t="str">
        <f t="shared" si="1219"/>
        <v>0</v>
      </c>
      <c r="R1877" t="str">
        <f t="shared" si="1220"/>
        <v>0,00</v>
      </c>
      <c r="S1877" t="str">
        <f t="shared" si="1220"/>
        <v>0,00</v>
      </c>
      <c r="T1877" t="str">
        <f t="shared" si="1196"/>
        <v xml:space="preserve"> </v>
      </c>
      <c r="U1877" t="str">
        <f t="shared" si="1224"/>
        <v xml:space="preserve"> </v>
      </c>
      <c r="V1877" t="str">
        <f>"26,000"</f>
        <v>26,000</v>
      </c>
      <c r="W1877" t="str">
        <f t="shared" si="1201"/>
        <v>Lista 4</v>
      </c>
      <c r="X1877" t="str">
        <f t="shared" si="1202"/>
        <v>Lista 5</v>
      </c>
      <c r="Y1877" t="str">
        <f t="shared" si="1203"/>
        <v>Oferta Gral.</v>
      </c>
      <c r="Z1877" t="str">
        <f t="shared" si="1204"/>
        <v>Rubro</v>
      </c>
      <c r="AA1877" t="str">
        <f t="shared" si="1205"/>
        <v>Cantidad por Bulto</v>
      </c>
      <c r="AB1877" t="str">
        <f t="shared" si="1206"/>
        <v>INNER</v>
      </c>
      <c r="AC1877" t="str">
        <f t="shared" si="1207"/>
        <v>Stock en Bultos</v>
      </c>
      <c r="AD1877" t="str">
        <f t="shared" si="1208"/>
        <v>SubDepósito</v>
      </c>
      <c r="AE1877" t="str">
        <f t="shared" si="1209"/>
        <v>Marca</v>
      </c>
      <c r="AF1877" t="str">
        <f t="shared" si="1210"/>
        <v>Super Rubro</v>
      </c>
      <c r="AG1877" t="str">
        <f t="shared" si="1211"/>
        <v>ComercioExterior</v>
      </c>
      <c r="AH1877" t="str">
        <f t="shared" si="1212"/>
        <v>PrecioFOB</v>
      </c>
      <c r="AI1877" t="str">
        <f t="shared" si="1213"/>
        <v>Monto II</v>
      </c>
      <c r="AJ1877" t="str">
        <f t="shared" si="1214"/>
        <v>Porcentaje II</v>
      </c>
      <c r="AK1877" t="str">
        <f t="shared" si="1215"/>
        <v>Foto</v>
      </c>
      <c r="AL1877" t="str">
        <f>"{\rtf1\ansi\ansicpg1252\deff0\deflang11274{\fonttbl{\f0\fnil\fcharset0 MS Sans Serif}} \viewkind4\uc1\pard\f0\fs16 ESCOBILLA FLAT CHATA ACERO 15 PULGADAS\par } "</f>
        <v xml:space="preserve">{\rtf1\ansi\ansicpg1252\deff0\deflang11274{\fonttbl{\f0\fnil\fcharset0 MS Sans Serif}} \viewkind4\uc1\pard\f0\fs16 ESCOBILLA FLAT CHATA ACERO 15 PULGADAS\par } </v>
      </c>
      <c r="AM1877" t="str">
        <f t="shared" si="1197"/>
        <v xml:space="preserve"> </v>
      </c>
    </row>
    <row r="1878" spans="1:39" x14ac:dyDescent="0.25">
      <c r="A1878" t="str">
        <f>"STD16"</f>
        <v>STD16</v>
      </c>
      <c r="B1878" t="str">
        <f>"ESCOBILLA FLAT CHATA ACERO 16 PULGADAS"</f>
        <v>ESCOBILLA FLAT CHATA ACERO 16 PULGADAS</v>
      </c>
      <c r="C1878" t="str">
        <f>"$ 5648,51"</f>
        <v>$ 5648,51</v>
      </c>
      <c r="D1878" t="str">
        <f>"$ 5648,51"</f>
        <v>$ 5648,51</v>
      </c>
      <c r="E1878" t="str">
        <f>"$ 5648,51"</f>
        <v>$ 5648,51</v>
      </c>
      <c r="F1878" t="str">
        <f>"$ 5648,51"</f>
        <v>$ 5648,51</v>
      </c>
      <c r="G1878" t="str">
        <f>"$ 5648,51"</f>
        <v>$ 5648,51</v>
      </c>
      <c r="H1878" t="str">
        <f t="shared" si="1198"/>
        <v>$ 0,00</v>
      </c>
      <c r="I1878" t="str">
        <f t="shared" si="1226"/>
        <v>ESCOBILLAS FLAT CHATAS ACERO</v>
      </c>
      <c r="J1878" t="str">
        <f t="shared" si="1199"/>
        <v>1</v>
      </c>
      <c r="K1878" t="str">
        <f t="shared" si="1227"/>
        <v>0</v>
      </c>
      <c r="L1878" t="str">
        <f>"47,000"</f>
        <v>47,000</v>
      </c>
      <c r="M1878" t="str">
        <f t="shared" si="1200"/>
        <v xml:space="preserve"> </v>
      </c>
      <c r="N1878" t="str">
        <f t="shared" si="1217"/>
        <v>EKTION</v>
      </c>
      <c r="O1878" t="str">
        <f t="shared" si="1218"/>
        <v>LIMPIA PARABRISAS</v>
      </c>
      <c r="P1878" t="str">
        <f t="shared" si="1219"/>
        <v>0</v>
      </c>
      <c r="Q1878" t="str">
        <f t="shared" si="1219"/>
        <v>0</v>
      </c>
      <c r="R1878" t="str">
        <f t="shared" si="1220"/>
        <v>0,00</v>
      </c>
      <c r="S1878" t="str">
        <f t="shared" si="1220"/>
        <v>0,00</v>
      </c>
      <c r="T1878" t="str">
        <f t="shared" si="1196"/>
        <v xml:space="preserve"> </v>
      </c>
      <c r="U1878" t="str">
        <f t="shared" si="1224"/>
        <v xml:space="preserve"> </v>
      </c>
      <c r="V1878" t="str">
        <f>"47,000"</f>
        <v>47,000</v>
      </c>
      <c r="W1878" t="str">
        <f t="shared" si="1201"/>
        <v>Lista 4</v>
      </c>
      <c r="X1878" t="str">
        <f t="shared" si="1202"/>
        <v>Lista 5</v>
      </c>
      <c r="Y1878" t="str">
        <f t="shared" si="1203"/>
        <v>Oferta Gral.</v>
      </c>
      <c r="Z1878" t="str">
        <f t="shared" si="1204"/>
        <v>Rubro</v>
      </c>
      <c r="AA1878" t="str">
        <f t="shared" si="1205"/>
        <v>Cantidad por Bulto</v>
      </c>
      <c r="AB1878" t="str">
        <f t="shared" si="1206"/>
        <v>INNER</v>
      </c>
      <c r="AC1878" t="str">
        <f t="shared" si="1207"/>
        <v>Stock en Bultos</v>
      </c>
      <c r="AD1878" t="str">
        <f t="shared" si="1208"/>
        <v>SubDepósito</v>
      </c>
      <c r="AE1878" t="str">
        <f t="shared" si="1209"/>
        <v>Marca</v>
      </c>
      <c r="AF1878" t="str">
        <f t="shared" si="1210"/>
        <v>Super Rubro</v>
      </c>
      <c r="AG1878" t="str">
        <f t="shared" si="1211"/>
        <v>ComercioExterior</v>
      </c>
      <c r="AH1878" t="str">
        <f t="shared" si="1212"/>
        <v>PrecioFOB</v>
      </c>
      <c r="AI1878" t="str">
        <f t="shared" si="1213"/>
        <v>Monto II</v>
      </c>
      <c r="AJ1878" t="str">
        <f t="shared" si="1214"/>
        <v>Porcentaje II</v>
      </c>
      <c r="AK1878" t="str">
        <f t="shared" si="1215"/>
        <v>Foto</v>
      </c>
      <c r="AL1878" t="str">
        <f>"{\rtf1\ansi\ansicpg1252\deff0\deflang11274{\fonttbl{\f0\fnil\fcharset0 MS Sans Serif}} \viewkind4\uc1\pard\f0\fs16 ESCOBILLA FLAT CHATA ACERO 16 PULGADAS\par } "</f>
        <v xml:space="preserve">{\rtf1\ansi\ansicpg1252\deff0\deflang11274{\fonttbl{\f0\fnil\fcharset0 MS Sans Serif}} \viewkind4\uc1\pard\f0\fs16 ESCOBILLA FLAT CHATA ACERO 16 PULGADAS\par } </v>
      </c>
      <c r="AM1878" t="str">
        <f t="shared" si="1197"/>
        <v xml:space="preserve"> </v>
      </c>
    </row>
    <row r="1879" spans="1:39" x14ac:dyDescent="0.25">
      <c r="A1879" t="str">
        <f>"STD17"</f>
        <v>STD17</v>
      </c>
      <c r="B1879" t="str">
        <f>"ESCOBILLA FLAT CHATA ACERO 17 PULGADAS"</f>
        <v>ESCOBILLA FLAT CHATA ACERO 17 PULGADAS</v>
      </c>
      <c r="C1879" t="str">
        <f t="shared" ref="C1879:G1880" si="1228">"$ 6197,53"</f>
        <v>$ 6197,53</v>
      </c>
      <c r="D1879" t="str">
        <f t="shared" si="1228"/>
        <v>$ 6197,53</v>
      </c>
      <c r="E1879" t="str">
        <f t="shared" si="1228"/>
        <v>$ 6197,53</v>
      </c>
      <c r="F1879" t="str">
        <f t="shared" si="1228"/>
        <v>$ 6197,53</v>
      </c>
      <c r="G1879" t="str">
        <f t="shared" si="1228"/>
        <v>$ 6197,53</v>
      </c>
      <c r="H1879" t="str">
        <f t="shared" si="1198"/>
        <v>$ 0,00</v>
      </c>
      <c r="I1879" t="str">
        <f t="shared" si="1226"/>
        <v>ESCOBILLAS FLAT CHATAS ACERO</v>
      </c>
      <c r="J1879" t="str">
        <f t="shared" si="1199"/>
        <v>1</v>
      </c>
      <c r="K1879" t="str">
        <f t="shared" si="1227"/>
        <v>0</v>
      </c>
      <c r="L1879" t="str">
        <f>"47,000"</f>
        <v>47,000</v>
      </c>
      <c r="M1879" t="str">
        <f t="shared" si="1200"/>
        <v xml:space="preserve"> </v>
      </c>
      <c r="N1879" t="str">
        <f t="shared" si="1217"/>
        <v>EKTION</v>
      </c>
      <c r="O1879" t="str">
        <f t="shared" si="1218"/>
        <v>LIMPIA PARABRISAS</v>
      </c>
      <c r="P1879" t="str">
        <f t="shared" si="1219"/>
        <v>0</v>
      </c>
      <c r="Q1879" t="str">
        <f t="shared" si="1219"/>
        <v>0</v>
      </c>
      <c r="R1879" t="str">
        <f t="shared" si="1220"/>
        <v>0,00</v>
      </c>
      <c r="S1879" t="str">
        <f t="shared" si="1220"/>
        <v>0,00</v>
      </c>
      <c r="T1879" t="str">
        <f t="shared" si="1196"/>
        <v xml:space="preserve"> </v>
      </c>
      <c r="U1879" t="str">
        <f t="shared" si="1224"/>
        <v xml:space="preserve"> </v>
      </c>
      <c r="V1879" t="str">
        <f>"47,000"</f>
        <v>47,000</v>
      </c>
      <c r="W1879" t="str">
        <f t="shared" si="1201"/>
        <v>Lista 4</v>
      </c>
      <c r="X1879" t="str">
        <f t="shared" si="1202"/>
        <v>Lista 5</v>
      </c>
      <c r="Y1879" t="str">
        <f t="shared" si="1203"/>
        <v>Oferta Gral.</v>
      </c>
      <c r="Z1879" t="str">
        <f t="shared" si="1204"/>
        <v>Rubro</v>
      </c>
      <c r="AA1879" t="str">
        <f t="shared" si="1205"/>
        <v>Cantidad por Bulto</v>
      </c>
      <c r="AB1879" t="str">
        <f t="shared" si="1206"/>
        <v>INNER</v>
      </c>
      <c r="AC1879" t="str">
        <f t="shared" si="1207"/>
        <v>Stock en Bultos</v>
      </c>
      <c r="AD1879" t="str">
        <f t="shared" si="1208"/>
        <v>SubDepósito</v>
      </c>
      <c r="AE1879" t="str">
        <f t="shared" si="1209"/>
        <v>Marca</v>
      </c>
      <c r="AF1879" t="str">
        <f t="shared" si="1210"/>
        <v>Super Rubro</v>
      </c>
      <c r="AG1879" t="str">
        <f t="shared" si="1211"/>
        <v>ComercioExterior</v>
      </c>
      <c r="AH1879" t="str">
        <f t="shared" si="1212"/>
        <v>PrecioFOB</v>
      </c>
      <c r="AI1879" t="str">
        <f t="shared" si="1213"/>
        <v>Monto II</v>
      </c>
      <c r="AJ1879" t="str">
        <f t="shared" si="1214"/>
        <v>Porcentaje II</v>
      </c>
      <c r="AK1879" t="str">
        <f t="shared" si="1215"/>
        <v>Foto</v>
      </c>
      <c r="AL1879" t="str">
        <f>"{\rtf1\ansi\ansicpg1252\deff0\deflang11274{\fonttbl{\f0\fnil\fcharset0 MS Sans Serif}} \viewkind4\uc1\pard\f0\fs16 ESCOBILLA FLAT CHATA ACERO 17 PULGADAS\par } "</f>
        <v xml:space="preserve">{\rtf1\ansi\ansicpg1252\deff0\deflang11274{\fonttbl{\f0\fnil\fcharset0 MS Sans Serif}} \viewkind4\uc1\pard\f0\fs16 ESCOBILLA FLAT CHATA ACERO 17 PULGADAS\par } </v>
      </c>
      <c r="AM1879" t="str">
        <f t="shared" si="1197"/>
        <v xml:space="preserve"> </v>
      </c>
    </row>
    <row r="1880" spans="1:39" x14ac:dyDescent="0.25">
      <c r="A1880" t="str">
        <f>"STD18"</f>
        <v>STD18</v>
      </c>
      <c r="B1880" t="str">
        <f>"ESCOBILLA FLAT CHATA ACERO 18 PULGADAS"</f>
        <v>ESCOBILLA FLAT CHATA ACERO 18 PULGADAS</v>
      </c>
      <c r="C1880" t="str">
        <f t="shared" si="1228"/>
        <v>$ 6197,53</v>
      </c>
      <c r="D1880" t="str">
        <f t="shared" si="1228"/>
        <v>$ 6197,53</v>
      </c>
      <c r="E1880" t="str">
        <f t="shared" si="1228"/>
        <v>$ 6197,53</v>
      </c>
      <c r="F1880" t="str">
        <f t="shared" si="1228"/>
        <v>$ 6197,53</v>
      </c>
      <c r="G1880" t="str">
        <f t="shared" si="1228"/>
        <v>$ 6197,53</v>
      </c>
      <c r="H1880" t="str">
        <f t="shared" si="1198"/>
        <v>$ 0,00</v>
      </c>
      <c r="I1880" t="str">
        <f t="shared" si="1226"/>
        <v>ESCOBILLAS FLAT CHATAS ACERO</v>
      </c>
      <c r="J1880" t="str">
        <f t="shared" si="1199"/>
        <v>1</v>
      </c>
      <c r="K1880" t="str">
        <f t="shared" si="1227"/>
        <v>0</v>
      </c>
      <c r="L1880" t="str">
        <f>"31,000"</f>
        <v>31,000</v>
      </c>
      <c r="M1880" t="str">
        <f t="shared" si="1200"/>
        <v xml:space="preserve"> </v>
      </c>
      <c r="N1880" t="str">
        <f t="shared" si="1217"/>
        <v>EKTION</v>
      </c>
      <c r="O1880" t="str">
        <f t="shared" si="1218"/>
        <v>LIMPIA PARABRISAS</v>
      </c>
      <c r="P1880" t="str">
        <f t="shared" si="1219"/>
        <v>0</v>
      </c>
      <c r="Q1880" t="str">
        <f t="shared" si="1219"/>
        <v>0</v>
      </c>
      <c r="R1880" t="str">
        <f t="shared" si="1220"/>
        <v>0,00</v>
      </c>
      <c r="S1880" t="str">
        <f t="shared" si="1220"/>
        <v>0,00</v>
      </c>
      <c r="T1880" t="str">
        <f t="shared" si="1196"/>
        <v xml:space="preserve"> </v>
      </c>
      <c r="U1880" t="str">
        <f t="shared" si="1224"/>
        <v xml:space="preserve"> </v>
      </c>
      <c r="V1880" t="str">
        <f>"31,000"</f>
        <v>31,000</v>
      </c>
      <c r="W1880" t="str">
        <f t="shared" si="1201"/>
        <v>Lista 4</v>
      </c>
      <c r="X1880" t="str">
        <f t="shared" si="1202"/>
        <v>Lista 5</v>
      </c>
      <c r="Y1880" t="str">
        <f t="shared" si="1203"/>
        <v>Oferta Gral.</v>
      </c>
      <c r="Z1880" t="str">
        <f t="shared" si="1204"/>
        <v>Rubro</v>
      </c>
      <c r="AA1880" t="str">
        <f t="shared" si="1205"/>
        <v>Cantidad por Bulto</v>
      </c>
      <c r="AB1880" t="str">
        <f t="shared" si="1206"/>
        <v>INNER</v>
      </c>
      <c r="AC1880" t="str">
        <f t="shared" si="1207"/>
        <v>Stock en Bultos</v>
      </c>
      <c r="AD1880" t="str">
        <f t="shared" si="1208"/>
        <v>SubDepósito</v>
      </c>
      <c r="AE1880" t="str">
        <f t="shared" si="1209"/>
        <v>Marca</v>
      </c>
      <c r="AF1880" t="str">
        <f t="shared" si="1210"/>
        <v>Super Rubro</v>
      </c>
      <c r="AG1880" t="str">
        <f t="shared" si="1211"/>
        <v>ComercioExterior</v>
      </c>
      <c r="AH1880" t="str">
        <f t="shared" si="1212"/>
        <v>PrecioFOB</v>
      </c>
      <c r="AI1880" t="str">
        <f t="shared" si="1213"/>
        <v>Monto II</v>
      </c>
      <c r="AJ1880" t="str">
        <f t="shared" si="1214"/>
        <v>Porcentaje II</v>
      </c>
      <c r="AK1880" t="str">
        <f t="shared" si="1215"/>
        <v>Foto</v>
      </c>
      <c r="AL1880" t="str">
        <f>"{\rtf1\ansi\ansicpg1252\deff0\deflang11274{\fonttbl{\f0\fnil\fcharset0 MS Sans Serif}} \viewkind4\uc1\pard\f0\fs16 ESCOBILLA FLAT CHATA ACERO 18 PULGADAS\par } "</f>
        <v xml:space="preserve">{\rtf1\ansi\ansicpg1252\deff0\deflang11274{\fonttbl{\f0\fnil\fcharset0 MS Sans Serif}} \viewkind4\uc1\pard\f0\fs16 ESCOBILLA FLAT CHATA ACERO 18 PULGADAS\par } </v>
      </c>
      <c r="AM1880" t="str">
        <f t="shared" si="1197"/>
        <v xml:space="preserve"> </v>
      </c>
    </row>
    <row r="1881" spans="1:39" x14ac:dyDescent="0.25">
      <c r="A1881" t="str">
        <f>"STD19"</f>
        <v>STD19</v>
      </c>
      <c r="B1881" t="str">
        <f>"ESCOBILLA FLAT CHATA ACERO 19 PULGADAS"</f>
        <v>ESCOBILLA FLAT CHATA ACERO 19 PULGADAS</v>
      </c>
      <c r="C1881" t="str">
        <f>"$ 7021,04"</f>
        <v>$ 7021,04</v>
      </c>
      <c r="D1881" t="str">
        <f>"$ 7021,04"</f>
        <v>$ 7021,04</v>
      </c>
      <c r="E1881" t="str">
        <f>"$ 7021,04"</f>
        <v>$ 7021,04</v>
      </c>
      <c r="F1881" t="str">
        <f>"$ 7021,04"</f>
        <v>$ 7021,04</v>
      </c>
      <c r="G1881" t="str">
        <f>"$ 7021,04"</f>
        <v>$ 7021,04</v>
      </c>
      <c r="H1881" t="str">
        <f t="shared" si="1198"/>
        <v>$ 0,00</v>
      </c>
      <c r="I1881" t="str">
        <f t="shared" si="1226"/>
        <v>ESCOBILLAS FLAT CHATAS ACERO</v>
      </c>
      <c r="J1881" t="str">
        <f t="shared" si="1199"/>
        <v>1</v>
      </c>
      <c r="K1881" t="str">
        <f t="shared" si="1227"/>
        <v>0</v>
      </c>
      <c r="L1881" t="str">
        <f>"36,000"</f>
        <v>36,000</v>
      </c>
      <c r="M1881" t="str">
        <f t="shared" si="1200"/>
        <v xml:space="preserve"> </v>
      </c>
      <c r="N1881" t="str">
        <f t="shared" si="1217"/>
        <v>EKTION</v>
      </c>
      <c r="O1881" t="str">
        <f t="shared" si="1218"/>
        <v>LIMPIA PARABRISAS</v>
      </c>
      <c r="P1881" t="str">
        <f t="shared" si="1219"/>
        <v>0</v>
      </c>
      <c r="Q1881" t="str">
        <f t="shared" si="1219"/>
        <v>0</v>
      </c>
      <c r="R1881" t="str">
        <f t="shared" si="1220"/>
        <v>0,00</v>
      </c>
      <c r="S1881" t="str">
        <f t="shared" si="1220"/>
        <v>0,00</v>
      </c>
      <c r="T1881" t="str">
        <f t="shared" si="1196"/>
        <v xml:space="preserve"> </v>
      </c>
      <c r="U1881" t="str">
        <f t="shared" si="1224"/>
        <v xml:space="preserve"> </v>
      </c>
      <c r="V1881" t="str">
        <f>"36,000"</f>
        <v>36,000</v>
      </c>
      <c r="W1881" t="str">
        <f t="shared" si="1201"/>
        <v>Lista 4</v>
      </c>
      <c r="X1881" t="str">
        <f t="shared" si="1202"/>
        <v>Lista 5</v>
      </c>
      <c r="Y1881" t="str">
        <f t="shared" si="1203"/>
        <v>Oferta Gral.</v>
      </c>
      <c r="Z1881" t="str">
        <f t="shared" si="1204"/>
        <v>Rubro</v>
      </c>
      <c r="AA1881" t="str">
        <f t="shared" si="1205"/>
        <v>Cantidad por Bulto</v>
      </c>
      <c r="AB1881" t="str">
        <f t="shared" si="1206"/>
        <v>INNER</v>
      </c>
      <c r="AC1881" t="str">
        <f t="shared" si="1207"/>
        <v>Stock en Bultos</v>
      </c>
      <c r="AD1881" t="str">
        <f t="shared" si="1208"/>
        <v>SubDepósito</v>
      </c>
      <c r="AE1881" t="str">
        <f t="shared" si="1209"/>
        <v>Marca</v>
      </c>
      <c r="AF1881" t="str">
        <f t="shared" si="1210"/>
        <v>Super Rubro</v>
      </c>
      <c r="AG1881" t="str">
        <f t="shared" si="1211"/>
        <v>ComercioExterior</v>
      </c>
      <c r="AH1881" t="str">
        <f t="shared" si="1212"/>
        <v>PrecioFOB</v>
      </c>
      <c r="AI1881" t="str">
        <f t="shared" si="1213"/>
        <v>Monto II</v>
      </c>
      <c r="AJ1881" t="str">
        <f t="shared" si="1214"/>
        <v>Porcentaje II</v>
      </c>
      <c r="AK1881" t="str">
        <f t="shared" si="1215"/>
        <v>Foto</v>
      </c>
      <c r="AL1881" t="str">
        <f>"{\rtf1\ansi\ansicpg1252\deff0\deflang11274{\fonttbl{\f0\fnil\fcharset0 MS Sans Serif}} \viewkind4\uc1\pard\f0\fs16 ESCOBILLA FLAT CHATA ACERO 19 PULGADAS\par } "</f>
        <v xml:space="preserve">{\rtf1\ansi\ansicpg1252\deff0\deflang11274{\fonttbl{\f0\fnil\fcharset0 MS Sans Serif}} \viewkind4\uc1\pard\f0\fs16 ESCOBILLA FLAT CHATA ACERO 19 PULGADAS\par } </v>
      </c>
      <c r="AM1881" t="str">
        <f t="shared" si="1197"/>
        <v xml:space="preserve"> </v>
      </c>
    </row>
    <row r="1882" spans="1:39" x14ac:dyDescent="0.25">
      <c r="A1882" t="str">
        <f>"STD20"</f>
        <v>STD20</v>
      </c>
      <c r="B1882" t="str">
        <f>"ESCOBILLA FLAT CHATA ACERO 20 PULGADAS"</f>
        <v>ESCOBILLA FLAT CHATA ACERO 20 PULGADAS</v>
      </c>
      <c r="C1882" t="str">
        <f t="shared" ref="C1882:G1884" si="1229">"$ 7063,29"</f>
        <v>$ 7063,29</v>
      </c>
      <c r="D1882" t="str">
        <f t="shared" si="1229"/>
        <v>$ 7063,29</v>
      </c>
      <c r="E1882" t="str">
        <f t="shared" si="1229"/>
        <v>$ 7063,29</v>
      </c>
      <c r="F1882" t="str">
        <f t="shared" si="1229"/>
        <v>$ 7063,29</v>
      </c>
      <c r="G1882" t="str">
        <f t="shared" si="1229"/>
        <v>$ 7063,29</v>
      </c>
      <c r="H1882" t="str">
        <f t="shared" si="1198"/>
        <v>$ 0,00</v>
      </c>
      <c r="I1882" t="str">
        <f t="shared" si="1226"/>
        <v>ESCOBILLAS FLAT CHATAS ACERO</v>
      </c>
      <c r="J1882" t="str">
        <f t="shared" si="1199"/>
        <v>1</v>
      </c>
      <c r="K1882" t="str">
        <f t="shared" si="1227"/>
        <v>0</v>
      </c>
      <c r="L1882" t="str">
        <f>"29,000"</f>
        <v>29,000</v>
      </c>
      <c r="M1882" t="str">
        <f t="shared" si="1200"/>
        <v xml:space="preserve"> </v>
      </c>
      <c r="N1882" t="str">
        <f t="shared" si="1217"/>
        <v>EKTION</v>
      </c>
      <c r="O1882" t="str">
        <f t="shared" si="1218"/>
        <v>LIMPIA PARABRISAS</v>
      </c>
      <c r="P1882" t="str">
        <f t="shared" si="1219"/>
        <v>0</v>
      </c>
      <c r="Q1882" t="str">
        <f t="shared" si="1219"/>
        <v>0</v>
      </c>
      <c r="R1882" t="str">
        <f t="shared" si="1220"/>
        <v>0,00</v>
      </c>
      <c r="S1882" t="str">
        <f t="shared" si="1220"/>
        <v>0,00</v>
      </c>
      <c r="T1882" t="str">
        <f t="shared" si="1196"/>
        <v xml:space="preserve"> </v>
      </c>
      <c r="U1882" t="str">
        <f t="shared" si="1224"/>
        <v xml:space="preserve"> </v>
      </c>
      <c r="V1882" t="str">
        <f>"29,000"</f>
        <v>29,000</v>
      </c>
      <c r="W1882" t="str">
        <f t="shared" si="1201"/>
        <v>Lista 4</v>
      </c>
      <c r="X1882" t="str">
        <f t="shared" si="1202"/>
        <v>Lista 5</v>
      </c>
      <c r="Y1882" t="str">
        <f t="shared" si="1203"/>
        <v>Oferta Gral.</v>
      </c>
      <c r="Z1882" t="str">
        <f t="shared" si="1204"/>
        <v>Rubro</v>
      </c>
      <c r="AA1882" t="str">
        <f t="shared" si="1205"/>
        <v>Cantidad por Bulto</v>
      </c>
      <c r="AB1882" t="str">
        <f t="shared" si="1206"/>
        <v>INNER</v>
      </c>
      <c r="AC1882" t="str">
        <f t="shared" si="1207"/>
        <v>Stock en Bultos</v>
      </c>
      <c r="AD1882" t="str">
        <f t="shared" si="1208"/>
        <v>SubDepósito</v>
      </c>
      <c r="AE1882" t="str">
        <f t="shared" si="1209"/>
        <v>Marca</v>
      </c>
      <c r="AF1882" t="str">
        <f t="shared" si="1210"/>
        <v>Super Rubro</v>
      </c>
      <c r="AG1882" t="str">
        <f t="shared" si="1211"/>
        <v>ComercioExterior</v>
      </c>
      <c r="AH1882" t="str">
        <f t="shared" si="1212"/>
        <v>PrecioFOB</v>
      </c>
      <c r="AI1882" t="str">
        <f t="shared" si="1213"/>
        <v>Monto II</v>
      </c>
      <c r="AJ1882" t="str">
        <f t="shared" si="1214"/>
        <v>Porcentaje II</v>
      </c>
      <c r="AK1882" t="str">
        <f t="shared" si="1215"/>
        <v>Foto</v>
      </c>
      <c r="AL1882" t="str">
        <f>"{\rtf1\ansi\ansicpg1252\deff0\deflang11274{\fonttbl{\f0\fnil\fcharset0 MS Sans Serif}} \viewkind4\uc1\pard\f0\fs16 ESCOBILLA FLAT CHATA ACERO 20 PULGADAS\par } "</f>
        <v xml:space="preserve">{\rtf1\ansi\ansicpg1252\deff0\deflang11274{\fonttbl{\f0\fnil\fcharset0 MS Sans Serif}} \viewkind4\uc1\pard\f0\fs16 ESCOBILLA FLAT CHATA ACERO 20 PULGADAS\par } </v>
      </c>
      <c r="AM1882" t="str">
        <f t="shared" si="1197"/>
        <v xml:space="preserve"> </v>
      </c>
    </row>
    <row r="1883" spans="1:39" x14ac:dyDescent="0.25">
      <c r="A1883" t="str">
        <f>"STD21"</f>
        <v>STD21</v>
      </c>
      <c r="B1883" t="str">
        <f>"ESCOBILLA FLAT CHATA ACERO 21 PULGADAS"</f>
        <v>ESCOBILLA FLAT CHATA ACERO 21 PULGADAS</v>
      </c>
      <c r="C1883" t="str">
        <f t="shared" si="1229"/>
        <v>$ 7063,29</v>
      </c>
      <c r="D1883" t="str">
        <f t="shared" si="1229"/>
        <v>$ 7063,29</v>
      </c>
      <c r="E1883" t="str">
        <f t="shared" si="1229"/>
        <v>$ 7063,29</v>
      </c>
      <c r="F1883" t="str">
        <f t="shared" si="1229"/>
        <v>$ 7063,29</v>
      </c>
      <c r="G1883" t="str">
        <f t="shared" si="1229"/>
        <v>$ 7063,29</v>
      </c>
      <c r="H1883" t="str">
        <f t="shared" si="1198"/>
        <v>$ 0,00</v>
      </c>
      <c r="I1883" t="str">
        <f t="shared" si="1226"/>
        <v>ESCOBILLAS FLAT CHATAS ACERO</v>
      </c>
      <c r="J1883" t="str">
        <f t="shared" si="1199"/>
        <v>1</v>
      </c>
      <c r="K1883" t="str">
        <f t="shared" si="1227"/>
        <v>0</v>
      </c>
      <c r="L1883" t="str">
        <f>"53,000"</f>
        <v>53,000</v>
      </c>
      <c r="M1883" t="str">
        <f t="shared" si="1200"/>
        <v xml:space="preserve"> </v>
      </c>
      <c r="N1883" t="str">
        <f t="shared" si="1217"/>
        <v>EKTION</v>
      </c>
      <c r="O1883" t="str">
        <f t="shared" si="1218"/>
        <v>LIMPIA PARABRISAS</v>
      </c>
      <c r="P1883" t="str">
        <f t="shared" ref="P1883:Q1902" si="1230">"0"</f>
        <v>0</v>
      </c>
      <c r="Q1883" t="str">
        <f t="shared" si="1230"/>
        <v>0</v>
      </c>
      <c r="R1883" t="str">
        <f t="shared" ref="R1883:S1902" si="1231">"0,00"</f>
        <v>0,00</v>
      </c>
      <c r="S1883" t="str">
        <f t="shared" si="1231"/>
        <v>0,00</v>
      </c>
      <c r="T1883" t="str">
        <f t="shared" si="1196"/>
        <v xml:space="preserve"> </v>
      </c>
      <c r="U1883" t="str">
        <f t="shared" si="1224"/>
        <v xml:space="preserve"> </v>
      </c>
      <c r="V1883" t="str">
        <f>"53,000"</f>
        <v>53,000</v>
      </c>
      <c r="W1883" t="str">
        <f t="shared" si="1201"/>
        <v>Lista 4</v>
      </c>
      <c r="X1883" t="str">
        <f t="shared" si="1202"/>
        <v>Lista 5</v>
      </c>
      <c r="Y1883" t="str">
        <f t="shared" si="1203"/>
        <v>Oferta Gral.</v>
      </c>
      <c r="Z1883" t="str">
        <f t="shared" si="1204"/>
        <v>Rubro</v>
      </c>
      <c r="AA1883" t="str">
        <f t="shared" si="1205"/>
        <v>Cantidad por Bulto</v>
      </c>
      <c r="AB1883" t="str">
        <f t="shared" si="1206"/>
        <v>INNER</v>
      </c>
      <c r="AC1883" t="str">
        <f t="shared" si="1207"/>
        <v>Stock en Bultos</v>
      </c>
      <c r="AD1883" t="str">
        <f t="shared" si="1208"/>
        <v>SubDepósito</v>
      </c>
      <c r="AE1883" t="str">
        <f t="shared" si="1209"/>
        <v>Marca</v>
      </c>
      <c r="AF1883" t="str">
        <f t="shared" si="1210"/>
        <v>Super Rubro</v>
      </c>
      <c r="AG1883" t="str">
        <f t="shared" si="1211"/>
        <v>ComercioExterior</v>
      </c>
      <c r="AH1883" t="str">
        <f t="shared" si="1212"/>
        <v>PrecioFOB</v>
      </c>
      <c r="AI1883" t="str">
        <f t="shared" si="1213"/>
        <v>Monto II</v>
      </c>
      <c r="AJ1883" t="str">
        <f t="shared" si="1214"/>
        <v>Porcentaje II</v>
      </c>
      <c r="AK1883" t="str">
        <f t="shared" si="1215"/>
        <v>Foto</v>
      </c>
      <c r="AL1883" t="str">
        <f>"{\rtf1\ansi\ansicpg1252\deff0\deflang11274{\fonttbl{\f0\fnil\fcharset0 MS Sans Serif}} \viewkind4\uc1\pard\f0\fs16 ESCOBILLA FLAT CHATA ACERO 21 PULGADAS\par } "</f>
        <v xml:space="preserve">{\rtf1\ansi\ansicpg1252\deff0\deflang11274{\fonttbl{\f0\fnil\fcharset0 MS Sans Serif}} \viewkind4\uc1\pard\f0\fs16 ESCOBILLA FLAT CHATA ACERO 21 PULGADAS\par } </v>
      </c>
      <c r="AM1883" t="str">
        <f t="shared" si="1197"/>
        <v xml:space="preserve"> </v>
      </c>
    </row>
    <row r="1884" spans="1:39" x14ac:dyDescent="0.25">
      <c r="A1884" t="str">
        <f>"STD22"</f>
        <v>STD22</v>
      </c>
      <c r="B1884" t="str">
        <f>"ESCOBILLA FLAT CHATA ACERO 22 PULGADAS"</f>
        <v>ESCOBILLA FLAT CHATA ACERO 22 PULGADAS</v>
      </c>
      <c r="C1884" t="str">
        <f t="shared" si="1229"/>
        <v>$ 7063,29</v>
      </c>
      <c r="D1884" t="str">
        <f t="shared" si="1229"/>
        <v>$ 7063,29</v>
      </c>
      <c r="E1884" t="str">
        <f t="shared" si="1229"/>
        <v>$ 7063,29</v>
      </c>
      <c r="F1884" t="str">
        <f t="shared" si="1229"/>
        <v>$ 7063,29</v>
      </c>
      <c r="G1884" t="str">
        <f t="shared" si="1229"/>
        <v>$ 7063,29</v>
      </c>
      <c r="H1884" t="str">
        <f t="shared" si="1198"/>
        <v>$ 0,00</v>
      </c>
      <c r="I1884" t="str">
        <f t="shared" si="1226"/>
        <v>ESCOBILLAS FLAT CHATAS ACERO</v>
      </c>
      <c r="J1884" t="str">
        <f t="shared" si="1199"/>
        <v>1</v>
      </c>
      <c r="K1884" t="str">
        <f t="shared" si="1227"/>
        <v>0</v>
      </c>
      <c r="L1884" t="str">
        <f>"32,000"</f>
        <v>32,000</v>
      </c>
      <c r="M1884" t="str">
        <f t="shared" si="1200"/>
        <v xml:space="preserve"> </v>
      </c>
      <c r="N1884" t="str">
        <f t="shared" si="1217"/>
        <v>EKTION</v>
      </c>
      <c r="O1884" t="str">
        <f t="shared" si="1218"/>
        <v>LIMPIA PARABRISAS</v>
      </c>
      <c r="P1884" t="str">
        <f t="shared" si="1230"/>
        <v>0</v>
      </c>
      <c r="Q1884" t="str">
        <f t="shared" si="1230"/>
        <v>0</v>
      </c>
      <c r="R1884" t="str">
        <f t="shared" si="1231"/>
        <v>0,00</v>
      </c>
      <c r="S1884" t="str">
        <f t="shared" si="1231"/>
        <v>0,00</v>
      </c>
      <c r="T1884" t="str">
        <f t="shared" si="1196"/>
        <v xml:space="preserve"> </v>
      </c>
      <c r="U1884" t="str">
        <f t="shared" si="1224"/>
        <v xml:space="preserve"> </v>
      </c>
      <c r="V1884" t="str">
        <f>"32,000"</f>
        <v>32,000</v>
      </c>
      <c r="W1884" t="str">
        <f t="shared" si="1201"/>
        <v>Lista 4</v>
      </c>
      <c r="X1884" t="str">
        <f t="shared" si="1202"/>
        <v>Lista 5</v>
      </c>
      <c r="Y1884" t="str">
        <f t="shared" si="1203"/>
        <v>Oferta Gral.</v>
      </c>
      <c r="Z1884" t="str">
        <f t="shared" si="1204"/>
        <v>Rubro</v>
      </c>
      <c r="AA1884" t="str">
        <f t="shared" si="1205"/>
        <v>Cantidad por Bulto</v>
      </c>
      <c r="AB1884" t="str">
        <f t="shared" si="1206"/>
        <v>INNER</v>
      </c>
      <c r="AC1884" t="str">
        <f t="shared" si="1207"/>
        <v>Stock en Bultos</v>
      </c>
      <c r="AD1884" t="str">
        <f t="shared" si="1208"/>
        <v>SubDepósito</v>
      </c>
      <c r="AE1884" t="str">
        <f t="shared" si="1209"/>
        <v>Marca</v>
      </c>
      <c r="AF1884" t="str">
        <f t="shared" si="1210"/>
        <v>Super Rubro</v>
      </c>
      <c r="AG1884" t="str">
        <f t="shared" si="1211"/>
        <v>ComercioExterior</v>
      </c>
      <c r="AH1884" t="str">
        <f t="shared" si="1212"/>
        <v>PrecioFOB</v>
      </c>
      <c r="AI1884" t="str">
        <f t="shared" si="1213"/>
        <v>Monto II</v>
      </c>
      <c r="AJ1884" t="str">
        <f t="shared" si="1214"/>
        <v>Porcentaje II</v>
      </c>
      <c r="AK1884" t="str">
        <f t="shared" si="1215"/>
        <v>Foto</v>
      </c>
      <c r="AL1884" t="str">
        <f>"{\rtf1\ansi\ansicpg1252\deff0\deflang11274{\fonttbl{\f0\fnil\fcharset0 MS Sans Serif}} \viewkind4\uc1\pard\f0\fs16 ESCOBILLA FLAT CHATA ACERO 22 PULGADAS\par } "</f>
        <v xml:space="preserve">{\rtf1\ansi\ansicpg1252\deff0\deflang11274{\fonttbl{\f0\fnil\fcharset0 MS Sans Serif}} \viewkind4\uc1\pard\f0\fs16 ESCOBILLA FLAT CHATA ACERO 22 PULGADAS\par } </v>
      </c>
      <c r="AM1884" t="str">
        <f t="shared" si="1197"/>
        <v xml:space="preserve"> </v>
      </c>
    </row>
    <row r="1885" spans="1:39" x14ac:dyDescent="0.25">
      <c r="A1885" t="str">
        <f>"STD24"</f>
        <v>STD24</v>
      </c>
      <c r="B1885" t="str">
        <f>"ESCOBILLA FLAT CHATA ACERO 24 PULGADAS"</f>
        <v>ESCOBILLA FLAT CHATA ACERO 24 PULGADAS</v>
      </c>
      <c r="C1885" t="str">
        <f>"$ 8372,46"</f>
        <v>$ 8372,46</v>
      </c>
      <c r="D1885" t="str">
        <f>"$ 8372,46"</f>
        <v>$ 8372,46</v>
      </c>
      <c r="E1885" t="str">
        <f>"$ 8372,46"</f>
        <v>$ 8372,46</v>
      </c>
      <c r="F1885" t="str">
        <f>"$ 8372,46"</f>
        <v>$ 8372,46</v>
      </c>
      <c r="G1885" t="str">
        <f>"$ 8372,46"</f>
        <v>$ 8372,46</v>
      </c>
      <c r="H1885" t="str">
        <f t="shared" si="1198"/>
        <v>$ 0,00</v>
      </c>
      <c r="I1885" t="str">
        <f t="shared" si="1226"/>
        <v>ESCOBILLAS FLAT CHATAS ACERO</v>
      </c>
      <c r="J1885" t="str">
        <f t="shared" si="1199"/>
        <v>1</v>
      </c>
      <c r="K1885" t="str">
        <f t="shared" si="1227"/>
        <v>0</v>
      </c>
      <c r="L1885" t="str">
        <f>"12,000"</f>
        <v>12,000</v>
      </c>
      <c r="M1885" t="str">
        <f t="shared" si="1200"/>
        <v xml:space="preserve"> </v>
      </c>
      <c r="N1885" t="str">
        <f t="shared" si="1217"/>
        <v>EKTION</v>
      </c>
      <c r="O1885" t="str">
        <f t="shared" si="1218"/>
        <v>LIMPIA PARABRISAS</v>
      </c>
      <c r="P1885" t="str">
        <f t="shared" si="1230"/>
        <v>0</v>
      </c>
      <c r="Q1885" t="str">
        <f t="shared" si="1230"/>
        <v>0</v>
      </c>
      <c r="R1885" t="str">
        <f t="shared" si="1231"/>
        <v>0,00</v>
      </c>
      <c r="S1885" t="str">
        <f t="shared" si="1231"/>
        <v>0,00</v>
      </c>
      <c r="T1885" t="str">
        <f t="shared" si="1196"/>
        <v xml:space="preserve"> </v>
      </c>
      <c r="U1885" t="str">
        <f t="shared" si="1224"/>
        <v xml:space="preserve"> </v>
      </c>
      <c r="V1885" t="str">
        <f>"12,000"</f>
        <v>12,000</v>
      </c>
      <c r="W1885" t="str">
        <f t="shared" si="1201"/>
        <v>Lista 4</v>
      </c>
      <c r="X1885" t="str">
        <f t="shared" si="1202"/>
        <v>Lista 5</v>
      </c>
      <c r="Y1885" t="str">
        <f t="shared" si="1203"/>
        <v>Oferta Gral.</v>
      </c>
      <c r="Z1885" t="str">
        <f t="shared" si="1204"/>
        <v>Rubro</v>
      </c>
      <c r="AA1885" t="str">
        <f t="shared" si="1205"/>
        <v>Cantidad por Bulto</v>
      </c>
      <c r="AB1885" t="str">
        <f t="shared" si="1206"/>
        <v>INNER</v>
      </c>
      <c r="AC1885" t="str">
        <f t="shared" si="1207"/>
        <v>Stock en Bultos</v>
      </c>
      <c r="AD1885" t="str">
        <f t="shared" si="1208"/>
        <v>SubDepósito</v>
      </c>
      <c r="AE1885" t="str">
        <f t="shared" si="1209"/>
        <v>Marca</v>
      </c>
      <c r="AF1885" t="str">
        <f t="shared" si="1210"/>
        <v>Super Rubro</v>
      </c>
      <c r="AG1885" t="str">
        <f t="shared" si="1211"/>
        <v>ComercioExterior</v>
      </c>
      <c r="AH1885" t="str">
        <f t="shared" si="1212"/>
        <v>PrecioFOB</v>
      </c>
      <c r="AI1885" t="str">
        <f t="shared" si="1213"/>
        <v>Monto II</v>
      </c>
      <c r="AJ1885" t="str">
        <f t="shared" si="1214"/>
        <v>Porcentaje II</v>
      </c>
      <c r="AK1885" t="str">
        <f t="shared" si="1215"/>
        <v>Foto</v>
      </c>
      <c r="AL1885" t="str">
        <f>"{\rtf1\ansi\ansicpg1252\deff0\deflang11274{\fonttbl{\f0\fnil\fcharset0 MS Sans Serif}} \viewkind4\uc1\pard\f0\fs16 ESCOBILLA FLAT CHATA ACERO 24 PULGADAS\par } "</f>
        <v xml:space="preserve">{\rtf1\ansi\ansicpg1252\deff0\deflang11274{\fonttbl{\f0\fnil\fcharset0 MS Sans Serif}} \viewkind4\uc1\pard\f0\fs16 ESCOBILLA FLAT CHATA ACERO 24 PULGADAS\par } </v>
      </c>
      <c r="AM1885" t="str">
        <f t="shared" si="1197"/>
        <v xml:space="preserve"> </v>
      </c>
    </row>
    <row r="1886" spans="1:39" x14ac:dyDescent="0.25">
      <c r="A1886" t="str">
        <f>"STD26"</f>
        <v>STD26</v>
      </c>
      <c r="B1886" t="str">
        <f>"ESCOBILLA FLAT CHATA ACERO 26 PULGADAS"</f>
        <v>ESCOBILLA FLAT CHATA ACERO 26 PULGADAS</v>
      </c>
      <c r="C1886" t="str">
        <f>"$ 12690,67"</f>
        <v>$ 12690,67</v>
      </c>
      <c r="D1886" t="str">
        <f>"$ 12690,67"</f>
        <v>$ 12690,67</v>
      </c>
      <c r="E1886" t="str">
        <f>"$ 12690,67"</f>
        <v>$ 12690,67</v>
      </c>
      <c r="F1886" t="str">
        <f>"$ 12690,67"</f>
        <v>$ 12690,67</v>
      </c>
      <c r="G1886" t="str">
        <f>"$ 12690,67"</f>
        <v>$ 12690,67</v>
      </c>
      <c r="H1886" t="str">
        <f t="shared" si="1198"/>
        <v>$ 0,00</v>
      </c>
      <c r="I1886" t="str">
        <f t="shared" si="1226"/>
        <v>ESCOBILLAS FLAT CHATAS ACERO</v>
      </c>
      <c r="J1886" t="str">
        <f t="shared" si="1199"/>
        <v>1</v>
      </c>
      <c r="K1886" t="str">
        <f t="shared" si="1227"/>
        <v>0</v>
      </c>
      <c r="L1886" t="str">
        <f>"21,000"</f>
        <v>21,000</v>
      </c>
      <c r="M1886" t="str">
        <f t="shared" si="1200"/>
        <v xml:space="preserve"> </v>
      </c>
      <c r="N1886" t="str">
        <f t="shared" si="1217"/>
        <v>EKTION</v>
      </c>
      <c r="O1886" t="str">
        <f t="shared" si="1218"/>
        <v>LIMPIA PARABRISAS</v>
      </c>
      <c r="P1886" t="str">
        <f t="shared" si="1230"/>
        <v>0</v>
      </c>
      <c r="Q1886" t="str">
        <f t="shared" si="1230"/>
        <v>0</v>
      </c>
      <c r="R1886" t="str">
        <f t="shared" si="1231"/>
        <v>0,00</v>
      </c>
      <c r="S1886" t="str">
        <f t="shared" si="1231"/>
        <v>0,00</v>
      </c>
      <c r="T1886" t="str">
        <f t="shared" si="1196"/>
        <v xml:space="preserve"> </v>
      </c>
      <c r="U1886" t="str">
        <f t="shared" si="1224"/>
        <v xml:space="preserve"> </v>
      </c>
      <c r="V1886" t="str">
        <f>"21,000"</f>
        <v>21,000</v>
      </c>
      <c r="W1886" t="str">
        <f t="shared" si="1201"/>
        <v>Lista 4</v>
      </c>
      <c r="X1886" t="str">
        <f t="shared" si="1202"/>
        <v>Lista 5</v>
      </c>
      <c r="Y1886" t="str">
        <f t="shared" si="1203"/>
        <v>Oferta Gral.</v>
      </c>
      <c r="Z1886" t="str">
        <f t="shared" si="1204"/>
        <v>Rubro</v>
      </c>
      <c r="AA1886" t="str">
        <f t="shared" si="1205"/>
        <v>Cantidad por Bulto</v>
      </c>
      <c r="AB1886" t="str">
        <f t="shared" si="1206"/>
        <v>INNER</v>
      </c>
      <c r="AC1886" t="str">
        <f t="shared" si="1207"/>
        <v>Stock en Bultos</v>
      </c>
      <c r="AD1886" t="str">
        <f t="shared" si="1208"/>
        <v>SubDepósito</v>
      </c>
      <c r="AE1886" t="str">
        <f t="shared" si="1209"/>
        <v>Marca</v>
      </c>
      <c r="AF1886" t="str">
        <f t="shared" si="1210"/>
        <v>Super Rubro</v>
      </c>
      <c r="AG1886" t="str">
        <f t="shared" si="1211"/>
        <v>ComercioExterior</v>
      </c>
      <c r="AH1886" t="str">
        <f t="shared" si="1212"/>
        <v>PrecioFOB</v>
      </c>
      <c r="AI1886" t="str">
        <f t="shared" si="1213"/>
        <v>Monto II</v>
      </c>
      <c r="AJ1886" t="str">
        <f t="shared" si="1214"/>
        <v>Porcentaje II</v>
      </c>
      <c r="AK1886" t="str">
        <f t="shared" si="1215"/>
        <v>Foto</v>
      </c>
      <c r="AL1886" t="str">
        <f>"{\rtf1\ansi\ansicpg1252\deff0\deflang11274{\fonttbl{\f0\fnil\fcharset0 MS Sans Serif}} \viewkind4\uc1\pard\f0\fs16\par \par } "</f>
        <v xml:space="preserve">{\rtf1\ansi\ansicpg1252\deff0\deflang11274{\fonttbl{\f0\fnil\fcharset0 MS Sans Serif}} \viewkind4\uc1\pard\f0\fs16\par \par } </v>
      </c>
      <c r="AM1886" t="str">
        <f t="shared" si="1197"/>
        <v xml:space="preserve"> </v>
      </c>
    </row>
    <row r="1887" spans="1:39" x14ac:dyDescent="0.25">
      <c r="A1887" t="str">
        <f>"DJ912AMB"</f>
        <v>DJ912AMB</v>
      </c>
      <c r="B1887" t="str">
        <f>"FARO CIRCULAR AMBAR 27 WATT - 9 LED X 3 WATT - HAZ DE LUZ SPOT"</f>
        <v>FARO CIRCULAR AMBAR 27 WATT - 9 LED X 3 WATT - HAZ DE LUZ SPOT</v>
      </c>
      <c r="C1887" t="str">
        <f>"$ 10294,01"</f>
        <v>$ 10294,01</v>
      </c>
      <c r="D1887" t="str">
        <f>"$ 10294,01"</f>
        <v>$ 10294,01</v>
      </c>
      <c r="E1887" t="str">
        <f>"$ 10294,01"</f>
        <v>$ 10294,01</v>
      </c>
      <c r="F1887" t="str">
        <f>"$ 10294,01"</f>
        <v>$ 10294,01</v>
      </c>
      <c r="G1887" t="str">
        <f>"$ 10294,01"</f>
        <v>$ 10294,01</v>
      </c>
      <c r="H1887" t="str">
        <f t="shared" si="1198"/>
        <v>$ 0,00</v>
      </c>
      <c r="I1887" t="str">
        <f>"FAROS LED"</f>
        <v>FAROS LED</v>
      </c>
      <c r="J1887" t="str">
        <f t="shared" si="1199"/>
        <v>1</v>
      </c>
      <c r="K1887" t="str">
        <f t="shared" si="1227"/>
        <v>0</v>
      </c>
      <c r="L1887" t="str">
        <f>"2,000"</f>
        <v>2,000</v>
      </c>
      <c r="M1887" t="str">
        <f t="shared" si="1200"/>
        <v xml:space="preserve"> </v>
      </c>
      <c r="N1887" t="str">
        <f>"LUX LED"</f>
        <v>LUX LED</v>
      </c>
      <c r="O1887" t="str">
        <f>"LAMPARAS"</f>
        <v>LAMPARAS</v>
      </c>
      <c r="P1887" t="str">
        <f t="shared" si="1230"/>
        <v>0</v>
      </c>
      <c r="Q1887" t="str">
        <f t="shared" si="1230"/>
        <v>0</v>
      </c>
      <c r="R1887" t="str">
        <f t="shared" si="1231"/>
        <v>0,00</v>
      </c>
      <c r="S1887" t="str">
        <f t="shared" si="1231"/>
        <v>0,00</v>
      </c>
      <c r="T1887" t="str">
        <f t="shared" si="1196"/>
        <v xml:space="preserve"> </v>
      </c>
      <c r="U1887" t="str">
        <f t="shared" si="1224"/>
        <v xml:space="preserve"> </v>
      </c>
      <c r="V1887" t="str">
        <f>"2,000"</f>
        <v>2,000</v>
      </c>
      <c r="W1887" t="str">
        <f t="shared" si="1201"/>
        <v>Lista 4</v>
      </c>
      <c r="X1887" t="str">
        <f t="shared" si="1202"/>
        <v>Lista 5</v>
      </c>
      <c r="Y1887" t="str">
        <f t="shared" si="1203"/>
        <v>Oferta Gral.</v>
      </c>
      <c r="Z1887" t="str">
        <f t="shared" si="1204"/>
        <v>Rubro</v>
      </c>
      <c r="AA1887" t="str">
        <f t="shared" si="1205"/>
        <v>Cantidad por Bulto</v>
      </c>
      <c r="AB1887" t="str">
        <f t="shared" si="1206"/>
        <v>INNER</v>
      </c>
      <c r="AC1887" t="str">
        <f t="shared" si="1207"/>
        <v>Stock en Bultos</v>
      </c>
      <c r="AD1887" t="str">
        <f t="shared" si="1208"/>
        <v>SubDepósito</v>
      </c>
      <c r="AE1887" t="str">
        <f t="shared" si="1209"/>
        <v>Marca</v>
      </c>
      <c r="AF1887" t="str">
        <f t="shared" si="1210"/>
        <v>Super Rubro</v>
      </c>
      <c r="AG1887" t="str">
        <f t="shared" si="1211"/>
        <v>ComercioExterior</v>
      </c>
      <c r="AH1887" t="str">
        <f t="shared" si="1212"/>
        <v>PrecioFOB</v>
      </c>
      <c r="AI1887" t="str">
        <f t="shared" si="1213"/>
        <v>Monto II</v>
      </c>
      <c r="AJ1887" t="str">
        <f t="shared" si="1214"/>
        <v>Porcentaje II</v>
      </c>
      <c r="AK1887" t="str">
        <f t="shared" si="1215"/>
        <v>Foto</v>
      </c>
      <c r="AL1887" t="str">
        <f>"{\rtf1\ansi\ansicpg1252\deff0\deflang11274{\fonttbl{\f0\fnil\fcharset0 MS Sans Serif}} \viewkind4\uc1\pard\f0\fs16 M\'d3DULO ENC. PEUGEOT. 205/405SRI/605-FORD ESCORT/ORION/FIESTA-CITROEN AX/BX/VISA ZX\par } "</f>
        <v xml:space="preserve">{\rtf1\ansi\ansicpg1252\deff0\deflang11274{\fonttbl{\f0\fnil\fcharset0 MS Sans Serif}} \viewkind4\uc1\pard\f0\fs16 M\'d3DULO ENC. PEUGEOT. 205/405SRI/605-FORD ESCORT/ORION/FIESTA-CITROEN AX/BX/VISA ZX\par } </v>
      </c>
      <c r="AM1887" t="str">
        <f t="shared" ref="AM1887:AM1904" si="1232">"-"</f>
        <v>-</v>
      </c>
    </row>
    <row r="1888" spans="1:39" x14ac:dyDescent="0.25">
      <c r="A1888" t="str">
        <f>"DJ912SPEP"</f>
        <v>DJ912SPEP</v>
      </c>
      <c r="B1888" t="str">
        <f>"FARO LED CIRCULAR BLANCO - 9 LED X 3 WATT - HAZ DE LUZ SPOT"</f>
        <v>FARO LED CIRCULAR BLANCO - 9 LED X 3 WATT - HAZ DE LUZ SPOT</v>
      </c>
      <c r="C1888" t="str">
        <f>"$ 7242,75"</f>
        <v>$ 7242,75</v>
      </c>
      <c r="D1888" t="str">
        <f>"$ 7242,75"</f>
        <v>$ 7242,75</v>
      </c>
      <c r="E1888" t="str">
        <f>"$ 7242,75"</f>
        <v>$ 7242,75</v>
      </c>
      <c r="F1888" t="str">
        <f>"$ 7242,75"</f>
        <v>$ 7242,75</v>
      </c>
      <c r="G1888" t="str">
        <f>"$ 7242,75"</f>
        <v>$ 7242,75</v>
      </c>
      <c r="H1888" t="str">
        <f t="shared" si="1198"/>
        <v>$ 0,00</v>
      </c>
      <c r="I1888" t="str">
        <f>"FAROS LED"</f>
        <v>FAROS LED</v>
      </c>
      <c r="J1888" t="str">
        <f t="shared" si="1199"/>
        <v>1</v>
      </c>
      <c r="K1888" t="str">
        <f t="shared" si="1227"/>
        <v>0</v>
      </c>
      <c r="L1888" t="str">
        <f>"7,000"</f>
        <v>7,000</v>
      </c>
      <c r="M1888" t="str">
        <f t="shared" si="1200"/>
        <v xml:space="preserve"> </v>
      </c>
      <c r="N1888" t="str">
        <f>"LUX LED"</f>
        <v>LUX LED</v>
      </c>
      <c r="O1888" t="str">
        <f>"LAMPARAS"</f>
        <v>LAMPARAS</v>
      </c>
      <c r="P1888" t="str">
        <f t="shared" si="1230"/>
        <v>0</v>
      </c>
      <c r="Q1888" t="str">
        <f t="shared" si="1230"/>
        <v>0</v>
      </c>
      <c r="R1888" t="str">
        <f t="shared" si="1231"/>
        <v>0,00</v>
      </c>
      <c r="S1888" t="str">
        <f t="shared" si="1231"/>
        <v>0,00</v>
      </c>
      <c r="T1888" t="str">
        <f t="shared" si="1196"/>
        <v xml:space="preserve"> </v>
      </c>
      <c r="U1888" t="str">
        <f t="shared" si="1224"/>
        <v xml:space="preserve"> </v>
      </c>
      <c r="V1888" t="str">
        <f>"7,000"</f>
        <v>7,000</v>
      </c>
      <c r="W1888" t="str">
        <f t="shared" si="1201"/>
        <v>Lista 4</v>
      </c>
      <c r="X1888" t="str">
        <f t="shared" si="1202"/>
        <v>Lista 5</v>
      </c>
      <c r="Y1888" t="str">
        <f t="shared" si="1203"/>
        <v>Oferta Gral.</v>
      </c>
      <c r="Z1888" t="str">
        <f t="shared" si="1204"/>
        <v>Rubro</v>
      </c>
      <c r="AA1888" t="str">
        <f t="shared" si="1205"/>
        <v>Cantidad por Bulto</v>
      </c>
      <c r="AB1888" t="str">
        <f t="shared" si="1206"/>
        <v>INNER</v>
      </c>
      <c r="AC1888" t="str">
        <f t="shared" si="1207"/>
        <v>Stock en Bultos</v>
      </c>
      <c r="AD1888" t="str">
        <f t="shared" si="1208"/>
        <v>SubDepósito</v>
      </c>
      <c r="AE1888" t="str">
        <f t="shared" si="1209"/>
        <v>Marca</v>
      </c>
      <c r="AF1888" t="str">
        <f t="shared" si="1210"/>
        <v>Super Rubro</v>
      </c>
      <c r="AG1888" t="str">
        <f t="shared" si="1211"/>
        <v>ComercioExterior</v>
      </c>
      <c r="AH1888" t="str">
        <f t="shared" si="1212"/>
        <v>PrecioFOB</v>
      </c>
      <c r="AI1888" t="str">
        <f t="shared" si="1213"/>
        <v>Monto II</v>
      </c>
      <c r="AJ1888" t="str">
        <f t="shared" si="1214"/>
        <v>Porcentaje II</v>
      </c>
      <c r="AK1888" t="str">
        <f t="shared" si="1215"/>
        <v>Foto</v>
      </c>
      <c r="AL1888" t="str">
        <f>"{\rtf1\ansi\ansicpg1252\deff0\deflang11274{\fonttbl{\f0\fnil\fcharset0 MS Sans Serif}} \viewkind4\uc1\pard\f0\fs16 M\'d3DULO ENC. FORD FALCON-SIERRA-ESCORT-FIESTA-ORION\par } "</f>
        <v xml:space="preserve">{\rtf1\ansi\ansicpg1252\deff0\deflang11274{\fonttbl{\f0\fnil\fcharset0 MS Sans Serif}} \viewkind4\uc1\pard\f0\fs16 M\'d3DULO ENC. FORD FALCON-SIERRA-ESCORT-FIESTA-ORION\par } </v>
      </c>
      <c r="AM1888" t="str">
        <f t="shared" si="1232"/>
        <v>-</v>
      </c>
    </row>
    <row r="1889" spans="1:39" x14ac:dyDescent="0.25">
      <c r="A1889" t="str">
        <f>"DJ1112AMB"</f>
        <v>DJ1112AMB</v>
      </c>
      <c r="B1889" t="str">
        <f>"FARO LED RECTANGULAR AMBAR - 6 LED X 3 WATT - HAZ DE LUZ SPOT"</f>
        <v>FARO LED RECTANGULAR AMBAR - 6 LED X 3 WATT - HAZ DE LUZ SPOT</v>
      </c>
      <c r="C1889" t="str">
        <f>"$ 10146,19"</f>
        <v>$ 10146,19</v>
      </c>
      <c r="D1889" t="str">
        <f>"$ 10146,19"</f>
        <v>$ 10146,19</v>
      </c>
      <c r="E1889" t="str">
        <f>"$ 10146,19"</f>
        <v>$ 10146,19</v>
      </c>
      <c r="F1889" t="str">
        <f>"$ 10146,19"</f>
        <v>$ 10146,19</v>
      </c>
      <c r="G1889" t="str">
        <f>"$ 10146,19"</f>
        <v>$ 10146,19</v>
      </c>
      <c r="H1889" t="str">
        <f t="shared" si="1198"/>
        <v>$ 0,00</v>
      </c>
      <c r="I1889" t="str">
        <f>"FAROS LED"</f>
        <v>FAROS LED</v>
      </c>
      <c r="J1889" t="str">
        <f t="shared" si="1199"/>
        <v>1</v>
      </c>
      <c r="K1889" t="str">
        <f t="shared" si="1227"/>
        <v>0</v>
      </c>
      <c r="L1889" t="str">
        <f>"2,000"</f>
        <v>2,000</v>
      </c>
      <c r="M1889" t="str">
        <f t="shared" si="1200"/>
        <v xml:space="preserve"> </v>
      </c>
      <c r="N1889" t="str">
        <f>"LUX LED"</f>
        <v>LUX LED</v>
      </c>
      <c r="O1889" t="str">
        <f>"LAMPARAS"</f>
        <v>LAMPARAS</v>
      </c>
      <c r="P1889" t="str">
        <f t="shared" si="1230"/>
        <v>0</v>
      </c>
      <c r="Q1889" t="str">
        <f t="shared" si="1230"/>
        <v>0</v>
      </c>
      <c r="R1889" t="str">
        <f t="shared" si="1231"/>
        <v>0,00</v>
      </c>
      <c r="S1889" t="str">
        <f t="shared" si="1231"/>
        <v>0,00</v>
      </c>
      <c r="T1889" t="str">
        <f t="shared" si="1196"/>
        <v xml:space="preserve"> </v>
      </c>
      <c r="U1889" t="str">
        <f t="shared" si="1224"/>
        <v xml:space="preserve"> </v>
      </c>
      <c r="V1889" t="str">
        <f>"2,000"</f>
        <v>2,000</v>
      </c>
      <c r="W1889" t="str">
        <f t="shared" si="1201"/>
        <v>Lista 4</v>
      </c>
      <c r="X1889" t="str">
        <f t="shared" si="1202"/>
        <v>Lista 5</v>
      </c>
      <c r="Y1889" t="str">
        <f t="shared" si="1203"/>
        <v>Oferta Gral.</v>
      </c>
      <c r="Z1889" t="str">
        <f t="shared" si="1204"/>
        <v>Rubro</v>
      </c>
      <c r="AA1889" t="str">
        <f t="shared" si="1205"/>
        <v>Cantidad por Bulto</v>
      </c>
      <c r="AB1889" t="str">
        <f t="shared" si="1206"/>
        <v>INNER</v>
      </c>
      <c r="AC1889" t="str">
        <f t="shared" si="1207"/>
        <v>Stock en Bultos</v>
      </c>
      <c r="AD1889" t="str">
        <f t="shared" si="1208"/>
        <v>SubDepósito</v>
      </c>
      <c r="AE1889" t="str">
        <f t="shared" si="1209"/>
        <v>Marca</v>
      </c>
      <c r="AF1889" t="str">
        <f t="shared" si="1210"/>
        <v>Super Rubro</v>
      </c>
      <c r="AG1889" t="str">
        <f t="shared" si="1211"/>
        <v>ComercioExterior</v>
      </c>
      <c r="AH1889" t="str">
        <f t="shared" si="1212"/>
        <v>PrecioFOB</v>
      </c>
      <c r="AI1889" t="str">
        <f t="shared" si="1213"/>
        <v>Monto II</v>
      </c>
      <c r="AJ1889" t="str">
        <f t="shared" si="1214"/>
        <v>Porcentaje II</v>
      </c>
      <c r="AK1889" t="str">
        <f t="shared" si="1215"/>
        <v>Foto</v>
      </c>
      <c r="AL1889" t="str">
        <f>"{\rtf1\ansi\ansicpg1252\deff0\deflang11274{\fonttbl{\f0\fnil\fcharset0 MS Sans Serif}} \viewkind4\uc1\pard\f0\fs16 M\'d3DULO ENC. FIAT REGATTA-DODGE1500-GM-PEUGEOT504-RENAULT18-PICK-UP SILVERADO\par } "</f>
        <v xml:space="preserve">{\rtf1\ansi\ansicpg1252\deff0\deflang11274{\fonttbl{\f0\fnil\fcharset0 MS Sans Serif}} \viewkind4\uc1\pard\f0\fs16 M\'d3DULO ENC. FIAT REGATTA-DODGE1500-GM-PEUGEOT504-RENAULT18-PICK-UP SILVERADO\par } </v>
      </c>
      <c r="AM1889" t="str">
        <f t="shared" si="1232"/>
        <v>-</v>
      </c>
    </row>
    <row r="1890" spans="1:39" x14ac:dyDescent="0.25">
      <c r="A1890" t="str">
        <f>"DJ1112SPEP"</f>
        <v>DJ1112SPEP</v>
      </c>
      <c r="B1890" t="str">
        <f>"FARO RECTANGULAR 18W BLANCO (6 LEDS X 3WATTS)"</f>
        <v>FARO RECTANGULAR 18W BLANCO (6 LEDS X 3WATTS)</v>
      </c>
      <c r="C1890" t="str">
        <f>"$ 9966,73"</f>
        <v>$ 9966,73</v>
      </c>
      <c r="D1890" t="str">
        <f>"$ 9966,73"</f>
        <v>$ 9966,73</v>
      </c>
      <c r="E1890" t="str">
        <f>"$ 9966,73"</f>
        <v>$ 9966,73</v>
      </c>
      <c r="F1890" t="str">
        <f>"$ 9966,73"</f>
        <v>$ 9966,73</v>
      </c>
      <c r="G1890" t="str">
        <f>"$ 9966,73"</f>
        <v>$ 9966,73</v>
      </c>
      <c r="H1890" t="str">
        <f t="shared" si="1198"/>
        <v>$ 0,00</v>
      </c>
      <c r="I1890" t="str">
        <f>"FAROS LED"</f>
        <v>FAROS LED</v>
      </c>
      <c r="J1890" t="str">
        <f t="shared" si="1199"/>
        <v>1</v>
      </c>
      <c r="K1890" t="str">
        <f t="shared" si="1227"/>
        <v>0</v>
      </c>
      <c r="L1890" t="str">
        <f>"7,000"</f>
        <v>7,000</v>
      </c>
      <c r="M1890" t="str">
        <f t="shared" si="1200"/>
        <v xml:space="preserve"> </v>
      </c>
      <c r="N1890" t="str">
        <f>"LUX LED"</f>
        <v>LUX LED</v>
      </c>
      <c r="O1890" t="str">
        <f>"LAMPARAS"</f>
        <v>LAMPARAS</v>
      </c>
      <c r="P1890" t="str">
        <f t="shared" si="1230"/>
        <v>0</v>
      </c>
      <c r="Q1890" t="str">
        <f t="shared" si="1230"/>
        <v>0</v>
      </c>
      <c r="R1890" t="str">
        <f t="shared" si="1231"/>
        <v>0,00</v>
      </c>
      <c r="S1890" t="str">
        <f t="shared" si="1231"/>
        <v>0,00</v>
      </c>
      <c r="T1890" t="str">
        <f t="shared" si="1196"/>
        <v xml:space="preserve"> </v>
      </c>
      <c r="U1890" t="str">
        <f t="shared" si="1224"/>
        <v xml:space="preserve"> </v>
      </c>
      <c r="V1890" t="str">
        <f>"7,000"</f>
        <v>7,000</v>
      </c>
      <c r="W1890" t="str">
        <f t="shared" si="1201"/>
        <v>Lista 4</v>
      </c>
      <c r="X1890" t="str">
        <f t="shared" si="1202"/>
        <v>Lista 5</v>
      </c>
      <c r="Y1890" t="str">
        <f t="shared" si="1203"/>
        <v>Oferta Gral.</v>
      </c>
      <c r="Z1890" t="str">
        <f t="shared" si="1204"/>
        <v>Rubro</v>
      </c>
      <c r="AA1890" t="str">
        <f t="shared" si="1205"/>
        <v>Cantidad por Bulto</v>
      </c>
      <c r="AB1890" t="str">
        <f t="shared" si="1206"/>
        <v>INNER</v>
      </c>
      <c r="AC1890" t="str">
        <f t="shared" si="1207"/>
        <v>Stock en Bultos</v>
      </c>
      <c r="AD1890" t="str">
        <f t="shared" si="1208"/>
        <v>SubDepósito</v>
      </c>
      <c r="AE1890" t="str">
        <f t="shared" si="1209"/>
        <v>Marca</v>
      </c>
      <c r="AF1890" t="str">
        <f t="shared" si="1210"/>
        <v>Super Rubro</v>
      </c>
      <c r="AG1890" t="str">
        <f t="shared" si="1211"/>
        <v>ComercioExterior</v>
      </c>
      <c r="AH1890" t="str">
        <f t="shared" si="1212"/>
        <v>PrecioFOB</v>
      </c>
      <c r="AI1890" t="str">
        <f t="shared" si="1213"/>
        <v>Monto II</v>
      </c>
      <c r="AJ1890" t="str">
        <f t="shared" si="1214"/>
        <v>Porcentaje II</v>
      </c>
      <c r="AK1890" t="str">
        <f t="shared" si="1215"/>
        <v>Foto</v>
      </c>
      <c r="AL1890" t="str">
        <f>"{\rtf1\ansi\ansicpg1252\deff0\deflang11274{\fonttbl{\f0\fnil\fcharset0 MS Sans Serif}} \viewkind4\uc1\pard\f0\fs16 FARO RECTANGULAR 18W BLANCO (6 LEDS X 3WATTS)\par } "</f>
        <v xml:space="preserve">{\rtf1\ansi\ansicpg1252\deff0\deflang11274{\fonttbl{\f0\fnil\fcharset0 MS Sans Serif}} \viewkind4\uc1\pard\f0\fs16 FARO RECTANGULAR 18W BLANCO (6 LEDS X 3WATTS)\par } </v>
      </c>
      <c r="AM1890" t="str">
        <f t="shared" si="1232"/>
        <v>-</v>
      </c>
    </row>
    <row r="1891" spans="1:39" x14ac:dyDescent="0.25">
      <c r="A1891" t="str">
        <f>"M1004"</f>
        <v>M1004</v>
      </c>
      <c r="B1891" t="str">
        <f>"FIAT BRAVA/STRADA/PALIO 1.6  16V R.CLIO II/MEGANE/SCENIC"</f>
        <v>FIAT BRAVA/STRADA/PALIO 1.6  16V R.CLIO II/MEGANE/SCENIC</v>
      </c>
      <c r="C1891" t="str">
        <f>"$ 15243,83"</f>
        <v>$ 15243,83</v>
      </c>
      <c r="D1891" t="str">
        <f>"$ 15243,83"</f>
        <v>$ 15243,83</v>
      </c>
      <c r="E1891" t="str">
        <f>"$ 15243,83"</f>
        <v>$ 15243,83</v>
      </c>
      <c r="F1891" t="str">
        <f>"$ 15243,83"</f>
        <v>$ 15243,83</v>
      </c>
      <c r="G1891" t="str">
        <f>"$ 15243,83"</f>
        <v>$ 15243,83</v>
      </c>
      <c r="H1891" t="str">
        <f t="shared" si="1198"/>
        <v>$ 0,00</v>
      </c>
      <c r="I1891" t="str">
        <f>"SENSOR MARIPOSA TPS"</f>
        <v>SENSOR MARIPOSA TPS</v>
      </c>
      <c r="J1891" t="str">
        <f t="shared" si="1199"/>
        <v>1</v>
      </c>
      <c r="K1891" t="str">
        <f t="shared" si="1227"/>
        <v>0</v>
      </c>
      <c r="L1891" t="str">
        <f>"5,000"</f>
        <v>5,000</v>
      </c>
      <c r="M1891" t="str">
        <f t="shared" si="1200"/>
        <v xml:space="preserve"> </v>
      </c>
      <c r="N1891" t="str">
        <f>"FISPA"</f>
        <v>FISPA</v>
      </c>
      <c r="O1891" t="str">
        <f>"SENSORES"</f>
        <v>SENSORES</v>
      </c>
      <c r="P1891" t="str">
        <f t="shared" si="1230"/>
        <v>0</v>
      </c>
      <c r="Q1891" t="str">
        <f t="shared" si="1230"/>
        <v>0</v>
      </c>
      <c r="R1891" t="str">
        <f t="shared" si="1231"/>
        <v>0,00</v>
      </c>
      <c r="S1891" t="str">
        <f t="shared" si="1231"/>
        <v>0,00</v>
      </c>
      <c r="T1891" t="str">
        <f t="shared" si="1196"/>
        <v xml:space="preserve"> </v>
      </c>
      <c r="U1891" t="str">
        <f t="shared" si="1224"/>
        <v xml:space="preserve"> </v>
      </c>
      <c r="V1891" t="str">
        <f>"5,000"</f>
        <v>5,000</v>
      </c>
      <c r="W1891" t="str">
        <f t="shared" si="1201"/>
        <v>Lista 4</v>
      </c>
      <c r="X1891" t="str">
        <f t="shared" si="1202"/>
        <v>Lista 5</v>
      </c>
      <c r="Y1891" t="str">
        <f t="shared" si="1203"/>
        <v>Oferta Gral.</v>
      </c>
      <c r="Z1891" t="str">
        <f t="shared" si="1204"/>
        <v>Rubro</v>
      </c>
      <c r="AA1891" t="str">
        <f t="shared" si="1205"/>
        <v>Cantidad por Bulto</v>
      </c>
      <c r="AB1891" t="str">
        <f t="shared" si="1206"/>
        <v>INNER</v>
      </c>
      <c r="AC1891" t="str">
        <f t="shared" si="1207"/>
        <v>Stock en Bultos</v>
      </c>
      <c r="AD1891" t="str">
        <f t="shared" si="1208"/>
        <v>SubDepósito</v>
      </c>
      <c r="AE1891" t="str">
        <f t="shared" si="1209"/>
        <v>Marca</v>
      </c>
      <c r="AF1891" t="str">
        <f t="shared" si="1210"/>
        <v>Super Rubro</v>
      </c>
      <c r="AG1891" t="str">
        <f t="shared" si="1211"/>
        <v>ComercioExterior</v>
      </c>
      <c r="AH1891" t="str">
        <f t="shared" si="1212"/>
        <v>PrecioFOB</v>
      </c>
      <c r="AI1891" t="str">
        <f t="shared" si="1213"/>
        <v>Monto II</v>
      </c>
      <c r="AJ1891" t="str">
        <f t="shared" si="1214"/>
        <v>Porcentaje II</v>
      </c>
      <c r="AK1891" t="str">
        <f t="shared" si="1215"/>
        <v>Foto</v>
      </c>
      <c r="AL189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91" t="str">
        <f t="shared" si="1232"/>
        <v>-</v>
      </c>
    </row>
    <row r="1892" spans="1:39" x14ac:dyDescent="0.25">
      <c r="A1892" t="str">
        <f>"M1031"</f>
        <v>M1031</v>
      </c>
      <c r="B1892" t="str">
        <f>"FIAT IDEA PALIO SIENA 1.8 8V CHEVROLET CORSA II"</f>
        <v>FIAT IDEA PALIO SIENA 1.8 8V CHEVROLET CORSA II</v>
      </c>
      <c r="C1892" t="str">
        <f>"$ 59199,39"</f>
        <v>$ 59199,39</v>
      </c>
      <c r="D1892" t="str">
        <f>"$ 59199,39"</f>
        <v>$ 59199,39</v>
      </c>
      <c r="E1892" t="str">
        <f>"$ 59199,39"</f>
        <v>$ 59199,39</v>
      </c>
      <c r="F1892" t="str">
        <f>"$ 59199,39"</f>
        <v>$ 59199,39</v>
      </c>
      <c r="G1892" t="str">
        <f>"$ 59199,39"</f>
        <v>$ 59199,39</v>
      </c>
      <c r="H1892" t="str">
        <f t="shared" si="1198"/>
        <v>$ 0,00</v>
      </c>
      <c r="I1892" t="str">
        <f>"SENSOR MARIPOSA TPS"</f>
        <v>SENSOR MARIPOSA TPS</v>
      </c>
      <c r="J1892" t="str">
        <f t="shared" si="1199"/>
        <v>1</v>
      </c>
      <c r="K1892" t="str">
        <f t="shared" si="1227"/>
        <v>0</v>
      </c>
      <c r="L1892" t="str">
        <f>"3,000"</f>
        <v>3,000</v>
      </c>
      <c r="M1892" t="str">
        <f t="shared" si="1200"/>
        <v xml:space="preserve"> </v>
      </c>
      <c r="N1892" t="str">
        <f>"FISPA"</f>
        <v>FISPA</v>
      </c>
      <c r="O1892" t="str">
        <f>"SENSORES"</f>
        <v>SENSORES</v>
      </c>
      <c r="P1892" t="str">
        <f t="shared" si="1230"/>
        <v>0</v>
      </c>
      <c r="Q1892" t="str">
        <f t="shared" si="1230"/>
        <v>0</v>
      </c>
      <c r="R1892" t="str">
        <f t="shared" si="1231"/>
        <v>0,00</v>
      </c>
      <c r="S1892" t="str">
        <f t="shared" si="1231"/>
        <v>0,00</v>
      </c>
      <c r="T1892" t="str">
        <f t="shared" si="1196"/>
        <v xml:space="preserve"> </v>
      </c>
      <c r="U1892" t="str">
        <f t="shared" si="1224"/>
        <v xml:space="preserve"> </v>
      </c>
      <c r="V1892" t="str">
        <f>"3,000"</f>
        <v>3,000</v>
      </c>
      <c r="W1892" t="str">
        <f t="shared" si="1201"/>
        <v>Lista 4</v>
      </c>
      <c r="X1892" t="str">
        <f t="shared" si="1202"/>
        <v>Lista 5</v>
      </c>
      <c r="Y1892" t="str">
        <f t="shared" si="1203"/>
        <v>Oferta Gral.</v>
      </c>
      <c r="Z1892" t="str">
        <f t="shared" si="1204"/>
        <v>Rubro</v>
      </c>
      <c r="AA1892" t="str">
        <f t="shared" si="1205"/>
        <v>Cantidad por Bulto</v>
      </c>
      <c r="AB1892" t="str">
        <f t="shared" si="1206"/>
        <v>INNER</v>
      </c>
      <c r="AC1892" t="str">
        <f t="shared" si="1207"/>
        <v>Stock en Bultos</v>
      </c>
      <c r="AD1892" t="str">
        <f t="shared" si="1208"/>
        <v>SubDepósito</v>
      </c>
      <c r="AE1892" t="str">
        <f t="shared" si="1209"/>
        <v>Marca</v>
      </c>
      <c r="AF1892" t="str">
        <f t="shared" si="1210"/>
        <v>Super Rubro</v>
      </c>
      <c r="AG1892" t="str">
        <f t="shared" si="1211"/>
        <v>ComercioExterior</v>
      </c>
      <c r="AH1892" t="str">
        <f t="shared" si="1212"/>
        <v>PrecioFOB</v>
      </c>
      <c r="AI1892" t="str">
        <f t="shared" si="1213"/>
        <v>Monto II</v>
      </c>
      <c r="AJ1892" t="str">
        <f t="shared" si="1214"/>
        <v>Porcentaje II</v>
      </c>
      <c r="AK1892" t="str">
        <f t="shared" si="1215"/>
        <v>Foto</v>
      </c>
      <c r="AL1892" t="str">
        <f>" "</f>
        <v xml:space="preserve"> </v>
      </c>
      <c r="AM1892" t="str">
        <f t="shared" si="1232"/>
        <v>-</v>
      </c>
    </row>
    <row r="1893" spans="1:39" x14ac:dyDescent="0.25">
      <c r="A1893" t="str">
        <f>"M1010"</f>
        <v>M1010</v>
      </c>
      <c r="B1893" t="str">
        <f>"FIAT MAREA 2,0 20V - PUNTO 1,4 GT ASTRA/VECTRA 1,8 2,0I  16V  - P106/306/405 II 2,0  "</f>
        <v xml:space="preserve">FIAT MAREA 2,0 20V - PUNTO 1,4 GT ASTRA/VECTRA 1,8 2,0I  16V  - P106/306/405 II 2,0  </v>
      </c>
      <c r="C1893" t="str">
        <f>"$ 11259,86"</f>
        <v>$ 11259,86</v>
      </c>
      <c r="D1893" t="str">
        <f>"$ 11259,86"</f>
        <v>$ 11259,86</v>
      </c>
      <c r="E1893" t="str">
        <f>"$ 11259,86"</f>
        <v>$ 11259,86</v>
      </c>
      <c r="F1893" t="str">
        <f>"$ 11259,86"</f>
        <v>$ 11259,86</v>
      </c>
      <c r="G1893" t="str">
        <f>"$ 11259,86"</f>
        <v>$ 11259,86</v>
      </c>
      <c r="H1893" t="str">
        <f t="shared" si="1198"/>
        <v>$ 0,00</v>
      </c>
      <c r="I1893" t="str">
        <f>"SENSOR MARIPOSA TPS"</f>
        <v>SENSOR MARIPOSA TPS</v>
      </c>
      <c r="J1893" t="str">
        <f t="shared" si="1199"/>
        <v>1</v>
      </c>
      <c r="K1893" t="str">
        <f t="shared" si="1227"/>
        <v>0</v>
      </c>
      <c r="L1893" t="str">
        <f>"3,000"</f>
        <v>3,000</v>
      </c>
      <c r="M1893" t="str">
        <f t="shared" si="1200"/>
        <v xml:space="preserve"> </v>
      </c>
      <c r="N1893" t="str">
        <f>"FISPA"</f>
        <v>FISPA</v>
      </c>
      <c r="O1893" t="str">
        <f>"SENSORES"</f>
        <v>SENSORES</v>
      </c>
      <c r="P1893" t="str">
        <f t="shared" si="1230"/>
        <v>0</v>
      </c>
      <c r="Q1893" t="str">
        <f t="shared" si="1230"/>
        <v>0</v>
      </c>
      <c r="R1893" t="str">
        <f t="shared" si="1231"/>
        <v>0,00</v>
      </c>
      <c r="S1893" t="str">
        <f t="shared" si="1231"/>
        <v>0,00</v>
      </c>
      <c r="T1893" t="str">
        <f t="shared" si="1196"/>
        <v xml:space="preserve"> </v>
      </c>
      <c r="U1893" t="str">
        <f t="shared" si="1224"/>
        <v xml:space="preserve"> </v>
      </c>
      <c r="V1893" t="str">
        <f>"3,000"</f>
        <v>3,000</v>
      </c>
      <c r="W1893" t="str">
        <f t="shared" si="1201"/>
        <v>Lista 4</v>
      </c>
      <c r="X1893" t="str">
        <f t="shared" si="1202"/>
        <v>Lista 5</v>
      </c>
      <c r="Y1893" t="str">
        <f t="shared" si="1203"/>
        <v>Oferta Gral.</v>
      </c>
      <c r="Z1893" t="str">
        <f t="shared" si="1204"/>
        <v>Rubro</v>
      </c>
      <c r="AA1893" t="str">
        <f t="shared" si="1205"/>
        <v>Cantidad por Bulto</v>
      </c>
      <c r="AB1893" t="str">
        <f t="shared" si="1206"/>
        <v>INNER</v>
      </c>
      <c r="AC1893" t="str">
        <f t="shared" si="1207"/>
        <v>Stock en Bultos</v>
      </c>
      <c r="AD1893" t="str">
        <f t="shared" si="1208"/>
        <v>SubDepósito</v>
      </c>
      <c r="AE1893" t="str">
        <f t="shared" si="1209"/>
        <v>Marca</v>
      </c>
      <c r="AF1893" t="str">
        <f t="shared" si="1210"/>
        <v>Super Rubro</v>
      </c>
      <c r="AG1893" t="str">
        <f t="shared" si="1211"/>
        <v>ComercioExterior</v>
      </c>
      <c r="AH1893" t="str">
        <f t="shared" si="1212"/>
        <v>PrecioFOB</v>
      </c>
      <c r="AI1893" t="str">
        <f t="shared" si="1213"/>
        <v>Monto II</v>
      </c>
      <c r="AJ1893" t="str">
        <f t="shared" si="1214"/>
        <v>Porcentaje II</v>
      </c>
      <c r="AK1893" t="str">
        <f t="shared" si="1215"/>
        <v>Foto</v>
      </c>
      <c r="AL189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93" t="str">
        <f t="shared" si="1232"/>
        <v>-</v>
      </c>
    </row>
    <row r="1894" spans="1:39" x14ac:dyDescent="0.25">
      <c r="A1894" t="str">
        <f>"M1016"</f>
        <v>M1016</v>
      </c>
      <c r="B1894" t="str">
        <f>"FIAT PALIO - SIENA 1.3 MPI"</f>
        <v>FIAT PALIO - SIENA 1.3 MPI</v>
      </c>
      <c r="C1894" t="str">
        <f>"$ 19254,66"</f>
        <v>$ 19254,66</v>
      </c>
      <c r="D1894" t="str">
        <f>"$ 19254,66"</f>
        <v>$ 19254,66</v>
      </c>
      <c r="E1894" t="str">
        <f>"$ 19254,66"</f>
        <v>$ 19254,66</v>
      </c>
      <c r="F1894" t="str">
        <f>"$ 19254,66"</f>
        <v>$ 19254,66</v>
      </c>
      <c r="G1894" t="str">
        <f>"$ 19254,66"</f>
        <v>$ 19254,66</v>
      </c>
      <c r="H1894" t="str">
        <f t="shared" si="1198"/>
        <v>$ 0,00</v>
      </c>
      <c r="I1894" t="str">
        <f>"SENSOR MARIPOSA TPS"</f>
        <v>SENSOR MARIPOSA TPS</v>
      </c>
      <c r="J1894" t="str">
        <f t="shared" si="1199"/>
        <v>1</v>
      </c>
      <c r="K1894" t="str">
        <f t="shared" si="1227"/>
        <v>0</v>
      </c>
      <c r="L1894" t="str">
        <f>"1,000"</f>
        <v>1,000</v>
      </c>
      <c r="M1894" t="str">
        <f t="shared" si="1200"/>
        <v xml:space="preserve"> </v>
      </c>
      <c r="N1894" t="str">
        <f>"FISPA"</f>
        <v>FISPA</v>
      </c>
      <c r="O1894" t="str">
        <f>"SENSORES"</f>
        <v>SENSORES</v>
      </c>
      <c r="P1894" t="str">
        <f t="shared" si="1230"/>
        <v>0</v>
      </c>
      <c r="Q1894" t="str">
        <f t="shared" si="1230"/>
        <v>0</v>
      </c>
      <c r="R1894" t="str">
        <f t="shared" si="1231"/>
        <v>0,00</v>
      </c>
      <c r="S1894" t="str">
        <f t="shared" si="1231"/>
        <v>0,00</v>
      </c>
      <c r="T1894" t="str">
        <f t="shared" si="1196"/>
        <v xml:space="preserve"> </v>
      </c>
      <c r="U1894" t="str">
        <f t="shared" si="1224"/>
        <v xml:space="preserve"> </v>
      </c>
      <c r="V1894" t="str">
        <f>"1,000"</f>
        <v>1,000</v>
      </c>
      <c r="W1894" t="str">
        <f t="shared" si="1201"/>
        <v>Lista 4</v>
      </c>
      <c r="X1894" t="str">
        <f t="shared" si="1202"/>
        <v>Lista 5</v>
      </c>
      <c r="Y1894" t="str">
        <f t="shared" si="1203"/>
        <v>Oferta Gral.</v>
      </c>
      <c r="Z1894" t="str">
        <f t="shared" si="1204"/>
        <v>Rubro</v>
      </c>
      <c r="AA1894" t="str">
        <f t="shared" si="1205"/>
        <v>Cantidad por Bulto</v>
      </c>
      <c r="AB1894" t="str">
        <f t="shared" si="1206"/>
        <v>INNER</v>
      </c>
      <c r="AC1894" t="str">
        <f t="shared" si="1207"/>
        <v>Stock en Bultos</v>
      </c>
      <c r="AD1894" t="str">
        <f t="shared" si="1208"/>
        <v>SubDepósito</v>
      </c>
      <c r="AE1894" t="str">
        <f t="shared" si="1209"/>
        <v>Marca</v>
      </c>
      <c r="AF1894" t="str">
        <f t="shared" si="1210"/>
        <v>Super Rubro</v>
      </c>
      <c r="AG1894" t="str">
        <f t="shared" si="1211"/>
        <v>ComercioExterior</v>
      </c>
      <c r="AH1894" t="str">
        <f t="shared" si="1212"/>
        <v>PrecioFOB</v>
      </c>
      <c r="AI1894" t="str">
        <f t="shared" si="1213"/>
        <v>Monto II</v>
      </c>
      <c r="AJ1894" t="str">
        <f t="shared" si="1214"/>
        <v>Porcentaje II</v>
      </c>
      <c r="AK1894" t="str">
        <f t="shared" si="1215"/>
        <v>Foto</v>
      </c>
      <c r="AL1894" t="str">
        <f>"{\rtf1\ansi\ansicpg1252\deff0\deflang11274{\fonttbl{\f0\fnil\fcharset0 MS Sans Serif}} \viewkind4\uc1\pard\f0\fs16 FIAT PALIO - SIENA 1.3 MPI\par } "</f>
        <v xml:space="preserve">{\rtf1\ansi\ansicpg1252\deff0\deflang11274{\fonttbl{\f0\fnil\fcharset0 MS Sans Serif}} \viewkind4\uc1\pard\f0\fs16 FIAT PALIO - SIENA 1.3 MPI\par } </v>
      </c>
      <c r="AM1894" t="str">
        <f t="shared" si="1232"/>
        <v>-</v>
      </c>
    </row>
    <row r="1895" spans="1:39" x14ac:dyDescent="0.25">
      <c r="A1895" t="str">
        <f>"FI880"</f>
        <v>FI880</v>
      </c>
      <c r="B1895" t="str">
        <f>"FILTRO INYECCION  FORD ESCORT 1.6 1.8 ZETEC CON TRABA ENT/SAL 8MM"</f>
        <v>FILTRO INYECCION  FORD ESCORT 1.6 1.8 ZETEC CON TRABA ENT/SAL 8MM</v>
      </c>
      <c r="C1895" t="str">
        <f>"$ 8531,75"</f>
        <v>$ 8531,75</v>
      </c>
      <c r="D1895" t="str">
        <f>"$ 8531,75"</f>
        <v>$ 8531,75</v>
      </c>
      <c r="E1895" t="str">
        <f>"$ 8531,75"</f>
        <v>$ 8531,75</v>
      </c>
      <c r="F1895" t="str">
        <f>"$ 10359,82"</f>
        <v>$ 10359,82</v>
      </c>
      <c r="G1895" t="str">
        <f>"$ 10359,82"</f>
        <v>$ 10359,82</v>
      </c>
      <c r="H1895" t="str">
        <f t="shared" si="1198"/>
        <v>$ 0,00</v>
      </c>
      <c r="I1895" t="str">
        <f t="shared" ref="I1895:I1902" si="1233">"FILTROS INYECCIÓN ELECTRONICA"</f>
        <v>FILTROS INYECCIÓN ELECTRONICA</v>
      </c>
      <c r="J1895" t="str">
        <f t="shared" si="1199"/>
        <v>1</v>
      </c>
      <c r="K1895" t="str">
        <f t="shared" si="1227"/>
        <v>0</v>
      </c>
      <c r="L1895" t="str">
        <f>"2,000"</f>
        <v>2,000</v>
      </c>
      <c r="M1895" t="str">
        <f t="shared" si="1200"/>
        <v xml:space="preserve"> </v>
      </c>
      <c r="N1895" t="str">
        <f t="shared" ref="N1895:N1902" si="1234">"BLUE STREAK"</f>
        <v>BLUE STREAK</v>
      </c>
      <c r="O1895" t="str">
        <f t="shared" ref="O1895:O1902" si="1235">"FILTROS"</f>
        <v>FILTROS</v>
      </c>
      <c r="P1895" t="str">
        <f t="shared" si="1230"/>
        <v>0</v>
      </c>
      <c r="Q1895" t="str">
        <f t="shared" si="1230"/>
        <v>0</v>
      </c>
      <c r="R1895" t="str">
        <f t="shared" si="1231"/>
        <v>0,00</v>
      </c>
      <c r="S1895" t="str">
        <f t="shared" si="1231"/>
        <v>0,00</v>
      </c>
      <c r="T1895" t="str">
        <f t="shared" si="1196"/>
        <v xml:space="preserve"> </v>
      </c>
      <c r="U1895" t="str">
        <f t="shared" si="1224"/>
        <v xml:space="preserve"> </v>
      </c>
      <c r="V1895" t="str">
        <f>"2,000"</f>
        <v>2,000</v>
      </c>
      <c r="W1895" t="str">
        <f t="shared" si="1201"/>
        <v>Lista 4</v>
      </c>
      <c r="X1895" t="str">
        <f t="shared" si="1202"/>
        <v>Lista 5</v>
      </c>
      <c r="Y1895" t="str">
        <f t="shared" si="1203"/>
        <v>Oferta Gral.</v>
      </c>
      <c r="Z1895" t="str">
        <f t="shared" si="1204"/>
        <v>Rubro</v>
      </c>
      <c r="AA1895" t="str">
        <f t="shared" si="1205"/>
        <v>Cantidad por Bulto</v>
      </c>
      <c r="AB1895" t="str">
        <f t="shared" si="1206"/>
        <v>INNER</v>
      </c>
      <c r="AC1895" t="str">
        <f t="shared" si="1207"/>
        <v>Stock en Bultos</v>
      </c>
      <c r="AD1895" t="str">
        <f t="shared" si="1208"/>
        <v>SubDepósito</v>
      </c>
      <c r="AE1895" t="str">
        <f t="shared" si="1209"/>
        <v>Marca</v>
      </c>
      <c r="AF1895" t="str">
        <f t="shared" si="1210"/>
        <v>Super Rubro</v>
      </c>
      <c r="AG1895" t="str">
        <f t="shared" si="1211"/>
        <v>ComercioExterior</v>
      </c>
      <c r="AH1895" t="str">
        <f t="shared" si="1212"/>
        <v>PrecioFOB</v>
      </c>
      <c r="AI1895" t="str">
        <f t="shared" si="1213"/>
        <v>Monto II</v>
      </c>
      <c r="AJ1895" t="str">
        <f t="shared" si="1214"/>
        <v>Porcentaje II</v>
      </c>
      <c r="AK1895" t="str">
        <f t="shared" si="1215"/>
        <v>Foto</v>
      </c>
      <c r="AL1895" t="str">
        <f>"{\rtf1\ansi\ansicpg1252\deff0\deflang2058{\fonttbl{\f0\fnil\fcharset0 MS Sans Serif}} \viewkind4\uc1\pard\f0\fs16 FILTRO INYECCION  FORD ESCORT 1.6 1.8 ZETEC CON TRABA ENT/SAL 8MM\par } "</f>
        <v xml:space="preserve">{\rtf1\ansi\ansicpg1252\deff0\deflang2058{\fonttbl{\f0\fnil\fcharset0 MS Sans Serif}} \viewkind4\uc1\pard\f0\fs16 FILTRO INYECCION  FORD ESCORT 1.6 1.8 ZETEC CON TRABA ENT/SAL 8MM\par } </v>
      </c>
      <c r="AM1895" t="str">
        <f t="shared" si="1232"/>
        <v>-</v>
      </c>
    </row>
    <row r="1896" spans="1:39" x14ac:dyDescent="0.25">
      <c r="A1896" t="str">
        <f>"FI0141"</f>
        <v>FI0141</v>
      </c>
      <c r="B1896" t="str">
        <f>"FILTRO INYECCION FIAT DUNA UNO PALIO SIENA 1.3 MPI ENT/SAL 8MM"</f>
        <v>FILTRO INYECCION FIAT DUNA UNO PALIO SIENA 1.3 MPI ENT/SAL 8MM</v>
      </c>
      <c r="C1896" t="str">
        <f>"$ 8389,33"</f>
        <v>$ 8389,33</v>
      </c>
      <c r="D1896" t="str">
        <f>"$ 8389,33"</f>
        <v>$ 8389,33</v>
      </c>
      <c r="E1896" t="str">
        <f>"$ 8389,33"</f>
        <v>$ 8389,33</v>
      </c>
      <c r="F1896" t="str">
        <f>"$ 10186,90"</f>
        <v>$ 10186,90</v>
      </c>
      <c r="G1896" t="str">
        <f>"$ 10186,90"</f>
        <v>$ 10186,90</v>
      </c>
      <c r="H1896" t="str">
        <f t="shared" si="1198"/>
        <v>$ 0,00</v>
      </c>
      <c r="I1896" t="str">
        <f t="shared" si="1233"/>
        <v>FILTROS INYECCIÓN ELECTRONICA</v>
      </c>
      <c r="J1896" t="str">
        <f t="shared" si="1199"/>
        <v>1</v>
      </c>
      <c r="K1896" t="str">
        <f t="shared" si="1227"/>
        <v>0</v>
      </c>
      <c r="L1896" t="str">
        <f>"4,000"</f>
        <v>4,000</v>
      </c>
      <c r="M1896" t="str">
        <f t="shared" si="1200"/>
        <v xml:space="preserve"> </v>
      </c>
      <c r="N1896" t="str">
        <f t="shared" si="1234"/>
        <v>BLUE STREAK</v>
      </c>
      <c r="O1896" t="str">
        <f t="shared" si="1235"/>
        <v>FILTROS</v>
      </c>
      <c r="P1896" t="str">
        <f t="shared" si="1230"/>
        <v>0</v>
      </c>
      <c r="Q1896" t="str">
        <f t="shared" si="1230"/>
        <v>0</v>
      </c>
      <c r="R1896" t="str">
        <f t="shared" si="1231"/>
        <v>0,00</v>
      </c>
      <c r="S1896" t="str">
        <f t="shared" si="1231"/>
        <v>0,00</v>
      </c>
      <c r="T1896" t="str">
        <f t="shared" si="1196"/>
        <v xml:space="preserve"> </v>
      </c>
      <c r="U1896" t="str">
        <f t="shared" si="1224"/>
        <v xml:space="preserve"> </v>
      </c>
      <c r="V1896" t="str">
        <f>"4,000"</f>
        <v>4,000</v>
      </c>
      <c r="W1896" t="str">
        <f t="shared" si="1201"/>
        <v>Lista 4</v>
      </c>
      <c r="X1896" t="str">
        <f t="shared" si="1202"/>
        <v>Lista 5</v>
      </c>
      <c r="Y1896" t="str">
        <f t="shared" si="1203"/>
        <v>Oferta Gral.</v>
      </c>
      <c r="Z1896" t="str">
        <f t="shared" si="1204"/>
        <v>Rubro</v>
      </c>
      <c r="AA1896" t="str">
        <f t="shared" si="1205"/>
        <v>Cantidad por Bulto</v>
      </c>
      <c r="AB1896" t="str">
        <f t="shared" si="1206"/>
        <v>INNER</v>
      </c>
      <c r="AC1896" t="str">
        <f t="shared" si="1207"/>
        <v>Stock en Bultos</v>
      </c>
      <c r="AD1896" t="str">
        <f t="shared" si="1208"/>
        <v>SubDepósito</v>
      </c>
      <c r="AE1896" t="str">
        <f t="shared" si="1209"/>
        <v>Marca</v>
      </c>
      <c r="AF1896" t="str">
        <f t="shared" si="1210"/>
        <v>Super Rubro</v>
      </c>
      <c r="AG1896" t="str">
        <f t="shared" si="1211"/>
        <v>ComercioExterior</v>
      </c>
      <c r="AH1896" t="str">
        <f t="shared" si="1212"/>
        <v>PrecioFOB</v>
      </c>
      <c r="AI1896" t="str">
        <f t="shared" si="1213"/>
        <v>Monto II</v>
      </c>
      <c r="AJ1896" t="str">
        <f t="shared" si="1214"/>
        <v>Porcentaje II</v>
      </c>
      <c r="AK1896" t="str">
        <f t="shared" si="1215"/>
        <v>Foto</v>
      </c>
      <c r="AL1896" t="str">
        <f>"{\rtf1\ansi\ansicpg1252\deff0\deflang2058{\fonttbl{\f0\fnil\fcharset0 MS Sans Serif}} \viewkind4\uc1\pard\f0\fs16 FILTRO INYECCION FIAT DUNA UNO PALIO SIENA 1.3 MPI ENT/SAL 8MM\par } "</f>
        <v xml:space="preserve">{\rtf1\ansi\ansicpg1252\deff0\deflang2058{\fonttbl{\f0\fnil\fcharset0 MS Sans Serif}} \viewkind4\uc1\pard\f0\fs16 FILTRO INYECCION FIAT DUNA UNO PALIO SIENA 1.3 MPI ENT/SAL 8MM\par } </v>
      </c>
      <c r="AM1896" t="str">
        <f t="shared" si="1232"/>
        <v>-</v>
      </c>
    </row>
    <row r="1897" spans="1:39" x14ac:dyDescent="0.25">
      <c r="A1897" t="str">
        <f>"FI890"</f>
        <v>FI890</v>
      </c>
      <c r="B1897" t="str">
        <f>"FILTRO INYECCION FORD FOCUS 1.8 2.0 MOTOR ZETEC ENT/SAL 8MM"</f>
        <v>FILTRO INYECCION FORD FOCUS 1.8 2.0 MOTOR ZETEC ENT/SAL 8MM</v>
      </c>
      <c r="C1897" t="str">
        <f>"$ 8531,75"</f>
        <v>$ 8531,75</v>
      </c>
      <c r="D1897" t="str">
        <f>"$ 8531,75"</f>
        <v>$ 8531,75</v>
      </c>
      <c r="E1897" t="str">
        <f>"$ 8531,75"</f>
        <v>$ 8531,75</v>
      </c>
      <c r="F1897" t="str">
        <f>"$ 10359,82"</f>
        <v>$ 10359,82</v>
      </c>
      <c r="G1897" t="str">
        <f>"$ 10359,82"</f>
        <v>$ 10359,82</v>
      </c>
      <c r="H1897" t="str">
        <f t="shared" si="1198"/>
        <v>$ 0,00</v>
      </c>
      <c r="I1897" t="str">
        <f t="shared" si="1233"/>
        <v>FILTROS INYECCIÓN ELECTRONICA</v>
      </c>
      <c r="J1897" t="str">
        <f t="shared" si="1199"/>
        <v>1</v>
      </c>
      <c r="K1897" t="str">
        <f t="shared" si="1227"/>
        <v>0</v>
      </c>
      <c r="L1897" t="str">
        <f>"5,000"</f>
        <v>5,000</v>
      </c>
      <c r="M1897" t="str">
        <f t="shared" si="1200"/>
        <v xml:space="preserve"> </v>
      </c>
      <c r="N1897" t="str">
        <f t="shared" si="1234"/>
        <v>BLUE STREAK</v>
      </c>
      <c r="O1897" t="str">
        <f t="shared" si="1235"/>
        <v>FILTROS</v>
      </c>
      <c r="P1897" t="str">
        <f t="shared" si="1230"/>
        <v>0</v>
      </c>
      <c r="Q1897" t="str">
        <f t="shared" si="1230"/>
        <v>0</v>
      </c>
      <c r="R1897" t="str">
        <f t="shared" si="1231"/>
        <v>0,00</v>
      </c>
      <c r="S1897" t="str">
        <f t="shared" si="1231"/>
        <v>0,00</v>
      </c>
      <c r="T1897" t="str">
        <f t="shared" si="1196"/>
        <v xml:space="preserve"> </v>
      </c>
      <c r="U1897" t="str">
        <f t="shared" si="1224"/>
        <v xml:space="preserve"> </v>
      </c>
      <c r="V1897" t="str">
        <f>"5,000"</f>
        <v>5,000</v>
      </c>
      <c r="W1897" t="str">
        <f t="shared" si="1201"/>
        <v>Lista 4</v>
      </c>
      <c r="X1897" t="str">
        <f t="shared" si="1202"/>
        <v>Lista 5</v>
      </c>
      <c r="Y1897" t="str">
        <f t="shared" si="1203"/>
        <v>Oferta Gral.</v>
      </c>
      <c r="Z1897" t="str">
        <f t="shared" si="1204"/>
        <v>Rubro</v>
      </c>
      <c r="AA1897" t="str">
        <f t="shared" si="1205"/>
        <v>Cantidad por Bulto</v>
      </c>
      <c r="AB1897" t="str">
        <f t="shared" si="1206"/>
        <v>INNER</v>
      </c>
      <c r="AC1897" t="str">
        <f t="shared" si="1207"/>
        <v>Stock en Bultos</v>
      </c>
      <c r="AD1897" t="str">
        <f t="shared" si="1208"/>
        <v>SubDepósito</v>
      </c>
      <c r="AE1897" t="str">
        <f t="shared" si="1209"/>
        <v>Marca</v>
      </c>
      <c r="AF1897" t="str">
        <f t="shared" si="1210"/>
        <v>Super Rubro</v>
      </c>
      <c r="AG1897" t="str">
        <f t="shared" si="1211"/>
        <v>ComercioExterior</v>
      </c>
      <c r="AH1897" t="str">
        <f t="shared" si="1212"/>
        <v>PrecioFOB</v>
      </c>
      <c r="AI1897" t="str">
        <f t="shared" si="1213"/>
        <v>Monto II</v>
      </c>
      <c r="AJ1897" t="str">
        <f t="shared" si="1214"/>
        <v>Porcentaje II</v>
      </c>
      <c r="AK1897" t="str">
        <f t="shared" si="1215"/>
        <v>Foto</v>
      </c>
      <c r="AL1897" t="str">
        <f>"{\rtf1\ansi\ansicpg1252\deff0\deflang2058{\fonttbl{\f0\fnil\fcharset0 MS Sans Serif}} \viewkind4\uc1\pard\f0\fs16 FILTRO INYECCION FORD FOCUS 1.8 2.0 MOTOR ZETEC ENT/SAL 8MM\par } "</f>
        <v xml:space="preserve">{\rtf1\ansi\ansicpg1252\deff0\deflang2058{\fonttbl{\f0\fnil\fcharset0 MS Sans Serif}} \viewkind4\uc1\pard\f0\fs16 FILTRO INYECCION FORD FOCUS 1.8 2.0 MOTOR ZETEC ENT/SAL 8MM\par } </v>
      </c>
      <c r="AM1897" t="str">
        <f t="shared" si="1232"/>
        <v>-</v>
      </c>
    </row>
    <row r="1898" spans="1:39" x14ac:dyDescent="0.25">
      <c r="A1898" t="str">
        <f>"FI2021"</f>
        <v>FI2021</v>
      </c>
      <c r="B1898" t="str">
        <f>"FILTRO INYECCION PEUGEOT 306 405 VW POLO 1.6 1.8 ENT/SAL 8MM"</f>
        <v>FILTRO INYECCION PEUGEOT 306 405 VW POLO 1.6 1.8 ENT/SAL 8MM</v>
      </c>
      <c r="C1898" t="str">
        <f>"$ 7211,73"</f>
        <v>$ 7211,73</v>
      </c>
      <c r="D1898" t="str">
        <f>"$ 7211,73"</f>
        <v>$ 7211,73</v>
      </c>
      <c r="E1898" t="str">
        <f>"$ 7211,73"</f>
        <v>$ 7211,73</v>
      </c>
      <c r="F1898" t="str">
        <f>"$ 8756,98"</f>
        <v>$ 8756,98</v>
      </c>
      <c r="G1898" t="str">
        <f>"$ 8756,98"</f>
        <v>$ 8756,98</v>
      </c>
      <c r="H1898" t="str">
        <f t="shared" si="1198"/>
        <v>$ 0,00</v>
      </c>
      <c r="I1898" t="str">
        <f t="shared" si="1233"/>
        <v>FILTROS INYECCIÓN ELECTRONICA</v>
      </c>
      <c r="J1898" t="str">
        <f t="shared" si="1199"/>
        <v>1</v>
      </c>
      <c r="K1898" t="str">
        <f t="shared" si="1227"/>
        <v>0</v>
      </c>
      <c r="L1898" t="str">
        <f>"4,000"</f>
        <v>4,000</v>
      </c>
      <c r="M1898" t="str">
        <f t="shared" si="1200"/>
        <v xml:space="preserve"> </v>
      </c>
      <c r="N1898" t="str">
        <f t="shared" si="1234"/>
        <v>BLUE STREAK</v>
      </c>
      <c r="O1898" t="str">
        <f t="shared" si="1235"/>
        <v>FILTROS</v>
      </c>
      <c r="P1898" t="str">
        <f t="shared" si="1230"/>
        <v>0</v>
      </c>
      <c r="Q1898" t="str">
        <f t="shared" si="1230"/>
        <v>0</v>
      </c>
      <c r="R1898" t="str">
        <f t="shared" si="1231"/>
        <v>0,00</v>
      </c>
      <c r="S1898" t="str">
        <f t="shared" si="1231"/>
        <v>0,00</v>
      </c>
      <c r="T1898" t="str">
        <f t="shared" si="1196"/>
        <v xml:space="preserve"> </v>
      </c>
      <c r="U1898" t="str">
        <f t="shared" si="1224"/>
        <v xml:space="preserve"> </v>
      </c>
      <c r="V1898" t="str">
        <f>"4,000"</f>
        <v>4,000</v>
      </c>
      <c r="W1898" t="str">
        <f t="shared" si="1201"/>
        <v>Lista 4</v>
      </c>
      <c r="X1898" t="str">
        <f t="shared" si="1202"/>
        <v>Lista 5</v>
      </c>
      <c r="Y1898" t="str">
        <f t="shared" si="1203"/>
        <v>Oferta Gral.</v>
      </c>
      <c r="Z1898" t="str">
        <f t="shared" si="1204"/>
        <v>Rubro</v>
      </c>
      <c r="AA1898" t="str">
        <f t="shared" si="1205"/>
        <v>Cantidad por Bulto</v>
      </c>
      <c r="AB1898" t="str">
        <f t="shared" si="1206"/>
        <v>INNER</v>
      </c>
      <c r="AC1898" t="str">
        <f t="shared" si="1207"/>
        <v>Stock en Bultos</v>
      </c>
      <c r="AD1898" t="str">
        <f t="shared" si="1208"/>
        <v>SubDepósito</v>
      </c>
      <c r="AE1898" t="str">
        <f t="shared" si="1209"/>
        <v>Marca</v>
      </c>
      <c r="AF1898" t="str">
        <f t="shared" si="1210"/>
        <v>Super Rubro</v>
      </c>
      <c r="AG1898" t="str">
        <f t="shared" si="1211"/>
        <v>ComercioExterior</v>
      </c>
      <c r="AH1898" t="str">
        <f t="shared" si="1212"/>
        <v>PrecioFOB</v>
      </c>
      <c r="AI1898" t="str">
        <f t="shared" si="1213"/>
        <v>Monto II</v>
      </c>
      <c r="AJ1898" t="str">
        <f t="shared" si="1214"/>
        <v>Porcentaje II</v>
      </c>
      <c r="AK1898" t="str">
        <f t="shared" si="1215"/>
        <v>Foto</v>
      </c>
      <c r="AL1898" t="str">
        <f>"{\rtf1\ansi\ansicpg1252\deff0\deflang2058{\fonttbl{\f0\fnil\fcharset0 MS Sans Serif}} \viewkind4\uc1\pard\f0\fs16 FILTRO INYECCION PEUGEOT 306 405 VW POLO 1.6 1.8 ENT/SAL 8MM\par } "</f>
        <v xml:space="preserve">{\rtf1\ansi\ansicpg1252\deff0\deflang2058{\fonttbl{\f0\fnil\fcharset0 MS Sans Serif}} \viewkind4\uc1\pard\f0\fs16 FILTRO INYECCION PEUGEOT 306 405 VW POLO 1.6 1.8 ENT/SAL 8MM\par } </v>
      </c>
      <c r="AM1898" t="str">
        <f t="shared" si="1232"/>
        <v>-</v>
      </c>
    </row>
    <row r="1899" spans="1:39" x14ac:dyDescent="0.25">
      <c r="A1899" t="str">
        <f>"FI6063"</f>
        <v>FI6063</v>
      </c>
      <c r="B1899" t="str">
        <f>"FILTRO INYECCION TOYOTA COROLLA 1.6 1999 A 2004 ENT M14X1.5 SAL M12X1.5"</f>
        <v>FILTRO INYECCION TOYOTA COROLLA 1.6 1999 A 2004 ENT M14X1.5 SAL M12X1.5</v>
      </c>
      <c r="C1899" t="str">
        <f>"$ 17982,81"</f>
        <v>$ 17982,81</v>
      </c>
      <c r="D1899" t="str">
        <f>"$ 17982,81"</f>
        <v>$ 17982,81</v>
      </c>
      <c r="E1899" t="str">
        <f>"$ 17982,81"</f>
        <v>$ 17982,81</v>
      </c>
      <c r="F1899" t="str">
        <f>"$ 21835,95"</f>
        <v>$ 21835,95</v>
      </c>
      <c r="G1899" t="str">
        <f>"$ 21835,95"</f>
        <v>$ 21835,95</v>
      </c>
      <c r="H1899" t="str">
        <f t="shared" si="1198"/>
        <v>$ 0,00</v>
      </c>
      <c r="I1899" t="str">
        <f t="shared" si="1233"/>
        <v>FILTROS INYECCIÓN ELECTRONICA</v>
      </c>
      <c r="J1899" t="str">
        <f t="shared" si="1199"/>
        <v>1</v>
      </c>
      <c r="K1899" t="str">
        <f t="shared" si="1227"/>
        <v>0</v>
      </c>
      <c r="L1899" t="str">
        <f>"3,000"</f>
        <v>3,000</v>
      </c>
      <c r="M1899" t="str">
        <f t="shared" si="1200"/>
        <v xml:space="preserve"> </v>
      </c>
      <c r="N1899" t="str">
        <f t="shared" si="1234"/>
        <v>BLUE STREAK</v>
      </c>
      <c r="O1899" t="str">
        <f t="shared" si="1235"/>
        <v>FILTROS</v>
      </c>
      <c r="P1899" t="str">
        <f t="shared" si="1230"/>
        <v>0</v>
      </c>
      <c r="Q1899" t="str">
        <f t="shared" si="1230"/>
        <v>0</v>
      </c>
      <c r="R1899" t="str">
        <f t="shared" si="1231"/>
        <v>0,00</v>
      </c>
      <c r="S1899" t="str">
        <f t="shared" si="1231"/>
        <v>0,00</v>
      </c>
      <c r="T1899" t="str">
        <f t="shared" si="1196"/>
        <v xml:space="preserve"> </v>
      </c>
      <c r="U1899" t="str">
        <f t="shared" si="1224"/>
        <v xml:space="preserve"> </v>
      </c>
      <c r="V1899" t="str">
        <f>"3,000"</f>
        <v>3,000</v>
      </c>
      <c r="W1899" t="str">
        <f t="shared" si="1201"/>
        <v>Lista 4</v>
      </c>
      <c r="X1899" t="str">
        <f t="shared" si="1202"/>
        <v>Lista 5</v>
      </c>
      <c r="Y1899" t="str">
        <f t="shared" si="1203"/>
        <v>Oferta Gral.</v>
      </c>
      <c r="Z1899" t="str">
        <f t="shared" si="1204"/>
        <v>Rubro</v>
      </c>
      <c r="AA1899" t="str">
        <f t="shared" si="1205"/>
        <v>Cantidad por Bulto</v>
      </c>
      <c r="AB1899" t="str">
        <f t="shared" si="1206"/>
        <v>INNER</v>
      </c>
      <c r="AC1899" t="str">
        <f t="shared" si="1207"/>
        <v>Stock en Bultos</v>
      </c>
      <c r="AD1899" t="str">
        <f t="shared" si="1208"/>
        <v>SubDepósito</v>
      </c>
      <c r="AE1899" t="str">
        <f t="shared" si="1209"/>
        <v>Marca</v>
      </c>
      <c r="AF1899" t="str">
        <f t="shared" si="1210"/>
        <v>Super Rubro</v>
      </c>
      <c r="AG1899" t="str">
        <f t="shared" si="1211"/>
        <v>ComercioExterior</v>
      </c>
      <c r="AH1899" t="str">
        <f t="shared" si="1212"/>
        <v>PrecioFOB</v>
      </c>
      <c r="AI1899" t="str">
        <f t="shared" si="1213"/>
        <v>Monto II</v>
      </c>
      <c r="AJ1899" t="str">
        <f t="shared" si="1214"/>
        <v>Porcentaje II</v>
      </c>
      <c r="AK1899" t="str">
        <f t="shared" si="1215"/>
        <v>Foto</v>
      </c>
      <c r="AL1899" t="str">
        <f>"{\rtf1\ansi\ansicpg1252\deff0\deflang2058{\fonttbl{\f0\fnil\fcharset0 MS Sans Serif}} \viewkind4\uc1\pard\f0\fs16 FILTRO INYECCION TOYOTA COROLLA 1.6 1999 A 2004 ENT M14X1.5 SAL M12X1.5\par } "</f>
        <v xml:space="preserve">{\rtf1\ansi\ansicpg1252\deff0\deflang2058{\fonttbl{\f0\fnil\fcharset0 MS Sans Serif}} \viewkind4\uc1\pard\f0\fs16 FILTRO INYECCION TOYOTA COROLLA 1.6 1999 A 2004 ENT M14X1.5 SAL M12X1.5\par } </v>
      </c>
      <c r="AM1899" t="str">
        <f t="shared" si="1232"/>
        <v>-</v>
      </c>
    </row>
    <row r="1900" spans="1:39" x14ac:dyDescent="0.25">
      <c r="A1900" t="str">
        <f>"FI1051"</f>
        <v>FI1051</v>
      </c>
      <c r="B1900" t="str">
        <f>"FILTRO INYECCION VOLKSWAGEN GOLF 1.6 MOTOR BAH ENT/SAL 8MM"</f>
        <v>FILTRO INYECCION VOLKSWAGEN GOLF 1.6 MOTOR BAH ENT/SAL 8MM</v>
      </c>
      <c r="C1900" t="str">
        <f>"$ 17258,67"</f>
        <v>$ 17258,67</v>
      </c>
      <c r="D1900" t="str">
        <f>"$ 17258,67"</f>
        <v>$ 17258,67</v>
      </c>
      <c r="E1900" t="str">
        <f>"$ 17258,67"</f>
        <v>$ 17258,67</v>
      </c>
      <c r="F1900" t="str">
        <f>"$ 20956,65"</f>
        <v>$ 20956,65</v>
      </c>
      <c r="G1900" t="str">
        <f>"$ 20956,65"</f>
        <v>$ 20956,65</v>
      </c>
      <c r="H1900" t="str">
        <f t="shared" si="1198"/>
        <v>$ 0,00</v>
      </c>
      <c r="I1900" t="str">
        <f t="shared" si="1233"/>
        <v>FILTROS INYECCIÓN ELECTRONICA</v>
      </c>
      <c r="J1900" t="str">
        <f t="shared" si="1199"/>
        <v>1</v>
      </c>
      <c r="K1900" t="str">
        <f t="shared" si="1227"/>
        <v>0</v>
      </c>
      <c r="L1900" t="str">
        <f>"18,000"</f>
        <v>18,000</v>
      </c>
      <c r="M1900" t="str">
        <f t="shared" si="1200"/>
        <v xml:space="preserve"> </v>
      </c>
      <c r="N1900" t="str">
        <f t="shared" si="1234"/>
        <v>BLUE STREAK</v>
      </c>
      <c r="O1900" t="str">
        <f t="shared" si="1235"/>
        <v>FILTROS</v>
      </c>
      <c r="P1900" t="str">
        <f t="shared" si="1230"/>
        <v>0</v>
      </c>
      <c r="Q1900" t="str">
        <f t="shared" si="1230"/>
        <v>0</v>
      </c>
      <c r="R1900" t="str">
        <f t="shared" si="1231"/>
        <v>0,00</v>
      </c>
      <c r="S1900" t="str">
        <f t="shared" si="1231"/>
        <v>0,00</v>
      </c>
      <c r="T1900" t="str">
        <f t="shared" si="1196"/>
        <v xml:space="preserve"> </v>
      </c>
      <c r="U1900" t="str">
        <f t="shared" si="1224"/>
        <v xml:space="preserve"> </v>
      </c>
      <c r="V1900" t="str">
        <f>"18,000"</f>
        <v>18,000</v>
      </c>
      <c r="W1900" t="str">
        <f t="shared" si="1201"/>
        <v>Lista 4</v>
      </c>
      <c r="X1900" t="str">
        <f t="shared" si="1202"/>
        <v>Lista 5</v>
      </c>
      <c r="Y1900" t="str">
        <f t="shared" si="1203"/>
        <v>Oferta Gral.</v>
      </c>
      <c r="Z1900" t="str">
        <f t="shared" si="1204"/>
        <v>Rubro</v>
      </c>
      <c r="AA1900" t="str">
        <f t="shared" si="1205"/>
        <v>Cantidad por Bulto</v>
      </c>
      <c r="AB1900" t="str">
        <f t="shared" si="1206"/>
        <v>INNER</v>
      </c>
      <c r="AC1900" t="str">
        <f t="shared" si="1207"/>
        <v>Stock en Bultos</v>
      </c>
      <c r="AD1900" t="str">
        <f t="shared" si="1208"/>
        <v>SubDepósito</v>
      </c>
      <c r="AE1900" t="str">
        <f t="shared" si="1209"/>
        <v>Marca</v>
      </c>
      <c r="AF1900" t="str">
        <f t="shared" si="1210"/>
        <v>Super Rubro</v>
      </c>
      <c r="AG1900" t="str">
        <f t="shared" si="1211"/>
        <v>ComercioExterior</v>
      </c>
      <c r="AH1900" t="str">
        <f t="shared" si="1212"/>
        <v>PrecioFOB</v>
      </c>
      <c r="AI1900" t="str">
        <f t="shared" si="1213"/>
        <v>Monto II</v>
      </c>
      <c r="AJ1900" t="str">
        <f t="shared" si="1214"/>
        <v>Porcentaje II</v>
      </c>
      <c r="AK1900" t="str">
        <f t="shared" si="1215"/>
        <v>Foto</v>
      </c>
      <c r="AL1900" t="str">
        <f>"{\rtf1\ansi\ansicpg1252\deff0\deflang2058{\fonttbl{\f0\fnil\fcharset0 MS Sans Serif}} \viewkind4\uc1\pard\f0\fs16 FILTRO INYECCION VOLKSWAGEN GOLF 1.6 MOTOR BAH ENT/SAL 8MM\par } "</f>
        <v xml:space="preserve">{\rtf1\ansi\ansicpg1252\deff0\deflang2058{\fonttbl{\f0\fnil\fcharset0 MS Sans Serif}} \viewkind4\uc1\pard\f0\fs16 FILTRO INYECCION VOLKSWAGEN GOLF 1.6 MOTOR BAH ENT/SAL 8MM\par } </v>
      </c>
      <c r="AM1900" t="str">
        <f t="shared" si="1232"/>
        <v>-</v>
      </c>
    </row>
    <row r="1901" spans="1:39" x14ac:dyDescent="0.25">
      <c r="A1901" t="str">
        <f>"FI2072"</f>
        <v>FI2072</v>
      </c>
      <c r="B1901" t="str">
        <f>"FILTRO INYECCION VW GOLF 1.8 2.0 MK3 RENAULT 9 11 PEUGEOT 405 ENT/SAL 9MM"</f>
        <v>FILTRO INYECCION VW GOLF 1.8 2.0 MK3 RENAULT 9 11 PEUGEOT 405 ENT/SAL 9MM</v>
      </c>
      <c r="C1901" t="str">
        <f>"$ 8410,40"</f>
        <v>$ 8410,40</v>
      </c>
      <c r="D1901" t="str">
        <f>"$ 8410,40"</f>
        <v>$ 8410,40</v>
      </c>
      <c r="E1901" t="str">
        <f>"$ 8410,40"</f>
        <v>$ 8410,40</v>
      </c>
      <c r="F1901" t="str">
        <f>"$ 10212,48"</f>
        <v>$ 10212,48</v>
      </c>
      <c r="G1901" t="str">
        <f>"$ 10212,48"</f>
        <v>$ 10212,48</v>
      </c>
      <c r="H1901" t="str">
        <f t="shared" si="1198"/>
        <v>$ 0,00</v>
      </c>
      <c r="I1901" t="str">
        <f t="shared" si="1233"/>
        <v>FILTROS INYECCIÓN ELECTRONICA</v>
      </c>
      <c r="J1901" t="str">
        <f t="shared" si="1199"/>
        <v>1</v>
      </c>
      <c r="K1901" t="str">
        <f t="shared" si="1227"/>
        <v>0</v>
      </c>
      <c r="L1901" t="str">
        <f>"11,000"</f>
        <v>11,000</v>
      </c>
      <c r="M1901" t="str">
        <f t="shared" si="1200"/>
        <v xml:space="preserve"> </v>
      </c>
      <c r="N1901" t="str">
        <f t="shared" si="1234"/>
        <v>BLUE STREAK</v>
      </c>
      <c r="O1901" t="str">
        <f t="shared" si="1235"/>
        <v>FILTROS</v>
      </c>
      <c r="P1901" t="str">
        <f t="shared" si="1230"/>
        <v>0</v>
      </c>
      <c r="Q1901" t="str">
        <f t="shared" si="1230"/>
        <v>0</v>
      </c>
      <c r="R1901" t="str">
        <f t="shared" si="1231"/>
        <v>0,00</v>
      </c>
      <c r="S1901" t="str">
        <f t="shared" si="1231"/>
        <v>0,00</v>
      </c>
      <c r="T1901" t="str">
        <f t="shared" si="1196"/>
        <v xml:space="preserve"> </v>
      </c>
      <c r="U1901" t="str">
        <f t="shared" si="1224"/>
        <v xml:space="preserve"> </v>
      </c>
      <c r="V1901" t="str">
        <f>"11,000"</f>
        <v>11,000</v>
      </c>
      <c r="W1901" t="str">
        <f t="shared" si="1201"/>
        <v>Lista 4</v>
      </c>
      <c r="X1901" t="str">
        <f t="shared" si="1202"/>
        <v>Lista 5</v>
      </c>
      <c r="Y1901" t="str">
        <f t="shared" si="1203"/>
        <v>Oferta Gral.</v>
      </c>
      <c r="Z1901" t="str">
        <f t="shared" si="1204"/>
        <v>Rubro</v>
      </c>
      <c r="AA1901" t="str">
        <f t="shared" si="1205"/>
        <v>Cantidad por Bulto</v>
      </c>
      <c r="AB1901" t="str">
        <f t="shared" si="1206"/>
        <v>INNER</v>
      </c>
      <c r="AC1901" t="str">
        <f t="shared" si="1207"/>
        <v>Stock en Bultos</v>
      </c>
      <c r="AD1901" t="str">
        <f t="shared" si="1208"/>
        <v>SubDepósito</v>
      </c>
      <c r="AE1901" t="str">
        <f t="shared" si="1209"/>
        <v>Marca</v>
      </c>
      <c r="AF1901" t="str">
        <f t="shared" si="1210"/>
        <v>Super Rubro</v>
      </c>
      <c r="AG1901" t="str">
        <f t="shared" si="1211"/>
        <v>ComercioExterior</v>
      </c>
      <c r="AH1901" t="str">
        <f t="shared" si="1212"/>
        <v>PrecioFOB</v>
      </c>
      <c r="AI1901" t="str">
        <f t="shared" si="1213"/>
        <v>Monto II</v>
      </c>
      <c r="AJ1901" t="str">
        <f t="shared" si="1214"/>
        <v>Porcentaje II</v>
      </c>
      <c r="AK1901" t="str">
        <f t="shared" si="1215"/>
        <v>Foto</v>
      </c>
      <c r="AL1901" t="str">
        <f>"{\rtf1\ansi\ansicpg1252\deff0\deflang2058{\fonttbl{\f0\fnil\fcharset0 MS Sans Serif}} \viewkind4\uc1\pard\f0\fs16 FILTRO INYECCION VW GOLF 1.8 2.0 MK3 RENAULT 9 11 PEUGEOT 405 ENT/SAL 9MM\par } "</f>
        <v xml:space="preserve">{\rtf1\ansi\ansicpg1252\deff0\deflang2058{\fonttbl{\f0\fnil\fcharset0 MS Sans Serif}} \viewkind4\uc1\pard\f0\fs16 FILTRO INYECCION VW GOLF 1.8 2.0 MK3 RENAULT 9 11 PEUGEOT 405 ENT/SAL 9MM\par } </v>
      </c>
      <c r="AM1901" t="str">
        <f t="shared" si="1232"/>
        <v>-</v>
      </c>
    </row>
    <row r="1902" spans="1:39" x14ac:dyDescent="0.25">
      <c r="A1902" t="str">
        <f>"FI4010"</f>
        <v>FI4010</v>
      </c>
      <c r="B1902" t="str">
        <f>"FILTRO INYECCION VW POLO 1.6 MEGANE 1.6 2.0 PEUGEOT 306 406 ENT/SAL 8MM"</f>
        <v>FILTRO INYECCION VW POLO 1.6 MEGANE 1.6 2.0 PEUGEOT 306 406 ENT/SAL 8MM</v>
      </c>
      <c r="C1902" t="str">
        <f>"$ 8531,75"</f>
        <v>$ 8531,75</v>
      </c>
      <c r="D1902" t="str">
        <f>"$ 8531,75"</f>
        <v>$ 8531,75</v>
      </c>
      <c r="E1902" t="str">
        <f>"$ 8531,75"</f>
        <v>$ 8531,75</v>
      </c>
      <c r="F1902" t="str">
        <f>"$ 10359,82"</f>
        <v>$ 10359,82</v>
      </c>
      <c r="G1902" t="str">
        <f>"$ 10359,82"</f>
        <v>$ 10359,82</v>
      </c>
      <c r="H1902" t="str">
        <f t="shared" si="1198"/>
        <v>$ 0,00</v>
      </c>
      <c r="I1902" t="str">
        <f t="shared" si="1233"/>
        <v>FILTROS INYECCIÓN ELECTRONICA</v>
      </c>
      <c r="J1902" t="str">
        <f t="shared" si="1199"/>
        <v>1</v>
      </c>
      <c r="K1902" t="str">
        <f t="shared" si="1227"/>
        <v>0</v>
      </c>
      <c r="L1902" t="str">
        <f>"7,000"</f>
        <v>7,000</v>
      </c>
      <c r="M1902" t="str">
        <f t="shared" si="1200"/>
        <v xml:space="preserve"> </v>
      </c>
      <c r="N1902" t="str">
        <f t="shared" si="1234"/>
        <v>BLUE STREAK</v>
      </c>
      <c r="O1902" t="str">
        <f t="shared" si="1235"/>
        <v>FILTROS</v>
      </c>
      <c r="P1902" t="str">
        <f t="shared" si="1230"/>
        <v>0</v>
      </c>
      <c r="Q1902" t="str">
        <f t="shared" si="1230"/>
        <v>0</v>
      </c>
      <c r="R1902" t="str">
        <f t="shared" si="1231"/>
        <v>0,00</v>
      </c>
      <c r="S1902" t="str">
        <f t="shared" si="1231"/>
        <v>0,00</v>
      </c>
      <c r="T1902" t="str">
        <f t="shared" si="1196"/>
        <v xml:space="preserve"> </v>
      </c>
      <c r="U1902" t="str">
        <f t="shared" si="1224"/>
        <v xml:space="preserve"> </v>
      </c>
      <c r="V1902" t="str">
        <f>"7,000"</f>
        <v>7,000</v>
      </c>
      <c r="W1902" t="str">
        <f t="shared" si="1201"/>
        <v>Lista 4</v>
      </c>
      <c r="X1902" t="str">
        <f t="shared" si="1202"/>
        <v>Lista 5</v>
      </c>
      <c r="Y1902" t="str">
        <f t="shared" si="1203"/>
        <v>Oferta Gral.</v>
      </c>
      <c r="Z1902" t="str">
        <f t="shared" si="1204"/>
        <v>Rubro</v>
      </c>
      <c r="AA1902" t="str">
        <f t="shared" si="1205"/>
        <v>Cantidad por Bulto</v>
      </c>
      <c r="AB1902" t="str">
        <f t="shared" si="1206"/>
        <v>INNER</v>
      </c>
      <c r="AC1902" t="str">
        <f t="shared" si="1207"/>
        <v>Stock en Bultos</v>
      </c>
      <c r="AD1902" t="str">
        <f t="shared" si="1208"/>
        <v>SubDepósito</v>
      </c>
      <c r="AE1902" t="str">
        <f t="shared" si="1209"/>
        <v>Marca</v>
      </c>
      <c r="AF1902" t="str">
        <f t="shared" si="1210"/>
        <v>Super Rubro</v>
      </c>
      <c r="AG1902" t="str">
        <f t="shared" si="1211"/>
        <v>ComercioExterior</v>
      </c>
      <c r="AH1902" t="str">
        <f t="shared" si="1212"/>
        <v>PrecioFOB</v>
      </c>
      <c r="AI1902" t="str">
        <f t="shared" si="1213"/>
        <v>Monto II</v>
      </c>
      <c r="AJ1902" t="str">
        <f t="shared" si="1214"/>
        <v>Porcentaje II</v>
      </c>
      <c r="AK1902" t="str">
        <f t="shared" si="1215"/>
        <v>Foto</v>
      </c>
      <c r="AL1902" t="str">
        <f>"{\rtf1\ansi\ansicpg1252\deff0\deflang2058{\fonttbl{\f0\fnil\fcharset0 MS Sans Serif}} \viewkind4\uc1\pard\f0\fs16 FILTRO INYECCION VW POLO 1.6 MEGANE 1.6 2.0 PEUGEOT 306 406 ENT/SAL 8MM\par } "</f>
        <v xml:space="preserve">{\rtf1\ansi\ansicpg1252\deff0\deflang2058{\fonttbl{\f0\fnil\fcharset0 MS Sans Serif}} \viewkind4\uc1\pard\f0\fs16 FILTRO INYECCION VW POLO 1.6 MEGANE 1.6 2.0 PEUGEOT 306 406 ENT/SAL 8MM\par } </v>
      </c>
      <c r="AM1902" t="str">
        <f t="shared" si="1232"/>
        <v>-</v>
      </c>
    </row>
    <row r="1903" spans="1:39" x14ac:dyDescent="0.25">
      <c r="A1903" t="str">
        <f>"FI11045"</f>
        <v>FI11045</v>
      </c>
      <c r="B1903" t="str">
        <f>"FILTRO PARA REGULADOR DE PRESION CON ORINGS"</f>
        <v>FILTRO PARA REGULADOR DE PRESION CON ORINGS</v>
      </c>
      <c r="C1903" t="str">
        <f>"$ 2828,23"</f>
        <v>$ 2828,23</v>
      </c>
      <c r="D1903" t="str">
        <f>"$ 2828,23"</f>
        <v>$ 2828,23</v>
      </c>
      <c r="E1903" t="str">
        <f>"$ 2828,23"</f>
        <v>$ 2828,23</v>
      </c>
      <c r="F1903" t="str">
        <f>"$ 2828,23"</f>
        <v>$ 2828,23</v>
      </c>
      <c r="G1903" t="str">
        <f>"$ 2828,23"</f>
        <v>$ 2828,23</v>
      </c>
      <c r="H1903" t="str">
        <f t="shared" si="1198"/>
        <v>$ 0,00</v>
      </c>
      <c r="I1903" t="str">
        <f>"KIT FILTROS Y ORINGS"</f>
        <v>KIT FILTROS Y ORINGS</v>
      </c>
      <c r="J1903" t="str">
        <f t="shared" si="1199"/>
        <v>1</v>
      </c>
      <c r="K1903" t="str">
        <f t="shared" si="1227"/>
        <v>0</v>
      </c>
      <c r="L1903" t="str">
        <f>"10,000"</f>
        <v>10,000</v>
      </c>
      <c r="M1903" t="str">
        <f t="shared" si="1200"/>
        <v xml:space="preserve"> </v>
      </c>
      <c r="N1903" t="str">
        <f t="shared" ref="N1903:N1914" si="1236">"FISPA"</f>
        <v>FISPA</v>
      </c>
      <c r="O1903" t="str">
        <f>"INYECTORES"</f>
        <v>INYECTORES</v>
      </c>
      <c r="P1903" t="str">
        <f t="shared" ref="P1903:Q1922" si="1237">"0"</f>
        <v>0</v>
      </c>
      <c r="Q1903" t="str">
        <f t="shared" si="1237"/>
        <v>0</v>
      </c>
      <c r="R1903" t="str">
        <f t="shared" ref="R1903:S1922" si="1238">"0,00"</f>
        <v>0,00</v>
      </c>
      <c r="S1903" t="str">
        <f t="shared" si="1238"/>
        <v>0,00</v>
      </c>
      <c r="T1903" t="str">
        <f t="shared" si="1196"/>
        <v xml:space="preserve"> </v>
      </c>
      <c r="U1903" t="str">
        <f t="shared" si="1224"/>
        <v xml:space="preserve"> </v>
      </c>
      <c r="V1903" t="str">
        <f>"10,000"</f>
        <v>10,000</v>
      </c>
      <c r="W1903" t="str">
        <f t="shared" si="1201"/>
        <v>Lista 4</v>
      </c>
      <c r="X1903" t="str">
        <f t="shared" si="1202"/>
        <v>Lista 5</v>
      </c>
      <c r="Y1903" t="str">
        <f t="shared" si="1203"/>
        <v>Oferta Gral.</v>
      </c>
      <c r="Z1903" t="str">
        <f t="shared" si="1204"/>
        <v>Rubro</v>
      </c>
      <c r="AA1903" t="str">
        <f t="shared" si="1205"/>
        <v>Cantidad por Bulto</v>
      </c>
      <c r="AB1903" t="str">
        <f t="shared" si="1206"/>
        <v>INNER</v>
      </c>
      <c r="AC1903" t="str">
        <f t="shared" si="1207"/>
        <v>Stock en Bultos</v>
      </c>
      <c r="AD1903" t="str">
        <f t="shared" si="1208"/>
        <v>SubDepósito</v>
      </c>
      <c r="AE1903" t="str">
        <f t="shared" si="1209"/>
        <v>Marca</v>
      </c>
      <c r="AF1903" t="str">
        <f t="shared" si="1210"/>
        <v>Super Rubro</v>
      </c>
      <c r="AG1903" t="str">
        <f t="shared" si="1211"/>
        <v>ComercioExterior</v>
      </c>
      <c r="AH1903" t="str">
        <f t="shared" si="1212"/>
        <v>PrecioFOB</v>
      </c>
      <c r="AI1903" t="str">
        <f t="shared" si="1213"/>
        <v>Monto II</v>
      </c>
      <c r="AJ1903" t="str">
        <f t="shared" si="1214"/>
        <v>Porcentaje II</v>
      </c>
      <c r="AK1903" t="str">
        <f t="shared" si="1215"/>
        <v>Foto</v>
      </c>
      <c r="AL190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3" t="str">
        <f t="shared" si="1232"/>
        <v>-</v>
      </c>
    </row>
    <row r="1904" spans="1:39" x14ac:dyDescent="0.25">
      <c r="A1904" t="str">
        <f>"FI25012"</f>
        <v>FI25012</v>
      </c>
      <c r="B1904" t="str">
        <f>"FLAUTA DE RECARGA FIAT 1,6 16V"</f>
        <v>FLAUTA DE RECARGA FIAT 1,6 16V</v>
      </c>
      <c r="C1904" t="str">
        <f>"$ 22393,04"</f>
        <v>$ 22393,04</v>
      </c>
      <c r="D1904" t="str">
        <f>"$ 22393,04"</f>
        <v>$ 22393,04</v>
      </c>
      <c r="E1904" t="str">
        <f>"$ 22393,04"</f>
        <v>$ 22393,04</v>
      </c>
      <c r="F1904" t="str">
        <f>"$ 22393,04"</f>
        <v>$ 22393,04</v>
      </c>
      <c r="G1904" t="str">
        <f>"$ 22393,04"</f>
        <v>$ 22393,04</v>
      </c>
      <c r="H1904" t="str">
        <f t="shared" si="1198"/>
        <v>$ 0,00</v>
      </c>
      <c r="I1904" t="str">
        <f>"ACCESORIOS BOMBAS"</f>
        <v>ACCESORIOS BOMBAS</v>
      </c>
      <c r="J1904" t="str">
        <f t="shared" si="1199"/>
        <v>1</v>
      </c>
      <c r="K1904" t="str">
        <f t="shared" si="1227"/>
        <v>0</v>
      </c>
      <c r="L1904" t="str">
        <f>"2,000"</f>
        <v>2,000</v>
      </c>
      <c r="M1904" t="str">
        <f t="shared" si="1200"/>
        <v xml:space="preserve"> </v>
      </c>
      <c r="N1904" t="str">
        <f t="shared" si="1236"/>
        <v>FISPA</v>
      </c>
      <c r="O1904" t="str">
        <f>"BOMBAS"</f>
        <v>BOMBAS</v>
      </c>
      <c r="P1904" t="str">
        <f t="shared" si="1237"/>
        <v>0</v>
      </c>
      <c r="Q1904" t="str">
        <f t="shared" si="1237"/>
        <v>0</v>
      </c>
      <c r="R1904" t="str">
        <f t="shared" si="1238"/>
        <v>0,00</v>
      </c>
      <c r="S1904" t="str">
        <f t="shared" si="1238"/>
        <v>0,00</v>
      </c>
      <c r="T1904" t="str">
        <f t="shared" si="1196"/>
        <v xml:space="preserve"> </v>
      </c>
      <c r="U1904" t="str">
        <f t="shared" si="1224"/>
        <v xml:space="preserve"> </v>
      </c>
      <c r="V1904" t="str">
        <f>"2,000"</f>
        <v>2,000</v>
      </c>
      <c r="W1904" t="str">
        <f t="shared" si="1201"/>
        <v>Lista 4</v>
      </c>
      <c r="X1904" t="str">
        <f t="shared" si="1202"/>
        <v>Lista 5</v>
      </c>
      <c r="Y1904" t="str">
        <f t="shared" si="1203"/>
        <v>Oferta Gral.</v>
      </c>
      <c r="Z1904" t="str">
        <f t="shared" si="1204"/>
        <v>Rubro</v>
      </c>
      <c r="AA1904" t="str">
        <f t="shared" si="1205"/>
        <v>Cantidad por Bulto</v>
      </c>
      <c r="AB1904" t="str">
        <f t="shared" si="1206"/>
        <v>INNER</v>
      </c>
      <c r="AC1904" t="str">
        <f t="shared" si="1207"/>
        <v>Stock en Bultos</v>
      </c>
      <c r="AD1904" t="str">
        <f t="shared" si="1208"/>
        <v>SubDepósito</v>
      </c>
      <c r="AE1904" t="str">
        <f t="shared" si="1209"/>
        <v>Marca</v>
      </c>
      <c r="AF1904" t="str">
        <f t="shared" si="1210"/>
        <v>Super Rubro</v>
      </c>
      <c r="AG1904" t="str">
        <f t="shared" si="1211"/>
        <v>ComercioExterior</v>
      </c>
      <c r="AH1904" t="str">
        <f t="shared" si="1212"/>
        <v>PrecioFOB</v>
      </c>
      <c r="AI1904" t="str">
        <f t="shared" si="1213"/>
        <v>Monto II</v>
      </c>
      <c r="AJ1904" t="str">
        <f t="shared" si="1214"/>
        <v>Porcentaje II</v>
      </c>
      <c r="AK1904" t="str">
        <f t="shared" si="1215"/>
        <v>Foto</v>
      </c>
      <c r="AL1904" t="str">
        <f>" "</f>
        <v xml:space="preserve"> </v>
      </c>
      <c r="AM1904" t="str">
        <f t="shared" si="1232"/>
        <v>-</v>
      </c>
    </row>
    <row r="1905" spans="1:39" x14ac:dyDescent="0.25">
      <c r="A1905" t="str">
        <f>"FI25013"</f>
        <v>FI25013</v>
      </c>
      <c r="B1905" t="str">
        <f>"FLAUTA DE RECARGA VW GOL/VOYAGE REF ORIG 026133317N"</f>
        <v>FLAUTA DE RECARGA VW GOL/VOYAGE REF ORIG 026133317N</v>
      </c>
      <c r="C1905" t="str">
        <f>"$ 7986,90"</f>
        <v>$ 7986,90</v>
      </c>
      <c r="D1905" t="str">
        <f>"$ 7986,90"</f>
        <v>$ 7986,90</v>
      </c>
      <c r="E1905" t="str">
        <f>"$ 7986,90"</f>
        <v>$ 7986,90</v>
      </c>
      <c r="F1905" t="str">
        <f>"$ 7986,90"</f>
        <v>$ 7986,90</v>
      </c>
      <c r="G1905" t="str">
        <f>"$ 7986,90"</f>
        <v>$ 7986,90</v>
      </c>
      <c r="H1905" t="str">
        <f t="shared" si="1198"/>
        <v>$ 0,00</v>
      </c>
      <c r="I1905" t="str">
        <f>"KIT REPARACIÓN BOMBA COMBUSTIBLE"</f>
        <v>KIT REPARACIÓN BOMBA COMBUSTIBLE</v>
      </c>
      <c r="J1905" t="str">
        <f t="shared" si="1199"/>
        <v>1</v>
      </c>
      <c r="K1905" t="str">
        <f t="shared" si="1227"/>
        <v>0</v>
      </c>
      <c r="L1905" t="str">
        <f>"22,000"</f>
        <v>22,000</v>
      </c>
      <c r="M1905" t="str">
        <f t="shared" si="1200"/>
        <v xml:space="preserve"> </v>
      </c>
      <c r="N1905" t="str">
        <f t="shared" si="1236"/>
        <v>FISPA</v>
      </c>
      <c r="O1905" t="str">
        <f>"BOMBAS"</f>
        <v>BOMBAS</v>
      </c>
      <c r="P1905" t="str">
        <f t="shared" si="1237"/>
        <v>0</v>
      </c>
      <c r="Q1905" t="str">
        <f t="shared" si="1237"/>
        <v>0</v>
      </c>
      <c r="R1905" t="str">
        <f t="shared" si="1238"/>
        <v>0,00</v>
      </c>
      <c r="S1905" t="str">
        <f t="shared" si="1238"/>
        <v>0,00</v>
      </c>
      <c r="T1905" t="str">
        <f t="shared" si="1196"/>
        <v xml:space="preserve"> </v>
      </c>
      <c r="U1905" t="str">
        <f t="shared" si="1224"/>
        <v xml:space="preserve"> </v>
      </c>
      <c r="V1905" t="str">
        <f>"22,000"</f>
        <v>22,000</v>
      </c>
      <c r="W1905" t="str">
        <f t="shared" si="1201"/>
        <v>Lista 4</v>
      </c>
      <c r="X1905" t="str">
        <f t="shared" si="1202"/>
        <v>Lista 5</v>
      </c>
      <c r="Y1905" t="str">
        <f t="shared" si="1203"/>
        <v>Oferta Gral.</v>
      </c>
      <c r="Z1905" t="str">
        <f t="shared" si="1204"/>
        <v>Rubro</v>
      </c>
      <c r="AA1905" t="str">
        <f t="shared" si="1205"/>
        <v>Cantidad por Bulto</v>
      </c>
      <c r="AB1905" t="str">
        <f t="shared" si="1206"/>
        <v>INNER</v>
      </c>
      <c r="AC1905" t="str">
        <f t="shared" si="1207"/>
        <v>Stock en Bultos</v>
      </c>
      <c r="AD1905" t="str">
        <f t="shared" si="1208"/>
        <v>SubDepósito</v>
      </c>
      <c r="AE1905" t="str">
        <f t="shared" si="1209"/>
        <v>Marca</v>
      </c>
      <c r="AF1905" t="str">
        <f t="shared" si="1210"/>
        <v>Super Rubro</v>
      </c>
      <c r="AG1905" t="str">
        <f t="shared" si="1211"/>
        <v>ComercioExterior</v>
      </c>
      <c r="AH1905" t="str">
        <f t="shared" si="1212"/>
        <v>PrecioFOB</v>
      </c>
      <c r="AI1905" t="str">
        <f t="shared" si="1213"/>
        <v>Monto II</v>
      </c>
      <c r="AJ1905" t="str">
        <f t="shared" si="1214"/>
        <v>Porcentaje II</v>
      </c>
      <c r="AK1905" t="str">
        <f t="shared" si="1215"/>
        <v>Foto</v>
      </c>
      <c r="AL1905" t="str">
        <f>"{\rtf1\ansi\ansicpg1252\deff0\deflang11274{\fonttbl{\f0\fnil\fcharset0 MS Sans Serif}} \viewkind4\uc1\pard\f0\fs16 FLAUTA DE RECARGA VW GOL/VOYAGE REF ORIG 026133317N\par } "</f>
        <v xml:space="preserve">{\rtf1\ansi\ansicpg1252\deff0\deflang11274{\fonttbl{\f0\fnil\fcharset0 MS Sans Serif}} \viewkind4\uc1\pard\f0\fs16 FLAUTA DE RECARGA VW GOL/VOYAGE REF ORIG 026133317N\par } </v>
      </c>
      <c r="AM1905" t="str">
        <f>"FLAUTA DE RECARGA VW GOL/VOYAGE REF ORIG 026133317N"</f>
        <v>FLAUTA DE RECARGA VW GOL/VOYAGE REF ORIG 026133317N</v>
      </c>
    </row>
    <row r="1906" spans="1:39" x14ac:dyDescent="0.25">
      <c r="A1906" t="str">
        <f>"M1022"</f>
        <v>M1022</v>
      </c>
      <c r="B1906" t="str">
        <f>"FORD COURIER / KA / FIESTA ZETEC ROCAM 1.0, 1.6 99/. COURIER/KA ENDURA 1.0, 1.3 97/99. "</f>
        <v xml:space="preserve">FORD COURIER / KA / FIESTA ZETEC ROCAM 1.0, 1.6 99/. COURIER/KA ENDURA 1.0, 1.3 97/99. </v>
      </c>
      <c r="C1906" t="str">
        <f>"$ 27204,31"</f>
        <v>$ 27204,31</v>
      </c>
      <c r="D1906" t="str">
        <f>"$ 27204,31"</f>
        <v>$ 27204,31</v>
      </c>
      <c r="E1906" t="str">
        <f>"$ 27204,31"</f>
        <v>$ 27204,31</v>
      </c>
      <c r="F1906" t="str">
        <f>"$ 27204,31"</f>
        <v>$ 27204,31</v>
      </c>
      <c r="G1906" t="str">
        <f>"$ 27204,31"</f>
        <v>$ 27204,31</v>
      </c>
      <c r="H1906" t="str">
        <f t="shared" si="1198"/>
        <v>$ 0,00</v>
      </c>
      <c r="I1906" t="str">
        <f t="shared" ref="I1906:I1914" si="1239">"SENSOR MARIPOSA TPS"</f>
        <v>SENSOR MARIPOSA TPS</v>
      </c>
      <c r="J1906" t="str">
        <f t="shared" si="1199"/>
        <v>1</v>
      </c>
      <c r="K1906" t="str">
        <f t="shared" si="1227"/>
        <v>0</v>
      </c>
      <c r="L1906" t="str">
        <f>"6,000"</f>
        <v>6,000</v>
      </c>
      <c r="M1906" t="str">
        <f t="shared" si="1200"/>
        <v xml:space="preserve"> </v>
      </c>
      <c r="N1906" t="str">
        <f t="shared" si="1236"/>
        <v>FISPA</v>
      </c>
      <c r="O1906" t="str">
        <f t="shared" ref="O1906:O1914" si="1240">"SENSORES"</f>
        <v>SENSORES</v>
      </c>
      <c r="P1906" t="str">
        <f t="shared" si="1237"/>
        <v>0</v>
      </c>
      <c r="Q1906" t="str">
        <f t="shared" si="1237"/>
        <v>0</v>
      </c>
      <c r="R1906" t="str">
        <f t="shared" si="1238"/>
        <v>0,00</v>
      </c>
      <c r="S1906" t="str">
        <f t="shared" si="1238"/>
        <v>0,00</v>
      </c>
      <c r="T1906" t="str">
        <f t="shared" si="1196"/>
        <v xml:space="preserve"> </v>
      </c>
      <c r="U1906" t="str">
        <f t="shared" si="1224"/>
        <v xml:space="preserve"> </v>
      </c>
      <c r="V1906" t="str">
        <f>"6,000"</f>
        <v>6,000</v>
      </c>
      <c r="W1906" t="str">
        <f t="shared" si="1201"/>
        <v>Lista 4</v>
      </c>
      <c r="X1906" t="str">
        <f t="shared" si="1202"/>
        <v>Lista 5</v>
      </c>
      <c r="Y1906" t="str">
        <f t="shared" si="1203"/>
        <v>Oferta Gral.</v>
      </c>
      <c r="Z1906" t="str">
        <f t="shared" si="1204"/>
        <v>Rubro</v>
      </c>
      <c r="AA1906" t="str">
        <f t="shared" si="1205"/>
        <v>Cantidad por Bulto</v>
      </c>
      <c r="AB1906" t="str">
        <f t="shared" si="1206"/>
        <v>INNER</v>
      </c>
      <c r="AC1906" t="str">
        <f t="shared" si="1207"/>
        <v>Stock en Bultos</v>
      </c>
      <c r="AD1906" t="str">
        <f t="shared" si="1208"/>
        <v>SubDepósito</v>
      </c>
      <c r="AE1906" t="str">
        <f t="shared" si="1209"/>
        <v>Marca</v>
      </c>
      <c r="AF1906" t="str">
        <f t="shared" si="1210"/>
        <v>Super Rubro</v>
      </c>
      <c r="AG1906" t="str">
        <f t="shared" si="1211"/>
        <v>ComercioExterior</v>
      </c>
      <c r="AH1906" t="str">
        <f t="shared" si="1212"/>
        <v>PrecioFOB</v>
      </c>
      <c r="AI1906" t="str">
        <f t="shared" si="1213"/>
        <v>Monto II</v>
      </c>
      <c r="AJ1906" t="str">
        <f t="shared" si="1214"/>
        <v>Porcentaje II</v>
      </c>
      <c r="AK1906" t="str">
        <f t="shared" si="1215"/>
        <v>Foto</v>
      </c>
      <c r="AL190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6" t="str">
        <f t="shared" ref="AM1906:AM1914" si="1241">"-"</f>
        <v>-</v>
      </c>
    </row>
    <row r="1907" spans="1:39" x14ac:dyDescent="0.25">
      <c r="A1907" t="str">
        <f>"M1030"</f>
        <v>M1030</v>
      </c>
      <c r="B1907" t="str">
        <f>"FORD ESCORT 1.6/1.8 MOTOR ZETEC"</f>
        <v>FORD ESCORT 1.6/1.8 MOTOR ZETEC</v>
      </c>
      <c r="C1907" t="str">
        <f>"$ 35549,42"</f>
        <v>$ 35549,42</v>
      </c>
      <c r="D1907" t="str">
        <f>"$ 35549,42"</f>
        <v>$ 35549,42</v>
      </c>
      <c r="E1907" t="str">
        <f>"$ 35549,42"</f>
        <v>$ 35549,42</v>
      </c>
      <c r="F1907" t="str">
        <f>"$ 35549,42"</f>
        <v>$ 35549,42</v>
      </c>
      <c r="G1907" t="str">
        <f>"$ 35549,42"</f>
        <v>$ 35549,42</v>
      </c>
      <c r="H1907" t="str">
        <f t="shared" si="1198"/>
        <v>$ 0,00</v>
      </c>
      <c r="I1907" t="str">
        <f t="shared" si="1239"/>
        <v>SENSOR MARIPOSA TPS</v>
      </c>
      <c r="J1907" t="str">
        <f t="shared" si="1199"/>
        <v>1</v>
      </c>
      <c r="K1907" t="str">
        <f t="shared" si="1227"/>
        <v>0</v>
      </c>
      <c r="L1907" t="str">
        <f>"0,000"</f>
        <v>0,000</v>
      </c>
      <c r="M1907" t="str">
        <f t="shared" si="1200"/>
        <v xml:space="preserve"> </v>
      </c>
      <c r="N1907" t="str">
        <f t="shared" si="1236"/>
        <v>FISPA</v>
      </c>
      <c r="O1907" t="str">
        <f t="shared" si="1240"/>
        <v>SENSORES</v>
      </c>
      <c r="P1907" t="str">
        <f t="shared" si="1237"/>
        <v>0</v>
      </c>
      <c r="Q1907" t="str">
        <f t="shared" si="1237"/>
        <v>0</v>
      </c>
      <c r="R1907" t="str">
        <f t="shared" si="1238"/>
        <v>0,00</v>
      </c>
      <c r="S1907" t="str">
        <f t="shared" si="1238"/>
        <v>0,00</v>
      </c>
      <c r="T1907" t="str">
        <f t="shared" si="1196"/>
        <v xml:space="preserve"> </v>
      </c>
      <c r="U1907" t="str">
        <f t="shared" si="1224"/>
        <v xml:space="preserve"> </v>
      </c>
      <c r="V1907" t="str">
        <f>"0,000"</f>
        <v>0,000</v>
      </c>
      <c r="W1907" t="str">
        <f t="shared" si="1201"/>
        <v>Lista 4</v>
      </c>
      <c r="X1907" t="str">
        <f t="shared" si="1202"/>
        <v>Lista 5</v>
      </c>
      <c r="Y1907" t="str">
        <f t="shared" si="1203"/>
        <v>Oferta Gral.</v>
      </c>
      <c r="Z1907" t="str">
        <f t="shared" si="1204"/>
        <v>Rubro</v>
      </c>
      <c r="AA1907" t="str">
        <f t="shared" si="1205"/>
        <v>Cantidad por Bulto</v>
      </c>
      <c r="AB1907" t="str">
        <f t="shared" si="1206"/>
        <v>INNER</v>
      </c>
      <c r="AC1907" t="str">
        <f t="shared" si="1207"/>
        <v>Stock en Bultos</v>
      </c>
      <c r="AD1907" t="str">
        <f t="shared" si="1208"/>
        <v>SubDepósito</v>
      </c>
      <c r="AE1907" t="str">
        <f t="shared" si="1209"/>
        <v>Marca</v>
      </c>
      <c r="AF1907" t="str">
        <f t="shared" si="1210"/>
        <v>Super Rubro</v>
      </c>
      <c r="AG1907" t="str">
        <f t="shared" si="1211"/>
        <v>ComercioExterior</v>
      </c>
      <c r="AH1907" t="str">
        <f t="shared" si="1212"/>
        <v>PrecioFOB</v>
      </c>
      <c r="AI1907" t="str">
        <f t="shared" si="1213"/>
        <v>Monto II</v>
      </c>
      <c r="AJ1907" t="str">
        <f t="shared" si="1214"/>
        <v>Porcentaje II</v>
      </c>
      <c r="AK1907" t="str">
        <f t="shared" si="1215"/>
        <v>Foto</v>
      </c>
      <c r="AL1907" t="str">
        <f>" "</f>
        <v xml:space="preserve"> </v>
      </c>
      <c r="AM1907" t="str">
        <f t="shared" si="1241"/>
        <v>-</v>
      </c>
    </row>
    <row r="1908" spans="1:39" x14ac:dyDescent="0.25">
      <c r="A1908" t="str">
        <f>"M1032"</f>
        <v>M1032</v>
      </c>
      <c r="B1908" t="str">
        <f>"FORD ESCORT 91 1.4 - ESCORT V 1.4 - VI 1.3/ 1.4/ 1.8I/ 1.8I 16V - FIESTA III 1.4 / FIESTA V 1.6 16V"</f>
        <v>FORD ESCORT 91 1.4 - ESCORT V 1.4 - VI 1.3/ 1.4/ 1.8I/ 1.8I 16V - FIESTA III 1.4 / FIESTA V 1.6 16V</v>
      </c>
      <c r="C1908" t="str">
        <f>"$ 46294,19"</f>
        <v>$ 46294,19</v>
      </c>
      <c r="D1908" t="str">
        <f>"$ 46294,19"</f>
        <v>$ 46294,19</v>
      </c>
      <c r="E1908" t="str">
        <f>"$ 46294,19"</f>
        <v>$ 46294,19</v>
      </c>
      <c r="F1908" t="str">
        <f>"$ 46294,19"</f>
        <v>$ 46294,19</v>
      </c>
      <c r="G1908" t="str">
        <f>"$ 46294,19"</f>
        <v>$ 46294,19</v>
      </c>
      <c r="H1908" t="str">
        <f t="shared" si="1198"/>
        <v>$ 0,00</v>
      </c>
      <c r="I1908" t="str">
        <f t="shared" si="1239"/>
        <v>SENSOR MARIPOSA TPS</v>
      </c>
      <c r="J1908" t="str">
        <f t="shared" si="1199"/>
        <v>1</v>
      </c>
      <c r="K1908" t="str">
        <f t="shared" si="1227"/>
        <v>0</v>
      </c>
      <c r="L1908" t="str">
        <f>"2,000"</f>
        <v>2,000</v>
      </c>
      <c r="M1908" t="str">
        <f t="shared" si="1200"/>
        <v xml:space="preserve"> </v>
      </c>
      <c r="N1908" t="str">
        <f t="shared" si="1236"/>
        <v>FISPA</v>
      </c>
      <c r="O1908" t="str">
        <f t="shared" si="1240"/>
        <v>SENSORES</v>
      </c>
      <c r="P1908" t="str">
        <f t="shared" si="1237"/>
        <v>0</v>
      </c>
      <c r="Q1908" t="str">
        <f t="shared" si="1237"/>
        <v>0</v>
      </c>
      <c r="R1908" t="str">
        <f t="shared" si="1238"/>
        <v>0,00</v>
      </c>
      <c r="S1908" t="str">
        <f t="shared" si="1238"/>
        <v>0,00</v>
      </c>
      <c r="T1908" t="str">
        <f t="shared" si="1196"/>
        <v xml:space="preserve"> </v>
      </c>
      <c r="U1908" t="str">
        <f t="shared" si="1224"/>
        <v xml:space="preserve"> </v>
      </c>
      <c r="V1908" t="str">
        <f>"2,000"</f>
        <v>2,000</v>
      </c>
      <c r="W1908" t="str">
        <f t="shared" si="1201"/>
        <v>Lista 4</v>
      </c>
      <c r="X1908" t="str">
        <f t="shared" si="1202"/>
        <v>Lista 5</v>
      </c>
      <c r="Y1908" t="str">
        <f t="shared" si="1203"/>
        <v>Oferta Gral.</v>
      </c>
      <c r="Z1908" t="str">
        <f t="shared" si="1204"/>
        <v>Rubro</v>
      </c>
      <c r="AA1908" t="str">
        <f t="shared" si="1205"/>
        <v>Cantidad por Bulto</v>
      </c>
      <c r="AB1908" t="str">
        <f t="shared" si="1206"/>
        <v>INNER</v>
      </c>
      <c r="AC1908" t="str">
        <f t="shared" si="1207"/>
        <v>Stock en Bultos</v>
      </c>
      <c r="AD1908" t="str">
        <f t="shared" si="1208"/>
        <v>SubDepósito</v>
      </c>
      <c r="AE1908" t="str">
        <f t="shared" si="1209"/>
        <v>Marca</v>
      </c>
      <c r="AF1908" t="str">
        <f t="shared" si="1210"/>
        <v>Super Rubro</v>
      </c>
      <c r="AG1908" t="str">
        <f t="shared" si="1211"/>
        <v>ComercioExterior</v>
      </c>
      <c r="AH1908" t="str">
        <f t="shared" si="1212"/>
        <v>PrecioFOB</v>
      </c>
      <c r="AI1908" t="str">
        <f t="shared" si="1213"/>
        <v>Monto II</v>
      </c>
      <c r="AJ1908" t="str">
        <f t="shared" si="1214"/>
        <v>Porcentaje II</v>
      </c>
      <c r="AK1908" t="str">
        <f t="shared" si="1215"/>
        <v>Foto</v>
      </c>
      <c r="AL1908" t="str">
        <f>"{\rtf1\ansi\ansicpg1252\deff0\deflang11274{\fonttbl{\f0\fnil\fcharset0 MS Sans Serif}} \viewkind4\uc1\pard\f0\fs16 FORD ESCORT 91 1.4 - ESCORT V 1.4 - VI 1.3/ 1.4/ 1.8I/ 1.8I 16V - FIESTA III 1.4 / FIESTA V 1.6 16V\par } "</f>
        <v xml:space="preserve">{\rtf1\ansi\ansicpg1252\deff0\deflang11274{\fonttbl{\f0\fnil\fcharset0 MS Sans Serif}} \viewkind4\uc1\pard\f0\fs16 FORD ESCORT 91 1.4 - ESCORT V 1.4 - VI 1.3/ 1.4/ 1.8I/ 1.8I 16V - FIESTA III 1.4 / FIESTA V 1.6 16V\par } </v>
      </c>
      <c r="AM1908" t="str">
        <f t="shared" si="1241"/>
        <v>-</v>
      </c>
    </row>
    <row r="1909" spans="1:39" x14ac:dyDescent="0.25">
      <c r="A1909" t="str">
        <f>"M1039"</f>
        <v>M1039</v>
      </c>
      <c r="B1909" t="str">
        <f>"FORD EXPLORER (03-97) - F-150 (08-97)- F-150 HERITAGE (04) - F-250 (99-96) - F-250 PICK UP (98-97"</f>
        <v>FORD EXPLORER (03-97) - F-150 (08-97)- F-150 HERITAGE (04) - F-250 (99-96) - F-250 PICK UP (98-97</v>
      </c>
      <c r="C1909" t="str">
        <f>"$ 37333,91"</f>
        <v>$ 37333,91</v>
      </c>
      <c r="D1909" t="str">
        <f>"$ 37333,91"</f>
        <v>$ 37333,91</v>
      </c>
      <c r="E1909" t="str">
        <f>"$ 37333,91"</f>
        <v>$ 37333,91</v>
      </c>
      <c r="F1909" t="str">
        <f>"$ 37333,91"</f>
        <v>$ 37333,91</v>
      </c>
      <c r="G1909" t="str">
        <f>"$ 37333,91"</f>
        <v>$ 37333,91</v>
      </c>
      <c r="H1909" t="str">
        <f t="shared" si="1198"/>
        <v>$ 0,00</v>
      </c>
      <c r="I1909" t="str">
        <f t="shared" si="1239"/>
        <v>SENSOR MARIPOSA TPS</v>
      </c>
      <c r="J1909" t="str">
        <f t="shared" si="1199"/>
        <v>1</v>
      </c>
      <c r="K1909" t="str">
        <f t="shared" si="1227"/>
        <v>0</v>
      </c>
      <c r="L1909" t="str">
        <f>"0,000"</f>
        <v>0,000</v>
      </c>
      <c r="M1909" t="str">
        <f t="shared" si="1200"/>
        <v xml:space="preserve"> </v>
      </c>
      <c r="N1909" t="str">
        <f t="shared" si="1236"/>
        <v>FISPA</v>
      </c>
      <c r="O1909" t="str">
        <f t="shared" si="1240"/>
        <v>SENSORES</v>
      </c>
      <c r="P1909" t="str">
        <f t="shared" si="1237"/>
        <v>0</v>
      </c>
      <c r="Q1909" t="str">
        <f t="shared" si="1237"/>
        <v>0</v>
      </c>
      <c r="R1909" t="str">
        <f t="shared" si="1238"/>
        <v>0,00</v>
      </c>
      <c r="S1909" t="str">
        <f t="shared" si="1238"/>
        <v>0,00</v>
      </c>
      <c r="T1909" t="str">
        <f t="shared" si="1196"/>
        <v xml:space="preserve"> </v>
      </c>
      <c r="U1909" t="str">
        <f t="shared" si="1224"/>
        <v xml:space="preserve"> </v>
      </c>
      <c r="V1909" t="str">
        <f>"0,000"</f>
        <v>0,000</v>
      </c>
      <c r="W1909" t="str">
        <f t="shared" si="1201"/>
        <v>Lista 4</v>
      </c>
      <c r="X1909" t="str">
        <f t="shared" si="1202"/>
        <v>Lista 5</v>
      </c>
      <c r="Y1909" t="str">
        <f t="shared" si="1203"/>
        <v>Oferta Gral.</v>
      </c>
      <c r="Z1909" t="str">
        <f t="shared" si="1204"/>
        <v>Rubro</v>
      </c>
      <c r="AA1909" t="str">
        <f t="shared" si="1205"/>
        <v>Cantidad por Bulto</v>
      </c>
      <c r="AB1909" t="str">
        <f t="shared" si="1206"/>
        <v>INNER</v>
      </c>
      <c r="AC1909" t="str">
        <f t="shared" si="1207"/>
        <v>Stock en Bultos</v>
      </c>
      <c r="AD1909" t="str">
        <f t="shared" si="1208"/>
        <v>SubDepósito</v>
      </c>
      <c r="AE1909" t="str">
        <f t="shared" si="1209"/>
        <v>Marca</v>
      </c>
      <c r="AF1909" t="str">
        <f t="shared" si="1210"/>
        <v>Super Rubro</v>
      </c>
      <c r="AG1909" t="str">
        <f t="shared" si="1211"/>
        <v>ComercioExterior</v>
      </c>
      <c r="AH1909" t="str">
        <f t="shared" si="1212"/>
        <v>PrecioFOB</v>
      </c>
      <c r="AI1909" t="str">
        <f t="shared" si="1213"/>
        <v>Monto II</v>
      </c>
      <c r="AJ1909" t="str">
        <f t="shared" si="1214"/>
        <v>Porcentaje II</v>
      </c>
      <c r="AK1909" t="str">
        <f t="shared" si="1215"/>
        <v>Foto</v>
      </c>
      <c r="AL190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9" t="str">
        <f t="shared" si="1241"/>
        <v>-</v>
      </c>
    </row>
    <row r="1910" spans="1:39" x14ac:dyDescent="0.25">
      <c r="A1910" t="str">
        <f>"M1029"</f>
        <v>M1029</v>
      </c>
      <c r="B1910" t="str">
        <f>"FORD EXPLORER 4.0"</f>
        <v>FORD EXPLORER 4.0</v>
      </c>
      <c r="C1910" t="str">
        <f>"$ 33811,31"</f>
        <v>$ 33811,31</v>
      </c>
      <c r="D1910" t="str">
        <f>"$ 33811,31"</f>
        <v>$ 33811,31</v>
      </c>
      <c r="E1910" t="str">
        <f>"$ 33811,31"</f>
        <v>$ 33811,31</v>
      </c>
      <c r="F1910" t="str">
        <f>"$ 33811,31"</f>
        <v>$ 33811,31</v>
      </c>
      <c r="G1910" t="str">
        <f>"$ 33811,31"</f>
        <v>$ 33811,31</v>
      </c>
      <c r="H1910" t="str">
        <f t="shared" si="1198"/>
        <v>$ 0,00</v>
      </c>
      <c r="I1910" t="str">
        <f t="shared" si="1239"/>
        <v>SENSOR MARIPOSA TPS</v>
      </c>
      <c r="J1910" t="str">
        <f t="shared" si="1199"/>
        <v>1</v>
      </c>
      <c r="K1910" t="str">
        <f t="shared" si="1227"/>
        <v>0</v>
      </c>
      <c r="L1910" t="str">
        <f>"0,000"</f>
        <v>0,000</v>
      </c>
      <c r="M1910" t="str">
        <f t="shared" si="1200"/>
        <v xml:space="preserve"> </v>
      </c>
      <c r="N1910" t="str">
        <f t="shared" si="1236"/>
        <v>FISPA</v>
      </c>
      <c r="O1910" t="str">
        <f t="shared" si="1240"/>
        <v>SENSORES</v>
      </c>
      <c r="P1910" t="str">
        <f t="shared" si="1237"/>
        <v>0</v>
      </c>
      <c r="Q1910" t="str">
        <f t="shared" si="1237"/>
        <v>0</v>
      </c>
      <c r="R1910" t="str">
        <f t="shared" si="1238"/>
        <v>0,00</v>
      </c>
      <c r="S1910" t="str">
        <f t="shared" si="1238"/>
        <v>0,00</v>
      </c>
      <c r="T1910" t="str">
        <f t="shared" si="1196"/>
        <v xml:space="preserve"> </v>
      </c>
      <c r="U1910" t="str">
        <f t="shared" si="1224"/>
        <v xml:space="preserve"> </v>
      </c>
      <c r="V1910" t="str">
        <f>"0,000"</f>
        <v>0,000</v>
      </c>
      <c r="W1910" t="str">
        <f t="shared" si="1201"/>
        <v>Lista 4</v>
      </c>
      <c r="X1910" t="str">
        <f t="shared" si="1202"/>
        <v>Lista 5</v>
      </c>
      <c r="Y1910" t="str">
        <f t="shared" si="1203"/>
        <v>Oferta Gral.</v>
      </c>
      <c r="Z1910" t="str">
        <f t="shared" si="1204"/>
        <v>Rubro</v>
      </c>
      <c r="AA1910" t="str">
        <f t="shared" si="1205"/>
        <v>Cantidad por Bulto</v>
      </c>
      <c r="AB1910" t="str">
        <f t="shared" si="1206"/>
        <v>INNER</v>
      </c>
      <c r="AC1910" t="str">
        <f t="shared" si="1207"/>
        <v>Stock en Bultos</v>
      </c>
      <c r="AD1910" t="str">
        <f t="shared" si="1208"/>
        <v>SubDepósito</v>
      </c>
      <c r="AE1910" t="str">
        <f t="shared" si="1209"/>
        <v>Marca</v>
      </c>
      <c r="AF1910" t="str">
        <f t="shared" si="1210"/>
        <v>Super Rubro</v>
      </c>
      <c r="AG1910" t="str">
        <f t="shared" si="1211"/>
        <v>ComercioExterior</v>
      </c>
      <c r="AH1910" t="str">
        <f t="shared" si="1212"/>
        <v>PrecioFOB</v>
      </c>
      <c r="AI1910" t="str">
        <f t="shared" si="1213"/>
        <v>Monto II</v>
      </c>
      <c r="AJ1910" t="str">
        <f t="shared" si="1214"/>
        <v>Porcentaje II</v>
      </c>
      <c r="AK1910" t="str">
        <f t="shared" si="1215"/>
        <v>Foto</v>
      </c>
      <c r="AL1910" t="str">
        <f>" "</f>
        <v xml:space="preserve"> </v>
      </c>
      <c r="AM1910" t="str">
        <f t="shared" si="1241"/>
        <v>-</v>
      </c>
    </row>
    <row r="1911" spans="1:39" x14ac:dyDescent="0.25">
      <c r="A1911" t="str">
        <f>"M1038"</f>
        <v>M1038</v>
      </c>
      <c r="B1911" t="str">
        <f>"FORD F-150 (96-85) F-250 (97-85) F-250 PICK UP (95-92) - F350 (97-86)"</f>
        <v>FORD F-150 (96-85) F-250 (97-85) F-250 PICK UP (95-92) - F350 (97-86)</v>
      </c>
      <c r="C1911" t="str">
        <f>"$ 45195,67"</f>
        <v>$ 45195,67</v>
      </c>
      <c r="D1911" t="str">
        <f>"$ 45195,67"</f>
        <v>$ 45195,67</v>
      </c>
      <c r="E1911" t="str">
        <f>"$ 45195,67"</f>
        <v>$ 45195,67</v>
      </c>
      <c r="F1911" t="str">
        <f>"$ 45195,67"</f>
        <v>$ 45195,67</v>
      </c>
      <c r="G1911" t="str">
        <f>"$ 45195,67"</f>
        <v>$ 45195,67</v>
      </c>
      <c r="H1911" t="str">
        <f t="shared" si="1198"/>
        <v>$ 0,00</v>
      </c>
      <c r="I1911" t="str">
        <f t="shared" si="1239"/>
        <v>SENSOR MARIPOSA TPS</v>
      </c>
      <c r="J1911" t="str">
        <f t="shared" si="1199"/>
        <v>1</v>
      </c>
      <c r="K1911" t="str">
        <f t="shared" si="1227"/>
        <v>0</v>
      </c>
      <c r="L1911" t="str">
        <f>"0,000"</f>
        <v>0,000</v>
      </c>
      <c r="M1911" t="str">
        <f t="shared" si="1200"/>
        <v xml:space="preserve"> </v>
      </c>
      <c r="N1911" t="str">
        <f t="shared" si="1236"/>
        <v>FISPA</v>
      </c>
      <c r="O1911" t="str">
        <f t="shared" si="1240"/>
        <v>SENSORES</v>
      </c>
      <c r="P1911" t="str">
        <f t="shared" si="1237"/>
        <v>0</v>
      </c>
      <c r="Q1911" t="str">
        <f t="shared" si="1237"/>
        <v>0</v>
      </c>
      <c r="R1911" t="str">
        <f t="shared" si="1238"/>
        <v>0,00</v>
      </c>
      <c r="S1911" t="str">
        <f t="shared" si="1238"/>
        <v>0,00</v>
      </c>
      <c r="T1911" t="str">
        <f t="shared" si="1196"/>
        <v xml:space="preserve"> </v>
      </c>
      <c r="U1911" t="str">
        <f t="shared" si="1224"/>
        <v xml:space="preserve"> </v>
      </c>
      <c r="V1911" t="str">
        <f>"0,000"</f>
        <v>0,000</v>
      </c>
      <c r="W1911" t="str">
        <f t="shared" si="1201"/>
        <v>Lista 4</v>
      </c>
      <c r="X1911" t="str">
        <f t="shared" si="1202"/>
        <v>Lista 5</v>
      </c>
      <c r="Y1911" t="str">
        <f t="shared" si="1203"/>
        <v>Oferta Gral.</v>
      </c>
      <c r="Z1911" t="str">
        <f t="shared" si="1204"/>
        <v>Rubro</v>
      </c>
      <c r="AA1911" t="str">
        <f t="shared" si="1205"/>
        <v>Cantidad por Bulto</v>
      </c>
      <c r="AB1911" t="str">
        <f t="shared" si="1206"/>
        <v>INNER</v>
      </c>
      <c r="AC1911" t="str">
        <f t="shared" si="1207"/>
        <v>Stock en Bultos</v>
      </c>
      <c r="AD1911" t="str">
        <f t="shared" si="1208"/>
        <v>SubDepósito</v>
      </c>
      <c r="AE1911" t="str">
        <f t="shared" si="1209"/>
        <v>Marca</v>
      </c>
      <c r="AF1911" t="str">
        <f t="shared" si="1210"/>
        <v>Super Rubro</v>
      </c>
      <c r="AG1911" t="str">
        <f t="shared" si="1211"/>
        <v>ComercioExterior</v>
      </c>
      <c r="AH1911" t="str">
        <f t="shared" si="1212"/>
        <v>PrecioFOB</v>
      </c>
      <c r="AI1911" t="str">
        <f t="shared" si="1213"/>
        <v>Monto II</v>
      </c>
      <c r="AJ1911" t="str">
        <f t="shared" si="1214"/>
        <v>Porcentaje II</v>
      </c>
      <c r="AK1911" t="str">
        <f t="shared" si="1215"/>
        <v>Foto</v>
      </c>
      <c r="AL1911" t="str">
        <f>" "</f>
        <v xml:space="preserve"> </v>
      </c>
      <c r="AM1911" t="str">
        <f t="shared" si="1241"/>
        <v>-</v>
      </c>
    </row>
    <row r="1912" spans="1:39" x14ac:dyDescent="0.25">
      <c r="A1912" t="str">
        <f>"M1036"</f>
        <v>M1036</v>
      </c>
      <c r="B1912" t="str">
        <f>"FORD F-150 - EXPLORER 4.0 1992-95"</f>
        <v>FORD F-150 - EXPLORER 4.0 1992-95</v>
      </c>
      <c r="C1912" t="str">
        <f>"$ 30484,01"</f>
        <v>$ 30484,01</v>
      </c>
      <c r="D1912" t="str">
        <f>"$ 30484,01"</f>
        <v>$ 30484,01</v>
      </c>
      <c r="E1912" t="str">
        <f>"$ 30484,01"</f>
        <v>$ 30484,01</v>
      </c>
      <c r="F1912" t="str">
        <f>"$ 30484,01"</f>
        <v>$ 30484,01</v>
      </c>
      <c r="G1912" t="str">
        <f>"$ 30484,01"</f>
        <v>$ 30484,01</v>
      </c>
      <c r="H1912" t="str">
        <f t="shared" si="1198"/>
        <v>$ 0,00</v>
      </c>
      <c r="I1912" t="str">
        <f t="shared" si="1239"/>
        <v>SENSOR MARIPOSA TPS</v>
      </c>
      <c r="J1912" t="str">
        <f t="shared" si="1199"/>
        <v>1</v>
      </c>
      <c r="K1912" t="str">
        <f t="shared" si="1227"/>
        <v>0</v>
      </c>
      <c r="L1912" t="str">
        <f>"0,000"</f>
        <v>0,000</v>
      </c>
      <c r="M1912" t="str">
        <f t="shared" si="1200"/>
        <v xml:space="preserve"> </v>
      </c>
      <c r="N1912" t="str">
        <f t="shared" si="1236"/>
        <v>FISPA</v>
      </c>
      <c r="O1912" t="str">
        <f t="shared" si="1240"/>
        <v>SENSORES</v>
      </c>
      <c r="P1912" t="str">
        <f t="shared" si="1237"/>
        <v>0</v>
      </c>
      <c r="Q1912" t="str">
        <f t="shared" si="1237"/>
        <v>0</v>
      </c>
      <c r="R1912" t="str">
        <f t="shared" si="1238"/>
        <v>0,00</v>
      </c>
      <c r="S1912" t="str">
        <f t="shared" si="1238"/>
        <v>0,00</v>
      </c>
      <c r="T1912" t="str">
        <f t="shared" si="1196"/>
        <v xml:space="preserve"> </v>
      </c>
      <c r="U1912" t="str">
        <f t="shared" si="1224"/>
        <v xml:space="preserve"> </v>
      </c>
      <c r="V1912" t="str">
        <f>"0,000"</f>
        <v>0,000</v>
      </c>
      <c r="W1912" t="str">
        <f t="shared" si="1201"/>
        <v>Lista 4</v>
      </c>
      <c r="X1912" t="str">
        <f t="shared" si="1202"/>
        <v>Lista 5</v>
      </c>
      <c r="Y1912" t="str">
        <f t="shared" si="1203"/>
        <v>Oferta Gral.</v>
      </c>
      <c r="Z1912" t="str">
        <f t="shared" si="1204"/>
        <v>Rubro</v>
      </c>
      <c r="AA1912" t="str">
        <f t="shared" si="1205"/>
        <v>Cantidad por Bulto</v>
      </c>
      <c r="AB1912" t="str">
        <f t="shared" si="1206"/>
        <v>INNER</v>
      </c>
      <c r="AC1912" t="str">
        <f t="shared" si="1207"/>
        <v>Stock en Bultos</v>
      </c>
      <c r="AD1912" t="str">
        <f t="shared" si="1208"/>
        <v>SubDepósito</v>
      </c>
      <c r="AE1912" t="str">
        <f t="shared" si="1209"/>
        <v>Marca</v>
      </c>
      <c r="AF1912" t="str">
        <f t="shared" si="1210"/>
        <v>Super Rubro</v>
      </c>
      <c r="AG1912" t="str">
        <f t="shared" si="1211"/>
        <v>ComercioExterior</v>
      </c>
      <c r="AH1912" t="str">
        <f t="shared" si="1212"/>
        <v>PrecioFOB</v>
      </c>
      <c r="AI1912" t="str">
        <f t="shared" si="1213"/>
        <v>Monto II</v>
      </c>
      <c r="AJ1912" t="str">
        <f t="shared" si="1214"/>
        <v>Porcentaje II</v>
      </c>
      <c r="AK1912" t="str">
        <f t="shared" si="1215"/>
        <v>Foto</v>
      </c>
      <c r="AL1912" t="str">
        <f>" "</f>
        <v xml:space="preserve"> </v>
      </c>
      <c r="AM1912" t="str">
        <f t="shared" si="1241"/>
        <v>-</v>
      </c>
    </row>
    <row r="1913" spans="1:39" x14ac:dyDescent="0.25">
      <c r="A1913" t="str">
        <f>"M1014"</f>
        <v>M1014</v>
      </c>
      <c r="B1913" t="str">
        <f>"FORD FOCUS 1,4 1,6 1,8 2,0 - FIESTA 1,2 1,3 1,4 1,6  KA 1,3 - MONDEO 1,6 1,8 2,0 -ESCORT 2003 "</f>
        <v xml:space="preserve">FORD FOCUS 1,4 1,6 1,8 2,0 - FIESTA 1,2 1,3 1,4 1,6  KA 1,3 - MONDEO 1,6 1,8 2,0 -ESCORT 2003 </v>
      </c>
      <c r="C1913" t="str">
        <f>"$ 17173,57"</f>
        <v>$ 17173,57</v>
      </c>
      <c r="D1913" t="str">
        <f>"$ 17173,57"</f>
        <v>$ 17173,57</v>
      </c>
      <c r="E1913" t="str">
        <f>"$ 17173,57"</f>
        <v>$ 17173,57</v>
      </c>
      <c r="F1913" t="str">
        <f>"$ 17173,57"</f>
        <v>$ 17173,57</v>
      </c>
      <c r="G1913" t="str">
        <f>"$ 17173,57"</f>
        <v>$ 17173,57</v>
      </c>
      <c r="H1913" t="str">
        <f t="shared" si="1198"/>
        <v>$ 0,00</v>
      </c>
      <c r="I1913" t="str">
        <f t="shared" si="1239"/>
        <v>SENSOR MARIPOSA TPS</v>
      </c>
      <c r="J1913" t="str">
        <f t="shared" si="1199"/>
        <v>1</v>
      </c>
      <c r="K1913" t="str">
        <f t="shared" si="1227"/>
        <v>0</v>
      </c>
      <c r="L1913" t="str">
        <f>"2,000"</f>
        <v>2,000</v>
      </c>
      <c r="M1913" t="str">
        <f t="shared" si="1200"/>
        <v xml:space="preserve"> </v>
      </c>
      <c r="N1913" t="str">
        <f t="shared" si="1236"/>
        <v>FISPA</v>
      </c>
      <c r="O1913" t="str">
        <f t="shared" si="1240"/>
        <v>SENSORES</v>
      </c>
      <c r="P1913" t="str">
        <f t="shared" si="1237"/>
        <v>0</v>
      </c>
      <c r="Q1913" t="str">
        <f t="shared" si="1237"/>
        <v>0</v>
      </c>
      <c r="R1913" t="str">
        <f t="shared" si="1238"/>
        <v>0,00</v>
      </c>
      <c r="S1913" t="str">
        <f t="shared" si="1238"/>
        <v>0,00</v>
      </c>
      <c r="T1913" t="str">
        <f t="shared" si="1196"/>
        <v xml:space="preserve"> </v>
      </c>
      <c r="U1913" t="str">
        <f t="shared" si="1224"/>
        <v xml:space="preserve"> </v>
      </c>
      <c r="V1913" t="str">
        <f>"2,000"</f>
        <v>2,000</v>
      </c>
      <c r="W1913" t="str">
        <f t="shared" si="1201"/>
        <v>Lista 4</v>
      </c>
      <c r="X1913" t="str">
        <f t="shared" si="1202"/>
        <v>Lista 5</v>
      </c>
      <c r="Y1913" t="str">
        <f t="shared" si="1203"/>
        <v>Oferta Gral.</v>
      </c>
      <c r="Z1913" t="str">
        <f t="shared" si="1204"/>
        <v>Rubro</v>
      </c>
      <c r="AA1913" t="str">
        <f t="shared" si="1205"/>
        <v>Cantidad por Bulto</v>
      </c>
      <c r="AB1913" t="str">
        <f t="shared" si="1206"/>
        <v>INNER</v>
      </c>
      <c r="AC1913" t="str">
        <f t="shared" si="1207"/>
        <v>Stock en Bultos</v>
      </c>
      <c r="AD1913" t="str">
        <f t="shared" si="1208"/>
        <v>SubDepósito</v>
      </c>
      <c r="AE1913" t="str">
        <f t="shared" si="1209"/>
        <v>Marca</v>
      </c>
      <c r="AF1913" t="str">
        <f t="shared" si="1210"/>
        <v>Super Rubro</v>
      </c>
      <c r="AG1913" t="str">
        <f t="shared" si="1211"/>
        <v>ComercioExterior</v>
      </c>
      <c r="AH1913" t="str">
        <f t="shared" si="1212"/>
        <v>PrecioFOB</v>
      </c>
      <c r="AI1913" t="str">
        <f t="shared" si="1213"/>
        <v>Monto II</v>
      </c>
      <c r="AJ1913" t="str">
        <f t="shared" si="1214"/>
        <v>Porcentaje II</v>
      </c>
      <c r="AK1913" t="str">
        <f t="shared" si="1215"/>
        <v>Foto</v>
      </c>
      <c r="AL191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913" t="str">
        <f t="shared" si="1241"/>
        <v>-</v>
      </c>
    </row>
    <row r="1914" spans="1:39" x14ac:dyDescent="0.25">
      <c r="A1914" t="str">
        <f>"M1035"</f>
        <v>M1035</v>
      </c>
      <c r="B1914" t="str">
        <f>"FORD USA EXPLORER 4.0 - F350"</f>
        <v>FORD USA EXPLORER 4.0 - F350</v>
      </c>
      <c r="C1914" t="str">
        <f>"$ 26286,43"</f>
        <v>$ 26286,43</v>
      </c>
      <c r="D1914" t="str">
        <f>"$ 26286,43"</f>
        <v>$ 26286,43</v>
      </c>
      <c r="E1914" t="str">
        <f>"$ 26286,43"</f>
        <v>$ 26286,43</v>
      </c>
      <c r="F1914" t="str">
        <f>"$ 26286,43"</f>
        <v>$ 26286,43</v>
      </c>
      <c r="G1914" t="str">
        <f>"$ 26286,43"</f>
        <v>$ 26286,43</v>
      </c>
      <c r="H1914" t="str">
        <f t="shared" si="1198"/>
        <v>$ 0,00</v>
      </c>
      <c r="I1914" t="str">
        <f t="shared" si="1239"/>
        <v>SENSOR MARIPOSA TPS</v>
      </c>
      <c r="J1914" t="str">
        <f t="shared" si="1199"/>
        <v>1</v>
      </c>
      <c r="K1914" t="str">
        <f t="shared" si="1227"/>
        <v>0</v>
      </c>
      <c r="L1914" t="str">
        <f>"0,000"</f>
        <v>0,000</v>
      </c>
      <c r="M1914" t="str">
        <f t="shared" si="1200"/>
        <v xml:space="preserve"> </v>
      </c>
      <c r="N1914" t="str">
        <f t="shared" si="1236"/>
        <v>FISPA</v>
      </c>
      <c r="O1914" t="str">
        <f t="shared" si="1240"/>
        <v>SENSORES</v>
      </c>
      <c r="P1914" t="str">
        <f t="shared" si="1237"/>
        <v>0</v>
      </c>
      <c r="Q1914" t="str">
        <f t="shared" si="1237"/>
        <v>0</v>
      </c>
      <c r="R1914" t="str">
        <f t="shared" si="1238"/>
        <v>0,00</v>
      </c>
      <c r="S1914" t="str">
        <f t="shared" si="1238"/>
        <v>0,00</v>
      </c>
      <c r="T1914" t="str">
        <f t="shared" si="1196"/>
        <v xml:space="preserve"> </v>
      </c>
      <c r="U1914" t="str">
        <f t="shared" si="1224"/>
        <v xml:space="preserve"> </v>
      </c>
      <c r="V1914" t="str">
        <f>"0,000"</f>
        <v>0,000</v>
      </c>
      <c r="W1914" t="str">
        <f t="shared" si="1201"/>
        <v>Lista 4</v>
      </c>
      <c r="X1914" t="str">
        <f t="shared" si="1202"/>
        <v>Lista 5</v>
      </c>
      <c r="Y1914" t="str">
        <f t="shared" si="1203"/>
        <v>Oferta Gral.</v>
      </c>
      <c r="Z1914" t="str">
        <f t="shared" si="1204"/>
        <v>Rubro</v>
      </c>
      <c r="AA1914" t="str">
        <f t="shared" si="1205"/>
        <v>Cantidad por Bulto</v>
      </c>
      <c r="AB1914" t="str">
        <f t="shared" si="1206"/>
        <v>INNER</v>
      </c>
      <c r="AC1914" t="str">
        <f t="shared" si="1207"/>
        <v>Stock en Bultos</v>
      </c>
      <c r="AD1914" t="str">
        <f t="shared" si="1208"/>
        <v>SubDepósito</v>
      </c>
      <c r="AE1914" t="str">
        <f t="shared" si="1209"/>
        <v>Marca</v>
      </c>
      <c r="AF1914" t="str">
        <f t="shared" si="1210"/>
        <v>Super Rubro</v>
      </c>
      <c r="AG1914" t="str">
        <f t="shared" si="1211"/>
        <v>ComercioExterior</v>
      </c>
      <c r="AH1914" t="str">
        <f t="shared" si="1212"/>
        <v>PrecioFOB</v>
      </c>
      <c r="AI1914" t="str">
        <f t="shared" si="1213"/>
        <v>Monto II</v>
      </c>
      <c r="AJ1914" t="str">
        <f t="shared" si="1214"/>
        <v>Porcentaje II</v>
      </c>
      <c r="AK1914" t="str">
        <f t="shared" si="1215"/>
        <v>Foto</v>
      </c>
      <c r="AL1914" t="str">
        <f>" "</f>
        <v xml:space="preserve"> </v>
      </c>
      <c r="AM1914" t="str">
        <f t="shared" si="1241"/>
        <v>-</v>
      </c>
    </row>
    <row r="1915" spans="1:39" x14ac:dyDescent="0.25">
      <c r="A1915" t="str">
        <f>"DERFJ"</f>
        <v>DERFJ</v>
      </c>
      <c r="B1915" t="str">
        <f>"FORMAJUNTAS DERFOE X 85 GRS."</f>
        <v>FORMAJUNTAS DERFOE X 85 GRS.</v>
      </c>
      <c r="C1915" t="str">
        <f>"$ 6524,82"</f>
        <v>$ 6524,82</v>
      </c>
      <c r="D1915" t="str">
        <f>"$ 6524,82"</f>
        <v>$ 6524,82</v>
      </c>
      <c r="E1915" t="str">
        <f>"$ 6524,82"</f>
        <v>$ 6524,82</v>
      </c>
      <c r="F1915" t="str">
        <f>"$ 6524,82"</f>
        <v>$ 6524,82</v>
      </c>
      <c r="G1915" t="str">
        <f>"$ 6524,82"</f>
        <v>$ 6524,82</v>
      </c>
      <c r="H1915" t="str">
        <f t="shared" si="1198"/>
        <v>$ 0,00</v>
      </c>
      <c r="I1915" t="str">
        <f>"SELLA Y FORMA JUNTAS"</f>
        <v>SELLA Y FORMA JUNTAS</v>
      </c>
      <c r="J1915" t="str">
        <f t="shared" si="1199"/>
        <v>1</v>
      </c>
      <c r="K1915" t="str">
        <f t="shared" si="1227"/>
        <v>0</v>
      </c>
      <c r="L1915" t="str">
        <f>"55,000"</f>
        <v>55,000</v>
      </c>
      <c r="M1915" t="str">
        <f t="shared" si="1200"/>
        <v xml:space="preserve"> </v>
      </c>
      <c r="N1915" t="str">
        <f>"DERFOE"</f>
        <v>DERFOE</v>
      </c>
      <c r="O1915" t="str">
        <f>"SELLADORES Y ADHESIVOS"</f>
        <v>SELLADORES Y ADHESIVOS</v>
      </c>
      <c r="P1915" t="str">
        <f t="shared" si="1237"/>
        <v>0</v>
      </c>
      <c r="Q1915" t="str">
        <f t="shared" si="1237"/>
        <v>0</v>
      </c>
      <c r="R1915" t="str">
        <f t="shared" si="1238"/>
        <v>0,00</v>
      </c>
      <c r="S1915" t="str">
        <f t="shared" si="1238"/>
        <v>0,00</v>
      </c>
      <c r="T1915" t="str">
        <f t="shared" si="1196"/>
        <v xml:space="preserve"> </v>
      </c>
      <c r="U1915" t="str">
        <f t="shared" si="1224"/>
        <v xml:space="preserve"> </v>
      </c>
      <c r="V1915" t="str">
        <f>"55,000"</f>
        <v>55,000</v>
      </c>
      <c r="W1915" t="str">
        <f t="shared" si="1201"/>
        <v>Lista 4</v>
      </c>
      <c r="X1915" t="str">
        <f t="shared" si="1202"/>
        <v>Lista 5</v>
      </c>
      <c r="Y1915" t="str">
        <f t="shared" si="1203"/>
        <v>Oferta Gral.</v>
      </c>
      <c r="Z1915" t="str">
        <f t="shared" si="1204"/>
        <v>Rubro</v>
      </c>
      <c r="AA1915" t="str">
        <f t="shared" si="1205"/>
        <v>Cantidad por Bulto</v>
      </c>
      <c r="AB1915" t="str">
        <f t="shared" si="1206"/>
        <v>INNER</v>
      </c>
      <c r="AC1915" t="str">
        <f t="shared" si="1207"/>
        <v>Stock en Bultos</v>
      </c>
      <c r="AD1915" t="str">
        <f t="shared" si="1208"/>
        <v>SubDepósito</v>
      </c>
      <c r="AE1915" t="str">
        <f t="shared" si="1209"/>
        <v>Marca</v>
      </c>
      <c r="AF1915" t="str">
        <f t="shared" si="1210"/>
        <v>Super Rubro</v>
      </c>
      <c r="AG1915" t="str">
        <f t="shared" si="1211"/>
        <v>ComercioExterior</v>
      </c>
      <c r="AH1915" t="str">
        <f t="shared" si="1212"/>
        <v>PrecioFOB</v>
      </c>
      <c r="AI1915" t="str">
        <f t="shared" si="1213"/>
        <v>Monto II</v>
      </c>
      <c r="AJ1915" t="str">
        <f t="shared" si="1214"/>
        <v>Porcentaje II</v>
      </c>
      <c r="AK1915" t="str">
        <f t="shared" si="1215"/>
        <v>Foto</v>
      </c>
      <c r="AL1915" t="str">
        <f>"{\rtf1\ansi\ansicpg1252\deff0\deflang11274{\fonttbl{\f0\fnil\fcharset0 MS Sans Serif}} \viewkind4\uc1\pard\f0\fs16 FORMAJUNTAS DERFOE X 85 GRS.\par } "</f>
        <v xml:space="preserve">{\rtf1\ansi\ansicpg1252\deff0\deflang11274{\fonttbl{\f0\fnil\fcharset0 MS Sans Serif}} \viewkind4\uc1\pard\f0\fs16 FORMAJUNTAS DERFOE X 85 GRS.\par } </v>
      </c>
      <c r="AM1915" t="str">
        <f>" "</f>
        <v xml:space="preserve"> </v>
      </c>
    </row>
    <row r="1916" spans="1:39" x14ac:dyDescent="0.25">
      <c r="A1916" t="str">
        <f>"FUN001"</f>
        <v>FUN001</v>
      </c>
      <c r="B1916" t="str">
        <f>"FUNDAS CUBREASIENTOS 2 DELANTERAS 1 TRASERA 5 APOYACABEZAS"</f>
        <v>FUNDAS CUBREASIENTOS 2 DELANTERAS 1 TRASERA 5 APOYACABEZAS</v>
      </c>
      <c r="C1916" t="str">
        <f>"$ 52525,86"</f>
        <v>$ 52525,86</v>
      </c>
      <c r="D1916" t="str">
        <f>"$ 52525,86"</f>
        <v>$ 52525,86</v>
      </c>
      <c r="E1916" t="str">
        <f>"$ 52525,86"</f>
        <v>$ 52525,86</v>
      </c>
      <c r="F1916" t="str">
        <f>"$ 52525,86"</f>
        <v>$ 52525,86</v>
      </c>
      <c r="G1916" t="str">
        <f>"$ 52525,86"</f>
        <v>$ 52525,86</v>
      </c>
      <c r="H1916" t="str">
        <f t="shared" si="1198"/>
        <v>$ 0,00</v>
      </c>
      <c r="I1916" t="str">
        <f>"JUEGO FUNDAS DE ASIENTO"</f>
        <v>JUEGO FUNDAS DE ASIENTO</v>
      </c>
      <c r="J1916" t="str">
        <f t="shared" si="1199"/>
        <v>1</v>
      </c>
      <c r="K1916" t="str">
        <f t="shared" si="1227"/>
        <v>0</v>
      </c>
      <c r="L1916" t="str">
        <f>"1,000"</f>
        <v>1,000</v>
      </c>
      <c r="M1916" t="str">
        <f t="shared" si="1200"/>
        <v xml:space="preserve"> </v>
      </c>
      <c r="N1916" t="str">
        <f>"OREGON"</f>
        <v>OREGON</v>
      </c>
      <c r="O1916" t="str">
        <f>"FUNDAS DE ASIENTOS"</f>
        <v>FUNDAS DE ASIENTOS</v>
      </c>
      <c r="P1916" t="str">
        <f t="shared" si="1237"/>
        <v>0</v>
      </c>
      <c r="Q1916" t="str">
        <f t="shared" si="1237"/>
        <v>0</v>
      </c>
      <c r="R1916" t="str">
        <f t="shared" si="1238"/>
        <v>0,00</v>
      </c>
      <c r="S1916" t="str">
        <f t="shared" si="1238"/>
        <v>0,00</v>
      </c>
      <c r="T1916" t="str">
        <f t="shared" si="1196"/>
        <v xml:space="preserve"> </v>
      </c>
      <c r="U1916" t="str">
        <f t="shared" si="1224"/>
        <v xml:space="preserve"> </v>
      </c>
      <c r="V1916" t="str">
        <f>"1,000"</f>
        <v>1,000</v>
      </c>
      <c r="W1916" t="str">
        <f t="shared" si="1201"/>
        <v>Lista 4</v>
      </c>
      <c r="X1916" t="str">
        <f t="shared" si="1202"/>
        <v>Lista 5</v>
      </c>
      <c r="Y1916" t="str">
        <f t="shared" si="1203"/>
        <v>Oferta Gral.</v>
      </c>
      <c r="Z1916" t="str">
        <f t="shared" si="1204"/>
        <v>Rubro</v>
      </c>
      <c r="AA1916" t="str">
        <f t="shared" si="1205"/>
        <v>Cantidad por Bulto</v>
      </c>
      <c r="AB1916" t="str">
        <f t="shared" si="1206"/>
        <v>INNER</v>
      </c>
      <c r="AC1916" t="str">
        <f t="shared" si="1207"/>
        <v>Stock en Bultos</v>
      </c>
      <c r="AD1916" t="str">
        <f t="shared" si="1208"/>
        <v>SubDepósito</v>
      </c>
      <c r="AE1916" t="str">
        <f t="shared" si="1209"/>
        <v>Marca</v>
      </c>
      <c r="AF1916" t="str">
        <f t="shared" si="1210"/>
        <v>Super Rubro</v>
      </c>
      <c r="AG1916" t="str">
        <f t="shared" si="1211"/>
        <v>ComercioExterior</v>
      </c>
      <c r="AH1916" t="str">
        <f t="shared" si="1212"/>
        <v>PrecioFOB</v>
      </c>
      <c r="AI1916" t="str">
        <f t="shared" si="1213"/>
        <v>Monto II</v>
      </c>
      <c r="AJ1916" t="str">
        <f t="shared" si="1214"/>
        <v>Porcentaje II</v>
      </c>
      <c r="AK1916" t="str">
        <f t="shared" si="1215"/>
        <v>Foto</v>
      </c>
      <c r="AL1916" t="str">
        <f>"{\rtf1\ansi\ansicpg1252\deff0\deflang11274{\fonttbl{\f0\fnil\fcharset0 MS Sans Serif}} \viewkind4\uc1\pard\f0\fs16 FUNDAS CUBREASIENTOS 2 DELANTERAS 1 TRASERA 5 APOYACABEZAS\par } "</f>
        <v xml:space="preserve">{\rtf1\ansi\ansicpg1252\deff0\deflang11274{\fonttbl{\f0\fnil\fcharset0 MS Sans Serif}} \viewkind4\uc1\pard\f0\fs16 FUNDAS CUBREASIENTOS 2 DELANTERAS 1 TRASERA 5 APOYACABEZAS\par } </v>
      </c>
      <c r="AM1916" t="str">
        <f>"-"</f>
        <v>-</v>
      </c>
    </row>
    <row r="1917" spans="1:39" x14ac:dyDescent="0.25">
      <c r="A1917" t="str">
        <f>"T136S"</f>
        <v>T136S</v>
      </c>
      <c r="B1917" t="str">
        <f>"FUSIBLE CERAMICO EN BLISTER SURTIDO 5-8-16-20-25 (2 C/U)"</f>
        <v>FUSIBLE CERAMICO EN BLISTER SURTIDO 5-8-16-20-25 (2 C/U)</v>
      </c>
      <c r="C1917" t="str">
        <f>"$ 1309,20"</f>
        <v>$ 1309,20</v>
      </c>
      <c r="D1917" t="str">
        <f>"$ 1309,20"</f>
        <v>$ 1309,20</v>
      </c>
      <c r="E1917" t="str">
        <f>"$ 1309,20"</f>
        <v>$ 1309,20</v>
      </c>
      <c r="F1917" t="str">
        <f>"$ 1309,20"</f>
        <v>$ 1309,20</v>
      </c>
      <c r="G1917" t="str">
        <f>"$ 1309,20"</f>
        <v>$ 1309,20</v>
      </c>
      <c r="H1917" t="str">
        <f t="shared" si="1198"/>
        <v>$ 0,00</v>
      </c>
      <c r="I1917" t="str">
        <f>"FUSIBLES"</f>
        <v>FUSIBLES</v>
      </c>
      <c r="J1917" t="str">
        <f t="shared" si="1199"/>
        <v>1</v>
      </c>
      <c r="K1917" t="str">
        <f t="shared" si="1227"/>
        <v>0</v>
      </c>
      <c r="L1917" t="str">
        <f>"50,000"</f>
        <v>50,000</v>
      </c>
      <c r="M1917" t="str">
        <f t="shared" si="1200"/>
        <v xml:space="preserve"> </v>
      </c>
      <c r="N1917" t="str">
        <f>"DIVAIO"</f>
        <v>DIVAIO</v>
      </c>
      <c r="O1917" t="str">
        <f>"FUSIBLES"</f>
        <v>FUSIBLES</v>
      </c>
      <c r="P1917" t="str">
        <f t="shared" si="1237"/>
        <v>0</v>
      </c>
      <c r="Q1917" t="str">
        <f t="shared" si="1237"/>
        <v>0</v>
      </c>
      <c r="R1917" t="str">
        <f t="shared" si="1238"/>
        <v>0,00</v>
      </c>
      <c r="S1917" t="str">
        <f t="shared" si="1238"/>
        <v>0,00</v>
      </c>
      <c r="T1917" t="str">
        <f t="shared" si="1196"/>
        <v xml:space="preserve"> </v>
      </c>
      <c r="U1917" t="str">
        <f t="shared" si="1224"/>
        <v xml:space="preserve"> </v>
      </c>
      <c r="V1917" t="str">
        <f>"50,000"</f>
        <v>50,000</v>
      </c>
      <c r="W1917" t="str">
        <f t="shared" si="1201"/>
        <v>Lista 4</v>
      </c>
      <c r="X1917" t="str">
        <f t="shared" si="1202"/>
        <v>Lista 5</v>
      </c>
      <c r="Y1917" t="str">
        <f t="shared" si="1203"/>
        <v>Oferta Gral.</v>
      </c>
      <c r="Z1917" t="str">
        <f t="shared" si="1204"/>
        <v>Rubro</v>
      </c>
      <c r="AA1917" t="str">
        <f t="shared" si="1205"/>
        <v>Cantidad por Bulto</v>
      </c>
      <c r="AB1917" t="str">
        <f t="shared" si="1206"/>
        <v>INNER</v>
      </c>
      <c r="AC1917" t="str">
        <f t="shared" si="1207"/>
        <v>Stock en Bultos</v>
      </c>
      <c r="AD1917" t="str">
        <f t="shared" si="1208"/>
        <v>SubDepósito</v>
      </c>
      <c r="AE1917" t="str">
        <f t="shared" si="1209"/>
        <v>Marca</v>
      </c>
      <c r="AF1917" t="str">
        <f t="shared" si="1210"/>
        <v>Super Rubro</v>
      </c>
      <c r="AG1917" t="str">
        <f t="shared" si="1211"/>
        <v>ComercioExterior</v>
      </c>
      <c r="AH1917" t="str">
        <f t="shared" si="1212"/>
        <v>PrecioFOB</v>
      </c>
      <c r="AI1917" t="str">
        <f t="shared" si="1213"/>
        <v>Monto II</v>
      </c>
      <c r="AJ1917" t="str">
        <f t="shared" si="1214"/>
        <v>Porcentaje II</v>
      </c>
      <c r="AK1917" t="str">
        <f t="shared" si="1215"/>
        <v>Foto</v>
      </c>
      <c r="AL1917" t="str">
        <f>"{\rtf1\ansi\ansicpg1252\deff0\deflang11274{\fonttbl{\f0\fnil\fcharset0 MS Sans Serif}} \viewkind4\uc1\pard\f0\fs16 FUSIBLE CERAMICO EN BLISTER SURTIDO 5-8-16-20-25 (2 C/U)\par } "</f>
        <v xml:space="preserve">{\rtf1\ansi\ansicpg1252\deff0\deflang11274{\fonttbl{\f0\fnil\fcharset0 MS Sans Serif}} \viewkind4\uc1\pard\f0\fs16 FUSIBLE CERAMICO EN BLISTER SURTIDO 5-8-16-20-25 (2 C/U)\par } </v>
      </c>
      <c r="AM1917" t="str">
        <f>"-"</f>
        <v>-</v>
      </c>
    </row>
    <row r="1918" spans="1:39" x14ac:dyDescent="0.25">
      <c r="A1918" t="str">
        <f>"T105S"</f>
        <v>T105S</v>
      </c>
      <c r="B1918" t="str">
        <f>"FUSIBLE FICHA EN BLISTER SURTIDO 10-15-20-25-30 (2 C/U)"</f>
        <v>FUSIBLE FICHA EN BLISTER SURTIDO 10-15-20-25-30 (2 C/U)</v>
      </c>
      <c r="C1918" t="str">
        <f>"$ 1087,47"</f>
        <v>$ 1087,47</v>
      </c>
      <c r="D1918" t="str">
        <f>"$ 1087,47"</f>
        <v>$ 1087,47</v>
      </c>
      <c r="E1918" t="str">
        <f>"$ 1087,47"</f>
        <v>$ 1087,47</v>
      </c>
      <c r="F1918" t="str">
        <f>"$ 1087,47"</f>
        <v>$ 1087,47</v>
      </c>
      <c r="G1918" t="str">
        <f>"$ 1087,47"</f>
        <v>$ 1087,47</v>
      </c>
      <c r="H1918" t="str">
        <f t="shared" si="1198"/>
        <v>$ 0,00</v>
      </c>
      <c r="I1918" t="str">
        <f>"FUSIBLES"</f>
        <v>FUSIBLES</v>
      </c>
      <c r="J1918" t="str">
        <f t="shared" si="1199"/>
        <v>1</v>
      </c>
      <c r="K1918" t="str">
        <f t="shared" si="1227"/>
        <v>0</v>
      </c>
      <c r="L1918" t="str">
        <f>"770,000"</f>
        <v>770,000</v>
      </c>
      <c r="M1918" t="str">
        <f t="shared" si="1200"/>
        <v xml:space="preserve"> </v>
      </c>
      <c r="N1918" t="str">
        <f>"DIVAIO"</f>
        <v>DIVAIO</v>
      </c>
      <c r="O1918" t="str">
        <f>"FUSIBLES"</f>
        <v>FUSIBLES</v>
      </c>
      <c r="P1918" t="str">
        <f t="shared" si="1237"/>
        <v>0</v>
      </c>
      <c r="Q1918" t="str">
        <f t="shared" si="1237"/>
        <v>0</v>
      </c>
      <c r="R1918" t="str">
        <f t="shared" si="1238"/>
        <v>0,00</v>
      </c>
      <c r="S1918" t="str">
        <f t="shared" si="1238"/>
        <v>0,00</v>
      </c>
      <c r="T1918" t="str">
        <f t="shared" si="1196"/>
        <v xml:space="preserve"> </v>
      </c>
      <c r="U1918" t="str">
        <f t="shared" si="1224"/>
        <v xml:space="preserve"> </v>
      </c>
      <c r="V1918" t="str">
        <f>"770,000"</f>
        <v>770,000</v>
      </c>
      <c r="W1918" t="str">
        <f t="shared" si="1201"/>
        <v>Lista 4</v>
      </c>
      <c r="X1918" t="str">
        <f t="shared" si="1202"/>
        <v>Lista 5</v>
      </c>
      <c r="Y1918" t="str">
        <f t="shared" si="1203"/>
        <v>Oferta Gral.</v>
      </c>
      <c r="Z1918" t="str">
        <f t="shared" si="1204"/>
        <v>Rubro</v>
      </c>
      <c r="AA1918" t="str">
        <f t="shared" si="1205"/>
        <v>Cantidad por Bulto</v>
      </c>
      <c r="AB1918" t="str">
        <f t="shared" si="1206"/>
        <v>INNER</v>
      </c>
      <c r="AC1918" t="str">
        <f t="shared" si="1207"/>
        <v>Stock en Bultos</v>
      </c>
      <c r="AD1918" t="str">
        <f t="shared" si="1208"/>
        <v>SubDepósito</v>
      </c>
      <c r="AE1918" t="str">
        <f t="shared" si="1209"/>
        <v>Marca</v>
      </c>
      <c r="AF1918" t="str">
        <f t="shared" si="1210"/>
        <v>Super Rubro</v>
      </c>
      <c r="AG1918" t="str">
        <f t="shared" si="1211"/>
        <v>ComercioExterior</v>
      </c>
      <c r="AH1918" t="str">
        <f t="shared" si="1212"/>
        <v>PrecioFOB</v>
      </c>
      <c r="AI1918" t="str">
        <f t="shared" si="1213"/>
        <v>Monto II</v>
      </c>
      <c r="AJ1918" t="str">
        <f t="shared" si="1214"/>
        <v>Porcentaje II</v>
      </c>
      <c r="AK1918" t="str">
        <f t="shared" si="1215"/>
        <v>Foto</v>
      </c>
      <c r="AL1918" t="str">
        <f>"{\rtf1\ansi\ansicpg1252\deff0\deflang11274{\fonttbl{\f0\fnil\fcharset0 MS Sans Serif}} \viewkind4\uc1\pard\f0\fs16 FUSIBLE FICHA EN BLISTER SURTIDO 10-15-20-25-30 (2 C/U)\par } "</f>
        <v xml:space="preserve">{\rtf1\ansi\ansicpg1252\deff0\deflang11274{\fonttbl{\f0\fnil\fcharset0 MS Sans Serif}} \viewkind4\uc1\pard\f0\fs16 FUSIBLE FICHA EN BLISTER SURTIDO 10-15-20-25-30 (2 C/U)\par } </v>
      </c>
      <c r="AM1918" t="str">
        <f>"-"</f>
        <v>-</v>
      </c>
    </row>
    <row r="1919" spans="1:39" x14ac:dyDescent="0.25">
      <c r="A1919" t="str">
        <f>"T101S"</f>
        <v>T101S</v>
      </c>
      <c r="B1919" t="str">
        <f>"FUSIBLE MINIFICHA EN BLISTER SURTIDO 10-15-20-25-30 (2 C/U)"</f>
        <v>FUSIBLE MINIFICHA EN BLISTER SURTIDO 10-15-20-25-30 (2 C/U)</v>
      </c>
      <c r="C1919" t="str">
        <f>"$ 992,46"</f>
        <v>$ 992,46</v>
      </c>
      <c r="D1919" t="str">
        <f>"$ 992,46"</f>
        <v>$ 992,46</v>
      </c>
      <c r="E1919" t="str">
        <f>"$ 992,46"</f>
        <v>$ 992,46</v>
      </c>
      <c r="F1919" t="str">
        <f>"$ 992,46"</f>
        <v>$ 992,46</v>
      </c>
      <c r="G1919" t="str">
        <f>"$ 992,46"</f>
        <v>$ 992,46</v>
      </c>
      <c r="H1919" t="str">
        <f t="shared" si="1198"/>
        <v>$ 0,00</v>
      </c>
      <c r="I1919" t="str">
        <f>"FUSIBLES"</f>
        <v>FUSIBLES</v>
      </c>
      <c r="J1919" t="str">
        <f t="shared" si="1199"/>
        <v>1</v>
      </c>
      <c r="K1919" t="str">
        <f t="shared" si="1227"/>
        <v>0</v>
      </c>
      <c r="L1919" t="str">
        <f>"110,000"</f>
        <v>110,000</v>
      </c>
      <c r="M1919" t="str">
        <f t="shared" si="1200"/>
        <v xml:space="preserve"> </v>
      </c>
      <c r="N1919" t="str">
        <f>"DIVAIO"</f>
        <v>DIVAIO</v>
      </c>
      <c r="O1919" t="str">
        <f>"FUSIBLES"</f>
        <v>FUSIBLES</v>
      </c>
      <c r="P1919" t="str">
        <f t="shared" si="1237"/>
        <v>0</v>
      </c>
      <c r="Q1919" t="str">
        <f t="shared" si="1237"/>
        <v>0</v>
      </c>
      <c r="R1919" t="str">
        <f t="shared" si="1238"/>
        <v>0,00</v>
      </c>
      <c r="S1919" t="str">
        <f t="shared" si="1238"/>
        <v>0,00</v>
      </c>
      <c r="T1919" t="str">
        <f t="shared" si="1196"/>
        <v xml:space="preserve"> </v>
      </c>
      <c r="U1919" t="str">
        <f t="shared" si="1224"/>
        <v xml:space="preserve"> </v>
      </c>
      <c r="V1919" t="str">
        <f>"110,000"</f>
        <v>110,000</v>
      </c>
      <c r="W1919" t="str">
        <f t="shared" si="1201"/>
        <v>Lista 4</v>
      </c>
      <c r="X1919" t="str">
        <f t="shared" si="1202"/>
        <v>Lista 5</v>
      </c>
      <c r="Y1919" t="str">
        <f t="shared" si="1203"/>
        <v>Oferta Gral.</v>
      </c>
      <c r="Z1919" t="str">
        <f t="shared" si="1204"/>
        <v>Rubro</v>
      </c>
      <c r="AA1919" t="str">
        <f t="shared" si="1205"/>
        <v>Cantidad por Bulto</v>
      </c>
      <c r="AB1919" t="str">
        <f t="shared" si="1206"/>
        <v>INNER</v>
      </c>
      <c r="AC1919" t="str">
        <f t="shared" si="1207"/>
        <v>Stock en Bultos</v>
      </c>
      <c r="AD1919" t="str">
        <f t="shared" si="1208"/>
        <v>SubDepósito</v>
      </c>
      <c r="AE1919" t="str">
        <f t="shared" si="1209"/>
        <v>Marca</v>
      </c>
      <c r="AF1919" t="str">
        <f t="shared" si="1210"/>
        <v>Super Rubro</v>
      </c>
      <c r="AG1919" t="str">
        <f t="shared" si="1211"/>
        <v>ComercioExterior</v>
      </c>
      <c r="AH1919" t="str">
        <f t="shared" si="1212"/>
        <v>PrecioFOB</v>
      </c>
      <c r="AI1919" t="str">
        <f t="shared" si="1213"/>
        <v>Monto II</v>
      </c>
      <c r="AJ1919" t="str">
        <f t="shared" si="1214"/>
        <v>Porcentaje II</v>
      </c>
      <c r="AK1919" t="str">
        <f t="shared" si="1215"/>
        <v>Foto</v>
      </c>
      <c r="AL1919" t="str">
        <f>"{\rtf1\ansi\ansicpg1252\deff0\deflang11274{\fonttbl{\f0\fnil\fcharset0 MS Sans Serif}} \viewkind4\uc1\pard\f0\fs16 FUSIBLE MINIFICHA EN BLISTER SURTIDO 10-15-20-25-30 (2 C/U)\par } "</f>
        <v xml:space="preserve">{\rtf1\ansi\ansicpg1252\deff0\deflang11274{\fonttbl{\f0\fnil\fcharset0 MS Sans Serif}} \viewkind4\uc1\pard\f0\fs16 FUSIBLE MINIFICHA EN BLISTER SURTIDO 10-15-20-25-30 (2 C/U)\par } </v>
      </c>
      <c r="AM1919" t="str">
        <f>"-"</f>
        <v>-</v>
      </c>
    </row>
    <row r="1920" spans="1:39" x14ac:dyDescent="0.25">
      <c r="A1920" t="str">
        <f>"T132L"</f>
        <v>T132L</v>
      </c>
      <c r="B1920" t="str">
        <f>"FUSIBLE VIDRIO 32 MM BLISTER X 10 (5-10-15-20-25-30)"</f>
        <v>FUSIBLE VIDRIO 32 MM BLISTER X 10 (5-10-15-20-25-30)</v>
      </c>
      <c r="C1920" t="str">
        <f>"$ 1657,60"</f>
        <v>$ 1657,60</v>
      </c>
      <c r="D1920" t="str">
        <f>"$ 1657,60"</f>
        <v>$ 1657,60</v>
      </c>
      <c r="E1920" t="str">
        <f>"$ 1657,60"</f>
        <v>$ 1657,60</v>
      </c>
      <c r="F1920" t="str">
        <f>"$ 1657,60"</f>
        <v>$ 1657,60</v>
      </c>
      <c r="G1920" t="str">
        <f>"$ 1657,60"</f>
        <v>$ 1657,60</v>
      </c>
      <c r="H1920" t="str">
        <f t="shared" si="1198"/>
        <v>$ 0,00</v>
      </c>
      <c r="I1920" t="str">
        <f>"FUSIBLES"</f>
        <v>FUSIBLES</v>
      </c>
      <c r="J1920" t="str">
        <f t="shared" si="1199"/>
        <v>1</v>
      </c>
      <c r="K1920" t="str">
        <f t="shared" si="1227"/>
        <v>0</v>
      </c>
      <c r="L1920" t="str">
        <f>"100,000"</f>
        <v>100,000</v>
      </c>
      <c r="M1920" t="str">
        <f t="shared" si="1200"/>
        <v xml:space="preserve"> </v>
      </c>
      <c r="N1920" t="str">
        <f>"DIVAIO"</f>
        <v>DIVAIO</v>
      </c>
      <c r="O1920" t="str">
        <f>"FUSIBLES"</f>
        <v>FUSIBLES</v>
      </c>
      <c r="P1920" t="str">
        <f t="shared" si="1237"/>
        <v>0</v>
      </c>
      <c r="Q1920" t="str">
        <f t="shared" si="1237"/>
        <v>0</v>
      </c>
      <c r="R1920" t="str">
        <f t="shared" si="1238"/>
        <v>0,00</v>
      </c>
      <c r="S1920" t="str">
        <f t="shared" si="1238"/>
        <v>0,00</v>
      </c>
      <c r="T1920" t="str">
        <f t="shared" ref="T1920:T1983" si="1242">" "</f>
        <v xml:space="preserve"> </v>
      </c>
      <c r="U1920" t="str">
        <f t="shared" si="1224"/>
        <v xml:space="preserve"> </v>
      </c>
      <c r="V1920" t="str">
        <f>"100,000"</f>
        <v>100,000</v>
      </c>
      <c r="W1920" t="str">
        <f t="shared" si="1201"/>
        <v>Lista 4</v>
      </c>
      <c r="X1920" t="str">
        <f t="shared" si="1202"/>
        <v>Lista 5</v>
      </c>
      <c r="Y1920" t="str">
        <f t="shared" si="1203"/>
        <v>Oferta Gral.</v>
      </c>
      <c r="Z1920" t="str">
        <f t="shared" si="1204"/>
        <v>Rubro</v>
      </c>
      <c r="AA1920" t="str">
        <f t="shared" si="1205"/>
        <v>Cantidad por Bulto</v>
      </c>
      <c r="AB1920" t="str">
        <f t="shared" si="1206"/>
        <v>INNER</v>
      </c>
      <c r="AC1920" t="str">
        <f t="shared" si="1207"/>
        <v>Stock en Bultos</v>
      </c>
      <c r="AD1920" t="str">
        <f t="shared" si="1208"/>
        <v>SubDepósito</v>
      </c>
      <c r="AE1920" t="str">
        <f t="shared" si="1209"/>
        <v>Marca</v>
      </c>
      <c r="AF1920" t="str">
        <f t="shared" si="1210"/>
        <v>Super Rubro</v>
      </c>
      <c r="AG1920" t="str">
        <f t="shared" si="1211"/>
        <v>ComercioExterior</v>
      </c>
      <c r="AH1920" t="str">
        <f t="shared" si="1212"/>
        <v>PrecioFOB</v>
      </c>
      <c r="AI1920" t="str">
        <f t="shared" si="1213"/>
        <v>Monto II</v>
      </c>
      <c r="AJ1920" t="str">
        <f t="shared" si="1214"/>
        <v>Porcentaje II</v>
      </c>
      <c r="AK1920" t="str">
        <f t="shared" si="1215"/>
        <v>Foto</v>
      </c>
      <c r="AL1920" t="str">
        <f>"{\rtf1\ansi\ansicpg1252\deff0\deflang11274{\fonttbl{\f0\fnil\fcharset0 MS Sans Serif}} \viewkind4\uc1\pard\f0\fs16 FUSIBLE VIDRIO 32 MM BLISTER X 10 (5-10-15-20-25-30)\par } "</f>
        <v xml:space="preserve">{\rtf1\ansi\ansicpg1252\deff0\deflang11274{\fonttbl{\f0\fnil\fcharset0 MS Sans Serif}} \viewkind4\uc1\pard\f0\fs16 FUSIBLE VIDRIO 32 MM BLISTER X 10 (5-10-15-20-25-30)\par } </v>
      </c>
      <c r="AM1920" t="str">
        <f>" "</f>
        <v xml:space="preserve"> </v>
      </c>
    </row>
    <row r="1921" spans="1:39" x14ac:dyDescent="0.25">
      <c r="A1921" t="str">
        <f>"GR318"</f>
        <v>GR318</v>
      </c>
      <c r="B1921" t="str">
        <f>"GRIFO DE CALEFACCION CORSA VECTRA SILVERADO"</f>
        <v>GRIFO DE CALEFACCION CORSA VECTRA SILVERADO</v>
      </c>
      <c r="C1921" t="str">
        <f>"$ 19539,98"</f>
        <v>$ 19539,98</v>
      </c>
      <c r="D1921" t="str">
        <f>"$ 19539,98"</f>
        <v>$ 19539,98</v>
      </c>
      <c r="E1921" t="str">
        <f>"$ 19539,98"</f>
        <v>$ 19539,98</v>
      </c>
      <c r="F1921" t="str">
        <f>"$ 19539,98"</f>
        <v>$ 19539,98</v>
      </c>
      <c r="G1921" t="str">
        <f>"$ 19539,98"</f>
        <v>$ 19539,98</v>
      </c>
      <c r="H1921" t="str">
        <f t="shared" si="1198"/>
        <v>$ 0,00</v>
      </c>
      <c r="I1921" t="str">
        <f>"GRIFO DE CALEFACCION"</f>
        <v>GRIFO DE CALEFACCION</v>
      </c>
      <c r="J1921" t="str">
        <f t="shared" si="1199"/>
        <v>1</v>
      </c>
      <c r="K1921" t="str">
        <f t="shared" si="1227"/>
        <v>0</v>
      </c>
      <c r="L1921" t="str">
        <f>"0,000"</f>
        <v>0,000</v>
      </c>
      <c r="M1921" t="str">
        <f t="shared" si="1200"/>
        <v xml:space="preserve"> </v>
      </c>
      <c r="N1921" t="str">
        <f>"OSSCA"</f>
        <v>OSSCA</v>
      </c>
      <c r="O1921" t="str">
        <f>"GRIFO DE CALEFACCION"</f>
        <v>GRIFO DE CALEFACCION</v>
      </c>
      <c r="P1921" t="str">
        <f t="shared" si="1237"/>
        <v>0</v>
      </c>
      <c r="Q1921" t="str">
        <f t="shared" si="1237"/>
        <v>0</v>
      </c>
      <c r="R1921" t="str">
        <f t="shared" si="1238"/>
        <v>0,00</v>
      </c>
      <c r="S1921" t="str">
        <f t="shared" si="1238"/>
        <v>0,00</v>
      </c>
      <c r="T1921" t="str">
        <f t="shared" si="1242"/>
        <v xml:space="preserve"> </v>
      </c>
      <c r="U1921" t="str">
        <f t="shared" si="1224"/>
        <v xml:space="preserve"> </v>
      </c>
      <c r="V1921" t="str">
        <f>"0,000"</f>
        <v>0,000</v>
      </c>
      <c r="W1921" t="str">
        <f t="shared" si="1201"/>
        <v>Lista 4</v>
      </c>
      <c r="X1921" t="str">
        <f t="shared" si="1202"/>
        <v>Lista 5</v>
      </c>
      <c r="Y1921" t="str">
        <f t="shared" si="1203"/>
        <v>Oferta Gral.</v>
      </c>
      <c r="Z1921" t="str">
        <f t="shared" si="1204"/>
        <v>Rubro</v>
      </c>
      <c r="AA1921" t="str">
        <f t="shared" si="1205"/>
        <v>Cantidad por Bulto</v>
      </c>
      <c r="AB1921" t="str">
        <f t="shared" si="1206"/>
        <v>INNER</v>
      </c>
      <c r="AC1921" t="str">
        <f t="shared" si="1207"/>
        <v>Stock en Bultos</v>
      </c>
      <c r="AD1921" t="str">
        <f t="shared" si="1208"/>
        <v>SubDepósito</v>
      </c>
      <c r="AE1921" t="str">
        <f t="shared" si="1209"/>
        <v>Marca</v>
      </c>
      <c r="AF1921" t="str">
        <f t="shared" si="1210"/>
        <v>Super Rubro</v>
      </c>
      <c r="AG1921" t="str">
        <f t="shared" si="1211"/>
        <v>ComercioExterior</v>
      </c>
      <c r="AH1921" t="str">
        <f t="shared" si="1212"/>
        <v>PrecioFOB</v>
      </c>
      <c r="AI1921" t="str">
        <f t="shared" si="1213"/>
        <v>Monto II</v>
      </c>
      <c r="AJ1921" t="str">
        <f t="shared" si="1214"/>
        <v>Porcentaje II</v>
      </c>
      <c r="AK1921" t="str">
        <f t="shared" si="1215"/>
        <v>Foto</v>
      </c>
      <c r="AL1921" t="str">
        <f>"{\rtf1\ansi\ansicpg1252\deff0\deflang11274{\fonttbl{\f0\fnil\fcharset0 MS Sans Serif}} \viewkind4\uc1\pard\f0\fs16 GRIFO DE CALEFACCION CORSA VECTRA SILVERADO\par } "</f>
        <v xml:space="preserve">{\rtf1\ansi\ansicpg1252\deff0\deflang11274{\fonttbl{\f0\fnil\fcharset0 MS Sans Serif}} \viewkind4\uc1\pard\f0\fs16 GRIFO DE CALEFACCION CORSA VECTRA SILVERADO\par } </v>
      </c>
      <c r="AM1921" t="str">
        <f>"-"</f>
        <v>-</v>
      </c>
    </row>
    <row r="1922" spans="1:39" x14ac:dyDescent="0.25">
      <c r="A1922" t="str">
        <f>"M1026"</f>
        <v>M1026</v>
      </c>
      <c r="B1922" t="str">
        <f>"HYUNDAI ACCENT/ELANTRA 1.6 09.03, NISSAN, ASTRA G 1.2 16V 02.98-09.00 - CORSA"</f>
        <v>HYUNDAI ACCENT/ELANTRA 1.6 09.03, NISSAN, ASTRA G 1.2 16V 02.98-09.00 - CORSA</v>
      </c>
      <c r="C1922" t="str">
        <f>"$ 15799,20"</f>
        <v>$ 15799,20</v>
      </c>
      <c r="D1922" t="str">
        <f>"$ 15799,20"</f>
        <v>$ 15799,20</v>
      </c>
      <c r="E1922" t="str">
        <f>"$ 15799,20"</f>
        <v>$ 15799,20</v>
      </c>
      <c r="F1922" t="str">
        <f>"$ 15799,20"</f>
        <v>$ 15799,20</v>
      </c>
      <c r="G1922" t="str">
        <f>"$ 15799,20"</f>
        <v>$ 15799,20</v>
      </c>
      <c r="H1922" t="str">
        <f t="shared" si="1198"/>
        <v>$ 0,00</v>
      </c>
      <c r="I1922" t="str">
        <f>"SENSOR MARIPOSA TPS"</f>
        <v>SENSOR MARIPOSA TPS</v>
      </c>
      <c r="J1922" t="str">
        <f t="shared" si="1199"/>
        <v>1</v>
      </c>
      <c r="K1922" t="str">
        <f t="shared" si="1227"/>
        <v>0</v>
      </c>
      <c r="L1922" t="str">
        <f>"3,000"</f>
        <v>3,000</v>
      </c>
      <c r="M1922" t="str">
        <f t="shared" si="1200"/>
        <v xml:space="preserve"> </v>
      </c>
      <c r="N1922" t="str">
        <f>"FISPA"</f>
        <v>FISPA</v>
      </c>
      <c r="O1922" t="str">
        <f>"SENSORES"</f>
        <v>SENSORES</v>
      </c>
      <c r="P1922" t="str">
        <f t="shared" si="1237"/>
        <v>0</v>
      </c>
      <c r="Q1922" t="str">
        <f t="shared" si="1237"/>
        <v>0</v>
      </c>
      <c r="R1922" t="str">
        <f t="shared" si="1238"/>
        <v>0,00</v>
      </c>
      <c r="S1922" t="str">
        <f t="shared" si="1238"/>
        <v>0,00</v>
      </c>
      <c r="T1922" t="str">
        <f t="shared" si="1242"/>
        <v xml:space="preserve"> </v>
      </c>
      <c r="U1922" t="str">
        <f t="shared" si="1224"/>
        <v xml:space="preserve"> </v>
      </c>
      <c r="V1922" t="str">
        <f>"3,000"</f>
        <v>3,000</v>
      </c>
      <c r="W1922" t="str">
        <f t="shared" si="1201"/>
        <v>Lista 4</v>
      </c>
      <c r="X1922" t="str">
        <f t="shared" si="1202"/>
        <v>Lista 5</v>
      </c>
      <c r="Y1922" t="str">
        <f t="shared" si="1203"/>
        <v>Oferta Gral.</v>
      </c>
      <c r="Z1922" t="str">
        <f t="shared" si="1204"/>
        <v>Rubro</v>
      </c>
      <c r="AA1922" t="str">
        <f t="shared" si="1205"/>
        <v>Cantidad por Bulto</v>
      </c>
      <c r="AB1922" t="str">
        <f t="shared" si="1206"/>
        <v>INNER</v>
      </c>
      <c r="AC1922" t="str">
        <f t="shared" si="1207"/>
        <v>Stock en Bultos</v>
      </c>
      <c r="AD1922" t="str">
        <f t="shared" si="1208"/>
        <v>SubDepósito</v>
      </c>
      <c r="AE1922" t="str">
        <f t="shared" si="1209"/>
        <v>Marca</v>
      </c>
      <c r="AF1922" t="str">
        <f t="shared" si="1210"/>
        <v>Super Rubro</v>
      </c>
      <c r="AG1922" t="str">
        <f t="shared" si="1211"/>
        <v>ComercioExterior</v>
      </c>
      <c r="AH1922" t="str">
        <f t="shared" si="1212"/>
        <v>PrecioFOB</v>
      </c>
      <c r="AI1922" t="str">
        <f t="shared" si="1213"/>
        <v>Monto II</v>
      </c>
      <c r="AJ1922" t="str">
        <f t="shared" si="1214"/>
        <v>Porcentaje II</v>
      </c>
      <c r="AK1922" t="str">
        <f t="shared" si="1215"/>
        <v>Foto</v>
      </c>
      <c r="AL19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22" t="str">
        <f>"-"</f>
        <v>-</v>
      </c>
    </row>
    <row r="1923" spans="1:39" x14ac:dyDescent="0.25">
      <c r="A1923" t="str">
        <f>"FIICD00110"</f>
        <v>FIICD00110</v>
      </c>
      <c r="B1923" t="str">
        <f>"INYECTOR CHEVROLET CORSA 1.6 MPFI 1996 EN ADELANTE"</f>
        <v>INYECTOR CHEVROLET CORSA 1.6 MPFI 1996 EN ADELANTE</v>
      </c>
      <c r="C1923" t="str">
        <f>"$ 38349,51"</f>
        <v>$ 38349,51</v>
      </c>
      <c r="D1923" t="str">
        <f>"$ 38349,51"</f>
        <v>$ 38349,51</v>
      </c>
      <c r="E1923" t="str">
        <f>"$ 38349,51"</f>
        <v>$ 38349,51</v>
      </c>
      <c r="F1923" t="str">
        <f>"$ 15887,61"</f>
        <v>$ 15887,61</v>
      </c>
      <c r="G1923" t="str">
        <f>"$ 15887,61"</f>
        <v>$ 15887,61</v>
      </c>
      <c r="H1923" t="str">
        <f t="shared" ref="H1923:H1986" si="1243">"$ 0,00"</f>
        <v>$ 0,00</v>
      </c>
      <c r="I1923" t="str">
        <f t="shared" ref="I1923:I1954" si="1244">"INYECTORES NAFTA"</f>
        <v>INYECTORES NAFTA</v>
      </c>
      <c r="J1923" t="str">
        <f t="shared" ref="J1923:J1986" si="1245">"1"</f>
        <v>1</v>
      </c>
      <c r="K1923" t="str">
        <f t="shared" si="1227"/>
        <v>0</v>
      </c>
      <c r="L1923" t="str">
        <f>"12,000"</f>
        <v>12,000</v>
      </c>
      <c r="M1923" t="str">
        <f t="shared" ref="M1923:M1986" si="1246">" "</f>
        <v xml:space="preserve"> </v>
      </c>
      <c r="N1923" t="str">
        <f>"FISPA"</f>
        <v>FISPA</v>
      </c>
      <c r="O1923" t="str">
        <f t="shared" ref="O1923:O1954" si="1247">"INYECTORES"</f>
        <v>INYECTORES</v>
      </c>
      <c r="P1923" t="str">
        <f t="shared" ref="P1923:Q1942" si="1248">"0"</f>
        <v>0</v>
      </c>
      <c r="Q1923" t="str">
        <f t="shared" si="1248"/>
        <v>0</v>
      </c>
      <c r="R1923" t="str">
        <f t="shared" ref="R1923:S1942" si="1249">"0,00"</f>
        <v>0,00</v>
      </c>
      <c r="S1923" t="str">
        <f t="shared" si="1249"/>
        <v>0,00</v>
      </c>
      <c r="T1923" t="str">
        <f t="shared" si="1242"/>
        <v xml:space="preserve"> </v>
      </c>
      <c r="U1923" t="str">
        <f t="shared" si="1224"/>
        <v xml:space="preserve"> </v>
      </c>
      <c r="V1923" t="str">
        <f>"12,000"</f>
        <v>12,000</v>
      </c>
      <c r="W1923" t="str">
        <f t="shared" ref="W1923:W1986" si="1250">"Lista 4"</f>
        <v>Lista 4</v>
      </c>
      <c r="X1923" t="str">
        <f t="shared" ref="X1923:X1986" si="1251">"Lista 5"</f>
        <v>Lista 5</v>
      </c>
      <c r="Y1923" t="str">
        <f t="shared" ref="Y1923:Y1986" si="1252">"Oferta Gral."</f>
        <v>Oferta Gral.</v>
      </c>
      <c r="Z1923" t="str">
        <f t="shared" ref="Z1923:Z1986" si="1253">"Rubro"</f>
        <v>Rubro</v>
      </c>
      <c r="AA1923" t="str">
        <f t="shared" ref="AA1923:AA1986" si="1254">"Cantidad por Bulto"</f>
        <v>Cantidad por Bulto</v>
      </c>
      <c r="AB1923" t="str">
        <f t="shared" ref="AB1923:AB1986" si="1255">"INNER"</f>
        <v>INNER</v>
      </c>
      <c r="AC1923" t="str">
        <f t="shared" ref="AC1923:AC1986" si="1256">"Stock en Bultos"</f>
        <v>Stock en Bultos</v>
      </c>
      <c r="AD1923" t="str">
        <f t="shared" ref="AD1923:AD1986" si="1257">"SubDepósito"</f>
        <v>SubDepósito</v>
      </c>
      <c r="AE1923" t="str">
        <f t="shared" ref="AE1923:AE1986" si="1258">"Marca"</f>
        <v>Marca</v>
      </c>
      <c r="AF1923" t="str">
        <f t="shared" ref="AF1923:AF1986" si="1259">"Super Rubro"</f>
        <v>Super Rubro</v>
      </c>
      <c r="AG1923" t="str">
        <f t="shared" ref="AG1923:AG1986" si="1260">"ComercioExterior"</f>
        <v>ComercioExterior</v>
      </c>
      <c r="AH1923" t="str">
        <f t="shared" ref="AH1923:AH1986" si="1261">"PrecioFOB"</f>
        <v>PrecioFOB</v>
      </c>
      <c r="AI1923" t="str">
        <f t="shared" ref="AI1923:AI1986" si="1262">"Monto II"</f>
        <v>Monto II</v>
      </c>
      <c r="AJ1923" t="str">
        <f t="shared" ref="AJ1923:AJ1986" si="1263">"Porcentaje II"</f>
        <v>Porcentaje II</v>
      </c>
      <c r="AK1923" t="str">
        <f t="shared" ref="AK1923:AK1986" si="1264">"Foto"</f>
        <v>Foto</v>
      </c>
      <c r="AL192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923" t="str">
        <f>" "</f>
        <v xml:space="preserve"> </v>
      </c>
    </row>
    <row r="1924" spans="1:39" x14ac:dyDescent="0.25">
      <c r="A1924" t="str">
        <f>"0280156090"</f>
        <v>0280156090</v>
      </c>
      <c r="B1924" t="str">
        <f>"INYECTOR CHEVROLET CORSA SISTEMA BOSCH"</f>
        <v>INYECTOR CHEVROLET CORSA SISTEMA BOSCH</v>
      </c>
      <c r="C1924" t="str">
        <f>"$ 51554,52"</f>
        <v>$ 51554,52</v>
      </c>
      <c r="D1924" t="str">
        <f>"$ 51554,52"</f>
        <v>$ 51554,52</v>
      </c>
      <c r="E1924" t="str">
        <f>"$ 51554,52"</f>
        <v>$ 51554,52</v>
      </c>
      <c r="F1924" t="str">
        <f>"$ 51554,52"</f>
        <v>$ 51554,52</v>
      </c>
      <c r="G1924" t="str">
        <f>"$ 51554,52"</f>
        <v>$ 51554,52</v>
      </c>
      <c r="H1924" t="str">
        <f t="shared" si="1243"/>
        <v>$ 0,00</v>
      </c>
      <c r="I1924" t="str">
        <f t="shared" si="1244"/>
        <v>INYECTORES NAFTA</v>
      </c>
      <c r="J1924" t="str">
        <f t="shared" si="1245"/>
        <v>1</v>
      </c>
      <c r="K1924" t="str">
        <f t="shared" si="1227"/>
        <v>0</v>
      </c>
      <c r="L1924" t="str">
        <f>"0,000"</f>
        <v>0,000</v>
      </c>
      <c r="M1924" t="str">
        <f t="shared" si="1246"/>
        <v xml:space="preserve"> </v>
      </c>
      <c r="N1924" t="str">
        <f>"REGITAR"</f>
        <v>REGITAR</v>
      </c>
      <c r="O1924" t="str">
        <f t="shared" si="1247"/>
        <v>INYECTORES</v>
      </c>
      <c r="P1924" t="str">
        <f t="shared" si="1248"/>
        <v>0</v>
      </c>
      <c r="Q1924" t="str">
        <f t="shared" si="1248"/>
        <v>0</v>
      </c>
      <c r="R1924" t="str">
        <f t="shared" si="1249"/>
        <v>0,00</v>
      </c>
      <c r="S1924" t="str">
        <f t="shared" si="1249"/>
        <v>0,00</v>
      </c>
      <c r="T1924" t="str">
        <f t="shared" si="1242"/>
        <v xml:space="preserve"> </v>
      </c>
      <c r="U1924" t="str">
        <f t="shared" si="1224"/>
        <v xml:space="preserve"> </v>
      </c>
      <c r="V1924" t="str">
        <f>"0,000"</f>
        <v>0,000</v>
      </c>
      <c r="W1924" t="str">
        <f t="shared" si="1250"/>
        <v>Lista 4</v>
      </c>
      <c r="X1924" t="str">
        <f t="shared" si="1251"/>
        <v>Lista 5</v>
      </c>
      <c r="Y1924" t="str">
        <f t="shared" si="1252"/>
        <v>Oferta Gral.</v>
      </c>
      <c r="Z1924" t="str">
        <f t="shared" si="1253"/>
        <v>Rubro</v>
      </c>
      <c r="AA1924" t="str">
        <f t="shared" si="1254"/>
        <v>Cantidad por Bulto</v>
      </c>
      <c r="AB1924" t="str">
        <f t="shared" si="1255"/>
        <v>INNER</v>
      </c>
      <c r="AC1924" t="str">
        <f t="shared" si="1256"/>
        <v>Stock en Bultos</v>
      </c>
      <c r="AD1924" t="str">
        <f t="shared" si="1257"/>
        <v>SubDepósito</v>
      </c>
      <c r="AE1924" t="str">
        <f t="shared" si="1258"/>
        <v>Marca</v>
      </c>
      <c r="AF1924" t="str">
        <f t="shared" si="1259"/>
        <v>Super Rubro</v>
      </c>
      <c r="AG1924" t="str">
        <f t="shared" si="1260"/>
        <v>ComercioExterior</v>
      </c>
      <c r="AH1924" t="str">
        <f t="shared" si="1261"/>
        <v>PrecioFOB</v>
      </c>
      <c r="AI1924" t="str">
        <f t="shared" si="1262"/>
        <v>Monto II</v>
      </c>
      <c r="AJ1924" t="str">
        <f t="shared" si="1263"/>
        <v>Porcentaje II</v>
      </c>
      <c r="AK1924" t="str">
        <f t="shared" si="1264"/>
        <v>Foto</v>
      </c>
      <c r="AL1924" t="str">
        <f>"{\rtf1\ansi\ansicpg1252\deff0\deflang11274{\fonttbl{\f0\fnil\fcharset0 MS Sans Serif}} \viewkind4\uc1\pard\f0\fs16 INYECTOR CHEVROLET CORSA SISTEMA BOSCH\par } "</f>
        <v xml:space="preserve">{\rtf1\ansi\ansicpg1252\deff0\deflang11274{\fonttbl{\f0\fnil\fcharset0 MS Sans Serif}} \viewkind4\uc1\pard\f0\fs16 INYECTOR CHEVROLET CORSA SISTEMA BOSCH\par } </v>
      </c>
      <c r="AM1924" t="str">
        <f>" "</f>
        <v xml:space="preserve"> </v>
      </c>
    </row>
    <row r="1925" spans="1:39" x14ac:dyDescent="0.25">
      <c r="A1925" t="str">
        <f>"0280155929"</f>
        <v>0280155929</v>
      </c>
      <c r="B1925" t="str">
        <f>"INYECTOR DE COMBUSTIBLE CHEVROLET ASTRA ZAFIRA 1.8/2.0 TIPO BOSCH"</f>
        <v>INYECTOR DE COMBUSTIBLE CHEVROLET ASTRA ZAFIRA 1.8/2.0 TIPO BOSCH</v>
      </c>
      <c r="C1925" t="str">
        <f>"$ 52937,63"</f>
        <v>$ 52937,63</v>
      </c>
      <c r="D1925" t="str">
        <f>"$ 52937,63"</f>
        <v>$ 52937,63</v>
      </c>
      <c r="E1925" t="str">
        <f>"$ 52937,63"</f>
        <v>$ 52937,63</v>
      </c>
      <c r="F1925" t="str">
        <f>"$ 52937,63"</f>
        <v>$ 52937,63</v>
      </c>
      <c r="G1925" t="str">
        <f>"$ 52937,63"</f>
        <v>$ 52937,63</v>
      </c>
      <c r="H1925" t="str">
        <f t="shared" si="1243"/>
        <v>$ 0,00</v>
      </c>
      <c r="I1925" t="str">
        <f t="shared" si="1244"/>
        <v>INYECTORES NAFTA</v>
      </c>
      <c r="J1925" t="str">
        <f t="shared" si="1245"/>
        <v>1</v>
      </c>
      <c r="K1925" t="str">
        <f t="shared" si="1227"/>
        <v>0</v>
      </c>
      <c r="L1925" t="str">
        <f>"4,000"</f>
        <v>4,000</v>
      </c>
      <c r="M1925" t="str">
        <f t="shared" si="1246"/>
        <v xml:space="preserve"> </v>
      </c>
      <c r="N1925" t="str">
        <f>"REGITAR"</f>
        <v>REGITAR</v>
      </c>
      <c r="O1925" t="str">
        <f t="shared" si="1247"/>
        <v>INYECTORES</v>
      </c>
      <c r="P1925" t="str">
        <f t="shared" si="1248"/>
        <v>0</v>
      </c>
      <c r="Q1925" t="str">
        <f t="shared" si="1248"/>
        <v>0</v>
      </c>
      <c r="R1925" t="str">
        <f t="shared" si="1249"/>
        <v>0,00</v>
      </c>
      <c r="S1925" t="str">
        <f t="shared" si="1249"/>
        <v>0,00</v>
      </c>
      <c r="T1925" t="str">
        <f t="shared" si="1242"/>
        <v xml:space="preserve"> </v>
      </c>
      <c r="U1925" t="str">
        <f t="shared" si="1224"/>
        <v xml:space="preserve"> </v>
      </c>
      <c r="V1925" t="str">
        <f>"4,000"</f>
        <v>4,000</v>
      </c>
      <c r="W1925" t="str">
        <f t="shared" si="1250"/>
        <v>Lista 4</v>
      </c>
      <c r="X1925" t="str">
        <f t="shared" si="1251"/>
        <v>Lista 5</v>
      </c>
      <c r="Y1925" t="str">
        <f t="shared" si="1252"/>
        <v>Oferta Gral.</v>
      </c>
      <c r="Z1925" t="str">
        <f t="shared" si="1253"/>
        <v>Rubro</v>
      </c>
      <c r="AA1925" t="str">
        <f t="shared" si="1254"/>
        <v>Cantidad por Bulto</v>
      </c>
      <c r="AB1925" t="str">
        <f t="shared" si="1255"/>
        <v>INNER</v>
      </c>
      <c r="AC1925" t="str">
        <f t="shared" si="1256"/>
        <v>Stock en Bultos</v>
      </c>
      <c r="AD1925" t="str">
        <f t="shared" si="1257"/>
        <v>SubDepósito</v>
      </c>
      <c r="AE1925" t="str">
        <f t="shared" si="1258"/>
        <v>Marca</v>
      </c>
      <c r="AF1925" t="str">
        <f t="shared" si="1259"/>
        <v>Super Rubro</v>
      </c>
      <c r="AG1925" t="str">
        <f t="shared" si="1260"/>
        <v>ComercioExterior</v>
      </c>
      <c r="AH1925" t="str">
        <f t="shared" si="1261"/>
        <v>PrecioFOB</v>
      </c>
      <c r="AI1925" t="str">
        <f t="shared" si="1262"/>
        <v>Monto II</v>
      </c>
      <c r="AJ1925" t="str">
        <f t="shared" si="1263"/>
        <v>Porcentaje II</v>
      </c>
      <c r="AK1925" t="str">
        <f t="shared" si="1264"/>
        <v>Foto</v>
      </c>
      <c r="AL1925" t="str">
        <f>"{\rtf1\ansi\ansicpg1252\deff0\deflang11274{\fonttbl{\f0\fnil\fcharset0 MS Sans Serif}} \viewkind4\uc1\pard\f0\fs16 INYECTOR DE COMBUSTIBLE CHEVROLET ASTRA ZAFIRA 1.8/2.0 TIPO BOSCH\par } "</f>
        <v xml:space="preserve">{\rtf1\ansi\ansicpg1252\deff0\deflang11274{\fonttbl{\f0\fnil\fcharset0 MS Sans Serif}} \viewkind4\uc1\pard\f0\fs16 INYECTOR DE COMBUSTIBLE CHEVROLET ASTRA ZAFIRA 1.8/2.0 TIPO BOSCH\par } </v>
      </c>
      <c r="AM1925" t="str">
        <f>" "</f>
        <v xml:space="preserve"> </v>
      </c>
    </row>
    <row r="1926" spans="1:39" x14ac:dyDescent="0.25">
      <c r="A1926" t="str">
        <f>"0280155925"</f>
        <v>0280155925</v>
      </c>
      <c r="B1926" t="str">
        <f>"INYECTOR DE COMBUSTIBLE FORD FIESTA/KA 1.6 TIPO BOSCH"</f>
        <v>INYECTOR DE COMBUSTIBLE FORD FIESTA/KA 1.6 TIPO BOSCH</v>
      </c>
      <c r="C1926" t="str">
        <f>"$ 52884,84"</f>
        <v>$ 52884,84</v>
      </c>
      <c r="D1926" t="str">
        <f>"$ 52884,84"</f>
        <v>$ 52884,84</v>
      </c>
      <c r="E1926" t="str">
        <f>"$ 52884,84"</f>
        <v>$ 52884,84</v>
      </c>
      <c r="F1926" t="str">
        <f>"$ 52884,84"</f>
        <v>$ 52884,84</v>
      </c>
      <c r="G1926" t="str">
        <f>"$ 52884,84"</f>
        <v>$ 52884,84</v>
      </c>
      <c r="H1926" t="str">
        <f t="shared" si="1243"/>
        <v>$ 0,00</v>
      </c>
      <c r="I1926" t="str">
        <f t="shared" si="1244"/>
        <v>INYECTORES NAFTA</v>
      </c>
      <c r="J1926" t="str">
        <f t="shared" si="1245"/>
        <v>1</v>
      </c>
      <c r="K1926" t="str">
        <f t="shared" si="1227"/>
        <v>0</v>
      </c>
      <c r="L1926" t="str">
        <f>"9,000"</f>
        <v>9,000</v>
      </c>
      <c r="M1926" t="str">
        <f t="shared" si="1246"/>
        <v xml:space="preserve"> </v>
      </c>
      <c r="N1926" t="str">
        <f>"REGITAR"</f>
        <v>REGITAR</v>
      </c>
      <c r="O1926" t="str">
        <f t="shared" si="1247"/>
        <v>INYECTORES</v>
      </c>
      <c r="P1926" t="str">
        <f t="shared" si="1248"/>
        <v>0</v>
      </c>
      <c r="Q1926" t="str">
        <f t="shared" si="1248"/>
        <v>0</v>
      </c>
      <c r="R1926" t="str">
        <f t="shared" si="1249"/>
        <v>0,00</v>
      </c>
      <c r="S1926" t="str">
        <f t="shared" si="1249"/>
        <v>0,00</v>
      </c>
      <c r="T1926" t="str">
        <f t="shared" si="1242"/>
        <v xml:space="preserve"> </v>
      </c>
      <c r="U1926" t="str">
        <f t="shared" si="1224"/>
        <v xml:space="preserve"> </v>
      </c>
      <c r="V1926" t="str">
        <f>"9,000"</f>
        <v>9,000</v>
      </c>
      <c r="W1926" t="str">
        <f t="shared" si="1250"/>
        <v>Lista 4</v>
      </c>
      <c r="X1926" t="str">
        <f t="shared" si="1251"/>
        <v>Lista 5</v>
      </c>
      <c r="Y1926" t="str">
        <f t="shared" si="1252"/>
        <v>Oferta Gral.</v>
      </c>
      <c r="Z1926" t="str">
        <f t="shared" si="1253"/>
        <v>Rubro</v>
      </c>
      <c r="AA1926" t="str">
        <f t="shared" si="1254"/>
        <v>Cantidad por Bulto</v>
      </c>
      <c r="AB1926" t="str">
        <f t="shared" si="1255"/>
        <v>INNER</v>
      </c>
      <c r="AC1926" t="str">
        <f t="shared" si="1256"/>
        <v>Stock en Bultos</v>
      </c>
      <c r="AD1926" t="str">
        <f t="shared" si="1257"/>
        <v>SubDepósito</v>
      </c>
      <c r="AE1926" t="str">
        <f t="shared" si="1258"/>
        <v>Marca</v>
      </c>
      <c r="AF1926" t="str">
        <f t="shared" si="1259"/>
        <v>Super Rubro</v>
      </c>
      <c r="AG1926" t="str">
        <f t="shared" si="1260"/>
        <v>ComercioExterior</v>
      </c>
      <c r="AH1926" t="str">
        <f t="shared" si="1261"/>
        <v>PrecioFOB</v>
      </c>
      <c r="AI1926" t="str">
        <f t="shared" si="1262"/>
        <v>Monto II</v>
      </c>
      <c r="AJ1926" t="str">
        <f t="shared" si="1263"/>
        <v>Porcentaje II</v>
      </c>
      <c r="AK1926" t="str">
        <f t="shared" si="1264"/>
        <v>Foto</v>
      </c>
      <c r="AL1926" t="str">
        <f>"{\rtf1\ansi\ansicpg1252\deff0\deflang11274{\fonttbl{\f0\fnil\fcharset0 MS Sans Serif}} \viewkind4\uc1\pard\f0\fs16 INYECTOR DE COMBUSTIBLE FORD FIESTA/KA 1.6 TIPO BOSCH\par \par \par \par } "</f>
        <v xml:space="preserve">{\rtf1\ansi\ansicpg1252\deff0\deflang11274{\fonttbl{\f0\fnil\fcharset0 MS Sans Serif}} \viewkind4\uc1\pard\f0\fs16 INYECTOR DE COMBUSTIBLE FORD FIESTA/KA 1.6 TIPO BOSCH\par \par \par \par } </v>
      </c>
      <c r="AM1926" t="str">
        <f>" "</f>
        <v xml:space="preserve"> </v>
      </c>
    </row>
    <row r="1927" spans="1:39" x14ac:dyDescent="0.25">
      <c r="A1927" t="str">
        <f>"FIIWP065"</f>
        <v>FIIWP065</v>
      </c>
      <c r="B1927" t="str">
        <f>"INYECTOR FIAT PALIO SIENA PUNTO FIRE ARO VIOLETA TIPO MARELLI"</f>
        <v>INYECTOR FIAT PALIO SIENA PUNTO FIRE ARO VIOLETA TIPO MARELLI</v>
      </c>
      <c r="C1927" t="str">
        <f>"$ 28033,41"</f>
        <v>$ 28033,41</v>
      </c>
      <c r="D1927" t="str">
        <f>"$ 28033,41"</f>
        <v>$ 28033,41</v>
      </c>
      <c r="E1927" t="str">
        <f>"$ 28033,41"</f>
        <v>$ 28033,41</v>
      </c>
      <c r="F1927" t="str">
        <f>"$ 11613,81"</f>
        <v>$ 11613,81</v>
      </c>
      <c r="G1927" t="str">
        <f>"$ 11613,81"</f>
        <v>$ 11613,81</v>
      </c>
      <c r="H1927" t="str">
        <f t="shared" si="1243"/>
        <v>$ 0,00</v>
      </c>
      <c r="I1927" t="str">
        <f t="shared" si="1244"/>
        <v>INYECTORES NAFTA</v>
      </c>
      <c r="J1927" t="str">
        <f t="shared" si="1245"/>
        <v>1</v>
      </c>
      <c r="K1927" t="str">
        <f t="shared" si="1227"/>
        <v>0</v>
      </c>
      <c r="L1927" t="str">
        <f>"16,000"</f>
        <v>16,000</v>
      </c>
      <c r="M1927" t="str">
        <f t="shared" si="1246"/>
        <v xml:space="preserve"> </v>
      </c>
      <c r="N1927" t="str">
        <f>"FISPA"</f>
        <v>FISPA</v>
      </c>
      <c r="O1927" t="str">
        <f t="shared" si="1247"/>
        <v>INYECTORES</v>
      </c>
      <c r="P1927" t="str">
        <f t="shared" si="1248"/>
        <v>0</v>
      </c>
      <c r="Q1927" t="str">
        <f t="shared" si="1248"/>
        <v>0</v>
      </c>
      <c r="R1927" t="str">
        <f t="shared" si="1249"/>
        <v>0,00</v>
      </c>
      <c r="S1927" t="str">
        <f t="shared" si="1249"/>
        <v>0,00</v>
      </c>
      <c r="T1927" t="str">
        <f t="shared" si="1242"/>
        <v xml:space="preserve"> </v>
      </c>
      <c r="U1927" t="str">
        <f t="shared" si="1224"/>
        <v xml:space="preserve"> </v>
      </c>
      <c r="V1927" t="str">
        <f>"16,000"</f>
        <v>16,000</v>
      </c>
      <c r="W1927" t="str">
        <f t="shared" si="1250"/>
        <v>Lista 4</v>
      </c>
      <c r="X1927" t="str">
        <f t="shared" si="1251"/>
        <v>Lista 5</v>
      </c>
      <c r="Y1927" t="str">
        <f t="shared" si="1252"/>
        <v>Oferta Gral.</v>
      </c>
      <c r="Z1927" t="str">
        <f t="shared" si="1253"/>
        <v>Rubro</v>
      </c>
      <c r="AA1927" t="str">
        <f t="shared" si="1254"/>
        <v>Cantidad por Bulto</v>
      </c>
      <c r="AB1927" t="str">
        <f t="shared" si="1255"/>
        <v>INNER</v>
      </c>
      <c r="AC1927" t="str">
        <f t="shared" si="1256"/>
        <v>Stock en Bultos</v>
      </c>
      <c r="AD1927" t="str">
        <f t="shared" si="1257"/>
        <v>SubDepósito</v>
      </c>
      <c r="AE1927" t="str">
        <f t="shared" si="1258"/>
        <v>Marca</v>
      </c>
      <c r="AF1927" t="str">
        <f t="shared" si="1259"/>
        <v>Super Rubro</v>
      </c>
      <c r="AG1927" t="str">
        <f t="shared" si="1260"/>
        <v>ComercioExterior</v>
      </c>
      <c r="AH1927" t="str">
        <f t="shared" si="1261"/>
        <v>PrecioFOB</v>
      </c>
      <c r="AI1927" t="str">
        <f t="shared" si="1262"/>
        <v>Monto II</v>
      </c>
      <c r="AJ1927" t="str">
        <f t="shared" si="1263"/>
        <v>Porcentaje II</v>
      </c>
      <c r="AK1927" t="str">
        <f t="shared" si="1264"/>
        <v>Foto</v>
      </c>
      <c r="AL192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927" t="str">
        <f>" "</f>
        <v xml:space="preserve"> </v>
      </c>
    </row>
    <row r="1928" spans="1:39" x14ac:dyDescent="0.25">
      <c r="A1928" t="str">
        <f>"IWM52300"</f>
        <v>IWM52300</v>
      </c>
      <c r="B1928" t="str">
        <f>"INYECTOR FIAT PALIO UNO SPI / RENAULT TWINGO 1300 MONOPUNTO MARELLI NARANJA "</f>
        <v xml:space="preserve">INYECTOR FIAT PALIO UNO SPI / RENAULT TWINGO 1300 MONOPUNTO MARELLI NARANJA </v>
      </c>
      <c r="C1928" t="str">
        <f>"$ 47553,07"</f>
        <v>$ 47553,07</v>
      </c>
      <c r="D1928" t="str">
        <f>"$ 47553,07"</f>
        <v>$ 47553,07</v>
      </c>
      <c r="E1928" t="str">
        <f>"$ 47553,07"</f>
        <v>$ 47553,07</v>
      </c>
      <c r="F1928" t="str">
        <f>"$ 47553,07"</f>
        <v>$ 47553,07</v>
      </c>
      <c r="G1928" t="str">
        <f>"$ 47553,07"</f>
        <v>$ 47553,07</v>
      </c>
      <c r="H1928" t="str">
        <f t="shared" si="1243"/>
        <v>$ 0,00</v>
      </c>
      <c r="I1928" t="str">
        <f t="shared" si="1244"/>
        <v>INYECTORES NAFTA</v>
      </c>
      <c r="J1928" t="str">
        <f t="shared" si="1245"/>
        <v>1</v>
      </c>
      <c r="K1928" t="str">
        <f t="shared" si="1227"/>
        <v>0</v>
      </c>
      <c r="L1928" t="str">
        <f>"6,000"</f>
        <v>6,000</v>
      </c>
      <c r="M1928" t="str">
        <f t="shared" si="1246"/>
        <v xml:space="preserve"> </v>
      </c>
      <c r="N1928" t="str">
        <f t="shared" ref="N1928:N1973" si="1265">"REGITAR"</f>
        <v>REGITAR</v>
      </c>
      <c r="O1928" t="str">
        <f t="shared" si="1247"/>
        <v>INYECTORES</v>
      </c>
      <c r="P1928" t="str">
        <f t="shared" si="1248"/>
        <v>0</v>
      </c>
      <c r="Q1928" t="str">
        <f t="shared" si="1248"/>
        <v>0</v>
      </c>
      <c r="R1928" t="str">
        <f t="shared" si="1249"/>
        <v>0,00</v>
      </c>
      <c r="S1928" t="str">
        <f t="shared" si="1249"/>
        <v>0,00</v>
      </c>
      <c r="T1928" t="str">
        <f t="shared" si="1242"/>
        <v xml:space="preserve"> </v>
      </c>
      <c r="U1928" t="str">
        <f t="shared" si="1224"/>
        <v xml:space="preserve"> </v>
      </c>
      <c r="V1928" t="str">
        <f>"6,000"</f>
        <v>6,000</v>
      </c>
      <c r="W1928" t="str">
        <f t="shared" si="1250"/>
        <v>Lista 4</v>
      </c>
      <c r="X1928" t="str">
        <f t="shared" si="1251"/>
        <v>Lista 5</v>
      </c>
      <c r="Y1928" t="str">
        <f t="shared" si="1252"/>
        <v>Oferta Gral.</v>
      </c>
      <c r="Z1928" t="str">
        <f t="shared" si="1253"/>
        <v>Rubro</v>
      </c>
      <c r="AA1928" t="str">
        <f t="shared" si="1254"/>
        <v>Cantidad por Bulto</v>
      </c>
      <c r="AB1928" t="str">
        <f t="shared" si="1255"/>
        <v>INNER</v>
      </c>
      <c r="AC1928" t="str">
        <f t="shared" si="1256"/>
        <v>Stock en Bultos</v>
      </c>
      <c r="AD1928" t="str">
        <f t="shared" si="1257"/>
        <v>SubDepósito</v>
      </c>
      <c r="AE1928" t="str">
        <f t="shared" si="1258"/>
        <v>Marca</v>
      </c>
      <c r="AF1928" t="str">
        <f t="shared" si="1259"/>
        <v>Super Rubro</v>
      </c>
      <c r="AG1928" t="str">
        <f t="shared" si="1260"/>
        <v>ComercioExterior</v>
      </c>
      <c r="AH1928" t="str">
        <f t="shared" si="1261"/>
        <v>PrecioFOB</v>
      </c>
      <c r="AI1928" t="str">
        <f t="shared" si="1262"/>
        <v>Monto II</v>
      </c>
      <c r="AJ1928" t="str">
        <f t="shared" si="1263"/>
        <v>Porcentaje II</v>
      </c>
      <c r="AK1928" t="str">
        <f t="shared" si="1264"/>
        <v>Foto</v>
      </c>
      <c r="AL1928" t="str">
        <f>"{\rtf1\ansi\ansicpg1252\deff0\deflang11274{\fonttbl{\f0\fnil\fcharset0 MS Sans Serif}} \viewkind4\uc1\pard\f0\fs16 INYECTOR FIAT PALIO UNO SPI / RENAULT TWINGO 1300 MONOPUNTO MARELLI NARANJA \par } "</f>
        <v xml:space="preserve">{\rtf1\ansi\ansicpg1252\deff0\deflang11274{\fonttbl{\f0\fnil\fcharset0 MS Sans Serif}} \viewkind4\uc1\pard\f0\fs16 INYECTOR FIAT PALIO UNO SPI / RENAULT TWINGO 1300 MONOPUNTO MARELLI NARANJA \par } </v>
      </c>
      <c r="AM1928" t="str">
        <f>"-"</f>
        <v>-</v>
      </c>
    </row>
    <row r="1929" spans="1:39" x14ac:dyDescent="0.25">
      <c r="A1929" t="str">
        <f>"0280155870"</f>
        <v>0280155870</v>
      </c>
      <c r="B1929" t="str">
        <f>"INYECTOR NAFTA AUDI - VOLVO - XIALI - GREELY (NEGRO)"</f>
        <v>INYECTOR NAFTA AUDI - VOLVO - XIALI - GREELY (NEGRO)</v>
      </c>
      <c r="C1929" t="str">
        <f>"$ 47046,27"</f>
        <v>$ 47046,27</v>
      </c>
      <c r="D1929" t="str">
        <f>"$ 47046,27"</f>
        <v>$ 47046,27</v>
      </c>
      <c r="E1929" t="str">
        <f>"$ 47046,27"</f>
        <v>$ 47046,27</v>
      </c>
      <c r="F1929" t="str">
        <f>"$ 47046,27"</f>
        <v>$ 47046,27</v>
      </c>
      <c r="G1929" t="str">
        <f>"$ 47046,27"</f>
        <v>$ 47046,27</v>
      </c>
      <c r="H1929" t="str">
        <f t="shared" si="1243"/>
        <v>$ 0,00</v>
      </c>
      <c r="I1929" t="str">
        <f t="shared" si="1244"/>
        <v>INYECTORES NAFTA</v>
      </c>
      <c r="J1929" t="str">
        <f t="shared" si="1245"/>
        <v>1</v>
      </c>
      <c r="K1929" t="str">
        <f t="shared" si="1227"/>
        <v>0</v>
      </c>
      <c r="L1929" t="str">
        <f>"0,000"</f>
        <v>0,000</v>
      </c>
      <c r="M1929" t="str">
        <f t="shared" si="1246"/>
        <v xml:space="preserve"> </v>
      </c>
      <c r="N1929" t="str">
        <f t="shared" si="1265"/>
        <v>REGITAR</v>
      </c>
      <c r="O1929" t="str">
        <f t="shared" si="1247"/>
        <v>INYECTORES</v>
      </c>
      <c r="P1929" t="str">
        <f t="shared" si="1248"/>
        <v>0</v>
      </c>
      <c r="Q1929" t="str">
        <f t="shared" si="1248"/>
        <v>0</v>
      </c>
      <c r="R1929" t="str">
        <f t="shared" si="1249"/>
        <v>0,00</v>
      </c>
      <c r="S1929" t="str">
        <f t="shared" si="1249"/>
        <v>0,00</v>
      </c>
      <c r="T1929" t="str">
        <f t="shared" si="1242"/>
        <v xml:space="preserve"> </v>
      </c>
      <c r="U1929" t="str">
        <f t="shared" si="1224"/>
        <v xml:space="preserve"> </v>
      </c>
      <c r="V1929" t="str">
        <f>"0,000"</f>
        <v>0,000</v>
      </c>
      <c r="W1929" t="str">
        <f t="shared" si="1250"/>
        <v>Lista 4</v>
      </c>
      <c r="X1929" t="str">
        <f t="shared" si="1251"/>
        <v>Lista 5</v>
      </c>
      <c r="Y1929" t="str">
        <f t="shared" si="1252"/>
        <v>Oferta Gral.</v>
      </c>
      <c r="Z1929" t="str">
        <f t="shared" si="1253"/>
        <v>Rubro</v>
      </c>
      <c r="AA1929" t="str">
        <f t="shared" si="1254"/>
        <v>Cantidad por Bulto</v>
      </c>
      <c r="AB1929" t="str">
        <f t="shared" si="1255"/>
        <v>INNER</v>
      </c>
      <c r="AC1929" t="str">
        <f t="shared" si="1256"/>
        <v>Stock en Bultos</v>
      </c>
      <c r="AD1929" t="str">
        <f t="shared" si="1257"/>
        <v>SubDepósito</v>
      </c>
      <c r="AE1929" t="str">
        <f t="shared" si="1258"/>
        <v>Marca</v>
      </c>
      <c r="AF1929" t="str">
        <f t="shared" si="1259"/>
        <v>Super Rubro</v>
      </c>
      <c r="AG1929" t="str">
        <f t="shared" si="1260"/>
        <v>ComercioExterior</v>
      </c>
      <c r="AH1929" t="str">
        <f t="shared" si="1261"/>
        <v>PrecioFOB</v>
      </c>
      <c r="AI1929" t="str">
        <f t="shared" si="1262"/>
        <v>Monto II</v>
      </c>
      <c r="AJ1929" t="str">
        <f t="shared" si="1263"/>
        <v>Porcentaje II</v>
      </c>
      <c r="AK1929" t="str">
        <f t="shared" si="1264"/>
        <v>Foto</v>
      </c>
      <c r="AL1929" t="str">
        <f>"{\rtf1\ansi\ansicpg1252\deff0\deflang11274{\fonttbl{\f0\fnil\fcharset0 MS Sans Serif}} \viewkind4\uc1\pard\f0\fs16 INYECTOR NAFTA AUDI - VOLVO - XIALI - GREELY (NEGRO)\par } "</f>
        <v xml:space="preserve">{\rtf1\ansi\ansicpg1252\deff0\deflang11274{\fonttbl{\f0\fnil\fcharset0 MS Sans Serif}} \viewkind4\uc1\pard\f0\fs16 INYECTOR NAFTA AUDI - VOLVO - XIALI - GREELY (NEGRO)\par } </v>
      </c>
      <c r="AM1929" t="str">
        <f>"-"</f>
        <v>-</v>
      </c>
    </row>
    <row r="1930" spans="1:39" x14ac:dyDescent="0.25">
      <c r="A1930" t="str">
        <f>"17109450"</f>
        <v>17109450</v>
      </c>
      <c r="B1930" t="str">
        <f>"INYECTOR NAFTA CHEVROLET CORSA - DAEWOO ESPERO 17109450 (ARO VERDE)"</f>
        <v>INYECTOR NAFTA CHEVROLET CORSA - DAEWOO ESPERO 17109450 (ARO VERDE)</v>
      </c>
      <c r="C1930" t="str">
        <f>"$ 52969,30"</f>
        <v>$ 52969,30</v>
      </c>
      <c r="D1930" t="str">
        <f>"$ 52969,30"</f>
        <v>$ 52969,30</v>
      </c>
      <c r="E1930" t="str">
        <f>"$ 52969,30"</f>
        <v>$ 52969,30</v>
      </c>
      <c r="F1930" t="str">
        <f>"$ 52969,30"</f>
        <v>$ 52969,30</v>
      </c>
      <c r="G1930" t="str">
        <f>"$ 52969,30"</f>
        <v>$ 52969,30</v>
      </c>
      <c r="H1930" t="str">
        <f t="shared" si="1243"/>
        <v>$ 0,00</v>
      </c>
      <c r="I1930" t="str">
        <f t="shared" si="1244"/>
        <v>INYECTORES NAFTA</v>
      </c>
      <c r="J1930" t="str">
        <f t="shared" si="1245"/>
        <v>1</v>
      </c>
      <c r="K1930" t="str">
        <f t="shared" si="1227"/>
        <v>0</v>
      </c>
      <c r="L1930" t="str">
        <f>"-2,000"</f>
        <v>-2,000</v>
      </c>
      <c r="M1930" t="str">
        <f t="shared" si="1246"/>
        <v xml:space="preserve"> </v>
      </c>
      <c r="N1930" t="str">
        <f t="shared" si="1265"/>
        <v>REGITAR</v>
      </c>
      <c r="O1930" t="str">
        <f t="shared" si="1247"/>
        <v>INYECTORES</v>
      </c>
      <c r="P1930" t="str">
        <f t="shared" si="1248"/>
        <v>0</v>
      </c>
      <c r="Q1930" t="str">
        <f t="shared" si="1248"/>
        <v>0</v>
      </c>
      <c r="R1930" t="str">
        <f t="shared" si="1249"/>
        <v>0,00</v>
      </c>
      <c r="S1930" t="str">
        <f t="shared" si="1249"/>
        <v>0,00</v>
      </c>
      <c r="T1930" t="str">
        <f t="shared" si="1242"/>
        <v xml:space="preserve"> </v>
      </c>
      <c r="U1930" t="str">
        <f t="shared" si="1224"/>
        <v xml:space="preserve"> </v>
      </c>
      <c r="V1930" t="str">
        <f>"-2,000"</f>
        <v>-2,000</v>
      </c>
      <c r="W1930" t="str">
        <f t="shared" si="1250"/>
        <v>Lista 4</v>
      </c>
      <c r="X1930" t="str">
        <f t="shared" si="1251"/>
        <v>Lista 5</v>
      </c>
      <c r="Y1930" t="str">
        <f t="shared" si="1252"/>
        <v>Oferta Gral.</v>
      </c>
      <c r="Z1930" t="str">
        <f t="shared" si="1253"/>
        <v>Rubro</v>
      </c>
      <c r="AA1930" t="str">
        <f t="shared" si="1254"/>
        <v>Cantidad por Bulto</v>
      </c>
      <c r="AB1930" t="str">
        <f t="shared" si="1255"/>
        <v>INNER</v>
      </c>
      <c r="AC1930" t="str">
        <f t="shared" si="1256"/>
        <v>Stock en Bultos</v>
      </c>
      <c r="AD1930" t="str">
        <f t="shared" si="1257"/>
        <v>SubDepósito</v>
      </c>
      <c r="AE1930" t="str">
        <f t="shared" si="1258"/>
        <v>Marca</v>
      </c>
      <c r="AF1930" t="str">
        <f t="shared" si="1259"/>
        <v>Super Rubro</v>
      </c>
      <c r="AG1930" t="str">
        <f t="shared" si="1260"/>
        <v>ComercioExterior</v>
      </c>
      <c r="AH1930" t="str">
        <f t="shared" si="1261"/>
        <v>PrecioFOB</v>
      </c>
      <c r="AI1930" t="str">
        <f t="shared" si="1262"/>
        <v>Monto II</v>
      </c>
      <c r="AJ1930" t="str">
        <f t="shared" si="1263"/>
        <v>Porcentaje II</v>
      </c>
      <c r="AK1930" t="str">
        <f t="shared" si="1264"/>
        <v>Foto</v>
      </c>
      <c r="AL1930" t="str">
        <f>"{\rtf1\ansi\ansicpg1252\deff0\deflang11274{\fonttbl{\f0\fnil\fcharset0 MS Sans Serif}} \viewkind4\uc1\pard\f0\fs16 INYECTOR NAFTA CHEVROLET CORSA - DAEWOO ESPERO 17109450 (ARO VERDE)\par } "</f>
        <v xml:space="preserve">{\rtf1\ansi\ansicpg1252\deff0\deflang11274{\fonttbl{\f0\fnil\fcharset0 MS Sans Serif}} \viewkind4\uc1\pard\f0\fs16 INYECTOR NAFTA CHEVROLET CORSA - DAEWOO ESPERO 17109450 (ARO VERDE)\par } </v>
      </c>
      <c r="AM1930" t="str">
        <f>"-"</f>
        <v>-</v>
      </c>
    </row>
    <row r="1931" spans="1:39" x14ac:dyDescent="0.25">
      <c r="A1931" t="str">
        <f>"17124782"</f>
        <v>17124782</v>
      </c>
      <c r="B1931" t="str">
        <f>"INYECTOR NAFTA CHEVROLET CORSA 8V"</f>
        <v>INYECTOR NAFTA CHEVROLET CORSA 8V</v>
      </c>
      <c r="C1931" t="str">
        <f>"$ 54436,84"</f>
        <v>$ 54436,84</v>
      </c>
      <c r="D1931" t="str">
        <f>"$ 54436,84"</f>
        <v>$ 54436,84</v>
      </c>
      <c r="E1931" t="str">
        <f>"$ 54436,84"</f>
        <v>$ 54436,84</v>
      </c>
      <c r="F1931" t="str">
        <f>"$ 54436,84"</f>
        <v>$ 54436,84</v>
      </c>
      <c r="G1931" t="str">
        <f>"$ 54436,84"</f>
        <v>$ 54436,84</v>
      </c>
      <c r="H1931" t="str">
        <f t="shared" si="1243"/>
        <v>$ 0,00</v>
      </c>
      <c r="I1931" t="str">
        <f t="shared" si="1244"/>
        <v>INYECTORES NAFTA</v>
      </c>
      <c r="J1931" t="str">
        <f t="shared" si="1245"/>
        <v>1</v>
      </c>
      <c r="K1931" t="str">
        <f t="shared" si="1227"/>
        <v>0</v>
      </c>
      <c r="L1931" t="str">
        <f>"8,000"</f>
        <v>8,000</v>
      </c>
      <c r="M1931" t="str">
        <f t="shared" si="1246"/>
        <v xml:space="preserve"> </v>
      </c>
      <c r="N1931" t="str">
        <f t="shared" si="1265"/>
        <v>REGITAR</v>
      </c>
      <c r="O1931" t="str">
        <f t="shared" si="1247"/>
        <v>INYECTORES</v>
      </c>
      <c r="P1931" t="str">
        <f t="shared" si="1248"/>
        <v>0</v>
      </c>
      <c r="Q1931" t="str">
        <f t="shared" si="1248"/>
        <v>0</v>
      </c>
      <c r="R1931" t="str">
        <f t="shared" si="1249"/>
        <v>0,00</v>
      </c>
      <c r="S1931" t="str">
        <f t="shared" si="1249"/>
        <v>0,00</v>
      </c>
      <c r="T1931" t="str">
        <f t="shared" si="1242"/>
        <v xml:space="preserve"> </v>
      </c>
      <c r="U1931" t="str">
        <f t="shared" si="1224"/>
        <v xml:space="preserve"> </v>
      </c>
      <c r="V1931" t="str">
        <f>"8,000"</f>
        <v>8,000</v>
      </c>
      <c r="W1931" t="str">
        <f t="shared" si="1250"/>
        <v>Lista 4</v>
      </c>
      <c r="X1931" t="str">
        <f t="shared" si="1251"/>
        <v>Lista 5</v>
      </c>
      <c r="Y1931" t="str">
        <f t="shared" si="1252"/>
        <v>Oferta Gral.</v>
      </c>
      <c r="Z1931" t="str">
        <f t="shared" si="1253"/>
        <v>Rubro</v>
      </c>
      <c r="AA1931" t="str">
        <f t="shared" si="1254"/>
        <v>Cantidad por Bulto</v>
      </c>
      <c r="AB1931" t="str">
        <f t="shared" si="1255"/>
        <v>INNER</v>
      </c>
      <c r="AC1931" t="str">
        <f t="shared" si="1256"/>
        <v>Stock en Bultos</v>
      </c>
      <c r="AD1931" t="str">
        <f t="shared" si="1257"/>
        <v>SubDepósito</v>
      </c>
      <c r="AE1931" t="str">
        <f t="shared" si="1258"/>
        <v>Marca</v>
      </c>
      <c r="AF1931" t="str">
        <f t="shared" si="1259"/>
        <v>Super Rubro</v>
      </c>
      <c r="AG1931" t="str">
        <f t="shared" si="1260"/>
        <v>ComercioExterior</v>
      </c>
      <c r="AH1931" t="str">
        <f t="shared" si="1261"/>
        <v>PrecioFOB</v>
      </c>
      <c r="AI1931" t="str">
        <f t="shared" si="1262"/>
        <v>Monto II</v>
      </c>
      <c r="AJ1931" t="str">
        <f t="shared" si="1263"/>
        <v>Porcentaje II</v>
      </c>
      <c r="AK1931" t="str">
        <f t="shared" si="1264"/>
        <v>Foto</v>
      </c>
      <c r="AL1931" t="str">
        <f>"{\rtf1\ansi\ansicpg1252\deff0\deflang11274{\fonttbl{\f0\fnil\fcharset0 MS Sans Serif}} \viewkind4\uc1\pard\f0\fs16 INYECTOR NAFTA CHEVROLET CORSA 8V\par } "</f>
        <v xml:space="preserve">{\rtf1\ansi\ansicpg1252\deff0\deflang11274{\fonttbl{\f0\fnil\fcharset0 MS Sans Serif}} \viewkind4\uc1\pard\f0\fs16 INYECTOR NAFTA CHEVROLET CORSA 8V\par } </v>
      </c>
      <c r="AM1931" t="str">
        <f>" "</f>
        <v xml:space="preserve"> </v>
      </c>
    </row>
    <row r="1932" spans="1:39" x14ac:dyDescent="0.25">
      <c r="A1932" t="str">
        <f>"0280156034"</f>
        <v>0280156034</v>
      </c>
      <c r="B1932" t="str">
        <f>"INYECTOR NAFTA CITROEN C3/C4/XSARA/BERLINGO 1.6 16V - P206/307/PARTNER 1.6 16V (NARANJA)"</f>
        <v>INYECTOR NAFTA CITROEN C3/C4/XSARA/BERLINGO 1.6 16V - P206/307/PARTNER 1.6 16V (NARANJA)</v>
      </c>
      <c r="C1932" t="str">
        <f>"$ 49791,34"</f>
        <v>$ 49791,34</v>
      </c>
      <c r="D1932" t="str">
        <f>"$ 49791,34"</f>
        <v>$ 49791,34</v>
      </c>
      <c r="E1932" t="str">
        <f>"$ 49791,34"</f>
        <v>$ 49791,34</v>
      </c>
      <c r="F1932" t="str">
        <f>"$ 49791,34"</f>
        <v>$ 49791,34</v>
      </c>
      <c r="G1932" t="str">
        <f>"$ 49791,34"</f>
        <v>$ 49791,34</v>
      </c>
      <c r="H1932" t="str">
        <f t="shared" si="1243"/>
        <v>$ 0,00</v>
      </c>
      <c r="I1932" t="str">
        <f t="shared" si="1244"/>
        <v>INYECTORES NAFTA</v>
      </c>
      <c r="J1932" t="str">
        <f t="shared" si="1245"/>
        <v>1</v>
      </c>
      <c r="K1932" t="str">
        <f t="shared" si="1227"/>
        <v>0</v>
      </c>
      <c r="L1932" t="str">
        <f>"4,000"</f>
        <v>4,000</v>
      </c>
      <c r="M1932" t="str">
        <f t="shared" si="1246"/>
        <v xml:space="preserve"> </v>
      </c>
      <c r="N1932" t="str">
        <f t="shared" si="1265"/>
        <v>REGITAR</v>
      </c>
      <c r="O1932" t="str">
        <f t="shared" si="1247"/>
        <v>INYECTORES</v>
      </c>
      <c r="P1932" t="str">
        <f t="shared" si="1248"/>
        <v>0</v>
      </c>
      <c r="Q1932" t="str">
        <f t="shared" si="1248"/>
        <v>0</v>
      </c>
      <c r="R1932" t="str">
        <f t="shared" si="1249"/>
        <v>0,00</v>
      </c>
      <c r="S1932" t="str">
        <f t="shared" si="1249"/>
        <v>0,00</v>
      </c>
      <c r="T1932" t="str">
        <f t="shared" si="1242"/>
        <v xml:space="preserve"> </v>
      </c>
      <c r="U1932" t="str">
        <f t="shared" ref="U1932:U1995" si="1266">" "</f>
        <v xml:space="preserve"> </v>
      </c>
      <c r="V1932" t="str">
        <f>"4,000"</f>
        <v>4,000</v>
      </c>
      <c r="W1932" t="str">
        <f t="shared" si="1250"/>
        <v>Lista 4</v>
      </c>
      <c r="X1932" t="str">
        <f t="shared" si="1251"/>
        <v>Lista 5</v>
      </c>
      <c r="Y1932" t="str">
        <f t="shared" si="1252"/>
        <v>Oferta Gral.</v>
      </c>
      <c r="Z1932" t="str">
        <f t="shared" si="1253"/>
        <v>Rubro</v>
      </c>
      <c r="AA1932" t="str">
        <f t="shared" si="1254"/>
        <v>Cantidad por Bulto</v>
      </c>
      <c r="AB1932" t="str">
        <f t="shared" si="1255"/>
        <v>INNER</v>
      </c>
      <c r="AC1932" t="str">
        <f t="shared" si="1256"/>
        <v>Stock en Bultos</v>
      </c>
      <c r="AD1932" t="str">
        <f t="shared" si="1257"/>
        <v>SubDepósito</v>
      </c>
      <c r="AE1932" t="str">
        <f t="shared" si="1258"/>
        <v>Marca</v>
      </c>
      <c r="AF1932" t="str">
        <f t="shared" si="1259"/>
        <v>Super Rubro</v>
      </c>
      <c r="AG1932" t="str">
        <f t="shared" si="1260"/>
        <v>ComercioExterior</v>
      </c>
      <c r="AH1932" t="str">
        <f t="shared" si="1261"/>
        <v>PrecioFOB</v>
      </c>
      <c r="AI1932" t="str">
        <f t="shared" si="1262"/>
        <v>Monto II</v>
      </c>
      <c r="AJ1932" t="str">
        <f t="shared" si="1263"/>
        <v>Porcentaje II</v>
      </c>
      <c r="AK1932" t="str">
        <f t="shared" si="1264"/>
        <v>Foto</v>
      </c>
      <c r="AL1932" t="str">
        <f>"{\rtf1\ansi\ansicpg1252\deff0\deflang11274{\fonttbl{\f0\fnil\fcharset0 MS Sans Serif}} \viewkind4\uc1\pard\f0\fs16 INYECTOR NAFTA CITROEN C3/C4/XSARA/BERLINGO 1.6 16V - P206/307/PARTNER 1.6 16V (NARANJA)\par } "</f>
        <v xml:space="preserve">{\rtf1\ansi\ansicpg1252\deff0\deflang11274{\fonttbl{\f0\fnil\fcharset0 MS Sans Serif}} \viewkind4\uc1\pard\f0\fs16 INYECTOR NAFTA CITROEN C3/C4/XSARA/BERLINGO 1.6 16V - P206/307/PARTNER 1.6 16V (NARANJA)\par } </v>
      </c>
      <c r="AM1932" t="str">
        <f t="shared" ref="AM1932:AM1958" si="1267">"-"</f>
        <v>-</v>
      </c>
    </row>
    <row r="1933" spans="1:39" x14ac:dyDescent="0.25">
      <c r="A1933" t="str">
        <f>"IWM50001"</f>
        <v>IWM50001</v>
      </c>
      <c r="B1933" t="str">
        <f>"INYECTOR NAFTA ESCORT 1,6/1,8 SPI (95/96) - R-CLIO/19 1,6 SPI (D.96) - VW GOL 1,6/1,8 MONOPUNTO"</f>
        <v>INYECTOR NAFTA ESCORT 1,6/1,8 SPI (95/96) - R-CLIO/19 1,6 SPI (D.96) - VW GOL 1,6/1,8 MONOPUNTO</v>
      </c>
      <c r="C1933" t="str">
        <f>"$ 47563,62"</f>
        <v>$ 47563,62</v>
      </c>
      <c r="D1933" t="str">
        <f>"$ 47563,62"</f>
        <v>$ 47563,62</v>
      </c>
      <c r="E1933" t="str">
        <f>"$ 47563,62"</f>
        <v>$ 47563,62</v>
      </c>
      <c r="F1933" t="str">
        <f>"$ 47563,62"</f>
        <v>$ 47563,62</v>
      </c>
      <c r="G1933" t="str">
        <f>"$ 47563,62"</f>
        <v>$ 47563,62</v>
      </c>
      <c r="H1933" t="str">
        <f t="shared" si="1243"/>
        <v>$ 0,00</v>
      </c>
      <c r="I1933" t="str">
        <f t="shared" si="1244"/>
        <v>INYECTORES NAFTA</v>
      </c>
      <c r="J1933" t="str">
        <f t="shared" si="1245"/>
        <v>1</v>
      </c>
      <c r="K1933" t="str">
        <f t="shared" si="1227"/>
        <v>0</v>
      </c>
      <c r="L1933" t="str">
        <f>"9,000"</f>
        <v>9,000</v>
      </c>
      <c r="M1933" t="str">
        <f t="shared" si="1246"/>
        <v xml:space="preserve"> </v>
      </c>
      <c r="N1933" t="str">
        <f t="shared" si="1265"/>
        <v>REGITAR</v>
      </c>
      <c r="O1933" t="str">
        <f t="shared" si="1247"/>
        <v>INYECTORES</v>
      </c>
      <c r="P1933" t="str">
        <f t="shared" si="1248"/>
        <v>0</v>
      </c>
      <c r="Q1933" t="str">
        <f t="shared" si="1248"/>
        <v>0</v>
      </c>
      <c r="R1933" t="str">
        <f t="shared" si="1249"/>
        <v>0,00</v>
      </c>
      <c r="S1933" t="str">
        <f t="shared" si="1249"/>
        <v>0,00</v>
      </c>
      <c r="T1933" t="str">
        <f t="shared" si="1242"/>
        <v xml:space="preserve"> </v>
      </c>
      <c r="U1933" t="str">
        <f t="shared" si="1266"/>
        <v xml:space="preserve"> </v>
      </c>
      <c r="V1933" t="str">
        <f>"9,000"</f>
        <v>9,000</v>
      </c>
      <c r="W1933" t="str">
        <f t="shared" si="1250"/>
        <v>Lista 4</v>
      </c>
      <c r="X1933" t="str">
        <f t="shared" si="1251"/>
        <v>Lista 5</v>
      </c>
      <c r="Y1933" t="str">
        <f t="shared" si="1252"/>
        <v>Oferta Gral.</v>
      </c>
      <c r="Z1933" t="str">
        <f t="shared" si="1253"/>
        <v>Rubro</v>
      </c>
      <c r="AA1933" t="str">
        <f t="shared" si="1254"/>
        <v>Cantidad por Bulto</v>
      </c>
      <c r="AB1933" t="str">
        <f t="shared" si="1255"/>
        <v>INNER</v>
      </c>
      <c r="AC1933" t="str">
        <f t="shared" si="1256"/>
        <v>Stock en Bultos</v>
      </c>
      <c r="AD1933" t="str">
        <f t="shared" si="1257"/>
        <v>SubDepósito</v>
      </c>
      <c r="AE1933" t="str">
        <f t="shared" si="1258"/>
        <v>Marca</v>
      </c>
      <c r="AF1933" t="str">
        <f t="shared" si="1259"/>
        <v>Super Rubro</v>
      </c>
      <c r="AG1933" t="str">
        <f t="shared" si="1260"/>
        <v>ComercioExterior</v>
      </c>
      <c r="AH1933" t="str">
        <f t="shared" si="1261"/>
        <v>PrecioFOB</v>
      </c>
      <c r="AI1933" t="str">
        <f t="shared" si="1262"/>
        <v>Monto II</v>
      </c>
      <c r="AJ1933" t="str">
        <f t="shared" si="1263"/>
        <v>Porcentaje II</v>
      </c>
      <c r="AK1933" t="str">
        <f t="shared" si="1264"/>
        <v>Foto</v>
      </c>
      <c r="AL1933" t="str">
        <f>"{\rtf1\ansi\ansicpg1252\deff0\deflang11274{\fonttbl{\f0\fnil\fcharset0 MS Sans Serif}} \viewkind4\uc1\pard\f0\fs16 INYECTOR NAFTA ESCORT 1,6/1,8 SPI (95/96) - R-CLIO/19 1,6 SPI (D.96) - VW GOL 1,6/1,8 MONOPUNTO\par } "</f>
        <v xml:space="preserve">{\rtf1\ansi\ansicpg1252\deff0\deflang11274{\fonttbl{\f0\fnil\fcharset0 MS Sans Serif}} \viewkind4\uc1\pard\f0\fs16 INYECTOR NAFTA ESCORT 1,6/1,8 SPI (95/96) - R-CLIO/19 1,6 SPI (D.96) - VW GOL 1,6/1,8 MONOPUNTO\par } </v>
      </c>
      <c r="AM1933" t="str">
        <f t="shared" si="1267"/>
        <v>-</v>
      </c>
    </row>
    <row r="1934" spans="1:39" x14ac:dyDescent="0.25">
      <c r="A1934" t="str">
        <f>"IWP069"</f>
        <v>IWP069</v>
      </c>
      <c r="B1934" t="str">
        <f>"INYECTOR NAFTA FIAT - DUCATI (ARO AMARILLO)"</f>
        <v>INYECTOR NAFTA FIAT - DUCATI (ARO AMARILLO)</v>
      </c>
      <c r="C1934" t="str">
        <f>"$ 31219,90"</f>
        <v>$ 31219,90</v>
      </c>
      <c r="D1934" t="str">
        <f>"$ 31219,90"</f>
        <v>$ 31219,90</v>
      </c>
      <c r="E1934" t="str">
        <f>"$ 31219,90"</f>
        <v>$ 31219,90</v>
      </c>
      <c r="F1934" t="str">
        <f>"$ 31219,90"</f>
        <v>$ 31219,90</v>
      </c>
      <c r="G1934" t="str">
        <f>"$ 31219,90"</f>
        <v>$ 31219,90</v>
      </c>
      <c r="H1934" t="str">
        <f t="shared" si="1243"/>
        <v>$ 0,00</v>
      </c>
      <c r="I1934" t="str">
        <f t="shared" si="1244"/>
        <v>INYECTORES NAFTA</v>
      </c>
      <c r="J1934" t="str">
        <f t="shared" si="1245"/>
        <v>1</v>
      </c>
      <c r="K1934" t="str">
        <f t="shared" si="1227"/>
        <v>0</v>
      </c>
      <c r="L1934" t="str">
        <f>"0,000"</f>
        <v>0,000</v>
      </c>
      <c r="M1934" t="str">
        <f t="shared" si="1246"/>
        <v xml:space="preserve"> </v>
      </c>
      <c r="N1934" t="str">
        <f t="shared" si="1265"/>
        <v>REGITAR</v>
      </c>
      <c r="O1934" t="str">
        <f t="shared" si="1247"/>
        <v>INYECTORES</v>
      </c>
      <c r="P1934" t="str">
        <f t="shared" si="1248"/>
        <v>0</v>
      </c>
      <c r="Q1934" t="str">
        <f t="shared" si="1248"/>
        <v>0</v>
      </c>
      <c r="R1934" t="str">
        <f t="shared" si="1249"/>
        <v>0,00</v>
      </c>
      <c r="S1934" t="str">
        <f t="shared" si="1249"/>
        <v>0,00</v>
      </c>
      <c r="T1934" t="str">
        <f t="shared" si="1242"/>
        <v xml:space="preserve"> </v>
      </c>
      <c r="U1934" t="str">
        <f t="shared" si="1266"/>
        <v xml:space="preserve"> </v>
      </c>
      <c r="V1934" t="str">
        <f>"0,000"</f>
        <v>0,000</v>
      </c>
      <c r="W1934" t="str">
        <f t="shared" si="1250"/>
        <v>Lista 4</v>
      </c>
      <c r="X1934" t="str">
        <f t="shared" si="1251"/>
        <v>Lista 5</v>
      </c>
      <c r="Y1934" t="str">
        <f t="shared" si="1252"/>
        <v>Oferta Gral.</v>
      </c>
      <c r="Z1934" t="str">
        <f t="shared" si="1253"/>
        <v>Rubro</v>
      </c>
      <c r="AA1934" t="str">
        <f t="shared" si="1254"/>
        <v>Cantidad por Bulto</v>
      </c>
      <c r="AB1934" t="str">
        <f t="shared" si="1255"/>
        <v>INNER</v>
      </c>
      <c r="AC1934" t="str">
        <f t="shared" si="1256"/>
        <v>Stock en Bultos</v>
      </c>
      <c r="AD1934" t="str">
        <f t="shared" si="1257"/>
        <v>SubDepósito</v>
      </c>
      <c r="AE1934" t="str">
        <f t="shared" si="1258"/>
        <v>Marca</v>
      </c>
      <c r="AF1934" t="str">
        <f t="shared" si="1259"/>
        <v>Super Rubro</v>
      </c>
      <c r="AG1934" t="str">
        <f t="shared" si="1260"/>
        <v>ComercioExterior</v>
      </c>
      <c r="AH1934" t="str">
        <f t="shared" si="1261"/>
        <v>PrecioFOB</v>
      </c>
      <c r="AI1934" t="str">
        <f t="shared" si="1262"/>
        <v>Monto II</v>
      </c>
      <c r="AJ1934" t="str">
        <f t="shared" si="1263"/>
        <v>Porcentaje II</v>
      </c>
      <c r="AK1934" t="str">
        <f t="shared" si="1264"/>
        <v>Foto</v>
      </c>
      <c r="AL1934" t="str">
        <f>"{\rtf1\ansi\ansicpg1252\deff0\deflang11274{\fonttbl{\f0\fnil\fcharset0 MS Sans Serif}} \viewkind4\uc1\pard\f0\fs16 INYECTOR NAFTA FIAT - DUCATI (ARO AMARILLO)\par } "</f>
        <v xml:space="preserve">{\rtf1\ansi\ansicpg1252\deff0\deflang11274{\fonttbl{\f0\fnil\fcharset0 MS Sans Serif}} \viewkind4\uc1\pard\f0\fs16 INYECTOR NAFTA FIAT - DUCATI (ARO AMARILLO)\par } </v>
      </c>
      <c r="AM1934" t="str">
        <f t="shared" si="1267"/>
        <v>-</v>
      </c>
    </row>
    <row r="1935" spans="1:39" x14ac:dyDescent="0.25">
      <c r="A1935" t="str">
        <f>"IWP003"</f>
        <v>IWP003</v>
      </c>
      <c r="B1935" t="str">
        <f>"INYECTOR NAFTA FIAT PALIO  SIENA FIRE 1,4  8V ARO BLANCO"</f>
        <v>INYECTOR NAFTA FIAT PALIO  SIENA FIRE 1,4  8V ARO BLANCO</v>
      </c>
      <c r="C1935" t="str">
        <f>"$ 31737,22"</f>
        <v>$ 31737,22</v>
      </c>
      <c r="D1935" t="str">
        <f>"$ 31737,22"</f>
        <v>$ 31737,22</v>
      </c>
      <c r="E1935" t="str">
        <f>"$ 31737,22"</f>
        <v>$ 31737,22</v>
      </c>
      <c r="F1935" t="str">
        <f>"$ 31737,22"</f>
        <v>$ 31737,22</v>
      </c>
      <c r="G1935" t="str">
        <f>"$ 31737,22"</f>
        <v>$ 31737,22</v>
      </c>
      <c r="H1935" t="str">
        <f t="shared" si="1243"/>
        <v>$ 0,00</v>
      </c>
      <c r="I1935" t="str">
        <f t="shared" si="1244"/>
        <v>INYECTORES NAFTA</v>
      </c>
      <c r="J1935" t="str">
        <f t="shared" si="1245"/>
        <v>1</v>
      </c>
      <c r="K1935" t="str">
        <f t="shared" si="1227"/>
        <v>0</v>
      </c>
      <c r="L1935" t="str">
        <f>"1,000"</f>
        <v>1,000</v>
      </c>
      <c r="M1935" t="str">
        <f t="shared" si="1246"/>
        <v xml:space="preserve"> </v>
      </c>
      <c r="N1935" t="str">
        <f t="shared" si="1265"/>
        <v>REGITAR</v>
      </c>
      <c r="O1935" t="str">
        <f t="shared" si="1247"/>
        <v>INYECTORES</v>
      </c>
      <c r="P1935" t="str">
        <f t="shared" si="1248"/>
        <v>0</v>
      </c>
      <c r="Q1935" t="str">
        <f t="shared" si="1248"/>
        <v>0</v>
      </c>
      <c r="R1935" t="str">
        <f t="shared" si="1249"/>
        <v>0,00</v>
      </c>
      <c r="S1935" t="str">
        <f t="shared" si="1249"/>
        <v>0,00</v>
      </c>
      <c r="T1935" t="str">
        <f t="shared" si="1242"/>
        <v xml:space="preserve"> </v>
      </c>
      <c r="U1935" t="str">
        <f t="shared" si="1266"/>
        <v xml:space="preserve"> </v>
      </c>
      <c r="V1935" t="str">
        <f>"1,000"</f>
        <v>1,000</v>
      </c>
      <c r="W1935" t="str">
        <f t="shared" si="1250"/>
        <v>Lista 4</v>
      </c>
      <c r="X1935" t="str">
        <f t="shared" si="1251"/>
        <v>Lista 5</v>
      </c>
      <c r="Y1935" t="str">
        <f t="shared" si="1252"/>
        <v>Oferta Gral.</v>
      </c>
      <c r="Z1935" t="str">
        <f t="shared" si="1253"/>
        <v>Rubro</v>
      </c>
      <c r="AA1935" t="str">
        <f t="shared" si="1254"/>
        <v>Cantidad por Bulto</v>
      </c>
      <c r="AB1935" t="str">
        <f t="shared" si="1255"/>
        <v>INNER</v>
      </c>
      <c r="AC1935" t="str">
        <f t="shared" si="1256"/>
        <v>Stock en Bultos</v>
      </c>
      <c r="AD1935" t="str">
        <f t="shared" si="1257"/>
        <v>SubDepósito</v>
      </c>
      <c r="AE1935" t="str">
        <f t="shared" si="1258"/>
        <v>Marca</v>
      </c>
      <c r="AF1935" t="str">
        <f t="shared" si="1259"/>
        <v>Super Rubro</v>
      </c>
      <c r="AG1935" t="str">
        <f t="shared" si="1260"/>
        <v>ComercioExterior</v>
      </c>
      <c r="AH1935" t="str">
        <f t="shared" si="1261"/>
        <v>PrecioFOB</v>
      </c>
      <c r="AI1935" t="str">
        <f t="shared" si="1262"/>
        <v>Monto II</v>
      </c>
      <c r="AJ1935" t="str">
        <f t="shared" si="1263"/>
        <v>Porcentaje II</v>
      </c>
      <c r="AK1935" t="str">
        <f t="shared" si="1264"/>
        <v>Foto</v>
      </c>
      <c r="AL1935" t="str">
        <f>"{\rtf1\ansi\ansicpg1252\deff0\deflang11274{\fonttbl{\f0\fnil\fcharset0 MS Sans Serif}} \viewkind4\uc1\pard\f0\fs16 INYECTOR NAFTA FIAT PALIO  SIENA FIRE 1,4  8V ARO BLANCO\par } "</f>
        <v xml:space="preserve">{\rtf1\ansi\ansicpg1252\deff0\deflang11274{\fonttbl{\f0\fnil\fcharset0 MS Sans Serif}} \viewkind4\uc1\pard\f0\fs16 INYECTOR NAFTA FIAT PALIO  SIENA FIRE 1,4  8V ARO BLANCO\par } </v>
      </c>
      <c r="AM1935" t="str">
        <f t="shared" si="1267"/>
        <v>-</v>
      </c>
    </row>
    <row r="1936" spans="1:39" x14ac:dyDescent="0.25">
      <c r="A1936" t="str">
        <f>"IWP168"</f>
        <v>IWP168</v>
      </c>
      <c r="B1936" t="str">
        <f>"INYECTOR NAFTA FIAT PALIO - SIENA - STRADA 1,8 (ARO VERDE)"</f>
        <v>INYECTOR NAFTA FIAT PALIO - SIENA - STRADA 1,8 (ARO VERDE)</v>
      </c>
      <c r="C1936" t="str">
        <f>"$ 52884,84"</f>
        <v>$ 52884,84</v>
      </c>
      <c r="D1936" t="str">
        <f>"$ 52884,84"</f>
        <v>$ 52884,84</v>
      </c>
      <c r="E1936" t="str">
        <f>"$ 52884,84"</f>
        <v>$ 52884,84</v>
      </c>
      <c r="F1936" t="str">
        <f>"$ 52884,84"</f>
        <v>$ 52884,84</v>
      </c>
      <c r="G1936" t="str">
        <f>"$ 52884,84"</f>
        <v>$ 52884,84</v>
      </c>
      <c r="H1936" t="str">
        <f t="shared" si="1243"/>
        <v>$ 0,00</v>
      </c>
      <c r="I1936" t="str">
        <f t="shared" si="1244"/>
        <v>INYECTORES NAFTA</v>
      </c>
      <c r="J1936" t="str">
        <f t="shared" si="1245"/>
        <v>1</v>
      </c>
      <c r="K1936" t="str">
        <f t="shared" si="1227"/>
        <v>0</v>
      </c>
      <c r="L1936" t="str">
        <f>"0,000"</f>
        <v>0,000</v>
      </c>
      <c r="M1936" t="str">
        <f t="shared" si="1246"/>
        <v xml:space="preserve"> </v>
      </c>
      <c r="N1936" t="str">
        <f t="shared" si="1265"/>
        <v>REGITAR</v>
      </c>
      <c r="O1936" t="str">
        <f t="shared" si="1247"/>
        <v>INYECTORES</v>
      </c>
      <c r="P1936" t="str">
        <f t="shared" si="1248"/>
        <v>0</v>
      </c>
      <c r="Q1936" t="str">
        <f t="shared" si="1248"/>
        <v>0</v>
      </c>
      <c r="R1936" t="str">
        <f t="shared" si="1249"/>
        <v>0,00</v>
      </c>
      <c r="S1936" t="str">
        <f t="shared" si="1249"/>
        <v>0,00</v>
      </c>
      <c r="T1936" t="str">
        <f t="shared" si="1242"/>
        <v xml:space="preserve"> </v>
      </c>
      <c r="U1936" t="str">
        <f t="shared" si="1266"/>
        <v xml:space="preserve"> </v>
      </c>
      <c r="V1936" t="str">
        <f>"0,000"</f>
        <v>0,000</v>
      </c>
      <c r="W1936" t="str">
        <f t="shared" si="1250"/>
        <v>Lista 4</v>
      </c>
      <c r="X1936" t="str">
        <f t="shared" si="1251"/>
        <v>Lista 5</v>
      </c>
      <c r="Y1936" t="str">
        <f t="shared" si="1252"/>
        <v>Oferta Gral.</v>
      </c>
      <c r="Z1936" t="str">
        <f t="shared" si="1253"/>
        <v>Rubro</v>
      </c>
      <c r="AA1936" t="str">
        <f t="shared" si="1254"/>
        <v>Cantidad por Bulto</v>
      </c>
      <c r="AB1936" t="str">
        <f t="shared" si="1255"/>
        <v>INNER</v>
      </c>
      <c r="AC1936" t="str">
        <f t="shared" si="1256"/>
        <v>Stock en Bultos</v>
      </c>
      <c r="AD1936" t="str">
        <f t="shared" si="1257"/>
        <v>SubDepósito</v>
      </c>
      <c r="AE1936" t="str">
        <f t="shared" si="1258"/>
        <v>Marca</v>
      </c>
      <c r="AF1936" t="str">
        <f t="shared" si="1259"/>
        <v>Super Rubro</v>
      </c>
      <c r="AG1936" t="str">
        <f t="shared" si="1260"/>
        <v>ComercioExterior</v>
      </c>
      <c r="AH1936" t="str">
        <f t="shared" si="1261"/>
        <v>PrecioFOB</v>
      </c>
      <c r="AI1936" t="str">
        <f t="shared" si="1262"/>
        <v>Monto II</v>
      </c>
      <c r="AJ1936" t="str">
        <f t="shared" si="1263"/>
        <v>Porcentaje II</v>
      </c>
      <c r="AK1936" t="str">
        <f t="shared" si="1264"/>
        <v>Foto</v>
      </c>
      <c r="AL1936" t="str">
        <f>"{\rtf1\ansi\ansicpg1252\deff0\deflang11274{\fonttbl{\f0\fnil\fcharset0 MS Sans Serif}} \viewkind4\uc1\pard\f0\fs16 INYECTOR NAFTA FIAT PALIO - SIENA - STRADA 1,8 (ARO VERDE)\par } "</f>
        <v xml:space="preserve">{\rtf1\ansi\ansicpg1252\deff0\deflang11274{\fonttbl{\f0\fnil\fcharset0 MS Sans Serif}} \viewkind4\uc1\pard\f0\fs16 INYECTOR NAFTA FIAT PALIO - SIENA - STRADA 1,8 (ARO VERDE)\par } </v>
      </c>
      <c r="AM1936" t="str">
        <f t="shared" si="1267"/>
        <v>-</v>
      </c>
    </row>
    <row r="1937" spans="1:39" x14ac:dyDescent="0.25">
      <c r="A1937" t="str">
        <f>"IWP101"</f>
        <v>IWP101</v>
      </c>
      <c r="B1937" t="str">
        <f>"INYECTOR NAFTA FIAT PALIO - SIENA 1,0/1,3 16V (ARO BALNCO)"</f>
        <v>INYECTOR NAFTA FIAT PALIO - SIENA 1,0/1,3 16V (ARO BALNCO)</v>
      </c>
      <c r="C1937" t="str">
        <f>"$ 31219,90"</f>
        <v>$ 31219,90</v>
      </c>
      <c r="D1937" t="str">
        <f>"$ 31219,90"</f>
        <v>$ 31219,90</v>
      </c>
      <c r="E1937" t="str">
        <f>"$ 31219,90"</f>
        <v>$ 31219,90</v>
      </c>
      <c r="F1937" t="str">
        <f>"$ 31219,90"</f>
        <v>$ 31219,90</v>
      </c>
      <c r="G1937" t="str">
        <f>"$ 31219,90"</f>
        <v>$ 31219,90</v>
      </c>
      <c r="H1937" t="str">
        <f t="shared" si="1243"/>
        <v>$ 0,00</v>
      </c>
      <c r="I1937" t="str">
        <f t="shared" si="1244"/>
        <v>INYECTORES NAFTA</v>
      </c>
      <c r="J1937" t="str">
        <f t="shared" si="1245"/>
        <v>1</v>
      </c>
      <c r="K1937" t="str">
        <f t="shared" si="1227"/>
        <v>0</v>
      </c>
      <c r="L1937" t="str">
        <f>"4,000"</f>
        <v>4,000</v>
      </c>
      <c r="M1937" t="str">
        <f t="shared" si="1246"/>
        <v xml:space="preserve"> </v>
      </c>
      <c r="N1937" t="str">
        <f t="shared" si="1265"/>
        <v>REGITAR</v>
      </c>
      <c r="O1937" t="str">
        <f t="shared" si="1247"/>
        <v>INYECTORES</v>
      </c>
      <c r="P1937" t="str">
        <f t="shared" si="1248"/>
        <v>0</v>
      </c>
      <c r="Q1937" t="str">
        <f t="shared" si="1248"/>
        <v>0</v>
      </c>
      <c r="R1937" t="str">
        <f t="shared" si="1249"/>
        <v>0,00</v>
      </c>
      <c r="S1937" t="str">
        <f t="shared" si="1249"/>
        <v>0,00</v>
      </c>
      <c r="T1937" t="str">
        <f t="shared" si="1242"/>
        <v xml:space="preserve"> </v>
      </c>
      <c r="U1937" t="str">
        <f t="shared" si="1266"/>
        <v xml:space="preserve"> </v>
      </c>
      <c r="V1937" t="str">
        <f>"4,000"</f>
        <v>4,000</v>
      </c>
      <c r="W1937" t="str">
        <f t="shared" si="1250"/>
        <v>Lista 4</v>
      </c>
      <c r="X1937" t="str">
        <f t="shared" si="1251"/>
        <v>Lista 5</v>
      </c>
      <c r="Y1937" t="str">
        <f t="shared" si="1252"/>
        <v>Oferta Gral.</v>
      </c>
      <c r="Z1937" t="str">
        <f t="shared" si="1253"/>
        <v>Rubro</v>
      </c>
      <c r="AA1937" t="str">
        <f t="shared" si="1254"/>
        <v>Cantidad por Bulto</v>
      </c>
      <c r="AB1937" t="str">
        <f t="shared" si="1255"/>
        <v>INNER</v>
      </c>
      <c r="AC1937" t="str">
        <f t="shared" si="1256"/>
        <v>Stock en Bultos</v>
      </c>
      <c r="AD1937" t="str">
        <f t="shared" si="1257"/>
        <v>SubDepósito</v>
      </c>
      <c r="AE1937" t="str">
        <f t="shared" si="1258"/>
        <v>Marca</v>
      </c>
      <c r="AF1937" t="str">
        <f t="shared" si="1259"/>
        <v>Super Rubro</v>
      </c>
      <c r="AG1937" t="str">
        <f t="shared" si="1260"/>
        <v>ComercioExterior</v>
      </c>
      <c r="AH1937" t="str">
        <f t="shared" si="1261"/>
        <v>PrecioFOB</v>
      </c>
      <c r="AI1937" t="str">
        <f t="shared" si="1262"/>
        <v>Monto II</v>
      </c>
      <c r="AJ1937" t="str">
        <f t="shared" si="1263"/>
        <v>Porcentaje II</v>
      </c>
      <c r="AK1937" t="str">
        <f t="shared" si="1264"/>
        <v>Foto</v>
      </c>
      <c r="AL1937" t="str">
        <f>"{\rtf1\ansi\ansicpg1252\deff0\deflang11274{\fonttbl{\f0\fnil\fcharset0 MS Sans Serif}} \viewkind4\uc1\pard\f0\fs16 INYECTOR NAFTA FIAT PALIO - SIENA 1,0/1,3 16V (ARO BALNCO)\par } "</f>
        <v xml:space="preserve">{\rtf1\ansi\ansicpg1252\deff0\deflang11274{\fonttbl{\f0\fnil\fcharset0 MS Sans Serif}} \viewkind4\uc1\pard\f0\fs16 INYECTOR NAFTA FIAT PALIO - SIENA 1,0/1,3 16V (ARO BALNCO)\par } </v>
      </c>
      <c r="AM1937" t="str">
        <f t="shared" si="1267"/>
        <v>-</v>
      </c>
    </row>
    <row r="1938" spans="1:39" x14ac:dyDescent="0.25">
      <c r="A1938" t="str">
        <f>"IWP131"</f>
        <v>IWP131</v>
      </c>
      <c r="B1938" t="str">
        <f>"INYECTOR NAFTA FIAT PALIO RST - FIORINO FIRE FLEX 1,3 MPI (D.03) MARELLI 50102902 (ARO VERDE)"</f>
        <v>INYECTOR NAFTA FIAT PALIO RST - FIORINO FIRE FLEX 1,3 MPI (D.03) MARELLI 50102902 (ARO VERDE)</v>
      </c>
      <c r="C1938" t="str">
        <f>"$ 33690,44"</f>
        <v>$ 33690,44</v>
      </c>
      <c r="D1938" t="str">
        <f>"$ 33690,44"</f>
        <v>$ 33690,44</v>
      </c>
      <c r="E1938" t="str">
        <f>"$ 33690,44"</f>
        <v>$ 33690,44</v>
      </c>
      <c r="F1938" t="str">
        <f>"$ 33690,44"</f>
        <v>$ 33690,44</v>
      </c>
      <c r="G1938" t="str">
        <f>"$ 33690,44"</f>
        <v>$ 33690,44</v>
      </c>
      <c r="H1938" t="str">
        <f t="shared" si="1243"/>
        <v>$ 0,00</v>
      </c>
      <c r="I1938" t="str">
        <f t="shared" si="1244"/>
        <v>INYECTORES NAFTA</v>
      </c>
      <c r="J1938" t="str">
        <f t="shared" si="1245"/>
        <v>1</v>
      </c>
      <c r="K1938" t="str">
        <f t="shared" si="1227"/>
        <v>0</v>
      </c>
      <c r="L1938" t="str">
        <f>"0,000"</f>
        <v>0,000</v>
      </c>
      <c r="M1938" t="str">
        <f t="shared" si="1246"/>
        <v xml:space="preserve"> </v>
      </c>
      <c r="N1938" t="str">
        <f t="shared" si="1265"/>
        <v>REGITAR</v>
      </c>
      <c r="O1938" t="str">
        <f t="shared" si="1247"/>
        <v>INYECTORES</v>
      </c>
      <c r="P1938" t="str">
        <f t="shared" si="1248"/>
        <v>0</v>
      </c>
      <c r="Q1938" t="str">
        <f t="shared" si="1248"/>
        <v>0</v>
      </c>
      <c r="R1938" t="str">
        <f t="shared" si="1249"/>
        <v>0,00</v>
      </c>
      <c r="S1938" t="str">
        <f t="shared" si="1249"/>
        <v>0,00</v>
      </c>
      <c r="T1938" t="str">
        <f t="shared" si="1242"/>
        <v xml:space="preserve"> </v>
      </c>
      <c r="U1938" t="str">
        <f t="shared" si="1266"/>
        <v xml:space="preserve"> </v>
      </c>
      <c r="V1938" t="str">
        <f>"0,000"</f>
        <v>0,000</v>
      </c>
      <c r="W1938" t="str">
        <f t="shared" si="1250"/>
        <v>Lista 4</v>
      </c>
      <c r="X1938" t="str">
        <f t="shared" si="1251"/>
        <v>Lista 5</v>
      </c>
      <c r="Y1938" t="str">
        <f t="shared" si="1252"/>
        <v>Oferta Gral.</v>
      </c>
      <c r="Z1938" t="str">
        <f t="shared" si="1253"/>
        <v>Rubro</v>
      </c>
      <c r="AA1938" t="str">
        <f t="shared" si="1254"/>
        <v>Cantidad por Bulto</v>
      </c>
      <c r="AB1938" t="str">
        <f t="shared" si="1255"/>
        <v>INNER</v>
      </c>
      <c r="AC1938" t="str">
        <f t="shared" si="1256"/>
        <v>Stock en Bultos</v>
      </c>
      <c r="AD1938" t="str">
        <f t="shared" si="1257"/>
        <v>SubDepósito</v>
      </c>
      <c r="AE1938" t="str">
        <f t="shared" si="1258"/>
        <v>Marca</v>
      </c>
      <c r="AF1938" t="str">
        <f t="shared" si="1259"/>
        <v>Super Rubro</v>
      </c>
      <c r="AG1938" t="str">
        <f t="shared" si="1260"/>
        <v>ComercioExterior</v>
      </c>
      <c r="AH1938" t="str">
        <f t="shared" si="1261"/>
        <v>PrecioFOB</v>
      </c>
      <c r="AI1938" t="str">
        <f t="shared" si="1262"/>
        <v>Monto II</v>
      </c>
      <c r="AJ1938" t="str">
        <f t="shared" si="1263"/>
        <v>Porcentaje II</v>
      </c>
      <c r="AK1938" t="str">
        <f t="shared" si="1264"/>
        <v>Foto</v>
      </c>
      <c r="AL1938" t="str">
        <f>"{\rtf1\ansi\ansicpg1252\deff0\deflang11274{\fonttbl{\f0\fnil\fcharset0 MS Sans Serif}} \viewkind4\uc1\pard\f0\fs16 INYECTOR NAFTA FIAT PALIO RST - FIORINO FIRE FLEX 1,3 MPI (D.03) MARELLI 50102902 (ARO VERDE)\par } "</f>
        <v xml:space="preserve">{\rtf1\ansi\ansicpg1252\deff0\deflang11274{\fonttbl{\f0\fnil\fcharset0 MS Sans Serif}} \viewkind4\uc1\pard\f0\fs16 INYECTOR NAFTA FIAT PALIO RST - FIORINO FIRE FLEX 1,3 MPI (D.03) MARELLI 50102902 (ARO VERDE)\par } </v>
      </c>
      <c r="AM1938" t="str">
        <f t="shared" si="1267"/>
        <v>-</v>
      </c>
    </row>
    <row r="1939" spans="1:39" x14ac:dyDescent="0.25">
      <c r="A1939" t="str">
        <f>"IWP095"</f>
        <v>IWP095</v>
      </c>
      <c r="B1939" t="str">
        <f>"INYECTOR NAFTA FIAT PUNTO 1.2 8V, DOBLO (ARO BLANCO)"</f>
        <v>INYECTOR NAFTA FIAT PUNTO 1.2 8V, DOBLO (ARO BLANCO)</v>
      </c>
      <c r="C1939" t="str">
        <f>"$ 31219,90"</f>
        <v>$ 31219,90</v>
      </c>
      <c r="D1939" t="str">
        <f>"$ 31219,90"</f>
        <v>$ 31219,90</v>
      </c>
      <c r="E1939" t="str">
        <f>"$ 31219,90"</f>
        <v>$ 31219,90</v>
      </c>
      <c r="F1939" t="str">
        <f>"$ 31219,90"</f>
        <v>$ 31219,90</v>
      </c>
      <c r="G1939" t="str">
        <f>"$ 31219,90"</f>
        <v>$ 31219,90</v>
      </c>
      <c r="H1939" t="str">
        <f t="shared" si="1243"/>
        <v>$ 0,00</v>
      </c>
      <c r="I1939" t="str">
        <f t="shared" si="1244"/>
        <v>INYECTORES NAFTA</v>
      </c>
      <c r="J1939" t="str">
        <f t="shared" si="1245"/>
        <v>1</v>
      </c>
      <c r="K1939" t="str">
        <f t="shared" si="1227"/>
        <v>0</v>
      </c>
      <c r="L1939" t="str">
        <f>"0,000"</f>
        <v>0,000</v>
      </c>
      <c r="M1939" t="str">
        <f t="shared" si="1246"/>
        <v xml:space="preserve"> </v>
      </c>
      <c r="N1939" t="str">
        <f t="shared" si="1265"/>
        <v>REGITAR</v>
      </c>
      <c r="O1939" t="str">
        <f t="shared" si="1247"/>
        <v>INYECTORES</v>
      </c>
      <c r="P1939" t="str">
        <f t="shared" si="1248"/>
        <v>0</v>
      </c>
      <c r="Q1939" t="str">
        <f t="shared" si="1248"/>
        <v>0</v>
      </c>
      <c r="R1939" t="str">
        <f t="shared" si="1249"/>
        <v>0,00</v>
      </c>
      <c r="S1939" t="str">
        <f t="shared" si="1249"/>
        <v>0,00</v>
      </c>
      <c r="T1939" t="str">
        <f t="shared" si="1242"/>
        <v xml:space="preserve"> </v>
      </c>
      <c r="U1939" t="str">
        <f t="shared" si="1266"/>
        <v xml:space="preserve"> </v>
      </c>
      <c r="V1939" t="str">
        <f>"0,000"</f>
        <v>0,000</v>
      </c>
      <c r="W1939" t="str">
        <f t="shared" si="1250"/>
        <v>Lista 4</v>
      </c>
      <c r="X1939" t="str">
        <f t="shared" si="1251"/>
        <v>Lista 5</v>
      </c>
      <c r="Y1939" t="str">
        <f t="shared" si="1252"/>
        <v>Oferta Gral.</v>
      </c>
      <c r="Z1939" t="str">
        <f t="shared" si="1253"/>
        <v>Rubro</v>
      </c>
      <c r="AA1939" t="str">
        <f t="shared" si="1254"/>
        <v>Cantidad por Bulto</v>
      </c>
      <c r="AB1939" t="str">
        <f t="shared" si="1255"/>
        <v>INNER</v>
      </c>
      <c r="AC1939" t="str">
        <f t="shared" si="1256"/>
        <v>Stock en Bultos</v>
      </c>
      <c r="AD1939" t="str">
        <f t="shared" si="1257"/>
        <v>SubDepósito</v>
      </c>
      <c r="AE1939" t="str">
        <f t="shared" si="1258"/>
        <v>Marca</v>
      </c>
      <c r="AF1939" t="str">
        <f t="shared" si="1259"/>
        <v>Super Rubro</v>
      </c>
      <c r="AG1939" t="str">
        <f t="shared" si="1260"/>
        <v>ComercioExterior</v>
      </c>
      <c r="AH1939" t="str">
        <f t="shared" si="1261"/>
        <v>PrecioFOB</v>
      </c>
      <c r="AI1939" t="str">
        <f t="shared" si="1262"/>
        <v>Monto II</v>
      </c>
      <c r="AJ1939" t="str">
        <f t="shared" si="1263"/>
        <v>Porcentaje II</v>
      </c>
      <c r="AK1939" t="str">
        <f t="shared" si="1264"/>
        <v>Foto</v>
      </c>
      <c r="AL1939" t="str">
        <f>"{\rtf1\ansi\ansicpg1252\deff0\deflang11274{\fonttbl{\f0\fnil\fcharset0 MS Sans Serif}} \viewkind4\uc1\pard\f0\fs16 INYECTOR NAFTA FIAT PUNTO 1.2 8V, DOBLO (ARO BLANCO)\par } "</f>
        <v xml:space="preserve">{\rtf1\ansi\ansicpg1252\deff0\deflang11274{\fonttbl{\f0\fnil\fcharset0 MS Sans Serif}} \viewkind4\uc1\pard\f0\fs16 INYECTOR NAFTA FIAT PUNTO 1.2 8V, DOBLO (ARO BLANCO)\par } </v>
      </c>
      <c r="AM1939" t="str">
        <f t="shared" si="1267"/>
        <v>-</v>
      </c>
    </row>
    <row r="1940" spans="1:39" x14ac:dyDescent="0.25">
      <c r="A1940" t="str">
        <f>"IWP174"</f>
        <v>IWP174</v>
      </c>
      <c r="B1940" t="str">
        <f>"INYECTOR NAFTA FIAT TEMPRA 2.0 8V - 16V MPI (95/99) - VW GOL 2,0 16V MPI (D.96) (BASE GRIS)"</f>
        <v>INYECTOR NAFTA FIAT TEMPRA 2.0 8V - 16V MPI (95/99) - VW GOL 2,0 16V MPI (D.96) (BASE GRIS)</v>
      </c>
      <c r="C1940" t="str">
        <f>"$ 51068,86"</f>
        <v>$ 51068,86</v>
      </c>
      <c r="D1940" t="str">
        <f>"$ 51068,86"</f>
        <v>$ 51068,86</v>
      </c>
      <c r="E1940" t="str">
        <f>"$ 51068,86"</f>
        <v>$ 51068,86</v>
      </c>
      <c r="F1940" t="str">
        <f>"$ 51068,86"</f>
        <v>$ 51068,86</v>
      </c>
      <c r="G1940" t="str">
        <f>"$ 51068,86"</f>
        <v>$ 51068,86</v>
      </c>
      <c r="H1940" t="str">
        <f t="shared" si="1243"/>
        <v>$ 0,00</v>
      </c>
      <c r="I1940" t="str">
        <f t="shared" si="1244"/>
        <v>INYECTORES NAFTA</v>
      </c>
      <c r="J1940" t="str">
        <f t="shared" si="1245"/>
        <v>1</v>
      </c>
      <c r="K1940" t="str">
        <f t="shared" si="1227"/>
        <v>0</v>
      </c>
      <c r="L1940" t="str">
        <f>"0,000"</f>
        <v>0,000</v>
      </c>
      <c r="M1940" t="str">
        <f t="shared" si="1246"/>
        <v xml:space="preserve"> </v>
      </c>
      <c r="N1940" t="str">
        <f t="shared" si="1265"/>
        <v>REGITAR</v>
      </c>
      <c r="O1940" t="str">
        <f t="shared" si="1247"/>
        <v>INYECTORES</v>
      </c>
      <c r="P1940" t="str">
        <f t="shared" si="1248"/>
        <v>0</v>
      </c>
      <c r="Q1940" t="str">
        <f t="shared" si="1248"/>
        <v>0</v>
      </c>
      <c r="R1940" t="str">
        <f t="shared" si="1249"/>
        <v>0,00</v>
      </c>
      <c r="S1940" t="str">
        <f t="shared" si="1249"/>
        <v>0,00</v>
      </c>
      <c r="T1940" t="str">
        <f t="shared" si="1242"/>
        <v xml:space="preserve"> </v>
      </c>
      <c r="U1940" t="str">
        <f t="shared" si="1266"/>
        <v xml:space="preserve"> </v>
      </c>
      <c r="V1940" t="str">
        <f>"0,000"</f>
        <v>0,000</v>
      </c>
      <c r="W1940" t="str">
        <f t="shared" si="1250"/>
        <v>Lista 4</v>
      </c>
      <c r="X1940" t="str">
        <f t="shared" si="1251"/>
        <v>Lista 5</v>
      </c>
      <c r="Y1940" t="str">
        <f t="shared" si="1252"/>
        <v>Oferta Gral.</v>
      </c>
      <c r="Z1940" t="str">
        <f t="shared" si="1253"/>
        <v>Rubro</v>
      </c>
      <c r="AA1940" t="str">
        <f t="shared" si="1254"/>
        <v>Cantidad por Bulto</v>
      </c>
      <c r="AB1940" t="str">
        <f t="shared" si="1255"/>
        <v>INNER</v>
      </c>
      <c r="AC1940" t="str">
        <f t="shared" si="1256"/>
        <v>Stock en Bultos</v>
      </c>
      <c r="AD1940" t="str">
        <f t="shared" si="1257"/>
        <v>SubDepósito</v>
      </c>
      <c r="AE1940" t="str">
        <f t="shared" si="1258"/>
        <v>Marca</v>
      </c>
      <c r="AF1940" t="str">
        <f t="shared" si="1259"/>
        <v>Super Rubro</v>
      </c>
      <c r="AG1940" t="str">
        <f t="shared" si="1260"/>
        <v>ComercioExterior</v>
      </c>
      <c r="AH1940" t="str">
        <f t="shared" si="1261"/>
        <v>PrecioFOB</v>
      </c>
      <c r="AI1940" t="str">
        <f t="shared" si="1262"/>
        <v>Monto II</v>
      </c>
      <c r="AJ1940" t="str">
        <f t="shared" si="1263"/>
        <v>Porcentaje II</v>
      </c>
      <c r="AK1940" t="str">
        <f t="shared" si="1264"/>
        <v>Foto</v>
      </c>
      <c r="AL1940" t="str">
        <f>"{\rtf1\ansi\ansicpg1252\deff0\deflang11274{\fonttbl{\f0\fnil\fcharset0 MS Sans Serif}} \viewkind4\uc1\pard\f0\fs16 INYECTOR NAFTA FIAT TEMPRA 2.0 8V - 16V MPI (95/99) - VW GOL 2,0 16V MPI (D.96) (BASE GRIS)\par } "</f>
        <v xml:space="preserve">{\rtf1\ansi\ansicpg1252\deff0\deflang11274{\fonttbl{\f0\fnil\fcharset0 MS Sans Serif}} \viewkind4\uc1\pard\f0\fs16 INYECTOR NAFTA FIAT TEMPRA 2.0 8V - 16V MPI (95/99) - VW GOL 2,0 16V MPI (D.96) (BASE GRIS)\par } </v>
      </c>
      <c r="AM1940" t="str">
        <f t="shared" si="1267"/>
        <v>-</v>
      </c>
    </row>
    <row r="1941" spans="1:39" x14ac:dyDescent="0.25">
      <c r="A1941" t="str">
        <f>"IWP127"</f>
        <v>IWP127</v>
      </c>
      <c r="B1941" t="str">
        <f>"INYECTOR NAFTA FIESTA/ECOSPORT 1.0/1,6 ZETEC ROCAM (D.1999) MARELLI 50103302 (ARO NARANJA)"</f>
        <v>INYECTOR NAFTA FIESTA/ECOSPORT 1.0/1,6 ZETEC ROCAM (D.1999) MARELLI 50103302 (ARO NARANJA)</v>
      </c>
      <c r="C1941" t="str">
        <f>"$ 31705,55"</f>
        <v>$ 31705,55</v>
      </c>
      <c r="D1941" t="str">
        <f>"$ 31705,55"</f>
        <v>$ 31705,55</v>
      </c>
      <c r="E1941" t="str">
        <f>"$ 31705,55"</f>
        <v>$ 31705,55</v>
      </c>
      <c r="F1941" t="str">
        <f>"$ 31705,55"</f>
        <v>$ 31705,55</v>
      </c>
      <c r="G1941" t="str">
        <f>"$ 31705,55"</f>
        <v>$ 31705,55</v>
      </c>
      <c r="H1941" t="str">
        <f t="shared" si="1243"/>
        <v>$ 0,00</v>
      </c>
      <c r="I1941" t="str">
        <f t="shared" si="1244"/>
        <v>INYECTORES NAFTA</v>
      </c>
      <c r="J1941" t="str">
        <f t="shared" si="1245"/>
        <v>1</v>
      </c>
      <c r="K1941" t="str">
        <f t="shared" ref="K1941:K2004" si="1268">"0"</f>
        <v>0</v>
      </c>
      <c r="L1941" t="str">
        <f>"2,000"</f>
        <v>2,000</v>
      </c>
      <c r="M1941" t="str">
        <f t="shared" si="1246"/>
        <v xml:space="preserve"> </v>
      </c>
      <c r="N1941" t="str">
        <f t="shared" si="1265"/>
        <v>REGITAR</v>
      </c>
      <c r="O1941" t="str">
        <f t="shared" si="1247"/>
        <v>INYECTORES</v>
      </c>
      <c r="P1941" t="str">
        <f t="shared" si="1248"/>
        <v>0</v>
      </c>
      <c r="Q1941" t="str">
        <f t="shared" si="1248"/>
        <v>0</v>
      </c>
      <c r="R1941" t="str">
        <f t="shared" si="1249"/>
        <v>0,00</v>
      </c>
      <c r="S1941" t="str">
        <f t="shared" si="1249"/>
        <v>0,00</v>
      </c>
      <c r="T1941" t="str">
        <f t="shared" si="1242"/>
        <v xml:space="preserve"> </v>
      </c>
      <c r="U1941" t="str">
        <f t="shared" si="1266"/>
        <v xml:space="preserve"> </v>
      </c>
      <c r="V1941" t="str">
        <f>"2,000"</f>
        <v>2,000</v>
      </c>
      <c r="W1941" t="str">
        <f t="shared" si="1250"/>
        <v>Lista 4</v>
      </c>
      <c r="X1941" t="str">
        <f t="shared" si="1251"/>
        <v>Lista 5</v>
      </c>
      <c r="Y1941" t="str">
        <f t="shared" si="1252"/>
        <v>Oferta Gral.</v>
      </c>
      <c r="Z1941" t="str">
        <f t="shared" si="1253"/>
        <v>Rubro</v>
      </c>
      <c r="AA1941" t="str">
        <f t="shared" si="1254"/>
        <v>Cantidad por Bulto</v>
      </c>
      <c r="AB1941" t="str">
        <f t="shared" si="1255"/>
        <v>INNER</v>
      </c>
      <c r="AC1941" t="str">
        <f t="shared" si="1256"/>
        <v>Stock en Bultos</v>
      </c>
      <c r="AD1941" t="str">
        <f t="shared" si="1257"/>
        <v>SubDepósito</v>
      </c>
      <c r="AE1941" t="str">
        <f t="shared" si="1258"/>
        <v>Marca</v>
      </c>
      <c r="AF1941" t="str">
        <f t="shared" si="1259"/>
        <v>Super Rubro</v>
      </c>
      <c r="AG1941" t="str">
        <f t="shared" si="1260"/>
        <v>ComercioExterior</v>
      </c>
      <c r="AH1941" t="str">
        <f t="shared" si="1261"/>
        <v>PrecioFOB</v>
      </c>
      <c r="AI1941" t="str">
        <f t="shared" si="1262"/>
        <v>Monto II</v>
      </c>
      <c r="AJ1941" t="str">
        <f t="shared" si="1263"/>
        <v>Porcentaje II</v>
      </c>
      <c r="AK1941" t="str">
        <f t="shared" si="1264"/>
        <v>Foto</v>
      </c>
      <c r="AL1941" t="str">
        <f>"{\rtf1\ansi\ansicpg1252\deff0\deflang11274{\fonttbl{\f0\fnil\fcharset0 MS Sans Serif}} \viewkind4\uc1\pard\f0\fs16 INYECTOR NAFTA FIESTA/ECOSPORT 1.0/1,6 ZETEC ROCAM (D.1999) MARELLI 50103302 (ARO NARANJA)\par } "</f>
        <v xml:space="preserve">{\rtf1\ansi\ansicpg1252\deff0\deflang11274{\fonttbl{\f0\fnil\fcharset0 MS Sans Serif}} \viewkind4\uc1\pard\f0\fs16 INYECTOR NAFTA FIESTA/ECOSPORT 1.0/1,6 ZETEC ROCAM (D.1999) MARELLI 50103302 (ARO NARANJA)\par } </v>
      </c>
      <c r="AM1941" t="str">
        <f t="shared" si="1267"/>
        <v>-</v>
      </c>
    </row>
    <row r="1942" spans="1:39" x14ac:dyDescent="0.25">
      <c r="A1942" t="str">
        <f>"96518620"</f>
        <v>96518620</v>
      </c>
      <c r="B1942" t="str">
        <f>"INYECTOR NAFTA FORD - VW - AUDI (ROJO / BORDO)"</f>
        <v>INYECTOR NAFTA FORD - VW - AUDI (ROJO / BORDO)</v>
      </c>
      <c r="C1942" t="str">
        <f>"$ 47046,27"</f>
        <v>$ 47046,27</v>
      </c>
      <c r="D1942" t="str">
        <f>"$ 47046,27"</f>
        <v>$ 47046,27</v>
      </c>
      <c r="E1942" t="str">
        <f>"$ 47046,27"</f>
        <v>$ 47046,27</v>
      </c>
      <c r="F1942" t="str">
        <f>"$ 47046,27"</f>
        <v>$ 47046,27</v>
      </c>
      <c r="G1942" t="str">
        <f>"$ 47046,27"</f>
        <v>$ 47046,27</v>
      </c>
      <c r="H1942" t="str">
        <f t="shared" si="1243"/>
        <v>$ 0,00</v>
      </c>
      <c r="I1942" t="str">
        <f t="shared" si="1244"/>
        <v>INYECTORES NAFTA</v>
      </c>
      <c r="J1942" t="str">
        <f t="shared" si="1245"/>
        <v>1</v>
      </c>
      <c r="K1942" t="str">
        <f t="shared" si="1268"/>
        <v>0</v>
      </c>
      <c r="L1942" t="str">
        <f>"0,000"</f>
        <v>0,000</v>
      </c>
      <c r="M1942" t="str">
        <f t="shared" si="1246"/>
        <v xml:space="preserve"> </v>
      </c>
      <c r="N1942" t="str">
        <f t="shared" si="1265"/>
        <v>REGITAR</v>
      </c>
      <c r="O1942" t="str">
        <f t="shared" si="1247"/>
        <v>INYECTORES</v>
      </c>
      <c r="P1942" t="str">
        <f t="shared" si="1248"/>
        <v>0</v>
      </c>
      <c r="Q1942" t="str">
        <f t="shared" si="1248"/>
        <v>0</v>
      </c>
      <c r="R1942" t="str">
        <f t="shared" si="1249"/>
        <v>0,00</v>
      </c>
      <c r="S1942" t="str">
        <f t="shared" si="1249"/>
        <v>0,00</v>
      </c>
      <c r="T1942" t="str">
        <f t="shared" si="1242"/>
        <v xml:space="preserve"> </v>
      </c>
      <c r="U1942" t="str">
        <f t="shared" si="1266"/>
        <v xml:space="preserve"> </v>
      </c>
      <c r="V1942" t="str">
        <f>"0,000"</f>
        <v>0,000</v>
      </c>
      <c r="W1942" t="str">
        <f t="shared" si="1250"/>
        <v>Lista 4</v>
      </c>
      <c r="X1942" t="str">
        <f t="shared" si="1251"/>
        <v>Lista 5</v>
      </c>
      <c r="Y1942" t="str">
        <f t="shared" si="1252"/>
        <v>Oferta Gral.</v>
      </c>
      <c r="Z1942" t="str">
        <f t="shared" si="1253"/>
        <v>Rubro</v>
      </c>
      <c r="AA1942" t="str">
        <f t="shared" si="1254"/>
        <v>Cantidad por Bulto</v>
      </c>
      <c r="AB1942" t="str">
        <f t="shared" si="1255"/>
        <v>INNER</v>
      </c>
      <c r="AC1942" t="str">
        <f t="shared" si="1256"/>
        <v>Stock en Bultos</v>
      </c>
      <c r="AD1942" t="str">
        <f t="shared" si="1257"/>
        <v>SubDepósito</v>
      </c>
      <c r="AE1942" t="str">
        <f t="shared" si="1258"/>
        <v>Marca</v>
      </c>
      <c r="AF1942" t="str">
        <f t="shared" si="1259"/>
        <v>Super Rubro</v>
      </c>
      <c r="AG1942" t="str">
        <f t="shared" si="1260"/>
        <v>ComercioExterior</v>
      </c>
      <c r="AH1942" t="str">
        <f t="shared" si="1261"/>
        <v>PrecioFOB</v>
      </c>
      <c r="AI1942" t="str">
        <f t="shared" si="1262"/>
        <v>Monto II</v>
      </c>
      <c r="AJ1942" t="str">
        <f t="shared" si="1263"/>
        <v>Porcentaje II</v>
      </c>
      <c r="AK1942" t="str">
        <f t="shared" si="1264"/>
        <v>Foto</v>
      </c>
      <c r="AL1942" t="str">
        <f>"{\rtf1\ansi\ansicpg1252\deff0\deflang11274{\fonttbl{\f0\fnil\fcharset0 MS Sans Serif}} \viewkind4\uc1\pard\f0\fs16 INYECTOR NAFTA FORD - VW - AUDI (ROJO / BORDO)\par } "</f>
        <v xml:space="preserve">{\rtf1\ansi\ansicpg1252\deff0\deflang11274{\fonttbl{\f0\fnil\fcharset0 MS Sans Serif}} \viewkind4\uc1\pard\f0\fs16 INYECTOR NAFTA FORD - VW - AUDI (ROJO / BORDO)\par } </v>
      </c>
      <c r="AM1942" t="str">
        <f t="shared" si="1267"/>
        <v>-</v>
      </c>
    </row>
    <row r="1943" spans="1:39" x14ac:dyDescent="0.25">
      <c r="A1943" t="str">
        <f>"IWP119"</f>
        <v>IWP119</v>
      </c>
      <c r="B1943" t="str">
        <f>"INYECTOR NAFTA FORD FIESTA NUEVO - KA ROCAM 1,0/1,3 MPI (D.04) MARELLI 50103202  (ARO GRIS)"</f>
        <v>INYECTOR NAFTA FORD FIESTA NUEVO - KA ROCAM 1,0/1,3 MPI (D.04) MARELLI 50103202  (ARO GRIS)</v>
      </c>
      <c r="C1943" t="str">
        <f>"$ 31737,22"</f>
        <v>$ 31737,22</v>
      </c>
      <c r="D1943" t="str">
        <f>"$ 31737,22"</f>
        <v>$ 31737,22</v>
      </c>
      <c r="E1943" t="str">
        <f>"$ 31737,22"</f>
        <v>$ 31737,22</v>
      </c>
      <c r="F1943" t="str">
        <f>"$ 31737,22"</f>
        <v>$ 31737,22</v>
      </c>
      <c r="G1943" t="str">
        <f>"$ 31737,22"</f>
        <v>$ 31737,22</v>
      </c>
      <c r="H1943" t="str">
        <f t="shared" si="1243"/>
        <v>$ 0,00</v>
      </c>
      <c r="I1943" t="str">
        <f t="shared" si="1244"/>
        <v>INYECTORES NAFTA</v>
      </c>
      <c r="J1943" t="str">
        <f t="shared" si="1245"/>
        <v>1</v>
      </c>
      <c r="K1943" t="str">
        <f t="shared" si="1268"/>
        <v>0</v>
      </c>
      <c r="L1943" t="str">
        <f>"11,000"</f>
        <v>11,000</v>
      </c>
      <c r="M1943" t="str">
        <f t="shared" si="1246"/>
        <v xml:space="preserve"> </v>
      </c>
      <c r="N1943" t="str">
        <f t="shared" si="1265"/>
        <v>REGITAR</v>
      </c>
      <c r="O1943" t="str">
        <f t="shared" si="1247"/>
        <v>INYECTORES</v>
      </c>
      <c r="P1943" t="str">
        <f t="shared" ref="P1943:Q1962" si="1269">"0"</f>
        <v>0</v>
      </c>
      <c r="Q1943" t="str">
        <f t="shared" si="1269"/>
        <v>0</v>
      </c>
      <c r="R1943" t="str">
        <f t="shared" ref="R1943:S1962" si="1270">"0,00"</f>
        <v>0,00</v>
      </c>
      <c r="S1943" t="str">
        <f t="shared" si="1270"/>
        <v>0,00</v>
      </c>
      <c r="T1943" t="str">
        <f t="shared" si="1242"/>
        <v xml:space="preserve"> </v>
      </c>
      <c r="U1943" t="str">
        <f t="shared" si="1266"/>
        <v xml:space="preserve"> </v>
      </c>
      <c r="V1943" t="str">
        <f>"11,000"</f>
        <v>11,000</v>
      </c>
      <c r="W1943" t="str">
        <f t="shared" si="1250"/>
        <v>Lista 4</v>
      </c>
      <c r="X1943" t="str">
        <f t="shared" si="1251"/>
        <v>Lista 5</v>
      </c>
      <c r="Y1943" t="str">
        <f t="shared" si="1252"/>
        <v>Oferta Gral.</v>
      </c>
      <c r="Z1943" t="str">
        <f t="shared" si="1253"/>
        <v>Rubro</v>
      </c>
      <c r="AA1943" t="str">
        <f t="shared" si="1254"/>
        <v>Cantidad por Bulto</v>
      </c>
      <c r="AB1943" t="str">
        <f t="shared" si="1255"/>
        <v>INNER</v>
      </c>
      <c r="AC1943" t="str">
        <f t="shared" si="1256"/>
        <v>Stock en Bultos</v>
      </c>
      <c r="AD1943" t="str">
        <f t="shared" si="1257"/>
        <v>SubDepósito</v>
      </c>
      <c r="AE1943" t="str">
        <f t="shared" si="1258"/>
        <v>Marca</v>
      </c>
      <c r="AF1943" t="str">
        <f t="shared" si="1259"/>
        <v>Super Rubro</v>
      </c>
      <c r="AG1943" t="str">
        <f t="shared" si="1260"/>
        <v>ComercioExterior</v>
      </c>
      <c r="AH1943" t="str">
        <f t="shared" si="1261"/>
        <v>PrecioFOB</v>
      </c>
      <c r="AI1943" t="str">
        <f t="shared" si="1262"/>
        <v>Monto II</v>
      </c>
      <c r="AJ1943" t="str">
        <f t="shared" si="1263"/>
        <v>Porcentaje II</v>
      </c>
      <c r="AK1943" t="str">
        <f t="shared" si="1264"/>
        <v>Foto</v>
      </c>
      <c r="AL1943" t="str">
        <f>"{\rtf1\ansi\ansicpg1252\deff0\deflang11274{\fonttbl{\f0\fnil\fcharset0 MS Sans Serif}} \viewkind4\uc1\pard\f0\fs16 INYECTOR NAFTA FORD FIESTA NUEVO - KA ROCAM 1,0/1,3 MPI (D.04) MARELLI 50103202  (ARO GRIS)\par } "</f>
        <v xml:space="preserve">{\rtf1\ansi\ansicpg1252\deff0\deflang11274{\fonttbl{\f0\fnil\fcharset0 MS Sans Serif}} \viewkind4\uc1\pard\f0\fs16 INYECTOR NAFTA FORD FIESTA NUEVO - KA ROCAM 1,0/1,3 MPI (D.04) MARELLI 50103202  (ARO GRIS)\par } </v>
      </c>
      <c r="AM1943" t="str">
        <f t="shared" si="1267"/>
        <v>-</v>
      </c>
    </row>
    <row r="1944" spans="1:39" x14ac:dyDescent="0.25">
      <c r="A1944" t="str">
        <f>"0280150558"</f>
        <v>0280150558</v>
      </c>
      <c r="B1944" t="str">
        <f>"INYECTOR NAFTA FORD VARIOS"</f>
        <v>INYECTOR NAFTA FORD VARIOS</v>
      </c>
      <c r="C1944" t="str">
        <f>"$ 53106,54"</f>
        <v>$ 53106,54</v>
      </c>
      <c r="D1944" t="str">
        <f>"$ 53106,54"</f>
        <v>$ 53106,54</v>
      </c>
      <c r="E1944" t="str">
        <f>"$ 53106,54"</f>
        <v>$ 53106,54</v>
      </c>
      <c r="F1944" t="str">
        <f>"$ 53106,54"</f>
        <v>$ 53106,54</v>
      </c>
      <c r="G1944" t="str">
        <f>"$ 53106,54"</f>
        <v>$ 53106,54</v>
      </c>
      <c r="H1944" t="str">
        <f t="shared" si="1243"/>
        <v>$ 0,00</v>
      </c>
      <c r="I1944" t="str">
        <f t="shared" si="1244"/>
        <v>INYECTORES NAFTA</v>
      </c>
      <c r="J1944" t="str">
        <f t="shared" si="1245"/>
        <v>1</v>
      </c>
      <c r="K1944" t="str">
        <f t="shared" si="1268"/>
        <v>0</v>
      </c>
      <c r="L1944" t="str">
        <f>"0,000"</f>
        <v>0,000</v>
      </c>
      <c r="M1944" t="str">
        <f t="shared" si="1246"/>
        <v xml:space="preserve"> </v>
      </c>
      <c r="N1944" t="str">
        <f t="shared" si="1265"/>
        <v>REGITAR</v>
      </c>
      <c r="O1944" t="str">
        <f t="shared" si="1247"/>
        <v>INYECTORES</v>
      </c>
      <c r="P1944" t="str">
        <f t="shared" si="1269"/>
        <v>0</v>
      </c>
      <c r="Q1944" t="str">
        <f t="shared" si="1269"/>
        <v>0</v>
      </c>
      <c r="R1944" t="str">
        <f t="shared" si="1270"/>
        <v>0,00</v>
      </c>
      <c r="S1944" t="str">
        <f t="shared" si="1270"/>
        <v>0,00</v>
      </c>
      <c r="T1944" t="str">
        <f t="shared" si="1242"/>
        <v xml:space="preserve"> </v>
      </c>
      <c r="U1944" t="str">
        <f t="shared" si="1266"/>
        <v xml:space="preserve"> </v>
      </c>
      <c r="V1944" t="str">
        <f>"0,000"</f>
        <v>0,000</v>
      </c>
      <c r="W1944" t="str">
        <f t="shared" si="1250"/>
        <v>Lista 4</v>
      </c>
      <c r="X1944" t="str">
        <f t="shared" si="1251"/>
        <v>Lista 5</v>
      </c>
      <c r="Y1944" t="str">
        <f t="shared" si="1252"/>
        <v>Oferta Gral.</v>
      </c>
      <c r="Z1944" t="str">
        <f t="shared" si="1253"/>
        <v>Rubro</v>
      </c>
      <c r="AA1944" t="str">
        <f t="shared" si="1254"/>
        <v>Cantidad por Bulto</v>
      </c>
      <c r="AB1944" t="str">
        <f t="shared" si="1255"/>
        <v>INNER</v>
      </c>
      <c r="AC1944" t="str">
        <f t="shared" si="1256"/>
        <v>Stock en Bultos</v>
      </c>
      <c r="AD1944" t="str">
        <f t="shared" si="1257"/>
        <v>SubDepósito</v>
      </c>
      <c r="AE1944" t="str">
        <f t="shared" si="1258"/>
        <v>Marca</v>
      </c>
      <c r="AF1944" t="str">
        <f t="shared" si="1259"/>
        <v>Super Rubro</v>
      </c>
      <c r="AG1944" t="str">
        <f t="shared" si="1260"/>
        <v>ComercioExterior</v>
      </c>
      <c r="AH1944" t="str">
        <f t="shared" si="1261"/>
        <v>PrecioFOB</v>
      </c>
      <c r="AI1944" t="str">
        <f t="shared" si="1262"/>
        <v>Monto II</v>
      </c>
      <c r="AJ1944" t="str">
        <f t="shared" si="1263"/>
        <v>Porcentaje II</v>
      </c>
      <c r="AK1944" t="str">
        <f t="shared" si="1264"/>
        <v>Foto</v>
      </c>
      <c r="AL1944" t="str">
        <f>"{\rtf1\ansi\ansicpg1252\deff0\deflang11274{\fonttbl{\f0\fnil\fcharset0 MS Sans Serif}} \viewkind4\uc1\pard\f0\fs16 INYECTOR NAFTA FORD VARIOS\par } "</f>
        <v xml:space="preserve">{\rtf1\ansi\ansicpg1252\deff0\deflang11274{\fonttbl{\f0\fnil\fcharset0 MS Sans Serif}} \viewkind4\uc1\pard\f0\fs16 INYECTOR NAFTA FORD VARIOS\par } </v>
      </c>
      <c r="AM1944" t="str">
        <f t="shared" si="1267"/>
        <v>-</v>
      </c>
    </row>
    <row r="1945" spans="1:39" x14ac:dyDescent="0.25">
      <c r="A1945" t="str">
        <f>"IWP114"</f>
        <v>IWP114</v>
      </c>
      <c r="B1945" t="str">
        <f>"INYECTOR NAFTA GOL/POLO/CADDY/SAVEIRO - QUANTUM (D.00) MARELLI 50101902 (ARO NEGRO)"</f>
        <v>INYECTOR NAFTA GOL/POLO/CADDY/SAVEIRO - QUANTUM (D.00) MARELLI 50101902 (ARO NEGRO)</v>
      </c>
      <c r="C1945" t="str">
        <f>"$ 33637,65"</f>
        <v>$ 33637,65</v>
      </c>
      <c r="D1945" t="str">
        <f>"$ 33637,65"</f>
        <v>$ 33637,65</v>
      </c>
      <c r="E1945" t="str">
        <f>"$ 33637,65"</f>
        <v>$ 33637,65</v>
      </c>
      <c r="F1945" t="str">
        <f>"$ 33637,65"</f>
        <v>$ 33637,65</v>
      </c>
      <c r="G1945" t="str">
        <f>"$ 33637,65"</f>
        <v>$ 33637,65</v>
      </c>
      <c r="H1945" t="str">
        <f t="shared" si="1243"/>
        <v>$ 0,00</v>
      </c>
      <c r="I1945" t="str">
        <f t="shared" si="1244"/>
        <v>INYECTORES NAFTA</v>
      </c>
      <c r="J1945" t="str">
        <f t="shared" si="1245"/>
        <v>1</v>
      </c>
      <c r="K1945" t="str">
        <f t="shared" si="1268"/>
        <v>0</v>
      </c>
      <c r="L1945" t="str">
        <f>"-16,000"</f>
        <v>-16,000</v>
      </c>
      <c r="M1945" t="str">
        <f t="shared" si="1246"/>
        <v xml:space="preserve"> </v>
      </c>
      <c r="N1945" t="str">
        <f t="shared" si="1265"/>
        <v>REGITAR</v>
      </c>
      <c r="O1945" t="str">
        <f t="shared" si="1247"/>
        <v>INYECTORES</v>
      </c>
      <c r="P1945" t="str">
        <f t="shared" si="1269"/>
        <v>0</v>
      </c>
      <c r="Q1945" t="str">
        <f t="shared" si="1269"/>
        <v>0</v>
      </c>
      <c r="R1945" t="str">
        <f t="shared" si="1270"/>
        <v>0,00</v>
      </c>
      <c r="S1945" t="str">
        <f t="shared" si="1270"/>
        <v>0,00</v>
      </c>
      <c r="T1945" t="str">
        <f t="shared" si="1242"/>
        <v xml:space="preserve"> </v>
      </c>
      <c r="U1945" t="str">
        <f t="shared" si="1266"/>
        <v xml:space="preserve"> </v>
      </c>
      <c r="V1945" t="str">
        <f>"-16,000"</f>
        <v>-16,000</v>
      </c>
      <c r="W1945" t="str">
        <f t="shared" si="1250"/>
        <v>Lista 4</v>
      </c>
      <c r="X1945" t="str">
        <f t="shared" si="1251"/>
        <v>Lista 5</v>
      </c>
      <c r="Y1945" t="str">
        <f t="shared" si="1252"/>
        <v>Oferta Gral.</v>
      </c>
      <c r="Z1945" t="str">
        <f t="shared" si="1253"/>
        <v>Rubro</v>
      </c>
      <c r="AA1945" t="str">
        <f t="shared" si="1254"/>
        <v>Cantidad por Bulto</v>
      </c>
      <c r="AB1945" t="str">
        <f t="shared" si="1255"/>
        <v>INNER</v>
      </c>
      <c r="AC1945" t="str">
        <f t="shared" si="1256"/>
        <v>Stock en Bultos</v>
      </c>
      <c r="AD1945" t="str">
        <f t="shared" si="1257"/>
        <v>SubDepósito</v>
      </c>
      <c r="AE1945" t="str">
        <f t="shared" si="1258"/>
        <v>Marca</v>
      </c>
      <c r="AF1945" t="str">
        <f t="shared" si="1259"/>
        <v>Super Rubro</v>
      </c>
      <c r="AG1945" t="str">
        <f t="shared" si="1260"/>
        <v>ComercioExterior</v>
      </c>
      <c r="AH1945" t="str">
        <f t="shared" si="1261"/>
        <v>PrecioFOB</v>
      </c>
      <c r="AI1945" t="str">
        <f t="shared" si="1262"/>
        <v>Monto II</v>
      </c>
      <c r="AJ1945" t="str">
        <f t="shared" si="1263"/>
        <v>Porcentaje II</v>
      </c>
      <c r="AK1945" t="str">
        <f t="shared" si="1264"/>
        <v>Foto</v>
      </c>
      <c r="AL1945" t="str">
        <f>"{\rtf1\ansi\ansicpg1252\deff0\deflang11274{\fonttbl{\f0\fnil\fcharset0 MS Sans Serif}} \viewkind4\uc1\pard\f0\fs16 INYECTOR NAFTA GOL/POLO/CADDY/SAVEIRO - QUANTUM (D.00) MARELLI 50101902 (ARO NEGRO)\par } "</f>
        <v xml:space="preserve">{\rtf1\ansi\ansicpg1252\deff0\deflang11274{\fonttbl{\f0\fnil\fcharset0 MS Sans Serif}} \viewkind4\uc1\pard\f0\fs16 INYECTOR NAFTA GOL/POLO/CADDY/SAVEIRO - QUANTUM (D.00) MARELLI 50101902 (ARO NEGRO)\par } </v>
      </c>
      <c r="AM1945" t="str">
        <f t="shared" si="1267"/>
        <v>-</v>
      </c>
    </row>
    <row r="1946" spans="1:39" x14ac:dyDescent="0.25">
      <c r="A1946" t="str">
        <f>"IWP071"</f>
        <v>IWP071</v>
      </c>
      <c r="B1946" t="str">
        <f>"INYECTOR NAFTA MERCEDES BENZ CLASE A (ARO NEGRO)"</f>
        <v>INYECTOR NAFTA MERCEDES BENZ CLASE A (ARO NEGRO)</v>
      </c>
      <c r="C1946" t="str">
        <f t="shared" ref="C1946:G1947" si="1271">"$ 31219,90"</f>
        <v>$ 31219,90</v>
      </c>
      <c r="D1946" t="str">
        <f t="shared" si="1271"/>
        <v>$ 31219,90</v>
      </c>
      <c r="E1946" t="str">
        <f t="shared" si="1271"/>
        <v>$ 31219,90</v>
      </c>
      <c r="F1946" t="str">
        <f t="shared" si="1271"/>
        <v>$ 31219,90</v>
      </c>
      <c r="G1946" t="str">
        <f t="shared" si="1271"/>
        <v>$ 31219,90</v>
      </c>
      <c r="H1946" t="str">
        <f t="shared" si="1243"/>
        <v>$ 0,00</v>
      </c>
      <c r="I1946" t="str">
        <f t="shared" si="1244"/>
        <v>INYECTORES NAFTA</v>
      </c>
      <c r="J1946" t="str">
        <f t="shared" si="1245"/>
        <v>1</v>
      </c>
      <c r="K1946" t="str">
        <f t="shared" si="1268"/>
        <v>0</v>
      </c>
      <c r="L1946" t="str">
        <f>"0,000"</f>
        <v>0,000</v>
      </c>
      <c r="M1946" t="str">
        <f t="shared" si="1246"/>
        <v xml:space="preserve"> </v>
      </c>
      <c r="N1946" t="str">
        <f t="shared" si="1265"/>
        <v>REGITAR</v>
      </c>
      <c r="O1946" t="str">
        <f t="shared" si="1247"/>
        <v>INYECTORES</v>
      </c>
      <c r="P1946" t="str">
        <f t="shared" si="1269"/>
        <v>0</v>
      </c>
      <c r="Q1946" t="str">
        <f t="shared" si="1269"/>
        <v>0</v>
      </c>
      <c r="R1946" t="str">
        <f t="shared" si="1270"/>
        <v>0,00</v>
      </c>
      <c r="S1946" t="str">
        <f t="shared" si="1270"/>
        <v>0,00</v>
      </c>
      <c r="T1946" t="str">
        <f t="shared" si="1242"/>
        <v xml:space="preserve"> </v>
      </c>
      <c r="U1946" t="str">
        <f t="shared" si="1266"/>
        <v xml:space="preserve"> </v>
      </c>
      <c r="V1946" t="str">
        <f>"0,000"</f>
        <v>0,000</v>
      </c>
      <c r="W1946" t="str">
        <f t="shared" si="1250"/>
        <v>Lista 4</v>
      </c>
      <c r="X1946" t="str">
        <f t="shared" si="1251"/>
        <v>Lista 5</v>
      </c>
      <c r="Y1946" t="str">
        <f t="shared" si="1252"/>
        <v>Oferta Gral.</v>
      </c>
      <c r="Z1946" t="str">
        <f t="shared" si="1253"/>
        <v>Rubro</v>
      </c>
      <c r="AA1946" t="str">
        <f t="shared" si="1254"/>
        <v>Cantidad por Bulto</v>
      </c>
      <c r="AB1946" t="str">
        <f t="shared" si="1255"/>
        <v>INNER</v>
      </c>
      <c r="AC1946" t="str">
        <f t="shared" si="1256"/>
        <v>Stock en Bultos</v>
      </c>
      <c r="AD1946" t="str">
        <f t="shared" si="1257"/>
        <v>SubDepósito</v>
      </c>
      <c r="AE1946" t="str">
        <f t="shared" si="1258"/>
        <v>Marca</v>
      </c>
      <c r="AF1946" t="str">
        <f t="shared" si="1259"/>
        <v>Super Rubro</v>
      </c>
      <c r="AG1946" t="str">
        <f t="shared" si="1260"/>
        <v>ComercioExterior</v>
      </c>
      <c r="AH1946" t="str">
        <f t="shared" si="1261"/>
        <v>PrecioFOB</v>
      </c>
      <c r="AI1946" t="str">
        <f t="shared" si="1262"/>
        <v>Monto II</v>
      </c>
      <c r="AJ1946" t="str">
        <f t="shared" si="1263"/>
        <v>Porcentaje II</v>
      </c>
      <c r="AK1946" t="str">
        <f t="shared" si="1264"/>
        <v>Foto</v>
      </c>
      <c r="AL1946" t="str">
        <f>"{\rtf1\ansi\ansicpg1252\deff0\deflang11274{\fonttbl{\f0\fnil\fcharset0 MS Sans Serif}} \viewkind4\uc1\pard\f0\fs16 INYECTOR NAFTA MERCEDES BENZ CLASE A (ARO NEGRO)\par } "</f>
        <v xml:space="preserve">{\rtf1\ansi\ansicpg1252\deff0\deflang11274{\fonttbl{\f0\fnil\fcharset0 MS Sans Serif}} \viewkind4\uc1\pard\f0\fs16 INYECTOR NAFTA MERCEDES BENZ CLASE A (ARO NEGRO)\par } </v>
      </c>
      <c r="AM1946" t="str">
        <f t="shared" si="1267"/>
        <v>-</v>
      </c>
    </row>
    <row r="1947" spans="1:39" x14ac:dyDescent="0.25">
      <c r="A1947" t="str">
        <f>"IWP066"</f>
        <v>IWP066</v>
      </c>
      <c r="B1947" t="str">
        <f>"INYECTOR NAFTA PALIO SIENA FIORINO UNO ARO CELESTE"</f>
        <v>INYECTOR NAFTA PALIO SIENA FIORINO UNO ARO CELESTE</v>
      </c>
      <c r="C1947" t="str">
        <f t="shared" si="1271"/>
        <v>$ 31219,90</v>
      </c>
      <c r="D1947" t="str">
        <f t="shared" si="1271"/>
        <v>$ 31219,90</v>
      </c>
      <c r="E1947" t="str">
        <f t="shared" si="1271"/>
        <v>$ 31219,90</v>
      </c>
      <c r="F1947" t="str">
        <f t="shared" si="1271"/>
        <v>$ 31219,90</v>
      </c>
      <c r="G1947" t="str">
        <f t="shared" si="1271"/>
        <v>$ 31219,90</v>
      </c>
      <c r="H1947" t="str">
        <f t="shared" si="1243"/>
        <v>$ 0,00</v>
      </c>
      <c r="I1947" t="str">
        <f t="shared" si="1244"/>
        <v>INYECTORES NAFTA</v>
      </c>
      <c r="J1947" t="str">
        <f t="shared" si="1245"/>
        <v>1</v>
      </c>
      <c r="K1947" t="str">
        <f t="shared" si="1268"/>
        <v>0</v>
      </c>
      <c r="L1947" t="str">
        <f>"4,000"</f>
        <v>4,000</v>
      </c>
      <c r="M1947" t="str">
        <f t="shared" si="1246"/>
        <v xml:space="preserve"> </v>
      </c>
      <c r="N1947" t="str">
        <f t="shared" si="1265"/>
        <v>REGITAR</v>
      </c>
      <c r="O1947" t="str">
        <f t="shared" si="1247"/>
        <v>INYECTORES</v>
      </c>
      <c r="P1947" t="str">
        <f t="shared" si="1269"/>
        <v>0</v>
      </c>
      <c r="Q1947" t="str">
        <f t="shared" si="1269"/>
        <v>0</v>
      </c>
      <c r="R1947" t="str">
        <f t="shared" si="1270"/>
        <v>0,00</v>
      </c>
      <c r="S1947" t="str">
        <f t="shared" si="1270"/>
        <v>0,00</v>
      </c>
      <c r="T1947" t="str">
        <f t="shared" si="1242"/>
        <v xml:space="preserve"> </v>
      </c>
      <c r="U1947" t="str">
        <f t="shared" si="1266"/>
        <v xml:space="preserve"> </v>
      </c>
      <c r="V1947" t="str">
        <f>"4,000"</f>
        <v>4,000</v>
      </c>
      <c r="W1947" t="str">
        <f t="shared" si="1250"/>
        <v>Lista 4</v>
      </c>
      <c r="X1947" t="str">
        <f t="shared" si="1251"/>
        <v>Lista 5</v>
      </c>
      <c r="Y1947" t="str">
        <f t="shared" si="1252"/>
        <v>Oferta Gral.</v>
      </c>
      <c r="Z1947" t="str">
        <f t="shared" si="1253"/>
        <v>Rubro</v>
      </c>
      <c r="AA1947" t="str">
        <f t="shared" si="1254"/>
        <v>Cantidad por Bulto</v>
      </c>
      <c r="AB1947" t="str">
        <f t="shared" si="1255"/>
        <v>INNER</v>
      </c>
      <c r="AC1947" t="str">
        <f t="shared" si="1256"/>
        <v>Stock en Bultos</v>
      </c>
      <c r="AD1947" t="str">
        <f t="shared" si="1257"/>
        <v>SubDepósito</v>
      </c>
      <c r="AE1947" t="str">
        <f t="shared" si="1258"/>
        <v>Marca</v>
      </c>
      <c r="AF1947" t="str">
        <f t="shared" si="1259"/>
        <v>Super Rubro</v>
      </c>
      <c r="AG1947" t="str">
        <f t="shared" si="1260"/>
        <v>ComercioExterior</v>
      </c>
      <c r="AH1947" t="str">
        <f t="shared" si="1261"/>
        <v>PrecioFOB</v>
      </c>
      <c r="AI1947" t="str">
        <f t="shared" si="1262"/>
        <v>Monto II</v>
      </c>
      <c r="AJ1947" t="str">
        <f t="shared" si="1263"/>
        <v>Porcentaje II</v>
      </c>
      <c r="AK1947" t="str">
        <f t="shared" si="1264"/>
        <v>Foto</v>
      </c>
      <c r="AL1947" t="str">
        <f>"{\rtf1\ansi\ansicpg1252\deff0\deflang11274{\fonttbl{\f0\fnil\fcharset0 MS Sans Serif}} \viewkind4\uc1\pard\f0\fs16 INYECTOR NAFTA PALIO SIENA FIORINO UNO ARO CELESTE\par } "</f>
        <v xml:space="preserve">{\rtf1\ansi\ansicpg1252\deff0\deflang11274{\fonttbl{\f0\fnil\fcharset0 MS Sans Serif}} \viewkind4\uc1\pard\f0\fs16 INYECTOR NAFTA PALIO SIENA FIORINO UNO ARO CELESTE\par } </v>
      </c>
      <c r="AM1947" t="str">
        <f t="shared" si="1267"/>
        <v>-</v>
      </c>
    </row>
    <row r="1948" spans="1:39" x14ac:dyDescent="0.25">
      <c r="A1948" t="str">
        <f>"IWP157"</f>
        <v>IWP157</v>
      </c>
      <c r="B1948" t="str">
        <f>"INYECTOR NAFTA PALIO/SIENA 1,8 RST MOTOR GM(D.03) TIPO MARELLI 50102702 (ARO AMARILLO"</f>
        <v>INYECTOR NAFTA PALIO/SIENA 1,8 RST MOTOR GM(D.03) TIPO MARELLI 50102702 (ARO AMARILLO</v>
      </c>
      <c r="C1948" t="str">
        <f>"$ 31029,86"</f>
        <v>$ 31029,86</v>
      </c>
      <c r="D1948" t="str">
        <f>"$ 31029,86"</f>
        <v>$ 31029,86</v>
      </c>
      <c r="E1948" t="str">
        <f>"$ 31029,86"</f>
        <v>$ 31029,86</v>
      </c>
      <c r="F1948" t="str">
        <f>"$ 31029,86"</f>
        <v>$ 31029,86</v>
      </c>
      <c r="G1948" t="str">
        <f>"$ 31029,86"</f>
        <v>$ 31029,86</v>
      </c>
      <c r="H1948" t="str">
        <f t="shared" si="1243"/>
        <v>$ 0,00</v>
      </c>
      <c r="I1948" t="str">
        <f t="shared" si="1244"/>
        <v>INYECTORES NAFTA</v>
      </c>
      <c r="J1948" t="str">
        <f t="shared" si="1245"/>
        <v>1</v>
      </c>
      <c r="K1948" t="str">
        <f t="shared" si="1268"/>
        <v>0</v>
      </c>
      <c r="L1948" t="str">
        <f>"1,000"</f>
        <v>1,000</v>
      </c>
      <c r="M1948" t="str">
        <f t="shared" si="1246"/>
        <v xml:space="preserve"> </v>
      </c>
      <c r="N1948" t="str">
        <f t="shared" si="1265"/>
        <v>REGITAR</v>
      </c>
      <c r="O1948" t="str">
        <f t="shared" si="1247"/>
        <v>INYECTORES</v>
      </c>
      <c r="P1948" t="str">
        <f t="shared" si="1269"/>
        <v>0</v>
      </c>
      <c r="Q1948" t="str">
        <f t="shared" si="1269"/>
        <v>0</v>
      </c>
      <c r="R1948" t="str">
        <f t="shared" si="1270"/>
        <v>0,00</v>
      </c>
      <c r="S1948" t="str">
        <f t="shared" si="1270"/>
        <v>0,00</v>
      </c>
      <c r="T1948" t="str">
        <f t="shared" si="1242"/>
        <v xml:space="preserve"> </v>
      </c>
      <c r="U1948" t="str">
        <f t="shared" si="1266"/>
        <v xml:space="preserve"> </v>
      </c>
      <c r="V1948" t="str">
        <f>"1,000"</f>
        <v>1,000</v>
      </c>
      <c r="W1948" t="str">
        <f t="shared" si="1250"/>
        <v>Lista 4</v>
      </c>
      <c r="X1948" t="str">
        <f t="shared" si="1251"/>
        <v>Lista 5</v>
      </c>
      <c r="Y1948" t="str">
        <f t="shared" si="1252"/>
        <v>Oferta Gral.</v>
      </c>
      <c r="Z1948" t="str">
        <f t="shared" si="1253"/>
        <v>Rubro</v>
      </c>
      <c r="AA1948" t="str">
        <f t="shared" si="1254"/>
        <v>Cantidad por Bulto</v>
      </c>
      <c r="AB1948" t="str">
        <f t="shared" si="1255"/>
        <v>INNER</v>
      </c>
      <c r="AC1948" t="str">
        <f t="shared" si="1256"/>
        <v>Stock en Bultos</v>
      </c>
      <c r="AD1948" t="str">
        <f t="shared" si="1257"/>
        <v>SubDepósito</v>
      </c>
      <c r="AE1948" t="str">
        <f t="shared" si="1258"/>
        <v>Marca</v>
      </c>
      <c r="AF1948" t="str">
        <f t="shared" si="1259"/>
        <v>Super Rubro</v>
      </c>
      <c r="AG1948" t="str">
        <f t="shared" si="1260"/>
        <v>ComercioExterior</v>
      </c>
      <c r="AH1948" t="str">
        <f t="shared" si="1261"/>
        <v>PrecioFOB</v>
      </c>
      <c r="AI1948" t="str">
        <f t="shared" si="1262"/>
        <v>Monto II</v>
      </c>
      <c r="AJ1948" t="str">
        <f t="shared" si="1263"/>
        <v>Porcentaje II</v>
      </c>
      <c r="AK1948" t="str">
        <f t="shared" si="1264"/>
        <v>Foto</v>
      </c>
      <c r="AL1948" t="str">
        <f>"{\rtf1\ansi\ansicpg1252\deff0\deflang11274{\fonttbl{\f0\fnil\fcharset0 MS Sans Serif}} \viewkind4\uc1\pard\f0\fs16 INYECTOR NAFTA PALIO/SIENA 1,8 RST MOTOR GM(D.03) TIPO MARELLI 50102702 (ARO AMARILLO\par } "</f>
        <v xml:space="preserve">{\rtf1\ansi\ansicpg1252\deff0\deflang11274{\fonttbl{\f0\fnil\fcharset0 MS Sans Serif}} \viewkind4\uc1\pard\f0\fs16 INYECTOR NAFTA PALIO/SIENA 1,8 RST MOTOR GM(D.03) TIPO MARELLI 50102702 (ARO AMARILLO\par } </v>
      </c>
      <c r="AM1948" t="str">
        <f t="shared" si="1267"/>
        <v>-</v>
      </c>
    </row>
    <row r="1949" spans="1:39" x14ac:dyDescent="0.25">
      <c r="A1949" t="str">
        <f>"IWP001"</f>
        <v>IWP001</v>
      </c>
      <c r="B1949" t="str">
        <f>"INYECTOR NAFTA PALIO/SIENA/BRAVA/STRADA 1,6 16V MPI (96/01)  MARELLI 50101102 (ARO GRIS)"</f>
        <v>INYECTOR NAFTA PALIO/SIENA/BRAVA/STRADA 1,6 16V MPI (96/01)  MARELLI 50101102 (ARO GRIS)</v>
      </c>
      <c r="C1949" t="str">
        <f t="shared" ref="C1949:G1950" si="1272">"$ 31737,22"</f>
        <v>$ 31737,22</v>
      </c>
      <c r="D1949" t="str">
        <f t="shared" si="1272"/>
        <v>$ 31737,22</v>
      </c>
      <c r="E1949" t="str">
        <f t="shared" si="1272"/>
        <v>$ 31737,22</v>
      </c>
      <c r="F1949" t="str">
        <f t="shared" si="1272"/>
        <v>$ 31737,22</v>
      </c>
      <c r="G1949" t="str">
        <f t="shared" si="1272"/>
        <v>$ 31737,22</v>
      </c>
      <c r="H1949" t="str">
        <f t="shared" si="1243"/>
        <v>$ 0,00</v>
      </c>
      <c r="I1949" t="str">
        <f t="shared" si="1244"/>
        <v>INYECTORES NAFTA</v>
      </c>
      <c r="J1949" t="str">
        <f t="shared" si="1245"/>
        <v>1</v>
      </c>
      <c r="K1949" t="str">
        <f t="shared" si="1268"/>
        <v>0</v>
      </c>
      <c r="L1949" t="str">
        <f>"4,000"</f>
        <v>4,000</v>
      </c>
      <c r="M1949" t="str">
        <f t="shared" si="1246"/>
        <v xml:space="preserve"> </v>
      </c>
      <c r="N1949" t="str">
        <f t="shared" si="1265"/>
        <v>REGITAR</v>
      </c>
      <c r="O1949" t="str">
        <f t="shared" si="1247"/>
        <v>INYECTORES</v>
      </c>
      <c r="P1949" t="str">
        <f t="shared" si="1269"/>
        <v>0</v>
      </c>
      <c r="Q1949" t="str">
        <f t="shared" si="1269"/>
        <v>0</v>
      </c>
      <c r="R1949" t="str">
        <f t="shared" si="1270"/>
        <v>0,00</v>
      </c>
      <c r="S1949" t="str">
        <f t="shared" si="1270"/>
        <v>0,00</v>
      </c>
      <c r="T1949" t="str">
        <f t="shared" si="1242"/>
        <v xml:space="preserve"> </v>
      </c>
      <c r="U1949" t="str">
        <f t="shared" si="1266"/>
        <v xml:space="preserve"> </v>
      </c>
      <c r="V1949" t="str">
        <f>"4,000"</f>
        <v>4,000</v>
      </c>
      <c r="W1949" t="str">
        <f t="shared" si="1250"/>
        <v>Lista 4</v>
      </c>
      <c r="X1949" t="str">
        <f t="shared" si="1251"/>
        <v>Lista 5</v>
      </c>
      <c r="Y1949" t="str">
        <f t="shared" si="1252"/>
        <v>Oferta Gral.</v>
      </c>
      <c r="Z1949" t="str">
        <f t="shared" si="1253"/>
        <v>Rubro</v>
      </c>
      <c r="AA1949" t="str">
        <f t="shared" si="1254"/>
        <v>Cantidad por Bulto</v>
      </c>
      <c r="AB1949" t="str">
        <f t="shared" si="1255"/>
        <v>INNER</v>
      </c>
      <c r="AC1949" t="str">
        <f t="shared" si="1256"/>
        <v>Stock en Bultos</v>
      </c>
      <c r="AD1949" t="str">
        <f t="shared" si="1257"/>
        <v>SubDepósito</v>
      </c>
      <c r="AE1949" t="str">
        <f t="shared" si="1258"/>
        <v>Marca</v>
      </c>
      <c r="AF1949" t="str">
        <f t="shared" si="1259"/>
        <v>Super Rubro</v>
      </c>
      <c r="AG1949" t="str">
        <f t="shared" si="1260"/>
        <v>ComercioExterior</v>
      </c>
      <c r="AH1949" t="str">
        <f t="shared" si="1261"/>
        <v>PrecioFOB</v>
      </c>
      <c r="AI1949" t="str">
        <f t="shared" si="1262"/>
        <v>Monto II</v>
      </c>
      <c r="AJ1949" t="str">
        <f t="shared" si="1263"/>
        <v>Porcentaje II</v>
      </c>
      <c r="AK1949" t="str">
        <f t="shared" si="1264"/>
        <v>Foto</v>
      </c>
      <c r="AL1949" t="str">
        <f>"{\rtf1\ansi\ansicpg1252\deff0\deflang11274{\fonttbl{\f0\fnil\fcharset0 MS Sans Serif}} \viewkind4\uc1\pard\f0\fs16 INYECTOR NAFTA PALIO/SIENA/BRAVA/STRADA 1,6 16V MPI (96/01)  MARELLI 50101102 (ARO GRIS)\par } "</f>
        <v xml:space="preserve">{\rtf1\ansi\ansicpg1252\deff0\deflang11274{\fonttbl{\f0\fnil\fcharset0 MS Sans Serif}} \viewkind4\uc1\pard\f0\fs16 INYECTOR NAFTA PALIO/SIENA/BRAVA/STRADA 1,6 16V MPI (96/01)  MARELLI 50101102 (ARO GRIS)\par } </v>
      </c>
      <c r="AM1949" t="str">
        <f t="shared" si="1267"/>
        <v>-</v>
      </c>
    </row>
    <row r="1950" spans="1:39" x14ac:dyDescent="0.25">
      <c r="A1950" t="str">
        <f>"IWP067"</f>
        <v>IWP067</v>
      </c>
      <c r="B1950" t="str">
        <f>"INYECTOR NAFTA PALIO/SIENA/STRADA/UNO MILLE (99 - 00) MARELLI 50101402 (ARO ROSA)"</f>
        <v>INYECTOR NAFTA PALIO/SIENA/STRADA/UNO MILLE (99 - 00) MARELLI 50101402 (ARO ROSA)</v>
      </c>
      <c r="C1950" t="str">
        <f t="shared" si="1272"/>
        <v>$ 31737,22</v>
      </c>
      <c r="D1950" t="str">
        <f t="shared" si="1272"/>
        <v>$ 31737,22</v>
      </c>
      <c r="E1950" t="str">
        <f t="shared" si="1272"/>
        <v>$ 31737,22</v>
      </c>
      <c r="F1950" t="str">
        <f t="shared" si="1272"/>
        <v>$ 31737,22</v>
      </c>
      <c r="G1950" t="str">
        <f t="shared" si="1272"/>
        <v>$ 31737,22</v>
      </c>
      <c r="H1950" t="str">
        <f t="shared" si="1243"/>
        <v>$ 0,00</v>
      </c>
      <c r="I1950" t="str">
        <f t="shared" si="1244"/>
        <v>INYECTORES NAFTA</v>
      </c>
      <c r="J1950" t="str">
        <f t="shared" si="1245"/>
        <v>1</v>
      </c>
      <c r="K1950" t="str">
        <f t="shared" si="1268"/>
        <v>0</v>
      </c>
      <c r="L1950" t="str">
        <f>"0,000"</f>
        <v>0,000</v>
      </c>
      <c r="M1950" t="str">
        <f t="shared" si="1246"/>
        <v xml:space="preserve"> </v>
      </c>
      <c r="N1950" t="str">
        <f t="shared" si="1265"/>
        <v>REGITAR</v>
      </c>
      <c r="O1950" t="str">
        <f t="shared" si="1247"/>
        <v>INYECTORES</v>
      </c>
      <c r="P1950" t="str">
        <f t="shared" si="1269"/>
        <v>0</v>
      </c>
      <c r="Q1950" t="str">
        <f t="shared" si="1269"/>
        <v>0</v>
      </c>
      <c r="R1950" t="str">
        <f t="shared" si="1270"/>
        <v>0,00</v>
      </c>
      <c r="S1950" t="str">
        <f t="shared" si="1270"/>
        <v>0,00</v>
      </c>
      <c r="T1950" t="str">
        <f t="shared" si="1242"/>
        <v xml:space="preserve"> </v>
      </c>
      <c r="U1950" t="str">
        <f t="shared" si="1266"/>
        <v xml:space="preserve"> </v>
      </c>
      <c r="V1950" t="str">
        <f>"0,000"</f>
        <v>0,000</v>
      </c>
      <c r="W1950" t="str">
        <f t="shared" si="1250"/>
        <v>Lista 4</v>
      </c>
      <c r="X1950" t="str">
        <f t="shared" si="1251"/>
        <v>Lista 5</v>
      </c>
      <c r="Y1950" t="str">
        <f t="shared" si="1252"/>
        <v>Oferta Gral.</v>
      </c>
      <c r="Z1950" t="str">
        <f t="shared" si="1253"/>
        <v>Rubro</v>
      </c>
      <c r="AA1950" t="str">
        <f t="shared" si="1254"/>
        <v>Cantidad por Bulto</v>
      </c>
      <c r="AB1950" t="str">
        <f t="shared" si="1255"/>
        <v>INNER</v>
      </c>
      <c r="AC1950" t="str">
        <f t="shared" si="1256"/>
        <v>Stock en Bultos</v>
      </c>
      <c r="AD1950" t="str">
        <f t="shared" si="1257"/>
        <v>SubDepósito</v>
      </c>
      <c r="AE1950" t="str">
        <f t="shared" si="1258"/>
        <v>Marca</v>
      </c>
      <c r="AF1950" t="str">
        <f t="shared" si="1259"/>
        <v>Super Rubro</v>
      </c>
      <c r="AG1950" t="str">
        <f t="shared" si="1260"/>
        <v>ComercioExterior</v>
      </c>
      <c r="AH1950" t="str">
        <f t="shared" si="1261"/>
        <v>PrecioFOB</v>
      </c>
      <c r="AI1950" t="str">
        <f t="shared" si="1262"/>
        <v>Monto II</v>
      </c>
      <c r="AJ1950" t="str">
        <f t="shared" si="1263"/>
        <v>Porcentaje II</v>
      </c>
      <c r="AK1950" t="str">
        <f t="shared" si="1264"/>
        <v>Foto</v>
      </c>
      <c r="AL1950" t="str">
        <f>"{\rtf1\ansi\ansicpg1252\deff0\deflang11274{\fonttbl{\f0\fnil\fcharset0 MS Sans Serif}} \viewkind4\uc1\pard\f0\fs16 INYECTOR NAFTA PALIO/SIENA/STRADA/UNO MILLE (99 - 00) MARELLI 50101402 (ARO ROSA)\par } "</f>
        <v xml:space="preserve">{\rtf1\ansi\ansicpg1252\deff0\deflang11274{\fonttbl{\f0\fnil\fcharset0 MS Sans Serif}} \viewkind4\uc1\pard\f0\fs16 INYECTOR NAFTA PALIO/SIENA/STRADA/UNO MILLE (99 - 00) MARELLI 50101402 (ARO ROSA)\par } </v>
      </c>
      <c r="AM1950" t="str">
        <f t="shared" si="1267"/>
        <v>-</v>
      </c>
    </row>
    <row r="1951" spans="1:39" x14ac:dyDescent="0.25">
      <c r="A1951" t="str">
        <f>"IWP065"</f>
        <v>IWP065</v>
      </c>
      <c r="B1951" t="str">
        <f>"INYECTOR NAFTA PALIO/SIENA/UNO/ 1,0/1,3/1.5 FIRE MPI (D. 96)  MARELLI 50101302   (ARO VIOLETA)"</f>
        <v>INYECTOR NAFTA PALIO/SIENA/UNO/ 1,0/1,3/1.5 FIRE MPI (D. 96)  MARELLI 50101302   (ARO VIOLETA)</v>
      </c>
      <c r="C1951" t="str">
        <f>"$ 31547,18"</f>
        <v>$ 31547,18</v>
      </c>
      <c r="D1951" t="str">
        <f>"$ 31547,18"</f>
        <v>$ 31547,18</v>
      </c>
      <c r="E1951" t="str">
        <f>"$ 31547,18"</f>
        <v>$ 31547,18</v>
      </c>
      <c r="F1951" t="str">
        <f>"$ 31547,18"</f>
        <v>$ 31547,18</v>
      </c>
      <c r="G1951" t="str">
        <f>"$ 31547,18"</f>
        <v>$ 31547,18</v>
      </c>
      <c r="H1951" t="str">
        <f t="shared" si="1243"/>
        <v>$ 0,00</v>
      </c>
      <c r="I1951" t="str">
        <f t="shared" si="1244"/>
        <v>INYECTORES NAFTA</v>
      </c>
      <c r="J1951" t="str">
        <f t="shared" si="1245"/>
        <v>1</v>
      </c>
      <c r="K1951" t="str">
        <f t="shared" si="1268"/>
        <v>0</v>
      </c>
      <c r="L1951" t="str">
        <f>"26,000"</f>
        <v>26,000</v>
      </c>
      <c r="M1951" t="str">
        <f t="shared" si="1246"/>
        <v xml:space="preserve"> </v>
      </c>
      <c r="N1951" t="str">
        <f t="shared" si="1265"/>
        <v>REGITAR</v>
      </c>
      <c r="O1951" t="str">
        <f t="shared" si="1247"/>
        <v>INYECTORES</v>
      </c>
      <c r="P1951" t="str">
        <f t="shared" si="1269"/>
        <v>0</v>
      </c>
      <c r="Q1951" t="str">
        <f t="shared" si="1269"/>
        <v>0</v>
      </c>
      <c r="R1951" t="str">
        <f t="shared" si="1270"/>
        <v>0,00</v>
      </c>
      <c r="S1951" t="str">
        <f t="shared" si="1270"/>
        <v>0,00</v>
      </c>
      <c r="T1951" t="str">
        <f t="shared" si="1242"/>
        <v xml:space="preserve"> </v>
      </c>
      <c r="U1951" t="str">
        <f t="shared" si="1266"/>
        <v xml:space="preserve"> </v>
      </c>
      <c r="V1951" t="str">
        <f>"26,000"</f>
        <v>26,000</v>
      </c>
      <c r="W1951" t="str">
        <f t="shared" si="1250"/>
        <v>Lista 4</v>
      </c>
      <c r="X1951" t="str">
        <f t="shared" si="1251"/>
        <v>Lista 5</v>
      </c>
      <c r="Y1951" t="str">
        <f t="shared" si="1252"/>
        <v>Oferta Gral.</v>
      </c>
      <c r="Z1951" t="str">
        <f t="shared" si="1253"/>
        <v>Rubro</v>
      </c>
      <c r="AA1951" t="str">
        <f t="shared" si="1254"/>
        <v>Cantidad por Bulto</v>
      </c>
      <c r="AB1951" t="str">
        <f t="shared" si="1255"/>
        <v>INNER</v>
      </c>
      <c r="AC1951" t="str">
        <f t="shared" si="1256"/>
        <v>Stock en Bultos</v>
      </c>
      <c r="AD1951" t="str">
        <f t="shared" si="1257"/>
        <v>SubDepósito</v>
      </c>
      <c r="AE1951" t="str">
        <f t="shared" si="1258"/>
        <v>Marca</v>
      </c>
      <c r="AF1951" t="str">
        <f t="shared" si="1259"/>
        <v>Super Rubro</v>
      </c>
      <c r="AG1951" t="str">
        <f t="shared" si="1260"/>
        <v>ComercioExterior</v>
      </c>
      <c r="AH1951" t="str">
        <f t="shared" si="1261"/>
        <v>PrecioFOB</v>
      </c>
      <c r="AI1951" t="str">
        <f t="shared" si="1262"/>
        <v>Monto II</v>
      </c>
      <c r="AJ1951" t="str">
        <f t="shared" si="1263"/>
        <v>Porcentaje II</v>
      </c>
      <c r="AK1951" t="str">
        <f t="shared" si="1264"/>
        <v>Foto</v>
      </c>
      <c r="AL1951" t="str">
        <f>"{\rtf1\ansi\ansicpg1252\deff0\deflang11274{\fonttbl{\f0\fnil\fcharset0 MS Sans Serif}} \viewkind4\uc1\pard\f0\fs16 INYECTOR NAFTA PALIO/SIENA/UNO/ 1,0/1,3/1.5 FIRE MPI (D. 96)  MARELLI 50101302   (ARO VIOLETA)\par } "</f>
        <v xml:space="preserve">{\rtf1\ansi\ansicpg1252\deff0\deflang11274{\fonttbl{\f0\fnil\fcharset0 MS Sans Serif}} \viewkind4\uc1\pard\f0\fs16 INYECTOR NAFTA PALIO/SIENA/UNO/ 1,0/1,3/1.5 FIRE MPI (D. 96)  MARELLI 50101302   (ARO VIOLETA)\par } </v>
      </c>
      <c r="AM1951" t="str">
        <f t="shared" si="1267"/>
        <v>-</v>
      </c>
    </row>
    <row r="1952" spans="1:39" x14ac:dyDescent="0.25">
      <c r="A1952" t="str">
        <f>"IPM002"</f>
        <v>IPM002</v>
      </c>
      <c r="B1952" t="str">
        <f>"INYECTOR NAFTA PEUGEOT 106 - 206 - 306 - CITROEN SAXO - XANTIA - XSARA         (NEGRO)"</f>
        <v>INYECTOR NAFTA PEUGEOT 106 - 206 - 306 - CITROEN SAXO - XANTIA - XSARA         (NEGRO)</v>
      </c>
      <c r="C1952" t="str">
        <f>"$ 47890,90"</f>
        <v>$ 47890,90</v>
      </c>
      <c r="D1952" t="str">
        <f>"$ 47890,90"</f>
        <v>$ 47890,90</v>
      </c>
      <c r="E1952" t="str">
        <f>"$ 47890,90"</f>
        <v>$ 47890,90</v>
      </c>
      <c r="F1952" t="str">
        <f>"$ 47890,90"</f>
        <v>$ 47890,90</v>
      </c>
      <c r="G1952" t="str">
        <f>"$ 47890,90"</f>
        <v>$ 47890,90</v>
      </c>
      <c r="H1952" t="str">
        <f t="shared" si="1243"/>
        <v>$ 0,00</v>
      </c>
      <c r="I1952" t="str">
        <f t="shared" si="1244"/>
        <v>INYECTORES NAFTA</v>
      </c>
      <c r="J1952" t="str">
        <f t="shared" si="1245"/>
        <v>1</v>
      </c>
      <c r="K1952" t="str">
        <f t="shared" si="1268"/>
        <v>0</v>
      </c>
      <c r="L1952" t="str">
        <f>"0,000"</f>
        <v>0,000</v>
      </c>
      <c r="M1952" t="str">
        <f t="shared" si="1246"/>
        <v xml:space="preserve"> </v>
      </c>
      <c r="N1952" t="str">
        <f t="shared" si="1265"/>
        <v>REGITAR</v>
      </c>
      <c r="O1952" t="str">
        <f t="shared" si="1247"/>
        <v>INYECTORES</v>
      </c>
      <c r="P1952" t="str">
        <f t="shared" si="1269"/>
        <v>0</v>
      </c>
      <c r="Q1952" t="str">
        <f t="shared" si="1269"/>
        <v>0</v>
      </c>
      <c r="R1952" t="str">
        <f t="shared" si="1270"/>
        <v>0,00</v>
      </c>
      <c r="S1952" t="str">
        <f t="shared" si="1270"/>
        <v>0,00</v>
      </c>
      <c r="T1952" t="str">
        <f t="shared" si="1242"/>
        <v xml:space="preserve"> </v>
      </c>
      <c r="U1952" t="str">
        <f t="shared" si="1266"/>
        <v xml:space="preserve"> </v>
      </c>
      <c r="V1952" t="str">
        <f>"0,000"</f>
        <v>0,000</v>
      </c>
      <c r="W1952" t="str">
        <f t="shared" si="1250"/>
        <v>Lista 4</v>
      </c>
      <c r="X1952" t="str">
        <f t="shared" si="1251"/>
        <v>Lista 5</v>
      </c>
      <c r="Y1952" t="str">
        <f t="shared" si="1252"/>
        <v>Oferta Gral.</v>
      </c>
      <c r="Z1952" t="str">
        <f t="shared" si="1253"/>
        <v>Rubro</v>
      </c>
      <c r="AA1952" t="str">
        <f t="shared" si="1254"/>
        <v>Cantidad por Bulto</v>
      </c>
      <c r="AB1952" t="str">
        <f t="shared" si="1255"/>
        <v>INNER</v>
      </c>
      <c r="AC1952" t="str">
        <f t="shared" si="1256"/>
        <v>Stock en Bultos</v>
      </c>
      <c r="AD1952" t="str">
        <f t="shared" si="1257"/>
        <v>SubDepósito</v>
      </c>
      <c r="AE1952" t="str">
        <f t="shared" si="1258"/>
        <v>Marca</v>
      </c>
      <c r="AF1952" t="str">
        <f t="shared" si="1259"/>
        <v>Super Rubro</v>
      </c>
      <c r="AG1952" t="str">
        <f t="shared" si="1260"/>
        <v>ComercioExterior</v>
      </c>
      <c r="AH1952" t="str">
        <f t="shared" si="1261"/>
        <v>PrecioFOB</v>
      </c>
      <c r="AI1952" t="str">
        <f t="shared" si="1262"/>
        <v>Monto II</v>
      </c>
      <c r="AJ1952" t="str">
        <f t="shared" si="1263"/>
        <v>Porcentaje II</v>
      </c>
      <c r="AK1952" t="str">
        <f t="shared" si="1264"/>
        <v>Foto</v>
      </c>
      <c r="AL1952" t="str">
        <f>"{\rtf1\ansi\ansicpg1252\deff0\deflang11274{\fonttbl{\f0\fnil\fcharset0 MS Sans Serif}} \viewkind4\uc1\pard\f0\fs16 INYECTOR NAFTA PEUGEOT 106 - 206 - 306 - CITROEN SAXO - XANTIA - XSARA         (NEGRO)\par } "</f>
        <v xml:space="preserve">{\rtf1\ansi\ansicpg1252\deff0\deflang11274{\fonttbl{\f0\fnil\fcharset0 MS Sans Serif}} \viewkind4\uc1\pard\f0\fs16 INYECTOR NAFTA PEUGEOT 106 - 206 - 306 - CITROEN SAXO - XANTIA - XSARA         (NEGRO)\par } </v>
      </c>
      <c r="AM1952" t="str">
        <f t="shared" si="1267"/>
        <v>-</v>
      </c>
    </row>
    <row r="1953" spans="1:39" x14ac:dyDescent="0.25">
      <c r="A1953" t="str">
        <f>"01F002A"</f>
        <v>01F002A</v>
      </c>
      <c r="B1953" t="str">
        <f>"INYECTOR NAFTA PEUGEOT 206 - 306 - PARTNER - DELPHI 01F002A (ARO AZUL)"</f>
        <v>INYECTOR NAFTA PEUGEOT 206 - 306 - PARTNER - DELPHI 01F002A (ARO AZUL)</v>
      </c>
      <c r="C1953" t="str">
        <f>"$ 50361,47"</f>
        <v>$ 50361,47</v>
      </c>
      <c r="D1953" t="str">
        <f>"$ 50361,47"</f>
        <v>$ 50361,47</v>
      </c>
      <c r="E1953" t="str">
        <f>"$ 50361,47"</f>
        <v>$ 50361,47</v>
      </c>
      <c r="F1953" t="str">
        <f>"$ 50361,47"</f>
        <v>$ 50361,47</v>
      </c>
      <c r="G1953" t="str">
        <f>"$ 50361,47"</f>
        <v>$ 50361,47</v>
      </c>
      <c r="H1953" t="str">
        <f t="shared" si="1243"/>
        <v>$ 0,00</v>
      </c>
      <c r="I1953" t="str">
        <f t="shared" si="1244"/>
        <v>INYECTORES NAFTA</v>
      </c>
      <c r="J1953" t="str">
        <f t="shared" si="1245"/>
        <v>1</v>
      </c>
      <c r="K1953" t="str">
        <f t="shared" si="1268"/>
        <v>0</v>
      </c>
      <c r="L1953" t="str">
        <f>"4,000"</f>
        <v>4,000</v>
      </c>
      <c r="M1953" t="str">
        <f t="shared" si="1246"/>
        <v xml:space="preserve"> </v>
      </c>
      <c r="N1953" t="str">
        <f t="shared" si="1265"/>
        <v>REGITAR</v>
      </c>
      <c r="O1953" t="str">
        <f t="shared" si="1247"/>
        <v>INYECTORES</v>
      </c>
      <c r="P1953" t="str">
        <f t="shared" si="1269"/>
        <v>0</v>
      </c>
      <c r="Q1953" t="str">
        <f t="shared" si="1269"/>
        <v>0</v>
      </c>
      <c r="R1953" t="str">
        <f t="shared" si="1270"/>
        <v>0,00</v>
      </c>
      <c r="S1953" t="str">
        <f t="shared" si="1270"/>
        <v>0,00</v>
      </c>
      <c r="T1953" t="str">
        <f t="shared" si="1242"/>
        <v xml:space="preserve"> </v>
      </c>
      <c r="U1953" t="str">
        <f t="shared" si="1266"/>
        <v xml:space="preserve"> </v>
      </c>
      <c r="V1953" t="str">
        <f>"4,000"</f>
        <v>4,000</v>
      </c>
      <c r="W1953" t="str">
        <f t="shared" si="1250"/>
        <v>Lista 4</v>
      </c>
      <c r="X1953" t="str">
        <f t="shared" si="1251"/>
        <v>Lista 5</v>
      </c>
      <c r="Y1953" t="str">
        <f t="shared" si="1252"/>
        <v>Oferta Gral.</v>
      </c>
      <c r="Z1953" t="str">
        <f t="shared" si="1253"/>
        <v>Rubro</v>
      </c>
      <c r="AA1953" t="str">
        <f t="shared" si="1254"/>
        <v>Cantidad por Bulto</v>
      </c>
      <c r="AB1953" t="str">
        <f t="shared" si="1255"/>
        <v>INNER</v>
      </c>
      <c r="AC1953" t="str">
        <f t="shared" si="1256"/>
        <v>Stock en Bultos</v>
      </c>
      <c r="AD1953" t="str">
        <f t="shared" si="1257"/>
        <v>SubDepósito</v>
      </c>
      <c r="AE1953" t="str">
        <f t="shared" si="1258"/>
        <v>Marca</v>
      </c>
      <c r="AF1953" t="str">
        <f t="shared" si="1259"/>
        <v>Super Rubro</v>
      </c>
      <c r="AG1953" t="str">
        <f t="shared" si="1260"/>
        <v>ComercioExterior</v>
      </c>
      <c r="AH1953" t="str">
        <f t="shared" si="1261"/>
        <v>PrecioFOB</v>
      </c>
      <c r="AI1953" t="str">
        <f t="shared" si="1262"/>
        <v>Monto II</v>
      </c>
      <c r="AJ1953" t="str">
        <f t="shared" si="1263"/>
        <v>Porcentaje II</v>
      </c>
      <c r="AK1953" t="str">
        <f t="shared" si="1264"/>
        <v>Foto</v>
      </c>
      <c r="AL1953" t="str">
        <f>"{\rtf1\ansi\ansicpg1252\deff0\deflang11274{\fonttbl{\f0\fnil\fcharset0 MS Sans Serif}} \viewkind4\uc1\pard\f0\fs16 INYECTOR NAFTA PEUGEOT 206 - 306 - PARTNER - DELPHI 01F002A (ARO AZUL)\par } "</f>
        <v xml:space="preserve">{\rtf1\ansi\ansicpg1252\deff0\deflang11274{\fonttbl{\f0\fnil\fcharset0 MS Sans Serif}} \viewkind4\uc1\pard\f0\fs16 INYECTOR NAFTA PEUGEOT 206 - 306 - PARTNER - DELPHI 01F002A (ARO AZUL)\par } </v>
      </c>
      <c r="AM1953" t="str">
        <f t="shared" si="1267"/>
        <v>-</v>
      </c>
    </row>
    <row r="1954" spans="1:39" x14ac:dyDescent="0.25">
      <c r="A1954" t="str">
        <f>"D2159MA"</f>
        <v>D2159MA</v>
      </c>
      <c r="B1954" t="str">
        <f>"INYECTOR NAFTA PEUGEOT 405 - DELPHI D2159MA"</f>
        <v>INYECTOR NAFTA PEUGEOT 405 - DELPHI D2159MA</v>
      </c>
      <c r="C1954" t="str">
        <f>"$ 54046,21"</f>
        <v>$ 54046,21</v>
      </c>
      <c r="D1954" t="str">
        <f>"$ 54046,21"</f>
        <v>$ 54046,21</v>
      </c>
      <c r="E1954" t="str">
        <f>"$ 54046,21"</f>
        <v>$ 54046,21</v>
      </c>
      <c r="F1954" t="str">
        <f>"$ 54046,21"</f>
        <v>$ 54046,21</v>
      </c>
      <c r="G1954" t="str">
        <f>"$ 54046,21"</f>
        <v>$ 54046,21</v>
      </c>
      <c r="H1954" t="str">
        <f t="shared" si="1243"/>
        <v>$ 0,00</v>
      </c>
      <c r="I1954" t="str">
        <f t="shared" si="1244"/>
        <v>INYECTORES NAFTA</v>
      </c>
      <c r="J1954" t="str">
        <f t="shared" si="1245"/>
        <v>1</v>
      </c>
      <c r="K1954" t="str">
        <f t="shared" si="1268"/>
        <v>0</v>
      </c>
      <c r="L1954" t="str">
        <f>"0,000"</f>
        <v>0,000</v>
      </c>
      <c r="M1954" t="str">
        <f t="shared" si="1246"/>
        <v xml:space="preserve"> </v>
      </c>
      <c r="N1954" t="str">
        <f t="shared" si="1265"/>
        <v>REGITAR</v>
      </c>
      <c r="O1954" t="str">
        <f t="shared" si="1247"/>
        <v>INYECTORES</v>
      </c>
      <c r="P1954" t="str">
        <f t="shared" si="1269"/>
        <v>0</v>
      </c>
      <c r="Q1954" t="str">
        <f t="shared" si="1269"/>
        <v>0</v>
      </c>
      <c r="R1954" t="str">
        <f t="shared" si="1270"/>
        <v>0,00</v>
      </c>
      <c r="S1954" t="str">
        <f t="shared" si="1270"/>
        <v>0,00</v>
      </c>
      <c r="T1954" t="str">
        <f t="shared" si="1242"/>
        <v xml:space="preserve"> </v>
      </c>
      <c r="U1954" t="str">
        <f t="shared" si="1266"/>
        <v xml:space="preserve"> </v>
      </c>
      <c r="V1954" t="str">
        <f>"0,000"</f>
        <v>0,000</v>
      </c>
      <c r="W1954" t="str">
        <f t="shared" si="1250"/>
        <v>Lista 4</v>
      </c>
      <c r="X1954" t="str">
        <f t="shared" si="1251"/>
        <v>Lista 5</v>
      </c>
      <c r="Y1954" t="str">
        <f t="shared" si="1252"/>
        <v>Oferta Gral.</v>
      </c>
      <c r="Z1954" t="str">
        <f t="shared" si="1253"/>
        <v>Rubro</v>
      </c>
      <c r="AA1954" t="str">
        <f t="shared" si="1254"/>
        <v>Cantidad por Bulto</v>
      </c>
      <c r="AB1954" t="str">
        <f t="shared" si="1255"/>
        <v>INNER</v>
      </c>
      <c r="AC1954" t="str">
        <f t="shared" si="1256"/>
        <v>Stock en Bultos</v>
      </c>
      <c r="AD1954" t="str">
        <f t="shared" si="1257"/>
        <v>SubDepósito</v>
      </c>
      <c r="AE1954" t="str">
        <f t="shared" si="1258"/>
        <v>Marca</v>
      </c>
      <c r="AF1954" t="str">
        <f t="shared" si="1259"/>
        <v>Super Rubro</v>
      </c>
      <c r="AG1954" t="str">
        <f t="shared" si="1260"/>
        <v>ComercioExterior</v>
      </c>
      <c r="AH1954" t="str">
        <f t="shared" si="1261"/>
        <v>PrecioFOB</v>
      </c>
      <c r="AI1954" t="str">
        <f t="shared" si="1262"/>
        <v>Monto II</v>
      </c>
      <c r="AJ1954" t="str">
        <f t="shared" si="1263"/>
        <v>Porcentaje II</v>
      </c>
      <c r="AK1954" t="str">
        <f t="shared" si="1264"/>
        <v>Foto</v>
      </c>
      <c r="AL1954" t="str">
        <f>"{\rtf1\ansi\ansicpg1252\deff0\deflang11274{\fonttbl{\f0\fnil\fcharset0 MS Sans Serif}} \viewkind4\uc1\pard\f0\fs16 INYECTOR NAFTA PEUGEOT 405 - DELPHI D2159MA\par } "</f>
        <v xml:space="preserve">{\rtf1\ansi\ansicpg1252\deff0\deflang11274{\fonttbl{\f0\fnil\fcharset0 MS Sans Serif}} \viewkind4\uc1\pard\f0\fs16 INYECTOR NAFTA PEUGEOT 405 - DELPHI D2159MA\par } </v>
      </c>
      <c r="AM1954" t="str">
        <f t="shared" si="1267"/>
        <v>-</v>
      </c>
    </row>
    <row r="1955" spans="1:39" x14ac:dyDescent="0.25">
      <c r="A1955" t="str">
        <f>"0280150698"</f>
        <v>0280150698</v>
      </c>
      <c r="B1955" t="str">
        <f>"INYECTOR NAFTA RENAULT 19 - CLIO 1,6 MONOPUNTO BOSCH ( BASE VERDE )"</f>
        <v>INYECTOR NAFTA RENAULT 19 - CLIO 1,6 MONOPUNTO BOSCH ( BASE VERDE )</v>
      </c>
      <c r="C1955" t="str">
        <f>"$ 52969,30"</f>
        <v>$ 52969,30</v>
      </c>
      <c r="D1955" t="str">
        <f>"$ 52969,30"</f>
        <v>$ 52969,30</v>
      </c>
      <c r="E1955" t="str">
        <f>"$ 52969,30"</f>
        <v>$ 52969,30</v>
      </c>
      <c r="F1955" t="str">
        <f>"$ 52969,30"</f>
        <v>$ 52969,30</v>
      </c>
      <c r="G1955" t="str">
        <f>"$ 52969,30"</f>
        <v>$ 52969,30</v>
      </c>
      <c r="H1955" t="str">
        <f t="shared" si="1243"/>
        <v>$ 0,00</v>
      </c>
      <c r="I1955" t="str">
        <f t="shared" ref="I1955:I1983" si="1273">"INYECTORES NAFTA"</f>
        <v>INYECTORES NAFTA</v>
      </c>
      <c r="J1955" t="str">
        <f t="shared" si="1245"/>
        <v>1</v>
      </c>
      <c r="K1955" t="str">
        <f t="shared" si="1268"/>
        <v>0</v>
      </c>
      <c r="L1955" t="str">
        <f>"12,000"</f>
        <v>12,000</v>
      </c>
      <c r="M1955" t="str">
        <f t="shared" si="1246"/>
        <v xml:space="preserve"> </v>
      </c>
      <c r="N1955" t="str">
        <f t="shared" si="1265"/>
        <v>REGITAR</v>
      </c>
      <c r="O1955" t="str">
        <f t="shared" ref="O1955:O1983" si="1274">"INYECTORES"</f>
        <v>INYECTORES</v>
      </c>
      <c r="P1955" t="str">
        <f t="shared" si="1269"/>
        <v>0</v>
      </c>
      <c r="Q1955" t="str">
        <f t="shared" si="1269"/>
        <v>0</v>
      </c>
      <c r="R1955" t="str">
        <f t="shared" si="1270"/>
        <v>0,00</v>
      </c>
      <c r="S1955" t="str">
        <f t="shared" si="1270"/>
        <v>0,00</v>
      </c>
      <c r="T1955" t="str">
        <f t="shared" si="1242"/>
        <v xml:space="preserve"> </v>
      </c>
      <c r="U1955" t="str">
        <f t="shared" si="1266"/>
        <v xml:space="preserve"> </v>
      </c>
      <c r="V1955" t="str">
        <f>"12,000"</f>
        <v>12,000</v>
      </c>
      <c r="W1955" t="str">
        <f t="shared" si="1250"/>
        <v>Lista 4</v>
      </c>
      <c r="X1955" t="str">
        <f t="shared" si="1251"/>
        <v>Lista 5</v>
      </c>
      <c r="Y1955" t="str">
        <f t="shared" si="1252"/>
        <v>Oferta Gral.</v>
      </c>
      <c r="Z1955" t="str">
        <f t="shared" si="1253"/>
        <v>Rubro</v>
      </c>
      <c r="AA1955" t="str">
        <f t="shared" si="1254"/>
        <v>Cantidad por Bulto</v>
      </c>
      <c r="AB1955" t="str">
        <f t="shared" si="1255"/>
        <v>INNER</v>
      </c>
      <c r="AC1955" t="str">
        <f t="shared" si="1256"/>
        <v>Stock en Bultos</v>
      </c>
      <c r="AD1955" t="str">
        <f t="shared" si="1257"/>
        <v>SubDepósito</v>
      </c>
      <c r="AE1955" t="str">
        <f t="shared" si="1258"/>
        <v>Marca</v>
      </c>
      <c r="AF1955" t="str">
        <f t="shared" si="1259"/>
        <v>Super Rubro</v>
      </c>
      <c r="AG1955" t="str">
        <f t="shared" si="1260"/>
        <v>ComercioExterior</v>
      </c>
      <c r="AH1955" t="str">
        <f t="shared" si="1261"/>
        <v>PrecioFOB</v>
      </c>
      <c r="AI1955" t="str">
        <f t="shared" si="1262"/>
        <v>Monto II</v>
      </c>
      <c r="AJ1955" t="str">
        <f t="shared" si="1263"/>
        <v>Porcentaje II</v>
      </c>
      <c r="AK1955" t="str">
        <f t="shared" si="1264"/>
        <v>Foto</v>
      </c>
      <c r="AL1955" t="str">
        <f>"{\rtf1\ansi\ansicpg1252\deff0\deflang11274{\fonttbl{\f0\fnil\fcharset0 MS Sans Serif}} \viewkind4\uc1\pard\f0\fs16 INYECTOR NAFTA RENAULT 19 - CLIO 1,6 MONOPUNTO BOSCH ( BASE VERDE )\par } "</f>
        <v xml:space="preserve">{\rtf1\ansi\ansicpg1252\deff0\deflang11274{\fonttbl{\f0\fnil\fcharset0 MS Sans Serif}} \viewkind4\uc1\pard\f0\fs16 INYECTOR NAFTA RENAULT 19 - CLIO 1,6 MONOPUNTO BOSCH ( BASE VERDE )\par } </v>
      </c>
      <c r="AM1955" t="str">
        <f t="shared" si="1267"/>
        <v>-</v>
      </c>
    </row>
    <row r="1956" spans="1:39" x14ac:dyDescent="0.25">
      <c r="A1956" t="str">
        <f>"IWP042"</f>
        <v>IWP042</v>
      </c>
      <c r="B1956" t="str">
        <f>"INYECTOR NAFTA RENAULT CLIO -SCENIC 2,0 - 16V  MARELLI  ( ARO VERDE )"</f>
        <v>INYECTOR NAFTA RENAULT CLIO -SCENIC 2,0 - 16V  MARELLI  ( ARO VERDE )</v>
      </c>
      <c r="C1956" t="str">
        <f>"$ 31737,22"</f>
        <v>$ 31737,22</v>
      </c>
      <c r="D1956" t="str">
        <f>"$ 31737,22"</f>
        <v>$ 31737,22</v>
      </c>
      <c r="E1956" t="str">
        <f>"$ 31737,22"</f>
        <v>$ 31737,22</v>
      </c>
      <c r="F1956" t="str">
        <f>"$ 31737,22"</f>
        <v>$ 31737,22</v>
      </c>
      <c r="G1956" t="str">
        <f>"$ 31737,22"</f>
        <v>$ 31737,22</v>
      </c>
      <c r="H1956" t="str">
        <f t="shared" si="1243"/>
        <v>$ 0,00</v>
      </c>
      <c r="I1956" t="str">
        <f t="shared" si="1273"/>
        <v>INYECTORES NAFTA</v>
      </c>
      <c r="J1956" t="str">
        <f t="shared" si="1245"/>
        <v>1</v>
      </c>
      <c r="K1956" t="str">
        <f t="shared" si="1268"/>
        <v>0</v>
      </c>
      <c r="L1956" t="str">
        <f>"0,000"</f>
        <v>0,000</v>
      </c>
      <c r="M1956" t="str">
        <f t="shared" si="1246"/>
        <v xml:space="preserve"> </v>
      </c>
      <c r="N1956" t="str">
        <f t="shared" si="1265"/>
        <v>REGITAR</v>
      </c>
      <c r="O1956" t="str">
        <f t="shared" si="1274"/>
        <v>INYECTORES</v>
      </c>
      <c r="P1956" t="str">
        <f t="shared" si="1269"/>
        <v>0</v>
      </c>
      <c r="Q1956" t="str">
        <f t="shared" si="1269"/>
        <v>0</v>
      </c>
      <c r="R1956" t="str">
        <f t="shared" si="1270"/>
        <v>0,00</v>
      </c>
      <c r="S1956" t="str">
        <f t="shared" si="1270"/>
        <v>0,00</v>
      </c>
      <c r="T1956" t="str">
        <f t="shared" si="1242"/>
        <v xml:space="preserve"> </v>
      </c>
      <c r="U1956" t="str">
        <f t="shared" si="1266"/>
        <v xml:space="preserve"> </v>
      </c>
      <c r="V1956" t="str">
        <f>"0,000"</f>
        <v>0,000</v>
      </c>
      <c r="W1956" t="str">
        <f t="shared" si="1250"/>
        <v>Lista 4</v>
      </c>
      <c r="X1956" t="str">
        <f t="shared" si="1251"/>
        <v>Lista 5</v>
      </c>
      <c r="Y1956" t="str">
        <f t="shared" si="1252"/>
        <v>Oferta Gral.</v>
      </c>
      <c r="Z1956" t="str">
        <f t="shared" si="1253"/>
        <v>Rubro</v>
      </c>
      <c r="AA1956" t="str">
        <f t="shared" si="1254"/>
        <v>Cantidad por Bulto</v>
      </c>
      <c r="AB1956" t="str">
        <f t="shared" si="1255"/>
        <v>INNER</v>
      </c>
      <c r="AC1956" t="str">
        <f t="shared" si="1256"/>
        <v>Stock en Bultos</v>
      </c>
      <c r="AD1956" t="str">
        <f t="shared" si="1257"/>
        <v>SubDepósito</v>
      </c>
      <c r="AE1956" t="str">
        <f t="shared" si="1258"/>
        <v>Marca</v>
      </c>
      <c r="AF1956" t="str">
        <f t="shared" si="1259"/>
        <v>Super Rubro</v>
      </c>
      <c r="AG1956" t="str">
        <f t="shared" si="1260"/>
        <v>ComercioExterior</v>
      </c>
      <c r="AH1956" t="str">
        <f t="shared" si="1261"/>
        <v>PrecioFOB</v>
      </c>
      <c r="AI1956" t="str">
        <f t="shared" si="1262"/>
        <v>Monto II</v>
      </c>
      <c r="AJ1956" t="str">
        <f t="shared" si="1263"/>
        <v>Porcentaje II</v>
      </c>
      <c r="AK1956" t="str">
        <f t="shared" si="1264"/>
        <v>Foto</v>
      </c>
      <c r="AL1956" t="str">
        <f>"{\rtf1\ansi\ansicpg1252\deff0\deflang11274{\fonttbl{\f0\fnil\fcharset0 MS Sans Serif}} \viewkind4\uc1\pard\f0\fs16 INYECTOR NAFTA RENAULT CLIO -SCENIC 2,0 - 16V  MARELLI  ( ARO VERDE )\par } "</f>
        <v xml:space="preserve">{\rtf1\ansi\ansicpg1252\deff0\deflang11274{\fonttbl{\f0\fnil\fcharset0 MS Sans Serif}} \viewkind4\uc1\pard\f0\fs16 INYECTOR NAFTA RENAULT CLIO -SCENIC 2,0 - 16V  MARELLI  ( ARO VERDE )\par } </v>
      </c>
      <c r="AM1956" t="str">
        <f t="shared" si="1267"/>
        <v>-</v>
      </c>
    </row>
    <row r="1957" spans="1:39" x14ac:dyDescent="0.25">
      <c r="A1957" t="str">
        <f>"IWP099"</f>
        <v>IWP099</v>
      </c>
      <c r="B1957" t="str">
        <f>"INYECTOR NAFTA RENAULT CLIO FASE II 1,0 - 16V MARELLI  50102102 (ARO ROSA)"</f>
        <v>INYECTOR NAFTA RENAULT CLIO FASE II 1,0 - 16V MARELLI  50102102 (ARO ROSA)</v>
      </c>
      <c r="C1957" t="str">
        <f>"$ 33109,76"</f>
        <v>$ 33109,76</v>
      </c>
      <c r="D1957" t="str">
        <f>"$ 33109,76"</f>
        <v>$ 33109,76</v>
      </c>
      <c r="E1957" t="str">
        <f>"$ 33109,76"</f>
        <v>$ 33109,76</v>
      </c>
      <c r="F1957" t="str">
        <f>"$ 33109,76"</f>
        <v>$ 33109,76</v>
      </c>
      <c r="G1957" t="str">
        <f>"$ 33109,76"</f>
        <v>$ 33109,76</v>
      </c>
      <c r="H1957" t="str">
        <f t="shared" si="1243"/>
        <v>$ 0,00</v>
      </c>
      <c r="I1957" t="str">
        <f t="shared" si="1273"/>
        <v>INYECTORES NAFTA</v>
      </c>
      <c r="J1957" t="str">
        <f t="shared" si="1245"/>
        <v>1</v>
      </c>
      <c r="K1957" t="str">
        <f t="shared" si="1268"/>
        <v>0</v>
      </c>
      <c r="L1957" t="str">
        <f>"4,000"</f>
        <v>4,000</v>
      </c>
      <c r="M1957" t="str">
        <f t="shared" si="1246"/>
        <v xml:space="preserve"> </v>
      </c>
      <c r="N1957" t="str">
        <f t="shared" si="1265"/>
        <v>REGITAR</v>
      </c>
      <c r="O1957" t="str">
        <f t="shared" si="1274"/>
        <v>INYECTORES</v>
      </c>
      <c r="P1957" t="str">
        <f t="shared" si="1269"/>
        <v>0</v>
      </c>
      <c r="Q1957" t="str">
        <f t="shared" si="1269"/>
        <v>0</v>
      </c>
      <c r="R1957" t="str">
        <f t="shared" si="1270"/>
        <v>0,00</v>
      </c>
      <c r="S1957" t="str">
        <f t="shared" si="1270"/>
        <v>0,00</v>
      </c>
      <c r="T1957" t="str">
        <f t="shared" si="1242"/>
        <v xml:space="preserve"> </v>
      </c>
      <c r="U1957" t="str">
        <f t="shared" si="1266"/>
        <v xml:space="preserve"> </v>
      </c>
      <c r="V1957" t="str">
        <f>"4,000"</f>
        <v>4,000</v>
      </c>
      <c r="W1957" t="str">
        <f t="shared" si="1250"/>
        <v>Lista 4</v>
      </c>
      <c r="X1957" t="str">
        <f t="shared" si="1251"/>
        <v>Lista 5</v>
      </c>
      <c r="Y1957" t="str">
        <f t="shared" si="1252"/>
        <v>Oferta Gral.</v>
      </c>
      <c r="Z1957" t="str">
        <f t="shared" si="1253"/>
        <v>Rubro</v>
      </c>
      <c r="AA1957" t="str">
        <f t="shared" si="1254"/>
        <v>Cantidad por Bulto</v>
      </c>
      <c r="AB1957" t="str">
        <f t="shared" si="1255"/>
        <v>INNER</v>
      </c>
      <c r="AC1957" t="str">
        <f t="shared" si="1256"/>
        <v>Stock en Bultos</v>
      </c>
      <c r="AD1957" t="str">
        <f t="shared" si="1257"/>
        <v>SubDepósito</v>
      </c>
      <c r="AE1957" t="str">
        <f t="shared" si="1258"/>
        <v>Marca</v>
      </c>
      <c r="AF1957" t="str">
        <f t="shared" si="1259"/>
        <v>Super Rubro</v>
      </c>
      <c r="AG1957" t="str">
        <f t="shared" si="1260"/>
        <v>ComercioExterior</v>
      </c>
      <c r="AH1957" t="str">
        <f t="shared" si="1261"/>
        <v>PrecioFOB</v>
      </c>
      <c r="AI1957" t="str">
        <f t="shared" si="1262"/>
        <v>Monto II</v>
      </c>
      <c r="AJ1957" t="str">
        <f t="shared" si="1263"/>
        <v>Porcentaje II</v>
      </c>
      <c r="AK1957" t="str">
        <f t="shared" si="1264"/>
        <v>Foto</v>
      </c>
      <c r="AL1957" t="str">
        <f>"{\rtf1\ansi\ansicpg1252\deff0\deflang11274{\fonttbl{\f0\fnil\fcharset0 MS Sans Serif}} \viewkind4\uc1\pard\f0\fs16 INYECTOR NAFTA RENAULT CLIO FASE II 1,0 - 16V MARELLI  50102102 (ARO ROSA)\par } "</f>
        <v xml:space="preserve">{\rtf1\ansi\ansicpg1252\deff0\deflang11274{\fonttbl{\f0\fnil\fcharset0 MS Sans Serif}} \viewkind4\uc1\pard\f0\fs16 INYECTOR NAFTA RENAULT CLIO FASE II 1,0 - 16V MARELLI  50102102 (ARO ROSA)\par } </v>
      </c>
      <c r="AM1957" t="str">
        <f t="shared" si="1267"/>
        <v>-</v>
      </c>
    </row>
    <row r="1958" spans="1:39" x14ac:dyDescent="0.25">
      <c r="A1958" t="str">
        <f>"IWP143"</f>
        <v>IWP143</v>
      </c>
      <c r="B1958" t="str">
        <f>"INYECTOR NAFTA RENAULT CLIO II/MEGANE 1,6 - 16V K4M (D.2001)  MARELLI 5012602 (ARO VERDE)"</f>
        <v>INYECTOR NAFTA RENAULT CLIO II/MEGANE 1,6 - 16V K4M (D.2001)  MARELLI 5012602 (ARO VERDE)</v>
      </c>
      <c r="C1958" t="str">
        <f>"$ 31737,22"</f>
        <v>$ 31737,22</v>
      </c>
      <c r="D1958" t="str">
        <f>"$ 31737,22"</f>
        <v>$ 31737,22</v>
      </c>
      <c r="E1958" t="str">
        <f>"$ 31737,22"</f>
        <v>$ 31737,22</v>
      </c>
      <c r="F1958" t="str">
        <f>"$ 31737,22"</f>
        <v>$ 31737,22</v>
      </c>
      <c r="G1958" t="str">
        <f>"$ 31737,22"</f>
        <v>$ 31737,22</v>
      </c>
      <c r="H1958" t="str">
        <f t="shared" si="1243"/>
        <v>$ 0,00</v>
      </c>
      <c r="I1958" t="str">
        <f t="shared" si="1273"/>
        <v>INYECTORES NAFTA</v>
      </c>
      <c r="J1958" t="str">
        <f t="shared" si="1245"/>
        <v>1</v>
      </c>
      <c r="K1958" t="str">
        <f t="shared" si="1268"/>
        <v>0</v>
      </c>
      <c r="L1958" t="str">
        <f>"9,000"</f>
        <v>9,000</v>
      </c>
      <c r="M1958" t="str">
        <f t="shared" si="1246"/>
        <v xml:space="preserve"> </v>
      </c>
      <c r="N1958" t="str">
        <f t="shared" si="1265"/>
        <v>REGITAR</v>
      </c>
      <c r="O1958" t="str">
        <f t="shared" si="1274"/>
        <v>INYECTORES</v>
      </c>
      <c r="P1958" t="str">
        <f t="shared" si="1269"/>
        <v>0</v>
      </c>
      <c r="Q1958" t="str">
        <f t="shared" si="1269"/>
        <v>0</v>
      </c>
      <c r="R1958" t="str">
        <f t="shared" si="1270"/>
        <v>0,00</v>
      </c>
      <c r="S1958" t="str">
        <f t="shared" si="1270"/>
        <v>0,00</v>
      </c>
      <c r="T1958" t="str">
        <f t="shared" si="1242"/>
        <v xml:space="preserve"> </v>
      </c>
      <c r="U1958" t="str">
        <f t="shared" si="1266"/>
        <v xml:space="preserve"> </v>
      </c>
      <c r="V1958" t="str">
        <f>"9,000"</f>
        <v>9,000</v>
      </c>
      <c r="W1958" t="str">
        <f t="shared" si="1250"/>
        <v>Lista 4</v>
      </c>
      <c r="X1958" t="str">
        <f t="shared" si="1251"/>
        <v>Lista 5</v>
      </c>
      <c r="Y1958" t="str">
        <f t="shared" si="1252"/>
        <v>Oferta Gral.</v>
      </c>
      <c r="Z1958" t="str">
        <f t="shared" si="1253"/>
        <v>Rubro</v>
      </c>
      <c r="AA1958" t="str">
        <f t="shared" si="1254"/>
        <v>Cantidad por Bulto</v>
      </c>
      <c r="AB1958" t="str">
        <f t="shared" si="1255"/>
        <v>INNER</v>
      </c>
      <c r="AC1958" t="str">
        <f t="shared" si="1256"/>
        <v>Stock en Bultos</v>
      </c>
      <c r="AD1958" t="str">
        <f t="shared" si="1257"/>
        <v>SubDepósito</v>
      </c>
      <c r="AE1958" t="str">
        <f t="shared" si="1258"/>
        <v>Marca</v>
      </c>
      <c r="AF1958" t="str">
        <f t="shared" si="1259"/>
        <v>Super Rubro</v>
      </c>
      <c r="AG1958" t="str">
        <f t="shared" si="1260"/>
        <v>ComercioExterior</v>
      </c>
      <c r="AH1958" t="str">
        <f t="shared" si="1261"/>
        <v>PrecioFOB</v>
      </c>
      <c r="AI1958" t="str">
        <f t="shared" si="1262"/>
        <v>Monto II</v>
      </c>
      <c r="AJ1958" t="str">
        <f t="shared" si="1263"/>
        <v>Porcentaje II</v>
      </c>
      <c r="AK1958" t="str">
        <f t="shared" si="1264"/>
        <v>Foto</v>
      </c>
      <c r="AL1958" t="str">
        <f>"{\rtf1\ansi\ansicpg1252\deff0\deflang11274{\fonttbl{\f0\fnil\fcharset0 MS Sans Serif}} \viewkind4\uc1\pard\f0\fs16 INYECTOR NAFTA RENAULT CLIO II/MEGANE 1,6 - 16V K4M (D.2001)  MARELLI 5012602 (ARO VERDE)\par } "</f>
        <v xml:space="preserve">{\rtf1\ansi\ansicpg1252\deff0\deflang11274{\fonttbl{\f0\fnil\fcharset0 MS Sans Serif}} \viewkind4\uc1\pard\f0\fs16 INYECTOR NAFTA RENAULT CLIO II/MEGANE 1,6 - 16V K4M (D.2001)  MARELLI 5012602 (ARO VERDE)\par } </v>
      </c>
      <c r="AM1958" t="str">
        <f t="shared" si="1267"/>
        <v>-</v>
      </c>
    </row>
    <row r="1959" spans="1:39" x14ac:dyDescent="0.25">
      <c r="A1959" t="str">
        <f>"IWP179"</f>
        <v>IWP179</v>
      </c>
      <c r="B1959" t="str">
        <f>"INYECTOR NAFTA RENAULT K4M ARO GRIS"</f>
        <v>INYECTOR NAFTA RENAULT K4M ARO GRIS</v>
      </c>
      <c r="C1959" t="str">
        <f>"$ 31409,93"</f>
        <v>$ 31409,93</v>
      </c>
      <c r="D1959" t="str">
        <f>"$ 31409,93"</f>
        <v>$ 31409,93</v>
      </c>
      <c r="E1959" t="str">
        <f>"$ 31409,93"</f>
        <v>$ 31409,93</v>
      </c>
      <c r="F1959" t="str">
        <f>"$ 31409,93"</f>
        <v>$ 31409,93</v>
      </c>
      <c r="G1959" t="str">
        <f>"$ 31409,93"</f>
        <v>$ 31409,93</v>
      </c>
      <c r="H1959" t="str">
        <f t="shared" si="1243"/>
        <v>$ 0,00</v>
      </c>
      <c r="I1959" t="str">
        <f t="shared" si="1273"/>
        <v>INYECTORES NAFTA</v>
      </c>
      <c r="J1959" t="str">
        <f t="shared" si="1245"/>
        <v>1</v>
      </c>
      <c r="K1959" t="str">
        <f t="shared" si="1268"/>
        <v>0</v>
      </c>
      <c r="L1959" t="str">
        <f>"4,000"</f>
        <v>4,000</v>
      </c>
      <c r="M1959" t="str">
        <f t="shared" si="1246"/>
        <v xml:space="preserve"> </v>
      </c>
      <c r="N1959" t="str">
        <f t="shared" si="1265"/>
        <v>REGITAR</v>
      </c>
      <c r="O1959" t="str">
        <f t="shared" si="1274"/>
        <v>INYECTORES</v>
      </c>
      <c r="P1959" t="str">
        <f t="shared" si="1269"/>
        <v>0</v>
      </c>
      <c r="Q1959" t="str">
        <f t="shared" si="1269"/>
        <v>0</v>
      </c>
      <c r="R1959" t="str">
        <f t="shared" si="1270"/>
        <v>0,00</v>
      </c>
      <c r="S1959" t="str">
        <f t="shared" si="1270"/>
        <v>0,00</v>
      </c>
      <c r="T1959" t="str">
        <f t="shared" si="1242"/>
        <v xml:space="preserve"> </v>
      </c>
      <c r="U1959" t="str">
        <f t="shared" si="1266"/>
        <v xml:space="preserve"> </v>
      </c>
      <c r="V1959" t="str">
        <f>"4,000"</f>
        <v>4,000</v>
      </c>
      <c r="W1959" t="str">
        <f t="shared" si="1250"/>
        <v>Lista 4</v>
      </c>
      <c r="X1959" t="str">
        <f t="shared" si="1251"/>
        <v>Lista 5</v>
      </c>
      <c r="Y1959" t="str">
        <f t="shared" si="1252"/>
        <v>Oferta Gral.</v>
      </c>
      <c r="Z1959" t="str">
        <f t="shared" si="1253"/>
        <v>Rubro</v>
      </c>
      <c r="AA1959" t="str">
        <f t="shared" si="1254"/>
        <v>Cantidad por Bulto</v>
      </c>
      <c r="AB1959" t="str">
        <f t="shared" si="1255"/>
        <v>INNER</v>
      </c>
      <c r="AC1959" t="str">
        <f t="shared" si="1256"/>
        <v>Stock en Bultos</v>
      </c>
      <c r="AD1959" t="str">
        <f t="shared" si="1257"/>
        <v>SubDepósito</v>
      </c>
      <c r="AE1959" t="str">
        <f t="shared" si="1258"/>
        <v>Marca</v>
      </c>
      <c r="AF1959" t="str">
        <f t="shared" si="1259"/>
        <v>Super Rubro</v>
      </c>
      <c r="AG1959" t="str">
        <f t="shared" si="1260"/>
        <v>ComercioExterior</v>
      </c>
      <c r="AH1959" t="str">
        <f t="shared" si="1261"/>
        <v>PrecioFOB</v>
      </c>
      <c r="AI1959" t="str">
        <f t="shared" si="1262"/>
        <v>Monto II</v>
      </c>
      <c r="AJ1959" t="str">
        <f t="shared" si="1263"/>
        <v>Porcentaje II</v>
      </c>
      <c r="AK1959" t="str">
        <f t="shared" si="1264"/>
        <v>Foto</v>
      </c>
      <c r="AL1959" t="str">
        <f>"{\rtf1\ansi\ansicpg1252\deff0\deflang11274{\fonttbl{\f0\fnil\fcharset0 MS Sans Serif}} \viewkind4\uc1\pard\f0\fs16 INYECTOR NAFTA RENAULT K4M ARO GRIS\par } "</f>
        <v xml:space="preserve">{\rtf1\ansi\ansicpg1252\deff0\deflang11274{\fonttbl{\f0\fnil\fcharset0 MS Sans Serif}} \viewkind4\uc1\pard\f0\fs16 INYECTOR NAFTA RENAULT K4M ARO GRIS\par } </v>
      </c>
      <c r="AM1959" t="str">
        <f>" "</f>
        <v xml:space="preserve"> </v>
      </c>
    </row>
    <row r="1960" spans="1:39" x14ac:dyDescent="0.25">
      <c r="A1960" t="str">
        <f>"IWP043"</f>
        <v>IWP043</v>
      </c>
      <c r="B1960" t="str">
        <f>"INYECTOR NAFTA RENAULT MEGANE 2.0"</f>
        <v>INYECTOR NAFTA RENAULT MEGANE 2.0</v>
      </c>
      <c r="C1960" t="str">
        <f>"$ 31737,22"</f>
        <v>$ 31737,22</v>
      </c>
      <c r="D1960" t="str">
        <f>"$ 31737,22"</f>
        <v>$ 31737,22</v>
      </c>
      <c r="E1960" t="str">
        <f>"$ 31737,22"</f>
        <v>$ 31737,22</v>
      </c>
      <c r="F1960" t="str">
        <f>"$ 31737,22"</f>
        <v>$ 31737,22</v>
      </c>
      <c r="G1960" t="str">
        <f>"$ 31737,22"</f>
        <v>$ 31737,22</v>
      </c>
      <c r="H1960" t="str">
        <f t="shared" si="1243"/>
        <v>$ 0,00</v>
      </c>
      <c r="I1960" t="str">
        <f t="shared" si="1273"/>
        <v>INYECTORES NAFTA</v>
      </c>
      <c r="J1960" t="str">
        <f t="shared" si="1245"/>
        <v>1</v>
      </c>
      <c r="K1960" t="str">
        <f t="shared" si="1268"/>
        <v>0</v>
      </c>
      <c r="L1960" t="str">
        <f>"0,000"</f>
        <v>0,000</v>
      </c>
      <c r="M1960" t="str">
        <f t="shared" si="1246"/>
        <v xml:space="preserve"> </v>
      </c>
      <c r="N1960" t="str">
        <f t="shared" si="1265"/>
        <v>REGITAR</v>
      </c>
      <c r="O1960" t="str">
        <f t="shared" si="1274"/>
        <v>INYECTORES</v>
      </c>
      <c r="P1960" t="str">
        <f t="shared" si="1269"/>
        <v>0</v>
      </c>
      <c r="Q1960" t="str">
        <f t="shared" si="1269"/>
        <v>0</v>
      </c>
      <c r="R1960" t="str">
        <f t="shared" si="1270"/>
        <v>0,00</v>
      </c>
      <c r="S1960" t="str">
        <f t="shared" si="1270"/>
        <v>0,00</v>
      </c>
      <c r="T1960" t="str">
        <f t="shared" si="1242"/>
        <v xml:space="preserve"> </v>
      </c>
      <c r="U1960" t="str">
        <f t="shared" si="1266"/>
        <v xml:space="preserve"> </v>
      </c>
      <c r="V1960" t="str">
        <f>"0,000"</f>
        <v>0,000</v>
      </c>
      <c r="W1960" t="str">
        <f t="shared" si="1250"/>
        <v>Lista 4</v>
      </c>
      <c r="X1960" t="str">
        <f t="shared" si="1251"/>
        <v>Lista 5</v>
      </c>
      <c r="Y1960" t="str">
        <f t="shared" si="1252"/>
        <v>Oferta Gral.</v>
      </c>
      <c r="Z1960" t="str">
        <f t="shared" si="1253"/>
        <v>Rubro</v>
      </c>
      <c r="AA1960" t="str">
        <f t="shared" si="1254"/>
        <v>Cantidad por Bulto</v>
      </c>
      <c r="AB1960" t="str">
        <f t="shared" si="1255"/>
        <v>INNER</v>
      </c>
      <c r="AC1960" t="str">
        <f t="shared" si="1256"/>
        <v>Stock en Bultos</v>
      </c>
      <c r="AD1960" t="str">
        <f t="shared" si="1257"/>
        <v>SubDepósito</v>
      </c>
      <c r="AE1960" t="str">
        <f t="shared" si="1258"/>
        <v>Marca</v>
      </c>
      <c r="AF1960" t="str">
        <f t="shared" si="1259"/>
        <v>Super Rubro</v>
      </c>
      <c r="AG1960" t="str">
        <f t="shared" si="1260"/>
        <v>ComercioExterior</v>
      </c>
      <c r="AH1960" t="str">
        <f t="shared" si="1261"/>
        <v>PrecioFOB</v>
      </c>
      <c r="AI1960" t="str">
        <f t="shared" si="1262"/>
        <v>Monto II</v>
      </c>
      <c r="AJ1960" t="str">
        <f t="shared" si="1263"/>
        <v>Porcentaje II</v>
      </c>
      <c r="AK1960" t="str">
        <f t="shared" si="1264"/>
        <v>Foto</v>
      </c>
      <c r="AL1960" t="str">
        <f>"{\rtf1\ansi\ansicpg1252\deff0\deflang11274{\fonttbl{\f0\fnil\fcharset0 MS Sans Serif}} \viewkind4\uc1\pard\f0\fs16 INYECTOR NAFTA RENAULT MEGANE 2.0\par } "</f>
        <v xml:space="preserve">{\rtf1\ansi\ansicpg1252\deff0\deflang11274{\fonttbl{\f0\fnil\fcharset0 MS Sans Serif}} \viewkind4\uc1\pard\f0\fs16 INYECTOR NAFTA RENAULT MEGANE 2.0\par } </v>
      </c>
      <c r="AM1960" t="str">
        <f t="shared" ref="AM1960:AM1972" si="1275">"-"</f>
        <v>-</v>
      </c>
    </row>
    <row r="1961" spans="1:39" x14ac:dyDescent="0.25">
      <c r="A1961" t="str">
        <f>"037906031AL"</f>
        <v>037906031AL</v>
      </c>
      <c r="B1961" t="str">
        <f>"INYECTOR NAFTA VW BORA - AUDI (VERDE)"</f>
        <v>INYECTOR NAFTA VW BORA - AUDI (VERDE)</v>
      </c>
      <c r="C1961" t="str">
        <f>"$ 44892,46"</f>
        <v>$ 44892,46</v>
      </c>
      <c r="D1961" t="str">
        <f>"$ 44892,46"</f>
        <v>$ 44892,46</v>
      </c>
      <c r="E1961" t="str">
        <f>"$ 44892,46"</f>
        <v>$ 44892,46</v>
      </c>
      <c r="F1961" t="str">
        <f>"$ 44892,46"</f>
        <v>$ 44892,46</v>
      </c>
      <c r="G1961" t="str">
        <f>"$ 44892,46"</f>
        <v>$ 44892,46</v>
      </c>
      <c r="H1961" t="str">
        <f t="shared" si="1243"/>
        <v>$ 0,00</v>
      </c>
      <c r="I1961" t="str">
        <f t="shared" si="1273"/>
        <v>INYECTORES NAFTA</v>
      </c>
      <c r="J1961" t="str">
        <f t="shared" si="1245"/>
        <v>1</v>
      </c>
      <c r="K1961" t="str">
        <f t="shared" si="1268"/>
        <v>0</v>
      </c>
      <c r="L1961" t="str">
        <f>"0,000"</f>
        <v>0,000</v>
      </c>
      <c r="M1961" t="str">
        <f t="shared" si="1246"/>
        <v xml:space="preserve"> </v>
      </c>
      <c r="N1961" t="str">
        <f t="shared" si="1265"/>
        <v>REGITAR</v>
      </c>
      <c r="O1961" t="str">
        <f t="shared" si="1274"/>
        <v>INYECTORES</v>
      </c>
      <c r="P1961" t="str">
        <f t="shared" si="1269"/>
        <v>0</v>
      </c>
      <c r="Q1961" t="str">
        <f t="shared" si="1269"/>
        <v>0</v>
      </c>
      <c r="R1961" t="str">
        <f t="shared" si="1270"/>
        <v>0,00</v>
      </c>
      <c r="S1961" t="str">
        <f t="shared" si="1270"/>
        <v>0,00</v>
      </c>
      <c r="T1961" t="str">
        <f t="shared" si="1242"/>
        <v xml:space="preserve"> </v>
      </c>
      <c r="U1961" t="str">
        <f t="shared" si="1266"/>
        <v xml:space="preserve"> </v>
      </c>
      <c r="V1961" t="str">
        <f>"0,000"</f>
        <v>0,000</v>
      </c>
      <c r="W1961" t="str">
        <f t="shared" si="1250"/>
        <v>Lista 4</v>
      </c>
      <c r="X1961" t="str">
        <f t="shared" si="1251"/>
        <v>Lista 5</v>
      </c>
      <c r="Y1961" t="str">
        <f t="shared" si="1252"/>
        <v>Oferta Gral.</v>
      </c>
      <c r="Z1961" t="str">
        <f t="shared" si="1253"/>
        <v>Rubro</v>
      </c>
      <c r="AA1961" t="str">
        <f t="shared" si="1254"/>
        <v>Cantidad por Bulto</v>
      </c>
      <c r="AB1961" t="str">
        <f t="shared" si="1255"/>
        <v>INNER</v>
      </c>
      <c r="AC1961" t="str">
        <f t="shared" si="1256"/>
        <v>Stock en Bultos</v>
      </c>
      <c r="AD1961" t="str">
        <f t="shared" si="1257"/>
        <v>SubDepósito</v>
      </c>
      <c r="AE1961" t="str">
        <f t="shared" si="1258"/>
        <v>Marca</v>
      </c>
      <c r="AF1961" t="str">
        <f t="shared" si="1259"/>
        <v>Super Rubro</v>
      </c>
      <c r="AG1961" t="str">
        <f t="shared" si="1260"/>
        <v>ComercioExterior</v>
      </c>
      <c r="AH1961" t="str">
        <f t="shared" si="1261"/>
        <v>PrecioFOB</v>
      </c>
      <c r="AI1961" t="str">
        <f t="shared" si="1262"/>
        <v>Monto II</v>
      </c>
      <c r="AJ1961" t="str">
        <f t="shared" si="1263"/>
        <v>Porcentaje II</v>
      </c>
      <c r="AK1961" t="str">
        <f t="shared" si="1264"/>
        <v>Foto</v>
      </c>
      <c r="AL1961" t="str">
        <f>"{\rtf1\ansi\ansicpg1252\deff0\deflang11274{\fonttbl{\f0\fnil\fcharset0 MS Sans Serif}} \viewkind4\uc1\pard\f0\fs16 INYECTOR NAFTA VW BORA - AUDI (VERDE)\par } "</f>
        <v xml:space="preserve">{\rtf1\ansi\ansicpg1252\deff0\deflang11274{\fonttbl{\f0\fnil\fcharset0 MS Sans Serif}} \viewkind4\uc1\pard\f0\fs16 INYECTOR NAFTA VW BORA - AUDI (VERDE)\par } </v>
      </c>
      <c r="AM1961" t="str">
        <f t="shared" si="1275"/>
        <v>-</v>
      </c>
    </row>
    <row r="1962" spans="1:39" x14ac:dyDescent="0.25">
      <c r="A1962" t="str">
        <f>"IWP170"</f>
        <v>IWP170</v>
      </c>
      <c r="B1962" t="str">
        <f>"INYECTOR NAFTA VW FOX 1.0 16V, GOL POWER 1.0 16V (ARO ROSA)"</f>
        <v>INYECTOR NAFTA VW FOX 1.0 16V, GOL POWER 1.0 16V (ARO ROSA)</v>
      </c>
      <c r="C1962" t="str">
        <f>"$ 31219,90"</f>
        <v>$ 31219,90</v>
      </c>
      <c r="D1962" t="str">
        <f>"$ 31219,90"</f>
        <v>$ 31219,90</v>
      </c>
      <c r="E1962" t="str">
        <f>"$ 31219,90"</f>
        <v>$ 31219,90</v>
      </c>
      <c r="F1962" t="str">
        <f>"$ 31219,90"</f>
        <v>$ 31219,90</v>
      </c>
      <c r="G1962" t="str">
        <f>"$ 31219,90"</f>
        <v>$ 31219,90</v>
      </c>
      <c r="H1962" t="str">
        <f t="shared" si="1243"/>
        <v>$ 0,00</v>
      </c>
      <c r="I1962" t="str">
        <f t="shared" si="1273"/>
        <v>INYECTORES NAFTA</v>
      </c>
      <c r="J1962" t="str">
        <f t="shared" si="1245"/>
        <v>1</v>
      </c>
      <c r="K1962" t="str">
        <f t="shared" si="1268"/>
        <v>0</v>
      </c>
      <c r="L1962" t="str">
        <f>"0,000"</f>
        <v>0,000</v>
      </c>
      <c r="M1962" t="str">
        <f t="shared" si="1246"/>
        <v xml:space="preserve"> </v>
      </c>
      <c r="N1962" t="str">
        <f t="shared" si="1265"/>
        <v>REGITAR</v>
      </c>
      <c r="O1962" t="str">
        <f t="shared" si="1274"/>
        <v>INYECTORES</v>
      </c>
      <c r="P1962" t="str">
        <f t="shared" si="1269"/>
        <v>0</v>
      </c>
      <c r="Q1962" t="str">
        <f t="shared" si="1269"/>
        <v>0</v>
      </c>
      <c r="R1962" t="str">
        <f t="shared" si="1270"/>
        <v>0,00</v>
      </c>
      <c r="S1962" t="str">
        <f t="shared" si="1270"/>
        <v>0,00</v>
      </c>
      <c r="T1962" t="str">
        <f t="shared" si="1242"/>
        <v xml:space="preserve"> </v>
      </c>
      <c r="U1962" t="str">
        <f t="shared" si="1266"/>
        <v xml:space="preserve"> </v>
      </c>
      <c r="V1962" t="str">
        <f>"0,000"</f>
        <v>0,000</v>
      </c>
      <c r="W1962" t="str">
        <f t="shared" si="1250"/>
        <v>Lista 4</v>
      </c>
      <c r="X1962" t="str">
        <f t="shared" si="1251"/>
        <v>Lista 5</v>
      </c>
      <c r="Y1962" t="str">
        <f t="shared" si="1252"/>
        <v>Oferta Gral.</v>
      </c>
      <c r="Z1962" t="str">
        <f t="shared" si="1253"/>
        <v>Rubro</v>
      </c>
      <c r="AA1962" t="str">
        <f t="shared" si="1254"/>
        <v>Cantidad por Bulto</v>
      </c>
      <c r="AB1962" t="str">
        <f t="shared" si="1255"/>
        <v>INNER</v>
      </c>
      <c r="AC1962" t="str">
        <f t="shared" si="1256"/>
        <v>Stock en Bultos</v>
      </c>
      <c r="AD1962" t="str">
        <f t="shared" si="1257"/>
        <v>SubDepósito</v>
      </c>
      <c r="AE1962" t="str">
        <f t="shared" si="1258"/>
        <v>Marca</v>
      </c>
      <c r="AF1962" t="str">
        <f t="shared" si="1259"/>
        <v>Super Rubro</v>
      </c>
      <c r="AG1962" t="str">
        <f t="shared" si="1260"/>
        <v>ComercioExterior</v>
      </c>
      <c r="AH1962" t="str">
        <f t="shared" si="1261"/>
        <v>PrecioFOB</v>
      </c>
      <c r="AI1962" t="str">
        <f t="shared" si="1262"/>
        <v>Monto II</v>
      </c>
      <c r="AJ1962" t="str">
        <f t="shared" si="1263"/>
        <v>Porcentaje II</v>
      </c>
      <c r="AK1962" t="str">
        <f t="shared" si="1264"/>
        <v>Foto</v>
      </c>
      <c r="AL1962" t="str">
        <f>"{\rtf1\ansi\ansicpg1252\deff0\deflang11274{\fonttbl{\f0\fnil\fcharset0 MS Sans Serif}} \viewkind4\uc1\pard\f0\fs16 INYECTOR NAFTA VW FOX 1.0 16V, GOL POWER 1.0 16V (ARO ROSA)\par } "</f>
        <v xml:space="preserve">{\rtf1\ansi\ansicpg1252\deff0\deflang11274{\fonttbl{\f0\fnil\fcharset0 MS Sans Serif}} \viewkind4\uc1\pard\f0\fs16 INYECTOR NAFTA VW FOX 1.0 16V, GOL POWER 1.0 16V (ARO ROSA)\par } </v>
      </c>
      <c r="AM1962" t="str">
        <f t="shared" si="1275"/>
        <v>-</v>
      </c>
    </row>
    <row r="1963" spans="1:39" x14ac:dyDescent="0.25">
      <c r="A1963" t="str">
        <f>"IWP041"</f>
        <v>IWP041</v>
      </c>
      <c r="B1963" t="str">
        <f>"INYECTOR NAFTA VW GOL - PARATI - POLO - SEAT IBIZA 1,0 16V MPI (D.97) (ARO AMARILLO)"</f>
        <v>INYECTOR NAFTA VW GOL - PARATI - POLO - SEAT IBIZA 1,0 16V MPI (D.97) (ARO AMARILLO)</v>
      </c>
      <c r="C1963" t="str">
        <f>"$ 31737,22"</f>
        <v>$ 31737,22</v>
      </c>
      <c r="D1963" t="str">
        <f>"$ 31737,22"</f>
        <v>$ 31737,22</v>
      </c>
      <c r="E1963" t="str">
        <f>"$ 31737,22"</f>
        <v>$ 31737,22</v>
      </c>
      <c r="F1963" t="str">
        <f>"$ 31737,22"</f>
        <v>$ 31737,22</v>
      </c>
      <c r="G1963" t="str">
        <f>"$ 31737,22"</f>
        <v>$ 31737,22</v>
      </c>
      <c r="H1963" t="str">
        <f t="shared" si="1243"/>
        <v>$ 0,00</v>
      </c>
      <c r="I1963" t="str">
        <f t="shared" si="1273"/>
        <v>INYECTORES NAFTA</v>
      </c>
      <c r="J1963" t="str">
        <f t="shared" si="1245"/>
        <v>1</v>
      </c>
      <c r="K1963" t="str">
        <f t="shared" si="1268"/>
        <v>0</v>
      </c>
      <c r="L1963" t="str">
        <f>"0,000"</f>
        <v>0,000</v>
      </c>
      <c r="M1963" t="str">
        <f t="shared" si="1246"/>
        <v xml:space="preserve"> </v>
      </c>
      <c r="N1963" t="str">
        <f t="shared" si="1265"/>
        <v>REGITAR</v>
      </c>
      <c r="O1963" t="str">
        <f t="shared" si="1274"/>
        <v>INYECTORES</v>
      </c>
      <c r="P1963" t="str">
        <f t="shared" ref="P1963:Q1982" si="1276">"0"</f>
        <v>0</v>
      </c>
      <c r="Q1963" t="str">
        <f t="shared" si="1276"/>
        <v>0</v>
      </c>
      <c r="R1963" t="str">
        <f t="shared" ref="R1963:S1982" si="1277">"0,00"</f>
        <v>0,00</v>
      </c>
      <c r="S1963" t="str">
        <f t="shared" si="1277"/>
        <v>0,00</v>
      </c>
      <c r="T1963" t="str">
        <f t="shared" si="1242"/>
        <v xml:space="preserve"> </v>
      </c>
      <c r="U1963" t="str">
        <f t="shared" si="1266"/>
        <v xml:space="preserve"> </v>
      </c>
      <c r="V1963" t="str">
        <f>"0,000"</f>
        <v>0,000</v>
      </c>
      <c r="W1963" t="str">
        <f t="shared" si="1250"/>
        <v>Lista 4</v>
      </c>
      <c r="X1963" t="str">
        <f t="shared" si="1251"/>
        <v>Lista 5</v>
      </c>
      <c r="Y1963" t="str">
        <f t="shared" si="1252"/>
        <v>Oferta Gral.</v>
      </c>
      <c r="Z1963" t="str">
        <f t="shared" si="1253"/>
        <v>Rubro</v>
      </c>
      <c r="AA1963" t="str">
        <f t="shared" si="1254"/>
        <v>Cantidad por Bulto</v>
      </c>
      <c r="AB1963" t="str">
        <f t="shared" si="1255"/>
        <v>INNER</v>
      </c>
      <c r="AC1963" t="str">
        <f t="shared" si="1256"/>
        <v>Stock en Bultos</v>
      </c>
      <c r="AD1963" t="str">
        <f t="shared" si="1257"/>
        <v>SubDepósito</v>
      </c>
      <c r="AE1963" t="str">
        <f t="shared" si="1258"/>
        <v>Marca</v>
      </c>
      <c r="AF1963" t="str">
        <f t="shared" si="1259"/>
        <v>Super Rubro</v>
      </c>
      <c r="AG1963" t="str">
        <f t="shared" si="1260"/>
        <v>ComercioExterior</v>
      </c>
      <c r="AH1963" t="str">
        <f t="shared" si="1261"/>
        <v>PrecioFOB</v>
      </c>
      <c r="AI1963" t="str">
        <f t="shared" si="1262"/>
        <v>Monto II</v>
      </c>
      <c r="AJ1963" t="str">
        <f t="shared" si="1263"/>
        <v>Porcentaje II</v>
      </c>
      <c r="AK1963" t="str">
        <f t="shared" si="1264"/>
        <v>Foto</v>
      </c>
      <c r="AL1963" t="str">
        <f>"{\rtf1\ansi\ansicpg1252\deff0\deflang11274{\fonttbl{\f0\fnil\fcharset0 MS Sans Serif}} \viewkind4\uc1\pard\f0\fs16 INYECTOR NAFTA VW GOL - PARATI - POLO - SEAT IBIZA 1,0 16V MPI (D.97) (ARO AMARILLO)\par } "</f>
        <v xml:space="preserve">{\rtf1\ansi\ansicpg1252\deff0\deflang11274{\fonttbl{\f0\fnil\fcharset0 MS Sans Serif}} \viewkind4\uc1\pard\f0\fs16 INYECTOR NAFTA VW GOL - PARATI - POLO - SEAT IBIZA 1,0 16V MPI (D.97) (ARO AMARILLO)\par } </v>
      </c>
      <c r="AM1963" t="str">
        <f t="shared" si="1275"/>
        <v>-</v>
      </c>
    </row>
    <row r="1964" spans="1:39" x14ac:dyDescent="0.25">
      <c r="A1964" t="str">
        <f>"IWP115"</f>
        <v>IWP115</v>
      </c>
      <c r="B1964" t="str">
        <f>"INYECTOR NAFTA VW GOL - POLO 1,6/1,8/2,0 (D.2000) TIPO MARELLI 501022002 (ARO NARANJA)"</f>
        <v>INYECTOR NAFTA VW GOL - POLO 1,6/1,8/2,0 (D.2000) TIPO MARELLI 501022002 (ARO NARANJA)</v>
      </c>
      <c r="C1964" t="str">
        <f>"$ 36161,02"</f>
        <v>$ 36161,02</v>
      </c>
      <c r="D1964" t="str">
        <f>"$ 36161,02"</f>
        <v>$ 36161,02</v>
      </c>
      <c r="E1964" t="str">
        <f>"$ 36161,02"</f>
        <v>$ 36161,02</v>
      </c>
      <c r="F1964" t="str">
        <f>"$ 36161,02"</f>
        <v>$ 36161,02</v>
      </c>
      <c r="G1964" t="str">
        <f>"$ 36161,02"</f>
        <v>$ 36161,02</v>
      </c>
      <c r="H1964" t="str">
        <f t="shared" si="1243"/>
        <v>$ 0,00</v>
      </c>
      <c r="I1964" t="str">
        <f t="shared" si="1273"/>
        <v>INYECTORES NAFTA</v>
      </c>
      <c r="J1964" t="str">
        <f t="shared" si="1245"/>
        <v>1</v>
      </c>
      <c r="K1964" t="str">
        <f t="shared" si="1268"/>
        <v>0</v>
      </c>
      <c r="L1964" t="str">
        <f>"2,000"</f>
        <v>2,000</v>
      </c>
      <c r="M1964" t="str">
        <f t="shared" si="1246"/>
        <v xml:space="preserve"> </v>
      </c>
      <c r="N1964" t="str">
        <f t="shared" si="1265"/>
        <v>REGITAR</v>
      </c>
      <c r="O1964" t="str">
        <f t="shared" si="1274"/>
        <v>INYECTORES</v>
      </c>
      <c r="P1964" t="str">
        <f t="shared" si="1276"/>
        <v>0</v>
      </c>
      <c r="Q1964" t="str">
        <f t="shared" si="1276"/>
        <v>0</v>
      </c>
      <c r="R1964" t="str">
        <f t="shared" si="1277"/>
        <v>0,00</v>
      </c>
      <c r="S1964" t="str">
        <f t="shared" si="1277"/>
        <v>0,00</v>
      </c>
      <c r="T1964" t="str">
        <f t="shared" si="1242"/>
        <v xml:space="preserve"> </v>
      </c>
      <c r="U1964" t="str">
        <f t="shared" si="1266"/>
        <v xml:space="preserve"> </v>
      </c>
      <c r="V1964" t="str">
        <f>"2,000"</f>
        <v>2,000</v>
      </c>
      <c r="W1964" t="str">
        <f t="shared" si="1250"/>
        <v>Lista 4</v>
      </c>
      <c r="X1964" t="str">
        <f t="shared" si="1251"/>
        <v>Lista 5</v>
      </c>
      <c r="Y1964" t="str">
        <f t="shared" si="1252"/>
        <v>Oferta Gral.</v>
      </c>
      <c r="Z1964" t="str">
        <f t="shared" si="1253"/>
        <v>Rubro</v>
      </c>
      <c r="AA1964" t="str">
        <f t="shared" si="1254"/>
        <v>Cantidad por Bulto</v>
      </c>
      <c r="AB1964" t="str">
        <f t="shared" si="1255"/>
        <v>INNER</v>
      </c>
      <c r="AC1964" t="str">
        <f t="shared" si="1256"/>
        <v>Stock en Bultos</v>
      </c>
      <c r="AD1964" t="str">
        <f t="shared" si="1257"/>
        <v>SubDepósito</v>
      </c>
      <c r="AE1964" t="str">
        <f t="shared" si="1258"/>
        <v>Marca</v>
      </c>
      <c r="AF1964" t="str">
        <f t="shared" si="1259"/>
        <v>Super Rubro</v>
      </c>
      <c r="AG1964" t="str">
        <f t="shared" si="1260"/>
        <v>ComercioExterior</v>
      </c>
      <c r="AH1964" t="str">
        <f t="shared" si="1261"/>
        <v>PrecioFOB</v>
      </c>
      <c r="AI1964" t="str">
        <f t="shared" si="1262"/>
        <v>Monto II</v>
      </c>
      <c r="AJ1964" t="str">
        <f t="shared" si="1263"/>
        <v>Porcentaje II</v>
      </c>
      <c r="AK1964" t="str">
        <f t="shared" si="1264"/>
        <v>Foto</v>
      </c>
      <c r="AL1964" t="str">
        <f>"{\rtf1\ansi\ansicpg1252\deff0\deflang11274{\fonttbl{\f0\fnil\fcharset0 MS Sans Serif}} \viewkind4\uc1\pard\f0\fs16 INYECTOR NAFTA VW GOL - POLO 1,6/1,8/2,0 (D.2000) TIPO MARELLI 501022002 (ARO NARANJA)\par } "</f>
        <v xml:space="preserve">{\rtf1\ansi\ansicpg1252\deff0\deflang11274{\fonttbl{\f0\fnil\fcharset0 MS Sans Serif}} \viewkind4\uc1\pard\f0\fs16 INYECTOR NAFTA VW GOL - POLO 1,6/1,8/2,0 (D.2000) TIPO MARELLI 501022002 (ARO NARANJA)\par } </v>
      </c>
      <c r="AM1964" t="str">
        <f t="shared" si="1275"/>
        <v>-</v>
      </c>
    </row>
    <row r="1965" spans="1:39" x14ac:dyDescent="0.25">
      <c r="A1965" t="str">
        <f>"IWP058"</f>
        <v>IWP058</v>
      </c>
      <c r="B1965" t="str">
        <f>"INYECTOR NAFTA VW GOL 1,0 MI 8V (D.03) MARELLI 50102202         (ARO AZUL)"</f>
        <v>INYECTOR NAFTA VW GOL 1,0 MI 8V (D.03) MARELLI 50102202         (ARO AZUL)</v>
      </c>
      <c r="C1965" t="str">
        <f>"$ 31219,90"</f>
        <v>$ 31219,90</v>
      </c>
      <c r="D1965" t="str">
        <f>"$ 31219,90"</f>
        <v>$ 31219,90</v>
      </c>
      <c r="E1965" t="str">
        <f>"$ 31219,90"</f>
        <v>$ 31219,90</v>
      </c>
      <c r="F1965" t="str">
        <f>"$ 31219,90"</f>
        <v>$ 31219,90</v>
      </c>
      <c r="G1965" t="str">
        <f>"$ 31219,90"</f>
        <v>$ 31219,90</v>
      </c>
      <c r="H1965" t="str">
        <f t="shared" si="1243"/>
        <v>$ 0,00</v>
      </c>
      <c r="I1965" t="str">
        <f t="shared" si="1273"/>
        <v>INYECTORES NAFTA</v>
      </c>
      <c r="J1965" t="str">
        <f t="shared" si="1245"/>
        <v>1</v>
      </c>
      <c r="K1965" t="str">
        <f t="shared" si="1268"/>
        <v>0</v>
      </c>
      <c r="L1965" t="str">
        <f>"0,000"</f>
        <v>0,000</v>
      </c>
      <c r="M1965" t="str">
        <f t="shared" si="1246"/>
        <v xml:space="preserve"> </v>
      </c>
      <c r="N1965" t="str">
        <f t="shared" si="1265"/>
        <v>REGITAR</v>
      </c>
      <c r="O1965" t="str">
        <f t="shared" si="1274"/>
        <v>INYECTORES</v>
      </c>
      <c r="P1965" t="str">
        <f t="shared" si="1276"/>
        <v>0</v>
      </c>
      <c r="Q1965" t="str">
        <f t="shared" si="1276"/>
        <v>0</v>
      </c>
      <c r="R1965" t="str">
        <f t="shared" si="1277"/>
        <v>0,00</v>
      </c>
      <c r="S1965" t="str">
        <f t="shared" si="1277"/>
        <v>0,00</v>
      </c>
      <c r="T1965" t="str">
        <f t="shared" si="1242"/>
        <v xml:space="preserve"> </v>
      </c>
      <c r="U1965" t="str">
        <f t="shared" si="1266"/>
        <v xml:space="preserve"> </v>
      </c>
      <c r="V1965" t="str">
        <f>"0,000"</f>
        <v>0,000</v>
      </c>
      <c r="W1965" t="str">
        <f t="shared" si="1250"/>
        <v>Lista 4</v>
      </c>
      <c r="X1965" t="str">
        <f t="shared" si="1251"/>
        <v>Lista 5</v>
      </c>
      <c r="Y1965" t="str">
        <f t="shared" si="1252"/>
        <v>Oferta Gral.</v>
      </c>
      <c r="Z1965" t="str">
        <f t="shared" si="1253"/>
        <v>Rubro</v>
      </c>
      <c r="AA1965" t="str">
        <f t="shared" si="1254"/>
        <v>Cantidad por Bulto</v>
      </c>
      <c r="AB1965" t="str">
        <f t="shared" si="1255"/>
        <v>INNER</v>
      </c>
      <c r="AC1965" t="str">
        <f t="shared" si="1256"/>
        <v>Stock en Bultos</v>
      </c>
      <c r="AD1965" t="str">
        <f t="shared" si="1257"/>
        <v>SubDepósito</v>
      </c>
      <c r="AE1965" t="str">
        <f t="shared" si="1258"/>
        <v>Marca</v>
      </c>
      <c r="AF1965" t="str">
        <f t="shared" si="1259"/>
        <v>Super Rubro</v>
      </c>
      <c r="AG1965" t="str">
        <f t="shared" si="1260"/>
        <v>ComercioExterior</v>
      </c>
      <c r="AH1965" t="str">
        <f t="shared" si="1261"/>
        <v>PrecioFOB</v>
      </c>
      <c r="AI1965" t="str">
        <f t="shared" si="1262"/>
        <v>Monto II</v>
      </c>
      <c r="AJ1965" t="str">
        <f t="shared" si="1263"/>
        <v>Porcentaje II</v>
      </c>
      <c r="AK1965" t="str">
        <f t="shared" si="1264"/>
        <v>Foto</v>
      </c>
      <c r="AL1965" t="str">
        <f>"{\rtf1\ansi\ansicpg1252\deff0\deflang11274{\fonttbl{\f0\fnil\fcharset0 MS Sans Serif}} \viewkind4\uc1\pard\f0\fs16 INYECTOR NAFTA VW GOL 1,0 MI 8V (D.03) MARELLI 50102202         (ARO AZUL)\par } "</f>
        <v xml:space="preserve">{\rtf1\ansi\ansicpg1252\deff0\deflang11274{\fonttbl{\f0\fnil\fcharset0 MS Sans Serif}} \viewkind4\uc1\pard\f0\fs16 INYECTOR NAFTA VW GOL 1,0 MI 8V (D.03) MARELLI 50102202         (ARO AZUL)\par } </v>
      </c>
      <c r="AM1965" t="str">
        <f t="shared" si="1275"/>
        <v>-</v>
      </c>
    </row>
    <row r="1966" spans="1:39" x14ac:dyDescent="0.25">
      <c r="A1966" t="str">
        <f>"IWP044"</f>
        <v>IWP044</v>
      </c>
      <c r="B1966" t="str">
        <f>"INYECTOR NAFTA VW GOL AB9 1,6/1,8 - POLO 1,6/1,8 - (D. 96) MARELLI  50100802 (ARO GRIS)"</f>
        <v>INYECTOR NAFTA VW GOL AB9 1,6/1,8 - POLO 1,6/1,8 - (D. 96) MARELLI  50100802 (ARO GRIS)</v>
      </c>
      <c r="C1966" t="str">
        <f>"$ 31895,59"</f>
        <v>$ 31895,59</v>
      </c>
      <c r="D1966" t="str">
        <f>"$ 31895,59"</f>
        <v>$ 31895,59</v>
      </c>
      <c r="E1966" t="str">
        <f>"$ 31895,59"</f>
        <v>$ 31895,59</v>
      </c>
      <c r="F1966" t="str">
        <f>"$ 31895,59"</f>
        <v>$ 31895,59</v>
      </c>
      <c r="G1966" t="str">
        <f>"$ 31895,59"</f>
        <v>$ 31895,59</v>
      </c>
      <c r="H1966" t="str">
        <f t="shared" si="1243"/>
        <v>$ 0,00</v>
      </c>
      <c r="I1966" t="str">
        <f t="shared" si="1273"/>
        <v>INYECTORES NAFTA</v>
      </c>
      <c r="J1966" t="str">
        <f t="shared" si="1245"/>
        <v>1</v>
      </c>
      <c r="K1966" t="str">
        <f t="shared" si="1268"/>
        <v>0</v>
      </c>
      <c r="L1966" t="str">
        <f>"22,000"</f>
        <v>22,000</v>
      </c>
      <c r="M1966" t="str">
        <f t="shared" si="1246"/>
        <v xml:space="preserve"> </v>
      </c>
      <c r="N1966" t="str">
        <f t="shared" si="1265"/>
        <v>REGITAR</v>
      </c>
      <c r="O1966" t="str">
        <f t="shared" si="1274"/>
        <v>INYECTORES</v>
      </c>
      <c r="P1966" t="str">
        <f t="shared" si="1276"/>
        <v>0</v>
      </c>
      <c r="Q1966" t="str">
        <f t="shared" si="1276"/>
        <v>0</v>
      </c>
      <c r="R1966" t="str">
        <f t="shared" si="1277"/>
        <v>0,00</v>
      </c>
      <c r="S1966" t="str">
        <f t="shared" si="1277"/>
        <v>0,00</v>
      </c>
      <c r="T1966" t="str">
        <f t="shared" si="1242"/>
        <v xml:space="preserve"> </v>
      </c>
      <c r="U1966" t="str">
        <f t="shared" si="1266"/>
        <v xml:space="preserve"> </v>
      </c>
      <c r="V1966" t="str">
        <f>"22,000"</f>
        <v>22,000</v>
      </c>
      <c r="W1966" t="str">
        <f t="shared" si="1250"/>
        <v>Lista 4</v>
      </c>
      <c r="X1966" t="str">
        <f t="shared" si="1251"/>
        <v>Lista 5</v>
      </c>
      <c r="Y1966" t="str">
        <f t="shared" si="1252"/>
        <v>Oferta Gral.</v>
      </c>
      <c r="Z1966" t="str">
        <f t="shared" si="1253"/>
        <v>Rubro</v>
      </c>
      <c r="AA1966" t="str">
        <f t="shared" si="1254"/>
        <v>Cantidad por Bulto</v>
      </c>
      <c r="AB1966" t="str">
        <f t="shared" si="1255"/>
        <v>INNER</v>
      </c>
      <c r="AC1966" t="str">
        <f t="shared" si="1256"/>
        <v>Stock en Bultos</v>
      </c>
      <c r="AD1966" t="str">
        <f t="shared" si="1257"/>
        <v>SubDepósito</v>
      </c>
      <c r="AE1966" t="str">
        <f t="shared" si="1258"/>
        <v>Marca</v>
      </c>
      <c r="AF1966" t="str">
        <f t="shared" si="1259"/>
        <v>Super Rubro</v>
      </c>
      <c r="AG1966" t="str">
        <f t="shared" si="1260"/>
        <v>ComercioExterior</v>
      </c>
      <c r="AH1966" t="str">
        <f t="shared" si="1261"/>
        <v>PrecioFOB</v>
      </c>
      <c r="AI1966" t="str">
        <f t="shared" si="1262"/>
        <v>Monto II</v>
      </c>
      <c r="AJ1966" t="str">
        <f t="shared" si="1263"/>
        <v>Porcentaje II</v>
      </c>
      <c r="AK1966" t="str">
        <f t="shared" si="1264"/>
        <v>Foto</v>
      </c>
      <c r="AL1966" t="str">
        <f>"{\rtf1\ansi\ansicpg1252\deff0\deflang11274{\fonttbl{\f0\fnil\fcharset0 MS Sans Serif}} \viewkind4\uc1\pard\f0\fs16 INYECTOR NAFTA VW GOL AB9 1,6/1,8 - POLO 1,6/1,8 - (D. 96) MARELLI  50100802 (ARO GRIS)\par } "</f>
        <v xml:space="preserve">{\rtf1\ansi\ansicpg1252\deff0\deflang11274{\fonttbl{\f0\fnil\fcharset0 MS Sans Serif}} \viewkind4\uc1\pard\f0\fs16 INYECTOR NAFTA VW GOL AB9 1,6/1,8 - POLO 1,6/1,8 - (D. 96) MARELLI  50100802 (ARO GRIS)\par } </v>
      </c>
      <c r="AM1966" t="str">
        <f t="shared" si="1275"/>
        <v>-</v>
      </c>
    </row>
    <row r="1967" spans="1:39" x14ac:dyDescent="0.25">
      <c r="A1967" t="str">
        <f>"IWP024"</f>
        <v>IWP024</v>
      </c>
      <c r="B1967" t="str">
        <f>"INYECTOR NAFTA VW GOL, PARATI, SAVEIRO 1.6E/1.8 (ARO VERDE)"</f>
        <v>INYECTOR NAFTA VW GOL, PARATI, SAVEIRO 1.6E/1.8 (ARO VERDE)</v>
      </c>
      <c r="C1967" t="str">
        <f>"$ 31737,22"</f>
        <v>$ 31737,22</v>
      </c>
      <c r="D1967" t="str">
        <f>"$ 31737,22"</f>
        <v>$ 31737,22</v>
      </c>
      <c r="E1967" t="str">
        <f>"$ 31737,22"</f>
        <v>$ 31737,22</v>
      </c>
      <c r="F1967" t="str">
        <f>"$ 31737,22"</f>
        <v>$ 31737,22</v>
      </c>
      <c r="G1967" t="str">
        <f>"$ 31737,22"</f>
        <v>$ 31737,22</v>
      </c>
      <c r="H1967" t="str">
        <f t="shared" si="1243"/>
        <v>$ 0,00</v>
      </c>
      <c r="I1967" t="str">
        <f t="shared" si="1273"/>
        <v>INYECTORES NAFTA</v>
      </c>
      <c r="J1967" t="str">
        <f t="shared" si="1245"/>
        <v>1</v>
      </c>
      <c r="K1967" t="str">
        <f t="shared" si="1268"/>
        <v>0</v>
      </c>
      <c r="L1967" t="str">
        <f>"0,000"</f>
        <v>0,000</v>
      </c>
      <c r="M1967" t="str">
        <f t="shared" si="1246"/>
        <v xml:space="preserve"> </v>
      </c>
      <c r="N1967" t="str">
        <f t="shared" si="1265"/>
        <v>REGITAR</v>
      </c>
      <c r="O1967" t="str">
        <f t="shared" si="1274"/>
        <v>INYECTORES</v>
      </c>
      <c r="P1967" t="str">
        <f t="shared" si="1276"/>
        <v>0</v>
      </c>
      <c r="Q1967" t="str">
        <f t="shared" si="1276"/>
        <v>0</v>
      </c>
      <c r="R1967" t="str">
        <f t="shared" si="1277"/>
        <v>0,00</v>
      </c>
      <c r="S1967" t="str">
        <f t="shared" si="1277"/>
        <v>0,00</v>
      </c>
      <c r="T1967" t="str">
        <f t="shared" si="1242"/>
        <v xml:space="preserve"> </v>
      </c>
      <c r="U1967" t="str">
        <f t="shared" si="1266"/>
        <v xml:space="preserve"> </v>
      </c>
      <c r="V1967" t="str">
        <f>"0,000"</f>
        <v>0,000</v>
      </c>
      <c r="W1967" t="str">
        <f t="shared" si="1250"/>
        <v>Lista 4</v>
      </c>
      <c r="X1967" t="str">
        <f t="shared" si="1251"/>
        <v>Lista 5</v>
      </c>
      <c r="Y1967" t="str">
        <f t="shared" si="1252"/>
        <v>Oferta Gral.</v>
      </c>
      <c r="Z1967" t="str">
        <f t="shared" si="1253"/>
        <v>Rubro</v>
      </c>
      <c r="AA1967" t="str">
        <f t="shared" si="1254"/>
        <v>Cantidad por Bulto</v>
      </c>
      <c r="AB1967" t="str">
        <f t="shared" si="1255"/>
        <v>INNER</v>
      </c>
      <c r="AC1967" t="str">
        <f t="shared" si="1256"/>
        <v>Stock en Bultos</v>
      </c>
      <c r="AD1967" t="str">
        <f t="shared" si="1257"/>
        <v>SubDepósito</v>
      </c>
      <c r="AE1967" t="str">
        <f t="shared" si="1258"/>
        <v>Marca</v>
      </c>
      <c r="AF1967" t="str">
        <f t="shared" si="1259"/>
        <v>Super Rubro</v>
      </c>
      <c r="AG1967" t="str">
        <f t="shared" si="1260"/>
        <v>ComercioExterior</v>
      </c>
      <c r="AH1967" t="str">
        <f t="shared" si="1261"/>
        <v>PrecioFOB</v>
      </c>
      <c r="AI1967" t="str">
        <f t="shared" si="1262"/>
        <v>Monto II</v>
      </c>
      <c r="AJ1967" t="str">
        <f t="shared" si="1263"/>
        <v>Porcentaje II</v>
      </c>
      <c r="AK1967" t="str">
        <f t="shared" si="1264"/>
        <v>Foto</v>
      </c>
      <c r="AL1967" t="str">
        <f>"{\rtf1\ansi\ansicpg1252\deff0\deflang11274{\fonttbl{\f0\fnil\fcharset0 MS Sans Serif}} \viewkind4\uc1\pard\f0\fs16 INYECTOR NAFTA VW GOL, PARATI, SAVEIRO 1.6E/1.8 (ARO VERDE)\par } "</f>
        <v xml:space="preserve">{\rtf1\ansi\ansicpg1252\deff0\deflang11274{\fonttbl{\f0\fnil\fcharset0 MS Sans Serif}} \viewkind4\uc1\pard\f0\fs16 INYECTOR NAFTA VW GOL, PARATI, SAVEIRO 1.6E/1.8 (ARO VERDE)\par } </v>
      </c>
      <c r="AM1967" t="str">
        <f t="shared" si="1275"/>
        <v>-</v>
      </c>
    </row>
    <row r="1968" spans="1:39" x14ac:dyDescent="0.25">
      <c r="A1968" t="str">
        <f>"0280150989"</f>
        <v>0280150989</v>
      </c>
      <c r="B1968" t="str">
        <f>"INYECTOR NAFTA VW GOLF III 2,0 MEXICO - FORD GALAXY 2,0 - MARELLI 50100102 ( BASE GRIS )"</f>
        <v>INYECTOR NAFTA VW GOLF III 2,0 MEXICO - FORD GALAXY 2,0 - MARELLI 50100102 ( BASE GRIS )</v>
      </c>
      <c r="C1968" t="str">
        <f>"$ 54046,21"</f>
        <v>$ 54046,21</v>
      </c>
      <c r="D1968" t="str">
        <f>"$ 54046,21"</f>
        <v>$ 54046,21</v>
      </c>
      <c r="E1968" t="str">
        <f>"$ 54046,21"</f>
        <v>$ 54046,21</v>
      </c>
      <c r="F1968" t="str">
        <f>"$ 54046,21"</f>
        <v>$ 54046,21</v>
      </c>
      <c r="G1968" t="str">
        <f>"$ 54046,21"</f>
        <v>$ 54046,21</v>
      </c>
      <c r="H1968" t="str">
        <f t="shared" si="1243"/>
        <v>$ 0,00</v>
      </c>
      <c r="I1968" t="str">
        <f t="shared" si="1273"/>
        <v>INYECTORES NAFTA</v>
      </c>
      <c r="J1968" t="str">
        <f t="shared" si="1245"/>
        <v>1</v>
      </c>
      <c r="K1968" t="str">
        <f t="shared" si="1268"/>
        <v>0</v>
      </c>
      <c r="L1968" t="str">
        <f>"7,000"</f>
        <v>7,000</v>
      </c>
      <c r="M1968" t="str">
        <f t="shared" si="1246"/>
        <v xml:space="preserve"> </v>
      </c>
      <c r="N1968" t="str">
        <f t="shared" si="1265"/>
        <v>REGITAR</v>
      </c>
      <c r="O1968" t="str">
        <f t="shared" si="1274"/>
        <v>INYECTORES</v>
      </c>
      <c r="P1968" t="str">
        <f t="shared" si="1276"/>
        <v>0</v>
      </c>
      <c r="Q1968" t="str">
        <f t="shared" si="1276"/>
        <v>0</v>
      </c>
      <c r="R1968" t="str">
        <f t="shared" si="1277"/>
        <v>0,00</v>
      </c>
      <c r="S1968" t="str">
        <f t="shared" si="1277"/>
        <v>0,00</v>
      </c>
      <c r="T1968" t="str">
        <f t="shared" si="1242"/>
        <v xml:space="preserve"> </v>
      </c>
      <c r="U1968" t="str">
        <f t="shared" si="1266"/>
        <v xml:space="preserve"> </v>
      </c>
      <c r="V1968" t="str">
        <f>"7,000"</f>
        <v>7,000</v>
      </c>
      <c r="W1968" t="str">
        <f t="shared" si="1250"/>
        <v>Lista 4</v>
      </c>
      <c r="X1968" t="str">
        <f t="shared" si="1251"/>
        <v>Lista 5</v>
      </c>
      <c r="Y1968" t="str">
        <f t="shared" si="1252"/>
        <v>Oferta Gral.</v>
      </c>
      <c r="Z1968" t="str">
        <f t="shared" si="1253"/>
        <v>Rubro</v>
      </c>
      <c r="AA1968" t="str">
        <f t="shared" si="1254"/>
        <v>Cantidad por Bulto</v>
      </c>
      <c r="AB1968" t="str">
        <f t="shared" si="1255"/>
        <v>INNER</v>
      </c>
      <c r="AC1968" t="str">
        <f t="shared" si="1256"/>
        <v>Stock en Bultos</v>
      </c>
      <c r="AD1968" t="str">
        <f t="shared" si="1257"/>
        <v>SubDepósito</v>
      </c>
      <c r="AE1968" t="str">
        <f t="shared" si="1258"/>
        <v>Marca</v>
      </c>
      <c r="AF1968" t="str">
        <f t="shared" si="1259"/>
        <v>Super Rubro</v>
      </c>
      <c r="AG1968" t="str">
        <f t="shared" si="1260"/>
        <v>ComercioExterior</v>
      </c>
      <c r="AH1968" t="str">
        <f t="shared" si="1261"/>
        <v>PrecioFOB</v>
      </c>
      <c r="AI1968" t="str">
        <f t="shared" si="1262"/>
        <v>Monto II</v>
      </c>
      <c r="AJ1968" t="str">
        <f t="shared" si="1263"/>
        <v>Porcentaje II</v>
      </c>
      <c r="AK1968" t="str">
        <f t="shared" si="1264"/>
        <v>Foto</v>
      </c>
      <c r="AL1968" t="str">
        <f>"{\rtf1\ansi\ansicpg1252\deff0\deflang11274{\fonttbl{\f0\fnil\fcharset0 MS Sans Serif}} \viewkind4\uc1\pard\f0\fs16 INYECTOR NAFTA VW GOLF III 2,0 MEXICO - FORD GALAXY 2,0 - MARELLI 50100102 ( BASE GRIS )\par } "</f>
        <v xml:space="preserve">{\rtf1\ansi\ansicpg1252\deff0\deflang11274{\fonttbl{\f0\fnil\fcharset0 MS Sans Serif}} \viewkind4\uc1\pard\f0\fs16 INYECTOR NAFTA VW GOLF III 2,0 MEXICO - FORD GALAXY 2,0 - MARELLI 50100102 ( BASE GRIS )\par } </v>
      </c>
      <c r="AM1968" t="str">
        <f t="shared" si="1275"/>
        <v>-</v>
      </c>
    </row>
    <row r="1969" spans="1:39" x14ac:dyDescent="0.25">
      <c r="A1969" t="str">
        <f>"0280156070"</f>
        <v>0280156070</v>
      </c>
      <c r="B1969" t="str">
        <f>"INYECTOR NAFTA VW PASSAT - BORA 1.8T (GRIS)"</f>
        <v>INYECTOR NAFTA VW PASSAT - BORA 1.8T (GRIS)</v>
      </c>
      <c r="C1969" t="str">
        <f>"$ 47046,27"</f>
        <v>$ 47046,27</v>
      </c>
      <c r="D1969" t="str">
        <f>"$ 47046,27"</f>
        <v>$ 47046,27</v>
      </c>
      <c r="E1969" t="str">
        <f>"$ 47046,27"</f>
        <v>$ 47046,27</v>
      </c>
      <c r="F1969" t="str">
        <f>"$ 47046,27"</f>
        <v>$ 47046,27</v>
      </c>
      <c r="G1969" t="str">
        <f>"$ 47046,27"</f>
        <v>$ 47046,27</v>
      </c>
      <c r="H1969" t="str">
        <f t="shared" si="1243"/>
        <v>$ 0,00</v>
      </c>
      <c r="I1969" t="str">
        <f t="shared" si="1273"/>
        <v>INYECTORES NAFTA</v>
      </c>
      <c r="J1969" t="str">
        <f t="shared" si="1245"/>
        <v>1</v>
      </c>
      <c r="K1969" t="str">
        <f t="shared" si="1268"/>
        <v>0</v>
      </c>
      <c r="L1969" t="str">
        <f>"0,000"</f>
        <v>0,000</v>
      </c>
      <c r="M1969" t="str">
        <f t="shared" si="1246"/>
        <v xml:space="preserve"> </v>
      </c>
      <c r="N1969" t="str">
        <f t="shared" si="1265"/>
        <v>REGITAR</v>
      </c>
      <c r="O1969" t="str">
        <f t="shared" si="1274"/>
        <v>INYECTORES</v>
      </c>
      <c r="P1969" t="str">
        <f t="shared" si="1276"/>
        <v>0</v>
      </c>
      <c r="Q1969" t="str">
        <f t="shared" si="1276"/>
        <v>0</v>
      </c>
      <c r="R1969" t="str">
        <f t="shared" si="1277"/>
        <v>0,00</v>
      </c>
      <c r="S1969" t="str">
        <f t="shared" si="1277"/>
        <v>0,00</v>
      </c>
      <c r="T1969" t="str">
        <f t="shared" si="1242"/>
        <v xml:space="preserve"> </v>
      </c>
      <c r="U1969" t="str">
        <f t="shared" si="1266"/>
        <v xml:space="preserve"> </v>
      </c>
      <c r="V1969" t="str">
        <f>"0,000"</f>
        <v>0,000</v>
      </c>
      <c r="W1969" t="str">
        <f t="shared" si="1250"/>
        <v>Lista 4</v>
      </c>
      <c r="X1969" t="str">
        <f t="shared" si="1251"/>
        <v>Lista 5</v>
      </c>
      <c r="Y1969" t="str">
        <f t="shared" si="1252"/>
        <v>Oferta Gral.</v>
      </c>
      <c r="Z1969" t="str">
        <f t="shared" si="1253"/>
        <v>Rubro</v>
      </c>
      <c r="AA1969" t="str">
        <f t="shared" si="1254"/>
        <v>Cantidad por Bulto</v>
      </c>
      <c r="AB1969" t="str">
        <f t="shared" si="1255"/>
        <v>INNER</v>
      </c>
      <c r="AC1969" t="str">
        <f t="shared" si="1256"/>
        <v>Stock en Bultos</v>
      </c>
      <c r="AD1969" t="str">
        <f t="shared" si="1257"/>
        <v>SubDepósito</v>
      </c>
      <c r="AE1969" t="str">
        <f t="shared" si="1258"/>
        <v>Marca</v>
      </c>
      <c r="AF1969" t="str">
        <f t="shared" si="1259"/>
        <v>Super Rubro</v>
      </c>
      <c r="AG1969" t="str">
        <f t="shared" si="1260"/>
        <v>ComercioExterior</v>
      </c>
      <c r="AH1969" t="str">
        <f t="shared" si="1261"/>
        <v>PrecioFOB</v>
      </c>
      <c r="AI1969" t="str">
        <f t="shared" si="1262"/>
        <v>Monto II</v>
      </c>
      <c r="AJ1969" t="str">
        <f t="shared" si="1263"/>
        <v>Porcentaje II</v>
      </c>
      <c r="AK1969" t="str">
        <f t="shared" si="1264"/>
        <v>Foto</v>
      </c>
      <c r="AL1969" t="str">
        <f>"{\rtf1\ansi\ansicpg1252\deff0\deflang11274{\fonttbl{\f0\fnil\fcharset0 MS Sans Serif}} \viewkind4\uc1\pard\f0\fs16 INYECTOR NAFTA VW PASSAT - BORA 1.8T (GRIS)\par } "</f>
        <v xml:space="preserve">{\rtf1\ansi\ansicpg1252\deff0\deflang11274{\fonttbl{\f0\fnil\fcharset0 MS Sans Serif}} \viewkind4\uc1\pard\f0\fs16 INYECTOR NAFTA VW PASSAT - BORA 1.8T (GRIS)\par } </v>
      </c>
      <c r="AM1969" t="str">
        <f t="shared" si="1275"/>
        <v>-</v>
      </c>
    </row>
    <row r="1970" spans="1:39" x14ac:dyDescent="0.25">
      <c r="A1970" t="str">
        <f>"IWP092"</f>
        <v>IWP092</v>
      </c>
      <c r="B1970" t="str">
        <f>"INYECTOR NAFTA VW POLO 1,0 16V (ARO NARANAJA)"</f>
        <v>INYECTOR NAFTA VW POLO 1,0 16V (ARO NARANAJA)</v>
      </c>
      <c r="C1970" t="str">
        <f>"$ 32708,56"</f>
        <v>$ 32708,56</v>
      </c>
      <c r="D1970" t="str">
        <f>"$ 32708,56"</f>
        <v>$ 32708,56</v>
      </c>
      <c r="E1970" t="str">
        <f>"$ 32708,56"</f>
        <v>$ 32708,56</v>
      </c>
      <c r="F1970" t="str">
        <f>"$ 32708,56"</f>
        <v>$ 32708,56</v>
      </c>
      <c r="G1970" t="str">
        <f>"$ 32708,56"</f>
        <v>$ 32708,56</v>
      </c>
      <c r="H1970" t="str">
        <f t="shared" si="1243"/>
        <v>$ 0,00</v>
      </c>
      <c r="I1970" t="str">
        <f t="shared" si="1273"/>
        <v>INYECTORES NAFTA</v>
      </c>
      <c r="J1970" t="str">
        <f t="shared" si="1245"/>
        <v>1</v>
      </c>
      <c r="K1970" t="str">
        <f t="shared" si="1268"/>
        <v>0</v>
      </c>
      <c r="L1970" t="str">
        <f>"0,000"</f>
        <v>0,000</v>
      </c>
      <c r="M1970" t="str">
        <f t="shared" si="1246"/>
        <v xml:space="preserve"> </v>
      </c>
      <c r="N1970" t="str">
        <f t="shared" si="1265"/>
        <v>REGITAR</v>
      </c>
      <c r="O1970" t="str">
        <f t="shared" si="1274"/>
        <v>INYECTORES</v>
      </c>
      <c r="P1970" t="str">
        <f t="shared" si="1276"/>
        <v>0</v>
      </c>
      <c r="Q1970" t="str">
        <f t="shared" si="1276"/>
        <v>0</v>
      </c>
      <c r="R1970" t="str">
        <f t="shared" si="1277"/>
        <v>0,00</v>
      </c>
      <c r="S1970" t="str">
        <f t="shared" si="1277"/>
        <v>0,00</v>
      </c>
      <c r="T1970" t="str">
        <f t="shared" si="1242"/>
        <v xml:space="preserve"> </v>
      </c>
      <c r="U1970" t="str">
        <f t="shared" si="1266"/>
        <v xml:space="preserve"> </v>
      </c>
      <c r="V1970" t="str">
        <f>"0,000"</f>
        <v>0,000</v>
      </c>
      <c r="W1970" t="str">
        <f t="shared" si="1250"/>
        <v>Lista 4</v>
      </c>
      <c r="X1970" t="str">
        <f t="shared" si="1251"/>
        <v>Lista 5</v>
      </c>
      <c r="Y1970" t="str">
        <f t="shared" si="1252"/>
        <v>Oferta Gral.</v>
      </c>
      <c r="Z1970" t="str">
        <f t="shared" si="1253"/>
        <v>Rubro</v>
      </c>
      <c r="AA1970" t="str">
        <f t="shared" si="1254"/>
        <v>Cantidad por Bulto</v>
      </c>
      <c r="AB1970" t="str">
        <f t="shared" si="1255"/>
        <v>INNER</v>
      </c>
      <c r="AC1970" t="str">
        <f t="shared" si="1256"/>
        <v>Stock en Bultos</v>
      </c>
      <c r="AD1970" t="str">
        <f t="shared" si="1257"/>
        <v>SubDepósito</v>
      </c>
      <c r="AE1970" t="str">
        <f t="shared" si="1258"/>
        <v>Marca</v>
      </c>
      <c r="AF1970" t="str">
        <f t="shared" si="1259"/>
        <v>Super Rubro</v>
      </c>
      <c r="AG1970" t="str">
        <f t="shared" si="1260"/>
        <v>ComercioExterior</v>
      </c>
      <c r="AH1970" t="str">
        <f t="shared" si="1261"/>
        <v>PrecioFOB</v>
      </c>
      <c r="AI1970" t="str">
        <f t="shared" si="1262"/>
        <v>Monto II</v>
      </c>
      <c r="AJ1970" t="str">
        <f t="shared" si="1263"/>
        <v>Porcentaje II</v>
      </c>
      <c r="AK1970" t="str">
        <f t="shared" si="1264"/>
        <v>Foto</v>
      </c>
      <c r="AL1970" t="str">
        <f>"{\rtf1\ansi\ansicpg1252\deff0\deflang11274{\fonttbl{\f0\fnil\fcharset0 MS Sans Serif}} \viewkind4\uc1\pard\f0\fs16 INYECTOR NAFTA VW POLO 1,0 16V (ARO NARANAJA)\par } "</f>
        <v xml:space="preserve">{\rtf1\ansi\ansicpg1252\deff0\deflang11274{\fonttbl{\f0\fnil\fcharset0 MS Sans Serif}} \viewkind4\uc1\pard\f0\fs16 INYECTOR NAFTA VW POLO 1,0 16V (ARO NARANAJA)\par } </v>
      </c>
      <c r="AM1970" t="str">
        <f t="shared" si="1275"/>
        <v>-</v>
      </c>
    </row>
    <row r="1971" spans="1:39" x14ac:dyDescent="0.25">
      <c r="A1971" t="str">
        <f>"0280150962"</f>
        <v>0280150962</v>
      </c>
      <c r="B1971" t="str">
        <f>"INYECTOR NAFTA VW QUANTUM 2.0, FORD GALAXY, CHEVROLET VECTRA. KADETT 2.0 (ARO NEGRO)"</f>
        <v>INYECTOR NAFTA VW QUANTUM 2.0, FORD GALAXY, CHEVROLET VECTRA. KADETT 2.0 (ARO NEGRO)</v>
      </c>
      <c r="C1971" t="str">
        <f>"$ 54046,21"</f>
        <v>$ 54046,21</v>
      </c>
      <c r="D1971" t="str">
        <f>"$ 54046,21"</f>
        <v>$ 54046,21</v>
      </c>
      <c r="E1971" t="str">
        <f>"$ 54046,21"</f>
        <v>$ 54046,21</v>
      </c>
      <c r="F1971" t="str">
        <f>"$ 54046,21"</f>
        <v>$ 54046,21</v>
      </c>
      <c r="G1971" t="str">
        <f>"$ 54046,21"</f>
        <v>$ 54046,21</v>
      </c>
      <c r="H1971" t="str">
        <f t="shared" si="1243"/>
        <v>$ 0,00</v>
      </c>
      <c r="I1971" t="str">
        <f t="shared" si="1273"/>
        <v>INYECTORES NAFTA</v>
      </c>
      <c r="J1971" t="str">
        <f t="shared" si="1245"/>
        <v>1</v>
      </c>
      <c r="K1971" t="str">
        <f t="shared" si="1268"/>
        <v>0</v>
      </c>
      <c r="L1971" t="str">
        <f>"0,000"</f>
        <v>0,000</v>
      </c>
      <c r="M1971" t="str">
        <f t="shared" si="1246"/>
        <v xml:space="preserve"> </v>
      </c>
      <c r="N1971" t="str">
        <f t="shared" si="1265"/>
        <v>REGITAR</v>
      </c>
      <c r="O1971" t="str">
        <f t="shared" si="1274"/>
        <v>INYECTORES</v>
      </c>
      <c r="P1971" t="str">
        <f t="shared" si="1276"/>
        <v>0</v>
      </c>
      <c r="Q1971" t="str">
        <f t="shared" si="1276"/>
        <v>0</v>
      </c>
      <c r="R1971" t="str">
        <f t="shared" si="1277"/>
        <v>0,00</v>
      </c>
      <c r="S1971" t="str">
        <f t="shared" si="1277"/>
        <v>0,00</v>
      </c>
      <c r="T1971" t="str">
        <f t="shared" si="1242"/>
        <v xml:space="preserve"> </v>
      </c>
      <c r="U1971" t="str">
        <f t="shared" si="1266"/>
        <v xml:space="preserve"> </v>
      </c>
      <c r="V1971" t="str">
        <f>"0,000"</f>
        <v>0,000</v>
      </c>
      <c r="W1971" t="str">
        <f t="shared" si="1250"/>
        <v>Lista 4</v>
      </c>
      <c r="X1971" t="str">
        <f t="shared" si="1251"/>
        <v>Lista 5</v>
      </c>
      <c r="Y1971" t="str">
        <f t="shared" si="1252"/>
        <v>Oferta Gral.</v>
      </c>
      <c r="Z1971" t="str">
        <f t="shared" si="1253"/>
        <v>Rubro</v>
      </c>
      <c r="AA1971" t="str">
        <f t="shared" si="1254"/>
        <v>Cantidad por Bulto</v>
      </c>
      <c r="AB1971" t="str">
        <f t="shared" si="1255"/>
        <v>INNER</v>
      </c>
      <c r="AC1971" t="str">
        <f t="shared" si="1256"/>
        <v>Stock en Bultos</v>
      </c>
      <c r="AD1971" t="str">
        <f t="shared" si="1257"/>
        <v>SubDepósito</v>
      </c>
      <c r="AE1971" t="str">
        <f t="shared" si="1258"/>
        <v>Marca</v>
      </c>
      <c r="AF1971" t="str">
        <f t="shared" si="1259"/>
        <v>Super Rubro</v>
      </c>
      <c r="AG1971" t="str">
        <f t="shared" si="1260"/>
        <v>ComercioExterior</v>
      </c>
      <c r="AH1971" t="str">
        <f t="shared" si="1261"/>
        <v>PrecioFOB</v>
      </c>
      <c r="AI1971" t="str">
        <f t="shared" si="1262"/>
        <v>Monto II</v>
      </c>
      <c r="AJ1971" t="str">
        <f t="shared" si="1263"/>
        <v>Porcentaje II</v>
      </c>
      <c r="AK1971" t="str">
        <f t="shared" si="1264"/>
        <v>Foto</v>
      </c>
      <c r="AL1971" t="str">
        <f>"{\rtf1\ansi\ansicpg1252\deff0\deflang11274{\fonttbl{\f0\fnil\fcharset0 MS Sans Serif}} \viewkind4\uc1\pard\f0\fs16 INYECTOR NAFTA VW QUANTUM 2.0, FORD GALAXY, CHEVROLET VECTRA. KADETT 2.0 (ARO NEGRO)\par } "</f>
        <v xml:space="preserve">{\rtf1\ansi\ansicpg1252\deff0\deflang11274{\fonttbl{\f0\fnil\fcharset0 MS Sans Serif}} \viewkind4\uc1\pard\f0\fs16 INYECTOR NAFTA VW QUANTUM 2.0, FORD GALAXY, CHEVROLET VECTRA. KADETT 2.0 (ARO NEGRO)\par } </v>
      </c>
      <c r="AM1971" t="str">
        <f t="shared" si="1275"/>
        <v>-</v>
      </c>
    </row>
    <row r="1972" spans="1:39" x14ac:dyDescent="0.25">
      <c r="A1972" t="str">
        <f>"06A906031AS"</f>
        <v>06A906031AS</v>
      </c>
      <c r="B1972" t="str">
        <f>"INYECTOR NAFTA VW VENTO - AUDI (GRIS)"</f>
        <v>INYECTOR NAFTA VW VENTO - AUDI (GRIS)</v>
      </c>
      <c r="C1972" t="str">
        <f>"$ 44892,46"</f>
        <v>$ 44892,46</v>
      </c>
      <c r="D1972" t="str">
        <f>"$ 44892,46"</f>
        <v>$ 44892,46</v>
      </c>
      <c r="E1972" t="str">
        <f>"$ 44892,46"</f>
        <v>$ 44892,46</v>
      </c>
      <c r="F1972" t="str">
        <f>"$ 44892,46"</f>
        <v>$ 44892,46</v>
      </c>
      <c r="G1972" t="str">
        <f>"$ 44892,46"</f>
        <v>$ 44892,46</v>
      </c>
      <c r="H1972" t="str">
        <f t="shared" si="1243"/>
        <v>$ 0,00</v>
      </c>
      <c r="I1972" t="str">
        <f t="shared" si="1273"/>
        <v>INYECTORES NAFTA</v>
      </c>
      <c r="J1972" t="str">
        <f t="shared" si="1245"/>
        <v>1</v>
      </c>
      <c r="K1972" t="str">
        <f t="shared" si="1268"/>
        <v>0</v>
      </c>
      <c r="L1972" t="str">
        <f>"0,000"</f>
        <v>0,000</v>
      </c>
      <c r="M1972" t="str">
        <f t="shared" si="1246"/>
        <v xml:space="preserve"> </v>
      </c>
      <c r="N1972" t="str">
        <f t="shared" si="1265"/>
        <v>REGITAR</v>
      </c>
      <c r="O1972" t="str">
        <f t="shared" si="1274"/>
        <v>INYECTORES</v>
      </c>
      <c r="P1972" t="str">
        <f t="shared" si="1276"/>
        <v>0</v>
      </c>
      <c r="Q1972" t="str">
        <f t="shared" si="1276"/>
        <v>0</v>
      </c>
      <c r="R1972" t="str">
        <f t="shared" si="1277"/>
        <v>0,00</v>
      </c>
      <c r="S1972" t="str">
        <f t="shared" si="1277"/>
        <v>0,00</v>
      </c>
      <c r="T1972" t="str">
        <f t="shared" si="1242"/>
        <v xml:space="preserve"> </v>
      </c>
      <c r="U1972" t="str">
        <f t="shared" si="1266"/>
        <v xml:space="preserve"> </v>
      </c>
      <c r="V1972" t="str">
        <f>"0,000"</f>
        <v>0,000</v>
      </c>
      <c r="W1972" t="str">
        <f t="shared" si="1250"/>
        <v>Lista 4</v>
      </c>
      <c r="X1972" t="str">
        <f t="shared" si="1251"/>
        <v>Lista 5</v>
      </c>
      <c r="Y1972" t="str">
        <f t="shared" si="1252"/>
        <v>Oferta Gral.</v>
      </c>
      <c r="Z1972" t="str">
        <f t="shared" si="1253"/>
        <v>Rubro</v>
      </c>
      <c r="AA1972" t="str">
        <f t="shared" si="1254"/>
        <v>Cantidad por Bulto</v>
      </c>
      <c r="AB1972" t="str">
        <f t="shared" si="1255"/>
        <v>INNER</v>
      </c>
      <c r="AC1972" t="str">
        <f t="shared" si="1256"/>
        <v>Stock en Bultos</v>
      </c>
      <c r="AD1972" t="str">
        <f t="shared" si="1257"/>
        <v>SubDepósito</v>
      </c>
      <c r="AE1972" t="str">
        <f t="shared" si="1258"/>
        <v>Marca</v>
      </c>
      <c r="AF1972" t="str">
        <f t="shared" si="1259"/>
        <v>Super Rubro</v>
      </c>
      <c r="AG1972" t="str">
        <f t="shared" si="1260"/>
        <v>ComercioExterior</v>
      </c>
      <c r="AH1972" t="str">
        <f t="shared" si="1261"/>
        <v>PrecioFOB</v>
      </c>
      <c r="AI1972" t="str">
        <f t="shared" si="1262"/>
        <v>Monto II</v>
      </c>
      <c r="AJ1972" t="str">
        <f t="shared" si="1263"/>
        <v>Porcentaje II</v>
      </c>
      <c r="AK1972" t="str">
        <f t="shared" si="1264"/>
        <v>Foto</v>
      </c>
      <c r="AL1972" t="str">
        <f>"{\rtf1\ansi\ansicpg1252\deff0\deflang11274{\fonttbl{\f0\fnil\fcharset0 MS Sans Serif}} \viewkind4\uc1\pard\f0\fs16 INYECTOR NAFTA VW VENTO - AUDI (GRIS)\par } "</f>
        <v xml:space="preserve">{\rtf1\ansi\ansicpg1252\deff0\deflang11274{\fonttbl{\f0\fnil\fcharset0 MS Sans Serif}} \viewkind4\uc1\pard\f0\fs16 INYECTOR NAFTA VW VENTO - AUDI (GRIS)\par } </v>
      </c>
      <c r="AM1972" t="str">
        <f t="shared" si="1275"/>
        <v>-</v>
      </c>
    </row>
    <row r="1973" spans="1:39" x14ac:dyDescent="0.25">
      <c r="A1973" t="str">
        <f>"7700857056"</f>
        <v>7700857056</v>
      </c>
      <c r="B1973" t="str">
        <f>"INYECTOR RENAULT 19 RTI 1.8"</f>
        <v>INYECTOR RENAULT 19 RTI 1.8</v>
      </c>
      <c r="C1973" t="str">
        <f>"$ 57625,35"</f>
        <v>$ 57625,35</v>
      </c>
      <c r="D1973" t="str">
        <f>"$ 57625,35"</f>
        <v>$ 57625,35</v>
      </c>
      <c r="E1973" t="str">
        <f>"$ 57625,35"</f>
        <v>$ 57625,35</v>
      </c>
      <c r="F1973" t="str">
        <f>"$ 57625,35"</f>
        <v>$ 57625,35</v>
      </c>
      <c r="G1973" t="str">
        <f>"$ 57625,35"</f>
        <v>$ 57625,35</v>
      </c>
      <c r="H1973" t="str">
        <f t="shared" si="1243"/>
        <v>$ 0,00</v>
      </c>
      <c r="I1973" t="str">
        <f t="shared" si="1273"/>
        <v>INYECTORES NAFTA</v>
      </c>
      <c r="J1973" t="str">
        <f t="shared" si="1245"/>
        <v>1</v>
      </c>
      <c r="K1973" t="str">
        <f t="shared" si="1268"/>
        <v>0</v>
      </c>
      <c r="L1973" t="str">
        <f>"4,000"</f>
        <v>4,000</v>
      </c>
      <c r="M1973" t="str">
        <f t="shared" si="1246"/>
        <v xml:space="preserve"> </v>
      </c>
      <c r="N1973" t="str">
        <f t="shared" si="1265"/>
        <v>REGITAR</v>
      </c>
      <c r="O1973" t="str">
        <f t="shared" si="1274"/>
        <v>INYECTORES</v>
      </c>
      <c r="P1973" t="str">
        <f t="shared" si="1276"/>
        <v>0</v>
      </c>
      <c r="Q1973" t="str">
        <f t="shared" si="1276"/>
        <v>0</v>
      </c>
      <c r="R1973" t="str">
        <f t="shared" si="1277"/>
        <v>0,00</v>
      </c>
      <c r="S1973" t="str">
        <f t="shared" si="1277"/>
        <v>0,00</v>
      </c>
      <c r="T1973" t="str">
        <f t="shared" si="1242"/>
        <v xml:space="preserve"> </v>
      </c>
      <c r="U1973" t="str">
        <f t="shared" si="1266"/>
        <v xml:space="preserve"> </v>
      </c>
      <c r="V1973" t="str">
        <f>"4,000"</f>
        <v>4,000</v>
      </c>
      <c r="W1973" t="str">
        <f t="shared" si="1250"/>
        <v>Lista 4</v>
      </c>
      <c r="X1973" t="str">
        <f t="shared" si="1251"/>
        <v>Lista 5</v>
      </c>
      <c r="Y1973" t="str">
        <f t="shared" si="1252"/>
        <v>Oferta Gral.</v>
      </c>
      <c r="Z1973" t="str">
        <f t="shared" si="1253"/>
        <v>Rubro</v>
      </c>
      <c r="AA1973" t="str">
        <f t="shared" si="1254"/>
        <v>Cantidad por Bulto</v>
      </c>
      <c r="AB1973" t="str">
        <f t="shared" si="1255"/>
        <v>INNER</v>
      </c>
      <c r="AC1973" t="str">
        <f t="shared" si="1256"/>
        <v>Stock en Bultos</v>
      </c>
      <c r="AD1973" t="str">
        <f t="shared" si="1257"/>
        <v>SubDepósito</v>
      </c>
      <c r="AE1973" t="str">
        <f t="shared" si="1258"/>
        <v>Marca</v>
      </c>
      <c r="AF1973" t="str">
        <f t="shared" si="1259"/>
        <v>Super Rubro</v>
      </c>
      <c r="AG1973" t="str">
        <f t="shared" si="1260"/>
        <v>ComercioExterior</v>
      </c>
      <c r="AH1973" t="str">
        <f t="shared" si="1261"/>
        <v>PrecioFOB</v>
      </c>
      <c r="AI1973" t="str">
        <f t="shared" si="1262"/>
        <v>Monto II</v>
      </c>
      <c r="AJ1973" t="str">
        <f t="shared" si="1263"/>
        <v>Porcentaje II</v>
      </c>
      <c r="AK1973" t="str">
        <f t="shared" si="1264"/>
        <v>Foto</v>
      </c>
      <c r="AL1973" t="str">
        <f>"{\rtf1\ansi\ansicpg1252\deff0\deflang11274{\fonttbl{\f0\fnil\fcharset0 MS Sans Serif}} \viewkind4\uc1\pard\f0\fs16 INYECTOR RENAULT 19 RTI 1.8\par } "</f>
        <v xml:space="preserve">{\rtf1\ansi\ansicpg1252\deff0\deflang11274{\fonttbl{\f0\fnil\fcharset0 MS Sans Serif}} \viewkind4\uc1\pard\f0\fs16 INYECTOR RENAULT 19 RTI 1.8\par } </v>
      </c>
      <c r="AM1973" t="str">
        <f>" "</f>
        <v xml:space="preserve"> </v>
      </c>
    </row>
    <row r="1974" spans="1:39" x14ac:dyDescent="0.25">
      <c r="A1974" t="str">
        <f>"FIIWP143"</f>
        <v>FIIWP143</v>
      </c>
      <c r="B1974" t="str">
        <f>"INYECTOR RENAULT ARO VERDE 1.6 16 VÁLVULAS MOTOR K4M TIPO MARELLI"</f>
        <v>INYECTOR RENAULT ARO VERDE 1.6 16 VÁLVULAS MOTOR K4M TIPO MARELLI</v>
      </c>
      <c r="C1974" t="str">
        <f>"$ 27564,10"</f>
        <v>$ 27564,10</v>
      </c>
      <c r="D1974" t="str">
        <f>"$ 27564,10"</f>
        <v>$ 27564,10</v>
      </c>
      <c r="E1974" t="str">
        <f>"$ 27564,10"</f>
        <v>$ 27564,10</v>
      </c>
      <c r="F1974" t="str">
        <f>"$ 11419,38"</f>
        <v>$ 11419,38</v>
      </c>
      <c r="G1974" t="str">
        <f>"$ 11419,38"</f>
        <v>$ 11419,38</v>
      </c>
      <c r="H1974" t="str">
        <f t="shared" si="1243"/>
        <v>$ 0,00</v>
      </c>
      <c r="I1974" t="str">
        <f t="shared" si="1273"/>
        <v>INYECTORES NAFTA</v>
      </c>
      <c r="J1974" t="str">
        <f t="shared" si="1245"/>
        <v>1</v>
      </c>
      <c r="K1974" t="str">
        <f t="shared" si="1268"/>
        <v>0</v>
      </c>
      <c r="L1974" t="str">
        <f>"24,000"</f>
        <v>24,000</v>
      </c>
      <c r="M1974" t="str">
        <f t="shared" si="1246"/>
        <v xml:space="preserve"> </v>
      </c>
      <c r="N1974" t="str">
        <f>"FISPA"</f>
        <v>FISPA</v>
      </c>
      <c r="O1974" t="str">
        <f t="shared" si="1274"/>
        <v>INYECTORES</v>
      </c>
      <c r="P1974" t="str">
        <f t="shared" si="1276"/>
        <v>0</v>
      </c>
      <c r="Q1974" t="str">
        <f t="shared" si="1276"/>
        <v>0</v>
      </c>
      <c r="R1974" t="str">
        <f t="shared" si="1277"/>
        <v>0,00</v>
      </c>
      <c r="S1974" t="str">
        <f t="shared" si="1277"/>
        <v>0,00</v>
      </c>
      <c r="T1974" t="str">
        <f t="shared" si="1242"/>
        <v xml:space="preserve"> </v>
      </c>
      <c r="U1974" t="str">
        <f t="shared" si="1266"/>
        <v xml:space="preserve"> </v>
      </c>
      <c r="V1974" t="str">
        <f>"24,000"</f>
        <v>24,000</v>
      </c>
      <c r="W1974" t="str">
        <f t="shared" si="1250"/>
        <v>Lista 4</v>
      </c>
      <c r="X1974" t="str">
        <f t="shared" si="1251"/>
        <v>Lista 5</v>
      </c>
      <c r="Y1974" t="str">
        <f t="shared" si="1252"/>
        <v>Oferta Gral.</v>
      </c>
      <c r="Z1974" t="str">
        <f t="shared" si="1253"/>
        <v>Rubro</v>
      </c>
      <c r="AA1974" t="str">
        <f t="shared" si="1254"/>
        <v>Cantidad por Bulto</v>
      </c>
      <c r="AB1974" t="str">
        <f t="shared" si="1255"/>
        <v>INNER</v>
      </c>
      <c r="AC1974" t="str">
        <f t="shared" si="1256"/>
        <v>Stock en Bultos</v>
      </c>
      <c r="AD1974" t="str">
        <f t="shared" si="1257"/>
        <v>SubDepósito</v>
      </c>
      <c r="AE1974" t="str">
        <f t="shared" si="1258"/>
        <v>Marca</v>
      </c>
      <c r="AF1974" t="str">
        <f t="shared" si="1259"/>
        <v>Super Rubro</v>
      </c>
      <c r="AG1974" t="str">
        <f t="shared" si="1260"/>
        <v>ComercioExterior</v>
      </c>
      <c r="AH1974" t="str">
        <f t="shared" si="1261"/>
        <v>PrecioFOB</v>
      </c>
      <c r="AI1974" t="str">
        <f t="shared" si="1262"/>
        <v>Monto II</v>
      </c>
      <c r="AJ1974" t="str">
        <f t="shared" si="1263"/>
        <v>Porcentaje II</v>
      </c>
      <c r="AK1974" t="str">
        <f t="shared" si="1264"/>
        <v>Foto</v>
      </c>
      <c r="AL1974" t="str">
        <f>"{\rtf1\ansi\ansicpg1252\deff0\deflang2058{\fonttbl{\f0\fnil\fcharset0 MS Sans Serif}} \viewkind4\uc1\pard\f0\fs16 INYECTOR RENAULT ARO VERDE 1.6 16 V\'c1LVULAS MOTOR K4M TIPO MARELLI\par } "</f>
        <v xml:space="preserve">{\rtf1\ansi\ansicpg1252\deff0\deflang2058{\fonttbl{\f0\fnil\fcharset0 MS Sans Serif}} \viewkind4\uc1\pard\f0\fs16 INYECTOR RENAULT ARO VERDE 1.6 16 V\'c1LVULAS MOTOR K4M TIPO MARELLI\par } </v>
      </c>
      <c r="AM1974" t="str">
        <f>" "</f>
        <v xml:space="preserve"> </v>
      </c>
    </row>
    <row r="1975" spans="1:39" x14ac:dyDescent="0.25">
      <c r="A1975" t="str">
        <f>"FI0280158046"</f>
        <v>FI0280158046</v>
      </c>
      <c r="B1975" t="str">
        <f>"INYECTOR RENAULT CLIO 1.2 16V"</f>
        <v>INYECTOR RENAULT CLIO 1.2 16V</v>
      </c>
      <c r="C1975" t="str">
        <f>"$ 38992,18"</f>
        <v>$ 38992,18</v>
      </c>
      <c r="D1975" t="str">
        <f>"$ 38992,18"</f>
        <v>$ 38992,18</v>
      </c>
      <c r="E1975" t="str">
        <f>"$ 38992,18"</f>
        <v>$ 38992,18</v>
      </c>
      <c r="F1975" t="str">
        <f>"$ 16153,86"</f>
        <v>$ 16153,86</v>
      </c>
      <c r="G1975" t="str">
        <f>"$ 16153,86"</f>
        <v>$ 16153,86</v>
      </c>
      <c r="H1975" t="str">
        <f t="shared" si="1243"/>
        <v>$ 0,00</v>
      </c>
      <c r="I1975" t="str">
        <f t="shared" si="1273"/>
        <v>INYECTORES NAFTA</v>
      </c>
      <c r="J1975" t="str">
        <f t="shared" si="1245"/>
        <v>1</v>
      </c>
      <c r="K1975" t="str">
        <f t="shared" si="1268"/>
        <v>0</v>
      </c>
      <c r="L1975" t="str">
        <f>"10,000"</f>
        <v>10,000</v>
      </c>
      <c r="M1975" t="str">
        <f t="shared" si="1246"/>
        <v xml:space="preserve"> </v>
      </c>
      <c r="N1975" t="str">
        <f>"FISPA"</f>
        <v>FISPA</v>
      </c>
      <c r="O1975" t="str">
        <f t="shared" si="1274"/>
        <v>INYECTORES</v>
      </c>
      <c r="P1975" t="str">
        <f t="shared" si="1276"/>
        <v>0</v>
      </c>
      <c r="Q1975" t="str">
        <f t="shared" si="1276"/>
        <v>0</v>
      </c>
      <c r="R1975" t="str">
        <f t="shared" si="1277"/>
        <v>0,00</v>
      </c>
      <c r="S1975" t="str">
        <f t="shared" si="1277"/>
        <v>0,00</v>
      </c>
      <c r="T1975" t="str">
        <f t="shared" si="1242"/>
        <v xml:space="preserve"> </v>
      </c>
      <c r="U1975" t="str">
        <f t="shared" si="1266"/>
        <v xml:space="preserve"> </v>
      </c>
      <c r="V1975" t="str">
        <f>"10,000"</f>
        <v>10,000</v>
      </c>
      <c r="W1975" t="str">
        <f t="shared" si="1250"/>
        <v>Lista 4</v>
      </c>
      <c r="X1975" t="str">
        <f t="shared" si="1251"/>
        <v>Lista 5</v>
      </c>
      <c r="Y1975" t="str">
        <f t="shared" si="1252"/>
        <v>Oferta Gral.</v>
      </c>
      <c r="Z1975" t="str">
        <f t="shared" si="1253"/>
        <v>Rubro</v>
      </c>
      <c r="AA1975" t="str">
        <f t="shared" si="1254"/>
        <v>Cantidad por Bulto</v>
      </c>
      <c r="AB1975" t="str">
        <f t="shared" si="1255"/>
        <v>INNER</v>
      </c>
      <c r="AC1975" t="str">
        <f t="shared" si="1256"/>
        <v>Stock en Bultos</v>
      </c>
      <c r="AD1975" t="str">
        <f t="shared" si="1257"/>
        <v>SubDepósito</v>
      </c>
      <c r="AE1975" t="str">
        <f t="shared" si="1258"/>
        <v>Marca</v>
      </c>
      <c r="AF1975" t="str">
        <f t="shared" si="1259"/>
        <v>Super Rubro</v>
      </c>
      <c r="AG1975" t="str">
        <f t="shared" si="1260"/>
        <v>ComercioExterior</v>
      </c>
      <c r="AH1975" t="str">
        <f t="shared" si="1261"/>
        <v>PrecioFOB</v>
      </c>
      <c r="AI1975" t="str">
        <f t="shared" si="1262"/>
        <v>Monto II</v>
      </c>
      <c r="AJ1975" t="str">
        <f t="shared" si="1263"/>
        <v>Porcentaje II</v>
      </c>
      <c r="AK1975" t="str">
        <f t="shared" si="1264"/>
        <v>Foto</v>
      </c>
      <c r="AL197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975" t="str">
        <f>" "</f>
        <v xml:space="preserve"> </v>
      </c>
    </row>
    <row r="1976" spans="1:39" x14ac:dyDescent="0.25">
      <c r="A1976" t="str">
        <f>"8200128961"</f>
        <v>8200128961</v>
      </c>
      <c r="B1976" t="str">
        <f>"INYECTOR RENAULT KANGOO 1.6 8V. K7M"</f>
        <v>INYECTOR RENAULT KANGOO 1.6 8V. K7M</v>
      </c>
      <c r="C1976" t="str">
        <f>"$ 56200,02"</f>
        <v>$ 56200,02</v>
      </c>
      <c r="D1976" t="str">
        <f>"$ 56200,02"</f>
        <v>$ 56200,02</v>
      </c>
      <c r="E1976" t="str">
        <f>"$ 56200,02"</f>
        <v>$ 56200,02</v>
      </c>
      <c r="F1976" t="str">
        <f>"$ 56200,02"</f>
        <v>$ 56200,02</v>
      </c>
      <c r="G1976" t="str">
        <f>"$ 56200,02"</f>
        <v>$ 56200,02</v>
      </c>
      <c r="H1976" t="str">
        <f t="shared" si="1243"/>
        <v>$ 0,00</v>
      </c>
      <c r="I1976" t="str">
        <f t="shared" si="1273"/>
        <v>INYECTORES NAFTA</v>
      </c>
      <c r="J1976" t="str">
        <f t="shared" si="1245"/>
        <v>1</v>
      </c>
      <c r="K1976" t="str">
        <f t="shared" si="1268"/>
        <v>0</v>
      </c>
      <c r="L1976" t="str">
        <f>"5,000"</f>
        <v>5,000</v>
      </c>
      <c r="M1976" t="str">
        <f t="shared" si="1246"/>
        <v xml:space="preserve"> </v>
      </c>
      <c r="N1976" t="str">
        <f>"REGITAR"</f>
        <v>REGITAR</v>
      </c>
      <c r="O1976" t="str">
        <f t="shared" si="1274"/>
        <v>INYECTORES</v>
      </c>
      <c r="P1976" t="str">
        <f t="shared" si="1276"/>
        <v>0</v>
      </c>
      <c r="Q1976" t="str">
        <f t="shared" si="1276"/>
        <v>0</v>
      </c>
      <c r="R1976" t="str">
        <f t="shared" si="1277"/>
        <v>0,00</v>
      </c>
      <c r="S1976" t="str">
        <f t="shared" si="1277"/>
        <v>0,00</v>
      </c>
      <c r="T1976" t="str">
        <f t="shared" si="1242"/>
        <v xml:space="preserve"> </v>
      </c>
      <c r="U1976" t="str">
        <f t="shared" si="1266"/>
        <v xml:space="preserve"> </v>
      </c>
      <c r="V1976" t="str">
        <f>"5,000"</f>
        <v>5,000</v>
      </c>
      <c r="W1976" t="str">
        <f t="shared" si="1250"/>
        <v>Lista 4</v>
      </c>
      <c r="X1976" t="str">
        <f t="shared" si="1251"/>
        <v>Lista 5</v>
      </c>
      <c r="Y1976" t="str">
        <f t="shared" si="1252"/>
        <v>Oferta Gral.</v>
      </c>
      <c r="Z1976" t="str">
        <f t="shared" si="1253"/>
        <v>Rubro</v>
      </c>
      <c r="AA1976" t="str">
        <f t="shared" si="1254"/>
        <v>Cantidad por Bulto</v>
      </c>
      <c r="AB1976" t="str">
        <f t="shared" si="1255"/>
        <v>INNER</v>
      </c>
      <c r="AC1976" t="str">
        <f t="shared" si="1256"/>
        <v>Stock en Bultos</v>
      </c>
      <c r="AD1976" t="str">
        <f t="shared" si="1257"/>
        <v>SubDepósito</v>
      </c>
      <c r="AE1976" t="str">
        <f t="shared" si="1258"/>
        <v>Marca</v>
      </c>
      <c r="AF1976" t="str">
        <f t="shared" si="1259"/>
        <v>Super Rubro</v>
      </c>
      <c r="AG1976" t="str">
        <f t="shared" si="1260"/>
        <v>ComercioExterior</v>
      </c>
      <c r="AH1976" t="str">
        <f t="shared" si="1261"/>
        <v>PrecioFOB</v>
      </c>
      <c r="AI1976" t="str">
        <f t="shared" si="1262"/>
        <v>Monto II</v>
      </c>
      <c r="AJ1976" t="str">
        <f t="shared" si="1263"/>
        <v>Porcentaje II</v>
      </c>
      <c r="AK1976" t="str">
        <f t="shared" si="1264"/>
        <v>Foto</v>
      </c>
      <c r="AL1976" t="str">
        <f>"{\rtf1\ansi\ansicpg1252\deff0\deflang11274{\fonttbl{\f0\fnil\fcharset0 MS Sans Serif}} \viewkind4\uc1\pard\f0\fs16 INYECTOR RENAULT KANGOO 1.6 8V. K7M\par } "</f>
        <v xml:space="preserve">{\rtf1\ansi\ansicpg1252\deff0\deflang11274{\fonttbl{\f0\fnil\fcharset0 MS Sans Serif}} \viewkind4\uc1\pard\f0\fs16 INYECTOR RENAULT KANGOO 1.6 8V. K7M\par } </v>
      </c>
      <c r="AM1976" t="str">
        <f>" "</f>
        <v xml:space="preserve"> </v>
      </c>
    </row>
    <row r="1977" spans="1:39" x14ac:dyDescent="0.25">
      <c r="A1977" t="str">
        <f>"8200128959"</f>
        <v>8200128959</v>
      </c>
      <c r="B1977" t="str">
        <f>"INYECTOR RENAULT KANGOO MEGANE 1.6 16V K4M ARO VERDE"</f>
        <v>INYECTOR RENAULT KANGOO MEGANE 1.6 16V K4M ARO VERDE</v>
      </c>
      <c r="C1977" t="str">
        <f>"$ 3968,45"</f>
        <v>$ 3968,45</v>
      </c>
      <c r="D1977" t="str">
        <f>"$ 3968,45"</f>
        <v>$ 3968,45</v>
      </c>
      <c r="E1977" t="str">
        <f>"$ 3968,45"</f>
        <v>$ 3968,45</v>
      </c>
      <c r="F1977" t="str">
        <f>"$ 0,00"</f>
        <v>$ 0,00</v>
      </c>
      <c r="G1977" t="str">
        <f>"$ 0,00"</f>
        <v>$ 0,00</v>
      </c>
      <c r="H1977" t="str">
        <f t="shared" si="1243"/>
        <v>$ 0,00</v>
      </c>
      <c r="I1977" t="str">
        <f t="shared" si="1273"/>
        <v>INYECTORES NAFTA</v>
      </c>
      <c r="J1977" t="str">
        <f t="shared" si="1245"/>
        <v>1</v>
      </c>
      <c r="K1977" t="str">
        <f t="shared" si="1268"/>
        <v>0</v>
      </c>
      <c r="L1977" t="str">
        <f>"24,000"</f>
        <v>24,000</v>
      </c>
      <c r="M1977" t="str">
        <f t="shared" si="1246"/>
        <v xml:space="preserve"> </v>
      </c>
      <c r="N1977" t="str">
        <f>"RENAULT"</f>
        <v>RENAULT</v>
      </c>
      <c r="O1977" t="str">
        <f t="shared" si="1274"/>
        <v>INYECTORES</v>
      </c>
      <c r="P1977" t="str">
        <f t="shared" si="1276"/>
        <v>0</v>
      </c>
      <c r="Q1977" t="str">
        <f t="shared" si="1276"/>
        <v>0</v>
      </c>
      <c r="R1977" t="str">
        <f t="shared" si="1277"/>
        <v>0,00</v>
      </c>
      <c r="S1977" t="str">
        <f t="shared" si="1277"/>
        <v>0,00</v>
      </c>
      <c r="T1977" t="str">
        <f t="shared" si="1242"/>
        <v xml:space="preserve"> </v>
      </c>
      <c r="U1977" t="str">
        <f t="shared" si="1266"/>
        <v xml:space="preserve"> </v>
      </c>
      <c r="V1977" t="str">
        <f>"24,000"</f>
        <v>24,000</v>
      </c>
      <c r="W1977" t="str">
        <f t="shared" si="1250"/>
        <v>Lista 4</v>
      </c>
      <c r="X1977" t="str">
        <f t="shared" si="1251"/>
        <v>Lista 5</v>
      </c>
      <c r="Y1977" t="str">
        <f t="shared" si="1252"/>
        <v>Oferta Gral.</v>
      </c>
      <c r="Z1977" t="str">
        <f t="shared" si="1253"/>
        <v>Rubro</v>
      </c>
      <c r="AA1977" t="str">
        <f t="shared" si="1254"/>
        <v>Cantidad por Bulto</v>
      </c>
      <c r="AB1977" t="str">
        <f t="shared" si="1255"/>
        <v>INNER</v>
      </c>
      <c r="AC1977" t="str">
        <f t="shared" si="1256"/>
        <v>Stock en Bultos</v>
      </c>
      <c r="AD1977" t="str">
        <f t="shared" si="1257"/>
        <v>SubDepósito</v>
      </c>
      <c r="AE1977" t="str">
        <f t="shared" si="1258"/>
        <v>Marca</v>
      </c>
      <c r="AF1977" t="str">
        <f t="shared" si="1259"/>
        <v>Super Rubro</v>
      </c>
      <c r="AG1977" t="str">
        <f t="shared" si="1260"/>
        <v>ComercioExterior</v>
      </c>
      <c r="AH1977" t="str">
        <f t="shared" si="1261"/>
        <v>PrecioFOB</v>
      </c>
      <c r="AI1977" t="str">
        <f t="shared" si="1262"/>
        <v>Monto II</v>
      </c>
      <c r="AJ1977" t="str">
        <f t="shared" si="1263"/>
        <v>Porcentaje II</v>
      </c>
      <c r="AK1977" t="str">
        <f t="shared" si="1264"/>
        <v>Foto</v>
      </c>
      <c r="AL1977" t="str">
        <f>"{\rtf1\ansi\ansicpg1252\deff0\deflang11274{\fonttbl{\f0\fnil\fcharset0 MS Sans Serif}} \viewkind4\uc1\pard\f0\fs16 INYECTOR RENAULT KANGOO MEGANE 1.6 16V K4M ARO VERDE\par } "</f>
        <v xml:space="preserve">{\rtf1\ansi\ansicpg1252\deff0\deflang11274{\fonttbl{\f0\fnil\fcharset0 MS Sans Serif}} \viewkind4\uc1\pard\f0\fs16 INYECTOR RENAULT KANGOO MEGANE 1.6 16V K4M ARO VERDE\par } </v>
      </c>
      <c r="AM1977" t="str">
        <f>"-"</f>
        <v>-</v>
      </c>
    </row>
    <row r="1978" spans="1:39" x14ac:dyDescent="0.25">
      <c r="A1978" t="str">
        <f>"8200227124"</f>
        <v>8200227124</v>
      </c>
      <c r="B1978" t="str">
        <f>"INYECTOR RENAULT LOGAN K7M"</f>
        <v>INYECTOR RENAULT LOGAN K7M</v>
      </c>
      <c r="C1978" t="str">
        <f>"$ 60750,52"</f>
        <v>$ 60750,52</v>
      </c>
      <c r="D1978" t="str">
        <f>"$ 60750,52"</f>
        <v>$ 60750,52</v>
      </c>
      <c r="E1978" t="str">
        <f>"$ 60750,52"</f>
        <v>$ 60750,52</v>
      </c>
      <c r="F1978" t="str">
        <f>"$ 60750,52"</f>
        <v>$ 60750,52</v>
      </c>
      <c r="G1978" t="str">
        <f>"$ 60750,52"</f>
        <v>$ 60750,52</v>
      </c>
      <c r="H1978" t="str">
        <f t="shared" si="1243"/>
        <v>$ 0,00</v>
      </c>
      <c r="I1978" t="str">
        <f t="shared" si="1273"/>
        <v>INYECTORES NAFTA</v>
      </c>
      <c r="J1978" t="str">
        <f t="shared" si="1245"/>
        <v>1</v>
      </c>
      <c r="K1978" t="str">
        <f t="shared" si="1268"/>
        <v>0</v>
      </c>
      <c r="L1978" t="str">
        <f>"6,000"</f>
        <v>6,000</v>
      </c>
      <c r="M1978" t="str">
        <f t="shared" si="1246"/>
        <v xml:space="preserve"> </v>
      </c>
      <c r="N1978" t="str">
        <f>"REGITAR"</f>
        <v>REGITAR</v>
      </c>
      <c r="O1978" t="str">
        <f t="shared" si="1274"/>
        <v>INYECTORES</v>
      </c>
      <c r="P1978" t="str">
        <f t="shared" si="1276"/>
        <v>0</v>
      </c>
      <c r="Q1978" t="str">
        <f t="shared" si="1276"/>
        <v>0</v>
      </c>
      <c r="R1978" t="str">
        <f t="shared" si="1277"/>
        <v>0,00</v>
      </c>
      <c r="S1978" t="str">
        <f t="shared" si="1277"/>
        <v>0,00</v>
      </c>
      <c r="T1978" t="str">
        <f t="shared" si="1242"/>
        <v xml:space="preserve"> </v>
      </c>
      <c r="U1978" t="str">
        <f t="shared" si="1266"/>
        <v xml:space="preserve"> </v>
      </c>
      <c r="V1978" t="str">
        <f>"6,000"</f>
        <v>6,000</v>
      </c>
      <c r="W1978" t="str">
        <f t="shared" si="1250"/>
        <v>Lista 4</v>
      </c>
      <c r="X1978" t="str">
        <f t="shared" si="1251"/>
        <v>Lista 5</v>
      </c>
      <c r="Y1978" t="str">
        <f t="shared" si="1252"/>
        <v>Oferta Gral.</v>
      </c>
      <c r="Z1978" t="str">
        <f t="shared" si="1253"/>
        <v>Rubro</v>
      </c>
      <c r="AA1978" t="str">
        <f t="shared" si="1254"/>
        <v>Cantidad por Bulto</v>
      </c>
      <c r="AB1978" t="str">
        <f t="shared" si="1255"/>
        <v>INNER</v>
      </c>
      <c r="AC1978" t="str">
        <f t="shared" si="1256"/>
        <v>Stock en Bultos</v>
      </c>
      <c r="AD1978" t="str">
        <f t="shared" si="1257"/>
        <v>SubDepósito</v>
      </c>
      <c r="AE1978" t="str">
        <f t="shared" si="1258"/>
        <v>Marca</v>
      </c>
      <c r="AF1978" t="str">
        <f t="shared" si="1259"/>
        <v>Super Rubro</v>
      </c>
      <c r="AG1978" t="str">
        <f t="shared" si="1260"/>
        <v>ComercioExterior</v>
      </c>
      <c r="AH1978" t="str">
        <f t="shared" si="1261"/>
        <v>PrecioFOB</v>
      </c>
      <c r="AI1978" t="str">
        <f t="shared" si="1262"/>
        <v>Monto II</v>
      </c>
      <c r="AJ1978" t="str">
        <f t="shared" si="1263"/>
        <v>Porcentaje II</v>
      </c>
      <c r="AK1978" t="str">
        <f t="shared" si="1264"/>
        <v>Foto</v>
      </c>
      <c r="AL1978" t="str">
        <f>"{\rtf1\ansi\ansicpg1252\deff0\deflang11274{\fonttbl{\f0\fnil\fcharset0 MS Sans Serif}} \viewkind4\uc1\pard\f0\fs16 INYECTOR RENAULT LOGAN K7M\par } "</f>
        <v xml:space="preserve">{\rtf1\ansi\ansicpg1252\deff0\deflang11274{\fonttbl{\f0\fnil\fcharset0 MS Sans Serif}} \viewkind4\uc1\pard\f0\fs16 INYECTOR RENAULT LOGAN K7M\par } </v>
      </c>
      <c r="AM1978" t="str">
        <f t="shared" ref="AM1978:AM1983" si="1278">" "</f>
        <v xml:space="preserve"> </v>
      </c>
    </row>
    <row r="1979" spans="1:39" x14ac:dyDescent="0.25">
      <c r="A1979" t="str">
        <f>"7700866313"</f>
        <v>7700866313</v>
      </c>
      <c r="B1979" t="str">
        <f>"INYECTOR RENAULT MEGANE 1.6 8V. K7M "</f>
        <v xml:space="preserve">INYECTOR RENAULT MEGANE 1.6 8V. K7M </v>
      </c>
      <c r="C1979" t="str">
        <f>"$ 60697,73"</f>
        <v>$ 60697,73</v>
      </c>
      <c r="D1979" t="str">
        <f>"$ 60697,73"</f>
        <v>$ 60697,73</v>
      </c>
      <c r="E1979" t="str">
        <f>"$ 60697,73"</f>
        <v>$ 60697,73</v>
      </c>
      <c r="F1979" t="str">
        <f>"$ 60697,73"</f>
        <v>$ 60697,73</v>
      </c>
      <c r="G1979" t="str">
        <f>"$ 60697,73"</f>
        <v>$ 60697,73</v>
      </c>
      <c r="H1979" t="str">
        <f t="shared" si="1243"/>
        <v>$ 0,00</v>
      </c>
      <c r="I1979" t="str">
        <f t="shared" si="1273"/>
        <v>INYECTORES NAFTA</v>
      </c>
      <c r="J1979" t="str">
        <f t="shared" si="1245"/>
        <v>1</v>
      </c>
      <c r="K1979" t="str">
        <f t="shared" si="1268"/>
        <v>0</v>
      </c>
      <c r="L1979" t="str">
        <f>"0,000"</f>
        <v>0,000</v>
      </c>
      <c r="M1979" t="str">
        <f t="shared" si="1246"/>
        <v xml:space="preserve"> </v>
      </c>
      <c r="N1979" t="str">
        <f>"REGITAR"</f>
        <v>REGITAR</v>
      </c>
      <c r="O1979" t="str">
        <f t="shared" si="1274"/>
        <v>INYECTORES</v>
      </c>
      <c r="P1979" t="str">
        <f t="shared" si="1276"/>
        <v>0</v>
      </c>
      <c r="Q1979" t="str">
        <f t="shared" si="1276"/>
        <v>0</v>
      </c>
      <c r="R1979" t="str">
        <f t="shared" si="1277"/>
        <v>0,00</v>
      </c>
      <c r="S1979" t="str">
        <f t="shared" si="1277"/>
        <v>0,00</v>
      </c>
      <c r="T1979" t="str">
        <f t="shared" si="1242"/>
        <v xml:space="preserve"> </v>
      </c>
      <c r="U1979" t="str">
        <f t="shared" si="1266"/>
        <v xml:space="preserve"> </v>
      </c>
      <c r="V1979" t="str">
        <f>"0,000"</f>
        <v>0,000</v>
      </c>
      <c r="W1979" t="str">
        <f t="shared" si="1250"/>
        <v>Lista 4</v>
      </c>
      <c r="X1979" t="str">
        <f t="shared" si="1251"/>
        <v>Lista 5</v>
      </c>
      <c r="Y1979" t="str">
        <f t="shared" si="1252"/>
        <v>Oferta Gral.</v>
      </c>
      <c r="Z1979" t="str">
        <f t="shared" si="1253"/>
        <v>Rubro</v>
      </c>
      <c r="AA1979" t="str">
        <f t="shared" si="1254"/>
        <v>Cantidad por Bulto</v>
      </c>
      <c r="AB1979" t="str">
        <f t="shared" si="1255"/>
        <v>INNER</v>
      </c>
      <c r="AC1979" t="str">
        <f t="shared" si="1256"/>
        <v>Stock en Bultos</v>
      </c>
      <c r="AD1979" t="str">
        <f t="shared" si="1257"/>
        <v>SubDepósito</v>
      </c>
      <c r="AE1979" t="str">
        <f t="shared" si="1258"/>
        <v>Marca</v>
      </c>
      <c r="AF1979" t="str">
        <f t="shared" si="1259"/>
        <v>Super Rubro</v>
      </c>
      <c r="AG1979" t="str">
        <f t="shared" si="1260"/>
        <v>ComercioExterior</v>
      </c>
      <c r="AH1979" t="str">
        <f t="shared" si="1261"/>
        <v>PrecioFOB</v>
      </c>
      <c r="AI1979" t="str">
        <f t="shared" si="1262"/>
        <v>Monto II</v>
      </c>
      <c r="AJ1979" t="str">
        <f t="shared" si="1263"/>
        <v>Porcentaje II</v>
      </c>
      <c r="AK1979" t="str">
        <f t="shared" si="1264"/>
        <v>Foto</v>
      </c>
      <c r="AL1979" t="str">
        <f>"{\rtf1\ansi\ansicpg1252\deff0\deflang11274{\fonttbl{\f0\fnil\fcharset0 MS Sans Serif}} \viewkind4\uc1\pard\f0\fs16 INYECTOR RENAULT MEGANE 1.6 8V. K7M \par } "</f>
        <v xml:space="preserve">{\rtf1\ansi\ansicpg1252\deff0\deflang11274{\fonttbl{\f0\fnil\fcharset0 MS Sans Serif}} \viewkind4\uc1\pard\f0\fs16 INYECTOR RENAULT MEGANE 1.6 8V. K7M \par } </v>
      </c>
      <c r="AM1979" t="str">
        <f t="shared" si="1278"/>
        <v xml:space="preserve"> </v>
      </c>
    </row>
    <row r="1980" spans="1:39" x14ac:dyDescent="0.25">
      <c r="A1980" t="str">
        <f>"FI7700867867"</f>
        <v>FI7700867867</v>
      </c>
      <c r="B1980" t="str">
        <f>"INYECTOR RENAULT MEGANE 2.0 8 VALVULAS SIEMENS"</f>
        <v>INYECTOR RENAULT MEGANE 2.0 8 VALVULAS SIEMENS</v>
      </c>
      <c r="C1980" t="str">
        <f>"$ 53772,28"</f>
        <v>$ 53772,28</v>
      </c>
      <c r="D1980" t="str">
        <f>"$ 53772,28"</f>
        <v>$ 53772,28</v>
      </c>
      <c r="E1980" t="str">
        <f>"$ 53772,28"</f>
        <v>$ 53772,28</v>
      </c>
      <c r="F1980" t="str">
        <f>"$ 22277,03"</f>
        <v>$ 22277,03</v>
      </c>
      <c r="G1980" t="str">
        <f>"$ 22277,03"</f>
        <v>$ 22277,03</v>
      </c>
      <c r="H1980" t="str">
        <f t="shared" si="1243"/>
        <v>$ 0,00</v>
      </c>
      <c r="I1980" t="str">
        <f t="shared" si="1273"/>
        <v>INYECTORES NAFTA</v>
      </c>
      <c r="J1980" t="str">
        <f t="shared" si="1245"/>
        <v>1</v>
      </c>
      <c r="K1980" t="str">
        <f t="shared" si="1268"/>
        <v>0</v>
      </c>
      <c r="L1980" t="str">
        <f>"8,000"</f>
        <v>8,000</v>
      </c>
      <c r="M1980" t="str">
        <f t="shared" si="1246"/>
        <v xml:space="preserve"> </v>
      </c>
      <c r="N1980" t="str">
        <f>"FISPA"</f>
        <v>FISPA</v>
      </c>
      <c r="O1980" t="str">
        <f t="shared" si="1274"/>
        <v>INYECTORES</v>
      </c>
      <c r="P1980" t="str">
        <f t="shared" si="1276"/>
        <v>0</v>
      </c>
      <c r="Q1980" t="str">
        <f t="shared" si="1276"/>
        <v>0</v>
      </c>
      <c r="R1980" t="str">
        <f t="shared" si="1277"/>
        <v>0,00</v>
      </c>
      <c r="S1980" t="str">
        <f t="shared" si="1277"/>
        <v>0,00</v>
      </c>
      <c r="T1980" t="str">
        <f t="shared" si="1242"/>
        <v xml:space="preserve"> </v>
      </c>
      <c r="U1980" t="str">
        <f t="shared" si="1266"/>
        <v xml:space="preserve"> </v>
      </c>
      <c r="V1980" t="str">
        <f>"8,000"</f>
        <v>8,000</v>
      </c>
      <c r="W1980" t="str">
        <f t="shared" si="1250"/>
        <v>Lista 4</v>
      </c>
      <c r="X1980" t="str">
        <f t="shared" si="1251"/>
        <v>Lista 5</v>
      </c>
      <c r="Y1980" t="str">
        <f t="shared" si="1252"/>
        <v>Oferta Gral.</v>
      </c>
      <c r="Z1980" t="str">
        <f t="shared" si="1253"/>
        <v>Rubro</v>
      </c>
      <c r="AA1980" t="str">
        <f t="shared" si="1254"/>
        <v>Cantidad por Bulto</v>
      </c>
      <c r="AB1980" t="str">
        <f t="shared" si="1255"/>
        <v>INNER</v>
      </c>
      <c r="AC1980" t="str">
        <f t="shared" si="1256"/>
        <v>Stock en Bultos</v>
      </c>
      <c r="AD1980" t="str">
        <f t="shared" si="1257"/>
        <v>SubDepósito</v>
      </c>
      <c r="AE1980" t="str">
        <f t="shared" si="1258"/>
        <v>Marca</v>
      </c>
      <c r="AF1980" t="str">
        <f t="shared" si="1259"/>
        <v>Super Rubro</v>
      </c>
      <c r="AG1980" t="str">
        <f t="shared" si="1260"/>
        <v>ComercioExterior</v>
      </c>
      <c r="AH1980" t="str">
        <f t="shared" si="1261"/>
        <v>PrecioFOB</v>
      </c>
      <c r="AI1980" t="str">
        <f t="shared" si="1262"/>
        <v>Monto II</v>
      </c>
      <c r="AJ1980" t="str">
        <f t="shared" si="1263"/>
        <v>Porcentaje II</v>
      </c>
      <c r="AK1980" t="str">
        <f t="shared" si="1264"/>
        <v>Foto</v>
      </c>
      <c r="AL1980" t="str">
        <f>"{\rtf1\ansi\ansicpg1252\deff0\deflang2058{\fonttbl{\f0\fnil\fcharset0 MS Sans Serif}} \viewkind4\uc1\pard\f0\fs16 INYECTOR RENAULT MEGANE 2.0 8 VALVULAS SIEMENS\par } "</f>
        <v xml:space="preserve">{\rtf1\ansi\ansicpg1252\deff0\deflang2058{\fonttbl{\f0\fnil\fcharset0 MS Sans Serif}} \viewkind4\uc1\pard\f0\fs16 INYECTOR RENAULT MEGANE 2.0 8 VALVULAS SIEMENS\par } </v>
      </c>
      <c r="AM1980" t="str">
        <f t="shared" si="1278"/>
        <v xml:space="preserve"> </v>
      </c>
    </row>
    <row r="1981" spans="1:39" x14ac:dyDescent="0.25">
      <c r="A1981" t="str">
        <f>"7700867867"</f>
        <v>7700867867</v>
      </c>
      <c r="B1981" t="str">
        <f>"INYECTOR RENAULT MEGANE 2.0 8V. SIEMENS "</f>
        <v xml:space="preserve">INYECTOR RENAULT MEGANE 2.0 8V. SIEMENS </v>
      </c>
      <c r="C1981" t="str">
        <f>"$ 61141,14"</f>
        <v>$ 61141,14</v>
      </c>
      <c r="D1981" t="str">
        <f>"$ 61141,14"</f>
        <v>$ 61141,14</v>
      </c>
      <c r="E1981" t="str">
        <f>"$ 61141,14"</f>
        <v>$ 61141,14</v>
      </c>
      <c r="F1981" t="str">
        <f>"$ 61141,14"</f>
        <v>$ 61141,14</v>
      </c>
      <c r="G1981" t="str">
        <f>"$ 61141,14"</f>
        <v>$ 61141,14</v>
      </c>
      <c r="H1981" t="str">
        <f t="shared" si="1243"/>
        <v>$ 0,00</v>
      </c>
      <c r="I1981" t="str">
        <f t="shared" si="1273"/>
        <v>INYECTORES NAFTA</v>
      </c>
      <c r="J1981" t="str">
        <f t="shared" si="1245"/>
        <v>1</v>
      </c>
      <c r="K1981" t="str">
        <f t="shared" si="1268"/>
        <v>0</v>
      </c>
      <c r="L1981" t="str">
        <f>"0,000"</f>
        <v>0,000</v>
      </c>
      <c r="M1981" t="str">
        <f t="shared" si="1246"/>
        <v xml:space="preserve"> </v>
      </c>
      <c r="N1981" t="str">
        <f>"REGITAR"</f>
        <v>REGITAR</v>
      </c>
      <c r="O1981" t="str">
        <f t="shared" si="1274"/>
        <v>INYECTORES</v>
      </c>
      <c r="P1981" t="str">
        <f t="shared" si="1276"/>
        <v>0</v>
      </c>
      <c r="Q1981" t="str">
        <f t="shared" si="1276"/>
        <v>0</v>
      </c>
      <c r="R1981" t="str">
        <f t="shared" si="1277"/>
        <v>0,00</v>
      </c>
      <c r="S1981" t="str">
        <f t="shared" si="1277"/>
        <v>0,00</v>
      </c>
      <c r="T1981" t="str">
        <f t="shared" si="1242"/>
        <v xml:space="preserve"> </v>
      </c>
      <c r="U1981" t="str">
        <f t="shared" si="1266"/>
        <v xml:space="preserve"> </v>
      </c>
      <c r="V1981" t="str">
        <f>"0,000"</f>
        <v>0,000</v>
      </c>
      <c r="W1981" t="str">
        <f t="shared" si="1250"/>
        <v>Lista 4</v>
      </c>
      <c r="X1981" t="str">
        <f t="shared" si="1251"/>
        <v>Lista 5</v>
      </c>
      <c r="Y1981" t="str">
        <f t="shared" si="1252"/>
        <v>Oferta Gral.</v>
      </c>
      <c r="Z1981" t="str">
        <f t="shared" si="1253"/>
        <v>Rubro</v>
      </c>
      <c r="AA1981" t="str">
        <f t="shared" si="1254"/>
        <v>Cantidad por Bulto</v>
      </c>
      <c r="AB1981" t="str">
        <f t="shared" si="1255"/>
        <v>INNER</v>
      </c>
      <c r="AC1981" t="str">
        <f t="shared" si="1256"/>
        <v>Stock en Bultos</v>
      </c>
      <c r="AD1981" t="str">
        <f t="shared" si="1257"/>
        <v>SubDepósito</v>
      </c>
      <c r="AE1981" t="str">
        <f t="shared" si="1258"/>
        <v>Marca</v>
      </c>
      <c r="AF1981" t="str">
        <f t="shared" si="1259"/>
        <v>Super Rubro</v>
      </c>
      <c r="AG1981" t="str">
        <f t="shared" si="1260"/>
        <v>ComercioExterior</v>
      </c>
      <c r="AH1981" t="str">
        <f t="shared" si="1261"/>
        <v>PrecioFOB</v>
      </c>
      <c r="AI1981" t="str">
        <f t="shared" si="1262"/>
        <v>Monto II</v>
      </c>
      <c r="AJ1981" t="str">
        <f t="shared" si="1263"/>
        <v>Porcentaje II</v>
      </c>
      <c r="AK1981" t="str">
        <f t="shared" si="1264"/>
        <v>Foto</v>
      </c>
      <c r="AL1981" t="str">
        <f>"{\rtf1\ansi\ansicpg1252\deff0\deflang11274{\fonttbl{\f0\fnil\fcharset0 MS Sans Serif}} \viewkind4\uc1\pard\f0\fs16 INYECTOR RENAULT MEGANE 2.0 8V. SIEMENS \par } "</f>
        <v xml:space="preserve">{\rtf1\ansi\ansicpg1252\deff0\deflang11274{\fonttbl{\f0\fnil\fcharset0 MS Sans Serif}} \viewkind4\uc1\pard\f0\fs16 INYECTOR RENAULT MEGANE 2.0 8V. SIEMENS \par } </v>
      </c>
      <c r="AM1981" t="str">
        <f t="shared" si="1278"/>
        <v xml:space="preserve"> </v>
      </c>
    </row>
    <row r="1982" spans="1:39" x14ac:dyDescent="0.25">
      <c r="A1982" t="str">
        <f>"FI7700866313"</f>
        <v>FI7700866313</v>
      </c>
      <c r="B1982" t="str">
        <f>"INYECTOR RENAULTMEGANE 1.6 8 VALVULAS MOTOR K7M"</f>
        <v>INYECTOR RENAULTMEGANE 1.6 8 VALVULAS MOTOR K7M</v>
      </c>
      <c r="C1982" t="str">
        <f>"$ 54854,54"</f>
        <v>$ 54854,54</v>
      </c>
      <c r="D1982" t="str">
        <f>"$ 54854,54"</f>
        <v>$ 54854,54</v>
      </c>
      <c r="E1982" t="str">
        <f>"$ 54854,54"</f>
        <v>$ 54854,54</v>
      </c>
      <c r="F1982" t="str">
        <f>"$ 22725,39"</f>
        <v>$ 22725,39</v>
      </c>
      <c r="G1982" t="str">
        <f>"$ 22725,39"</f>
        <v>$ 22725,39</v>
      </c>
      <c r="H1982" t="str">
        <f t="shared" si="1243"/>
        <v>$ 0,00</v>
      </c>
      <c r="I1982" t="str">
        <f t="shared" si="1273"/>
        <v>INYECTORES NAFTA</v>
      </c>
      <c r="J1982" t="str">
        <f t="shared" si="1245"/>
        <v>1</v>
      </c>
      <c r="K1982" t="str">
        <f t="shared" si="1268"/>
        <v>0</v>
      </c>
      <c r="L1982" t="str">
        <f>"12,000"</f>
        <v>12,000</v>
      </c>
      <c r="M1982" t="str">
        <f t="shared" si="1246"/>
        <v xml:space="preserve"> </v>
      </c>
      <c r="N1982" t="str">
        <f>"FISPA"</f>
        <v>FISPA</v>
      </c>
      <c r="O1982" t="str">
        <f t="shared" si="1274"/>
        <v>INYECTORES</v>
      </c>
      <c r="P1982" t="str">
        <f t="shared" si="1276"/>
        <v>0</v>
      </c>
      <c r="Q1982" t="str">
        <f t="shared" si="1276"/>
        <v>0</v>
      </c>
      <c r="R1982" t="str">
        <f t="shared" si="1277"/>
        <v>0,00</v>
      </c>
      <c r="S1982" t="str">
        <f t="shared" si="1277"/>
        <v>0,00</v>
      </c>
      <c r="T1982" t="str">
        <f t="shared" si="1242"/>
        <v xml:space="preserve"> </v>
      </c>
      <c r="U1982" t="str">
        <f t="shared" si="1266"/>
        <v xml:space="preserve"> </v>
      </c>
      <c r="V1982" t="str">
        <f>"12,000"</f>
        <v>12,000</v>
      </c>
      <c r="W1982" t="str">
        <f t="shared" si="1250"/>
        <v>Lista 4</v>
      </c>
      <c r="X1982" t="str">
        <f t="shared" si="1251"/>
        <v>Lista 5</v>
      </c>
      <c r="Y1982" t="str">
        <f t="shared" si="1252"/>
        <v>Oferta Gral.</v>
      </c>
      <c r="Z1982" t="str">
        <f t="shared" si="1253"/>
        <v>Rubro</v>
      </c>
      <c r="AA1982" t="str">
        <f t="shared" si="1254"/>
        <v>Cantidad por Bulto</v>
      </c>
      <c r="AB1982" t="str">
        <f t="shared" si="1255"/>
        <v>INNER</v>
      </c>
      <c r="AC1982" t="str">
        <f t="shared" si="1256"/>
        <v>Stock en Bultos</v>
      </c>
      <c r="AD1982" t="str">
        <f t="shared" si="1257"/>
        <v>SubDepósito</v>
      </c>
      <c r="AE1982" t="str">
        <f t="shared" si="1258"/>
        <v>Marca</v>
      </c>
      <c r="AF1982" t="str">
        <f t="shared" si="1259"/>
        <v>Super Rubro</v>
      </c>
      <c r="AG1982" t="str">
        <f t="shared" si="1260"/>
        <v>ComercioExterior</v>
      </c>
      <c r="AH1982" t="str">
        <f t="shared" si="1261"/>
        <v>PrecioFOB</v>
      </c>
      <c r="AI1982" t="str">
        <f t="shared" si="1262"/>
        <v>Monto II</v>
      </c>
      <c r="AJ1982" t="str">
        <f t="shared" si="1263"/>
        <v>Porcentaje II</v>
      </c>
      <c r="AK1982" t="str">
        <f t="shared" si="1264"/>
        <v>Foto</v>
      </c>
      <c r="AL1982" t="str">
        <f>"{\rtf1\ansi\ansicpg1252\deff0\deflang2058{\fonttbl{\f0\fnil\fcharset0 MS Sans Serif}} \viewkind4\uc1\pard\f0\fs16 INYECTOR RENAULTMEGANE 1.6 8 VALVULAS MOTOR K7M\par } "</f>
        <v xml:space="preserve">{\rtf1\ansi\ansicpg1252\deff0\deflang2058{\fonttbl{\f0\fnil\fcharset0 MS Sans Serif}} \viewkind4\uc1\pard\f0\fs16 INYECTOR RENAULTMEGANE 1.6 8 VALVULAS MOTOR K7M\par } </v>
      </c>
      <c r="AM1982" t="str">
        <f t="shared" si="1278"/>
        <v xml:space="preserve"> </v>
      </c>
    </row>
    <row r="1983" spans="1:39" x14ac:dyDescent="0.25">
      <c r="A1983" t="str">
        <f>"FIIWP044"</f>
        <v>FIIWP044</v>
      </c>
      <c r="B1983" t="str">
        <f>"INYECTOR VW GOL SAVEIRO POLO ARO GRIS TIPO MARELLI"</f>
        <v>INYECTOR VW GOL SAVEIRO POLO ARO GRIS TIPO MARELLI</v>
      </c>
      <c r="C1983" t="str">
        <f>"$ 28824,67"</f>
        <v>$ 28824,67</v>
      </c>
      <c r="D1983" t="str">
        <f>"$ 28824,67"</f>
        <v>$ 28824,67</v>
      </c>
      <c r="E1983" t="str">
        <f>"$ 28824,67"</f>
        <v>$ 28824,67</v>
      </c>
      <c r="F1983" t="str">
        <f>"$ 11941,61"</f>
        <v>$ 11941,61</v>
      </c>
      <c r="G1983" t="str">
        <f>"$ 11941,61"</f>
        <v>$ 11941,61</v>
      </c>
      <c r="H1983" t="str">
        <f t="shared" si="1243"/>
        <v>$ 0,00</v>
      </c>
      <c r="I1983" t="str">
        <f t="shared" si="1273"/>
        <v>INYECTORES NAFTA</v>
      </c>
      <c r="J1983" t="str">
        <f t="shared" si="1245"/>
        <v>1</v>
      </c>
      <c r="K1983" t="str">
        <f t="shared" si="1268"/>
        <v>0</v>
      </c>
      <c r="L1983" t="str">
        <f>"20,000"</f>
        <v>20,000</v>
      </c>
      <c r="M1983" t="str">
        <f t="shared" si="1246"/>
        <v xml:space="preserve"> </v>
      </c>
      <c r="N1983" t="str">
        <f>"FISPA"</f>
        <v>FISPA</v>
      </c>
      <c r="O1983" t="str">
        <f t="shared" si="1274"/>
        <v>INYECTORES</v>
      </c>
      <c r="P1983" t="str">
        <f t="shared" ref="P1983:Q2002" si="1279">"0"</f>
        <v>0</v>
      </c>
      <c r="Q1983" t="str">
        <f t="shared" si="1279"/>
        <v>0</v>
      </c>
      <c r="R1983" t="str">
        <f t="shared" ref="R1983:S2002" si="1280">"0,00"</f>
        <v>0,00</v>
      </c>
      <c r="S1983" t="str">
        <f t="shared" si="1280"/>
        <v>0,00</v>
      </c>
      <c r="T1983" t="str">
        <f t="shared" si="1242"/>
        <v xml:space="preserve"> </v>
      </c>
      <c r="U1983" t="str">
        <f t="shared" si="1266"/>
        <v xml:space="preserve"> </v>
      </c>
      <c r="V1983" t="str">
        <f>"20,000"</f>
        <v>20,000</v>
      </c>
      <c r="W1983" t="str">
        <f t="shared" si="1250"/>
        <v>Lista 4</v>
      </c>
      <c r="X1983" t="str">
        <f t="shared" si="1251"/>
        <v>Lista 5</v>
      </c>
      <c r="Y1983" t="str">
        <f t="shared" si="1252"/>
        <v>Oferta Gral.</v>
      </c>
      <c r="Z1983" t="str">
        <f t="shared" si="1253"/>
        <v>Rubro</v>
      </c>
      <c r="AA1983" t="str">
        <f t="shared" si="1254"/>
        <v>Cantidad por Bulto</v>
      </c>
      <c r="AB1983" t="str">
        <f t="shared" si="1255"/>
        <v>INNER</v>
      </c>
      <c r="AC1983" t="str">
        <f t="shared" si="1256"/>
        <v>Stock en Bultos</v>
      </c>
      <c r="AD1983" t="str">
        <f t="shared" si="1257"/>
        <v>SubDepósito</v>
      </c>
      <c r="AE1983" t="str">
        <f t="shared" si="1258"/>
        <v>Marca</v>
      </c>
      <c r="AF1983" t="str">
        <f t="shared" si="1259"/>
        <v>Super Rubro</v>
      </c>
      <c r="AG1983" t="str">
        <f t="shared" si="1260"/>
        <v>ComercioExterior</v>
      </c>
      <c r="AH1983" t="str">
        <f t="shared" si="1261"/>
        <v>PrecioFOB</v>
      </c>
      <c r="AI1983" t="str">
        <f t="shared" si="1262"/>
        <v>Monto II</v>
      </c>
      <c r="AJ1983" t="str">
        <f t="shared" si="1263"/>
        <v>Porcentaje II</v>
      </c>
      <c r="AK1983" t="str">
        <f t="shared" si="1264"/>
        <v>Foto</v>
      </c>
      <c r="AL1983" t="str">
        <f>"{\rtf1\ansi\ansicpg1252\deff0\deflang2058{\fonttbl{\f0\fnil\fcharset0 MS Sans Serif}} \viewkind4\uc1\pard\f0\fs16 INYECTOR VW GOL SAVEIRO POLO ARO GRIS TIPO MARELLI\par } "</f>
        <v xml:space="preserve">{\rtf1\ansi\ansicpg1252\deff0\deflang2058{\fonttbl{\f0\fnil\fcharset0 MS Sans Serif}} \viewkind4\uc1\pard\f0\fs16 INYECTOR VW GOL SAVEIRO POLO ARO GRIS TIPO MARELLI\par } </v>
      </c>
      <c r="AM1983" t="str">
        <f t="shared" si="1278"/>
        <v xml:space="preserve"> </v>
      </c>
    </row>
    <row r="1984" spans="1:39" x14ac:dyDescent="0.25">
      <c r="A1984" t="str">
        <f>"PMR2401-1"</f>
        <v>PMR2401-1</v>
      </c>
      <c r="B1984" t="str">
        <f>"JGO AROS RECAMBIO 0,4 DUNA TIPO 1.4 80.50MM   FAD. NHK1781"</f>
        <v>JGO AROS RECAMBIO 0,4 DUNA TIPO 1.4 80.50MM   FAD. NHK1781</v>
      </c>
      <c r="C1984" t="str">
        <f>"$ 19880,25"</f>
        <v>$ 19880,25</v>
      </c>
      <c r="D1984" t="str">
        <f>"$ 19880,25"</f>
        <v>$ 19880,25</v>
      </c>
      <c r="E1984" t="str">
        <f>"$ 19880,25"</f>
        <v>$ 19880,25</v>
      </c>
      <c r="F1984" t="str">
        <f>"$ 19880,25"</f>
        <v>$ 19880,25</v>
      </c>
      <c r="G1984" t="str">
        <f>"$ 19880,25"</f>
        <v>$ 19880,25</v>
      </c>
      <c r="H1984" t="str">
        <f t="shared" si="1243"/>
        <v>$ 0,00</v>
      </c>
      <c r="I1984" t="str">
        <f t="shared" ref="I1984:I2002" si="1281">"JUEGO AROS DE RECAMBIO"</f>
        <v>JUEGO AROS DE RECAMBIO</v>
      </c>
      <c r="J1984" t="str">
        <f t="shared" si="1245"/>
        <v>1</v>
      </c>
      <c r="K1984" t="str">
        <f t="shared" si="1268"/>
        <v>0</v>
      </c>
      <c r="L1984" t="str">
        <f>"0,000"</f>
        <v>0,000</v>
      </c>
      <c r="M1984" t="str">
        <f t="shared" si="1246"/>
        <v xml:space="preserve"> </v>
      </c>
      <c r="N1984" t="str">
        <f t="shared" ref="N1984:N2017" si="1282">"PROMETAL"</f>
        <v>PROMETAL</v>
      </c>
      <c r="O1984" t="str">
        <f t="shared" ref="O1984:O2017" si="1283">"AROS DE MOTOR"</f>
        <v>AROS DE MOTOR</v>
      </c>
      <c r="P1984" t="str">
        <f t="shared" si="1279"/>
        <v>0</v>
      </c>
      <c r="Q1984" t="str">
        <f t="shared" si="1279"/>
        <v>0</v>
      </c>
      <c r="R1984" t="str">
        <f t="shared" si="1280"/>
        <v>0,00</v>
      </c>
      <c r="S1984" t="str">
        <f t="shared" si="1280"/>
        <v>0,00</v>
      </c>
      <c r="T1984" t="str">
        <f t="shared" ref="T1984:T2047" si="1284">" "</f>
        <v xml:space="preserve"> </v>
      </c>
      <c r="U1984" t="str">
        <f t="shared" si="1266"/>
        <v xml:space="preserve"> </v>
      </c>
      <c r="V1984" t="str">
        <f>"0,000"</f>
        <v>0,000</v>
      </c>
      <c r="W1984" t="str">
        <f t="shared" si="1250"/>
        <v>Lista 4</v>
      </c>
      <c r="X1984" t="str">
        <f t="shared" si="1251"/>
        <v>Lista 5</v>
      </c>
      <c r="Y1984" t="str">
        <f t="shared" si="1252"/>
        <v>Oferta Gral.</v>
      </c>
      <c r="Z1984" t="str">
        <f t="shared" si="1253"/>
        <v>Rubro</v>
      </c>
      <c r="AA1984" t="str">
        <f t="shared" si="1254"/>
        <v>Cantidad por Bulto</v>
      </c>
      <c r="AB1984" t="str">
        <f t="shared" si="1255"/>
        <v>INNER</v>
      </c>
      <c r="AC1984" t="str">
        <f t="shared" si="1256"/>
        <v>Stock en Bultos</v>
      </c>
      <c r="AD1984" t="str">
        <f t="shared" si="1257"/>
        <v>SubDepósito</v>
      </c>
      <c r="AE1984" t="str">
        <f t="shared" si="1258"/>
        <v>Marca</v>
      </c>
      <c r="AF1984" t="str">
        <f t="shared" si="1259"/>
        <v>Super Rubro</v>
      </c>
      <c r="AG1984" t="str">
        <f t="shared" si="1260"/>
        <v>ComercioExterior</v>
      </c>
      <c r="AH1984" t="str">
        <f t="shared" si="1261"/>
        <v>PrecioFOB</v>
      </c>
      <c r="AI1984" t="str">
        <f t="shared" si="1262"/>
        <v>Monto II</v>
      </c>
      <c r="AJ1984" t="str">
        <f t="shared" si="1263"/>
        <v>Porcentaje II</v>
      </c>
      <c r="AK1984" t="str">
        <f t="shared" si="1264"/>
        <v>Foto</v>
      </c>
      <c r="AL1984" t="str">
        <f>"{\rtf1\ansi\ansicpg1252\deff0\deflang11274{\fonttbl{\f0\fnil\fcharset0 MS Sans Serif}} \viewkind4\uc1\pard\f0\fs16 JGO AROS RECAMBIO 0,4 DUNA TIPO 1.4 80.50MM   FAD. NHK1781\par } "</f>
        <v xml:space="preserve">{\rtf1\ansi\ansicpg1252\deff0\deflang11274{\fonttbl{\f0\fnil\fcharset0 MS Sans Serif}} \viewkind4\uc1\pard\f0\fs16 JGO AROS RECAMBIO 0,4 DUNA TIPO 1.4 80.50MM   FAD. NHK1781\par } </v>
      </c>
      <c r="AM1984" t="str">
        <f t="shared" ref="AM1984:AM2007" si="1285">"-"</f>
        <v>-</v>
      </c>
    </row>
    <row r="1985" spans="1:39" x14ac:dyDescent="0.25">
      <c r="A1985" t="str">
        <f>"PMR0636-1"</f>
        <v>PMR0636-1</v>
      </c>
      <c r="B1985" t="str">
        <f>"JGO AROS RECAMBIO 0,4 FALCON/F100 93.50MM FAD NHL0097"</f>
        <v>JGO AROS RECAMBIO 0,4 FALCON/F100 93.50MM FAD NHL0097</v>
      </c>
      <c r="C1985" t="str">
        <f>"$ 39707,06"</f>
        <v>$ 39707,06</v>
      </c>
      <c r="D1985" t="str">
        <f>"$ 39707,06"</f>
        <v>$ 39707,06</v>
      </c>
      <c r="E1985" t="str">
        <f>"$ 39707,06"</f>
        <v>$ 39707,06</v>
      </c>
      <c r="F1985" t="str">
        <f>"$ 39707,06"</f>
        <v>$ 39707,06</v>
      </c>
      <c r="G1985" t="str">
        <f>"$ 39707,06"</f>
        <v>$ 39707,06</v>
      </c>
      <c r="H1985" t="str">
        <f t="shared" si="1243"/>
        <v>$ 0,00</v>
      </c>
      <c r="I1985" t="str">
        <f t="shared" si="1281"/>
        <v>JUEGO AROS DE RECAMBIO</v>
      </c>
      <c r="J1985" t="str">
        <f t="shared" si="1245"/>
        <v>1</v>
      </c>
      <c r="K1985" t="str">
        <f t="shared" si="1268"/>
        <v>0</v>
      </c>
      <c r="L1985" t="str">
        <f>"0,000"</f>
        <v>0,000</v>
      </c>
      <c r="M1985" t="str">
        <f t="shared" si="1246"/>
        <v xml:space="preserve"> </v>
      </c>
      <c r="N1985" t="str">
        <f t="shared" si="1282"/>
        <v>PROMETAL</v>
      </c>
      <c r="O1985" t="str">
        <f t="shared" si="1283"/>
        <v>AROS DE MOTOR</v>
      </c>
      <c r="P1985" t="str">
        <f t="shared" si="1279"/>
        <v>0</v>
      </c>
      <c r="Q1985" t="str">
        <f t="shared" si="1279"/>
        <v>0</v>
      </c>
      <c r="R1985" t="str">
        <f t="shared" si="1280"/>
        <v>0,00</v>
      </c>
      <c r="S1985" t="str">
        <f t="shared" si="1280"/>
        <v>0,00</v>
      </c>
      <c r="T1985" t="str">
        <f t="shared" si="1284"/>
        <v xml:space="preserve"> </v>
      </c>
      <c r="U1985" t="str">
        <f t="shared" si="1266"/>
        <v xml:space="preserve"> </v>
      </c>
      <c r="V1985" t="str">
        <f>"0,000"</f>
        <v>0,000</v>
      </c>
      <c r="W1985" t="str">
        <f t="shared" si="1250"/>
        <v>Lista 4</v>
      </c>
      <c r="X1985" t="str">
        <f t="shared" si="1251"/>
        <v>Lista 5</v>
      </c>
      <c r="Y1985" t="str">
        <f t="shared" si="1252"/>
        <v>Oferta Gral.</v>
      </c>
      <c r="Z1985" t="str">
        <f t="shared" si="1253"/>
        <v>Rubro</v>
      </c>
      <c r="AA1985" t="str">
        <f t="shared" si="1254"/>
        <v>Cantidad por Bulto</v>
      </c>
      <c r="AB1985" t="str">
        <f t="shared" si="1255"/>
        <v>INNER</v>
      </c>
      <c r="AC1985" t="str">
        <f t="shared" si="1256"/>
        <v>Stock en Bultos</v>
      </c>
      <c r="AD1985" t="str">
        <f t="shared" si="1257"/>
        <v>SubDepósito</v>
      </c>
      <c r="AE1985" t="str">
        <f t="shared" si="1258"/>
        <v>Marca</v>
      </c>
      <c r="AF1985" t="str">
        <f t="shared" si="1259"/>
        <v>Super Rubro</v>
      </c>
      <c r="AG1985" t="str">
        <f t="shared" si="1260"/>
        <v>ComercioExterior</v>
      </c>
      <c r="AH1985" t="str">
        <f t="shared" si="1261"/>
        <v>PrecioFOB</v>
      </c>
      <c r="AI1985" t="str">
        <f t="shared" si="1262"/>
        <v>Monto II</v>
      </c>
      <c r="AJ1985" t="str">
        <f t="shared" si="1263"/>
        <v>Porcentaje II</v>
      </c>
      <c r="AK1985" t="str">
        <f t="shared" si="1264"/>
        <v>Foto</v>
      </c>
      <c r="AL1985" t="str">
        <f>"{\rtf1\ansi\ansicpg1252\deff0\deflang11274{\fonttbl{\f0\fnil\fcharset0 MS Sans Serif}} \viewkind4\uc1\pard\f0\fs16 JGO AROS RECAMBIO 0,4 FALCON/F100 93.50MM FAD NHL0097\par } "</f>
        <v xml:space="preserve">{\rtf1\ansi\ansicpg1252\deff0\deflang11274{\fonttbl{\f0\fnil\fcharset0 MS Sans Serif}} \viewkind4\uc1\pard\f0\fs16 JGO AROS RECAMBIO 0,4 FALCON/F100 93.50MM FAD NHL0097\par } </v>
      </c>
      <c r="AM1985" t="str">
        <f t="shared" si="1285"/>
        <v>-</v>
      </c>
    </row>
    <row r="1986" spans="1:39" x14ac:dyDescent="0.25">
      <c r="A1986" t="str">
        <f>"PMR0643-1"</f>
        <v>PMR0643-1</v>
      </c>
      <c r="B1986" t="str">
        <f>"JGO AROS RECAMBIO 0,5 FIESTA 1.8D 82.50MM  FAD NHR1782"</f>
        <v>JGO AROS RECAMBIO 0,5 FIESTA 1.8D 82.50MM  FAD NHR1782</v>
      </c>
      <c r="C1986" t="str">
        <f>"$ 37462,51"</f>
        <v>$ 37462,51</v>
      </c>
      <c r="D1986" t="str">
        <f>"$ 37462,51"</f>
        <v>$ 37462,51</v>
      </c>
      <c r="E1986" t="str">
        <f>"$ 37462,51"</f>
        <v>$ 37462,51</v>
      </c>
      <c r="F1986" t="str">
        <f>"$ 37462,51"</f>
        <v>$ 37462,51</v>
      </c>
      <c r="G1986" t="str">
        <f>"$ 37462,51"</f>
        <v>$ 37462,51</v>
      </c>
      <c r="H1986" t="str">
        <f t="shared" si="1243"/>
        <v>$ 0,00</v>
      </c>
      <c r="I1986" t="str">
        <f t="shared" si="1281"/>
        <v>JUEGO AROS DE RECAMBIO</v>
      </c>
      <c r="J1986" t="str">
        <f t="shared" si="1245"/>
        <v>1</v>
      </c>
      <c r="K1986" t="str">
        <f t="shared" si="1268"/>
        <v>0</v>
      </c>
      <c r="L1986" t="str">
        <f>"3,000"</f>
        <v>3,000</v>
      </c>
      <c r="M1986" t="str">
        <f t="shared" si="1246"/>
        <v xml:space="preserve"> </v>
      </c>
      <c r="N1986" t="str">
        <f t="shared" si="1282"/>
        <v>PROMETAL</v>
      </c>
      <c r="O1986" t="str">
        <f t="shared" si="1283"/>
        <v>AROS DE MOTOR</v>
      </c>
      <c r="P1986" t="str">
        <f t="shared" si="1279"/>
        <v>0</v>
      </c>
      <c r="Q1986" t="str">
        <f t="shared" si="1279"/>
        <v>0</v>
      </c>
      <c r="R1986" t="str">
        <f t="shared" si="1280"/>
        <v>0,00</v>
      </c>
      <c r="S1986" t="str">
        <f t="shared" si="1280"/>
        <v>0,00</v>
      </c>
      <c r="T1986" t="str">
        <f t="shared" si="1284"/>
        <v xml:space="preserve"> </v>
      </c>
      <c r="U1986" t="str">
        <f t="shared" si="1266"/>
        <v xml:space="preserve"> </v>
      </c>
      <c r="V1986" t="str">
        <f>"3,000"</f>
        <v>3,000</v>
      </c>
      <c r="W1986" t="str">
        <f t="shared" si="1250"/>
        <v>Lista 4</v>
      </c>
      <c r="X1986" t="str">
        <f t="shared" si="1251"/>
        <v>Lista 5</v>
      </c>
      <c r="Y1986" t="str">
        <f t="shared" si="1252"/>
        <v>Oferta Gral.</v>
      </c>
      <c r="Z1986" t="str">
        <f t="shared" si="1253"/>
        <v>Rubro</v>
      </c>
      <c r="AA1986" t="str">
        <f t="shared" si="1254"/>
        <v>Cantidad por Bulto</v>
      </c>
      <c r="AB1986" t="str">
        <f t="shared" si="1255"/>
        <v>INNER</v>
      </c>
      <c r="AC1986" t="str">
        <f t="shared" si="1256"/>
        <v>Stock en Bultos</v>
      </c>
      <c r="AD1986" t="str">
        <f t="shared" si="1257"/>
        <v>SubDepósito</v>
      </c>
      <c r="AE1986" t="str">
        <f t="shared" si="1258"/>
        <v>Marca</v>
      </c>
      <c r="AF1986" t="str">
        <f t="shared" si="1259"/>
        <v>Super Rubro</v>
      </c>
      <c r="AG1986" t="str">
        <f t="shared" si="1260"/>
        <v>ComercioExterior</v>
      </c>
      <c r="AH1986" t="str">
        <f t="shared" si="1261"/>
        <v>PrecioFOB</v>
      </c>
      <c r="AI1986" t="str">
        <f t="shared" si="1262"/>
        <v>Monto II</v>
      </c>
      <c r="AJ1986" t="str">
        <f t="shared" si="1263"/>
        <v>Porcentaje II</v>
      </c>
      <c r="AK1986" t="str">
        <f t="shared" si="1264"/>
        <v>Foto</v>
      </c>
      <c r="AL1986" t="str">
        <f>"{\rtf1\ansi\ansicpg1252\deff0\deflang11274{\fonttbl{\f0\fnil\fcharset0 MS Sans Serif}} \viewkind4\uc1\pard\f0\fs16 JGO AROS RECAMBIO 0,5 FIESTA 1.8D 82.50MM  FAD NHR1782\par } "</f>
        <v xml:space="preserve">{\rtf1\ansi\ansicpg1252\deff0\deflang11274{\fonttbl{\f0\fnil\fcharset0 MS Sans Serif}} \viewkind4\uc1\pard\f0\fs16 JGO AROS RECAMBIO 0,5 FIESTA 1.8D 82.50MM  FAD NHR1782\par } </v>
      </c>
      <c r="AM1986" t="str">
        <f t="shared" si="1285"/>
        <v>-</v>
      </c>
    </row>
    <row r="1987" spans="1:39" x14ac:dyDescent="0.25">
      <c r="A1987" t="str">
        <f>"PMR1906-1"</f>
        <v>PMR1906-1</v>
      </c>
      <c r="B1987" t="str">
        <f>"JGO AROS RECAMBIO 0,5 GOL/SENDA 1.6/1.8 81.00MM   FAD 1786"</f>
        <v>JGO AROS RECAMBIO 0,5 GOL/SENDA 1.6/1.8 81.00MM   FAD 1786</v>
      </c>
      <c r="C1987" t="str">
        <f>"$ 33026,87"</f>
        <v>$ 33026,87</v>
      </c>
      <c r="D1987" t="str">
        <f>"$ 33026,87"</f>
        <v>$ 33026,87</v>
      </c>
      <c r="E1987" t="str">
        <f>"$ 33026,87"</f>
        <v>$ 33026,87</v>
      </c>
      <c r="F1987" t="str">
        <f>"$ 33026,87"</f>
        <v>$ 33026,87</v>
      </c>
      <c r="G1987" t="str">
        <f>"$ 33026,87"</f>
        <v>$ 33026,87</v>
      </c>
      <c r="H1987" t="str">
        <f t="shared" ref="H1987:H2050" si="1286">"$ 0,00"</f>
        <v>$ 0,00</v>
      </c>
      <c r="I1987" t="str">
        <f t="shared" si="1281"/>
        <v>JUEGO AROS DE RECAMBIO</v>
      </c>
      <c r="J1987" t="str">
        <f t="shared" ref="J1987:J2050" si="1287">"1"</f>
        <v>1</v>
      </c>
      <c r="K1987" t="str">
        <f t="shared" si="1268"/>
        <v>0</v>
      </c>
      <c r="L1987" t="str">
        <f>"0,000"</f>
        <v>0,000</v>
      </c>
      <c r="M1987" t="str">
        <f t="shared" ref="M1987:M2050" si="1288">" "</f>
        <v xml:space="preserve"> </v>
      </c>
      <c r="N1987" t="str">
        <f t="shared" si="1282"/>
        <v>PROMETAL</v>
      </c>
      <c r="O1987" t="str">
        <f t="shared" si="1283"/>
        <v>AROS DE MOTOR</v>
      </c>
      <c r="P1987" t="str">
        <f t="shared" si="1279"/>
        <v>0</v>
      </c>
      <c r="Q1987" t="str">
        <f t="shared" si="1279"/>
        <v>0</v>
      </c>
      <c r="R1987" t="str">
        <f t="shared" si="1280"/>
        <v>0,00</v>
      </c>
      <c r="S1987" t="str">
        <f t="shared" si="1280"/>
        <v>0,00</v>
      </c>
      <c r="T1987" t="str">
        <f t="shared" si="1284"/>
        <v xml:space="preserve"> </v>
      </c>
      <c r="U1987" t="str">
        <f t="shared" si="1266"/>
        <v xml:space="preserve"> </v>
      </c>
      <c r="V1987" t="str">
        <f>"0,000"</f>
        <v>0,000</v>
      </c>
      <c r="W1987" t="str">
        <f t="shared" ref="W1987:W2050" si="1289">"Lista 4"</f>
        <v>Lista 4</v>
      </c>
      <c r="X1987" t="str">
        <f t="shared" ref="X1987:X2050" si="1290">"Lista 5"</f>
        <v>Lista 5</v>
      </c>
      <c r="Y1987" t="str">
        <f t="shared" ref="Y1987:Y2050" si="1291">"Oferta Gral."</f>
        <v>Oferta Gral.</v>
      </c>
      <c r="Z1987" t="str">
        <f t="shared" ref="Z1987:Z2050" si="1292">"Rubro"</f>
        <v>Rubro</v>
      </c>
      <c r="AA1987" t="str">
        <f t="shared" ref="AA1987:AA2050" si="1293">"Cantidad por Bulto"</f>
        <v>Cantidad por Bulto</v>
      </c>
      <c r="AB1987" t="str">
        <f t="shared" ref="AB1987:AB2050" si="1294">"INNER"</f>
        <v>INNER</v>
      </c>
      <c r="AC1987" t="str">
        <f t="shared" ref="AC1987:AC2050" si="1295">"Stock en Bultos"</f>
        <v>Stock en Bultos</v>
      </c>
      <c r="AD1987" t="str">
        <f t="shared" ref="AD1987:AD2050" si="1296">"SubDepósito"</f>
        <v>SubDepósito</v>
      </c>
      <c r="AE1987" t="str">
        <f t="shared" ref="AE1987:AE2050" si="1297">"Marca"</f>
        <v>Marca</v>
      </c>
      <c r="AF1987" t="str">
        <f t="shared" ref="AF1987:AF2050" si="1298">"Super Rubro"</f>
        <v>Super Rubro</v>
      </c>
      <c r="AG1987" t="str">
        <f t="shared" ref="AG1987:AG2050" si="1299">"ComercioExterior"</f>
        <v>ComercioExterior</v>
      </c>
      <c r="AH1987" t="str">
        <f t="shared" ref="AH1987:AH2050" si="1300">"PrecioFOB"</f>
        <v>PrecioFOB</v>
      </c>
      <c r="AI1987" t="str">
        <f t="shared" ref="AI1987:AI2050" si="1301">"Monto II"</f>
        <v>Monto II</v>
      </c>
      <c r="AJ1987" t="str">
        <f t="shared" ref="AJ1987:AJ2050" si="1302">"Porcentaje II"</f>
        <v>Porcentaje II</v>
      </c>
      <c r="AK1987" t="str">
        <f t="shared" ref="AK1987:AK2050" si="1303">"Foto"</f>
        <v>Foto</v>
      </c>
      <c r="AL1987" t="str">
        <f>"{\rtf1\ansi\ansicpg1252\deff0\deflang11274{\fonttbl{\f0\fnil\fcharset0 MS Sans Serif}} \viewkind4\uc1\pard\f0\fs16 JGO AROS RECAMBIO 0,5 GOL/SENDA 1.6/1.8 81.00MM   FAD 1786\par } "</f>
        <v xml:space="preserve">{\rtf1\ansi\ansicpg1252\deff0\deflang11274{\fonttbl{\f0\fnil\fcharset0 MS Sans Serif}} \viewkind4\uc1\pard\f0\fs16 JGO AROS RECAMBIO 0,5 GOL/SENDA 1.6/1.8 81.00MM   FAD 1786\par } </v>
      </c>
      <c r="AM1987" t="str">
        <f t="shared" si="1285"/>
        <v>-</v>
      </c>
    </row>
    <row r="1988" spans="1:39" x14ac:dyDescent="0.25">
      <c r="A1988" t="str">
        <f>"PMR1919-1"</f>
        <v>PMR1919-1</v>
      </c>
      <c r="B1988" t="str">
        <f>"JGO AROS RECAMBIO 0,5 POLO D 79.50MM     FAD NHR1204"</f>
        <v>JGO AROS RECAMBIO 0,5 POLO D 79.50MM     FAD NHR1204</v>
      </c>
      <c r="C1988" t="str">
        <f>"$ 63328,22"</f>
        <v>$ 63328,22</v>
      </c>
      <c r="D1988" t="str">
        <f>"$ 63328,22"</f>
        <v>$ 63328,22</v>
      </c>
      <c r="E1988" t="str">
        <f>"$ 63328,22"</f>
        <v>$ 63328,22</v>
      </c>
      <c r="F1988" t="str">
        <f>"$ 63328,22"</f>
        <v>$ 63328,22</v>
      </c>
      <c r="G1988" t="str">
        <f>"$ 63328,22"</f>
        <v>$ 63328,22</v>
      </c>
      <c r="H1988" t="str">
        <f t="shared" si="1286"/>
        <v>$ 0,00</v>
      </c>
      <c r="I1988" t="str">
        <f t="shared" si="1281"/>
        <v>JUEGO AROS DE RECAMBIO</v>
      </c>
      <c r="J1988" t="str">
        <f t="shared" si="1287"/>
        <v>1</v>
      </c>
      <c r="K1988" t="str">
        <f t="shared" si="1268"/>
        <v>0</v>
      </c>
      <c r="L1988" t="str">
        <f>"0,000"</f>
        <v>0,000</v>
      </c>
      <c r="M1988" t="str">
        <f t="shared" si="1288"/>
        <v xml:space="preserve"> </v>
      </c>
      <c r="N1988" t="str">
        <f t="shared" si="1282"/>
        <v>PROMETAL</v>
      </c>
      <c r="O1988" t="str">
        <f t="shared" si="1283"/>
        <v>AROS DE MOTOR</v>
      </c>
      <c r="P1988" t="str">
        <f t="shared" si="1279"/>
        <v>0</v>
      </c>
      <c r="Q1988" t="str">
        <f t="shared" si="1279"/>
        <v>0</v>
      </c>
      <c r="R1988" t="str">
        <f t="shared" si="1280"/>
        <v>0,00</v>
      </c>
      <c r="S1988" t="str">
        <f t="shared" si="1280"/>
        <v>0,00</v>
      </c>
      <c r="T1988" t="str">
        <f t="shared" si="1284"/>
        <v xml:space="preserve"> </v>
      </c>
      <c r="U1988" t="str">
        <f t="shared" si="1266"/>
        <v xml:space="preserve"> </v>
      </c>
      <c r="V1988" t="str">
        <f>"0,000"</f>
        <v>0,000</v>
      </c>
      <c r="W1988" t="str">
        <f t="shared" si="1289"/>
        <v>Lista 4</v>
      </c>
      <c r="X1988" t="str">
        <f t="shared" si="1290"/>
        <v>Lista 5</v>
      </c>
      <c r="Y1988" t="str">
        <f t="shared" si="1291"/>
        <v>Oferta Gral.</v>
      </c>
      <c r="Z1988" t="str">
        <f t="shared" si="1292"/>
        <v>Rubro</v>
      </c>
      <c r="AA1988" t="str">
        <f t="shared" si="1293"/>
        <v>Cantidad por Bulto</v>
      </c>
      <c r="AB1988" t="str">
        <f t="shared" si="1294"/>
        <v>INNER</v>
      </c>
      <c r="AC1988" t="str">
        <f t="shared" si="1295"/>
        <v>Stock en Bultos</v>
      </c>
      <c r="AD1988" t="str">
        <f t="shared" si="1296"/>
        <v>SubDepósito</v>
      </c>
      <c r="AE1988" t="str">
        <f t="shared" si="1297"/>
        <v>Marca</v>
      </c>
      <c r="AF1988" t="str">
        <f t="shared" si="1298"/>
        <v>Super Rubro</v>
      </c>
      <c r="AG1988" t="str">
        <f t="shared" si="1299"/>
        <v>ComercioExterior</v>
      </c>
      <c r="AH1988" t="str">
        <f t="shared" si="1300"/>
        <v>PrecioFOB</v>
      </c>
      <c r="AI1988" t="str">
        <f t="shared" si="1301"/>
        <v>Monto II</v>
      </c>
      <c r="AJ1988" t="str">
        <f t="shared" si="1302"/>
        <v>Porcentaje II</v>
      </c>
      <c r="AK1988" t="str">
        <f t="shared" si="1303"/>
        <v>Foto</v>
      </c>
      <c r="AL1988" t="str">
        <f>"{\rtf1\ansi\ansicpg1252\deff0\deflang11274{\fonttbl{\f0\fnil\fcharset0 MS Sans Serif}} \viewkind4\uc1\pard\f0\fs16 JGO AROS RECAMBIO 0,5 POLO D 79.50MM     FAD NHR1204\par } "</f>
        <v xml:space="preserve">{\rtf1\ansi\ansicpg1252\deff0\deflang11274{\fonttbl{\f0\fnil\fcharset0 MS Sans Serif}} \viewkind4\uc1\pard\f0\fs16 JGO AROS RECAMBIO 0,5 POLO D 79.50MM     FAD NHR1204\par } </v>
      </c>
      <c r="AM1988" t="str">
        <f t="shared" si="1285"/>
        <v>-</v>
      </c>
    </row>
    <row r="1989" spans="1:39" x14ac:dyDescent="0.25">
      <c r="A1989" t="str">
        <f>"PMR0636-2"</f>
        <v>PMR0636-2</v>
      </c>
      <c r="B1989" t="str">
        <f>"JGO AROS RECAMBIO 0,6 FALCON/F100 93.50MM FAD NHL0097"</f>
        <v>JGO AROS RECAMBIO 0,6 FALCON/F100 93.50MM FAD NHL0097</v>
      </c>
      <c r="C1989" t="str">
        <f>"$ 39707,06"</f>
        <v>$ 39707,06</v>
      </c>
      <c r="D1989" t="str">
        <f>"$ 39707,06"</f>
        <v>$ 39707,06</v>
      </c>
      <c r="E1989" t="str">
        <f>"$ 39707,06"</f>
        <v>$ 39707,06</v>
      </c>
      <c r="F1989" t="str">
        <f>"$ 39707,06"</f>
        <v>$ 39707,06</v>
      </c>
      <c r="G1989" t="str">
        <f>"$ 39707,06"</f>
        <v>$ 39707,06</v>
      </c>
      <c r="H1989" t="str">
        <f t="shared" si="1286"/>
        <v>$ 0,00</v>
      </c>
      <c r="I1989" t="str">
        <f t="shared" si="1281"/>
        <v>JUEGO AROS DE RECAMBIO</v>
      </c>
      <c r="J1989" t="str">
        <f t="shared" si="1287"/>
        <v>1</v>
      </c>
      <c r="K1989" t="str">
        <f t="shared" si="1268"/>
        <v>0</v>
      </c>
      <c r="L1989" t="str">
        <f>"1,000"</f>
        <v>1,000</v>
      </c>
      <c r="M1989" t="str">
        <f t="shared" si="1288"/>
        <v xml:space="preserve"> </v>
      </c>
      <c r="N1989" t="str">
        <f t="shared" si="1282"/>
        <v>PROMETAL</v>
      </c>
      <c r="O1989" t="str">
        <f t="shared" si="1283"/>
        <v>AROS DE MOTOR</v>
      </c>
      <c r="P1989" t="str">
        <f t="shared" si="1279"/>
        <v>0</v>
      </c>
      <c r="Q1989" t="str">
        <f t="shared" si="1279"/>
        <v>0</v>
      </c>
      <c r="R1989" t="str">
        <f t="shared" si="1280"/>
        <v>0,00</v>
      </c>
      <c r="S1989" t="str">
        <f t="shared" si="1280"/>
        <v>0,00</v>
      </c>
      <c r="T1989" t="str">
        <f t="shared" si="1284"/>
        <v xml:space="preserve"> </v>
      </c>
      <c r="U1989" t="str">
        <f t="shared" si="1266"/>
        <v xml:space="preserve"> </v>
      </c>
      <c r="V1989" t="str">
        <f>"1,000"</f>
        <v>1,000</v>
      </c>
      <c r="W1989" t="str">
        <f t="shared" si="1289"/>
        <v>Lista 4</v>
      </c>
      <c r="X1989" t="str">
        <f t="shared" si="1290"/>
        <v>Lista 5</v>
      </c>
      <c r="Y1989" t="str">
        <f t="shared" si="1291"/>
        <v>Oferta Gral.</v>
      </c>
      <c r="Z1989" t="str">
        <f t="shared" si="1292"/>
        <v>Rubro</v>
      </c>
      <c r="AA1989" t="str">
        <f t="shared" si="1293"/>
        <v>Cantidad por Bulto</v>
      </c>
      <c r="AB1989" t="str">
        <f t="shared" si="1294"/>
        <v>INNER</v>
      </c>
      <c r="AC1989" t="str">
        <f t="shared" si="1295"/>
        <v>Stock en Bultos</v>
      </c>
      <c r="AD1989" t="str">
        <f t="shared" si="1296"/>
        <v>SubDepósito</v>
      </c>
      <c r="AE1989" t="str">
        <f t="shared" si="1297"/>
        <v>Marca</v>
      </c>
      <c r="AF1989" t="str">
        <f t="shared" si="1298"/>
        <v>Super Rubro</v>
      </c>
      <c r="AG1989" t="str">
        <f t="shared" si="1299"/>
        <v>ComercioExterior</v>
      </c>
      <c r="AH1989" t="str">
        <f t="shared" si="1300"/>
        <v>PrecioFOB</v>
      </c>
      <c r="AI1989" t="str">
        <f t="shared" si="1301"/>
        <v>Monto II</v>
      </c>
      <c r="AJ1989" t="str">
        <f t="shared" si="1302"/>
        <v>Porcentaje II</v>
      </c>
      <c r="AK1989" t="str">
        <f t="shared" si="1303"/>
        <v>Foto</v>
      </c>
      <c r="AL1989" t="str">
        <f>"{\rtf1\ansi\ansicpg1252\deff0\deflang11274{\fonttbl{\f0\fnil\fcharset0 MS Sans Serif}} \viewkind4\uc1\pard\f0\fs16 JGO AROS RECAMBIO 0,6 FALCON/F100 93.50MM FAD NHL0097\par } "</f>
        <v xml:space="preserve">{\rtf1\ansi\ansicpg1252\deff0\deflang11274{\fonttbl{\f0\fnil\fcharset0 MS Sans Serif}} \viewkind4\uc1\pard\f0\fs16 JGO AROS RECAMBIO 0,6 FALCON/F100 93.50MM FAD NHL0097\par } </v>
      </c>
      <c r="AM1989" t="str">
        <f t="shared" si="1285"/>
        <v>-</v>
      </c>
    </row>
    <row r="1990" spans="1:39" x14ac:dyDescent="0.25">
      <c r="A1990" t="str">
        <f>"PMR2401"</f>
        <v>PMR2401</v>
      </c>
      <c r="B1990" t="str">
        <f>"JGO AROS RECAMBIO STD DUNA TIPO 1.4 80.50MM   FAD. NHK1781"</f>
        <v>JGO AROS RECAMBIO STD DUNA TIPO 1.4 80.50MM   FAD. NHK1781</v>
      </c>
      <c r="C1990" t="str">
        <f>"$ 19880,25"</f>
        <v>$ 19880,25</v>
      </c>
      <c r="D1990" t="str">
        <f>"$ 19880,25"</f>
        <v>$ 19880,25</v>
      </c>
      <c r="E1990" t="str">
        <f>"$ 19880,25"</f>
        <v>$ 19880,25</v>
      </c>
      <c r="F1990" t="str">
        <f>"$ 19880,25"</f>
        <v>$ 19880,25</v>
      </c>
      <c r="G1990" t="str">
        <f>"$ 19880,25"</f>
        <v>$ 19880,25</v>
      </c>
      <c r="H1990" t="str">
        <f t="shared" si="1286"/>
        <v>$ 0,00</v>
      </c>
      <c r="I1990" t="str">
        <f t="shared" si="1281"/>
        <v>JUEGO AROS DE RECAMBIO</v>
      </c>
      <c r="J1990" t="str">
        <f t="shared" si="1287"/>
        <v>1</v>
      </c>
      <c r="K1990" t="str">
        <f t="shared" si="1268"/>
        <v>0</v>
      </c>
      <c r="L1990" t="str">
        <f>"-4,000"</f>
        <v>-4,000</v>
      </c>
      <c r="M1990" t="str">
        <f t="shared" si="1288"/>
        <v xml:space="preserve"> </v>
      </c>
      <c r="N1990" t="str">
        <f t="shared" si="1282"/>
        <v>PROMETAL</v>
      </c>
      <c r="O1990" t="str">
        <f t="shared" si="1283"/>
        <v>AROS DE MOTOR</v>
      </c>
      <c r="P1990" t="str">
        <f t="shared" si="1279"/>
        <v>0</v>
      </c>
      <c r="Q1990" t="str">
        <f t="shared" si="1279"/>
        <v>0</v>
      </c>
      <c r="R1990" t="str">
        <f t="shared" si="1280"/>
        <v>0,00</v>
      </c>
      <c r="S1990" t="str">
        <f t="shared" si="1280"/>
        <v>0,00</v>
      </c>
      <c r="T1990" t="str">
        <f t="shared" si="1284"/>
        <v xml:space="preserve"> </v>
      </c>
      <c r="U1990" t="str">
        <f t="shared" si="1266"/>
        <v xml:space="preserve"> </v>
      </c>
      <c r="V1990" t="str">
        <f>"-4,000"</f>
        <v>-4,000</v>
      </c>
      <c r="W1990" t="str">
        <f t="shared" si="1289"/>
        <v>Lista 4</v>
      </c>
      <c r="X1990" t="str">
        <f t="shared" si="1290"/>
        <v>Lista 5</v>
      </c>
      <c r="Y1990" t="str">
        <f t="shared" si="1291"/>
        <v>Oferta Gral.</v>
      </c>
      <c r="Z1990" t="str">
        <f t="shared" si="1292"/>
        <v>Rubro</v>
      </c>
      <c r="AA1990" t="str">
        <f t="shared" si="1293"/>
        <v>Cantidad por Bulto</v>
      </c>
      <c r="AB1990" t="str">
        <f t="shared" si="1294"/>
        <v>INNER</v>
      </c>
      <c r="AC1990" t="str">
        <f t="shared" si="1295"/>
        <v>Stock en Bultos</v>
      </c>
      <c r="AD1990" t="str">
        <f t="shared" si="1296"/>
        <v>SubDepósito</v>
      </c>
      <c r="AE1990" t="str">
        <f t="shared" si="1297"/>
        <v>Marca</v>
      </c>
      <c r="AF1990" t="str">
        <f t="shared" si="1298"/>
        <v>Super Rubro</v>
      </c>
      <c r="AG1990" t="str">
        <f t="shared" si="1299"/>
        <v>ComercioExterior</v>
      </c>
      <c r="AH1990" t="str">
        <f t="shared" si="1300"/>
        <v>PrecioFOB</v>
      </c>
      <c r="AI1990" t="str">
        <f t="shared" si="1301"/>
        <v>Monto II</v>
      </c>
      <c r="AJ1990" t="str">
        <f t="shared" si="1302"/>
        <v>Porcentaje II</v>
      </c>
      <c r="AK1990" t="str">
        <f t="shared" si="1303"/>
        <v>Foto</v>
      </c>
      <c r="AL1990" t="str">
        <f>"{\rtf1\ansi\ansicpg1252\deff0\deflang11274{\fonttbl{\f0\fnil\fcharset0 MS Sans Serif}} \viewkind4\uc1\pard\f0\fs16 JGO AROS RECAMBIO STD DUNA TIPO 1.4 80.50MM   FAD. NHK1781\par } "</f>
        <v xml:space="preserve">{\rtf1\ansi\ansicpg1252\deff0\deflang11274{\fonttbl{\f0\fnil\fcharset0 MS Sans Serif}} \viewkind4\uc1\pard\f0\fs16 JGO AROS RECAMBIO STD DUNA TIPO 1.4 80.50MM   FAD. NHK1781\par } </v>
      </c>
      <c r="AM1990" t="str">
        <f t="shared" si="1285"/>
        <v>-</v>
      </c>
    </row>
    <row r="1991" spans="1:39" x14ac:dyDescent="0.25">
      <c r="A1991" t="str">
        <f>"PMR2515"</f>
        <v>PMR2515</v>
      </c>
      <c r="B1991" t="str">
        <f>"JGO AROS RECAMBIO STD EXPRESS F8Q 80.00MM FAD NHK1874"</f>
        <v>JGO AROS RECAMBIO STD EXPRESS F8Q 80.00MM FAD NHK1874</v>
      </c>
      <c r="C1991" t="str">
        <f>"$ 23100,41"</f>
        <v>$ 23100,41</v>
      </c>
      <c r="D1991" t="str">
        <f>"$ 23100,41"</f>
        <v>$ 23100,41</v>
      </c>
      <c r="E1991" t="str">
        <f>"$ 23100,41"</f>
        <v>$ 23100,41</v>
      </c>
      <c r="F1991" t="str">
        <f>"$ 23100,41"</f>
        <v>$ 23100,41</v>
      </c>
      <c r="G1991" t="str">
        <f>"$ 23100,41"</f>
        <v>$ 23100,41</v>
      </c>
      <c r="H1991" t="str">
        <f t="shared" si="1286"/>
        <v>$ 0,00</v>
      </c>
      <c r="I1991" t="str">
        <f t="shared" si="1281"/>
        <v>JUEGO AROS DE RECAMBIO</v>
      </c>
      <c r="J1991" t="str">
        <f t="shared" si="1287"/>
        <v>1</v>
      </c>
      <c r="K1991" t="str">
        <f t="shared" si="1268"/>
        <v>0</v>
      </c>
      <c r="L1991" t="str">
        <f>"0,000"</f>
        <v>0,000</v>
      </c>
      <c r="M1991" t="str">
        <f t="shared" si="1288"/>
        <v xml:space="preserve"> </v>
      </c>
      <c r="N1991" t="str">
        <f t="shared" si="1282"/>
        <v>PROMETAL</v>
      </c>
      <c r="O1991" t="str">
        <f t="shared" si="1283"/>
        <v>AROS DE MOTOR</v>
      </c>
      <c r="P1991" t="str">
        <f t="shared" si="1279"/>
        <v>0</v>
      </c>
      <c r="Q1991" t="str">
        <f t="shared" si="1279"/>
        <v>0</v>
      </c>
      <c r="R1991" t="str">
        <f t="shared" si="1280"/>
        <v>0,00</v>
      </c>
      <c r="S1991" t="str">
        <f t="shared" si="1280"/>
        <v>0,00</v>
      </c>
      <c r="T1991" t="str">
        <f t="shared" si="1284"/>
        <v xml:space="preserve"> </v>
      </c>
      <c r="U1991" t="str">
        <f t="shared" si="1266"/>
        <v xml:space="preserve"> </v>
      </c>
      <c r="V1991" t="str">
        <f>"0,000"</f>
        <v>0,000</v>
      </c>
      <c r="W1991" t="str">
        <f t="shared" si="1289"/>
        <v>Lista 4</v>
      </c>
      <c r="X1991" t="str">
        <f t="shared" si="1290"/>
        <v>Lista 5</v>
      </c>
      <c r="Y1991" t="str">
        <f t="shared" si="1291"/>
        <v>Oferta Gral.</v>
      </c>
      <c r="Z1991" t="str">
        <f t="shared" si="1292"/>
        <v>Rubro</v>
      </c>
      <c r="AA1991" t="str">
        <f t="shared" si="1293"/>
        <v>Cantidad por Bulto</v>
      </c>
      <c r="AB1991" t="str">
        <f t="shared" si="1294"/>
        <v>INNER</v>
      </c>
      <c r="AC1991" t="str">
        <f t="shared" si="1295"/>
        <v>Stock en Bultos</v>
      </c>
      <c r="AD1991" t="str">
        <f t="shared" si="1296"/>
        <v>SubDepósito</v>
      </c>
      <c r="AE1991" t="str">
        <f t="shared" si="1297"/>
        <v>Marca</v>
      </c>
      <c r="AF1991" t="str">
        <f t="shared" si="1298"/>
        <v>Super Rubro</v>
      </c>
      <c r="AG1991" t="str">
        <f t="shared" si="1299"/>
        <v>ComercioExterior</v>
      </c>
      <c r="AH1991" t="str">
        <f t="shared" si="1300"/>
        <v>PrecioFOB</v>
      </c>
      <c r="AI1991" t="str">
        <f t="shared" si="1301"/>
        <v>Monto II</v>
      </c>
      <c r="AJ1991" t="str">
        <f t="shared" si="1302"/>
        <v>Porcentaje II</v>
      </c>
      <c r="AK1991" t="str">
        <f t="shared" si="1303"/>
        <v>Foto</v>
      </c>
      <c r="AL1991" t="str">
        <f>"{\rtf1\ansi\ansicpg1252\deff0\deflang11274{\fonttbl{\f0\fnil\fcharset0 MS Sans Serif}} \viewkind4\uc1\pard\f0\fs16 JGO AROS RECAMBIO STD EXPRESS F8Q 80.00MM FAD NHK1874\par } "</f>
        <v xml:space="preserve">{\rtf1\ansi\ansicpg1252\deff0\deflang11274{\fonttbl{\f0\fnil\fcharset0 MS Sans Serif}} \viewkind4\uc1\pard\f0\fs16 JGO AROS RECAMBIO STD EXPRESS F8Q 80.00MM FAD NHK1874\par } </v>
      </c>
      <c r="AM1991" t="str">
        <f t="shared" si="1285"/>
        <v>-</v>
      </c>
    </row>
    <row r="1992" spans="1:39" x14ac:dyDescent="0.25">
      <c r="A1992" t="str">
        <f>"PMR0636"</f>
        <v>PMR0636</v>
      </c>
      <c r="B1992" t="str">
        <f>"JGO AROS RECAMBIO STD FALCON/F100 93.50MM FAD NHL0097"</f>
        <v>JGO AROS RECAMBIO STD FALCON/F100 93.50MM FAD NHL0097</v>
      </c>
      <c r="C1992" t="str">
        <f>"$ 39707,06"</f>
        <v>$ 39707,06</v>
      </c>
      <c r="D1992" t="str">
        <f>"$ 39707,06"</f>
        <v>$ 39707,06</v>
      </c>
      <c r="E1992" t="str">
        <f>"$ 39707,06"</f>
        <v>$ 39707,06</v>
      </c>
      <c r="F1992" t="str">
        <f>"$ 39707,06"</f>
        <v>$ 39707,06</v>
      </c>
      <c r="G1992" t="str">
        <f>"$ 39707,06"</f>
        <v>$ 39707,06</v>
      </c>
      <c r="H1992" t="str">
        <f t="shared" si="1286"/>
        <v>$ 0,00</v>
      </c>
      <c r="I1992" t="str">
        <f t="shared" si="1281"/>
        <v>JUEGO AROS DE RECAMBIO</v>
      </c>
      <c r="J1992" t="str">
        <f t="shared" si="1287"/>
        <v>1</v>
      </c>
      <c r="K1992" t="str">
        <f t="shared" si="1268"/>
        <v>0</v>
      </c>
      <c r="L1992" t="str">
        <f>"0,000"</f>
        <v>0,000</v>
      </c>
      <c r="M1992" t="str">
        <f t="shared" si="1288"/>
        <v xml:space="preserve"> </v>
      </c>
      <c r="N1992" t="str">
        <f t="shared" si="1282"/>
        <v>PROMETAL</v>
      </c>
      <c r="O1992" t="str">
        <f t="shared" si="1283"/>
        <v>AROS DE MOTOR</v>
      </c>
      <c r="P1992" t="str">
        <f t="shared" si="1279"/>
        <v>0</v>
      </c>
      <c r="Q1992" t="str">
        <f t="shared" si="1279"/>
        <v>0</v>
      </c>
      <c r="R1992" t="str">
        <f t="shared" si="1280"/>
        <v>0,00</v>
      </c>
      <c r="S1992" t="str">
        <f t="shared" si="1280"/>
        <v>0,00</v>
      </c>
      <c r="T1992" t="str">
        <f t="shared" si="1284"/>
        <v xml:space="preserve"> </v>
      </c>
      <c r="U1992" t="str">
        <f t="shared" si="1266"/>
        <v xml:space="preserve"> </v>
      </c>
      <c r="V1992" t="str">
        <f>"0,000"</f>
        <v>0,000</v>
      </c>
      <c r="W1992" t="str">
        <f t="shared" si="1289"/>
        <v>Lista 4</v>
      </c>
      <c r="X1992" t="str">
        <f t="shared" si="1290"/>
        <v>Lista 5</v>
      </c>
      <c r="Y1992" t="str">
        <f t="shared" si="1291"/>
        <v>Oferta Gral.</v>
      </c>
      <c r="Z1992" t="str">
        <f t="shared" si="1292"/>
        <v>Rubro</v>
      </c>
      <c r="AA1992" t="str">
        <f t="shared" si="1293"/>
        <v>Cantidad por Bulto</v>
      </c>
      <c r="AB1992" t="str">
        <f t="shared" si="1294"/>
        <v>INNER</v>
      </c>
      <c r="AC1992" t="str">
        <f t="shared" si="1295"/>
        <v>Stock en Bultos</v>
      </c>
      <c r="AD1992" t="str">
        <f t="shared" si="1296"/>
        <v>SubDepósito</v>
      </c>
      <c r="AE1992" t="str">
        <f t="shared" si="1297"/>
        <v>Marca</v>
      </c>
      <c r="AF1992" t="str">
        <f t="shared" si="1298"/>
        <v>Super Rubro</v>
      </c>
      <c r="AG1992" t="str">
        <f t="shared" si="1299"/>
        <v>ComercioExterior</v>
      </c>
      <c r="AH1992" t="str">
        <f t="shared" si="1300"/>
        <v>PrecioFOB</v>
      </c>
      <c r="AI1992" t="str">
        <f t="shared" si="1301"/>
        <v>Monto II</v>
      </c>
      <c r="AJ1992" t="str">
        <f t="shared" si="1302"/>
        <v>Porcentaje II</v>
      </c>
      <c r="AK1992" t="str">
        <f t="shared" si="1303"/>
        <v>Foto</v>
      </c>
      <c r="AL1992" t="str">
        <f>"{\rtf1\ansi\ansicpg1252\deff0\deflang11274{\fonttbl{\f0\fnil\fcharset0 MS Sans Serif}} \viewkind4\uc1\pard\f0\fs16 JGO AROS RECAMBIO STD FALCON/F100 93.50MM FAD NHL0097\par } "</f>
        <v xml:space="preserve">{\rtf1\ansi\ansicpg1252\deff0\deflang11274{\fonttbl{\f0\fnil\fcharset0 MS Sans Serif}} \viewkind4\uc1\pard\f0\fs16 JGO AROS RECAMBIO STD FALCON/F100 93.50MM FAD NHL0097\par } </v>
      </c>
      <c r="AM1992" t="str">
        <f t="shared" si="1285"/>
        <v>-</v>
      </c>
    </row>
    <row r="1993" spans="1:39" x14ac:dyDescent="0.25">
      <c r="A1993" t="str">
        <f>"PMR2411"</f>
        <v>PMR2411</v>
      </c>
      <c r="B1993" t="str">
        <f>"JGO AROS RECAMBIO STD FIAT 128 80.00MM   FAD. NHK0096"</f>
        <v>JGO AROS RECAMBIO STD FIAT 128 80.00MM   FAD. NHK0096</v>
      </c>
      <c r="C1993" t="str">
        <f>"$ 22827,84"</f>
        <v>$ 22827,84</v>
      </c>
      <c r="D1993" t="str">
        <f>"$ 22827,84"</f>
        <v>$ 22827,84</v>
      </c>
      <c r="E1993" t="str">
        <f>"$ 22827,84"</f>
        <v>$ 22827,84</v>
      </c>
      <c r="F1993" t="str">
        <f>"$ 22827,84"</f>
        <v>$ 22827,84</v>
      </c>
      <c r="G1993" t="str">
        <f>"$ 22827,84"</f>
        <v>$ 22827,84</v>
      </c>
      <c r="H1993" t="str">
        <f t="shared" si="1286"/>
        <v>$ 0,00</v>
      </c>
      <c r="I1993" t="str">
        <f t="shared" si="1281"/>
        <v>JUEGO AROS DE RECAMBIO</v>
      </c>
      <c r="J1993" t="str">
        <f t="shared" si="1287"/>
        <v>1</v>
      </c>
      <c r="K1993" t="str">
        <f t="shared" si="1268"/>
        <v>0</v>
      </c>
      <c r="L1993" t="str">
        <f>"4,000"</f>
        <v>4,000</v>
      </c>
      <c r="M1993" t="str">
        <f t="shared" si="1288"/>
        <v xml:space="preserve"> </v>
      </c>
      <c r="N1993" t="str">
        <f t="shared" si="1282"/>
        <v>PROMETAL</v>
      </c>
      <c r="O1993" t="str">
        <f t="shared" si="1283"/>
        <v>AROS DE MOTOR</v>
      </c>
      <c r="P1993" t="str">
        <f t="shared" si="1279"/>
        <v>0</v>
      </c>
      <c r="Q1993" t="str">
        <f t="shared" si="1279"/>
        <v>0</v>
      </c>
      <c r="R1993" t="str">
        <f t="shared" si="1280"/>
        <v>0,00</v>
      </c>
      <c r="S1993" t="str">
        <f t="shared" si="1280"/>
        <v>0,00</v>
      </c>
      <c r="T1993" t="str">
        <f t="shared" si="1284"/>
        <v xml:space="preserve"> </v>
      </c>
      <c r="U1993" t="str">
        <f t="shared" si="1266"/>
        <v xml:space="preserve"> </v>
      </c>
      <c r="V1993" t="str">
        <f>"4,000"</f>
        <v>4,000</v>
      </c>
      <c r="W1993" t="str">
        <f t="shared" si="1289"/>
        <v>Lista 4</v>
      </c>
      <c r="X1993" t="str">
        <f t="shared" si="1290"/>
        <v>Lista 5</v>
      </c>
      <c r="Y1993" t="str">
        <f t="shared" si="1291"/>
        <v>Oferta Gral.</v>
      </c>
      <c r="Z1993" t="str">
        <f t="shared" si="1292"/>
        <v>Rubro</v>
      </c>
      <c r="AA1993" t="str">
        <f t="shared" si="1293"/>
        <v>Cantidad por Bulto</v>
      </c>
      <c r="AB1993" t="str">
        <f t="shared" si="1294"/>
        <v>INNER</v>
      </c>
      <c r="AC1993" t="str">
        <f t="shared" si="1295"/>
        <v>Stock en Bultos</v>
      </c>
      <c r="AD1993" t="str">
        <f t="shared" si="1296"/>
        <v>SubDepósito</v>
      </c>
      <c r="AE1993" t="str">
        <f t="shared" si="1297"/>
        <v>Marca</v>
      </c>
      <c r="AF1993" t="str">
        <f t="shared" si="1298"/>
        <v>Super Rubro</v>
      </c>
      <c r="AG1993" t="str">
        <f t="shared" si="1299"/>
        <v>ComercioExterior</v>
      </c>
      <c r="AH1993" t="str">
        <f t="shared" si="1300"/>
        <v>PrecioFOB</v>
      </c>
      <c r="AI1993" t="str">
        <f t="shared" si="1301"/>
        <v>Monto II</v>
      </c>
      <c r="AJ1993" t="str">
        <f t="shared" si="1302"/>
        <v>Porcentaje II</v>
      </c>
      <c r="AK1993" t="str">
        <f t="shared" si="1303"/>
        <v>Foto</v>
      </c>
      <c r="AL1993" t="str">
        <f>"{\rtf1\ansi\ansicpg1252\deff0\deflang11274{\fonttbl{\f0\fnil\fcharset0 MS Sans Serif}} \viewkind4\uc1\pard\f0\fs16 JGO AROS RECAMBIO STD FIAT 128 80.00MM   FAD. NHK0096\par } "</f>
        <v xml:space="preserve">{\rtf1\ansi\ansicpg1252\deff0\deflang11274{\fonttbl{\f0\fnil\fcharset0 MS Sans Serif}} \viewkind4\uc1\pard\f0\fs16 JGO AROS RECAMBIO STD FIAT 128 80.00MM   FAD. NHK0096\par } </v>
      </c>
      <c r="AM1993" t="str">
        <f t="shared" si="1285"/>
        <v>-</v>
      </c>
    </row>
    <row r="1994" spans="1:39" x14ac:dyDescent="0.25">
      <c r="A1994" t="str">
        <f>"PMR0643"</f>
        <v>PMR0643</v>
      </c>
      <c r="B1994" t="str">
        <f>"JGO AROS RECAMBIO STD FIESTA 1.8D 82.50MM  FAD NHR1782"</f>
        <v>JGO AROS RECAMBIO STD FIESTA 1.8D 82.50MM  FAD NHR1782</v>
      </c>
      <c r="C1994" t="str">
        <f>"$ 37462,51"</f>
        <v>$ 37462,51</v>
      </c>
      <c r="D1994" t="str">
        <f>"$ 37462,51"</f>
        <v>$ 37462,51</v>
      </c>
      <c r="E1994" t="str">
        <f>"$ 37462,51"</f>
        <v>$ 37462,51</v>
      </c>
      <c r="F1994" t="str">
        <f>"$ 37462,51"</f>
        <v>$ 37462,51</v>
      </c>
      <c r="G1994" t="str">
        <f>"$ 37462,51"</f>
        <v>$ 37462,51</v>
      </c>
      <c r="H1994" t="str">
        <f t="shared" si="1286"/>
        <v>$ 0,00</v>
      </c>
      <c r="I1994" t="str">
        <f t="shared" si="1281"/>
        <v>JUEGO AROS DE RECAMBIO</v>
      </c>
      <c r="J1994" t="str">
        <f t="shared" si="1287"/>
        <v>1</v>
      </c>
      <c r="K1994" t="str">
        <f t="shared" si="1268"/>
        <v>0</v>
      </c>
      <c r="L1994" t="str">
        <f>"5,000"</f>
        <v>5,000</v>
      </c>
      <c r="M1994" t="str">
        <f t="shared" si="1288"/>
        <v xml:space="preserve"> </v>
      </c>
      <c r="N1994" t="str">
        <f t="shared" si="1282"/>
        <v>PROMETAL</v>
      </c>
      <c r="O1994" t="str">
        <f t="shared" si="1283"/>
        <v>AROS DE MOTOR</v>
      </c>
      <c r="P1994" t="str">
        <f t="shared" si="1279"/>
        <v>0</v>
      </c>
      <c r="Q1994" t="str">
        <f t="shared" si="1279"/>
        <v>0</v>
      </c>
      <c r="R1994" t="str">
        <f t="shared" si="1280"/>
        <v>0,00</v>
      </c>
      <c r="S1994" t="str">
        <f t="shared" si="1280"/>
        <v>0,00</v>
      </c>
      <c r="T1994" t="str">
        <f t="shared" si="1284"/>
        <v xml:space="preserve"> </v>
      </c>
      <c r="U1994" t="str">
        <f t="shared" si="1266"/>
        <v xml:space="preserve"> </v>
      </c>
      <c r="V1994" t="str">
        <f>"5,000"</f>
        <v>5,000</v>
      </c>
      <c r="W1994" t="str">
        <f t="shared" si="1289"/>
        <v>Lista 4</v>
      </c>
      <c r="X1994" t="str">
        <f t="shared" si="1290"/>
        <v>Lista 5</v>
      </c>
      <c r="Y1994" t="str">
        <f t="shared" si="1291"/>
        <v>Oferta Gral.</v>
      </c>
      <c r="Z1994" t="str">
        <f t="shared" si="1292"/>
        <v>Rubro</v>
      </c>
      <c r="AA1994" t="str">
        <f t="shared" si="1293"/>
        <v>Cantidad por Bulto</v>
      </c>
      <c r="AB1994" t="str">
        <f t="shared" si="1294"/>
        <v>INNER</v>
      </c>
      <c r="AC1994" t="str">
        <f t="shared" si="1295"/>
        <v>Stock en Bultos</v>
      </c>
      <c r="AD1994" t="str">
        <f t="shared" si="1296"/>
        <v>SubDepósito</v>
      </c>
      <c r="AE1994" t="str">
        <f t="shared" si="1297"/>
        <v>Marca</v>
      </c>
      <c r="AF1994" t="str">
        <f t="shared" si="1298"/>
        <v>Super Rubro</v>
      </c>
      <c r="AG1994" t="str">
        <f t="shared" si="1299"/>
        <v>ComercioExterior</v>
      </c>
      <c r="AH1994" t="str">
        <f t="shared" si="1300"/>
        <v>PrecioFOB</v>
      </c>
      <c r="AI1994" t="str">
        <f t="shared" si="1301"/>
        <v>Monto II</v>
      </c>
      <c r="AJ1994" t="str">
        <f t="shared" si="1302"/>
        <v>Porcentaje II</v>
      </c>
      <c r="AK1994" t="str">
        <f t="shared" si="1303"/>
        <v>Foto</v>
      </c>
      <c r="AL1994" t="str">
        <f>"{\rtf1\ansi\ansicpg1252\deff0\deflang11274{\fonttbl{\f0\fnil\fcharset0 MS Sans Serif}} \viewkind4\uc1\pard\f0\fs16 JGO AROS RECAMBIO STD FIESTA 1.8D 82.50MM  FAD NHR1782\par } "</f>
        <v xml:space="preserve">{\rtf1\ansi\ansicpg1252\deff0\deflang11274{\fonttbl{\f0\fnil\fcharset0 MS Sans Serif}} \viewkind4\uc1\pard\f0\fs16 JGO AROS RECAMBIO STD FIESTA 1.8D 82.50MM  FAD NHR1782\par } </v>
      </c>
      <c r="AM1994" t="str">
        <f t="shared" si="1285"/>
        <v>-</v>
      </c>
    </row>
    <row r="1995" spans="1:39" x14ac:dyDescent="0.25">
      <c r="A1995" t="str">
        <f>"PMR1906"</f>
        <v>PMR1906</v>
      </c>
      <c r="B1995" t="str">
        <f>"JGO AROS RECAMBIO STD GOL/SENDA 1.6/1.8 81.00MM   FAD 1786"</f>
        <v>JGO AROS RECAMBIO STD GOL/SENDA 1.6/1.8 81.00MM   FAD 1786</v>
      </c>
      <c r="C1995" t="str">
        <f>"$ 23172,48"</f>
        <v>$ 23172,48</v>
      </c>
      <c r="D1995" t="str">
        <f>"$ 23172,48"</f>
        <v>$ 23172,48</v>
      </c>
      <c r="E1995" t="str">
        <f>"$ 23172,48"</f>
        <v>$ 23172,48</v>
      </c>
      <c r="F1995" t="str">
        <f>"$ 23172,48"</f>
        <v>$ 23172,48</v>
      </c>
      <c r="G1995" t="str">
        <f>"$ 23172,48"</f>
        <v>$ 23172,48</v>
      </c>
      <c r="H1995" t="str">
        <f t="shared" si="1286"/>
        <v>$ 0,00</v>
      </c>
      <c r="I1995" t="str">
        <f t="shared" si="1281"/>
        <v>JUEGO AROS DE RECAMBIO</v>
      </c>
      <c r="J1995" t="str">
        <f t="shared" si="1287"/>
        <v>1</v>
      </c>
      <c r="K1995" t="str">
        <f t="shared" si="1268"/>
        <v>0</v>
      </c>
      <c r="L1995" t="str">
        <f>"0,000"</f>
        <v>0,000</v>
      </c>
      <c r="M1995" t="str">
        <f t="shared" si="1288"/>
        <v xml:space="preserve"> </v>
      </c>
      <c r="N1995" t="str">
        <f t="shared" si="1282"/>
        <v>PROMETAL</v>
      </c>
      <c r="O1995" t="str">
        <f t="shared" si="1283"/>
        <v>AROS DE MOTOR</v>
      </c>
      <c r="P1995" t="str">
        <f t="shared" si="1279"/>
        <v>0</v>
      </c>
      <c r="Q1995" t="str">
        <f t="shared" si="1279"/>
        <v>0</v>
      </c>
      <c r="R1995" t="str">
        <f t="shared" si="1280"/>
        <v>0,00</v>
      </c>
      <c r="S1995" t="str">
        <f t="shared" si="1280"/>
        <v>0,00</v>
      </c>
      <c r="T1995" t="str">
        <f t="shared" si="1284"/>
        <v xml:space="preserve"> </v>
      </c>
      <c r="U1995" t="str">
        <f t="shared" si="1266"/>
        <v xml:space="preserve"> </v>
      </c>
      <c r="V1995" t="str">
        <f>"0,000"</f>
        <v>0,000</v>
      </c>
      <c r="W1995" t="str">
        <f t="shared" si="1289"/>
        <v>Lista 4</v>
      </c>
      <c r="X1995" t="str">
        <f t="shared" si="1290"/>
        <v>Lista 5</v>
      </c>
      <c r="Y1995" t="str">
        <f t="shared" si="1291"/>
        <v>Oferta Gral.</v>
      </c>
      <c r="Z1995" t="str">
        <f t="shared" si="1292"/>
        <v>Rubro</v>
      </c>
      <c r="AA1995" t="str">
        <f t="shared" si="1293"/>
        <v>Cantidad por Bulto</v>
      </c>
      <c r="AB1995" t="str">
        <f t="shared" si="1294"/>
        <v>INNER</v>
      </c>
      <c r="AC1995" t="str">
        <f t="shared" si="1295"/>
        <v>Stock en Bultos</v>
      </c>
      <c r="AD1995" t="str">
        <f t="shared" si="1296"/>
        <v>SubDepósito</v>
      </c>
      <c r="AE1995" t="str">
        <f t="shared" si="1297"/>
        <v>Marca</v>
      </c>
      <c r="AF1995" t="str">
        <f t="shared" si="1298"/>
        <v>Super Rubro</v>
      </c>
      <c r="AG1995" t="str">
        <f t="shared" si="1299"/>
        <v>ComercioExterior</v>
      </c>
      <c r="AH1995" t="str">
        <f t="shared" si="1300"/>
        <v>PrecioFOB</v>
      </c>
      <c r="AI1995" t="str">
        <f t="shared" si="1301"/>
        <v>Monto II</v>
      </c>
      <c r="AJ1995" t="str">
        <f t="shared" si="1302"/>
        <v>Porcentaje II</v>
      </c>
      <c r="AK1995" t="str">
        <f t="shared" si="1303"/>
        <v>Foto</v>
      </c>
      <c r="AL1995" t="str">
        <f>"{\rtf1\ansi\ansicpg1252\deff0\deflang11274{\fonttbl{\f0\fnil\fcharset0 MS Sans Serif}} \viewkind4\uc1\pard\f0\fs16 JGO AROS RECAMBIO STD GOL/SENDA 1.6/1.8 81.00MM   FAD 1786\par } "</f>
        <v xml:space="preserve">{\rtf1\ansi\ansicpg1252\deff0\deflang11274{\fonttbl{\f0\fnil\fcharset0 MS Sans Serif}} \viewkind4\uc1\pard\f0\fs16 JGO AROS RECAMBIO STD GOL/SENDA 1.6/1.8 81.00MM   FAD 1786\par } </v>
      </c>
      <c r="AM1995" t="str">
        <f t="shared" si="1285"/>
        <v>-</v>
      </c>
    </row>
    <row r="1996" spans="1:39" x14ac:dyDescent="0.25">
      <c r="A1996" t="str">
        <f>"PMR1609"</f>
        <v>PMR1609</v>
      </c>
      <c r="B1996" t="str">
        <f>"JGO AROS RECAMBIO STD P306/PARTNER 1.9 82.20MM DW8  FAD. NHK1948"</f>
        <v>JGO AROS RECAMBIO STD P306/PARTNER 1.9 82.20MM DW8  FAD. NHK1948</v>
      </c>
      <c r="C1996" t="str">
        <f>"$ 44089,26"</f>
        <v>$ 44089,26</v>
      </c>
      <c r="D1996" t="str">
        <f>"$ 44089,26"</f>
        <v>$ 44089,26</v>
      </c>
      <c r="E1996" t="str">
        <f>"$ 44089,26"</f>
        <v>$ 44089,26</v>
      </c>
      <c r="F1996" t="str">
        <f>"$ 44089,26"</f>
        <v>$ 44089,26</v>
      </c>
      <c r="G1996" t="str">
        <f>"$ 44089,26"</f>
        <v>$ 44089,26</v>
      </c>
      <c r="H1996" t="str">
        <f t="shared" si="1286"/>
        <v>$ 0,00</v>
      </c>
      <c r="I1996" t="str">
        <f t="shared" si="1281"/>
        <v>JUEGO AROS DE RECAMBIO</v>
      </c>
      <c r="J1996" t="str">
        <f t="shared" si="1287"/>
        <v>1</v>
      </c>
      <c r="K1996" t="str">
        <f t="shared" si="1268"/>
        <v>0</v>
      </c>
      <c r="L1996" t="str">
        <f>"1,000"</f>
        <v>1,000</v>
      </c>
      <c r="M1996" t="str">
        <f t="shared" si="1288"/>
        <v xml:space="preserve"> </v>
      </c>
      <c r="N1996" t="str">
        <f t="shared" si="1282"/>
        <v>PROMETAL</v>
      </c>
      <c r="O1996" t="str">
        <f t="shared" si="1283"/>
        <v>AROS DE MOTOR</v>
      </c>
      <c r="P1996" t="str">
        <f t="shared" si="1279"/>
        <v>0</v>
      </c>
      <c r="Q1996" t="str">
        <f t="shared" si="1279"/>
        <v>0</v>
      </c>
      <c r="R1996" t="str">
        <f t="shared" si="1280"/>
        <v>0,00</v>
      </c>
      <c r="S1996" t="str">
        <f t="shared" si="1280"/>
        <v>0,00</v>
      </c>
      <c r="T1996" t="str">
        <f t="shared" si="1284"/>
        <v xml:space="preserve"> </v>
      </c>
      <c r="U1996" t="str">
        <f t="shared" ref="U1996:U2059" si="1304">" "</f>
        <v xml:space="preserve"> </v>
      </c>
      <c r="V1996" t="str">
        <f>"1,000"</f>
        <v>1,000</v>
      </c>
      <c r="W1996" t="str">
        <f t="shared" si="1289"/>
        <v>Lista 4</v>
      </c>
      <c r="X1996" t="str">
        <f t="shared" si="1290"/>
        <v>Lista 5</v>
      </c>
      <c r="Y1996" t="str">
        <f t="shared" si="1291"/>
        <v>Oferta Gral.</v>
      </c>
      <c r="Z1996" t="str">
        <f t="shared" si="1292"/>
        <v>Rubro</v>
      </c>
      <c r="AA1996" t="str">
        <f t="shared" si="1293"/>
        <v>Cantidad por Bulto</v>
      </c>
      <c r="AB1996" t="str">
        <f t="shared" si="1294"/>
        <v>INNER</v>
      </c>
      <c r="AC1996" t="str">
        <f t="shared" si="1295"/>
        <v>Stock en Bultos</v>
      </c>
      <c r="AD1996" t="str">
        <f t="shared" si="1296"/>
        <v>SubDepósito</v>
      </c>
      <c r="AE1996" t="str">
        <f t="shared" si="1297"/>
        <v>Marca</v>
      </c>
      <c r="AF1996" t="str">
        <f t="shared" si="1298"/>
        <v>Super Rubro</v>
      </c>
      <c r="AG1996" t="str">
        <f t="shared" si="1299"/>
        <v>ComercioExterior</v>
      </c>
      <c r="AH1996" t="str">
        <f t="shared" si="1300"/>
        <v>PrecioFOB</v>
      </c>
      <c r="AI1996" t="str">
        <f t="shared" si="1301"/>
        <v>Monto II</v>
      </c>
      <c r="AJ1996" t="str">
        <f t="shared" si="1302"/>
        <v>Porcentaje II</v>
      </c>
      <c r="AK1996" t="str">
        <f t="shared" si="1303"/>
        <v>Foto</v>
      </c>
      <c r="AL1996" t="str">
        <f>"{\rtf1\ansi\ansicpg1252\deff0\deflang11274{\fonttbl{\f0\fnil\fcharset0 MS Sans Serif}} \viewkind4\uc1\pard\f0\fs16 JGO AROS RECAMBIO STD P306/PARTNER 1.9 82.20MM DW8  FAD. NHK1948\par } "</f>
        <v xml:space="preserve">{\rtf1\ansi\ansicpg1252\deff0\deflang11274{\fonttbl{\f0\fnil\fcharset0 MS Sans Serif}} \viewkind4\uc1\pard\f0\fs16 JGO AROS RECAMBIO STD P306/PARTNER 1.9 82.20MM DW8  FAD. NHK1948\par } </v>
      </c>
      <c r="AM1996" t="str">
        <f t="shared" si="1285"/>
        <v>-</v>
      </c>
    </row>
    <row r="1997" spans="1:39" x14ac:dyDescent="0.25">
      <c r="A1997" t="str">
        <f>"PMR1605"</f>
        <v>PMR1605</v>
      </c>
      <c r="B1997" t="str">
        <f>"JGO AROS RECAMBIO STD P405D  XUD9 83,00MM   FAD. NHK1875"</f>
        <v>JGO AROS RECAMBIO STD P405D  XUD9 83,00MM   FAD. NHK1875</v>
      </c>
      <c r="C1997" t="str">
        <f>"$ 50769,46"</f>
        <v>$ 50769,46</v>
      </c>
      <c r="D1997" t="str">
        <f>"$ 50769,46"</f>
        <v>$ 50769,46</v>
      </c>
      <c r="E1997" t="str">
        <f>"$ 50769,46"</f>
        <v>$ 50769,46</v>
      </c>
      <c r="F1997" t="str">
        <f>"$ 50769,46"</f>
        <v>$ 50769,46</v>
      </c>
      <c r="G1997" t="str">
        <f>"$ 50769,46"</f>
        <v>$ 50769,46</v>
      </c>
      <c r="H1997" t="str">
        <f t="shared" si="1286"/>
        <v>$ 0,00</v>
      </c>
      <c r="I1997" t="str">
        <f t="shared" si="1281"/>
        <v>JUEGO AROS DE RECAMBIO</v>
      </c>
      <c r="J1997" t="str">
        <f t="shared" si="1287"/>
        <v>1</v>
      </c>
      <c r="K1997" t="str">
        <f t="shared" si="1268"/>
        <v>0</v>
      </c>
      <c r="L1997" t="str">
        <f>"0,000"</f>
        <v>0,000</v>
      </c>
      <c r="M1997" t="str">
        <f t="shared" si="1288"/>
        <v xml:space="preserve"> </v>
      </c>
      <c r="N1997" t="str">
        <f t="shared" si="1282"/>
        <v>PROMETAL</v>
      </c>
      <c r="O1997" t="str">
        <f t="shared" si="1283"/>
        <v>AROS DE MOTOR</v>
      </c>
      <c r="P1997" t="str">
        <f t="shared" si="1279"/>
        <v>0</v>
      </c>
      <c r="Q1997" t="str">
        <f t="shared" si="1279"/>
        <v>0</v>
      </c>
      <c r="R1997" t="str">
        <f t="shared" si="1280"/>
        <v>0,00</v>
      </c>
      <c r="S1997" t="str">
        <f t="shared" si="1280"/>
        <v>0,00</v>
      </c>
      <c r="T1997" t="str">
        <f t="shared" si="1284"/>
        <v xml:space="preserve"> </v>
      </c>
      <c r="U1997" t="str">
        <f t="shared" si="1304"/>
        <v xml:space="preserve"> </v>
      </c>
      <c r="V1997" t="str">
        <f>"0,000"</f>
        <v>0,000</v>
      </c>
      <c r="W1997" t="str">
        <f t="shared" si="1289"/>
        <v>Lista 4</v>
      </c>
      <c r="X1997" t="str">
        <f t="shared" si="1290"/>
        <v>Lista 5</v>
      </c>
      <c r="Y1997" t="str">
        <f t="shared" si="1291"/>
        <v>Oferta Gral.</v>
      </c>
      <c r="Z1997" t="str">
        <f t="shared" si="1292"/>
        <v>Rubro</v>
      </c>
      <c r="AA1997" t="str">
        <f t="shared" si="1293"/>
        <v>Cantidad por Bulto</v>
      </c>
      <c r="AB1997" t="str">
        <f t="shared" si="1294"/>
        <v>INNER</v>
      </c>
      <c r="AC1997" t="str">
        <f t="shared" si="1295"/>
        <v>Stock en Bultos</v>
      </c>
      <c r="AD1997" t="str">
        <f t="shared" si="1296"/>
        <v>SubDepósito</v>
      </c>
      <c r="AE1997" t="str">
        <f t="shared" si="1297"/>
        <v>Marca</v>
      </c>
      <c r="AF1997" t="str">
        <f t="shared" si="1298"/>
        <v>Super Rubro</v>
      </c>
      <c r="AG1997" t="str">
        <f t="shared" si="1299"/>
        <v>ComercioExterior</v>
      </c>
      <c r="AH1997" t="str">
        <f t="shared" si="1300"/>
        <v>PrecioFOB</v>
      </c>
      <c r="AI1997" t="str">
        <f t="shared" si="1301"/>
        <v>Monto II</v>
      </c>
      <c r="AJ1997" t="str">
        <f t="shared" si="1302"/>
        <v>Porcentaje II</v>
      </c>
      <c r="AK1997" t="str">
        <f t="shared" si="1303"/>
        <v>Foto</v>
      </c>
      <c r="AL1997" t="str">
        <f>"{\rtf1\ansi\ansicpg1252\deff0\deflang11274{\fonttbl{\f0\fnil\fcharset0 MS Sans Serif}} \viewkind4\uc1\pard\f0\fs16 JGO AROS RECAMBIO STD P405D  XUD9 83,00MM   FAD. NHK1875\par } "</f>
        <v xml:space="preserve">{\rtf1\ansi\ansicpg1252\deff0\deflang11274{\fonttbl{\f0\fnil\fcharset0 MS Sans Serif}} \viewkind4\uc1\pard\f0\fs16 JGO AROS RECAMBIO STD P405D  XUD9 83,00MM   FAD. NHK1875\par } </v>
      </c>
      <c r="AM1997" t="str">
        <f t="shared" si="1285"/>
        <v>-</v>
      </c>
    </row>
    <row r="1998" spans="1:39" x14ac:dyDescent="0.25">
      <c r="A1998" t="str">
        <f>"PMR1612"</f>
        <v>PMR1612</v>
      </c>
      <c r="B1998" t="str">
        <f>"JGO AROS RECAMBIO STD P504/505 2000 88.00MM  FAD NHK0961"</f>
        <v>JGO AROS RECAMBIO STD P504/505 2000 88.00MM  FAD NHK0961</v>
      </c>
      <c r="C1998" t="str">
        <f>"$ 28751,54"</f>
        <v>$ 28751,54</v>
      </c>
      <c r="D1998" t="str">
        <f>"$ 28751,54"</f>
        <v>$ 28751,54</v>
      </c>
      <c r="E1998" t="str">
        <f>"$ 28751,54"</f>
        <v>$ 28751,54</v>
      </c>
      <c r="F1998" t="str">
        <f>"$ 28751,54"</f>
        <v>$ 28751,54</v>
      </c>
      <c r="G1998" t="str">
        <f>"$ 28751,54"</f>
        <v>$ 28751,54</v>
      </c>
      <c r="H1998" t="str">
        <f t="shared" si="1286"/>
        <v>$ 0,00</v>
      </c>
      <c r="I1998" t="str">
        <f t="shared" si="1281"/>
        <v>JUEGO AROS DE RECAMBIO</v>
      </c>
      <c r="J1998" t="str">
        <f t="shared" si="1287"/>
        <v>1</v>
      </c>
      <c r="K1998" t="str">
        <f t="shared" si="1268"/>
        <v>0</v>
      </c>
      <c r="L1998" t="str">
        <f>"1,000"</f>
        <v>1,000</v>
      </c>
      <c r="M1998" t="str">
        <f t="shared" si="1288"/>
        <v xml:space="preserve"> </v>
      </c>
      <c r="N1998" t="str">
        <f t="shared" si="1282"/>
        <v>PROMETAL</v>
      </c>
      <c r="O1998" t="str">
        <f t="shared" si="1283"/>
        <v>AROS DE MOTOR</v>
      </c>
      <c r="P1998" t="str">
        <f t="shared" si="1279"/>
        <v>0</v>
      </c>
      <c r="Q1998" t="str">
        <f t="shared" si="1279"/>
        <v>0</v>
      </c>
      <c r="R1998" t="str">
        <f t="shared" si="1280"/>
        <v>0,00</v>
      </c>
      <c r="S1998" t="str">
        <f t="shared" si="1280"/>
        <v>0,00</v>
      </c>
      <c r="T1998" t="str">
        <f t="shared" si="1284"/>
        <v xml:space="preserve"> </v>
      </c>
      <c r="U1998" t="str">
        <f t="shared" si="1304"/>
        <v xml:space="preserve"> </v>
      </c>
      <c r="V1998" t="str">
        <f>"1,000"</f>
        <v>1,000</v>
      </c>
      <c r="W1998" t="str">
        <f t="shared" si="1289"/>
        <v>Lista 4</v>
      </c>
      <c r="X1998" t="str">
        <f t="shared" si="1290"/>
        <v>Lista 5</v>
      </c>
      <c r="Y1998" t="str">
        <f t="shared" si="1291"/>
        <v>Oferta Gral.</v>
      </c>
      <c r="Z1998" t="str">
        <f t="shared" si="1292"/>
        <v>Rubro</v>
      </c>
      <c r="AA1998" t="str">
        <f t="shared" si="1293"/>
        <v>Cantidad por Bulto</v>
      </c>
      <c r="AB1998" t="str">
        <f t="shared" si="1294"/>
        <v>INNER</v>
      </c>
      <c r="AC1998" t="str">
        <f t="shared" si="1295"/>
        <v>Stock en Bultos</v>
      </c>
      <c r="AD1998" t="str">
        <f t="shared" si="1296"/>
        <v>SubDepósito</v>
      </c>
      <c r="AE1998" t="str">
        <f t="shared" si="1297"/>
        <v>Marca</v>
      </c>
      <c r="AF1998" t="str">
        <f t="shared" si="1298"/>
        <v>Super Rubro</v>
      </c>
      <c r="AG1998" t="str">
        <f t="shared" si="1299"/>
        <v>ComercioExterior</v>
      </c>
      <c r="AH1998" t="str">
        <f t="shared" si="1300"/>
        <v>PrecioFOB</v>
      </c>
      <c r="AI1998" t="str">
        <f t="shared" si="1301"/>
        <v>Monto II</v>
      </c>
      <c r="AJ1998" t="str">
        <f t="shared" si="1302"/>
        <v>Porcentaje II</v>
      </c>
      <c r="AK1998" t="str">
        <f t="shared" si="1303"/>
        <v>Foto</v>
      </c>
      <c r="AL1998" t="str">
        <f>"{\rtf1\ansi\ansicpg1252\deff0\deflang11274{\fonttbl{\f0\fnil\fcharset0 MS Sans Serif}} \viewkind4\uc1\pard\f0\fs16 JGO AROS RECAMBIO STD P504/505 2000 88.00MM  FAD NHK0961\par } "</f>
        <v xml:space="preserve">{\rtf1\ansi\ansicpg1252\deff0\deflang11274{\fonttbl{\f0\fnil\fcharset0 MS Sans Serif}} \viewkind4\uc1\pard\f0\fs16 JGO AROS RECAMBIO STD P504/505 2000 88.00MM  FAD NHK0961\par } </v>
      </c>
      <c r="AM1998" t="str">
        <f t="shared" si="1285"/>
        <v>-</v>
      </c>
    </row>
    <row r="1999" spans="1:39" x14ac:dyDescent="0.25">
      <c r="A1999" t="str">
        <f>"PMR1919"</f>
        <v>PMR1919</v>
      </c>
      <c r="B1999" t="str">
        <f>"JGO AROS RECAMBIO STD POLO D 79.50MM     FAD NHR1204"</f>
        <v>JGO AROS RECAMBIO STD POLO D 79.50MM     FAD NHR1204</v>
      </c>
      <c r="C1999" t="str">
        <f>"$ 63328,22"</f>
        <v>$ 63328,22</v>
      </c>
      <c r="D1999" t="str">
        <f>"$ 63328,22"</f>
        <v>$ 63328,22</v>
      </c>
      <c r="E1999" t="str">
        <f>"$ 63328,22"</f>
        <v>$ 63328,22</v>
      </c>
      <c r="F1999" t="str">
        <f>"$ 63328,22"</f>
        <v>$ 63328,22</v>
      </c>
      <c r="G1999" t="str">
        <f>"$ 63328,22"</f>
        <v>$ 63328,22</v>
      </c>
      <c r="H1999" t="str">
        <f t="shared" si="1286"/>
        <v>$ 0,00</v>
      </c>
      <c r="I1999" t="str">
        <f t="shared" si="1281"/>
        <v>JUEGO AROS DE RECAMBIO</v>
      </c>
      <c r="J1999" t="str">
        <f t="shared" si="1287"/>
        <v>1</v>
      </c>
      <c r="K1999" t="str">
        <f t="shared" si="1268"/>
        <v>0</v>
      </c>
      <c r="L1999" t="str">
        <f>"0,000"</f>
        <v>0,000</v>
      </c>
      <c r="M1999" t="str">
        <f t="shared" si="1288"/>
        <v xml:space="preserve"> </v>
      </c>
      <c r="N1999" t="str">
        <f t="shared" si="1282"/>
        <v>PROMETAL</v>
      </c>
      <c r="O1999" t="str">
        <f t="shared" si="1283"/>
        <v>AROS DE MOTOR</v>
      </c>
      <c r="P1999" t="str">
        <f t="shared" si="1279"/>
        <v>0</v>
      </c>
      <c r="Q1999" t="str">
        <f t="shared" si="1279"/>
        <v>0</v>
      </c>
      <c r="R1999" t="str">
        <f t="shared" si="1280"/>
        <v>0,00</v>
      </c>
      <c r="S1999" t="str">
        <f t="shared" si="1280"/>
        <v>0,00</v>
      </c>
      <c r="T1999" t="str">
        <f t="shared" si="1284"/>
        <v xml:space="preserve"> </v>
      </c>
      <c r="U1999" t="str">
        <f t="shared" si="1304"/>
        <v xml:space="preserve"> </v>
      </c>
      <c r="V1999" t="str">
        <f>"0,000"</f>
        <v>0,000</v>
      </c>
      <c r="W1999" t="str">
        <f t="shared" si="1289"/>
        <v>Lista 4</v>
      </c>
      <c r="X1999" t="str">
        <f t="shared" si="1290"/>
        <v>Lista 5</v>
      </c>
      <c r="Y1999" t="str">
        <f t="shared" si="1291"/>
        <v>Oferta Gral.</v>
      </c>
      <c r="Z1999" t="str">
        <f t="shared" si="1292"/>
        <v>Rubro</v>
      </c>
      <c r="AA1999" t="str">
        <f t="shared" si="1293"/>
        <v>Cantidad por Bulto</v>
      </c>
      <c r="AB1999" t="str">
        <f t="shared" si="1294"/>
        <v>INNER</v>
      </c>
      <c r="AC1999" t="str">
        <f t="shared" si="1295"/>
        <v>Stock en Bultos</v>
      </c>
      <c r="AD1999" t="str">
        <f t="shared" si="1296"/>
        <v>SubDepósito</v>
      </c>
      <c r="AE1999" t="str">
        <f t="shared" si="1297"/>
        <v>Marca</v>
      </c>
      <c r="AF1999" t="str">
        <f t="shared" si="1298"/>
        <v>Super Rubro</v>
      </c>
      <c r="AG1999" t="str">
        <f t="shared" si="1299"/>
        <v>ComercioExterior</v>
      </c>
      <c r="AH1999" t="str">
        <f t="shared" si="1300"/>
        <v>PrecioFOB</v>
      </c>
      <c r="AI1999" t="str">
        <f t="shared" si="1301"/>
        <v>Monto II</v>
      </c>
      <c r="AJ1999" t="str">
        <f t="shared" si="1302"/>
        <v>Porcentaje II</v>
      </c>
      <c r="AK1999" t="str">
        <f t="shared" si="1303"/>
        <v>Foto</v>
      </c>
      <c r="AL1999" t="str">
        <f>"{\rtf1\ansi\ansicpg1252\deff0\deflang11274{\fonttbl{\f0\fnil\fcharset0 MS Sans Serif}} \viewkind4\uc1\pard\f0\fs16 JGO AROS RECAMBIO STD POLO D 79.50MM     FAD NHR1204\par } "</f>
        <v xml:space="preserve">{\rtf1\ansi\ansicpg1252\deff0\deflang11274{\fonttbl{\f0\fnil\fcharset0 MS Sans Serif}} \viewkind4\uc1\pard\f0\fs16 JGO AROS RECAMBIO STD POLO D 79.50MM     FAD NHR1204\par } </v>
      </c>
      <c r="AM1999" t="str">
        <f t="shared" si="1285"/>
        <v>-</v>
      </c>
    </row>
    <row r="2000" spans="1:39" x14ac:dyDescent="0.25">
      <c r="A2000" t="str">
        <f>"PMR2510"</f>
        <v>PMR2510</v>
      </c>
      <c r="B2000" t="str">
        <f>"JGO AROS RECAMBIO STD R12 1300 73.00MM       FAD NHK0927"</f>
        <v>JGO AROS RECAMBIO STD R12 1300 73.00MM       FAD NHK0927</v>
      </c>
      <c r="C2000" t="str">
        <f t="shared" ref="C2000:G2002" si="1305">"$ 22071,35"</f>
        <v>$ 22071,35</v>
      </c>
      <c r="D2000" t="str">
        <f t="shared" si="1305"/>
        <v>$ 22071,35</v>
      </c>
      <c r="E2000" t="str">
        <f t="shared" si="1305"/>
        <v>$ 22071,35</v>
      </c>
      <c r="F2000" t="str">
        <f t="shared" si="1305"/>
        <v>$ 22071,35</v>
      </c>
      <c r="G2000" t="str">
        <f t="shared" si="1305"/>
        <v>$ 22071,35</v>
      </c>
      <c r="H2000" t="str">
        <f t="shared" si="1286"/>
        <v>$ 0,00</v>
      </c>
      <c r="I2000" t="str">
        <f t="shared" si="1281"/>
        <v>JUEGO AROS DE RECAMBIO</v>
      </c>
      <c r="J2000" t="str">
        <f t="shared" si="1287"/>
        <v>1</v>
      </c>
      <c r="K2000" t="str">
        <f t="shared" si="1268"/>
        <v>0</v>
      </c>
      <c r="L2000" t="str">
        <f>"3,000"</f>
        <v>3,000</v>
      </c>
      <c r="M2000" t="str">
        <f t="shared" si="1288"/>
        <v xml:space="preserve"> </v>
      </c>
      <c r="N2000" t="str">
        <f t="shared" si="1282"/>
        <v>PROMETAL</v>
      </c>
      <c r="O2000" t="str">
        <f t="shared" si="1283"/>
        <v>AROS DE MOTOR</v>
      </c>
      <c r="P2000" t="str">
        <f t="shared" si="1279"/>
        <v>0</v>
      </c>
      <c r="Q2000" t="str">
        <f t="shared" si="1279"/>
        <v>0</v>
      </c>
      <c r="R2000" t="str">
        <f t="shared" si="1280"/>
        <v>0,00</v>
      </c>
      <c r="S2000" t="str">
        <f t="shared" si="1280"/>
        <v>0,00</v>
      </c>
      <c r="T2000" t="str">
        <f t="shared" si="1284"/>
        <v xml:space="preserve"> </v>
      </c>
      <c r="U2000" t="str">
        <f t="shared" si="1304"/>
        <v xml:space="preserve"> </v>
      </c>
      <c r="V2000" t="str">
        <f>"3,000"</f>
        <v>3,000</v>
      </c>
      <c r="W2000" t="str">
        <f t="shared" si="1289"/>
        <v>Lista 4</v>
      </c>
      <c r="X2000" t="str">
        <f t="shared" si="1290"/>
        <v>Lista 5</v>
      </c>
      <c r="Y2000" t="str">
        <f t="shared" si="1291"/>
        <v>Oferta Gral.</v>
      </c>
      <c r="Z2000" t="str">
        <f t="shared" si="1292"/>
        <v>Rubro</v>
      </c>
      <c r="AA2000" t="str">
        <f t="shared" si="1293"/>
        <v>Cantidad por Bulto</v>
      </c>
      <c r="AB2000" t="str">
        <f t="shared" si="1294"/>
        <v>INNER</v>
      </c>
      <c r="AC2000" t="str">
        <f t="shared" si="1295"/>
        <v>Stock en Bultos</v>
      </c>
      <c r="AD2000" t="str">
        <f t="shared" si="1296"/>
        <v>SubDepósito</v>
      </c>
      <c r="AE2000" t="str">
        <f t="shared" si="1297"/>
        <v>Marca</v>
      </c>
      <c r="AF2000" t="str">
        <f t="shared" si="1298"/>
        <v>Super Rubro</v>
      </c>
      <c r="AG2000" t="str">
        <f t="shared" si="1299"/>
        <v>ComercioExterior</v>
      </c>
      <c r="AH2000" t="str">
        <f t="shared" si="1300"/>
        <v>PrecioFOB</v>
      </c>
      <c r="AI2000" t="str">
        <f t="shared" si="1301"/>
        <v>Monto II</v>
      </c>
      <c r="AJ2000" t="str">
        <f t="shared" si="1302"/>
        <v>Porcentaje II</v>
      </c>
      <c r="AK2000" t="str">
        <f t="shared" si="1303"/>
        <v>Foto</v>
      </c>
      <c r="AL2000" t="str">
        <f>"{\rtf1\ansi\ansicpg1252\deff0\deflang11274{\fonttbl{\f0\fnil\fcharset0 MS Sans Serif}} \viewkind4\uc1\pard\f0\fs16 JGO AROS RECAMBIO STD R12 1300 73.00MM       FAD NHK0927\par } "</f>
        <v xml:space="preserve">{\rtf1\ansi\ansicpg1252\deff0\deflang11274{\fonttbl{\f0\fnil\fcharset0 MS Sans Serif}} \viewkind4\uc1\pard\f0\fs16 JGO AROS RECAMBIO STD R12 1300 73.00MM       FAD NHK0927\par } </v>
      </c>
      <c r="AM2000" t="str">
        <f t="shared" si="1285"/>
        <v>-</v>
      </c>
    </row>
    <row r="2001" spans="1:39" x14ac:dyDescent="0.25">
      <c r="A2001" t="str">
        <f>"PMR2512"</f>
        <v>PMR2512</v>
      </c>
      <c r="B2001" t="str">
        <f>"JGO AROS RECAMBIO STD R12 76MM"</f>
        <v>JGO AROS RECAMBIO STD R12 76MM</v>
      </c>
      <c r="C2001" t="str">
        <f t="shared" si="1305"/>
        <v>$ 22071,35</v>
      </c>
      <c r="D2001" t="str">
        <f t="shared" si="1305"/>
        <v>$ 22071,35</v>
      </c>
      <c r="E2001" t="str">
        <f t="shared" si="1305"/>
        <v>$ 22071,35</v>
      </c>
      <c r="F2001" t="str">
        <f t="shared" si="1305"/>
        <v>$ 22071,35</v>
      </c>
      <c r="G2001" t="str">
        <f t="shared" si="1305"/>
        <v>$ 22071,35</v>
      </c>
      <c r="H2001" t="str">
        <f t="shared" si="1286"/>
        <v>$ 0,00</v>
      </c>
      <c r="I2001" t="str">
        <f t="shared" si="1281"/>
        <v>JUEGO AROS DE RECAMBIO</v>
      </c>
      <c r="J2001" t="str">
        <f t="shared" si="1287"/>
        <v>1</v>
      </c>
      <c r="K2001" t="str">
        <f t="shared" si="1268"/>
        <v>0</v>
      </c>
      <c r="L2001" t="str">
        <f>"-5,000"</f>
        <v>-5,000</v>
      </c>
      <c r="M2001" t="str">
        <f t="shared" si="1288"/>
        <v xml:space="preserve"> </v>
      </c>
      <c r="N2001" t="str">
        <f t="shared" si="1282"/>
        <v>PROMETAL</v>
      </c>
      <c r="O2001" t="str">
        <f t="shared" si="1283"/>
        <v>AROS DE MOTOR</v>
      </c>
      <c r="P2001" t="str">
        <f t="shared" si="1279"/>
        <v>0</v>
      </c>
      <c r="Q2001" t="str">
        <f t="shared" si="1279"/>
        <v>0</v>
      </c>
      <c r="R2001" t="str">
        <f t="shared" si="1280"/>
        <v>0,00</v>
      </c>
      <c r="S2001" t="str">
        <f t="shared" si="1280"/>
        <v>0,00</v>
      </c>
      <c r="T2001" t="str">
        <f t="shared" si="1284"/>
        <v xml:space="preserve"> </v>
      </c>
      <c r="U2001" t="str">
        <f t="shared" si="1304"/>
        <v xml:space="preserve"> </v>
      </c>
      <c r="V2001" t="str">
        <f>"-5,000"</f>
        <v>-5,000</v>
      </c>
      <c r="W2001" t="str">
        <f t="shared" si="1289"/>
        <v>Lista 4</v>
      </c>
      <c r="X2001" t="str">
        <f t="shared" si="1290"/>
        <v>Lista 5</v>
      </c>
      <c r="Y2001" t="str">
        <f t="shared" si="1291"/>
        <v>Oferta Gral.</v>
      </c>
      <c r="Z2001" t="str">
        <f t="shared" si="1292"/>
        <v>Rubro</v>
      </c>
      <c r="AA2001" t="str">
        <f t="shared" si="1293"/>
        <v>Cantidad por Bulto</v>
      </c>
      <c r="AB2001" t="str">
        <f t="shared" si="1294"/>
        <v>INNER</v>
      </c>
      <c r="AC2001" t="str">
        <f t="shared" si="1295"/>
        <v>Stock en Bultos</v>
      </c>
      <c r="AD2001" t="str">
        <f t="shared" si="1296"/>
        <v>SubDepósito</v>
      </c>
      <c r="AE2001" t="str">
        <f t="shared" si="1297"/>
        <v>Marca</v>
      </c>
      <c r="AF2001" t="str">
        <f t="shared" si="1298"/>
        <v>Super Rubro</v>
      </c>
      <c r="AG2001" t="str">
        <f t="shared" si="1299"/>
        <v>ComercioExterior</v>
      </c>
      <c r="AH2001" t="str">
        <f t="shared" si="1300"/>
        <v>PrecioFOB</v>
      </c>
      <c r="AI2001" t="str">
        <f t="shared" si="1301"/>
        <v>Monto II</v>
      </c>
      <c r="AJ2001" t="str">
        <f t="shared" si="1302"/>
        <v>Porcentaje II</v>
      </c>
      <c r="AK2001" t="str">
        <f t="shared" si="1303"/>
        <v>Foto</v>
      </c>
      <c r="AL2001" t="str">
        <f>"{\rtf1\ansi\ansicpg1252\deff0\deflang11274{\fonttbl{\f0\fnil\fcharset0 MS Sans Serif}} \viewkind4\uc1\pard\f0\fs16 JGO AROS RECAMBIO STD R12 76MM\par } "</f>
        <v xml:space="preserve">{\rtf1\ansi\ansicpg1252\deff0\deflang11274{\fonttbl{\f0\fnil\fcharset0 MS Sans Serif}} \viewkind4\uc1\pard\f0\fs16 JGO AROS RECAMBIO STD R12 76MM\par } </v>
      </c>
      <c r="AM2001" t="str">
        <f t="shared" si="1285"/>
        <v>-</v>
      </c>
    </row>
    <row r="2002" spans="1:39" x14ac:dyDescent="0.25">
      <c r="A2002" t="str">
        <f>"PMR2511"</f>
        <v>PMR2511</v>
      </c>
      <c r="B2002" t="str">
        <f>"JGO AROS RECAMBIO STD R9/11 1600 77.00MM    FAD NHK1261"</f>
        <v>JGO AROS RECAMBIO STD R9/11 1600 77.00MM    FAD NHK1261</v>
      </c>
      <c r="C2002" t="str">
        <f t="shared" si="1305"/>
        <v>$ 22071,35</v>
      </c>
      <c r="D2002" t="str">
        <f t="shared" si="1305"/>
        <v>$ 22071,35</v>
      </c>
      <c r="E2002" t="str">
        <f t="shared" si="1305"/>
        <v>$ 22071,35</v>
      </c>
      <c r="F2002" t="str">
        <f t="shared" si="1305"/>
        <v>$ 22071,35</v>
      </c>
      <c r="G2002" t="str">
        <f t="shared" si="1305"/>
        <v>$ 22071,35</v>
      </c>
      <c r="H2002" t="str">
        <f t="shared" si="1286"/>
        <v>$ 0,00</v>
      </c>
      <c r="I2002" t="str">
        <f t="shared" si="1281"/>
        <v>JUEGO AROS DE RECAMBIO</v>
      </c>
      <c r="J2002" t="str">
        <f t="shared" si="1287"/>
        <v>1</v>
      </c>
      <c r="K2002" t="str">
        <f t="shared" si="1268"/>
        <v>0</v>
      </c>
      <c r="L2002" t="str">
        <f>"-1,000"</f>
        <v>-1,000</v>
      </c>
      <c r="M2002" t="str">
        <f t="shared" si="1288"/>
        <v xml:space="preserve"> </v>
      </c>
      <c r="N2002" t="str">
        <f t="shared" si="1282"/>
        <v>PROMETAL</v>
      </c>
      <c r="O2002" t="str">
        <f t="shared" si="1283"/>
        <v>AROS DE MOTOR</v>
      </c>
      <c r="P2002" t="str">
        <f t="shared" si="1279"/>
        <v>0</v>
      </c>
      <c r="Q2002" t="str">
        <f t="shared" si="1279"/>
        <v>0</v>
      </c>
      <c r="R2002" t="str">
        <f t="shared" si="1280"/>
        <v>0,00</v>
      </c>
      <c r="S2002" t="str">
        <f t="shared" si="1280"/>
        <v>0,00</v>
      </c>
      <c r="T2002" t="str">
        <f t="shared" si="1284"/>
        <v xml:space="preserve"> </v>
      </c>
      <c r="U2002" t="str">
        <f t="shared" si="1304"/>
        <v xml:space="preserve"> </v>
      </c>
      <c r="V2002" t="str">
        <f>"-1,000"</f>
        <v>-1,000</v>
      </c>
      <c r="W2002" t="str">
        <f t="shared" si="1289"/>
        <v>Lista 4</v>
      </c>
      <c r="X2002" t="str">
        <f t="shared" si="1290"/>
        <v>Lista 5</v>
      </c>
      <c r="Y2002" t="str">
        <f t="shared" si="1291"/>
        <v>Oferta Gral.</v>
      </c>
      <c r="Z2002" t="str">
        <f t="shared" si="1292"/>
        <v>Rubro</v>
      </c>
      <c r="AA2002" t="str">
        <f t="shared" si="1293"/>
        <v>Cantidad por Bulto</v>
      </c>
      <c r="AB2002" t="str">
        <f t="shared" si="1294"/>
        <v>INNER</v>
      </c>
      <c r="AC2002" t="str">
        <f t="shared" si="1295"/>
        <v>Stock en Bultos</v>
      </c>
      <c r="AD2002" t="str">
        <f t="shared" si="1296"/>
        <v>SubDepósito</v>
      </c>
      <c r="AE2002" t="str">
        <f t="shared" si="1297"/>
        <v>Marca</v>
      </c>
      <c r="AF2002" t="str">
        <f t="shared" si="1298"/>
        <v>Super Rubro</v>
      </c>
      <c r="AG2002" t="str">
        <f t="shared" si="1299"/>
        <v>ComercioExterior</v>
      </c>
      <c r="AH2002" t="str">
        <f t="shared" si="1300"/>
        <v>PrecioFOB</v>
      </c>
      <c r="AI2002" t="str">
        <f t="shared" si="1301"/>
        <v>Monto II</v>
      </c>
      <c r="AJ2002" t="str">
        <f t="shared" si="1302"/>
        <v>Porcentaje II</v>
      </c>
      <c r="AK2002" t="str">
        <f t="shared" si="1303"/>
        <v>Foto</v>
      </c>
      <c r="AL2002" t="str">
        <f>"{\rtf1\ansi\ansicpg1252\deff0\deflang11274{\fonttbl{\f0\fnil\fcharset0 MS Sans Serif}} \viewkind4\uc1\pard\f0\fs16 JGO AROS RECAMBIO STD R9/11 1600 77.00MM    FAD NHK1261\par } "</f>
        <v xml:space="preserve">{\rtf1\ansi\ansicpg1252\deff0\deflang11274{\fonttbl{\f0\fnil\fcharset0 MS Sans Serif}} \viewkind4\uc1\pard\f0\fs16 JGO AROS RECAMBIO STD R9/11 1600 77.00MM    FAD NHK1261\par } </v>
      </c>
      <c r="AM2002" t="str">
        <f t="shared" si="1285"/>
        <v>-</v>
      </c>
    </row>
    <row r="2003" spans="1:39" x14ac:dyDescent="0.25">
      <c r="A2003" t="str">
        <f>"PMSH2404-1"</f>
        <v>PMSH2404-1</v>
      </c>
      <c r="B2003" t="str">
        <f>"JGO AROS SEMIHIDR. 0,4 FIRE 1.4 8V 72.00MM  FAD PMA7615"</f>
        <v>JGO AROS SEMIHIDR. 0,4 FIRE 1.4 8V 72.00MM  FAD PMA7615</v>
      </c>
      <c r="C2003" t="str">
        <f>"$ 33026,87"</f>
        <v>$ 33026,87</v>
      </c>
      <c r="D2003" t="str">
        <f>"$ 33026,87"</f>
        <v>$ 33026,87</v>
      </c>
      <c r="E2003" t="str">
        <f>"$ 33026,87"</f>
        <v>$ 33026,87</v>
      </c>
      <c r="F2003" t="str">
        <f>"$ 33026,87"</f>
        <v>$ 33026,87</v>
      </c>
      <c r="G2003" t="str">
        <f>"$ 33026,87"</f>
        <v>$ 33026,87</v>
      </c>
      <c r="H2003" t="str">
        <f t="shared" si="1286"/>
        <v>$ 0,00</v>
      </c>
      <c r="I2003" t="str">
        <f t="shared" ref="I2003:I2017" si="1306">"JUEGO AROS SEMIHIDRAULICOS"</f>
        <v>JUEGO AROS SEMIHIDRAULICOS</v>
      </c>
      <c r="J2003" t="str">
        <f t="shared" si="1287"/>
        <v>1</v>
      </c>
      <c r="K2003" t="str">
        <f t="shared" si="1268"/>
        <v>0</v>
      </c>
      <c r="L2003" t="str">
        <f>"0,000"</f>
        <v>0,000</v>
      </c>
      <c r="M2003" t="str">
        <f t="shared" si="1288"/>
        <v xml:space="preserve"> </v>
      </c>
      <c r="N2003" t="str">
        <f t="shared" si="1282"/>
        <v>PROMETAL</v>
      </c>
      <c r="O2003" t="str">
        <f t="shared" si="1283"/>
        <v>AROS DE MOTOR</v>
      </c>
      <c r="P2003" t="str">
        <f t="shared" ref="P2003:Q2022" si="1307">"0"</f>
        <v>0</v>
      </c>
      <c r="Q2003" t="str">
        <f t="shared" si="1307"/>
        <v>0</v>
      </c>
      <c r="R2003" t="str">
        <f t="shared" ref="R2003:S2022" si="1308">"0,00"</f>
        <v>0,00</v>
      </c>
      <c r="S2003" t="str">
        <f t="shared" si="1308"/>
        <v>0,00</v>
      </c>
      <c r="T2003" t="str">
        <f t="shared" si="1284"/>
        <v xml:space="preserve"> </v>
      </c>
      <c r="U2003" t="str">
        <f t="shared" si="1304"/>
        <v xml:space="preserve"> </v>
      </c>
      <c r="V2003" t="str">
        <f>"0,000"</f>
        <v>0,000</v>
      </c>
      <c r="W2003" t="str">
        <f t="shared" si="1289"/>
        <v>Lista 4</v>
      </c>
      <c r="X2003" t="str">
        <f t="shared" si="1290"/>
        <v>Lista 5</v>
      </c>
      <c r="Y2003" t="str">
        <f t="shared" si="1291"/>
        <v>Oferta Gral.</v>
      </c>
      <c r="Z2003" t="str">
        <f t="shared" si="1292"/>
        <v>Rubro</v>
      </c>
      <c r="AA2003" t="str">
        <f t="shared" si="1293"/>
        <v>Cantidad por Bulto</v>
      </c>
      <c r="AB2003" t="str">
        <f t="shared" si="1294"/>
        <v>INNER</v>
      </c>
      <c r="AC2003" t="str">
        <f t="shared" si="1295"/>
        <v>Stock en Bultos</v>
      </c>
      <c r="AD2003" t="str">
        <f t="shared" si="1296"/>
        <v>SubDepósito</v>
      </c>
      <c r="AE2003" t="str">
        <f t="shared" si="1297"/>
        <v>Marca</v>
      </c>
      <c r="AF2003" t="str">
        <f t="shared" si="1298"/>
        <v>Super Rubro</v>
      </c>
      <c r="AG2003" t="str">
        <f t="shared" si="1299"/>
        <v>ComercioExterior</v>
      </c>
      <c r="AH2003" t="str">
        <f t="shared" si="1300"/>
        <v>PrecioFOB</v>
      </c>
      <c r="AI2003" t="str">
        <f t="shared" si="1301"/>
        <v>Monto II</v>
      </c>
      <c r="AJ2003" t="str">
        <f t="shared" si="1302"/>
        <v>Porcentaje II</v>
      </c>
      <c r="AK2003" t="str">
        <f t="shared" si="1303"/>
        <v>Foto</v>
      </c>
      <c r="AL2003" t="str">
        <f>"{\rtf1\ansi\ansicpg1252\deff0\deflang11274{\fonttbl{\f0\fnil\fcharset0 MS Sans Serif}} \viewkind4\uc1\pard\f0\fs16 JGO AROS SEMIHIDR. 0,4 FIRE 1.4 8V 72.00MM  FAD PMA7615\par } "</f>
        <v xml:space="preserve">{\rtf1\ansi\ansicpg1252\deff0\deflang11274{\fonttbl{\f0\fnil\fcharset0 MS Sans Serif}} \viewkind4\uc1\pard\f0\fs16 JGO AROS SEMIHIDR. 0,4 FIRE 1.4 8V 72.00MM  FAD PMA7615\par } </v>
      </c>
      <c r="AM2003" t="str">
        <f t="shared" si="1285"/>
        <v>-</v>
      </c>
    </row>
    <row r="2004" spans="1:39" x14ac:dyDescent="0.25">
      <c r="A2004" t="str">
        <f>"PMSH1620-1"</f>
        <v>PMSH1620-1</v>
      </c>
      <c r="B2004" t="str">
        <f>"JGO AROS SEMIHIDR. 0,4 P206/307 1.6 TU5JP4 78.50MM FAD PMA8601"</f>
        <v>JGO AROS SEMIHIDR. 0,4 P206/307 1.6 TU5JP4 78.50MM FAD PMA8601</v>
      </c>
      <c r="C2004" t="str">
        <f>"$ 46333,81"</f>
        <v>$ 46333,81</v>
      </c>
      <c r="D2004" t="str">
        <f>"$ 46333,81"</f>
        <v>$ 46333,81</v>
      </c>
      <c r="E2004" t="str">
        <f>"$ 46333,81"</f>
        <v>$ 46333,81</v>
      </c>
      <c r="F2004" t="str">
        <f>"$ 46333,81"</f>
        <v>$ 46333,81</v>
      </c>
      <c r="G2004" t="str">
        <f>"$ 46333,81"</f>
        <v>$ 46333,81</v>
      </c>
      <c r="H2004" t="str">
        <f t="shared" si="1286"/>
        <v>$ 0,00</v>
      </c>
      <c r="I2004" t="str">
        <f t="shared" si="1306"/>
        <v>JUEGO AROS SEMIHIDRAULICOS</v>
      </c>
      <c r="J2004" t="str">
        <f t="shared" si="1287"/>
        <v>1</v>
      </c>
      <c r="K2004" t="str">
        <f t="shared" si="1268"/>
        <v>0</v>
      </c>
      <c r="L2004" t="str">
        <f>"0,000"</f>
        <v>0,000</v>
      </c>
      <c r="M2004" t="str">
        <f t="shared" si="1288"/>
        <v xml:space="preserve"> </v>
      </c>
      <c r="N2004" t="str">
        <f t="shared" si="1282"/>
        <v>PROMETAL</v>
      </c>
      <c r="O2004" t="str">
        <f t="shared" si="1283"/>
        <v>AROS DE MOTOR</v>
      </c>
      <c r="P2004" t="str">
        <f t="shared" si="1307"/>
        <v>0</v>
      </c>
      <c r="Q2004" t="str">
        <f t="shared" si="1307"/>
        <v>0</v>
      </c>
      <c r="R2004" t="str">
        <f t="shared" si="1308"/>
        <v>0,00</v>
      </c>
      <c r="S2004" t="str">
        <f t="shared" si="1308"/>
        <v>0,00</v>
      </c>
      <c r="T2004" t="str">
        <f t="shared" si="1284"/>
        <v xml:space="preserve"> </v>
      </c>
      <c r="U2004" t="str">
        <f t="shared" si="1304"/>
        <v xml:space="preserve"> </v>
      </c>
      <c r="V2004" t="str">
        <f>"0,000"</f>
        <v>0,000</v>
      </c>
      <c r="W2004" t="str">
        <f t="shared" si="1289"/>
        <v>Lista 4</v>
      </c>
      <c r="X2004" t="str">
        <f t="shared" si="1290"/>
        <v>Lista 5</v>
      </c>
      <c r="Y2004" t="str">
        <f t="shared" si="1291"/>
        <v>Oferta Gral.</v>
      </c>
      <c r="Z2004" t="str">
        <f t="shared" si="1292"/>
        <v>Rubro</v>
      </c>
      <c r="AA2004" t="str">
        <f t="shared" si="1293"/>
        <v>Cantidad por Bulto</v>
      </c>
      <c r="AB2004" t="str">
        <f t="shared" si="1294"/>
        <v>INNER</v>
      </c>
      <c r="AC2004" t="str">
        <f t="shared" si="1295"/>
        <v>Stock en Bultos</v>
      </c>
      <c r="AD2004" t="str">
        <f t="shared" si="1296"/>
        <v>SubDepósito</v>
      </c>
      <c r="AE2004" t="str">
        <f t="shared" si="1297"/>
        <v>Marca</v>
      </c>
      <c r="AF2004" t="str">
        <f t="shared" si="1298"/>
        <v>Super Rubro</v>
      </c>
      <c r="AG2004" t="str">
        <f t="shared" si="1299"/>
        <v>ComercioExterior</v>
      </c>
      <c r="AH2004" t="str">
        <f t="shared" si="1300"/>
        <v>PrecioFOB</v>
      </c>
      <c r="AI2004" t="str">
        <f t="shared" si="1301"/>
        <v>Monto II</v>
      </c>
      <c r="AJ2004" t="str">
        <f t="shared" si="1302"/>
        <v>Porcentaje II</v>
      </c>
      <c r="AK2004" t="str">
        <f t="shared" si="1303"/>
        <v>Foto</v>
      </c>
      <c r="AL2004" t="str">
        <f>"{\rtf1\ansi\ansicpg1252\deff0\deflang11274{\fonttbl{\f0\fnil\fcharset0 MS Sans Serif}} \viewkind4\uc1\pard\f0\fs16 JGO AROS SEMIHIDR. 0,4 P206/307 1.6 TU5JP4 78.50MM FAD PMA8601\par } "</f>
        <v xml:space="preserve">{\rtf1\ansi\ansicpg1252\deff0\deflang11274{\fonttbl{\f0\fnil\fcharset0 MS Sans Serif}} \viewkind4\uc1\pard\f0\fs16 JGO AROS SEMIHIDR. 0,4 P206/307 1.6 TU5JP4 78.50MM FAD PMA8601\par } </v>
      </c>
      <c r="AM2004" t="str">
        <f t="shared" si="1285"/>
        <v>-</v>
      </c>
    </row>
    <row r="2005" spans="1:39" x14ac:dyDescent="0.25">
      <c r="A2005" t="str">
        <f>"PMSH2519-1"</f>
        <v>PMSH2519-1</v>
      </c>
      <c r="B2005" t="str">
        <f>"JGO AROS SEMIHIDR. 0,5 MEGANE K4M 79.50MM   FAD PMA7723"</f>
        <v>JGO AROS SEMIHIDR. 0,5 MEGANE K4M 79.50MM   FAD PMA7723</v>
      </c>
      <c r="C2005" t="str">
        <f>"$ 39707,06"</f>
        <v>$ 39707,06</v>
      </c>
      <c r="D2005" t="str">
        <f>"$ 39707,06"</f>
        <v>$ 39707,06</v>
      </c>
      <c r="E2005" t="str">
        <f>"$ 39707,06"</f>
        <v>$ 39707,06</v>
      </c>
      <c r="F2005" t="str">
        <f>"$ 39707,06"</f>
        <v>$ 39707,06</v>
      </c>
      <c r="G2005" t="str">
        <f>"$ 39707,06"</f>
        <v>$ 39707,06</v>
      </c>
      <c r="H2005" t="str">
        <f t="shared" si="1286"/>
        <v>$ 0,00</v>
      </c>
      <c r="I2005" t="str">
        <f t="shared" si="1306"/>
        <v>JUEGO AROS SEMIHIDRAULICOS</v>
      </c>
      <c r="J2005" t="str">
        <f t="shared" si="1287"/>
        <v>1</v>
      </c>
      <c r="K2005" t="str">
        <f t="shared" ref="K2005:K2068" si="1309">"0"</f>
        <v>0</v>
      </c>
      <c r="L2005" t="str">
        <f>"3,000"</f>
        <v>3,000</v>
      </c>
      <c r="M2005" t="str">
        <f t="shared" si="1288"/>
        <v xml:space="preserve"> </v>
      </c>
      <c r="N2005" t="str">
        <f t="shared" si="1282"/>
        <v>PROMETAL</v>
      </c>
      <c r="O2005" t="str">
        <f t="shared" si="1283"/>
        <v>AROS DE MOTOR</v>
      </c>
      <c r="P2005" t="str">
        <f t="shared" si="1307"/>
        <v>0</v>
      </c>
      <c r="Q2005" t="str">
        <f t="shared" si="1307"/>
        <v>0</v>
      </c>
      <c r="R2005" t="str">
        <f t="shared" si="1308"/>
        <v>0,00</v>
      </c>
      <c r="S2005" t="str">
        <f t="shared" si="1308"/>
        <v>0,00</v>
      </c>
      <c r="T2005" t="str">
        <f t="shared" si="1284"/>
        <v xml:space="preserve"> </v>
      </c>
      <c r="U2005" t="str">
        <f t="shared" si="1304"/>
        <v xml:space="preserve"> </v>
      </c>
      <c r="V2005" t="str">
        <f>"3,000"</f>
        <v>3,000</v>
      </c>
      <c r="W2005" t="str">
        <f t="shared" si="1289"/>
        <v>Lista 4</v>
      </c>
      <c r="X2005" t="str">
        <f t="shared" si="1290"/>
        <v>Lista 5</v>
      </c>
      <c r="Y2005" t="str">
        <f t="shared" si="1291"/>
        <v>Oferta Gral.</v>
      </c>
      <c r="Z2005" t="str">
        <f t="shared" si="1292"/>
        <v>Rubro</v>
      </c>
      <c r="AA2005" t="str">
        <f t="shared" si="1293"/>
        <v>Cantidad por Bulto</v>
      </c>
      <c r="AB2005" t="str">
        <f t="shared" si="1294"/>
        <v>INNER</v>
      </c>
      <c r="AC2005" t="str">
        <f t="shared" si="1295"/>
        <v>Stock en Bultos</v>
      </c>
      <c r="AD2005" t="str">
        <f t="shared" si="1296"/>
        <v>SubDepósito</v>
      </c>
      <c r="AE2005" t="str">
        <f t="shared" si="1297"/>
        <v>Marca</v>
      </c>
      <c r="AF2005" t="str">
        <f t="shared" si="1298"/>
        <v>Super Rubro</v>
      </c>
      <c r="AG2005" t="str">
        <f t="shared" si="1299"/>
        <v>ComercioExterior</v>
      </c>
      <c r="AH2005" t="str">
        <f t="shared" si="1300"/>
        <v>PrecioFOB</v>
      </c>
      <c r="AI2005" t="str">
        <f t="shared" si="1301"/>
        <v>Monto II</v>
      </c>
      <c r="AJ2005" t="str">
        <f t="shared" si="1302"/>
        <v>Porcentaje II</v>
      </c>
      <c r="AK2005" t="str">
        <f t="shared" si="1303"/>
        <v>Foto</v>
      </c>
      <c r="AL2005" t="str">
        <f>"{\rtf1\ansi\ansicpg1252\deff0\deflang11274{\fonttbl{\f0\fnil\fcharset0 MS Sans Serif}} \viewkind4\uc1\pard\f0\fs16 JGO AROS SEMIHIDR. 0,5 MEGANE K4M 79.50MM   FAD PMA7723\par } "</f>
        <v xml:space="preserve">{\rtf1\ansi\ansicpg1252\deff0\deflang11274{\fonttbl{\f0\fnil\fcharset0 MS Sans Serif}} \viewkind4\uc1\pard\f0\fs16 JGO AROS SEMIHIDR. 0,5 MEGANE K4M 79.50MM   FAD PMA7723\par } </v>
      </c>
      <c r="AM2005" t="str">
        <f t="shared" si="1285"/>
        <v>-</v>
      </c>
    </row>
    <row r="2006" spans="1:39" x14ac:dyDescent="0.25">
      <c r="A2006" t="str">
        <f>"PMSH1506"</f>
        <v>PMSH1506</v>
      </c>
      <c r="B2006" t="str">
        <f>"JGO AROS SEMIHIDR. STD CORSA 1,6 79.00MM FAD  PMA7521"</f>
        <v>JGO AROS SEMIHIDR. STD CORSA 1,6 79.00MM FAD  PMA7521</v>
      </c>
      <c r="C2006" t="str">
        <f>"$ 35271,41"</f>
        <v>$ 35271,41</v>
      </c>
      <c r="D2006" t="str">
        <f>"$ 35271,41"</f>
        <v>$ 35271,41</v>
      </c>
      <c r="E2006" t="str">
        <f>"$ 35271,41"</f>
        <v>$ 35271,41</v>
      </c>
      <c r="F2006" t="str">
        <f>"$ 35271,41"</f>
        <v>$ 35271,41</v>
      </c>
      <c r="G2006" t="str">
        <f>"$ 35271,41"</f>
        <v>$ 35271,41</v>
      </c>
      <c r="H2006" t="str">
        <f t="shared" si="1286"/>
        <v>$ 0,00</v>
      </c>
      <c r="I2006" t="str">
        <f t="shared" si="1306"/>
        <v>JUEGO AROS SEMIHIDRAULICOS</v>
      </c>
      <c r="J2006" t="str">
        <f t="shared" si="1287"/>
        <v>1</v>
      </c>
      <c r="K2006" t="str">
        <f t="shared" si="1309"/>
        <v>0</v>
      </c>
      <c r="L2006" t="str">
        <f>"1,000"</f>
        <v>1,000</v>
      </c>
      <c r="M2006" t="str">
        <f t="shared" si="1288"/>
        <v xml:space="preserve"> </v>
      </c>
      <c r="N2006" t="str">
        <f t="shared" si="1282"/>
        <v>PROMETAL</v>
      </c>
      <c r="O2006" t="str">
        <f t="shared" si="1283"/>
        <v>AROS DE MOTOR</v>
      </c>
      <c r="P2006" t="str">
        <f t="shared" si="1307"/>
        <v>0</v>
      </c>
      <c r="Q2006" t="str">
        <f t="shared" si="1307"/>
        <v>0</v>
      </c>
      <c r="R2006" t="str">
        <f t="shared" si="1308"/>
        <v>0,00</v>
      </c>
      <c r="S2006" t="str">
        <f t="shared" si="1308"/>
        <v>0,00</v>
      </c>
      <c r="T2006" t="str">
        <f t="shared" si="1284"/>
        <v xml:space="preserve"> </v>
      </c>
      <c r="U2006" t="str">
        <f t="shared" si="1304"/>
        <v xml:space="preserve"> </v>
      </c>
      <c r="V2006" t="str">
        <f>"1,000"</f>
        <v>1,000</v>
      </c>
      <c r="W2006" t="str">
        <f t="shared" si="1289"/>
        <v>Lista 4</v>
      </c>
      <c r="X2006" t="str">
        <f t="shared" si="1290"/>
        <v>Lista 5</v>
      </c>
      <c r="Y2006" t="str">
        <f t="shared" si="1291"/>
        <v>Oferta Gral.</v>
      </c>
      <c r="Z2006" t="str">
        <f t="shared" si="1292"/>
        <v>Rubro</v>
      </c>
      <c r="AA2006" t="str">
        <f t="shared" si="1293"/>
        <v>Cantidad por Bulto</v>
      </c>
      <c r="AB2006" t="str">
        <f t="shared" si="1294"/>
        <v>INNER</v>
      </c>
      <c r="AC2006" t="str">
        <f t="shared" si="1295"/>
        <v>Stock en Bultos</v>
      </c>
      <c r="AD2006" t="str">
        <f t="shared" si="1296"/>
        <v>SubDepósito</v>
      </c>
      <c r="AE2006" t="str">
        <f t="shared" si="1297"/>
        <v>Marca</v>
      </c>
      <c r="AF2006" t="str">
        <f t="shared" si="1298"/>
        <v>Super Rubro</v>
      </c>
      <c r="AG2006" t="str">
        <f t="shared" si="1299"/>
        <v>ComercioExterior</v>
      </c>
      <c r="AH2006" t="str">
        <f t="shared" si="1300"/>
        <v>PrecioFOB</v>
      </c>
      <c r="AI2006" t="str">
        <f t="shared" si="1301"/>
        <v>Monto II</v>
      </c>
      <c r="AJ2006" t="str">
        <f t="shared" si="1302"/>
        <v>Porcentaje II</v>
      </c>
      <c r="AK2006" t="str">
        <f t="shared" si="1303"/>
        <v>Foto</v>
      </c>
      <c r="AL2006" t="str">
        <f>"{\rtf1\ansi\ansicpg1252\deff0\deflang11274{\fonttbl{\f0\fnil\fcharset0 MS Sans Serif}} \viewkind4\uc1\pard\f0\fs16 JGO AROS SEMIHIDR. STD CORSA 1,6 79.00MM FAD  PMA7521\par } "</f>
        <v xml:space="preserve">{\rtf1\ansi\ansicpg1252\deff0\deflang11274{\fonttbl{\f0\fnil\fcharset0 MS Sans Serif}} \viewkind4\uc1\pard\f0\fs16 JGO AROS SEMIHIDR. STD CORSA 1,6 79.00MM FAD  PMA7521\par } </v>
      </c>
      <c r="AM2006" t="str">
        <f t="shared" si="1285"/>
        <v>-</v>
      </c>
    </row>
    <row r="2007" spans="1:39" x14ac:dyDescent="0.25">
      <c r="A2007" t="str">
        <f>"PMSH0645"</f>
        <v>PMSH0645</v>
      </c>
      <c r="B2007" t="str">
        <f>"JGO AROS SEMIHIDR. STD ECOSPORT 1,6 ROCAM 82.00MM  FAD PMA7716"</f>
        <v>JGO AROS SEMIHIDR. STD ECOSPORT 1,6 ROCAM 82.00MM  FAD PMA7716</v>
      </c>
      <c r="C2007" t="str">
        <f>"$ 39707,06"</f>
        <v>$ 39707,06</v>
      </c>
      <c r="D2007" t="str">
        <f>"$ 39707,06"</f>
        <v>$ 39707,06</v>
      </c>
      <c r="E2007" t="str">
        <f>"$ 39707,06"</f>
        <v>$ 39707,06</v>
      </c>
      <c r="F2007" t="str">
        <f>"$ 39707,06"</f>
        <v>$ 39707,06</v>
      </c>
      <c r="G2007" t="str">
        <f>"$ 39707,06"</f>
        <v>$ 39707,06</v>
      </c>
      <c r="H2007" t="str">
        <f t="shared" si="1286"/>
        <v>$ 0,00</v>
      </c>
      <c r="I2007" t="str">
        <f t="shared" si="1306"/>
        <v>JUEGO AROS SEMIHIDRAULICOS</v>
      </c>
      <c r="J2007" t="str">
        <f t="shared" si="1287"/>
        <v>1</v>
      </c>
      <c r="K2007" t="str">
        <f t="shared" si="1309"/>
        <v>0</v>
      </c>
      <c r="L2007" t="str">
        <f>"0,000"</f>
        <v>0,000</v>
      </c>
      <c r="M2007" t="str">
        <f t="shared" si="1288"/>
        <v xml:space="preserve"> </v>
      </c>
      <c r="N2007" t="str">
        <f t="shared" si="1282"/>
        <v>PROMETAL</v>
      </c>
      <c r="O2007" t="str">
        <f t="shared" si="1283"/>
        <v>AROS DE MOTOR</v>
      </c>
      <c r="P2007" t="str">
        <f t="shared" si="1307"/>
        <v>0</v>
      </c>
      <c r="Q2007" t="str">
        <f t="shared" si="1307"/>
        <v>0</v>
      </c>
      <c r="R2007" t="str">
        <f t="shared" si="1308"/>
        <v>0,00</v>
      </c>
      <c r="S2007" t="str">
        <f t="shared" si="1308"/>
        <v>0,00</v>
      </c>
      <c r="T2007" t="str">
        <f t="shared" si="1284"/>
        <v xml:space="preserve"> </v>
      </c>
      <c r="U2007" t="str">
        <f t="shared" si="1304"/>
        <v xml:space="preserve"> </v>
      </c>
      <c r="V2007" t="str">
        <f>"0,000"</f>
        <v>0,000</v>
      </c>
      <c r="W2007" t="str">
        <f t="shared" si="1289"/>
        <v>Lista 4</v>
      </c>
      <c r="X2007" t="str">
        <f t="shared" si="1290"/>
        <v>Lista 5</v>
      </c>
      <c r="Y2007" t="str">
        <f t="shared" si="1291"/>
        <v>Oferta Gral.</v>
      </c>
      <c r="Z2007" t="str">
        <f t="shared" si="1292"/>
        <v>Rubro</v>
      </c>
      <c r="AA2007" t="str">
        <f t="shared" si="1293"/>
        <v>Cantidad por Bulto</v>
      </c>
      <c r="AB2007" t="str">
        <f t="shared" si="1294"/>
        <v>INNER</v>
      </c>
      <c r="AC2007" t="str">
        <f t="shared" si="1295"/>
        <v>Stock en Bultos</v>
      </c>
      <c r="AD2007" t="str">
        <f t="shared" si="1296"/>
        <v>SubDepósito</v>
      </c>
      <c r="AE2007" t="str">
        <f t="shared" si="1297"/>
        <v>Marca</v>
      </c>
      <c r="AF2007" t="str">
        <f t="shared" si="1298"/>
        <v>Super Rubro</v>
      </c>
      <c r="AG2007" t="str">
        <f t="shared" si="1299"/>
        <v>ComercioExterior</v>
      </c>
      <c r="AH2007" t="str">
        <f t="shared" si="1300"/>
        <v>PrecioFOB</v>
      </c>
      <c r="AI2007" t="str">
        <f t="shared" si="1301"/>
        <v>Monto II</v>
      </c>
      <c r="AJ2007" t="str">
        <f t="shared" si="1302"/>
        <v>Porcentaje II</v>
      </c>
      <c r="AK2007" t="str">
        <f t="shared" si="1303"/>
        <v>Foto</v>
      </c>
      <c r="AL2007" t="str">
        <f>"{\rtf1\ansi\ansicpg1252\deff0\deflang11274{\fonttbl{\f0\fnil\fcharset0 MS Sans Serif}} \viewkind4\uc1\pard\f0\fs16 JGO AROS SEMIHIDR. STD ECOSPORT 1,6 ROCAM 82.00MM  FAD PMA7716\par } "</f>
        <v xml:space="preserve">{\rtf1\ansi\ansicpg1252\deff0\deflang11274{\fonttbl{\f0\fnil\fcharset0 MS Sans Serif}} \viewkind4\uc1\pard\f0\fs16 JGO AROS SEMIHIDR. STD ECOSPORT 1,6 ROCAM 82.00MM  FAD PMA7716\par } </v>
      </c>
      <c r="AM2007" t="str">
        <f t="shared" si="1285"/>
        <v>-</v>
      </c>
    </row>
    <row r="2008" spans="1:39" x14ac:dyDescent="0.25">
      <c r="A2008" t="str">
        <f>"PMSH2515"</f>
        <v>PMSH2515</v>
      </c>
      <c r="B2008" t="str">
        <f>"JGO AROS SEMIHIDR. STD EXPRESS 1.9D F8Q 80.00MM"</f>
        <v>JGO AROS SEMIHIDR. STD EXPRESS 1.9D F8Q 80.00MM</v>
      </c>
      <c r="C2008" t="str">
        <f>"$ 50769,46"</f>
        <v>$ 50769,46</v>
      </c>
      <c r="D2008" t="str">
        <f>"$ 50769,46"</f>
        <v>$ 50769,46</v>
      </c>
      <c r="E2008" t="str">
        <f>"$ 50769,46"</f>
        <v>$ 50769,46</v>
      </c>
      <c r="F2008" t="str">
        <f>"$ 50769,46"</f>
        <v>$ 50769,46</v>
      </c>
      <c r="G2008" t="str">
        <f>"$ 50769,46"</f>
        <v>$ 50769,46</v>
      </c>
      <c r="H2008" t="str">
        <f t="shared" si="1286"/>
        <v>$ 0,00</v>
      </c>
      <c r="I2008" t="str">
        <f t="shared" si="1306"/>
        <v>JUEGO AROS SEMIHIDRAULICOS</v>
      </c>
      <c r="J2008" t="str">
        <f t="shared" si="1287"/>
        <v>1</v>
      </c>
      <c r="K2008" t="str">
        <f t="shared" si="1309"/>
        <v>0</v>
      </c>
      <c r="L2008" t="str">
        <f>"0,000"</f>
        <v>0,000</v>
      </c>
      <c r="M2008" t="str">
        <f t="shared" si="1288"/>
        <v xml:space="preserve"> </v>
      </c>
      <c r="N2008" t="str">
        <f t="shared" si="1282"/>
        <v>PROMETAL</v>
      </c>
      <c r="O2008" t="str">
        <f t="shared" si="1283"/>
        <v>AROS DE MOTOR</v>
      </c>
      <c r="P2008" t="str">
        <f t="shared" si="1307"/>
        <v>0</v>
      </c>
      <c r="Q2008" t="str">
        <f t="shared" si="1307"/>
        <v>0</v>
      </c>
      <c r="R2008" t="str">
        <f t="shared" si="1308"/>
        <v>0,00</v>
      </c>
      <c r="S2008" t="str">
        <f t="shared" si="1308"/>
        <v>0,00</v>
      </c>
      <c r="T2008" t="str">
        <f t="shared" si="1284"/>
        <v xml:space="preserve"> </v>
      </c>
      <c r="U2008" t="str">
        <f t="shared" si="1304"/>
        <v xml:space="preserve"> </v>
      </c>
      <c r="V2008" t="str">
        <f>"0,000"</f>
        <v>0,000</v>
      </c>
      <c r="W2008" t="str">
        <f t="shared" si="1289"/>
        <v>Lista 4</v>
      </c>
      <c r="X2008" t="str">
        <f t="shared" si="1290"/>
        <v>Lista 5</v>
      </c>
      <c r="Y2008" t="str">
        <f t="shared" si="1291"/>
        <v>Oferta Gral.</v>
      </c>
      <c r="Z2008" t="str">
        <f t="shared" si="1292"/>
        <v>Rubro</v>
      </c>
      <c r="AA2008" t="str">
        <f t="shared" si="1293"/>
        <v>Cantidad por Bulto</v>
      </c>
      <c r="AB2008" t="str">
        <f t="shared" si="1294"/>
        <v>INNER</v>
      </c>
      <c r="AC2008" t="str">
        <f t="shared" si="1295"/>
        <v>Stock en Bultos</v>
      </c>
      <c r="AD2008" t="str">
        <f t="shared" si="1296"/>
        <v>SubDepósito</v>
      </c>
      <c r="AE2008" t="str">
        <f t="shared" si="1297"/>
        <v>Marca</v>
      </c>
      <c r="AF2008" t="str">
        <f t="shared" si="1298"/>
        <v>Super Rubro</v>
      </c>
      <c r="AG2008" t="str">
        <f t="shared" si="1299"/>
        <v>ComercioExterior</v>
      </c>
      <c r="AH2008" t="str">
        <f t="shared" si="1300"/>
        <v>PrecioFOB</v>
      </c>
      <c r="AI2008" t="str">
        <f t="shared" si="1301"/>
        <v>Monto II</v>
      </c>
      <c r="AJ2008" t="str">
        <f t="shared" si="1302"/>
        <v>Porcentaje II</v>
      </c>
      <c r="AK2008" t="str">
        <f t="shared" si="1303"/>
        <v>Foto</v>
      </c>
      <c r="AL2008" t="str">
        <f>"{\rtf1\ansi\ansicpg1252\deff0\deflang11274{\fonttbl{\f0\fnil\fcharset0 MS Sans Serif}} \viewkind4\uc1\pard\f0\fs16 JGO AROS SEMIHIDR. STD EXPRESS 1.9D F8Q 80.00MM\par } "</f>
        <v xml:space="preserve">{\rtf1\ansi\ansicpg1252\deff0\deflang11274{\fonttbl{\f0\fnil\fcharset0 MS Sans Serif}} \viewkind4\uc1\pard\f0\fs16 JGO AROS SEMIHIDR. STD EXPRESS 1.9D F8Q 80.00MM\par } </v>
      </c>
      <c r="AM2008" t="str">
        <f>" "</f>
        <v xml:space="preserve"> </v>
      </c>
    </row>
    <row r="2009" spans="1:39" x14ac:dyDescent="0.25">
      <c r="A2009" t="str">
        <f>"PMSH0625"</f>
        <v>PMSH0625</v>
      </c>
      <c r="B2009" t="str">
        <f>"JGO AROS SEMIHIDR. STD FIESTA 1,4 16V ZETEC 76.00MM FAD PMA7720"</f>
        <v>JGO AROS SEMIHIDR. STD FIESTA 1,4 16V ZETEC 76.00MM FAD PMA7720</v>
      </c>
      <c r="C2009" t="str">
        <f>"$ 52907,12"</f>
        <v>$ 52907,12</v>
      </c>
      <c r="D2009" t="str">
        <f>"$ 52907,12"</f>
        <v>$ 52907,12</v>
      </c>
      <c r="E2009" t="str">
        <f>"$ 52907,12"</f>
        <v>$ 52907,12</v>
      </c>
      <c r="F2009" t="str">
        <f>"$ 52907,12"</f>
        <v>$ 52907,12</v>
      </c>
      <c r="G2009" t="str">
        <f>"$ 52907,12"</f>
        <v>$ 52907,12</v>
      </c>
      <c r="H2009" t="str">
        <f t="shared" si="1286"/>
        <v>$ 0,00</v>
      </c>
      <c r="I2009" t="str">
        <f t="shared" si="1306"/>
        <v>JUEGO AROS SEMIHIDRAULICOS</v>
      </c>
      <c r="J2009" t="str">
        <f t="shared" si="1287"/>
        <v>1</v>
      </c>
      <c r="K2009" t="str">
        <f t="shared" si="1309"/>
        <v>0</v>
      </c>
      <c r="L2009" t="str">
        <f>"0,000"</f>
        <v>0,000</v>
      </c>
      <c r="M2009" t="str">
        <f t="shared" si="1288"/>
        <v xml:space="preserve"> </v>
      </c>
      <c r="N2009" t="str">
        <f t="shared" si="1282"/>
        <v>PROMETAL</v>
      </c>
      <c r="O2009" t="str">
        <f t="shared" si="1283"/>
        <v>AROS DE MOTOR</v>
      </c>
      <c r="P2009" t="str">
        <f t="shared" si="1307"/>
        <v>0</v>
      </c>
      <c r="Q2009" t="str">
        <f t="shared" si="1307"/>
        <v>0</v>
      </c>
      <c r="R2009" t="str">
        <f t="shared" si="1308"/>
        <v>0,00</v>
      </c>
      <c r="S2009" t="str">
        <f t="shared" si="1308"/>
        <v>0,00</v>
      </c>
      <c r="T2009" t="str">
        <f t="shared" si="1284"/>
        <v xml:space="preserve"> </v>
      </c>
      <c r="U2009" t="str">
        <f t="shared" si="1304"/>
        <v xml:space="preserve"> </v>
      </c>
      <c r="V2009" t="str">
        <f>"0,000"</f>
        <v>0,000</v>
      </c>
      <c r="W2009" t="str">
        <f t="shared" si="1289"/>
        <v>Lista 4</v>
      </c>
      <c r="X2009" t="str">
        <f t="shared" si="1290"/>
        <v>Lista 5</v>
      </c>
      <c r="Y2009" t="str">
        <f t="shared" si="1291"/>
        <v>Oferta Gral.</v>
      </c>
      <c r="Z2009" t="str">
        <f t="shared" si="1292"/>
        <v>Rubro</v>
      </c>
      <c r="AA2009" t="str">
        <f t="shared" si="1293"/>
        <v>Cantidad por Bulto</v>
      </c>
      <c r="AB2009" t="str">
        <f t="shared" si="1294"/>
        <v>INNER</v>
      </c>
      <c r="AC2009" t="str">
        <f t="shared" si="1295"/>
        <v>Stock en Bultos</v>
      </c>
      <c r="AD2009" t="str">
        <f t="shared" si="1296"/>
        <v>SubDepósito</v>
      </c>
      <c r="AE2009" t="str">
        <f t="shared" si="1297"/>
        <v>Marca</v>
      </c>
      <c r="AF2009" t="str">
        <f t="shared" si="1298"/>
        <v>Super Rubro</v>
      </c>
      <c r="AG2009" t="str">
        <f t="shared" si="1299"/>
        <v>ComercioExterior</v>
      </c>
      <c r="AH2009" t="str">
        <f t="shared" si="1300"/>
        <v>PrecioFOB</v>
      </c>
      <c r="AI2009" t="str">
        <f t="shared" si="1301"/>
        <v>Monto II</v>
      </c>
      <c r="AJ2009" t="str">
        <f t="shared" si="1302"/>
        <v>Porcentaje II</v>
      </c>
      <c r="AK2009" t="str">
        <f t="shared" si="1303"/>
        <v>Foto</v>
      </c>
      <c r="AL2009" t="str">
        <f>"{\rtf1\ansi\ansicpg1252\deff0\deflang11274{\fonttbl{\f0\fnil\fcharset0 MS Sans Serif}} \viewkind4\uc1\pard\f0\fs16 JGO AROS SEMIHIDR. STD FIESTA 1,4 16V ZETEC 76.00MM FAD PMA7720\par } "</f>
        <v xml:space="preserve">{\rtf1\ansi\ansicpg1252\deff0\deflang11274{\fonttbl{\f0\fnil\fcharset0 MS Sans Serif}} \viewkind4\uc1\pard\f0\fs16 JGO AROS SEMIHIDR. STD FIESTA 1,4 16V ZETEC 76.00MM FAD PMA7720\par } </v>
      </c>
      <c r="AM2009" t="str">
        <f t="shared" ref="AM2009:AM2017" si="1310">"-"</f>
        <v>-</v>
      </c>
    </row>
    <row r="2010" spans="1:39" x14ac:dyDescent="0.25">
      <c r="A2010" t="str">
        <f>"PMSH2404"</f>
        <v>PMSH2404</v>
      </c>
      <c r="B2010" t="str">
        <f>"JGO AROS SEMIHIDR. STD FIRE 1.4 8V 72.00MM  FAD PMA7615"</f>
        <v>JGO AROS SEMIHIDR. STD FIRE 1.4 8V 72.00MM  FAD PMA7615</v>
      </c>
      <c r="C2010" t="str">
        <f>"$ 33026,87"</f>
        <v>$ 33026,87</v>
      </c>
      <c r="D2010" t="str">
        <f>"$ 33026,87"</f>
        <v>$ 33026,87</v>
      </c>
      <c r="E2010" t="str">
        <f>"$ 33026,87"</f>
        <v>$ 33026,87</v>
      </c>
      <c r="F2010" t="str">
        <f>"$ 33026,87"</f>
        <v>$ 33026,87</v>
      </c>
      <c r="G2010" t="str">
        <f>"$ 33026,87"</f>
        <v>$ 33026,87</v>
      </c>
      <c r="H2010" t="str">
        <f t="shared" si="1286"/>
        <v>$ 0,00</v>
      </c>
      <c r="I2010" t="str">
        <f t="shared" si="1306"/>
        <v>JUEGO AROS SEMIHIDRAULICOS</v>
      </c>
      <c r="J2010" t="str">
        <f t="shared" si="1287"/>
        <v>1</v>
      </c>
      <c r="K2010" t="str">
        <f t="shared" si="1309"/>
        <v>0</v>
      </c>
      <c r="L2010" t="str">
        <f>"0,000"</f>
        <v>0,000</v>
      </c>
      <c r="M2010" t="str">
        <f t="shared" si="1288"/>
        <v xml:space="preserve"> </v>
      </c>
      <c r="N2010" t="str">
        <f t="shared" si="1282"/>
        <v>PROMETAL</v>
      </c>
      <c r="O2010" t="str">
        <f t="shared" si="1283"/>
        <v>AROS DE MOTOR</v>
      </c>
      <c r="P2010" t="str">
        <f t="shared" si="1307"/>
        <v>0</v>
      </c>
      <c r="Q2010" t="str">
        <f t="shared" si="1307"/>
        <v>0</v>
      </c>
      <c r="R2010" t="str">
        <f t="shared" si="1308"/>
        <v>0,00</v>
      </c>
      <c r="S2010" t="str">
        <f t="shared" si="1308"/>
        <v>0,00</v>
      </c>
      <c r="T2010" t="str">
        <f t="shared" si="1284"/>
        <v xml:space="preserve"> </v>
      </c>
      <c r="U2010" t="str">
        <f t="shared" si="1304"/>
        <v xml:space="preserve"> </v>
      </c>
      <c r="V2010" t="str">
        <f>"0,000"</f>
        <v>0,000</v>
      </c>
      <c r="W2010" t="str">
        <f t="shared" si="1289"/>
        <v>Lista 4</v>
      </c>
      <c r="X2010" t="str">
        <f t="shared" si="1290"/>
        <v>Lista 5</v>
      </c>
      <c r="Y2010" t="str">
        <f t="shared" si="1291"/>
        <v>Oferta Gral.</v>
      </c>
      <c r="Z2010" t="str">
        <f t="shared" si="1292"/>
        <v>Rubro</v>
      </c>
      <c r="AA2010" t="str">
        <f t="shared" si="1293"/>
        <v>Cantidad por Bulto</v>
      </c>
      <c r="AB2010" t="str">
        <f t="shared" si="1294"/>
        <v>INNER</v>
      </c>
      <c r="AC2010" t="str">
        <f t="shared" si="1295"/>
        <v>Stock en Bultos</v>
      </c>
      <c r="AD2010" t="str">
        <f t="shared" si="1296"/>
        <v>SubDepósito</v>
      </c>
      <c r="AE2010" t="str">
        <f t="shared" si="1297"/>
        <v>Marca</v>
      </c>
      <c r="AF2010" t="str">
        <f t="shared" si="1298"/>
        <v>Super Rubro</v>
      </c>
      <c r="AG2010" t="str">
        <f t="shared" si="1299"/>
        <v>ComercioExterior</v>
      </c>
      <c r="AH2010" t="str">
        <f t="shared" si="1300"/>
        <v>PrecioFOB</v>
      </c>
      <c r="AI2010" t="str">
        <f t="shared" si="1301"/>
        <v>Monto II</v>
      </c>
      <c r="AJ2010" t="str">
        <f t="shared" si="1302"/>
        <v>Porcentaje II</v>
      </c>
      <c r="AK2010" t="str">
        <f t="shared" si="1303"/>
        <v>Foto</v>
      </c>
      <c r="AL2010" t="str">
        <f>"{\rtf1\ansi\ansicpg1252\deff0\deflang11274{\fonttbl{\f0\fnil\fcharset0 MS Sans Serif}} \viewkind4\uc1\pard\f0\fs16 JGO AROS SEMIHIDR. STD FIRE 1.4 8V 72.00MM  FAD PMA7615\par } "</f>
        <v xml:space="preserve">{\rtf1\ansi\ansicpg1252\deff0\deflang11274{\fonttbl{\f0\fnil\fcharset0 MS Sans Serif}} \viewkind4\uc1\pard\f0\fs16 JGO AROS SEMIHIDR. STD FIRE 1.4 8V 72.00MM  FAD PMA7615\par } </v>
      </c>
      <c r="AM2010" t="str">
        <f t="shared" si="1310"/>
        <v>-</v>
      </c>
    </row>
    <row r="2011" spans="1:39" x14ac:dyDescent="0.25">
      <c r="A2011" t="str">
        <f>"PMSH2537"</f>
        <v>PMSH2537</v>
      </c>
      <c r="B2011" t="str">
        <f>"JGO AROS SEMIHIDR. STD LOGAN 1,6 8V K7M 79.50MM FAD PMA7724"</f>
        <v>JGO AROS SEMIHIDR. STD LOGAN 1,6 8V K7M 79.50MM FAD PMA7724</v>
      </c>
      <c r="C2011" t="str">
        <f>"$ 39707,06"</f>
        <v>$ 39707,06</v>
      </c>
      <c r="D2011" t="str">
        <f>"$ 39707,06"</f>
        <v>$ 39707,06</v>
      </c>
      <c r="E2011" t="str">
        <f>"$ 39707,06"</f>
        <v>$ 39707,06</v>
      </c>
      <c r="F2011" t="str">
        <f>"$ 39707,06"</f>
        <v>$ 39707,06</v>
      </c>
      <c r="G2011" t="str">
        <f>"$ 39707,06"</f>
        <v>$ 39707,06</v>
      </c>
      <c r="H2011" t="str">
        <f t="shared" si="1286"/>
        <v>$ 0,00</v>
      </c>
      <c r="I2011" t="str">
        <f t="shared" si="1306"/>
        <v>JUEGO AROS SEMIHIDRAULICOS</v>
      </c>
      <c r="J2011" t="str">
        <f t="shared" si="1287"/>
        <v>1</v>
      </c>
      <c r="K2011" t="str">
        <f t="shared" si="1309"/>
        <v>0</v>
      </c>
      <c r="L2011" t="str">
        <f>"3,000"</f>
        <v>3,000</v>
      </c>
      <c r="M2011" t="str">
        <f t="shared" si="1288"/>
        <v xml:space="preserve"> </v>
      </c>
      <c r="N2011" t="str">
        <f t="shared" si="1282"/>
        <v>PROMETAL</v>
      </c>
      <c r="O2011" t="str">
        <f t="shared" si="1283"/>
        <v>AROS DE MOTOR</v>
      </c>
      <c r="P2011" t="str">
        <f t="shared" si="1307"/>
        <v>0</v>
      </c>
      <c r="Q2011" t="str">
        <f t="shared" si="1307"/>
        <v>0</v>
      </c>
      <c r="R2011" t="str">
        <f t="shared" si="1308"/>
        <v>0,00</v>
      </c>
      <c r="S2011" t="str">
        <f t="shared" si="1308"/>
        <v>0,00</v>
      </c>
      <c r="T2011" t="str">
        <f t="shared" si="1284"/>
        <v xml:space="preserve"> </v>
      </c>
      <c r="U2011" t="str">
        <f t="shared" si="1304"/>
        <v xml:space="preserve"> </v>
      </c>
      <c r="V2011" t="str">
        <f>"3,000"</f>
        <v>3,000</v>
      </c>
      <c r="W2011" t="str">
        <f t="shared" si="1289"/>
        <v>Lista 4</v>
      </c>
      <c r="X2011" t="str">
        <f t="shared" si="1290"/>
        <v>Lista 5</v>
      </c>
      <c r="Y2011" t="str">
        <f t="shared" si="1291"/>
        <v>Oferta Gral.</v>
      </c>
      <c r="Z2011" t="str">
        <f t="shared" si="1292"/>
        <v>Rubro</v>
      </c>
      <c r="AA2011" t="str">
        <f t="shared" si="1293"/>
        <v>Cantidad por Bulto</v>
      </c>
      <c r="AB2011" t="str">
        <f t="shared" si="1294"/>
        <v>INNER</v>
      </c>
      <c r="AC2011" t="str">
        <f t="shared" si="1295"/>
        <v>Stock en Bultos</v>
      </c>
      <c r="AD2011" t="str">
        <f t="shared" si="1296"/>
        <v>SubDepósito</v>
      </c>
      <c r="AE2011" t="str">
        <f t="shared" si="1297"/>
        <v>Marca</v>
      </c>
      <c r="AF2011" t="str">
        <f t="shared" si="1298"/>
        <v>Super Rubro</v>
      </c>
      <c r="AG2011" t="str">
        <f t="shared" si="1299"/>
        <v>ComercioExterior</v>
      </c>
      <c r="AH2011" t="str">
        <f t="shared" si="1300"/>
        <v>PrecioFOB</v>
      </c>
      <c r="AI2011" t="str">
        <f t="shared" si="1301"/>
        <v>Monto II</v>
      </c>
      <c r="AJ2011" t="str">
        <f t="shared" si="1302"/>
        <v>Porcentaje II</v>
      </c>
      <c r="AK2011" t="str">
        <f t="shared" si="1303"/>
        <v>Foto</v>
      </c>
      <c r="AL2011" t="str">
        <f>"{\rtf1\ansi\ansicpg1252\deff0\deflang11274{\fonttbl{\f0\fnil\fcharset0 MS Sans Serif}} \viewkind4\uc1\pard\f0\fs16 JGO AROS SEMIHIDR. STD LOGAN 1,6 8V K7M 79.50MM FAD PMA7724\par } "</f>
        <v xml:space="preserve">{\rtf1\ansi\ansicpg1252\deff0\deflang11274{\fonttbl{\f0\fnil\fcharset0 MS Sans Serif}} \viewkind4\uc1\pard\f0\fs16 JGO AROS SEMIHIDR. STD LOGAN 1,6 8V K7M 79.50MM FAD PMA7724\par } </v>
      </c>
      <c r="AM2011" t="str">
        <f t="shared" si="1310"/>
        <v>-</v>
      </c>
    </row>
    <row r="2012" spans="1:39" x14ac:dyDescent="0.25">
      <c r="A2012" t="str">
        <f>"PMSH2529"</f>
        <v>PMSH2529</v>
      </c>
      <c r="B2012" t="str">
        <f>"JGO AROS SEMIHIDR. STD MASTER 2.5 G9U 89.00MM"</f>
        <v>JGO AROS SEMIHIDR. STD MASTER 2.5 G9U 89.00MM</v>
      </c>
      <c r="C2012" t="str">
        <f>"$ 112387,54"</f>
        <v>$ 112387,54</v>
      </c>
      <c r="D2012" t="str">
        <f>"$ 112387,54"</f>
        <v>$ 112387,54</v>
      </c>
      <c r="E2012" t="str">
        <f>"$ 112387,54"</f>
        <v>$ 112387,54</v>
      </c>
      <c r="F2012" t="str">
        <f>"$ 112387,54"</f>
        <v>$ 112387,54</v>
      </c>
      <c r="G2012" t="str">
        <f>"$ 112387,54"</f>
        <v>$ 112387,54</v>
      </c>
      <c r="H2012" t="str">
        <f t="shared" si="1286"/>
        <v>$ 0,00</v>
      </c>
      <c r="I2012" t="str">
        <f t="shared" si="1306"/>
        <v>JUEGO AROS SEMIHIDRAULICOS</v>
      </c>
      <c r="J2012" t="str">
        <f t="shared" si="1287"/>
        <v>1</v>
      </c>
      <c r="K2012" t="str">
        <f t="shared" si="1309"/>
        <v>0</v>
      </c>
      <c r="L2012" t="str">
        <f>"2,000"</f>
        <v>2,000</v>
      </c>
      <c r="M2012" t="str">
        <f t="shared" si="1288"/>
        <v xml:space="preserve"> </v>
      </c>
      <c r="N2012" t="str">
        <f t="shared" si="1282"/>
        <v>PROMETAL</v>
      </c>
      <c r="O2012" t="str">
        <f t="shared" si="1283"/>
        <v>AROS DE MOTOR</v>
      </c>
      <c r="P2012" t="str">
        <f t="shared" si="1307"/>
        <v>0</v>
      </c>
      <c r="Q2012" t="str">
        <f t="shared" si="1307"/>
        <v>0</v>
      </c>
      <c r="R2012" t="str">
        <f t="shared" si="1308"/>
        <v>0,00</v>
      </c>
      <c r="S2012" t="str">
        <f t="shared" si="1308"/>
        <v>0,00</v>
      </c>
      <c r="T2012" t="str">
        <f t="shared" si="1284"/>
        <v xml:space="preserve"> </v>
      </c>
      <c r="U2012" t="str">
        <f t="shared" si="1304"/>
        <v xml:space="preserve"> </v>
      </c>
      <c r="V2012" t="str">
        <f>"2,000"</f>
        <v>2,000</v>
      </c>
      <c r="W2012" t="str">
        <f t="shared" si="1289"/>
        <v>Lista 4</v>
      </c>
      <c r="X2012" t="str">
        <f t="shared" si="1290"/>
        <v>Lista 5</v>
      </c>
      <c r="Y2012" t="str">
        <f t="shared" si="1291"/>
        <v>Oferta Gral.</v>
      </c>
      <c r="Z2012" t="str">
        <f t="shared" si="1292"/>
        <v>Rubro</v>
      </c>
      <c r="AA2012" t="str">
        <f t="shared" si="1293"/>
        <v>Cantidad por Bulto</v>
      </c>
      <c r="AB2012" t="str">
        <f t="shared" si="1294"/>
        <v>INNER</v>
      </c>
      <c r="AC2012" t="str">
        <f t="shared" si="1295"/>
        <v>Stock en Bultos</v>
      </c>
      <c r="AD2012" t="str">
        <f t="shared" si="1296"/>
        <v>SubDepósito</v>
      </c>
      <c r="AE2012" t="str">
        <f t="shared" si="1297"/>
        <v>Marca</v>
      </c>
      <c r="AF2012" t="str">
        <f t="shared" si="1298"/>
        <v>Super Rubro</v>
      </c>
      <c r="AG2012" t="str">
        <f t="shared" si="1299"/>
        <v>ComercioExterior</v>
      </c>
      <c r="AH2012" t="str">
        <f t="shared" si="1300"/>
        <v>PrecioFOB</v>
      </c>
      <c r="AI2012" t="str">
        <f t="shared" si="1301"/>
        <v>Monto II</v>
      </c>
      <c r="AJ2012" t="str">
        <f t="shared" si="1302"/>
        <v>Porcentaje II</v>
      </c>
      <c r="AK2012" t="str">
        <f t="shared" si="1303"/>
        <v>Foto</v>
      </c>
      <c r="AL2012" t="str">
        <f>"{\rtf1\ansi\ansicpg1252\deff0\deflang11274{\fonttbl{\f0\fnil\fcharset0 MS Sans Serif}} \viewkind4\uc1\pard\f0\fs16 JGO AROS SEMIHIDR. STD MASTER 2.5 G9U 89.00MM\par } "</f>
        <v xml:space="preserve">{\rtf1\ansi\ansicpg1252\deff0\deflang11274{\fonttbl{\f0\fnil\fcharset0 MS Sans Serif}} \viewkind4\uc1\pard\f0\fs16 JGO AROS SEMIHIDR. STD MASTER 2.5 G9U 89.00MM\par } </v>
      </c>
      <c r="AM2012" t="str">
        <f t="shared" si="1310"/>
        <v>-</v>
      </c>
    </row>
    <row r="2013" spans="1:39" x14ac:dyDescent="0.25">
      <c r="A2013" t="str">
        <f>"PMSH2519"</f>
        <v>PMSH2519</v>
      </c>
      <c r="B2013" t="str">
        <f>"JGO AROS SEMIHIDR. STD MEGANE K4M 79.50MM   FAD PMA7723"</f>
        <v>JGO AROS SEMIHIDR. STD MEGANE K4M 79.50MM   FAD PMA7723</v>
      </c>
      <c r="C2013" t="str">
        <f>"$ 39707,06"</f>
        <v>$ 39707,06</v>
      </c>
      <c r="D2013" t="str">
        <f>"$ 39707,06"</f>
        <v>$ 39707,06</v>
      </c>
      <c r="E2013" t="str">
        <f>"$ 39707,06"</f>
        <v>$ 39707,06</v>
      </c>
      <c r="F2013" t="str">
        <f>"$ 39707,06"</f>
        <v>$ 39707,06</v>
      </c>
      <c r="G2013" t="str">
        <f>"$ 39707,06"</f>
        <v>$ 39707,06</v>
      </c>
      <c r="H2013" t="str">
        <f t="shared" si="1286"/>
        <v>$ 0,00</v>
      </c>
      <c r="I2013" t="str">
        <f t="shared" si="1306"/>
        <v>JUEGO AROS SEMIHIDRAULICOS</v>
      </c>
      <c r="J2013" t="str">
        <f t="shared" si="1287"/>
        <v>1</v>
      </c>
      <c r="K2013" t="str">
        <f t="shared" si="1309"/>
        <v>0</v>
      </c>
      <c r="L2013" t="str">
        <f>"3,000"</f>
        <v>3,000</v>
      </c>
      <c r="M2013" t="str">
        <f t="shared" si="1288"/>
        <v xml:space="preserve"> </v>
      </c>
      <c r="N2013" t="str">
        <f t="shared" si="1282"/>
        <v>PROMETAL</v>
      </c>
      <c r="O2013" t="str">
        <f t="shared" si="1283"/>
        <v>AROS DE MOTOR</v>
      </c>
      <c r="P2013" t="str">
        <f t="shared" si="1307"/>
        <v>0</v>
      </c>
      <c r="Q2013" t="str">
        <f t="shared" si="1307"/>
        <v>0</v>
      </c>
      <c r="R2013" t="str">
        <f t="shared" si="1308"/>
        <v>0,00</v>
      </c>
      <c r="S2013" t="str">
        <f t="shared" si="1308"/>
        <v>0,00</v>
      </c>
      <c r="T2013" t="str">
        <f t="shared" si="1284"/>
        <v xml:space="preserve"> </v>
      </c>
      <c r="U2013" t="str">
        <f t="shared" si="1304"/>
        <v xml:space="preserve"> </v>
      </c>
      <c r="V2013" t="str">
        <f>"3,000"</f>
        <v>3,000</v>
      </c>
      <c r="W2013" t="str">
        <f t="shared" si="1289"/>
        <v>Lista 4</v>
      </c>
      <c r="X2013" t="str">
        <f t="shared" si="1290"/>
        <v>Lista 5</v>
      </c>
      <c r="Y2013" t="str">
        <f t="shared" si="1291"/>
        <v>Oferta Gral.</v>
      </c>
      <c r="Z2013" t="str">
        <f t="shared" si="1292"/>
        <v>Rubro</v>
      </c>
      <c r="AA2013" t="str">
        <f t="shared" si="1293"/>
        <v>Cantidad por Bulto</v>
      </c>
      <c r="AB2013" t="str">
        <f t="shared" si="1294"/>
        <v>INNER</v>
      </c>
      <c r="AC2013" t="str">
        <f t="shared" si="1295"/>
        <v>Stock en Bultos</v>
      </c>
      <c r="AD2013" t="str">
        <f t="shared" si="1296"/>
        <v>SubDepósito</v>
      </c>
      <c r="AE2013" t="str">
        <f t="shared" si="1297"/>
        <v>Marca</v>
      </c>
      <c r="AF2013" t="str">
        <f t="shared" si="1298"/>
        <v>Super Rubro</v>
      </c>
      <c r="AG2013" t="str">
        <f t="shared" si="1299"/>
        <v>ComercioExterior</v>
      </c>
      <c r="AH2013" t="str">
        <f t="shared" si="1300"/>
        <v>PrecioFOB</v>
      </c>
      <c r="AI2013" t="str">
        <f t="shared" si="1301"/>
        <v>Monto II</v>
      </c>
      <c r="AJ2013" t="str">
        <f t="shared" si="1302"/>
        <v>Porcentaje II</v>
      </c>
      <c r="AK2013" t="str">
        <f t="shared" si="1303"/>
        <v>Foto</v>
      </c>
      <c r="AL2013" t="str">
        <f>"{\rtf1\ansi\ansicpg1252\deff0\deflang11274{\fonttbl{\f0\fnil\fcharset0 MS Sans Serif}} \viewkind4\uc1\pard\f0\fs16 JGO AROS SEMIHIDR. STD MEGANE K4M 79.50MM   FAD PMA7723\par } "</f>
        <v xml:space="preserve">{\rtf1\ansi\ansicpg1252\deff0\deflang11274{\fonttbl{\f0\fnil\fcharset0 MS Sans Serif}} \viewkind4\uc1\pard\f0\fs16 JGO AROS SEMIHIDR. STD MEGANE K4M 79.50MM   FAD PMA7723\par } </v>
      </c>
      <c r="AM2013" t="str">
        <f t="shared" si="1310"/>
        <v>-</v>
      </c>
    </row>
    <row r="2014" spans="1:39" x14ac:dyDescent="0.25">
      <c r="A2014" t="str">
        <f>"PMSH1625"</f>
        <v>PMSH1625</v>
      </c>
      <c r="B2014" t="str">
        <f>"JGO AROS SEMIHIDR. STD P206/ 1.4 TU3JP 75.00MM FAD PMA8724"</f>
        <v>JGO AROS SEMIHIDR. STD P206/ 1.4 TU3JP 75.00MM FAD PMA8724</v>
      </c>
      <c r="C2014" t="str">
        <f>"$ 44089,26"</f>
        <v>$ 44089,26</v>
      </c>
      <c r="D2014" t="str">
        <f>"$ 44089,26"</f>
        <v>$ 44089,26</v>
      </c>
      <c r="E2014" t="str">
        <f>"$ 44089,26"</f>
        <v>$ 44089,26</v>
      </c>
      <c r="F2014" t="str">
        <f>"$ 44089,26"</f>
        <v>$ 44089,26</v>
      </c>
      <c r="G2014" t="str">
        <f>"$ 44089,26"</f>
        <v>$ 44089,26</v>
      </c>
      <c r="H2014" t="str">
        <f t="shared" si="1286"/>
        <v>$ 0,00</v>
      </c>
      <c r="I2014" t="str">
        <f t="shared" si="1306"/>
        <v>JUEGO AROS SEMIHIDRAULICOS</v>
      </c>
      <c r="J2014" t="str">
        <f t="shared" si="1287"/>
        <v>1</v>
      </c>
      <c r="K2014" t="str">
        <f t="shared" si="1309"/>
        <v>0</v>
      </c>
      <c r="L2014" t="str">
        <f>"5,000"</f>
        <v>5,000</v>
      </c>
      <c r="M2014" t="str">
        <f t="shared" si="1288"/>
        <v xml:space="preserve"> </v>
      </c>
      <c r="N2014" t="str">
        <f t="shared" si="1282"/>
        <v>PROMETAL</v>
      </c>
      <c r="O2014" t="str">
        <f t="shared" si="1283"/>
        <v>AROS DE MOTOR</v>
      </c>
      <c r="P2014" t="str">
        <f t="shared" si="1307"/>
        <v>0</v>
      </c>
      <c r="Q2014" t="str">
        <f t="shared" si="1307"/>
        <v>0</v>
      </c>
      <c r="R2014" t="str">
        <f t="shared" si="1308"/>
        <v>0,00</v>
      </c>
      <c r="S2014" t="str">
        <f t="shared" si="1308"/>
        <v>0,00</v>
      </c>
      <c r="T2014" t="str">
        <f t="shared" si="1284"/>
        <v xml:space="preserve"> </v>
      </c>
      <c r="U2014" t="str">
        <f t="shared" si="1304"/>
        <v xml:space="preserve"> </v>
      </c>
      <c r="V2014" t="str">
        <f>"5,000"</f>
        <v>5,000</v>
      </c>
      <c r="W2014" t="str">
        <f t="shared" si="1289"/>
        <v>Lista 4</v>
      </c>
      <c r="X2014" t="str">
        <f t="shared" si="1290"/>
        <v>Lista 5</v>
      </c>
      <c r="Y2014" t="str">
        <f t="shared" si="1291"/>
        <v>Oferta Gral.</v>
      </c>
      <c r="Z2014" t="str">
        <f t="shared" si="1292"/>
        <v>Rubro</v>
      </c>
      <c r="AA2014" t="str">
        <f t="shared" si="1293"/>
        <v>Cantidad por Bulto</v>
      </c>
      <c r="AB2014" t="str">
        <f t="shared" si="1294"/>
        <v>INNER</v>
      </c>
      <c r="AC2014" t="str">
        <f t="shared" si="1295"/>
        <v>Stock en Bultos</v>
      </c>
      <c r="AD2014" t="str">
        <f t="shared" si="1296"/>
        <v>SubDepósito</v>
      </c>
      <c r="AE2014" t="str">
        <f t="shared" si="1297"/>
        <v>Marca</v>
      </c>
      <c r="AF2014" t="str">
        <f t="shared" si="1298"/>
        <v>Super Rubro</v>
      </c>
      <c r="AG2014" t="str">
        <f t="shared" si="1299"/>
        <v>ComercioExterior</v>
      </c>
      <c r="AH2014" t="str">
        <f t="shared" si="1300"/>
        <v>PrecioFOB</v>
      </c>
      <c r="AI2014" t="str">
        <f t="shared" si="1301"/>
        <v>Monto II</v>
      </c>
      <c r="AJ2014" t="str">
        <f t="shared" si="1302"/>
        <v>Porcentaje II</v>
      </c>
      <c r="AK2014" t="str">
        <f t="shared" si="1303"/>
        <v>Foto</v>
      </c>
      <c r="AL2014" t="str">
        <f>"{\rtf1\ansi\ansicpg1252\deff0\deflang11274{\fonttbl{\f0\fnil\fcharset0 MS Sans Serif}} \viewkind4\uc1\pard\f0\fs16 JGO AROS SEMIHIDR. STD P206/ 1.4 TU3JP 75.00MM FAD PMA8724\par } "</f>
        <v xml:space="preserve">{\rtf1\ansi\ansicpg1252\deff0\deflang11274{\fonttbl{\f0\fnil\fcharset0 MS Sans Serif}} \viewkind4\uc1\pard\f0\fs16 JGO AROS SEMIHIDR. STD P206/ 1.4 TU3JP 75.00MM FAD PMA8724\par } </v>
      </c>
      <c r="AM2014" t="str">
        <f t="shared" si="1310"/>
        <v>-</v>
      </c>
    </row>
    <row r="2015" spans="1:39" x14ac:dyDescent="0.25">
      <c r="A2015" t="str">
        <f>"PMSH1620"</f>
        <v>PMSH1620</v>
      </c>
      <c r="B2015" t="str">
        <f>"JGO AROS SEMIHIDR. STD P206/307 1.6 TU5JP4 78.50MM FAD PMA8601"</f>
        <v>JGO AROS SEMIHIDR. STD P206/307 1.6 TU5JP4 78.50MM FAD PMA8601</v>
      </c>
      <c r="C2015" t="str">
        <f>"$ 46333,81"</f>
        <v>$ 46333,81</v>
      </c>
      <c r="D2015" t="str">
        <f>"$ 46333,81"</f>
        <v>$ 46333,81</v>
      </c>
      <c r="E2015" t="str">
        <f>"$ 46333,81"</f>
        <v>$ 46333,81</v>
      </c>
      <c r="F2015" t="str">
        <f>"$ 46333,81"</f>
        <v>$ 46333,81</v>
      </c>
      <c r="G2015" t="str">
        <f>"$ 46333,81"</f>
        <v>$ 46333,81</v>
      </c>
      <c r="H2015" t="str">
        <f t="shared" si="1286"/>
        <v>$ 0,00</v>
      </c>
      <c r="I2015" t="str">
        <f t="shared" si="1306"/>
        <v>JUEGO AROS SEMIHIDRAULICOS</v>
      </c>
      <c r="J2015" t="str">
        <f t="shared" si="1287"/>
        <v>1</v>
      </c>
      <c r="K2015" t="str">
        <f t="shared" si="1309"/>
        <v>0</v>
      </c>
      <c r="L2015" t="str">
        <f>"5,000"</f>
        <v>5,000</v>
      </c>
      <c r="M2015" t="str">
        <f t="shared" si="1288"/>
        <v xml:space="preserve"> </v>
      </c>
      <c r="N2015" t="str">
        <f t="shared" si="1282"/>
        <v>PROMETAL</v>
      </c>
      <c r="O2015" t="str">
        <f t="shared" si="1283"/>
        <v>AROS DE MOTOR</v>
      </c>
      <c r="P2015" t="str">
        <f t="shared" si="1307"/>
        <v>0</v>
      </c>
      <c r="Q2015" t="str">
        <f t="shared" si="1307"/>
        <v>0</v>
      </c>
      <c r="R2015" t="str">
        <f t="shared" si="1308"/>
        <v>0,00</v>
      </c>
      <c r="S2015" t="str">
        <f t="shared" si="1308"/>
        <v>0,00</v>
      </c>
      <c r="T2015" t="str">
        <f t="shared" si="1284"/>
        <v xml:space="preserve"> </v>
      </c>
      <c r="U2015" t="str">
        <f t="shared" si="1304"/>
        <v xml:space="preserve"> </v>
      </c>
      <c r="V2015" t="str">
        <f>"5,000"</f>
        <v>5,000</v>
      </c>
      <c r="W2015" t="str">
        <f t="shared" si="1289"/>
        <v>Lista 4</v>
      </c>
      <c r="X2015" t="str">
        <f t="shared" si="1290"/>
        <v>Lista 5</v>
      </c>
      <c r="Y2015" t="str">
        <f t="shared" si="1291"/>
        <v>Oferta Gral.</v>
      </c>
      <c r="Z2015" t="str">
        <f t="shared" si="1292"/>
        <v>Rubro</v>
      </c>
      <c r="AA2015" t="str">
        <f t="shared" si="1293"/>
        <v>Cantidad por Bulto</v>
      </c>
      <c r="AB2015" t="str">
        <f t="shared" si="1294"/>
        <v>INNER</v>
      </c>
      <c r="AC2015" t="str">
        <f t="shared" si="1295"/>
        <v>Stock en Bultos</v>
      </c>
      <c r="AD2015" t="str">
        <f t="shared" si="1296"/>
        <v>SubDepósito</v>
      </c>
      <c r="AE2015" t="str">
        <f t="shared" si="1297"/>
        <v>Marca</v>
      </c>
      <c r="AF2015" t="str">
        <f t="shared" si="1298"/>
        <v>Super Rubro</v>
      </c>
      <c r="AG2015" t="str">
        <f t="shared" si="1299"/>
        <v>ComercioExterior</v>
      </c>
      <c r="AH2015" t="str">
        <f t="shared" si="1300"/>
        <v>PrecioFOB</v>
      </c>
      <c r="AI2015" t="str">
        <f t="shared" si="1301"/>
        <v>Monto II</v>
      </c>
      <c r="AJ2015" t="str">
        <f t="shared" si="1302"/>
        <v>Porcentaje II</v>
      </c>
      <c r="AK2015" t="str">
        <f t="shared" si="1303"/>
        <v>Foto</v>
      </c>
      <c r="AL2015" t="str">
        <f>"{\rtf1\ansi\ansicpg1252\deff0\deflang11274{\fonttbl{\f0\fnil\fcharset0 MS Sans Serif}} \viewkind4\uc1\pard\f0\fs16 JGO AROS SEMIHIDR. STD P206/307 1.6 TU5JP4 78.50MM FAD PMA8601\par } "</f>
        <v xml:space="preserve">{\rtf1\ansi\ansicpg1252\deff0\deflang11274{\fonttbl{\f0\fnil\fcharset0 MS Sans Serif}} \viewkind4\uc1\pard\f0\fs16 JGO AROS SEMIHIDR. STD P206/307 1.6 TU5JP4 78.50MM FAD PMA8601\par } </v>
      </c>
      <c r="AM2015" t="str">
        <f t="shared" si="1310"/>
        <v>-</v>
      </c>
    </row>
    <row r="2016" spans="1:39" x14ac:dyDescent="0.25">
      <c r="A2016" t="str">
        <f>"PMSH1612"</f>
        <v>PMSH1612</v>
      </c>
      <c r="B2016" t="str">
        <f>"JGO AROS SEMIHIDR. STD P504/505 2000 88.00MM  FAD PMA8614"</f>
        <v>JGO AROS SEMIHIDR. STD P504/505 2000 88.00MM  FAD PMA8614</v>
      </c>
      <c r="C2016" t="str">
        <f>"$ 52907,12"</f>
        <v>$ 52907,12</v>
      </c>
      <c r="D2016" t="str">
        <f>"$ 52907,12"</f>
        <v>$ 52907,12</v>
      </c>
      <c r="E2016" t="str">
        <f>"$ 52907,12"</f>
        <v>$ 52907,12</v>
      </c>
      <c r="F2016" t="str">
        <f>"$ 52907,12"</f>
        <v>$ 52907,12</v>
      </c>
      <c r="G2016" t="str">
        <f>"$ 52907,12"</f>
        <v>$ 52907,12</v>
      </c>
      <c r="H2016" t="str">
        <f t="shared" si="1286"/>
        <v>$ 0,00</v>
      </c>
      <c r="I2016" t="str">
        <f t="shared" si="1306"/>
        <v>JUEGO AROS SEMIHIDRAULICOS</v>
      </c>
      <c r="J2016" t="str">
        <f t="shared" si="1287"/>
        <v>1</v>
      </c>
      <c r="K2016" t="str">
        <f t="shared" si="1309"/>
        <v>0</v>
      </c>
      <c r="L2016" t="str">
        <f>"0,000"</f>
        <v>0,000</v>
      </c>
      <c r="M2016" t="str">
        <f t="shared" si="1288"/>
        <v xml:space="preserve"> </v>
      </c>
      <c r="N2016" t="str">
        <f t="shared" si="1282"/>
        <v>PROMETAL</v>
      </c>
      <c r="O2016" t="str">
        <f t="shared" si="1283"/>
        <v>AROS DE MOTOR</v>
      </c>
      <c r="P2016" t="str">
        <f t="shared" si="1307"/>
        <v>0</v>
      </c>
      <c r="Q2016" t="str">
        <f t="shared" si="1307"/>
        <v>0</v>
      </c>
      <c r="R2016" t="str">
        <f t="shared" si="1308"/>
        <v>0,00</v>
      </c>
      <c r="S2016" t="str">
        <f t="shared" si="1308"/>
        <v>0,00</v>
      </c>
      <c r="T2016" t="str">
        <f t="shared" si="1284"/>
        <v xml:space="preserve"> </v>
      </c>
      <c r="U2016" t="str">
        <f t="shared" si="1304"/>
        <v xml:space="preserve"> </v>
      </c>
      <c r="V2016" t="str">
        <f>"0,000"</f>
        <v>0,000</v>
      </c>
      <c r="W2016" t="str">
        <f t="shared" si="1289"/>
        <v>Lista 4</v>
      </c>
      <c r="X2016" t="str">
        <f t="shared" si="1290"/>
        <v>Lista 5</v>
      </c>
      <c r="Y2016" t="str">
        <f t="shared" si="1291"/>
        <v>Oferta Gral.</v>
      </c>
      <c r="Z2016" t="str">
        <f t="shared" si="1292"/>
        <v>Rubro</v>
      </c>
      <c r="AA2016" t="str">
        <f t="shared" si="1293"/>
        <v>Cantidad por Bulto</v>
      </c>
      <c r="AB2016" t="str">
        <f t="shared" si="1294"/>
        <v>INNER</v>
      </c>
      <c r="AC2016" t="str">
        <f t="shared" si="1295"/>
        <v>Stock en Bultos</v>
      </c>
      <c r="AD2016" t="str">
        <f t="shared" si="1296"/>
        <v>SubDepósito</v>
      </c>
      <c r="AE2016" t="str">
        <f t="shared" si="1297"/>
        <v>Marca</v>
      </c>
      <c r="AF2016" t="str">
        <f t="shared" si="1298"/>
        <v>Super Rubro</v>
      </c>
      <c r="AG2016" t="str">
        <f t="shared" si="1299"/>
        <v>ComercioExterior</v>
      </c>
      <c r="AH2016" t="str">
        <f t="shared" si="1300"/>
        <v>PrecioFOB</v>
      </c>
      <c r="AI2016" t="str">
        <f t="shared" si="1301"/>
        <v>Monto II</v>
      </c>
      <c r="AJ2016" t="str">
        <f t="shared" si="1302"/>
        <v>Porcentaje II</v>
      </c>
      <c r="AK2016" t="str">
        <f t="shared" si="1303"/>
        <v>Foto</v>
      </c>
      <c r="AL2016" t="str">
        <f>"{\rtf1\ansi\ansicpg1252\deff0\deflang11274{\fonttbl{\f0\fnil\fcharset0 MS Sans Serif}} \viewkind4\uc1\pard\f0\fs16 JGO AROS SEMIHIDR. STD P504/505 2000 88.00MM  FAD PMA8614\par } "</f>
        <v xml:space="preserve">{\rtf1\ansi\ansicpg1252\deff0\deflang11274{\fonttbl{\f0\fnil\fcharset0 MS Sans Serif}} \viewkind4\uc1\pard\f0\fs16 JGO AROS SEMIHIDR. STD P504/505 2000 88.00MM  FAD PMA8614\par } </v>
      </c>
      <c r="AM2016" t="str">
        <f t="shared" si="1310"/>
        <v>-</v>
      </c>
    </row>
    <row r="2017" spans="1:39" x14ac:dyDescent="0.25">
      <c r="A2017" t="str">
        <f>"PMSH1915-1"</f>
        <v>PMSH1915-1</v>
      </c>
      <c r="B2017" t="str">
        <f>"JGO AROS SEMIHIDR.0,5 FOX SURAN 1,6 76.50MM   FAD PMA7820"</f>
        <v>JGO AROS SEMIHIDR.0,5 FOX SURAN 1,6 76.50MM   FAD PMA7820</v>
      </c>
      <c r="C2017" t="str">
        <f>"$ 44089,26"</f>
        <v>$ 44089,26</v>
      </c>
      <c r="D2017" t="str">
        <f>"$ 44089,26"</f>
        <v>$ 44089,26</v>
      </c>
      <c r="E2017" t="str">
        <f>"$ 44089,26"</f>
        <v>$ 44089,26</v>
      </c>
      <c r="F2017" t="str">
        <f>"$ 44089,26"</f>
        <v>$ 44089,26</v>
      </c>
      <c r="G2017" t="str">
        <f>"$ 44089,26"</f>
        <v>$ 44089,26</v>
      </c>
      <c r="H2017" t="str">
        <f t="shared" si="1286"/>
        <v>$ 0,00</v>
      </c>
      <c r="I2017" t="str">
        <f t="shared" si="1306"/>
        <v>JUEGO AROS SEMIHIDRAULICOS</v>
      </c>
      <c r="J2017" t="str">
        <f t="shared" si="1287"/>
        <v>1</v>
      </c>
      <c r="K2017" t="str">
        <f t="shared" si="1309"/>
        <v>0</v>
      </c>
      <c r="L2017" t="str">
        <f>"7,000"</f>
        <v>7,000</v>
      </c>
      <c r="M2017" t="str">
        <f t="shared" si="1288"/>
        <v xml:space="preserve"> </v>
      </c>
      <c r="N2017" t="str">
        <f t="shared" si="1282"/>
        <v>PROMETAL</v>
      </c>
      <c r="O2017" t="str">
        <f t="shared" si="1283"/>
        <v>AROS DE MOTOR</v>
      </c>
      <c r="P2017" t="str">
        <f t="shared" si="1307"/>
        <v>0</v>
      </c>
      <c r="Q2017" t="str">
        <f t="shared" si="1307"/>
        <v>0</v>
      </c>
      <c r="R2017" t="str">
        <f t="shared" si="1308"/>
        <v>0,00</v>
      </c>
      <c r="S2017" t="str">
        <f t="shared" si="1308"/>
        <v>0,00</v>
      </c>
      <c r="T2017" t="str">
        <f t="shared" si="1284"/>
        <v xml:space="preserve"> </v>
      </c>
      <c r="U2017" t="str">
        <f t="shared" si="1304"/>
        <v xml:space="preserve"> </v>
      </c>
      <c r="V2017" t="str">
        <f>"7,000"</f>
        <v>7,000</v>
      </c>
      <c r="W2017" t="str">
        <f t="shared" si="1289"/>
        <v>Lista 4</v>
      </c>
      <c r="X2017" t="str">
        <f t="shared" si="1290"/>
        <v>Lista 5</v>
      </c>
      <c r="Y2017" t="str">
        <f t="shared" si="1291"/>
        <v>Oferta Gral.</v>
      </c>
      <c r="Z2017" t="str">
        <f t="shared" si="1292"/>
        <v>Rubro</v>
      </c>
      <c r="AA2017" t="str">
        <f t="shared" si="1293"/>
        <v>Cantidad por Bulto</v>
      </c>
      <c r="AB2017" t="str">
        <f t="shared" si="1294"/>
        <v>INNER</v>
      </c>
      <c r="AC2017" t="str">
        <f t="shared" si="1295"/>
        <v>Stock en Bultos</v>
      </c>
      <c r="AD2017" t="str">
        <f t="shared" si="1296"/>
        <v>SubDepósito</v>
      </c>
      <c r="AE2017" t="str">
        <f t="shared" si="1297"/>
        <v>Marca</v>
      </c>
      <c r="AF2017" t="str">
        <f t="shared" si="1298"/>
        <v>Super Rubro</v>
      </c>
      <c r="AG2017" t="str">
        <f t="shared" si="1299"/>
        <v>ComercioExterior</v>
      </c>
      <c r="AH2017" t="str">
        <f t="shared" si="1300"/>
        <v>PrecioFOB</v>
      </c>
      <c r="AI2017" t="str">
        <f t="shared" si="1301"/>
        <v>Monto II</v>
      </c>
      <c r="AJ2017" t="str">
        <f t="shared" si="1302"/>
        <v>Porcentaje II</v>
      </c>
      <c r="AK2017" t="str">
        <f t="shared" si="1303"/>
        <v>Foto</v>
      </c>
      <c r="AL2017" t="str">
        <f>"{\rtf1\ansi\ansicpg1252\deff0\deflang11274{\fonttbl{\f0\fnil\fcharset0 MS Sans Serif}} \viewkind4\uc1\pard\f0\fs16 JGO AROS SEMIHIDR.0,5 FOX SURAN 1,6 76.50MM   FAD PMA7820\par } "</f>
        <v xml:space="preserve">{\rtf1\ansi\ansicpg1252\deff0\deflang11274{\fonttbl{\f0\fnil\fcharset0 MS Sans Serif}} \viewkind4\uc1\pard\f0\fs16 JGO AROS SEMIHIDR.0,5 FOX SURAN 1,6 76.50MM   FAD PMA7820\par } </v>
      </c>
      <c r="AM2017" t="str">
        <f t="shared" si="1310"/>
        <v>-</v>
      </c>
    </row>
    <row r="2018" spans="1:39" x14ac:dyDescent="0.25">
      <c r="A2018" t="str">
        <f>"BOC20244"</f>
        <v>BOC20244</v>
      </c>
      <c r="B2018" t="str">
        <f>"JGO BOCINAS CARACOL DIVAIO 12V 2T DIAM 90MM"</f>
        <v>JGO BOCINAS CARACOL DIVAIO 12V 2T DIAM 90MM</v>
      </c>
      <c r="C2018" t="str">
        <f>"$ 15214,01"</f>
        <v>$ 15214,01</v>
      </c>
      <c r="D2018" t="str">
        <f>"$ 15214,01"</f>
        <v>$ 15214,01</v>
      </c>
      <c r="E2018" t="str">
        <f>"$ 15214,01"</f>
        <v>$ 15214,01</v>
      </c>
      <c r="F2018" t="str">
        <f>"$ 15214,01"</f>
        <v>$ 15214,01</v>
      </c>
      <c r="G2018" t="str">
        <f>"$ 15214,01"</f>
        <v>$ 15214,01</v>
      </c>
      <c r="H2018" t="str">
        <f t="shared" si="1286"/>
        <v>$ 0,00</v>
      </c>
      <c r="I2018" t="str">
        <f>"BOCINAS "</f>
        <v xml:space="preserve">BOCINAS </v>
      </c>
      <c r="J2018" t="str">
        <f t="shared" si="1287"/>
        <v>1</v>
      </c>
      <c r="K2018" t="str">
        <f t="shared" si="1309"/>
        <v>0</v>
      </c>
      <c r="L2018" t="str">
        <f>"17,000"</f>
        <v>17,000</v>
      </c>
      <c r="M2018" t="str">
        <f t="shared" si="1288"/>
        <v xml:space="preserve"> </v>
      </c>
      <c r="N2018" t="str">
        <f>"DIVAIO"</f>
        <v>DIVAIO</v>
      </c>
      <c r="O2018" t="str">
        <f>"BOCINAS"</f>
        <v>BOCINAS</v>
      </c>
      <c r="P2018" t="str">
        <f t="shared" si="1307"/>
        <v>0</v>
      </c>
      <c r="Q2018" t="str">
        <f t="shared" si="1307"/>
        <v>0</v>
      </c>
      <c r="R2018" t="str">
        <f t="shared" si="1308"/>
        <v>0,00</v>
      </c>
      <c r="S2018" t="str">
        <f t="shared" si="1308"/>
        <v>0,00</v>
      </c>
      <c r="T2018" t="str">
        <f t="shared" si="1284"/>
        <v xml:space="preserve"> </v>
      </c>
      <c r="U2018" t="str">
        <f t="shared" si="1304"/>
        <v xml:space="preserve"> </v>
      </c>
      <c r="V2018" t="str">
        <f>"17,000"</f>
        <v>17,000</v>
      </c>
      <c r="W2018" t="str">
        <f t="shared" si="1289"/>
        <v>Lista 4</v>
      </c>
      <c r="X2018" t="str">
        <f t="shared" si="1290"/>
        <v>Lista 5</v>
      </c>
      <c r="Y2018" t="str">
        <f t="shared" si="1291"/>
        <v>Oferta Gral.</v>
      </c>
      <c r="Z2018" t="str">
        <f t="shared" si="1292"/>
        <v>Rubro</v>
      </c>
      <c r="AA2018" t="str">
        <f t="shared" si="1293"/>
        <v>Cantidad por Bulto</v>
      </c>
      <c r="AB2018" t="str">
        <f t="shared" si="1294"/>
        <v>INNER</v>
      </c>
      <c r="AC2018" t="str">
        <f t="shared" si="1295"/>
        <v>Stock en Bultos</v>
      </c>
      <c r="AD2018" t="str">
        <f t="shared" si="1296"/>
        <v>SubDepósito</v>
      </c>
      <c r="AE2018" t="str">
        <f t="shared" si="1297"/>
        <v>Marca</v>
      </c>
      <c r="AF2018" t="str">
        <f t="shared" si="1298"/>
        <v>Super Rubro</v>
      </c>
      <c r="AG2018" t="str">
        <f t="shared" si="1299"/>
        <v>ComercioExterior</v>
      </c>
      <c r="AH2018" t="str">
        <f t="shared" si="1300"/>
        <v>PrecioFOB</v>
      </c>
      <c r="AI2018" t="str">
        <f t="shared" si="1301"/>
        <v>Monto II</v>
      </c>
      <c r="AJ2018" t="str">
        <f t="shared" si="1302"/>
        <v>Porcentaje II</v>
      </c>
      <c r="AK2018" t="str">
        <f t="shared" si="1303"/>
        <v>Foto</v>
      </c>
      <c r="AL2018" t="str">
        <f>"{\rtf1\ansi\ansicpg1252\deff0\deflang11274{\fonttbl{\f0\fnil\fcharset0 MS Sans Serif}} \viewkind4\uc1\pard\f0\fs16 JGO BOCINAS CARACOL DIVAIO 12V 2T DIAM 90MM\par } "</f>
        <v xml:space="preserve">{\rtf1\ansi\ansicpg1252\deff0\deflang11274{\fonttbl{\f0\fnil\fcharset0 MS Sans Serif}} \viewkind4\uc1\pard\f0\fs16 JGO BOCINAS CARACOL DIVAIO 12V 2T DIAM 90MM\par } </v>
      </c>
      <c r="AM2018" t="str">
        <f>" "</f>
        <v xml:space="preserve"> </v>
      </c>
    </row>
    <row r="2019" spans="1:39" x14ac:dyDescent="0.25">
      <c r="A2019" t="str">
        <f>"BOC20015"</f>
        <v>BOC20015</v>
      </c>
      <c r="B2019" t="str">
        <f>"JGO BOCINAS GALLETA DIVAIO 12V 2T DIAM. 90MM"</f>
        <v>JGO BOCINAS GALLETA DIVAIO 12V 2T DIAM. 90MM</v>
      </c>
      <c r="C2019" t="str">
        <f>"$ 16354,29"</f>
        <v>$ 16354,29</v>
      </c>
      <c r="D2019" t="str">
        <f>"$ 16354,29"</f>
        <v>$ 16354,29</v>
      </c>
      <c r="E2019" t="str">
        <f>"$ 16354,29"</f>
        <v>$ 16354,29</v>
      </c>
      <c r="F2019" t="str">
        <f>"$ 16354,29"</f>
        <v>$ 16354,29</v>
      </c>
      <c r="G2019" t="str">
        <f>"$ 16354,29"</f>
        <v>$ 16354,29</v>
      </c>
      <c r="H2019" t="str">
        <f t="shared" si="1286"/>
        <v>$ 0,00</v>
      </c>
      <c r="I2019" t="str">
        <f>"BOCINAS "</f>
        <v xml:space="preserve">BOCINAS </v>
      </c>
      <c r="J2019" t="str">
        <f t="shared" si="1287"/>
        <v>1</v>
      </c>
      <c r="K2019" t="str">
        <f t="shared" si="1309"/>
        <v>0</v>
      </c>
      <c r="L2019" t="str">
        <f>"16,000"</f>
        <v>16,000</v>
      </c>
      <c r="M2019" t="str">
        <f t="shared" si="1288"/>
        <v xml:space="preserve"> </v>
      </c>
      <c r="N2019" t="str">
        <f>"DIVAIO"</f>
        <v>DIVAIO</v>
      </c>
      <c r="O2019" t="str">
        <f>"BOCINAS"</f>
        <v>BOCINAS</v>
      </c>
      <c r="P2019" t="str">
        <f t="shared" si="1307"/>
        <v>0</v>
      </c>
      <c r="Q2019" t="str">
        <f t="shared" si="1307"/>
        <v>0</v>
      </c>
      <c r="R2019" t="str">
        <f t="shared" si="1308"/>
        <v>0,00</v>
      </c>
      <c r="S2019" t="str">
        <f t="shared" si="1308"/>
        <v>0,00</v>
      </c>
      <c r="T2019" t="str">
        <f t="shared" si="1284"/>
        <v xml:space="preserve"> </v>
      </c>
      <c r="U2019" t="str">
        <f t="shared" si="1304"/>
        <v xml:space="preserve"> </v>
      </c>
      <c r="V2019" t="str">
        <f>"16,000"</f>
        <v>16,000</v>
      </c>
      <c r="W2019" t="str">
        <f t="shared" si="1289"/>
        <v>Lista 4</v>
      </c>
      <c r="X2019" t="str">
        <f t="shared" si="1290"/>
        <v>Lista 5</v>
      </c>
      <c r="Y2019" t="str">
        <f t="shared" si="1291"/>
        <v>Oferta Gral.</v>
      </c>
      <c r="Z2019" t="str">
        <f t="shared" si="1292"/>
        <v>Rubro</v>
      </c>
      <c r="AA2019" t="str">
        <f t="shared" si="1293"/>
        <v>Cantidad por Bulto</v>
      </c>
      <c r="AB2019" t="str">
        <f t="shared" si="1294"/>
        <v>INNER</v>
      </c>
      <c r="AC2019" t="str">
        <f t="shared" si="1295"/>
        <v>Stock en Bultos</v>
      </c>
      <c r="AD2019" t="str">
        <f t="shared" si="1296"/>
        <v>SubDepósito</v>
      </c>
      <c r="AE2019" t="str">
        <f t="shared" si="1297"/>
        <v>Marca</v>
      </c>
      <c r="AF2019" t="str">
        <f t="shared" si="1298"/>
        <v>Super Rubro</v>
      </c>
      <c r="AG2019" t="str">
        <f t="shared" si="1299"/>
        <v>ComercioExterior</v>
      </c>
      <c r="AH2019" t="str">
        <f t="shared" si="1300"/>
        <v>PrecioFOB</v>
      </c>
      <c r="AI2019" t="str">
        <f t="shared" si="1301"/>
        <v>Monto II</v>
      </c>
      <c r="AJ2019" t="str">
        <f t="shared" si="1302"/>
        <v>Porcentaje II</v>
      </c>
      <c r="AK2019" t="str">
        <f t="shared" si="1303"/>
        <v>Foto</v>
      </c>
      <c r="AL2019" t="str">
        <f>"{\rtf1\ansi\ansicpg1252\deff0\deflang11274{\fonttbl{\f0\fnil\fcharset0 MS Sans Serif}} \viewkind4\uc1\pard\f0\fs16 JGO BOCINAS GALLETA DIVAIO 12V 2T DIAM. 90MM\par } "</f>
        <v xml:space="preserve">{\rtf1\ansi\ansicpg1252\deff0\deflang11274{\fonttbl{\f0\fnil\fcharset0 MS Sans Serif}} \viewkind4\uc1\pard\f0\fs16 JGO BOCINAS GALLETA DIVAIO 12V 2T DIAM. 90MM\par } </v>
      </c>
      <c r="AM2019" t="str">
        <f>" "</f>
        <v xml:space="preserve"> </v>
      </c>
    </row>
    <row r="2020" spans="1:39" x14ac:dyDescent="0.25">
      <c r="A2020" t="str">
        <f>"06-00294"</f>
        <v>06-00294</v>
      </c>
      <c r="B2020" t="str">
        <f>"JGO CABLE BUJIAS COMPETICION 9MM R9/11 BOB SECA CABLE 110 CM"</f>
        <v>JGO CABLE BUJIAS COMPETICION 9MM R9/11 BOB SECA CABLE 110 CM</v>
      </c>
      <c r="C2020" t="str">
        <f>"$ 44339,01"</f>
        <v>$ 44339,01</v>
      </c>
      <c r="D2020" t="str">
        <f>"$ 44339,01"</f>
        <v>$ 44339,01</v>
      </c>
      <c r="E2020" t="str">
        <f>"$ 44339,01"</f>
        <v>$ 44339,01</v>
      </c>
      <c r="F2020" t="str">
        <f>"$ 44339,01"</f>
        <v>$ 44339,01</v>
      </c>
      <c r="G2020" t="str">
        <f>"$ 44339,01"</f>
        <v>$ 44339,01</v>
      </c>
      <c r="H2020" t="str">
        <f t="shared" si="1286"/>
        <v>$ 0,00</v>
      </c>
      <c r="I2020" t="str">
        <f>"CABLES BUJÍAS COMPETICION 9MM"</f>
        <v>CABLES BUJÍAS COMPETICION 9MM</v>
      </c>
      <c r="J2020" t="str">
        <f t="shared" si="1287"/>
        <v>1</v>
      </c>
      <c r="K2020" t="str">
        <f t="shared" si="1309"/>
        <v>0</v>
      </c>
      <c r="L2020" t="str">
        <f>"11,000"</f>
        <v>11,000</v>
      </c>
      <c r="M2020" t="str">
        <f t="shared" si="1288"/>
        <v xml:space="preserve"> </v>
      </c>
      <c r="N2020" t="str">
        <f t="shared" ref="N2020:N2059" si="1311">"FERRAZZI"</f>
        <v>FERRAZZI</v>
      </c>
      <c r="O2020" t="str">
        <f t="shared" ref="O2020:O2051" si="1312">"CABLES"</f>
        <v>CABLES</v>
      </c>
      <c r="P2020" t="str">
        <f t="shared" si="1307"/>
        <v>0</v>
      </c>
      <c r="Q2020" t="str">
        <f t="shared" si="1307"/>
        <v>0</v>
      </c>
      <c r="R2020" t="str">
        <f t="shared" si="1308"/>
        <v>0,00</v>
      </c>
      <c r="S2020" t="str">
        <f t="shared" si="1308"/>
        <v>0,00</v>
      </c>
      <c r="T2020" t="str">
        <f t="shared" si="1284"/>
        <v xml:space="preserve"> </v>
      </c>
      <c r="U2020" t="str">
        <f t="shared" si="1304"/>
        <v xml:space="preserve"> </v>
      </c>
      <c r="V2020" t="str">
        <f>"11,000"</f>
        <v>11,000</v>
      </c>
      <c r="W2020" t="str">
        <f t="shared" si="1289"/>
        <v>Lista 4</v>
      </c>
      <c r="X2020" t="str">
        <f t="shared" si="1290"/>
        <v>Lista 5</v>
      </c>
      <c r="Y2020" t="str">
        <f t="shared" si="1291"/>
        <v>Oferta Gral.</v>
      </c>
      <c r="Z2020" t="str">
        <f t="shared" si="1292"/>
        <v>Rubro</v>
      </c>
      <c r="AA2020" t="str">
        <f t="shared" si="1293"/>
        <v>Cantidad por Bulto</v>
      </c>
      <c r="AB2020" t="str">
        <f t="shared" si="1294"/>
        <v>INNER</v>
      </c>
      <c r="AC2020" t="str">
        <f t="shared" si="1295"/>
        <v>Stock en Bultos</v>
      </c>
      <c r="AD2020" t="str">
        <f t="shared" si="1296"/>
        <v>SubDepósito</v>
      </c>
      <c r="AE2020" t="str">
        <f t="shared" si="1297"/>
        <v>Marca</v>
      </c>
      <c r="AF2020" t="str">
        <f t="shared" si="1298"/>
        <v>Super Rubro</v>
      </c>
      <c r="AG2020" t="str">
        <f t="shared" si="1299"/>
        <v>ComercioExterior</v>
      </c>
      <c r="AH2020" t="str">
        <f t="shared" si="1300"/>
        <v>PrecioFOB</v>
      </c>
      <c r="AI2020" t="str">
        <f t="shared" si="1301"/>
        <v>Monto II</v>
      </c>
      <c r="AJ2020" t="str">
        <f t="shared" si="1302"/>
        <v>Porcentaje II</v>
      </c>
      <c r="AK2020" t="str">
        <f t="shared" si="1303"/>
        <v>Foto</v>
      </c>
      <c r="AL2020" t="str">
        <f>"{\rtf1\ansi\ansicpg1252\deff0\deflang11274{\fonttbl{\f0\fnil\fcharset0 MS Sans Serif}} \viewkind4\uc1\pard\f0\fs16 JGO CABLE BUJIAS COMPETICION 9MM R9/11 BOB SECA CABLE 110 CM\par } "</f>
        <v xml:space="preserve">{\rtf1\ansi\ansicpg1252\deff0\deflang11274{\fonttbl{\f0\fnil\fcharset0 MS Sans Serif}} \viewkind4\uc1\pard\f0\fs16 JGO CABLE BUJIAS COMPETICION 9MM R9/11 BOB SECA CABLE 110 CM\par } </v>
      </c>
      <c r="AM2020" t="str">
        <f>"-"</f>
        <v>-</v>
      </c>
    </row>
    <row r="2021" spans="1:39" x14ac:dyDescent="0.25">
      <c r="A2021" t="str">
        <f>"05-01767"</f>
        <v>05-01767</v>
      </c>
      <c r="B2021" t="str">
        <f>"JGO CABLES BUJIAS 500 CULT/NOVO UNO FIRE 1.4 EVO"</f>
        <v>JGO CABLES BUJIAS 500 CULT/NOVO UNO FIRE 1.4 EVO</v>
      </c>
      <c r="C2021" t="str">
        <f>"$ 15517,43"</f>
        <v>$ 15517,43</v>
      </c>
      <c r="D2021" t="str">
        <f>"$ 15517,43"</f>
        <v>$ 15517,43</v>
      </c>
      <c r="E2021" t="str">
        <f>"$ 15517,43"</f>
        <v>$ 15517,43</v>
      </c>
      <c r="F2021" t="str">
        <f>"$ 15517,43"</f>
        <v>$ 15517,43</v>
      </c>
      <c r="G2021" t="str">
        <f>"$ 15517,43"</f>
        <v>$ 15517,43</v>
      </c>
      <c r="H2021" t="str">
        <f t="shared" si="1286"/>
        <v>$ 0,00</v>
      </c>
      <c r="I2021" t="str">
        <f>"CABLES BUJÍAS SILICONA ANTIPARASITARIOS"</f>
        <v>CABLES BUJÍAS SILICONA ANTIPARASITARIOS</v>
      </c>
      <c r="J2021" t="str">
        <f t="shared" si="1287"/>
        <v>1</v>
      </c>
      <c r="K2021" t="str">
        <f t="shared" si="1309"/>
        <v>0</v>
      </c>
      <c r="L2021" t="str">
        <f>"22,000"</f>
        <v>22,000</v>
      </c>
      <c r="M2021" t="str">
        <f t="shared" si="1288"/>
        <v xml:space="preserve"> </v>
      </c>
      <c r="N2021" t="str">
        <f t="shared" si="1311"/>
        <v>FERRAZZI</v>
      </c>
      <c r="O2021" t="str">
        <f t="shared" si="1312"/>
        <v>CABLES</v>
      </c>
      <c r="P2021" t="str">
        <f t="shared" si="1307"/>
        <v>0</v>
      </c>
      <c r="Q2021" t="str">
        <f t="shared" si="1307"/>
        <v>0</v>
      </c>
      <c r="R2021" t="str">
        <f t="shared" si="1308"/>
        <v>0,00</v>
      </c>
      <c r="S2021" t="str">
        <f t="shared" si="1308"/>
        <v>0,00</v>
      </c>
      <c r="T2021" t="str">
        <f t="shared" si="1284"/>
        <v xml:space="preserve"> </v>
      </c>
      <c r="U2021" t="str">
        <f t="shared" si="1304"/>
        <v xml:space="preserve"> </v>
      </c>
      <c r="V2021" t="str">
        <f>"22,000"</f>
        <v>22,000</v>
      </c>
      <c r="W2021" t="str">
        <f t="shared" si="1289"/>
        <v>Lista 4</v>
      </c>
      <c r="X2021" t="str">
        <f t="shared" si="1290"/>
        <v>Lista 5</v>
      </c>
      <c r="Y2021" t="str">
        <f t="shared" si="1291"/>
        <v>Oferta Gral.</v>
      </c>
      <c r="Z2021" t="str">
        <f t="shared" si="1292"/>
        <v>Rubro</v>
      </c>
      <c r="AA2021" t="str">
        <f t="shared" si="1293"/>
        <v>Cantidad por Bulto</v>
      </c>
      <c r="AB2021" t="str">
        <f t="shared" si="1294"/>
        <v>INNER</v>
      </c>
      <c r="AC2021" t="str">
        <f t="shared" si="1295"/>
        <v>Stock en Bultos</v>
      </c>
      <c r="AD2021" t="str">
        <f t="shared" si="1296"/>
        <v>SubDepósito</v>
      </c>
      <c r="AE2021" t="str">
        <f t="shared" si="1297"/>
        <v>Marca</v>
      </c>
      <c r="AF2021" t="str">
        <f t="shared" si="1298"/>
        <v>Super Rubro</v>
      </c>
      <c r="AG2021" t="str">
        <f t="shared" si="1299"/>
        <v>ComercioExterior</v>
      </c>
      <c r="AH2021" t="str">
        <f t="shared" si="1300"/>
        <v>PrecioFOB</v>
      </c>
      <c r="AI2021" t="str">
        <f t="shared" si="1301"/>
        <v>Monto II</v>
      </c>
      <c r="AJ2021" t="str">
        <f t="shared" si="1302"/>
        <v>Porcentaje II</v>
      </c>
      <c r="AK2021" t="str">
        <f t="shared" si="1303"/>
        <v>Foto</v>
      </c>
      <c r="AL2021" t="str">
        <f>"{\rtf1\ansi\ansicpg1252\deff0\deflang11274{\fonttbl{\f0\fnil\fcharset0 MS Sans Serif}} \viewkind4\uc1\pard\f0\fs16 JGO CABLES BUJIAS 500 CULT/NOVO UNO FIRE 1.4 EVO\par } "</f>
        <v xml:space="preserve">{\rtf1\ansi\ansicpg1252\deff0\deflang11274{\fonttbl{\f0\fnil\fcharset0 MS Sans Serif}} \viewkind4\uc1\pard\f0\fs16 JGO CABLES BUJIAS 500 CULT/NOVO UNO FIRE 1.4 EVO\par } </v>
      </c>
      <c r="AM2021" t="str">
        <f>" "</f>
        <v xml:space="preserve"> </v>
      </c>
    </row>
    <row r="2022" spans="1:39" x14ac:dyDescent="0.25">
      <c r="A2022" t="str">
        <f>"02-00211"</f>
        <v>02-00211</v>
      </c>
      <c r="B2022" t="str">
        <f>"JGO CABLES BUJIAS CHEVROLET 400/CHEVY/PICK UP COMPETICION"</f>
        <v>JGO CABLES BUJIAS CHEVROLET 400/CHEVY/PICK UP COMPETICION</v>
      </c>
      <c r="C2022" t="str">
        <f>"$ 56208,30"</f>
        <v>$ 56208,30</v>
      </c>
      <c r="D2022" t="str">
        <f>"$ 56208,30"</f>
        <v>$ 56208,30</v>
      </c>
      <c r="E2022" t="str">
        <f>"$ 56208,30"</f>
        <v>$ 56208,30</v>
      </c>
      <c r="F2022" t="str">
        <f>"$ 56208,30"</f>
        <v>$ 56208,30</v>
      </c>
      <c r="G2022" t="str">
        <f>"$ 56208,30"</f>
        <v>$ 56208,30</v>
      </c>
      <c r="H2022" t="str">
        <f t="shared" si="1286"/>
        <v>$ 0,00</v>
      </c>
      <c r="I2022" t="str">
        <f t="shared" ref="I2022:I2050" si="1313">"CABLES BUJÍAS COMPETICION 9MM"</f>
        <v>CABLES BUJÍAS COMPETICION 9MM</v>
      </c>
      <c r="J2022" t="str">
        <f t="shared" si="1287"/>
        <v>1</v>
      </c>
      <c r="K2022" t="str">
        <f t="shared" si="1309"/>
        <v>0</v>
      </c>
      <c r="L2022" t="str">
        <f>"32,000"</f>
        <v>32,000</v>
      </c>
      <c r="M2022" t="str">
        <f t="shared" si="1288"/>
        <v xml:space="preserve"> </v>
      </c>
      <c r="N2022" t="str">
        <f t="shared" si="1311"/>
        <v>FERRAZZI</v>
      </c>
      <c r="O2022" t="str">
        <f t="shared" si="1312"/>
        <v>CABLES</v>
      </c>
      <c r="P2022" t="str">
        <f t="shared" si="1307"/>
        <v>0</v>
      </c>
      <c r="Q2022" t="str">
        <f t="shared" si="1307"/>
        <v>0</v>
      </c>
      <c r="R2022" t="str">
        <f t="shared" si="1308"/>
        <v>0,00</v>
      </c>
      <c r="S2022" t="str">
        <f t="shared" si="1308"/>
        <v>0,00</v>
      </c>
      <c r="T2022" t="str">
        <f t="shared" si="1284"/>
        <v xml:space="preserve"> </v>
      </c>
      <c r="U2022" t="str">
        <f t="shared" si="1304"/>
        <v xml:space="preserve"> </v>
      </c>
      <c r="V2022" t="str">
        <f>"32,000"</f>
        <v>32,000</v>
      </c>
      <c r="W2022" t="str">
        <f t="shared" si="1289"/>
        <v>Lista 4</v>
      </c>
      <c r="X2022" t="str">
        <f t="shared" si="1290"/>
        <v>Lista 5</v>
      </c>
      <c r="Y2022" t="str">
        <f t="shared" si="1291"/>
        <v>Oferta Gral.</v>
      </c>
      <c r="Z2022" t="str">
        <f t="shared" si="1292"/>
        <v>Rubro</v>
      </c>
      <c r="AA2022" t="str">
        <f t="shared" si="1293"/>
        <v>Cantidad por Bulto</v>
      </c>
      <c r="AB2022" t="str">
        <f t="shared" si="1294"/>
        <v>INNER</v>
      </c>
      <c r="AC2022" t="str">
        <f t="shared" si="1295"/>
        <v>Stock en Bultos</v>
      </c>
      <c r="AD2022" t="str">
        <f t="shared" si="1296"/>
        <v>SubDepósito</v>
      </c>
      <c r="AE2022" t="str">
        <f t="shared" si="1297"/>
        <v>Marca</v>
      </c>
      <c r="AF2022" t="str">
        <f t="shared" si="1298"/>
        <v>Super Rubro</v>
      </c>
      <c r="AG2022" t="str">
        <f t="shared" si="1299"/>
        <v>ComercioExterior</v>
      </c>
      <c r="AH2022" t="str">
        <f t="shared" si="1300"/>
        <v>PrecioFOB</v>
      </c>
      <c r="AI2022" t="str">
        <f t="shared" si="1301"/>
        <v>Monto II</v>
      </c>
      <c r="AJ2022" t="str">
        <f t="shared" si="1302"/>
        <v>Porcentaje II</v>
      </c>
      <c r="AK2022" t="str">
        <f t="shared" si="1303"/>
        <v>Foto</v>
      </c>
      <c r="AL2022" t="str">
        <f>"{\rtf1\ansi\ansicpg1252\deff0\deflang11274{\fonttbl{\f0\fnil\fcharset0 MS Sans Serif}} \viewkind4\uc1\pard\f0\fs16 JGO CABLES BUJIAS CHEVROLET 400/CHEVY/PICK UP COMPETICION\par } "</f>
        <v xml:space="preserve">{\rtf1\ansi\ansicpg1252\deff0\deflang11274{\fonttbl{\f0\fnil\fcharset0 MS Sans Serif}} \viewkind4\uc1\pard\f0\fs16 JGO CABLES BUJIAS CHEVROLET 400/CHEVY/PICK UP COMPETICION\par } </v>
      </c>
      <c r="AM2022" t="str">
        <f>" "</f>
        <v xml:space="preserve"> </v>
      </c>
    </row>
    <row r="2023" spans="1:39" x14ac:dyDescent="0.25">
      <c r="A2023" t="str">
        <f>"05-00266"</f>
        <v>05-00266</v>
      </c>
      <c r="B2023" t="str">
        <f>"JGO CABLES BUJIAS COMPET. 9MM FIAT PALIO/SIENA FIRE 1.3/1.4 8V (1 BOBINA)"</f>
        <v>JGO CABLES BUJIAS COMPET. 9MM FIAT PALIO/SIENA FIRE 1.3/1.4 8V (1 BOBINA)</v>
      </c>
      <c r="C2023" t="str">
        <f>"$ 44637,88"</f>
        <v>$ 44637,88</v>
      </c>
      <c r="D2023" t="str">
        <f>"$ 44637,88"</f>
        <v>$ 44637,88</v>
      </c>
      <c r="E2023" t="str">
        <f>"$ 44637,88"</f>
        <v>$ 44637,88</v>
      </c>
      <c r="F2023" t="str">
        <f>"$ 44637,88"</f>
        <v>$ 44637,88</v>
      </c>
      <c r="G2023" t="str">
        <f>"$ 44637,88"</f>
        <v>$ 44637,88</v>
      </c>
      <c r="H2023" t="str">
        <f t="shared" si="1286"/>
        <v>$ 0,00</v>
      </c>
      <c r="I2023" t="str">
        <f t="shared" si="1313"/>
        <v>CABLES BUJÍAS COMPETICION 9MM</v>
      </c>
      <c r="J2023" t="str">
        <f t="shared" si="1287"/>
        <v>1</v>
      </c>
      <c r="K2023" t="str">
        <f t="shared" si="1309"/>
        <v>0</v>
      </c>
      <c r="L2023" t="str">
        <f>"30,000"</f>
        <v>30,000</v>
      </c>
      <c r="M2023" t="str">
        <f t="shared" si="1288"/>
        <v xml:space="preserve"> </v>
      </c>
      <c r="N2023" t="str">
        <f t="shared" si="1311"/>
        <v>FERRAZZI</v>
      </c>
      <c r="O2023" t="str">
        <f t="shared" si="1312"/>
        <v>CABLES</v>
      </c>
      <c r="P2023" t="str">
        <f t="shared" ref="P2023:Q2042" si="1314">"0"</f>
        <v>0</v>
      </c>
      <c r="Q2023" t="str">
        <f t="shared" si="1314"/>
        <v>0</v>
      </c>
      <c r="R2023" t="str">
        <f t="shared" ref="R2023:S2042" si="1315">"0,00"</f>
        <v>0,00</v>
      </c>
      <c r="S2023" t="str">
        <f t="shared" si="1315"/>
        <v>0,00</v>
      </c>
      <c r="T2023" t="str">
        <f t="shared" si="1284"/>
        <v xml:space="preserve"> </v>
      </c>
      <c r="U2023" t="str">
        <f t="shared" si="1304"/>
        <v xml:space="preserve"> </v>
      </c>
      <c r="V2023" t="str">
        <f>"30,000"</f>
        <v>30,000</v>
      </c>
      <c r="W2023" t="str">
        <f t="shared" si="1289"/>
        <v>Lista 4</v>
      </c>
      <c r="X2023" t="str">
        <f t="shared" si="1290"/>
        <v>Lista 5</v>
      </c>
      <c r="Y2023" t="str">
        <f t="shared" si="1291"/>
        <v>Oferta Gral.</v>
      </c>
      <c r="Z2023" t="str">
        <f t="shared" si="1292"/>
        <v>Rubro</v>
      </c>
      <c r="AA2023" t="str">
        <f t="shared" si="1293"/>
        <v>Cantidad por Bulto</v>
      </c>
      <c r="AB2023" t="str">
        <f t="shared" si="1294"/>
        <v>INNER</v>
      </c>
      <c r="AC2023" t="str">
        <f t="shared" si="1295"/>
        <v>Stock en Bultos</v>
      </c>
      <c r="AD2023" t="str">
        <f t="shared" si="1296"/>
        <v>SubDepósito</v>
      </c>
      <c r="AE2023" t="str">
        <f t="shared" si="1297"/>
        <v>Marca</v>
      </c>
      <c r="AF2023" t="str">
        <f t="shared" si="1298"/>
        <v>Super Rubro</v>
      </c>
      <c r="AG2023" t="str">
        <f t="shared" si="1299"/>
        <v>ComercioExterior</v>
      </c>
      <c r="AH2023" t="str">
        <f t="shared" si="1300"/>
        <v>PrecioFOB</v>
      </c>
      <c r="AI2023" t="str">
        <f t="shared" si="1301"/>
        <v>Monto II</v>
      </c>
      <c r="AJ2023" t="str">
        <f t="shared" si="1302"/>
        <v>Porcentaje II</v>
      </c>
      <c r="AK2023" t="str">
        <f t="shared" si="1303"/>
        <v>Foto</v>
      </c>
      <c r="AL2023" t="str">
        <f>"{\rtf1\ansi\ansicpg1252\deff0\deflang11274{\fonttbl{\f0\fnil\fcharset0 MS Sans Serif}} \viewkind4\uc1\pard\f0\fs16 JGO CABLES BUJIAS COMPET. 9MM FIAT PALIO/SIENA FIRE 1.3/1.4 8V (1 BOBINA)\par } "</f>
        <v xml:space="preserve">{\rtf1\ansi\ansicpg1252\deff0\deflang11274{\fonttbl{\f0\fnil\fcharset0 MS Sans Serif}} \viewkind4\uc1\pard\f0\fs16 JGO CABLES BUJIAS COMPET. 9MM FIAT PALIO/SIENA FIRE 1.3/1.4 8V (1 BOBINA)\par } </v>
      </c>
      <c r="AM2023" t="str">
        <f>"-"</f>
        <v>-</v>
      </c>
    </row>
    <row r="2024" spans="1:39" x14ac:dyDescent="0.25">
      <c r="A2024" t="str">
        <f>"04-00230"</f>
        <v>04-00230</v>
      </c>
      <c r="B2024" t="str">
        <f>"JGO CABLES BUJIAS COMPETICION 9 MM FALCON"</f>
        <v>JGO CABLES BUJIAS COMPETICION 9 MM FALCON</v>
      </c>
      <c r="C2024" t="str">
        <f>"$ 56106,05"</f>
        <v>$ 56106,05</v>
      </c>
      <c r="D2024" t="str">
        <f>"$ 56106,05"</f>
        <v>$ 56106,05</v>
      </c>
      <c r="E2024" t="str">
        <f>"$ 56106,05"</f>
        <v>$ 56106,05</v>
      </c>
      <c r="F2024" t="str">
        <f>"$ 56106,05"</f>
        <v>$ 56106,05</v>
      </c>
      <c r="G2024" t="str">
        <f>"$ 56106,05"</f>
        <v>$ 56106,05</v>
      </c>
      <c r="H2024" t="str">
        <f t="shared" si="1286"/>
        <v>$ 0,00</v>
      </c>
      <c r="I2024" t="str">
        <f t="shared" si="1313"/>
        <v>CABLES BUJÍAS COMPETICION 9MM</v>
      </c>
      <c r="J2024" t="str">
        <f t="shared" si="1287"/>
        <v>1</v>
      </c>
      <c r="K2024" t="str">
        <f t="shared" si="1309"/>
        <v>0</v>
      </c>
      <c r="L2024" t="str">
        <f>"64,000"</f>
        <v>64,000</v>
      </c>
      <c r="M2024" t="str">
        <f t="shared" si="1288"/>
        <v xml:space="preserve"> </v>
      </c>
      <c r="N2024" t="str">
        <f t="shared" si="1311"/>
        <v>FERRAZZI</v>
      </c>
      <c r="O2024" t="str">
        <f t="shared" si="1312"/>
        <v>CABLES</v>
      </c>
      <c r="P2024" t="str">
        <f t="shared" si="1314"/>
        <v>0</v>
      </c>
      <c r="Q2024" t="str">
        <f t="shared" si="1314"/>
        <v>0</v>
      </c>
      <c r="R2024" t="str">
        <f t="shared" si="1315"/>
        <v>0,00</v>
      </c>
      <c r="S2024" t="str">
        <f t="shared" si="1315"/>
        <v>0,00</v>
      </c>
      <c r="T2024" t="str">
        <f t="shared" si="1284"/>
        <v xml:space="preserve"> </v>
      </c>
      <c r="U2024" t="str">
        <f t="shared" si="1304"/>
        <v xml:space="preserve"> </v>
      </c>
      <c r="V2024" t="str">
        <f>"64,000"</f>
        <v>64,000</v>
      </c>
      <c r="W2024" t="str">
        <f t="shared" si="1289"/>
        <v>Lista 4</v>
      </c>
      <c r="X2024" t="str">
        <f t="shared" si="1290"/>
        <v>Lista 5</v>
      </c>
      <c r="Y2024" t="str">
        <f t="shared" si="1291"/>
        <v>Oferta Gral.</v>
      </c>
      <c r="Z2024" t="str">
        <f t="shared" si="1292"/>
        <v>Rubro</v>
      </c>
      <c r="AA2024" t="str">
        <f t="shared" si="1293"/>
        <v>Cantidad por Bulto</v>
      </c>
      <c r="AB2024" t="str">
        <f t="shared" si="1294"/>
        <v>INNER</v>
      </c>
      <c r="AC2024" t="str">
        <f t="shared" si="1295"/>
        <v>Stock en Bultos</v>
      </c>
      <c r="AD2024" t="str">
        <f t="shared" si="1296"/>
        <v>SubDepósito</v>
      </c>
      <c r="AE2024" t="str">
        <f t="shared" si="1297"/>
        <v>Marca</v>
      </c>
      <c r="AF2024" t="str">
        <f t="shared" si="1298"/>
        <v>Super Rubro</v>
      </c>
      <c r="AG2024" t="str">
        <f t="shared" si="1299"/>
        <v>ComercioExterior</v>
      </c>
      <c r="AH2024" t="str">
        <f t="shared" si="1300"/>
        <v>PrecioFOB</v>
      </c>
      <c r="AI2024" t="str">
        <f t="shared" si="1301"/>
        <v>Monto II</v>
      </c>
      <c r="AJ2024" t="str">
        <f t="shared" si="1302"/>
        <v>Porcentaje II</v>
      </c>
      <c r="AK2024" t="str">
        <f t="shared" si="1303"/>
        <v>Foto</v>
      </c>
      <c r="AL2024" t="str">
        <f>"{\rtf1\ansi\ansicpg1252\deff0\deflang11274{\fonttbl{\f0\fnil\fcharset0 MS Sans Serif}} \viewkind4\uc1\pard\f0\fs16 JGO CABLES BUJIAS COMPETICION 9 MM FALCON\par } "</f>
        <v xml:space="preserve">{\rtf1\ansi\ansicpg1252\deff0\deflang11274{\fonttbl{\f0\fnil\fcharset0 MS Sans Serif}} \viewkind4\uc1\pard\f0\fs16 JGO CABLES BUJIAS COMPETICION 9 MM FALCON\par } </v>
      </c>
      <c r="AM2024" t="str">
        <f>"-"</f>
        <v>-</v>
      </c>
    </row>
    <row r="2025" spans="1:39" x14ac:dyDescent="0.25">
      <c r="A2025" t="str">
        <f>"05-00246"</f>
        <v>05-00246</v>
      </c>
      <c r="B2025" t="str">
        <f>"JGO CABLES BUJIAS COMPETICION 9 MM FIAT 147 FIORINO 1.3 "</f>
        <v xml:space="preserve">JGO CABLES BUJIAS COMPETICION 9 MM FIAT 147 FIORINO 1.3 </v>
      </c>
      <c r="C2025" t="str">
        <f>"$ 41450,67"</f>
        <v>$ 41450,67</v>
      </c>
      <c r="D2025" t="str">
        <f>"$ 41450,67"</f>
        <v>$ 41450,67</v>
      </c>
      <c r="E2025" t="str">
        <f>"$ 41450,67"</f>
        <v>$ 41450,67</v>
      </c>
      <c r="F2025" t="str">
        <f>"$ 41450,67"</f>
        <v>$ 41450,67</v>
      </c>
      <c r="G2025" t="str">
        <f>"$ 41450,67"</f>
        <v>$ 41450,67</v>
      </c>
      <c r="H2025" t="str">
        <f t="shared" si="1286"/>
        <v>$ 0,00</v>
      </c>
      <c r="I2025" t="str">
        <f t="shared" si="1313"/>
        <v>CABLES BUJÍAS COMPETICION 9MM</v>
      </c>
      <c r="J2025" t="str">
        <f t="shared" si="1287"/>
        <v>1</v>
      </c>
      <c r="K2025" t="str">
        <f t="shared" si="1309"/>
        <v>0</v>
      </c>
      <c r="L2025" t="str">
        <f>"4,000"</f>
        <v>4,000</v>
      </c>
      <c r="M2025" t="str">
        <f t="shared" si="1288"/>
        <v xml:space="preserve"> </v>
      </c>
      <c r="N2025" t="str">
        <f t="shared" si="1311"/>
        <v>FERRAZZI</v>
      </c>
      <c r="O2025" t="str">
        <f t="shared" si="1312"/>
        <v>CABLES</v>
      </c>
      <c r="P2025" t="str">
        <f t="shared" si="1314"/>
        <v>0</v>
      </c>
      <c r="Q2025" t="str">
        <f t="shared" si="1314"/>
        <v>0</v>
      </c>
      <c r="R2025" t="str">
        <f t="shared" si="1315"/>
        <v>0,00</v>
      </c>
      <c r="S2025" t="str">
        <f t="shared" si="1315"/>
        <v>0,00</v>
      </c>
      <c r="T2025" t="str">
        <f t="shared" si="1284"/>
        <v xml:space="preserve"> </v>
      </c>
      <c r="U2025" t="str">
        <f t="shared" si="1304"/>
        <v xml:space="preserve"> </v>
      </c>
      <c r="V2025" t="str">
        <f>"4,000"</f>
        <v>4,000</v>
      </c>
      <c r="W2025" t="str">
        <f t="shared" si="1289"/>
        <v>Lista 4</v>
      </c>
      <c r="X2025" t="str">
        <f t="shared" si="1290"/>
        <v>Lista 5</v>
      </c>
      <c r="Y2025" t="str">
        <f t="shared" si="1291"/>
        <v>Oferta Gral.</v>
      </c>
      <c r="Z2025" t="str">
        <f t="shared" si="1292"/>
        <v>Rubro</v>
      </c>
      <c r="AA2025" t="str">
        <f t="shared" si="1293"/>
        <v>Cantidad por Bulto</v>
      </c>
      <c r="AB2025" t="str">
        <f t="shared" si="1294"/>
        <v>INNER</v>
      </c>
      <c r="AC2025" t="str">
        <f t="shared" si="1295"/>
        <v>Stock en Bultos</v>
      </c>
      <c r="AD2025" t="str">
        <f t="shared" si="1296"/>
        <v>SubDepósito</v>
      </c>
      <c r="AE2025" t="str">
        <f t="shared" si="1297"/>
        <v>Marca</v>
      </c>
      <c r="AF2025" t="str">
        <f t="shared" si="1298"/>
        <v>Super Rubro</v>
      </c>
      <c r="AG2025" t="str">
        <f t="shared" si="1299"/>
        <v>ComercioExterior</v>
      </c>
      <c r="AH2025" t="str">
        <f t="shared" si="1300"/>
        <v>PrecioFOB</v>
      </c>
      <c r="AI2025" t="str">
        <f t="shared" si="1301"/>
        <v>Monto II</v>
      </c>
      <c r="AJ2025" t="str">
        <f t="shared" si="1302"/>
        <v>Porcentaje II</v>
      </c>
      <c r="AK2025" t="str">
        <f t="shared" si="1303"/>
        <v>Foto</v>
      </c>
      <c r="AL2025" t="str">
        <f>"{\rtf1\ansi\ansicpg1252\deff0\deflang11274{\fonttbl{\f0\fnil\fcharset0 MS Sans Serif}} \viewkind4\uc1\pard\f0\fs16 JGO CABLES BUJIAS COMPETICION 9 MM FIAT 147 FIORINO 1.3 \par } "</f>
        <v xml:space="preserve">{\rtf1\ansi\ansicpg1252\deff0\deflang11274{\fonttbl{\f0\fnil\fcharset0 MS Sans Serif}} \viewkind4\uc1\pard\f0\fs16 JGO CABLES BUJIAS COMPETICION 9 MM FIAT 147 FIORINO 1.3 \par } </v>
      </c>
      <c r="AM2025" t="str">
        <f>" "</f>
        <v xml:space="preserve"> </v>
      </c>
    </row>
    <row r="2026" spans="1:39" x14ac:dyDescent="0.25">
      <c r="A2026" t="str">
        <f>"04-00231"</f>
        <v>04-00231</v>
      </c>
      <c r="B2026" t="str">
        <f>"JGO CABLES BUJIAS COMPETICION 9 MM FORD V8 FASE I"</f>
        <v>JGO CABLES BUJIAS COMPETICION 9 MM FORD V8 FASE I</v>
      </c>
      <c r="C2026" t="str">
        <f>"$ 114930,98"</f>
        <v>$ 114930,98</v>
      </c>
      <c r="D2026" t="str">
        <f>"$ 114930,98"</f>
        <v>$ 114930,98</v>
      </c>
      <c r="E2026" t="str">
        <f>"$ 114930,98"</f>
        <v>$ 114930,98</v>
      </c>
      <c r="F2026" t="str">
        <f>"$ 114930,98"</f>
        <v>$ 114930,98</v>
      </c>
      <c r="G2026" t="str">
        <f>"$ 114930,98"</f>
        <v>$ 114930,98</v>
      </c>
      <c r="H2026" t="str">
        <f t="shared" si="1286"/>
        <v>$ 0,00</v>
      </c>
      <c r="I2026" t="str">
        <f t="shared" si="1313"/>
        <v>CABLES BUJÍAS COMPETICION 9MM</v>
      </c>
      <c r="J2026" t="str">
        <f t="shared" si="1287"/>
        <v>1</v>
      </c>
      <c r="K2026" t="str">
        <f t="shared" si="1309"/>
        <v>0</v>
      </c>
      <c r="L2026" t="str">
        <f>"12,000"</f>
        <v>12,000</v>
      </c>
      <c r="M2026" t="str">
        <f t="shared" si="1288"/>
        <v xml:space="preserve"> </v>
      </c>
      <c r="N2026" t="str">
        <f t="shared" si="1311"/>
        <v>FERRAZZI</v>
      </c>
      <c r="O2026" t="str">
        <f t="shared" si="1312"/>
        <v>CABLES</v>
      </c>
      <c r="P2026" t="str">
        <f t="shared" si="1314"/>
        <v>0</v>
      </c>
      <c r="Q2026" t="str">
        <f t="shared" si="1314"/>
        <v>0</v>
      </c>
      <c r="R2026" t="str">
        <f t="shared" si="1315"/>
        <v>0,00</v>
      </c>
      <c r="S2026" t="str">
        <f t="shared" si="1315"/>
        <v>0,00</v>
      </c>
      <c r="T2026" t="str">
        <f t="shared" si="1284"/>
        <v xml:space="preserve"> </v>
      </c>
      <c r="U2026" t="str">
        <f t="shared" si="1304"/>
        <v xml:space="preserve"> </v>
      </c>
      <c r="V2026" t="str">
        <f>"12,000"</f>
        <v>12,000</v>
      </c>
      <c r="W2026" t="str">
        <f t="shared" si="1289"/>
        <v>Lista 4</v>
      </c>
      <c r="X2026" t="str">
        <f t="shared" si="1290"/>
        <v>Lista 5</v>
      </c>
      <c r="Y2026" t="str">
        <f t="shared" si="1291"/>
        <v>Oferta Gral.</v>
      </c>
      <c r="Z2026" t="str">
        <f t="shared" si="1292"/>
        <v>Rubro</v>
      </c>
      <c r="AA2026" t="str">
        <f t="shared" si="1293"/>
        <v>Cantidad por Bulto</v>
      </c>
      <c r="AB2026" t="str">
        <f t="shared" si="1294"/>
        <v>INNER</v>
      </c>
      <c r="AC2026" t="str">
        <f t="shared" si="1295"/>
        <v>Stock en Bultos</v>
      </c>
      <c r="AD2026" t="str">
        <f t="shared" si="1296"/>
        <v>SubDepósito</v>
      </c>
      <c r="AE2026" t="str">
        <f t="shared" si="1297"/>
        <v>Marca</v>
      </c>
      <c r="AF2026" t="str">
        <f t="shared" si="1298"/>
        <v>Super Rubro</v>
      </c>
      <c r="AG2026" t="str">
        <f t="shared" si="1299"/>
        <v>ComercioExterior</v>
      </c>
      <c r="AH2026" t="str">
        <f t="shared" si="1300"/>
        <v>PrecioFOB</v>
      </c>
      <c r="AI2026" t="str">
        <f t="shared" si="1301"/>
        <v>Monto II</v>
      </c>
      <c r="AJ2026" t="str">
        <f t="shared" si="1302"/>
        <v>Porcentaje II</v>
      </c>
      <c r="AK2026" t="str">
        <f t="shared" si="1303"/>
        <v>Foto</v>
      </c>
      <c r="AL2026" t="str">
        <f>"{\rtf1\ansi\ansicpg1252\deff0\deflang11274{\fonttbl{\f0\fnil\fcharset0 MS Sans Serif}} \viewkind4\uc1\pard\f0\fs16 JGO CABLES BUJIAS COMPETICION 9 MM FORD V8 FASE I\par } "</f>
        <v xml:space="preserve">{\rtf1\ansi\ansicpg1252\deff0\deflang11274{\fonttbl{\f0\fnil\fcharset0 MS Sans Serif}} \viewkind4\uc1\pard\f0\fs16 JGO CABLES BUJIAS COMPETICION 9 MM FORD V8 FASE I\par } </v>
      </c>
      <c r="AM2026" t="str">
        <f t="shared" ref="AM2026:AM2050" si="1316">"-"</f>
        <v>-</v>
      </c>
    </row>
    <row r="2027" spans="1:39" x14ac:dyDescent="0.25">
      <c r="A2027" t="str">
        <f>"06-00254"</f>
        <v>06-00254</v>
      </c>
      <c r="B2027" t="str">
        <f>"JGO CABLES BUJIAS COMPETICION 9 MM R12/18 1.4/1.6"</f>
        <v>JGO CABLES BUJIAS COMPETICION 9 MM R12/18 1.4/1.6</v>
      </c>
      <c r="C2027" t="str">
        <f>"$ 34293,56"</f>
        <v>$ 34293,56</v>
      </c>
      <c r="D2027" t="str">
        <f>"$ 34293,56"</f>
        <v>$ 34293,56</v>
      </c>
      <c r="E2027" t="str">
        <f>"$ 34293,56"</f>
        <v>$ 34293,56</v>
      </c>
      <c r="F2027" t="str">
        <f>"$ 34293,56"</f>
        <v>$ 34293,56</v>
      </c>
      <c r="G2027" t="str">
        <f>"$ 34293,56"</f>
        <v>$ 34293,56</v>
      </c>
      <c r="H2027" t="str">
        <f t="shared" si="1286"/>
        <v>$ 0,00</v>
      </c>
      <c r="I2027" t="str">
        <f t="shared" si="1313"/>
        <v>CABLES BUJÍAS COMPETICION 9MM</v>
      </c>
      <c r="J2027" t="str">
        <f t="shared" si="1287"/>
        <v>1</v>
      </c>
      <c r="K2027" t="str">
        <f t="shared" si="1309"/>
        <v>0</v>
      </c>
      <c r="L2027" t="str">
        <f>"7,000"</f>
        <v>7,000</v>
      </c>
      <c r="M2027" t="str">
        <f t="shared" si="1288"/>
        <v xml:space="preserve"> </v>
      </c>
      <c r="N2027" t="str">
        <f t="shared" si="1311"/>
        <v>FERRAZZI</v>
      </c>
      <c r="O2027" t="str">
        <f t="shared" si="1312"/>
        <v>CABLES</v>
      </c>
      <c r="P2027" t="str">
        <f t="shared" si="1314"/>
        <v>0</v>
      </c>
      <c r="Q2027" t="str">
        <f t="shared" si="1314"/>
        <v>0</v>
      </c>
      <c r="R2027" t="str">
        <f t="shared" si="1315"/>
        <v>0,00</v>
      </c>
      <c r="S2027" t="str">
        <f t="shared" si="1315"/>
        <v>0,00</v>
      </c>
      <c r="T2027" t="str">
        <f t="shared" si="1284"/>
        <v xml:space="preserve"> </v>
      </c>
      <c r="U2027" t="str">
        <f t="shared" si="1304"/>
        <v xml:space="preserve"> </v>
      </c>
      <c r="V2027" t="str">
        <f>"7,000"</f>
        <v>7,000</v>
      </c>
      <c r="W2027" t="str">
        <f t="shared" si="1289"/>
        <v>Lista 4</v>
      </c>
      <c r="X2027" t="str">
        <f t="shared" si="1290"/>
        <v>Lista 5</v>
      </c>
      <c r="Y2027" t="str">
        <f t="shared" si="1291"/>
        <v>Oferta Gral.</v>
      </c>
      <c r="Z2027" t="str">
        <f t="shared" si="1292"/>
        <v>Rubro</v>
      </c>
      <c r="AA2027" t="str">
        <f t="shared" si="1293"/>
        <v>Cantidad por Bulto</v>
      </c>
      <c r="AB2027" t="str">
        <f t="shared" si="1294"/>
        <v>INNER</v>
      </c>
      <c r="AC2027" t="str">
        <f t="shared" si="1295"/>
        <v>Stock en Bultos</v>
      </c>
      <c r="AD2027" t="str">
        <f t="shared" si="1296"/>
        <v>SubDepósito</v>
      </c>
      <c r="AE2027" t="str">
        <f t="shared" si="1297"/>
        <v>Marca</v>
      </c>
      <c r="AF2027" t="str">
        <f t="shared" si="1298"/>
        <v>Super Rubro</v>
      </c>
      <c r="AG2027" t="str">
        <f t="shared" si="1299"/>
        <v>ComercioExterior</v>
      </c>
      <c r="AH2027" t="str">
        <f t="shared" si="1300"/>
        <v>PrecioFOB</v>
      </c>
      <c r="AI2027" t="str">
        <f t="shared" si="1301"/>
        <v>Monto II</v>
      </c>
      <c r="AJ2027" t="str">
        <f t="shared" si="1302"/>
        <v>Porcentaje II</v>
      </c>
      <c r="AK2027" t="str">
        <f t="shared" si="1303"/>
        <v>Foto</v>
      </c>
      <c r="AL2027" t="str">
        <f>"{\rtf1\ansi\ansicpg1252\deff0\deflang11274{\fonttbl{\f0\fnil\fcharset0 MS Sans Serif}} \viewkind4\uc1\pard\f0\fs16 JGO CABLES BUJIAS COMPETICION 9 MM R12/18 1.4/1.6\par } "</f>
        <v xml:space="preserve">{\rtf1\ansi\ansicpg1252\deff0\deflang11274{\fonttbl{\f0\fnil\fcharset0 MS Sans Serif}} \viewkind4\uc1\pard\f0\fs16 JGO CABLES BUJIAS COMPETICION 9 MM R12/18 1.4/1.6\par } </v>
      </c>
      <c r="AM2027" t="str">
        <f t="shared" si="1316"/>
        <v>-</v>
      </c>
    </row>
    <row r="2028" spans="1:39" x14ac:dyDescent="0.25">
      <c r="A2028" t="str">
        <f>"03-00259"</f>
        <v>03-00259</v>
      </c>
      <c r="B2028" t="str">
        <f>"JGO CABLES BUJIAS COMPETICION 9 MM VW GOL POWER 2007 EN AD."</f>
        <v>JGO CABLES BUJIAS COMPETICION 9 MM VW GOL POWER 2007 EN AD.</v>
      </c>
      <c r="C2028" t="str">
        <f>"$ 52194,29"</f>
        <v>$ 52194,29</v>
      </c>
      <c r="D2028" t="str">
        <f>"$ 52194,29"</f>
        <v>$ 52194,29</v>
      </c>
      <c r="E2028" t="str">
        <f>"$ 52194,29"</f>
        <v>$ 52194,29</v>
      </c>
      <c r="F2028" t="str">
        <f>"$ 52194,29"</f>
        <v>$ 52194,29</v>
      </c>
      <c r="G2028" t="str">
        <f>"$ 52194,29"</f>
        <v>$ 52194,29</v>
      </c>
      <c r="H2028" t="str">
        <f t="shared" si="1286"/>
        <v>$ 0,00</v>
      </c>
      <c r="I2028" t="str">
        <f t="shared" si="1313"/>
        <v>CABLES BUJÍAS COMPETICION 9MM</v>
      </c>
      <c r="J2028" t="str">
        <f t="shared" si="1287"/>
        <v>1</v>
      </c>
      <c r="K2028" t="str">
        <f t="shared" si="1309"/>
        <v>0</v>
      </c>
      <c r="L2028" t="str">
        <f>"10,000"</f>
        <v>10,000</v>
      </c>
      <c r="M2028" t="str">
        <f t="shared" si="1288"/>
        <v xml:space="preserve"> </v>
      </c>
      <c r="N2028" t="str">
        <f t="shared" si="1311"/>
        <v>FERRAZZI</v>
      </c>
      <c r="O2028" t="str">
        <f t="shared" si="1312"/>
        <v>CABLES</v>
      </c>
      <c r="P2028" t="str">
        <f t="shared" si="1314"/>
        <v>0</v>
      </c>
      <c r="Q2028" t="str">
        <f t="shared" si="1314"/>
        <v>0</v>
      </c>
      <c r="R2028" t="str">
        <f t="shared" si="1315"/>
        <v>0,00</v>
      </c>
      <c r="S2028" t="str">
        <f t="shared" si="1315"/>
        <v>0,00</v>
      </c>
      <c r="T2028" t="str">
        <f t="shared" si="1284"/>
        <v xml:space="preserve"> </v>
      </c>
      <c r="U2028" t="str">
        <f t="shared" si="1304"/>
        <v xml:space="preserve"> </v>
      </c>
      <c r="V2028" t="str">
        <f>"10,000"</f>
        <v>10,000</v>
      </c>
      <c r="W2028" t="str">
        <f t="shared" si="1289"/>
        <v>Lista 4</v>
      </c>
      <c r="X2028" t="str">
        <f t="shared" si="1290"/>
        <v>Lista 5</v>
      </c>
      <c r="Y2028" t="str">
        <f t="shared" si="1291"/>
        <v>Oferta Gral.</v>
      </c>
      <c r="Z2028" t="str">
        <f t="shared" si="1292"/>
        <v>Rubro</v>
      </c>
      <c r="AA2028" t="str">
        <f t="shared" si="1293"/>
        <v>Cantidad por Bulto</v>
      </c>
      <c r="AB2028" t="str">
        <f t="shared" si="1294"/>
        <v>INNER</v>
      </c>
      <c r="AC2028" t="str">
        <f t="shared" si="1295"/>
        <v>Stock en Bultos</v>
      </c>
      <c r="AD2028" t="str">
        <f t="shared" si="1296"/>
        <v>SubDepósito</v>
      </c>
      <c r="AE2028" t="str">
        <f t="shared" si="1297"/>
        <v>Marca</v>
      </c>
      <c r="AF2028" t="str">
        <f t="shared" si="1298"/>
        <v>Super Rubro</v>
      </c>
      <c r="AG2028" t="str">
        <f t="shared" si="1299"/>
        <v>ComercioExterior</v>
      </c>
      <c r="AH2028" t="str">
        <f t="shared" si="1300"/>
        <v>PrecioFOB</v>
      </c>
      <c r="AI2028" t="str">
        <f t="shared" si="1301"/>
        <v>Monto II</v>
      </c>
      <c r="AJ2028" t="str">
        <f t="shared" si="1302"/>
        <v>Porcentaje II</v>
      </c>
      <c r="AK2028" t="str">
        <f t="shared" si="1303"/>
        <v>Foto</v>
      </c>
      <c r="AL2028" t="str">
        <f>"{\rtf1\ansi\ansicpg1252\deff0\deflang11274{\fonttbl{\f0\fnil\fcharset0 MS Sans Serif}} \viewkind4\uc1\pard\f0\fs16 JGO CABLES BUJIAS COMPETICION 9 MM VW GOL POWER 2007 EN AD.\par } "</f>
        <v xml:space="preserve">{\rtf1\ansi\ansicpg1252\deff0\deflang11274{\fonttbl{\f0\fnil\fcharset0 MS Sans Serif}} \viewkind4\uc1\pard\f0\fs16 JGO CABLES BUJIAS COMPETICION 9 MM VW GOL POWER 2007 EN AD.\par } </v>
      </c>
      <c r="AM2028" t="str">
        <f t="shared" si="1316"/>
        <v>-</v>
      </c>
    </row>
    <row r="2029" spans="1:39" x14ac:dyDescent="0.25">
      <c r="A2029" t="str">
        <f>"02-00299"</f>
        <v>02-00299</v>
      </c>
      <c r="B2029" t="str">
        <f>"JGO CABLES BUJIAS COMPETICION 9MM CHEVROLET ASTRA 1.8 8V"</f>
        <v>JGO CABLES BUJIAS COMPETICION 9MM CHEVROLET ASTRA 1.8 8V</v>
      </c>
      <c r="C2029" t="str">
        <f>"$ 57236,43"</f>
        <v>$ 57236,43</v>
      </c>
      <c r="D2029" t="str">
        <f>"$ 57236,43"</f>
        <v>$ 57236,43</v>
      </c>
      <c r="E2029" t="str">
        <f>"$ 57236,43"</f>
        <v>$ 57236,43</v>
      </c>
      <c r="F2029" t="str">
        <f>"$ 57236,43"</f>
        <v>$ 57236,43</v>
      </c>
      <c r="G2029" t="str">
        <f>"$ 57236,43"</f>
        <v>$ 57236,43</v>
      </c>
      <c r="H2029" t="str">
        <f t="shared" si="1286"/>
        <v>$ 0,00</v>
      </c>
      <c r="I2029" t="str">
        <f t="shared" si="1313"/>
        <v>CABLES BUJÍAS COMPETICION 9MM</v>
      </c>
      <c r="J2029" t="str">
        <f t="shared" si="1287"/>
        <v>1</v>
      </c>
      <c r="K2029" t="str">
        <f t="shared" si="1309"/>
        <v>0</v>
      </c>
      <c r="L2029" t="str">
        <f>"11,000"</f>
        <v>11,000</v>
      </c>
      <c r="M2029" t="str">
        <f t="shared" si="1288"/>
        <v xml:space="preserve"> </v>
      </c>
      <c r="N2029" t="str">
        <f t="shared" si="1311"/>
        <v>FERRAZZI</v>
      </c>
      <c r="O2029" t="str">
        <f t="shared" si="1312"/>
        <v>CABLES</v>
      </c>
      <c r="P2029" t="str">
        <f t="shared" si="1314"/>
        <v>0</v>
      </c>
      <c r="Q2029" t="str">
        <f t="shared" si="1314"/>
        <v>0</v>
      </c>
      <c r="R2029" t="str">
        <f t="shared" si="1315"/>
        <v>0,00</v>
      </c>
      <c r="S2029" t="str">
        <f t="shared" si="1315"/>
        <v>0,00</v>
      </c>
      <c r="T2029" t="str">
        <f t="shared" si="1284"/>
        <v xml:space="preserve"> </v>
      </c>
      <c r="U2029" t="str">
        <f t="shared" si="1304"/>
        <v xml:space="preserve"> </v>
      </c>
      <c r="V2029" t="str">
        <f>"11,000"</f>
        <v>11,000</v>
      </c>
      <c r="W2029" t="str">
        <f t="shared" si="1289"/>
        <v>Lista 4</v>
      </c>
      <c r="X2029" t="str">
        <f t="shared" si="1290"/>
        <v>Lista 5</v>
      </c>
      <c r="Y2029" t="str">
        <f t="shared" si="1291"/>
        <v>Oferta Gral.</v>
      </c>
      <c r="Z2029" t="str">
        <f t="shared" si="1292"/>
        <v>Rubro</v>
      </c>
      <c r="AA2029" t="str">
        <f t="shared" si="1293"/>
        <v>Cantidad por Bulto</v>
      </c>
      <c r="AB2029" t="str">
        <f t="shared" si="1294"/>
        <v>INNER</v>
      </c>
      <c r="AC2029" t="str">
        <f t="shared" si="1295"/>
        <v>Stock en Bultos</v>
      </c>
      <c r="AD2029" t="str">
        <f t="shared" si="1296"/>
        <v>SubDepósito</v>
      </c>
      <c r="AE2029" t="str">
        <f t="shared" si="1297"/>
        <v>Marca</v>
      </c>
      <c r="AF2029" t="str">
        <f t="shared" si="1298"/>
        <v>Super Rubro</v>
      </c>
      <c r="AG2029" t="str">
        <f t="shared" si="1299"/>
        <v>ComercioExterior</v>
      </c>
      <c r="AH2029" t="str">
        <f t="shared" si="1300"/>
        <v>PrecioFOB</v>
      </c>
      <c r="AI2029" t="str">
        <f t="shared" si="1301"/>
        <v>Monto II</v>
      </c>
      <c r="AJ2029" t="str">
        <f t="shared" si="1302"/>
        <v>Porcentaje II</v>
      </c>
      <c r="AK2029" t="str">
        <f t="shared" si="1303"/>
        <v>Foto</v>
      </c>
      <c r="AL2029" t="str">
        <f>"{\rtf1\ansi\ansicpg1252\deff0\deflang11274{\fonttbl{\f0\fnil\fcharset0 MS Sans Serif}} \viewkind4\uc1\pard\f0\fs16 JGO CABLES BUJIAS COMPETICION 9MM CHEVROLET ASTRA 1.8 8V\par } "</f>
        <v xml:space="preserve">{\rtf1\ansi\ansicpg1252\deff0\deflang11274{\fonttbl{\f0\fnil\fcharset0 MS Sans Serif}} \viewkind4\uc1\pard\f0\fs16 JGO CABLES BUJIAS COMPETICION 9MM CHEVROLET ASTRA 1.8 8V\par } </v>
      </c>
      <c r="AM2029" t="str">
        <f t="shared" si="1316"/>
        <v>-</v>
      </c>
    </row>
    <row r="2030" spans="1:39" x14ac:dyDescent="0.25">
      <c r="A2030" t="str">
        <f>"02-00295"</f>
        <v>02-00295</v>
      </c>
      <c r="B2030" t="str">
        <f>"JGO CABLES BUJIAS COMPETICION 9MM CHEVROLET CORSA DISTR BOSCH"</f>
        <v>JGO CABLES BUJIAS COMPETICION 9MM CHEVROLET CORSA DISTR BOSCH</v>
      </c>
      <c r="C2030" t="str">
        <f>"$ 64364,05"</f>
        <v>$ 64364,05</v>
      </c>
      <c r="D2030" t="str">
        <f>"$ 64364,05"</f>
        <v>$ 64364,05</v>
      </c>
      <c r="E2030" t="str">
        <f>"$ 64364,05"</f>
        <v>$ 64364,05</v>
      </c>
      <c r="F2030" t="str">
        <f>"$ 64364,05"</f>
        <v>$ 64364,05</v>
      </c>
      <c r="G2030" t="str">
        <f>"$ 64364,05"</f>
        <v>$ 64364,05</v>
      </c>
      <c r="H2030" t="str">
        <f t="shared" si="1286"/>
        <v>$ 0,00</v>
      </c>
      <c r="I2030" t="str">
        <f t="shared" si="1313"/>
        <v>CABLES BUJÍAS COMPETICION 9MM</v>
      </c>
      <c r="J2030" t="str">
        <f t="shared" si="1287"/>
        <v>1</v>
      </c>
      <c r="K2030" t="str">
        <f t="shared" si="1309"/>
        <v>0</v>
      </c>
      <c r="L2030" t="str">
        <f>"7,000"</f>
        <v>7,000</v>
      </c>
      <c r="M2030" t="str">
        <f t="shared" si="1288"/>
        <v xml:space="preserve"> </v>
      </c>
      <c r="N2030" t="str">
        <f t="shared" si="1311"/>
        <v>FERRAZZI</v>
      </c>
      <c r="O2030" t="str">
        <f t="shared" si="1312"/>
        <v>CABLES</v>
      </c>
      <c r="P2030" t="str">
        <f t="shared" si="1314"/>
        <v>0</v>
      </c>
      <c r="Q2030" t="str">
        <f t="shared" si="1314"/>
        <v>0</v>
      </c>
      <c r="R2030" t="str">
        <f t="shared" si="1315"/>
        <v>0,00</v>
      </c>
      <c r="S2030" t="str">
        <f t="shared" si="1315"/>
        <v>0,00</v>
      </c>
      <c r="T2030" t="str">
        <f t="shared" si="1284"/>
        <v xml:space="preserve"> </v>
      </c>
      <c r="U2030" t="str">
        <f t="shared" si="1304"/>
        <v xml:space="preserve"> </v>
      </c>
      <c r="V2030" t="str">
        <f>"7,000"</f>
        <v>7,000</v>
      </c>
      <c r="W2030" t="str">
        <f t="shared" si="1289"/>
        <v>Lista 4</v>
      </c>
      <c r="X2030" t="str">
        <f t="shared" si="1290"/>
        <v>Lista 5</v>
      </c>
      <c r="Y2030" t="str">
        <f t="shared" si="1291"/>
        <v>Oferta Gral.</v>
      </c>
      <c r="Z2030" t="str">
        <f t="shared" si="1292"/>
        <v>Rubro</v>
      </c>
      <c r="AA2030" t="str">
        <f t="shared" si="1293"/>
        <v>Cantidad por Bulto</v>
      </c>
      <c r="AB2030" t="str">
        <f t="shared" si="1294"/>
        <v>INNER</v>
      </c>
      <c r="AC2030" t="str">
        <f t="shared" si="1295"/>
        <v>Stock en Bultos</v>
      </c>
      <c r="AD2030" t="str">
        <f t="shared" si="1296"/>
        <v>SubDepósito</v>
      </c>
      <c r="AE2030" t="str">
        <f t="shared" si="1297"/>
        <v>Marca</v>
      </c>
      <c r="AF2030" t="str">
        <f t="shared" si="1298"/>
        <v>Super Rubro</v>
      </c>
      <c r="AG2030" t="str">
        <f t="shared" si="1299"/>
        <v>ComercioExterior</v>
      </c>
      <c r="AH2030" t="str">
        <f t="shared" si="1300"/>
        <v>PrecioFOB</v>
      </c>
      <c r="AI2030" t="str">
        <f t="shared" si="1301"/>
        <v>Monto II</v>
      </c>
      <c r="AJ2030" t="str">
        <f t="shared" si="1302"/>
        <v>Porcentaje II</v>
      </c>
      <c r="AK2030" t="str">
        <f t="shared" si="1303"/>
        <v>Foto</v>
      </c>
      <c r="AL2030" t="str">
        <f>"{\rtf1\ansi\ansicpg1252\deff0\deflang11274{\fonttbl{\f0\fnil\fcharset0 MS Sans Serif}} \viewkind4\uc1\pard\f0\fs16 JGO CABLES BUJIAS COMPETICION 9MM CHEVROLET CORSA DISTR BOSCH\par } "</f>
        <v xml:space="preserve">{\rtf1\ansi\ansicpg1252\deff0\deflang11274{\fonttbl{\f0\fnil\fcharset0 MS Sans Serif}} \viewkind4\uc1\pard\f0\fs16 JGO CABLES BUJIAS COMPETICION 9MM CHEVROLET CORSA DISTR BOSCH\par } </v>
      </c>
      <c r="AM2030" t="str">
        <f t="shared" si="1316"/>
        <v>-</v>
      </c>
    </row>
    <row r="2031" spans="1:39" x14ac:dyDescent="0.25">
      <c r="A2031" t="str">
        <f>"02-00231"</f>
        <v>02-00231</v>
      </c>
      <c r="B2031" t="str">
        <f>"JGO CABLES BUJIAS COMPETICION 9MM CHEVROLET ONIX/PRISMA"</f>
        <v>JGO CABLES BUJIAS COMPETICION 9MM CHEVROLET ONIX/PRISMA</v>
      </c>
      <c r="C2031" t="str">
        <f>"$ 38879,34"</f>
        <v>$ 38879,34</v>
      </c>
      <c r="D2031" t="str">
        <f>"$ 38879,34"</f>
        <v>$ 38879,34</v>
      </c>
      <c r="E2031" t="str">
        <f>"$ 38879,34"</f>
        <v>$ 38879,34</v>
      </c>
      <c r="F2031" t="str">
        <f>"$ 38879,34"</f>
        <v>$ 38879,34</v>
      </c>
      <c r="G2031" t="str">
        <f>"$ 38879,34"</f>
        <v>$ 38879,34</v>
      </c>
      <c r="H2031" t="str">
        <f t="shared" si="1286"/>
        <v>$ 0,00</v>
      </c>
      <c r="I2031" t="str">
        <f t="shared" si="1313"/>
        <v>CABLES BUJÍAS COMPETICION 9MM</v>
      </c>
      <c r="J2031" t="str">
        <f t="shared" si="1287"/>
        <v>1</v>
      </c>
      <c r="K2031" t="str">
        <f t="shared" si="1309"/>
        <v>0</v>
      </c>
      <c r="L2031" t="str">
        <f>"15,000"</f>
        <v>15,000</v>
      </c>
      <c r="M2031" t="str">
        <f t="shared" si="1288"/>
        <v xml:space="preserve"> </v>
      </c>
      <c r="N2031" t="str">
        <f t="shared" si="1311"/>
        <v>FERRAZZI</v>
      </c>
      <c r="O2031" t="str">
        <f t="shared" si="1312"/>
        <v>CABLES</v>
      </c>
      <c r="P2031" t="str">
        <f t="shared" si="1314"/>
        <v>0</v>
      </c>
      <c r="Q2031" t="str">
        <f t="shared" si="1314"/>
        <v>0</v>
      </c>
      <c r="R2031" t="str">
        <f t="shared" si="1315"/>
        <v>0,00</v>
      </c>
      <c r="S2031" t="str">
        <f t="shared" si="1315"/>
        <v>0,00</v>
      </c>
      <c r="T2031" t="str">
        <f t="shared" si="1284"/>
        <v xml:space="preserve"> </v>
      </c>
      <c r="U2031" t="str">
        <f t="shared" si="1304"/>
        <v xml:space="preserve"> </v>
      </c>
      <c r="V2031" t="str">
        <f>"15,000"</f>
        <v>15,000</v>
      </c>
      <c r="W2031" t="str">
        <f t="shared" si="1289"/>
        <v>Lista 4</v>
      </c>
      <c r="X2031" t="str">
        <f t="shared" si="1290"/>
        <v>Lista 5</v>
      </c>
      <c r="Y2031" t="str">
        <f t="shared" si="1291"/>
        <v>Oferta Gral.</v>
      </c>
      <c r="Z2031" t="str">
        <f t="shared" si="1292"/>
        <v>Rubro</v>
      </c>
      <c r="AA2031" t="str">
        <f t="shared" si="1293"/>
        <v>Cantidad por Bulto</v>
      </c>
      <c r="AB2031" t="str">
        <f t="shared" si="1294"/>
        <v>INNER</v>
      </c>
      <c r="AC2031" t="str">
        <f t="shared" si="1295"/>
        <v>Stock en Bultos</v>
      </c>
      <c r="AD2031" t="str">
        <f t="shared" si="1296"/>
        <v>SubDepósito</v>
      </c>
      <c r="AE2031" t="str">
        <f t="shared" si="1297"/>
        <v>Marca</v>
      </c>
      <c r="AF2031" t="str">
        <f t="shared" si="1298"/>
        <v>Super Rubro</v>
      </c>
      <c r="AG2031" t="str">
        <f t="shared" si="1299"/>
        <v>ComercioExterior</v>
      </c>
      <c r="AH2031" t="str">
        <f t="shared" si="1300"/>
        <v>PrecioFOB</v>
      </c>
      <c r="AI2031" t="str">
        <f t="shared" si="1301"/>
        <v>Monto II</v>
      </c>
      <c r="AJ2031" t="str">
        <f t="shared" si="1302"/>
        <v>Porcentaje II</v>
      </c>
      <c r="AK2031" t="str">
        <f t="shared" si="1303"/>
        <v>Foto</v>
      </c>
      <c r="AL2031" t="str">
        <f>"{\rtf1\ansi\ansicpg1252\deff0\deflang11274{\fonttbl{\f0\fnil\fcharset0 MS Sans Serif}} \viewkind4\uc1\pard\f0\fs16 JGO CABLES BUJIAS COMPETICION 9MM CHEVROLET ONIX/PRISMA\par } "</f>
        <v xml:space="preserve">{\rtf1\ansi\ansicpg1252\deff0\deflang11274{\fonttbl{\f0\fnil\fcharset0 MS Sans Serif}} \viewkind4\uc1\pard\f0\fs16 JGO CABLES BUJIAS COMPETICION 9MM CHEVROLET ONIX/PRISMA\par } </v>
      </c>
      <c r="AM2031" t="str">
        <f t="shared" si="1316"/>
        <v>-</v>
      </c>
    </row>
    <row r="2032" spans="1:39" x14ac:dyDescent="0.25">
      <c r="A2032" t="str">
        <f>"03-00291"</f>
        <v>03-00291</v>
      </c>
      <c r="B2032" t="str">
        <f>"JGO CABLES BUJIAS COMPETICION 9MM DODGE POLARA VALIANT"</f>
        <v>JGO CABLES BUJIAS COMPETICION 9MM DODGE POLARA VALIANT</v>
      </c>
      <c r="C2032" t="str">
        <f>"$ 50922,70"</f>
        <v>$ 50922,70</v>
      </c>
      <c r="D2032" t="str">
        <f>"$ 50922,70"</f>
        <v>$ 50922,70</v>
      </c>
      <c r="E2032" t="str">
        <f>"$ 50922,70"</f>
        <v>$ 50922,70</v>
      </c>
      <c r="F2032" t="str">
        <f>"$ 50922,70"</f>
        <v>$ 50922,70</v>
      </c>
      <c r="G2032" t="str">
        <f>"$ 50922,70"</f>
        <v>$ 50922,70</v>
      </c>
      <c r="H2032" t="str">
        <f t="shared" si="1286"/>
        <v>$ 0,00</v>
      </c>
      <c r="I2032" t="str">
        <f t="shared" si="1313"/>
        <v>CABLES BUJÍAS COMPETICION 9MM</v>
      </c>
      <c r="J2032" t="str">
        <f t="shared" si="1287"/>
        <v>1</v>
      </c>
      <c r="K2032" t="str">
        <f t="shared" si="1309"/>
        <v>0</v>
      </c>
      <c r="L2032" t="str">
        <f>"8,000"</f>
        <v>8,000</v>
      </c>
      <c r="M2032" t="str">
        <f t="shared" si="1288"/>
        <v xml:space="preserve"> </v>
      </c>
      <c r="N2032" t="str">
        <f t="shared" si="1311"/>
        <v>FERRAZZI</v>
      </c>
      <c r="O2032" t="str">
        <f t="shared" si="1312"/>
        <v>CABLES</v>
      </c>
      <c r="P2032" t="str">
        <f t="shared" si="1314"/>
        <v>0</v>
      </c>
      <c r="Q2032" t="str">
        <f t="shared" si="1314"/>
        <v>0</v>
      </c>
      <c r="R2032" t="str">
        <f t="shared" si="1315"/>
        <v>0,00</v>
      </c>
      <c r="S2032" t="str">
        <f t="shared" si="1315"/>
        <v>0,00</v>
      </c>
      <c r="T2032" t="str">
        <f t="shared" si="1284"/>
        <v xml:space="preserve"> </v>
      </c>
      <c r="U2032" t="str">
        <f t="shared" si="1304"/>
        <v xml:space="preserve"> </v>
      </c>
      <c r="V2032" t="str">
        <f>"8,000"</f>
        <v>8,000</v>
      </c>
      <c r="W2032" t="str">
        <f t="shared" si="1289"/>
        <v>Lista 4</v>
      </c>
      <c r="X2032" t="str">
        <f t="shared" si="1290"/>
        <v>Lista 5</v>
      </c>
      <c r="Y2032" t="str">
        <f t="shared" si="1291"/>
        <v>Oferta Gral.</v>
      </c>
      <c r="Z2032" t="str">
        <f t="shared" si="1292"/>
        <v>Rubro</v>
      </c>
      <c r="AA2032" t="str">
        <f t="shared" si="1293"/>
        <v>Cantidad por Bulto</v>
      </c>
      <c r="AB2032" t="str">
        <f t="shared" si="1294"/>
        <v>INNER</v>
      </c>
      <c r="AC2032" t="str">
        <f t="shared" si="1295"/>
        <v>Stock en Bultos</v>
      </c>
      <c r="AD2032" t="str">
        <f t="shared" si="1296"/>
        <v>SubDepósito</v>
      </c>
      <c r="AE2032" t="str">
        <f t="shared" si="1297"/>
        <v>Marca</v>
      </c>
      <c r="AF2032" t="str">
        <f t="shared" si="1298"/>
        <v>Super Rubro</v>
      </c>
      <c r="AG2032" t="str">
        <f t="shared" si="1299"/>
        <v>ComercioExterior</v>
      </c>
      <c r="AH2032" t="str">
        <f t="shared" si="1300"/>
        <v>PrecioFOB</v>
      </c>
      <c r="AI2032" t="str">
        <f t="shared" si="1301"/>
        <v>Monto II</v>
      </c>
      <c r="AJ2032" t="str">
        <f t="shared" si="1302"/>
        <v>Porcentaje II</v>
      </c>
      <c r="AK2032" t="str">
        <f t="shared" si="1303"/>
        <v>Foto</v>
      </c>
      <c r="AL2032" t="str">
        <f>"{\rtf1\ansi\ansicpg1252\deff0\deflang11274{\fonttbl{\f0\fnil\fcharset0 MS Sans Serif}} \viewkind4\uc1\pard\f0\fs16 JGO CABLES BUJIAS COMPETICION 9MM DODGE POLARA VALIANT\par } "</f>
        <v xml:space="preserve">{\rtf1\ansi\ansicpg1252\deff0\deflang11274{\fonttbl{\f0\fnil\fcharset0 MS Sans Serif}} \viewkind4\uc1\pard\f0\fs16 JGO CABLES BUJIAS COMPETICION 9MM DODGE POLARA VALIANT\par } </v>
      </c>
      <c r="AM2032" t="str">
        <f t="shared" si="1316"/>
        <v>-</v>
      </c>
    </row>
    <row r="2033" spans="1:39" x14ac:dyDescent="0.25">
      <c r="A2033" t="str">
        <f>"04-00293"</f>
        <v>04-00293</v>
      </c>
      <c r="B2033" t="str">
        <f>"JGO CABLES BUJIAS COMPETICION 9MM ECOSPORT 2.0 16V"</f>
        <v>JGO CABLES BUJIAS COMPETICION 9MM ECOSPORT 2.0 16V</v>
      </c>
      <c r="C2033" t="str">
        <f>"$ 62874,97"</f>
        <v>$ 62874,97</v>
      </c>
      <c r="D2033" t="str">
        <f>"$ 62874,97"</f>
        <v>$ 62874,97</v>
      </c>
      <c r="E2033" t="str">
        <f>"$ 62874,97"</f>
        <v>$ 62874,97</v>
      </c>
      <c r="F2033" t="str">
        <f>"$ 62874,97"</f>
        <v>$ 62874,97</v>
      </c>
      <c r="G2033" t="str">
        <f>"$ 62874,97"</f>
        <v>$ 62874,97</v>
      </c>
      <c r="H2033" t="str">
        <f t="shared" si="1286"/>
        <v>$ 0,00</v>
      </c>
      <c r="I2033" t="str">
        <f t="shared" si="1313"/>
        <v>CABLES BUJÍAS COMPETICION 9MM</v>
      </c>
      <c r="J2033" t="str">
        <f t="shared" si="1287"/>
        <v>1</v>
      </c>
      <c r="K2033" t="str">
        <f t="shared" si="1309"/>
        <v>0</v>
      </c>
      <c r="L2033" t="str">
        <f>"3,000"</f>
        <v>3,000</v>
      </c>
      <c r="M2033" t="str">
        <f t="shared" si="1288"/>
        <v xml:space="preserve"> </v>
      </c>
      <c r="N2033" t="str">
        <f t="shared" si="1311"/>
        <v>FERRAZZI</v>
      </c>
      <c r="O2033" t="str">
        <f t="shared" si="1312"/>
        <v>CABLES</v>
      </c>
      <c r="P2033" t="str">
        <f t="shared" si="1314"/>
        <v>0</v>
      </c>
      <c r="Q2033" t="str">
        <f t="shared" si="1314"/>
        <v>0</v>
      </c>
      <c r="R2033" t="str">
        <f t="shared" si="1315"/>
        <v>0,00</v>
      </c>
      <c r="S2033" t="str">
        <f t="shared" si="1315"/>
        <v>0,00</v>
      </c>
      <c r="T2033" t="str">
        <f t="shared" si="1284"/>
        <v xml:space="preserve"> </v>
      </c>
      <c r="U2033" t="str">
        <f t="shared" si="1304"/>
        <v xml:space="preserve"> </v>
      </c>
      <c r="V2033" t="str">
        <f>"3,000"</f>
        <v>3,000</v>
      </c>
      <c r="W2033" t="str">
        <f t="shared" si="1289"/>
        <v>Lista 4</v>
      </c>
      <c r="X2033" t="str">
        <f t="shared" si="1290"/>
        <v>Lista 5</v>
      </c>
      <c r="Y2033" t="str">
        <f t="shared" si="1291"/>
        <v>Oferta Gral.</v>
      </c>
      <c r="Z2033" t="str">
        <f t="shared" si="1292"/>
        <v>Rubro</v>
      </c>
      <c r="AA2033" t="str">
        <f t="shared" si="1293"/>
        <v>Cantidad por Bulto</v>
      </c>
      <c r="AB2033" t="str">
        <f t="shared" si="1294"/>
        <v>INNER</v>
      </c>
      <c r="AC2033" t="str">
        <f t="shared" si="1295"/>
        <v>Stock en Bultos</v>
      </c>
      <c r="AD2033" t="str">
        <f t="shared" si="1296"/>
        <v>SubDepósito</v>
      </c>
      <c r="AE2033" t="str">
        <f t="shared" si="1297"/>
        <v>Marca</v>
      </c>
      <c r="AF2033" t="str">
        <f t="shared" si="1298"/>
        <v>Super Rubro</v>
      </c>
      <c r="AG2033" t="str">
        <f t="shared" si="1299"/>
        <v>ComercioExterior</v>
      </c>
      <c r="AH2033" t="str">
        <f t="shared" si="1300"/>
        <v>PrecioFOB</v>
      </c>
      <c r="AI2033" t="str">
        <f t="shared" si="1301"/>
        <v>Monto II</v>
      </c>
      <c r="AJ2033" t="str">
        <f t="shared" si="1302"/>
        <v>Porcentaje II</v>
      </c>
      <c r="AK2033" t="str">
        <f t="shared" si="1303"/>
        <v>Foto</v>
      </c>
      <c r="AL2033" t="str">
        <f>"{\rtf1\ansi\ansicpg1252\deff0\deflang11274{\fonttbl{\f0\fnil\fcharset0 MS Sans Serif}} \viewkind4\uc1\pard\f0\fs16 JGO CABLES BUJIAS COMPETICION 9MM ECOSPORT 2.0 16V\par } "</f>
        <v xml:space="preserve">{\rtf1\ansi\ansicpg1252\deff0\deflang11274{\fonttbl{\f0\fnil\fcharset0 MS Sans Serif}} \viewkind4\uc1\pard\f0\fs16 JGO CABLES BUJIAS COMPETICION 9MM ECOSPORT 2.0 16V\par } </v>
      </c>
      <c r="AM2033" t="str">
        <f t="shared" si="1316"/>
        <v>-</v>
      </c>
    </row>
    <row r="2034" spans="1:39" x14ac:dyDescent="0.25">
      <c r="A2034" t="str">
        <f>"04-00263"</f>
        <v>04-00263</v>
      </c>
      <c r="B2034" t="str">
        <f>"JGO CABLES BUJIAS COMPETICION 9MM FALCON ENC DURASPARK"</f>
        <v>JGO CABLES BUJIAS COMPETICION 9MM FALCON ENC DURASPARK</v>
      </c>
      <c r="C2034" t="str">
        <f>"$ 54110,52"</f>
        <v>$ 54110,52</v>
      </c>
      <c r="D2034" t="str">
        <f>"$ 54110,52"</f>
        <v>$ 54110,52</v>
      </c>
      <c r="E2034" t="str">
        <f>"$ 54110,52"</f>
        <v>$ 54110,52</v>
      </c>
      <c r="F2034" t="str">
        <f>"$ 54110,52"</f>
        <v>$ 54110,52</v>
      </c>
      <c r="G2034" t="str">
        <f>"$ 54110,52"</f>
        <v>$ 54110,52</v>
      </c>
      <c r="H2034" t="str">
        <f t="shared" si="1286"/>
        <v>$ 0,00</v>
      </c>
      <c r="I2034" t="str">
        <f t="shared" si="1313"/>
        <v>CABLES BUJÍAS COMPETICION 9MM</v>
      </c>
      <c r="J2034" t="str">
        <f t="shared" si="1287"/>
        <v>1</v>
      </c>
      <c r="K2034" t="str">
        <f t="shared" si="1309"/>
        <v>0</v>
      </c>
      <c r="L2034" t="str">
        <f>"4,000"</f>
        <v>4,000</v>
      </c>
      <c r="M2034" t="str">
        <f t="shared" si="1288"/>
        <v xml:space="preserve"> </v>
      </c>
      <c r="N2034" t="str">
        <f t="shared" si="1311"/>
        <v>FERRAZZI</v>
      </c>
      <c r="O2034" t="str">
        <f t="shared" si="1312"/>
        <v>CABLES</v>
      </c>
      <c r="P2034" t="str">
        <f t="shared" si="1314"/>
        <v>0</v>
      </c>
      <c r="Q2034" t="str">
        <f t="shared" si="1314"/>
        <v>0</v>
      </c>
      <c r="R2034" t="str">
        <f t="shared" si="1315"/>
        <v>0,00</v>
      </c>
      <c r="S2034" t="str">
        <f t="shared" si="1315"/>
        <v>0,00</v>
      </c>
      <c r="T2034" t="str">
        <f t="shared" si="1284"/>
        <v xml:space="preserve"> </v>
      </c>
      <c r="U2034" t="str">
        <f t="shared" si="1304"/>
        <v xml:space="preserve"> </v>
      </c>
      <c r="V2034" t="str">
        <f>"4,000"</f>
        <v>4,000</v>
      </c>
      <c r="W2034" t="str">
        <f t="shared" si="1289"/>
        <v>Lista 4</v>
      </c>
      <c r="X2034" t="str">
        <f t="shared" si="1290"/>
        <v>Lista 5</v>
      </c>
      <c r="Y2034" t="str">
        <f t="shared" si="1291"/>
        <v>Oferta Gral.</v>
      </c>
      <c r="Z2034" t="str">
        <f t="shared" si="1292"/>
        <v>Rubro</v>
      </c>
      <c r="AA2034" t="str">
        <f t="shared" si="1293"/>
        <v>Cantidad por Bulto</v>
      </c>
      <c r="AB2034" t="str">
        <f t="shared" si="1294"/>
        <v>INNER</v>
      </c>
      <c r="AC2034" t="str">
        <f t="shared" si="1295"/>
        <v>Stock en Bultos</v>
      </c>
      <c r="AD2034" t="str">
        <f t="shared" si="1296"/>
        <v>SubDepósito</v>
      </c>
      <c r="AE2034" t="str">
        <f t="shared" si="1297"/>
        <v>Marca</v>
      </c>
      <c r="AF2034" t="str">
        <f t="shared" si="1298"/>
        <v>Super Rubro</v>
      </c>
      <c r="AG2034" t="str">
        <f t="shared" si="1299"/>
        <v>ComercioExterior</v>
      </c>
      <c r="AH2034" t="str">
        <f t="shared" si="1300"/>
        <v>PrecioFOB</v>
      </c>
      <c r="AI2034" t="str">
        <f t="shared" si="1301"/>
        <v>Monto II</v>
      </c>
      <c r="AJ2034" t="str">
        <f t="shared" si="1302"/>
        <v>Porcentaje II</v>
      </c>
      <c r="AK2034" t="str">
        <f t="shared" si="1303"/>
        <v>Foto</v>
      </c>
      <c r="AL2034" t="str">
        <f>"{\rtf1\ansi\ansicpg1252\deff0\deflang11274{\fonttbl{\f0\fnil\fcharset0 MS Sans Serif}} \viewkind4\uc1\pard\f0\fs16 JGO CABLES BUJIAS COMPETICION 9MM FALCON ENC DURASPARK\par } "</f>
        <v xml:space="preserve">{\rtf1\ansi\ansicpg1252\deff0\deflang11274{\fonttbl{\f0\fnil\fcharset0 MS Sans Serif}} \viewkind4\uc1\pard\f0\fs16 JGO CABLES BUJIAS COMPETICION 9MM FALCON ENC DURASPARK\par } </v>
      </c>
      <c r="AM2034" t="str">
        <f t="shared" si="1316"/>
        <v>-</v>
      </c>
    </row>
    <row r="2035" spans="1:39" x14ac:dyDescent="0.25">
      <c r="A2035" t="str">
        <f>"05-00240"</f>
        <v>05-00240</v>
      </c>
      <c r="B2035" t="str">
        <f>"JGO CABLES BUJIAS COMPETICION 9MM FIAT 600/800"</f>
        <v>JGO CABLES BUJIAS COMPETICION 9MM FIAT 600/800</v>
      </c>
      <c r="C2035" t="str">
        <f>"$ 42473,11"</f>
        <v>$ 42473,11</v>
      </c>
      <c r="D2035" t="str">
        <f>"$ 42473,11"</f>
        <v>$ 42473,11</v>
      </c>
      <c r="E2035" t="str">
        <f>"$ 42473,11"</f>
        <v>$ 42473,11</v>
      </c>
      <c r="F2035" t="str">
        <f>"$ 42473,11"</f>
        <v>$ 42473,11</v>
      </c>
      <c r="G2035" t="str">
        <f>"$ 42473,11"</f>
        <v>$ 42473,11</v>
      </c>
      <c r="H2035" t="str">
        <f t="shared" si="1286"/>
        <v>$ 0,00</v>
      </c>
      <c r="I2035" t="str">
        <f t="shared" si="1313"/>
        <v>CABLES BUJÍAS COMPETICION 9MM</v>
      </c>
      <c r="J2035" t="str">
        <f t="shared" si="1287"/>
        <v>1</v>
      </c>
      <c r="K2035" t="str">
        <f t="shared" si="1309"/>
        <v>0</v>
      </c>
      <c r="L2035" t="str">
        <f>"16,000"</f>
        <v>16,000</v>
      </c>
      <c r="M2035" t="str">
        <f t="shared" si="1288"/>
        <v xml:space="preserve"> </v>
      </c>
      <c r="N2035" t="str">
        <f t="shared" si="1311"/>
        <v>FERRAZZI</v>
      </c>
      <c r="O2035" t="str">
        <f t="shared" si="1312"/>
        <v>CABLES</v>
      </c>
      <c r="P2035" t="str">
        <f t="shared" si="1314"/>
        <v>0</v>
      </c>
      <c r="Q2035" t="str">
        <f t="shared" si="1314"/>
        <v>0</v>
      </c>
      <c r="R2035" t="str">
        <f t="shared" si="1315"/>
        <v>0,00</v>
      </c>
      <c r="S2035" t="str">
        <f t="shared" si="1315"/>
        <v>0,00</v>
      </c>
      <c r="T2035" t="str">
        <f t="shared" si="1284"/>
        <v xml:space="preserve"> </v>
      </c>
      <c r="U2035" t="str">
        <f t="shared" si="1304"/>
        <v xml:space="preserve"> </v>
      </c>
      <c r="V2035" t="str">
        <f>"16,000"</f>
        <v>16,000</v>
      </c>
      <c r="W2035" t="str">
        <f t="shared" si="1289"/>
        <v>Lista 4</v>
      </c>
      <c r="X2035" t="str">
        <f t="shared" si="1290"/>
        <v>Lista 5</v>
      </c>
      <c r="Y2035" t="str">
        <f t="shared" si="1291"/>
        <v>Oferta Gral.</v>
      </c>
      <c r="Z2035" t="str">
        <f t="shared" si="1292"/>
        <v>Rubro</v>
      </c>
      <c r="AA2035" t="str">
        <f t="shared" si="1293"/>
        <v>Cantidad por Bulto</v>
      </c>
      <c r="AB2035" t="str">
        <f t="shared" si="1294"/>
        <v>INNER</v>
      </c>
      <c r="AC2035" t="str">
        <f t="shared" si="1295"/>
        <v>Stock en Bultos</v>
      </c>
      <c r="AD2035" t="str">
        <f t="shared" si="1296"/>
        <v>SubDepósito</v>
      </c>
      <c r="AE2035" t="str">
        <f t="shared" si="1297"/>
        <v>Marca</v>
      </c>
      <c r="AF2035" t="str">
        <f t="shared" si="1298"/>
        <v>Super Rubro</v>
      </c>
      <c r="AG2035" t="str">
        <f t="shared" si="1299"/>
        <v>ComercioExterior</v>
      </c>
      <c r="AH2035" t="str">
        <f t="shared" si="1300"/>
        <v>PrecioFOB</v>
      </c>
      <c r="AI2035" t="str">
        <f t="shared" si="1301"/>
        <v>Monto II</v>
      </c>
      <c r="AJ2035" t="str">
        <f t="shared" si="1302"/>
        <v>Porcentaje II</v>
      </c>
      <c r="AK2035" t="str">
        <f t="shared" si="1303"/>
        <v>Foto</v>
      </c>
      <c r="AL2035" t="str">
        <f>"{\rtf1\ansi\ansicpg1252\deff0\deflang11274{\fonttbl{\f0\fnil\fcharset0 MS Sans Serif}} \viewkind4\uc1\pard\f0\fs16 JGO CABLES BUJIAS COMPETICION 9MM FIAT 600/800\par } "</f>
        <v xml:space="preserve">{\rtf1\ansi\ansicpg1252\deff0\deflang11274{\fonttbl{\f0\fnil\fcharset0 MS Sans Serif}} \viewkind4\uc1\pard\f0\fs16 JGO CABLES BUJIAS COMPETICION 9MM FIAT 600/800\par } </v>
      </c>
      <c r="AM2035" t="str">
        <f t="shared" si="1316"/>
        <v>-</v>
      </c>
    </row>
    <row r="2036" spans="1:39" x14ac:dyDescent="0.25">
      <c r="A2036" t="str">
        <f>"05-00267"</f>
        <v>05-00267</v>
      </c>
      <c r="B2036" t="str">
        <f>"JGO CABLES BUJIAS COMPETICION 9MM FIAT NOVO UNO/PALIO/500"</f>
        <v>JGO CABLES BUJIAS COMPETICION 9MM FIAT NOVO UNO/PALIO/500</v>
      </c>
      <c r="C2036" t="str">
        <f>"$ 33391,01"</f>
        <v>$ 33391,01</v>
      </c>
      <c r="D2036" t="str">
        <f>"$ 33391,01"</f>
        <v>$ 33391,01</v>
      </c>
      <c r="E2036" t="str">
        <f>"$ 33391,01"</f>
        <v>$ 33391,01</v>
      </c>
      <c r="F2036" t="str">
        <f>"$ 33391,01"</f>
        <v>$ 33391,01</v>
      </c>
      <c r="G2036" t="str">
        <f>"$ 33391,01"</f>
        <v>$ 33391,01</v>
      </c>
      <c r="H2036" t="str">
        <f t="shared" si="1286"/>
        <v>$ 0,00</v>
      </c>
      <c r="I2036" t="str">
        <f t="shared" si="1313"/>
        <v>CABLES BUJÍAS COMPETICION 9MM</v>
      </c>
      <c r="J2036" t="str">
        <f t="shared" si="1287"/>
        <v>1</v>
      </c>
      <c r="K2036" t="str">
        <f t="shared" si="1309"/>
        <v>0</v>
      </c>
      <c r="L2036" t="str">
        <f>"7,000"</f>
        <v>7,000</v>
      </c>
      <c r="M2036" t="str">
        <f t="shared" si="1288"/>
        <v xml:space="preserve"> </v>
      </c>
      <c r="N2036" t="str">
        <f t="shared" si="1311"/>
        <v>FERRAZZI</v>
      </c>
      <c r="O2036" t="str">
        <f t="shared" si="1312"/>
        <v>CABLES</v>
      </c>
      <c r="P2036" t="str">
        <f t="shared" si="1314"/>
        <v>0</v>
      </c>
      <c r="Q2036" t="str">
        <f t="shared" si="1314"/>
        <v>0</v>
      </c>
      <c r="R2036" t="str">
        <f t="shared" si="1315"/>
        <v>0,00</v>
      </c>
      <c r="S2036" t="str">
        <f t="shared" si="1315"/>
        <v>0,00</v>
      </c>
      <c r="T2036" t="str">
        <f t="shared" si="1284"/>
        <v xml:space="preserve"> </v>
      </c>
      <c r="U2036" t="str">
        <f t="shared" si="1304"/>
        <v xml:space="preserve"> </v>
      </c>
      <c r="V2036" t="str">
        <f>"7,000"</f>
        <v>7,000</v>
      </c>
      <c r="W2036" t="str">
        <f t="shared" si="1289"/>
        <v>Lista 4</v>
      </c>
      <c r="X2036" t="str">
        <f t="shared" si="1290"/>
        <v>Lista 5</v>
      </c>
      <c r="Y2036" t="str">
        <f t="shared" si="1291"/>
        <v>Oferta Gral.</v>
      </c>
      <c r="Z2036" t="str">
        <f t="shared" si="1292"/>
        <v>Rubro</v>
      </c>
      <c r="AA2036" t="str">
        <f t="shared" si="1293"/>
        <v>Cantidad por Bulto</v>
      </c>
      <c r="AB2036" t="str">
        <f t="shared" si="1294"/>
        <v>INNER</v>
      </c>
      <c r="AC2036" t="str">
        <f t="shared" si="1295"/>
        <v>Stock en Bultos</v>
      </c>
      <c r="AD2036" t="str">
        <f t="shared" si="1296"/>
        <v>SubDepósito</v>
      </c>
      <c r="AE2036" t="str">
        <f t="shared" si="1297"/>
        <v>Marca</v>
      </c>
      <c r="AF2036" t="str">
        <f t="shared" si="1298"/>
        <v>Super Rubro</v>
      </c>
      <c r="AG2036" t="str">
        <f t="shared" si="1299"/>
        <v>ComercioExterior</v>
      </c>
      <c r="AH2036" t="str">
        <f t="shared" si="1300"/>
        <v>PrecioFOB</v>
      </c>
      <c r="AI2036" t="str">
        <f t="shared" si="1301"/>
        <v>Monto II</v>
      </c>
      <c r="AJ2036" t="str">
        <f t="shared" si="1302"/>
        <v>Porcentaje II</v>
      </c>
      <c r="AK2036" t="str">
        <f t="shared" si="1303"/>
        <v>Foto</v>
      </c>
      <c r="AL2036" t="str">
        <f>"{\rtf1\ansi\ansicpg1252\deff0\deflang11274{\fonttbl{\f0\fnil\fcharset0 MS Sans Serif}} \viewkind4\uc1\pard\f0\fs16 JGO CABLES BUJIAS COMPETICION 9MM FIAT NOVO UNO/PALIO/500\par } "</f>
        <v xml:space="preserve">{\rtf1\ansi\ansicpg1252\deff0\deflang11274{\fonttbl{\f0\fnil\fcharset0 MS Sans Serif}} \viewkind4\uc1\pard\f0\fs16 JGO CABLES BUJIAS COMPETICION 9MM FIAT NOVO UNO/PALIO/500\par } </v>
      </c>
      <c r="AM2036" t="str">
        <f t="shared" si="1316"/>
        <v>-</v>
      </c>
    </row>
    <row r="2037" spans="1:39" x14ac:dyDescent="0.25">
      <c r="A2037" t="str">
        <f>"05-00263"</f>
        <v>05-00263</v>
      </c>
      <c r="B2037" t="str">
        <f>"JGO CABLES BUJIAS COMPETICION 9MM FIAT PALIO/SIENA FIRE 1.3 (2 BOBINAS)"</f>
        <v>JGO CABLES BUJIAS COMPETICION 9MM FIAT PALIO/SIENA FIRE 1.3 (2 BOBINAS)</v>
      </c>
      <c r="C2037" t="str">
        <f>"$ 37251,80"</f>
        <v>$ 37251,80</v>
      </c>
      <c r="D2037" t="str">
        <f>"$ 37251,80"</f>
        <v>$ 37251,80</v>
      </c>
      <c r="E2037" t="str">
        <f>"$ 37251,80"</f>
        <v>$ 37251,80</v>
      </c>
      <c r="F2037" t="str">
        <f>"$ 37251,80"</f>
        <v>$ 37251,80</v>
      </c>
      <c r="G2037" t="str">
        <f>"$ 37251,80"</f>
        <v>$ 37251,80</v>
      </c>
      <c r="H2037" t="str">
        <f t="shared" si="1286"/>
        <v>$ 0,00</v>
      </c>
      <c r="I2037" t="str">
        <f t="shared" si="1313"/>
        <v>CABLES BUJÍAS COMPETICION 9MM</v>
      </c>
      <c r="J2037" t="str">
        <f t="shared" si="1287"/>
        <v>1</v>
      </c>
      <c r="K2037" t="str">
        <f t="shared" si="1309"/>
        <v>0</v>
      </c>
      <c r="L2037" t="str">
        <f>"6,000"</f>
        <v>6,000</v>
      </c>
      <c r="M2037" t="str">
        <f t="shared" si="1288"/>
        <v xml:space="preserve"> </v>
      </c>
      <c r="N2037" t="str">
        <f t="shared" si="1311"/>
        <v>FERRAZZI</v>
      </c>
      <c r="O2037" t="str">
        <f t="shared" si="1312"/>
        <v>CABLES</v>
      </c>
      <c r="P2037" t="str">
        <f t="shared" si="1314"/>
        <v>0</v>
      </c>
      <c r="Q2037" t="str">
        <f t="shared" si="1314"/>
        <v>0</v>
      </c>
      <c r="R2037" t="str">
        <f t="shared" si="1315"/>
        <v>0,00</v>
      </c>
      <c r="S2037" t="str">
        <f t="shared" si="1315"/>
        <v>0,00</v>
      </c>
      <c r="T2037" t="str">
        <f t="shared" si="1284"/>
        <v xml:space="preserve"> </v>
      </c>
      <c r="U2037" t="str">
        <f t="shared" si="1304"/>
        <v xml:space="preserve"> </v>
      </c>
      <c r="V2037" t="str">
        <f>"6,000"</f>
        <v>6,000</v>
      </c>
      <c r="W2037" t="str">
        <f t="shared" si="1289"/>
        <v>Lista 4</v>
      </c>
      <c r="X2037" t="str">
        <f t="shared" si="1290"/>
        <v>Lista 5</v>
      </c>
      <c r="Y2037" t="str">
        <f t="shared" si="1291"/>
        <v>Oferta Gral.</v>
      </c>
      <c r="Z2037" t="str">
        <f t="shared" si="1292"/>
        <v>Rubro</v>
      </c>
      <c r="AA2037" t="str">
        <f t="shared" si="1293"/>
        <v>Cantidad por Bulto</v>
      </c>
      <c r="AB2037" t="str">
        <f t="shared" si="1294"/>
        <v>INNER</v>
      </c>
      <c r="AC2037" t="str">
        <f t="shared" si="1295"/>
        <v>Stock en Bultos</v>
      </c>
      <c r="AD2037" t="str">
        <f t="shared" si="1296"/>
        <v>SubDepósito</v>
      </c>
      <c r="AE2037" t="str">
        <f t="shared" si="1297"/>
        <v>Marca</v>
      </c>
      <c r="AF2037" t="str">
        <f t="shared" si="1298"/>
        <v>Super Rubro</v>
      </c>
      <c r="AG2037" t="str">
        <f t="shared" si="1299"/>
        <v>ComercioExterior</v>
      </c>
      <c r="AH2037" t="str">
        <f t="shared" si="1300"/>
        <v>PrecioFOB</v>
      </c>
      <c r="AI2037" t="str">
        <f t="shared" si="1301"/>
        <v>Monto II</v>
      </c>
      <c r="AJ2037" t="str">
        <f t="shared" si="1302"/>
        <v>Porcentaje II</v>
      </c>
      <c r="AK2037" t="str">
        <f t="shared" si="1303"/>
        <v>Foto</v>
      </c>
      <c r="AL2037" t="str">
        <f>"{\rtf1\ansi\ansicpg1252\deff0\deflang11274{\fonttbl{\f0\fnil\fcharset0 MS Sans Serif}} \viewkind4\uc1\pard\f0\fs16 JGO CABLES BUJIAS COMPETICION 9MM FIAT PALIO/SIENA FIRE 1.3 (2 BOBINAS)\par } "</f>
        <v xml:space="preserve">{\rtf1\ansi\ansicpg1252\deff0\deflang11274{\fonttbl{\f0\fnil\fcharset0 MS Sans Serif}} \viewkind4\uc1\pard\f0\fs16 JGO CABLES BUJIAS COMPETICION 9MM FIAT PALIO/SIENA FIRE 1.3 (2 BOBINAS)\par } </v>
      </c>
      <c r="AM2037" t="str">
        <f t="shared" si="1316"/>
        <v>-</v>
      </c>
    </row>
    <row r="2038" spans="1:39" x14ac:dyDescent="0.25">
      <c r="A2038" t="str">
        <f>"05-00260"</f>
        <v>05-00260</v>
      </c>
      <c r="B2038" t="str">
        <f>"JGO CABLES BUJIAS COMPETICION 9MM FIAT PALIO/SIENA MONOPUNTO"</f>
        <v>JGO CABLES BUJIAS COMPETICION 9MM FIAT PALIO/SIENA MONOPUNTO</v>
      </c>
      <c r="C2038" t="str">
        <f>"$ 38274,24"</f>
        <v>$ 38274,24</v>
      </c>
      <c r="D2038" t="str">
        <f>"$ 38274,24"</f>
        <v>$ 38274,24</v>
      </c>
      <c r="E2038" t="str">
        <f>"$ 38274,24"</f>
        <v>$ 38274,24</v>
      </c>
      <c r="F2038" t="str">
        <f>"$ 38274,24"</f>
        <v>$ 38274,24</v>
      </c>
      <c r="G2038" t="str">
        <f>"$ 38274,24"</f>
        <v>$ 38274,24</v>
      </c>
      <c r="H2038" t="str">
        <f t="shared" si="1286"/>
        <v>$ 0,00</v>
      </c>
      <c r="I2038" t="str">
        <f t="shared" si="1313"/>
        <v>CABLES BUJÍAS COMPETICION 9MM</v>
      </c>
      <c r="J2038" t="str">
        <f t="shared" si="1287"/>
        <v>1</v>
      </c>
      <c r="K2038" t="str">
        <f t="shared" si="1309"/>
        <v>0</v>
      </c>
      <c r="L2038" t="str">
        <f>"8,000"</f>
        <v>8,000</v>
      </c>
      <c r="M2038" t="str">
        <f t="shared" si="1288"/>
        <v xml:space="preserve"> </v>
      </c>
      <c r="N2038" t="str">
        <f t="shared" si="1311"/>
        <v>FERRAZZI</v>
      </c>
      <c r="O2038" t="str">
        <f t="shared" si="1312"/>
        <v>CABLES</v>
      </c>
      <c r="P2038" t="str">
        <f t="shared" si="1314"/>
        <v>0</v>
      </c>
      <c r="Q2038" t="str">
        <f t="shared" si="1314"/>
        <v>0</v>
      </c>
      <c r="R2038" t="str">
        <f t="shared" si="1315"/>
        <v>0,00</v>
      </c>
      <c r="S2038" t="str">
        <f t="shared" si="1315"/>
        <v>0,00</v>
      </c>
      <c r="T2038" t="str">
        <f t="shared" si="1284"/>
        <v xml:space="preserve"> </v>
      </c>
      <c r="U2038" t="str">
        <f t="shared" si="1304"/>
        <v xml:space="preserve"> </v>
      </c>
      <c r="V2038" t="str">
        <f>"8,000"</f>
        <v>8,000</v>
      </c>
      <c r="W2038" t="str">
        <f t="shared" si="1289"/>
        <v>Lista 4</v>
      </c>
      <c r="X2038" t="str">
        <f t="shared" si="1290"/>
        <v>Lista 5</v>
      </c>
      <c r="Y2038" t="str">
        <f t="shared" si="1291"/>
        <v>Oferta Gral.</v>
      </c>
      <c r="Z2038" t="str">
        <f t="shared" si="1292"/>
        <v>Rubro</v>
      </c>
      <c r="AA2038" t="str">
        <f t="shared" si="1293"/>
        <v>Cantidad por Bulto</v>
      </c>
      <c r="AB2038" t="str">
        <f t="shared" si="1294"/>
        <v>INNER</v>
      </c>
      <c r="AC2038" t="str">
        <f t="shared" si="1295"/>
        <v>Stock en Bultos</v>
      </c>
      <c r="AD2038" t="str">
        <f t="shared" si="1296"/>
        <v>SubDepósito</v>
      </c>
      <c r="AE2038" t="str">
        <f t="shared" si="1297"/>
        <v>Marca</v>
      </c>
      <c r="AF2038" t="str">
        <f t="shared" si="1298"/>
        <v>Super Rubro</v>
      </c>
      <c r="AG2038" t="str">
        <f t="shared" si="1299"/>
        <v>ComercioExterior</v>
      </c>
      <c r="AH2038" t="str">
        <f t="shared" si="1300"/>
        <v>PrecioFOB</v>
      </c>
      <c r="AI2038" t="str">
        <f t="shared" si="1301"/>
        <v>Monto II</v>
      </c>
      <c r="AJ2038" t="str">
        <f t="shared" si="1302"/>
        <v>Porcentaje II</v>
      </c>
      <c r="AK2038" t="str">
        <f t="shared" si="1303"/>
        <v>Foto</v>
      </c>
      <c r="AL2038" t="str">
        <f>"{\rtf1\ansi\ansicpg1252\deff0\deflang11274{\fonttbl{\f0\fnil\fcharset0 MS Sans Serif}} \viewkind4\uc1\pard\f0\fs16 JGO CABLES BUJIAS COMPETICION 9MM FIAT PALIO/SIENA MONOPUNTO\par } "</f>
        <v xml:space="preserve">{\rtf1\ansi\ansicpg1252\deff0\deflang11274{\fonttbl{\f0\fnil\fcharset0 MS Sans Serif}} \viewkind4\uc1\pard\f0\fs16 JGO CABLES BUJIAS COMPETICION 9MM FIAT PALIO/SIENA MONOPUNTO\par } </v>
      </c>
      <c r="AM2038" t="str">
        <f t="shared" si="1316"/>
        <v>-</v>
      </c>
    </row>
    <row r="2039" spans="1:39" x14ac:dyDescent="0.25">
      <c r="A2039" t="str">
        <f>"05-00252"</f>
        <v>05-00252</v>
      </c>
      <c r="B2039" t="str">
        <f>"JGO CABLES BUJIAS COMPETICION 9MM FIATPALIO/SIENA 1.3 MPI 8V 99/04"</f>
        <v>JGO CABLES BUJIAS COMPETICION 9MM FIATPALIO/SIENA 1.3 MPI 8V 99/04</v>
      </c>
      <c r="C2039" t="str">
        <f>"$ 28185,43"</f>
        <v>$ 28185,43</v>
      </c>
      <c r="D2039" t="str">
        <f>"$ 28185,43"</f>
        <v>$ 28185,43</v>
      </c>
      <c r="E2039" t="str">
        <f>"$ 28185,43"</f>
        <v>$ 28185,43</v>
      </c>
      <c r="F2039" t="str">
        <f>"$ 28185,43"</f>
        <v>$ 28185,43</v>
      </c>
      <c r="G2039" t="str">
        <f>"$ 28185,43"</f>
        <v>$ 28185,43</v>
      </c>
      <c r="H2039" t="str">
        <f t="shared" si="1286"/>
        <v>$ 0,00</v>
      </c>
      <c r="I2039" t="str">
        <f t="shared" si="1313"/>
        <v>CABLES BUJÍAS COMPETICION 9MM</v>
      </c>
      <c r="J2039" t="str">
        <f t="shared" si="1287"/>
        <v>1</v>
      </c>
      <c r="K2039" t="str">
        <f t="shared" si="1309"/>
        <v>0</v>
      </c>
      <c r="L2039" t="str">
        <f>"6,000"</f>
        <v>6,000</v>
      </c>
      <c r="M2039" t="str">
        <f t="shared" si="1288"/>
        <v xml:space="preserve"> </v>
      </c>
      <c r="N2039" t="str">
        <f t="shared" si="1311"/>
        <v>FERRAZZI</v>
      </c>
      <c r="O2039" t="str">
        <f t="shared" si="1312"/>
        <v>CABLES</v>
      </c>
      <c r="P2039" t="str">
        <f t="shared" si="1314"/>
        <v>0</v>
      </c>
      <c r="Q2039" t="str">
        <f t="shared" si="1314"/>
        <v>0</v>
      </c>
      <c r="R2039" t="str">
        <f t="shared" si="1315"/>
        <v>0,00</v>
      </c>
      <c r="S2039" t="str">
        <f t="shared" si="1315"/>
        <v>0,00</v>
      </c>
      <c r="T2039" t="str">
        <f t="shared" si="1284"/>
        <v xml:space="preserve"> </v>
      </c>
      <c r="U2039" t="str">
        <f t="shared" si="1304"/>
        <v xml:space="preserve"> </v>
      </c>
      <c r="V2039" t="str">
        <f>"6,000"</f>
        <v>6,000</v>
      </c>
      <c r="W2039" t="str">
        <f t="shared" si="1289"/>
        <v>Lista 4</v>
      </c>
      <c r="X2039" t="str">
        <f t="shared" si="1290"/>
        <v>Lista 5</v>
      </c>
      <c r="Y2039" t="str">
        <f t="shared" si="1291"/>
        <v>Oferta Gral.</v>
      </c>
      <c r="Z2039" t="str">
        <f t="shared" si="1292"/>
        <v>Rubro</v>
      </c>
      <c r="AA2039" t="str">
        <f t="shared" si="1293"/>
        <v>Cantidad por Bulto</v>
      </c>
      <c r="AB2039" t="str">
        <f t="shared" si="1294"/>
        <v>INNER</v>
      </c>
      <c r="AC2039" t="str">
        <f t="shared" si="1295"/>
        <v>Stock en Bultos</v>
      </c>
      <c r="AD2039" t="str">
        <f t="shared" si="1296"/>
        <v>SubDepósito</v>
      </c>
      <c r="AE2039" t="str">
        <f t="shared" si="1297"/>
        <v>Marca</v>
      </c>
      <c r="AF2039" t="str">
        <f t="shared" si="1298"/>
        <v>Super Rubro</v>
      </c>
      <c r="AG2039" t="str">
        <f t="shared" si="1299"/>
        <v>ComercioExterior</v>
      </c>
      <c r="AH2039" t="str">
        <f t="shared" si="1300"/>
        <v>PrecioFOB</v>
      </c>
      <c r="AI2039" t="str">
        <f t="shared" si="1301"/>
        <v>Monto II</v>
      </c>
      <c r="AJ2039" t="str">
        <f t="shared" si="1302"/>
        <v>Porcentaje II</v>
      </c>
      <c r="AK2039" t="str">
        <f t="shared" si="1303"/>
        <v>Foto</v>
      </c>
      <c r="AL2039" t="str">
        <f>"{\rtf1\ansi\ansicpg1252\deff0\deflang11274{\fonttbl{\f0\fnil\fcharset0 MS Sans Serif}} \viewkind4\uc1\pard\f0\fs16 JGO CABLES BUJIAS COMPETICION 9MM FIATPALIO/SIENA 1.3 MPI 8V 99/04\par } "</f>
        <v xml:space="preserve">{\rtf1\ansi\ansicpg1252\deff0\deflang11274{\fonttbl{\f0\fnil\fcharset0 MS Sans Serif}} \viewkind4\uc1\pard\f0\fs16 JGO CABLES BUJIAS COMPETICION 9MM FIATPALIO/SIENA 1.3 MPI 8V 99/04\par } </v>
      </c>
      <c r="AM2039" t="str">
        <f t="shared" si="1316"/>
        <v>-</v>
      </c>
    </row>
    <row r="2040" spans="1:39" x14ac:dyDescent="0.25">
      <c r="A2040" t="str">
        <f>"04-00289"</f>
        <v>04-00289</v>
      </c>
      <c r="B2040" t="str">
        <f>"JGO CABLES BUJIAS COMPETICION 9MM FORD FIESTA/ECOSPORT ROCAM"</f>
        <v>JGO CABLES BUJIAS COMPETICION 9MM FORD FIESTA/ECOSPORT ROCAM</v>
      </c>
      <c r="C2040" t="str">
        <f>"$ 41464,15"</f>
        <v>$ 41464,15</v>
      </c>
      <c r="D2040" t="str">
        <f>"$ 41464,15"</f>
        <v>$ 41464,15</v>
      </c>
      <c r="E2040" t="str">
        <f>"$ 41464,15"</f>
        <v>$ 41464,15</v>
      </c>
      <c r="F2040" t="str">
        <f>"$ 41464,15"</f>
        <v>$ 41464,15</v>
      </c>
      <c r="G2040" t="str">
        <f>"$ 41464,15"</f>
        <v>$ 41464,15</v>
      </c>
      <c r="H2040" t="str">
        <f t="shared" si="1286"/>
        <v>$ 0,00</v>
      </c>
      <c r="I2040" t="str">
        <f t="shared" si="1313"/>
        <v>CABLES BUJÍAS COMPETICION 9MM</v>
      </c>
      <c r="J2040" t="str">
        <f t="shared" si="1287"/>
        <v>1</v>
      </c>
      <c r="K2040" t="str">
        <f t="shared" si="1309"/>
        <v>0</v>
      </c>
      <c r="L2040" t="str">
        <f>"31,000"</f>
        <v>31,000</v>
      </c>
      <c r="M2040" t="str">
        <f t="shared" si="1288"/>
        <v xml:space="preserve"> </v>
      </c>
      <c r="N2040" t="str">
        <f t="shared" si="1311"/>
        <v>FERRAZZI</v>
      </c>
      <c r="O2040" t="str">
        <f t="shared" si="1312"/>
        <v>CABLES</v>
      </c>
      <c r="P2040" t="str">
        <f t="shared" si="1314"/>
        <v>0</v>
      </c>
      <c r="Q2040" t="str">
        <f t="shared" si="1314"/>
        <v>0</v>
      </c>
      <c r="R2040" t="str">
        <f t="shared" si="1315"/>
        <v>0,00</v>
      </c>
      <c r="S2040" t="str">
        <f t="shared" si="1315"/>
        <v>0,00</v>
      </c>
      <c r="T2040" t="str">
        <f t="shared" si="1284"/>
        <v xml:space="preserve"> </v>
      </c>
      <c r="U2040" t="str">
        <f t="shared" si="1304"/>
        <v xml:space="preserve"> </v>
      </c>
      <c r="V2040" t="str">
        <f>"31,000"</f>
        <v>31,000</v>
      </c>
      <c r="W2040" t="str">
        <f t="shared" si="1289"/>
        <v>Lista 4</v>
      </c>
      <c r="X2040" t="str">
        <f t="shared" si="1290"/>
        <v>Lista 5</v>
      </c>
      <c r="Y2040" t="str">
        <f t="shared" si="1291"/>
        <v>Oferta Gral.</v>
      </c>
      <c r="Z2040" t="str">
        <f t="shared" si="1292"/>
        <v>Rubro</v>
      </c>
      <c r="AA2040" t="str">
        <f t="shared" si="1293"/>
        <v>Cantidad por Bulto</v>
      </c>
      <c r="AB2040" t="str">
        <f t="shared" si="1294"/>
        <v>INNER</v>
      </c>
      <c r="AC2040" t="str">
        <f t="shared" si="1295"/>
        <v>Stock en Bultos</v>
      </c>
      <c r="AD2040" t="str">
        <f t="shared" si="1296"/>
        <v>SubDepósito</v>
      </c>
      <c r="AE2040" t="str">
        <f t="shared" si="1297"/>
        <v>Marca</v>
      </c>
      <c r="AF2040" t="str">
        <f t="shared" si="1298"/>
        <v>Super Rubro</v>
      </c>
      <c r="AG2040" t="str">
        <f t="shared" si="1299"/>
        <v>ComercioExterior</v>
      </c>
      <c r="AH2040" t="str">
        <f t="shared" si="1300"/>
        <v>PrecioFOB</v>
      </c>
      <c r="AI2040" t="str">
        <f t="shared" si="1301"/>
        <v>Monto II</v>
      </c>
      <c r="AJ2040" t="str">
        <f t="shared" si="1302"/>
        <v>Porcentaje II</v>
      </c>
      <c r="AK2040" t="str">
        <f t="shared" si="1303"/>
        <v>Foto</v>
      </c>
      <c r="AL2040" t="str">
        <f>"{\rtf1\ansi\ansicpg1252\deff0\deflang11274{\fonttbl{\f0\fnil\fcharset0 MS Sans Serif}} \viewkind4\uc1\pard\f0\fs16 JGO CABLES BUJIAS COMPETICION 9MM FORD FIESTA/ECOSPORT ROCAM\par } "</f>
        <v xml:space="preserve">{\rtf1\ansi\ansicpg1252\deff0\deflang11274{\fonttbl{\f0\fnil\fcharset0 MS Sans Serif}} \viewkind4\uc1\pard\f0\fs16 JGO CABLES BUJIAS COMPETICION 9MM FORD FIESTA/ECOSPORT ROCAM\par } </v>
      </c>
      <c r="AM2040" t="str">
        <f t="shared" si="1316"/>
        <v>-</v>
      </c>
    </row>
    <row r="2041" spans="1:39" x14ac:dyDescent="0.25">
      <c r="A2041" t="str">
        <f>"04-00299"</f>
        <v>04-00299</v>
      </c>
      <c r="B2041" t="str">
        <f>"JGO CABLES BUJIAS COMPETICION 9MM FORD FIESTA/FOCUS 1.6 SIGMA"</f>
        <v>JGO CABLES BUJIAS COMPETICION 9MM FORD FIESTA/FOCUS 1.6 SIGMA</v>
      </c>
      <c r="C2041" t="str">
        <f>"$ 50132,00"</f>
        <v>$ 50132,00</v>
      </c>
      <c r="D2041" t="str">
        <f>"$ 50132,00"</f>
        <v>$ 50132,00</v>
      </c>
      <c r="E2041" t="str">
        <f>"$ 50132,00"</f>
        <v>$ 50132,00</v>
      </c>
      <c r="F2041" t="str">
        <f>"$ 50132,00"</f>
        <v>$ 50132,00</v>
      </c>
      <c r="G2041" t="str">
        <f>"$ 50132,00"</f>
        <v>$ 50132,00</v>
      </c>
      <c r="H2041" t="str">
        <f t="shared" si="1286"/>
        <v>$ 0,00</v>
      </c>
      <c r="I2041" t="str">
        <f t="shared" si="1313"/>
        <v>CABLES BUJÍAS COMPETICION 9MM</v>
      </c>
      <c r="J2041" t="str">
        <f t="shared" si="1287"/>
        <v>1</v>
      </c>
      <c r="K2041" t="str">
        <f t="shared" si="1309"/>
        <v>0</v>
      </c>
      <c r="L2041" t="str">
        <f>"1,000"</f>
        <v>1,000</v>
      </c>
      <c r="M2041" t="str">
        <f t="shared" si="1288"/>
        <v xml:space="preserve"> </v>
      </c>
      <c r="N2041" t="str">
        <f t="shared" si="1311"/>
        <v>FERRAZZI</v>
      </c>
      <c r="O2041" t="str">
        <f t="shared" si="1312"/>
        <v>CABLES</v>
      </c>
      <c r="P2041" t="str">
        <f t="shared" si="1314"/>
        <v>0</v>
      </c>
      <c r="Q2041" t="str">
        <f t="shared" si="1314"/>
        <v>0</v>
      </c>
      <c r="R2041" t="str">
        <f t="shared" si="1315"/>
        <v>0,00</v>
      </c>
      <c r="S2041" t="str">
        <f t="shared" si="1315"/>
        <v>0,00</v>
      </c>
      <c r="T2041" t="str">
        <f t="shared" si="1284"/>
        <v xml:space="preserve"> </v>
      </c>
      <c r="U2041" t="str">
        <f t="shared" si="1304"/>
        <v xml:space="preserve"> </v>
      </c>
      <c r="V2041" t="str">
        <f>"1,000"</f>
        <v>1,000</v>
      </c>
      <c r="W2041" t="str">
        <f t="shared" si="1289"/>
        <v>Lista 4</v>
      </c>
      <c r="X2041" t="str">
        <f t="shared" si="1290"/>
        <v>Lista 5</v>
      </c>
      <c r="Y2041" t="str">
        <f t="shared" si="1291"/>
        <v>Oferta Gral.</v>
      </c>
      <c r="Z2041" t="str">
        <f t="shared" si="1292"/>
        <v>Rubro</v>
      </c>
      <c r="AA2041" t="str">
        <f t="shared" si="1293"/>
        <v>Cantidad por Bulto</v>
      </c>
      <c r="AB2041" t="str">
        <f t="shared" si="1294"/>
        <v>INNER</v>
      </c>
      <c r="AC2041" t="str">
        <f t="shared" si="1295"/>
        <v>Stock en Bultos</v>
      </c>
      <c r="AD2041" t="str">
        <f t="shared" si="1296"/>
        <v>SubDepósito</v>
      </c>
      <c r="AE2041" t="str">
        <f t="shared" si="1297"/>
        <v>Marca</v>
      </c>
      <c r="AF2041" t="str">
        <f t="shared" si="1298"/>
        <v>Super Rubro</v>
      </c>
      <c r="AG2041" t="str">
        <f t="shared" si="1299"/>
        <v>ComercioExterior</v>
      </c>
      <c r="AH2041" t="str">
        <f t="shared" si="1300"/>
        <v>PrecioFOB</v>
      </c>
      <c r="AI2041" t="str">
        <f t="shared" si="1301"/>
        <v>Monto II</v>
      </c>
      <c r="AJ2041" t="str">
        <f t="shared" si="1302"/>
        <v>Porcentaje II</v>
      </c>
      <c r="AK2041" t="str">
        <f t="shared" si="1303"/>
        <v>Foto</v>
      </c>
      <c r="AL2041" t="str">
        <f>"{\rtf1\ansi\ansicpg1252\deff0\deflang11274{\fonttbl{\f0\fnil\fcharset0 MS Sans Serif}} \viewkind4\uc1\pard\f0\fs16 JGO CABLES BUJIAS COMPETICION 9MM FORD FIESTA/FOCUS 1.6 SIGMA\par } "</f>
        <v xml:space="preserve">{\rtf1\ansi\ansicpg1252\deff0\deflang11274{\fonttbl{\f0\fnil\fcharset0 MS Sans Serif}} \viewkind4\uc1\pard\f0\fs16 JGO CABLES BUJIAS COMPETICION 9MM FORD FIESTA/FOCUS 1.6 SIGMA\par } </v>
      </c>
      <c r="AM2041" t="str">
        <f t="shared" si="1316"/>
        <v>-</v>
      </c>
    </row>
    <row r="2042" spans="1:39" x14ac:dyDescent="0.25">
      <c r="A2042" t="str">
        <f>"05-00251"</f>
        <v>05-00251</v>
      </c>
      <c r="B2042" t="str">
        <f>"JGO CABLES BUJIAS COMPETICION 9MM PALIO/SIENA HL 1.6 16V"</f>
        <v>JGO CABLES BUJIAS COMPETICION 9MM PALIO/SIENA HL 1.6 16V</v>
      </c>
      <c r="C2042" t="str">
        <f>"$ 87642,08"</f>
        <v>$ 87642,08</v>
      </c>
      <c r="D2042" t="str">
        <f>"$ 87642,08"</f>
        <v>$ 87642,08</v>
      </c>
      <c r="E2042" t="str">
        <f>"$ 87642,08"</f>
        <v>$ 87642,08</v>
      </c>
      <c r="F2042" t="str">
        <f>"$ 87642,08"</f>
        <v>$ 87642,08</v>
      </c>
      <c r="G2042" t="str">
        <f>"$ 87642,08"</f>
        <v>$ 87642,08</v>
      </c>
      <c r="H2042" t="str">
        <f t="shared" si="1286"/>
        <v>$ 0,00</v>
      </c>
      <c r="I2042" t="str">
        <f t="shared" si="1313"/>
        <v>CABLES BUJÍAS COMPETICION 9MM</v>
      </c>
      <c r="J2042" t="str">
        <f t="shared" si="1287"/>
        <v>1</v>
      </c>
      <c r="K2042" t="str">
        <f t="shared" si="1309"/>
        <v>0</v>
      </c>
      <c r="L2042" t="str">
        <f>"5,000"</f>
        <v>5,000</v>
      </c>
      <c r="M2042" t="str">
        <f t="shared" si="1288"/>
        <v xml:space="preserve"> </v>
      </c>
      <c r="N2042" t="str">
        <f t="shared" si="1311"/>
        <v>FERRAZZI</v>
      </c>
      <c r="O2042" t="str">
        <f t="shared" si="1312"/>
        <v>CABLES</v>
      </c>
      <c r="P2042" t="str">
        <f t="shared" si="1314"/>
        <v>0</v>
      </c>
      <c r="Q2042" t="str">
        <f t="shared" si="1314"/>
        <v>0</v>
      </c>
      <c r="R2042" t="str">
        <f t="shared" si="1315"/>
        <v>0,00</v>
      </c>
      <c r="S2042" t="str">
        <f t="shared" si="1315"/>
        <v>0,00</v>
      </c>
      <c r="T2042" t="str">
        <f t="shared" si="1284"/>
        <v xml:space="preserve"> </v>
      </c>
      <c r="U2042" t="str">
        <f t="shared" si="1304"/>
        <v xml:space="preserve"> </v>
      </c>
      <c r="V2042" t="str">
        <f>"5,000"</f>
        <v>5,000</v>
      </c>
      <c r="W2042" t="str">
        <f t="shared" si="1289"/>
        <v>Lista 4</v>
      </c>
      <c r="X2042" t="str">
        <f t="shared" si="1290"/>
        <v>Lista 5</v>
      </c>
      <c r="Y2042" t="str">
        <f t="shared" si="1291"/>
        <v>Oferta Gral.</v>
      </c>
      <c r="Z2042" t="str">
        <f t="shared" si="1292"/>
        <v>Rubro</v>
      </c>
      <c r="AA2042" t="str">
        <f t="shared" si="1293"/>
        <v>Cantidad por Bulto</v>
      </c>
      <c r="AB2042" t="str">
        <f t="shared" si="1294"/>
        <v>INNER</v>
      </c>
      <c r="AC2042" t="str">
        <f t="shared" si="1295"/>
        <v>Stock en Bultos</v>
      </c>
      <c r="AD2042" t="str">
        <f t="shared" si="1296"/>
        <v>SubDepósito</v>
      </c>
      <c r="AE2042" t="str">
        <f t="shared" si="1297"/>
        <v>Marca</v>
      </c>
      <c r="AF2042" t="str">
        <f t="shared" si="1298"/>
        <v>Super Rubro</v>
      </c>
      <c r="AG2042" t="str">
        <f t="shared" si="1299"/>
        <v>ComercioExterior</v>
      </c>
      <c r="AH2042" t="str">
        <f t="shared" si="1300"/>
        <v>PrecioFOB</v>
      </c>
      <c r="AI2042" t="str">
        <f t="shared" si="1301"/>
        <v>Monto II</v>
      </c>
      <c r="AJ2042" t="str">
        <f t="shared" si="1302"/>
        <v>Porcentaje II</v>
      </c>
      <c r="AK2042" t="str">
        <f t="shared" si="1303"/>
        <v>Foto</v>
      </c>
      <c r="AL2042" t="str">
        <f>"{\rtf1\ansi\ansicpg1252\deff0\deflang11274{\fonttbl{\f0\fnil\fcharset0 MS Sans Serif}} \viewkind4\uc1\pard\f0\fs16 JGO CABLES BUJIAS COMPETICION 9MM PALIO/SIENA HL 1.6 16V\par } "</f>
        <v xml:space="preserve">{\rtf1\ansi\ansicpg1252\deff0\deflang11274{\fonttbl{\f0\fnil\fcharset0 MS Sans Serif}} \viewkind4\uc1\pard\f0\fs16 JGO CABLES BUJIAS COMPETICION 9MM PALIO/SIENA HL 1.6 16V\par } </v>
      </c>
      <c r="AM2042" t="str">
        <f t="shared" si="1316"/>
        <v>-</v>
      </c>
    </row>
    <row r="2043" spans="1:39" x14ac:dyDescent="0.25">
      <c r="A2043" t="str">
        <f>"07-00272"</f>
        <v>07-00272</v>
      </c>
      <c r="B2043" t="str">
        <f>"JGO CABLES BUJIAS COMPETICION 9MM PEUGEOT 504 2000"</f>
        <v>JGO CABLES BUJIAS COMPETICION 9MM PEUGEOT 504 2000</v>
      </c>
      <c r="C2043" t="str">
        <f>"$ 39546,05"</f>
        <v>$ 39546,05</v>
      </c>
      <c r="D2043" t="str">
        <f>"$ 39546,05"</f>
        <v>$ 39546,05</v>
      </c>
      <c r="E2043" t="str">
        <f>"$ 39546,05"</f>
        <v>$ 39546,05</v>
      </c>
      <c r="F2043" t="str">
        <f>"$ 39546,05"</f>
        <v>$ 39546,05</v>
      </c>
      <c r="G2043" t="str">
        <f>"$ 39546,05"</f>
        <v>$ 39546,05</v>
      </c>
      <c r="H2043" t="str">
        <f t="shared" si="1286"/>
        <v>$ 0,00</v>
      </c>
      <c r="I2043" t="str">
        <f t="shared" si="1313"/>
        <v>CABLES BUJÍAS COMPETICION 9MM</v>
      </c>
      <c r="J2043" t="str">
        <f t="shared" si="1287"/>
        <v>1</v>
      </c>
      <c r="K2043" t="str">
        <f t="shared" si="1309"/>
        <v>0</v>
      </c>
      <c r="L2043" t="str">
        <f>"3,000"</f>
        <v>3,000</v>
      </c>
      <c r="M2043" t="str">
        <f t="shared" si="1288"/>
        <v xml:space="preserve"> </v>
      </c>
      <c r="N2043" t="str">
        <f t="shared" si="1311"/>
        <v>FERRAZZI</v>
      </c>
      <c r="O2043" t="str">
        <f t="shared" si="1312"/>
        <v>CABLES</v>
      </c>
      <c r="P2043" t="str">
        <f t="shared" ref="P2043:Q2062" si="1317">"0"</f>
        <v>0</v>
      </c>
      <c r="Q2043" t="str">
        <f t="shared" si="1317"/>
        <v>0</v>
      </c>
      <c r="R2043" t="str">
        <f t="shared" ref="R2043:S2062" si="1318">"0,00"</f>
        <v>0,00</v>
      </c>
      <c r="S2043" t="str">
        <f t="shared" si="1318"/>
        <v>0,00</v>
      </c>
      <c r="T2043" t="str">
        <f t="shared" si="1284"/>
        <v xml:space="preserve"> </v>
      </c>
      <c r="U2043" t="str">
        <f t="shared" si="1304"/>
        <v xml:space="preserve"> </v>
      </c>
      <c r="V2043" t="str">
        <f>"3,000"</f>
        <v>3,000</v>
      </c>
      <c r="W2043" t="str">
        <f t="shared" si="1289"/>
        <v>Lista 4</v>
      </c>
      <c r="X2043" t="str">
        <f t="shared" si="1290"/>
        <v>Lista 5</v>
      </c>
      <c r="Y2043" t="str">
        <f t="shared" si="1291"/>
        <v>Oferta Gral.</v>
      </c>
      <c r="Z2043" t="str">
        <f t="shared" si="1292"/>
        <v>Rubro</v>
      </c>
      <c r="AA2043" t="str">
        <f t="shared" si="1293"/>
        <v>Cantidad por Bulto</v>
      </c>
      <c r="AB2043" t="str">
        <f t="shared" si="1294"/>
        <v>INNER</v>
      </c>
      <c r="AC2043" t="str">
        <f t="shared" si="1295"/>
        <v>Stock en Bultos</v>
      </c>
      <c r="AD2043" t="str">
        <f t="shared" si="1296"/>
        <v>SubDepósito</v>
      </c>
      <c r="AE2043" t="str">
        <f t="shared" si="1297"/>
        <v>Marca</v>
      </c>
      <c r="AF2043" t="str">
        <f t="shared" si="1298"/>
        <v>Super Rubro</v>
      </c>
      <c r="AG2043" t="str">
        <f t="shared" si="1299"/>
        <v>ComercioExterior</v>
      </c>
      <c r="AH2043" t="str">
        <f t="shared" si="1300"/>
        <v>PrecioFOB</v>
      </c>
      <c r="AI2043" t="str">
        <f t="shared" si="1301"/>
        <v>Monto II</v>
      </c>
      <c r="AJ2043" t="str">
        <f t="shared" si="1302"/>
        <v>Porcentaje II</v>
      </c>
      <c r="AK2043" t="str">
        <f t="shared" si="1303"/>
        <v>Foto</v>
      </c>
      <c r="AL2043" t="str">
        <f>"{\rtf1\ansi\ansicpg1252\deff0\deflang11274{\fonttbl{\f0\fnil\fcharset0 MS Sans Serif}} \viewkind4\uc1\pard\f0\fs16 JGO CABLES BUJIAS COMPETICION 9MM PEUGEOT 504 2000\par } "</f>
        <v xml:space="preserve">{\rtf1\ansi\ansicpg1252\deff0\deflang11274{\fonttbl{\f0\fnil\fcharset0 MS Sans Serif}} \viewkind4\uc1\pard\f0\fs16 JGO CABLES BUJIAS COMPETICION 9MM PEUGEOT 504 2000\par } </v>
      </c>
      <c r="AM2043" t="str">
        <f t="shared" si="1316"/>
        <v>-</v>
      </c>
    </row>
    <row r="2044" spans="1:39" x14ac:dyDescent="0.25">
      <c r="A2044" t="str">
        <f>"06-00258"</f>
        <v>06-00258</v>
      </c>
      <c r="B2044" t="str">
        <f>"JGO CABLES BUJIAS COMPETICION 9MM R19 1.6 BOB LARGA"</f>
        <v>JGO CABLES BUJIAS COMPETICION 9MM R19 1.6 BOB LARGA</v>
      </c>
      <c r="C2044" t="str">
        <f>"$ 42014,09"</f>
        <v>$ 42014,09</v>
      </c>
      <c r="D2044" t="str">
        <f>"$ 42014,09"</f>
        <v>$ 42014,09</v>
      </c>
      <c r="E2044" t="str">
        <f>"$ 42014,09"</f>
        <v>$ 42014,09</v>
      </c>
      <c r="F2044" t="str">
        <f>"$ 42014,09"</f>
        <v>$ 42014,09</v>
      </c>
      <c r="G2044" t="str">
        <f>"$ 42014,09"</f>
        <v>$ 42014,09</v>
      </c>
      <c r="H2044" t="str">
        <f t="shared" si="1286"/>
        <v>$ 0,00</v>
      </c>
      <c r="I2044" t="str">
        <f t="shared" si="1313"/>
        <v>CABLES BUJÍAS COMPETICION 9MM</v>
      </c>
      <c r="J2044" t="str">
        <f t="shared" si="1287"/>
        <v>1</v>
      </c>
      <c r="K2044" t="str">
        <f t="shared" si="1309"/>
        <v>0</v>
      </c>
      <c r="L2044" t="str">
        <f>"4,000"</f>
        <v>4,000</v>
      </c>
      <c r="M2044" t="str">
        <f t="shared" si="1288"/>
        <v xml:space="preserve"> </v>
      </c>
      <c r="N2044" t="str">
        <f t="shared" si="1311"/>
        <v>FERRAZZI</v>
      </c>
      <c r="O2044" t="str">
        <f t="shared" si="1312"/>
        <v>CABLES</v>
      </c>
      <c r="P2044" t="str">
        <f t="shared" si="1317"/>
        <v>0</v>
      </c>
      <c r="Q2044" t="str">
        <f t="shared" si="1317"/>
        <v>0</v>
      </c>
      <c r="R2044" t="str">
        <f t="shared" si="1318"/>
        <v>0,00</v>
      </c>
      <c r="S2044" t="str">
        <f t="shared" si="1318"/>
        <v>0,00</v>
      </c>
      <c r="T2044" t="str">
        <f t="shared" si="1284"/>
        <v xml:space="preserve"> </v>
      </c>
      <c r="U2044" t="str">
        <f t="shared" si="1304"/>
        <v xml:space="preserve"> </v>
      </c>
      <c r="V2044" t="str">
        <f>"4,000"</f>
        <v>4,000</v>
      </c>
      <c r="W2044" t="str">
        <f t="shared" si="1289"/>
        <v>Lista 4</v>
      </c>
      <c r="X2044" t="str">
        <f t="shared" si="1290"/>
        <v>Lista 5</v>
      </c>
      <c r="Y2044" t="str">
        <f t="shared" si="1291"/>
        <v>Oferta Gral.</v>
      </c>
      <c r="Z2044" t="str">
        <f t="shared" si="1292"/>
        <v>Rubro</v>
      </c>
      <c r="AA2044" t="str">
        <f t="shared" si="1293"/>
        <v>Cantidad por Bulto</v>
      </c>
      <c r="AB2044" t="str">
        <f t="shared" si="1294"/>
        <v>INNER</v>
      </c>
      <c r="AC2044" t="str">
        <f t="shared" si="1295"/>
        <v>Stock en Bultos</v>
      </c>
      <c r="AD2044" t="str">
        <f t="shared" si="1296"/>
        <v>SubDepósito</v>
      </c>
      <c r="AE2044" t="str">
        <f t="shared" si="1297"/>
        <v>Marca</v>
      </c>
      <c r="AF2044" t="str">
        <f t="shared" si="1298"/>
        <v>Super Rubro</v>
      </c>
      <c r="AG2044" t="str">
        <f t="shared" si="1299"/>
        <v>ComercioExterior</v>
      </c>
      <c r="AH2044" t="str">
        <f t="shared" si="1300"/>
        <v>PrecioFOB</v>
      </c>
      <c r="AI2044" t="str">
        <f t="shared" si="1301"/>
        <v>Monto II</v>
      </c>
      <c r="AJ2044" t="str">
        <f t="shared" si="1302"/>
        <v>Porcentaje II</v>
      </c>
      <c r="AK2044" t="str">
        <f t="shared" si="1303"/>
        <v>Foto</v>
      </c>
      <c r="AL2044" t="str">
        <f>"{\rtf1\ansi\ansicpg1252\deff0\deflang11274{\fonttbl{\f0\fnil\fcharset0 MS Sans Serif}} \viewkind4\uc1\pard\f0\fs16 JGO CABLES BUJIAS COMPETICION 9MM R19 1.6 BOB LARGA\par } "</f>
        <v xml:space="preserve">{\rtf1\ansi\ansicpg1252\deff0\deflang11274{\fonttbl{\f0\fnil\fcharset0 MS Sans Serif}} \viewkind4\uc1\pard\f0\fs16 JGO CABLES BUJIAS COMPETICION 9MM R19 1.6 BOB LARGA\par } </v>
      </c>
      <c r="AM2044" t="str">
        <f t="shared" si="1316"/>
        <v>-</v>
      </c>
    </row>
    <row r="2045" spans="1:39" x14ac:dyDescent="0.25">
      <c r="A2045" t="str">
        <f>"06-00256"</f>
        <v>06-00256</v>
      </c>
      <c r="B2045" t="str">
        <f>"JGO CABLES BUJIAS COMPETICION 9MM R19 RT 1.7/1.8 BOB. SECA"</f>
        <v>JGO CABLES BUJIAS COMPETICION 9MM R19 RT 1.7/1.8 BOB. SECA</v>
      </c>
      <c r="C2045" t="str">
        <f>"$ 45260,52"</f>
        <v>$ 45260,52</v>
      </c>
      <c r="D2045" t="str">
        <f>"$ 45260,52"</f>
        <v>$ 45260,52</v>
      </c>
      <c r="E2045" t="str">
        <f>"$ 45260,52"</f>
        <v>$ 45260,52</v>
      </c>
      <c r="F2045" t="str">
        <f>"$ 45260,52"</f>
        <v>$ 45260,52</v>
      </c>
      <c r="G2045" t="str">
        <f>"$ 45260,52"</f>
        <v>$ 45260,52</v>
      </c>
      <c r="H2045" t="str">
        <f t="shared" si="1286"/>
        <v>$ 0,00</v>
      </c>
      <c r="I2045" t="str">
        <f t="shared" si="1313"/>
        <v>CABLES BUJÍAS COMPETICION 9MM</v>
      </c>
      <c r="J2045" t="str">
        <f t="shared" si="1287"/>
        <v>1</v>
      </c>
      <c r="K2045" t="str">
        <f t="shared" si="1309"/>
        <v>0</v>
      </c>
      <c r="L2045" t="str">
        <f>"9,000"</f>
        <v>9,000</v>
      </c>
      <c r="M2045" t="str">
        <f t="shared" si="1288"/>
        <v xml:space="preserve"> </v>
      </c>
      <c r="N2045" t="str">
        <f t="shared" si="1311"/>
        <v>FERRAZZI</v>
      </c>
      <c r="O2045" t="str">
        <f t="shared" si="1312"/>
        <v>CABLES</v>
      </c>
      <c r="P2045" t="str">
        <f t="shared" si="1317"/>
        <v>0</v>
      </c>
      <c r="Q2045" t="str">
        <f t="shared" si="1317"/>
        <v>0</v>
      </c>
      <c r="R2045" t="str">
        <f t="shared" si="1318"/>
        <v>0,00</v>
      </c>
      <c r="S2045" t="str">
        <f t="shared" si="1318"/>
        <v>0,00</v>
      </c>
      <c r="T2045" t="str">
        <f t="shared" si="1284"/>
        <v xml:space="preserve"> </v>
      </c>
      <c r="U2045" t="str">
        <f t="shared" si="1304"/>
        <v xml:space="preserve"> </v>
      </c>
      <c r="V2045" t="str">
        <f>"9,000"</f>
        <v>9,000</v>
      </c>
      <c r="W2045" t="str">
        <f t="shared" si="1289"/>
        <v>Lista 4</v>
      </c>
      <c r="X2045" t="str">
        <f t="shared" si="1290"/>
        <v>Lista 5</v>
      </c>
      <c r="Y2045" t="str">
        <f t="shared" si="1291"/>
        <v>Oferta Gral.</v>
      </c>
      <c r="Z2045" t="str">
        <f t="shared" si="1292"/>
        <v>Rubro</v>
      </c>
      <c r="AA2045" t="str">
        <f t="shared" si="1293"/>
        <v>Cantidad por Bulto</v>
      </c>
      <c r="AB2045" t="str">
        <f t="shared" si="1294"/>
        <v>INNER</v>
      </c>
      <c r="AC2045" t="str">
        <f t="shared" si="1295"/>
        <v>Stock en Bultos</v>
      </c>
      <c r="AD2045" t="str">
        <f t="shared" si="1296"/>
        <v>SubDepósito</v>
      </c>
      <c r="AE2045" t="str">
        <f t="shared" si="1297"/>
        <v>Marca</v>
      </c>
      <c r="AF2045" t="str">
        <f t="shared" si="1298"/>
        <v>Super Rubro</v>
      </c>
      <c r="AG2045" t="str">
        <f t="shared" si="1299"/>
        <v>ComercioExterior</v>
      </c>
      <c r="AH2045" t="str">
        <f t="shared" si="1300"/>
        <v>PrecioFOB</v>
      </c>
      <c r="AI2045" t="str">
        <f t="shared" si="1301"/>
        <v>Monto II</v>
      </c>
      <c r="AJ2045" t="str">
        <f t="shared" si="1302"/>
        <v>Porcentaje II</v>
      </c>
      <c r="AK2045" t="str">
        <f t="shared" si="1303"/>
        <v>Foto</v>
      </c>
      <c r="AL2045" t="str">
        <f>"{\rtf1\ansi\ansicpg1252\deff0\deflang11274{\fonttbl{\f0\fnil\fcharset0 MS Sans Serif}} \viewkind4\uc1\pard\f0\fs16 JGO CABLES BUJIAS COMPETICION 9MM R19 RT 1.7/1.8 BOB. SECA\par } "</f>
        <v xml:space="preserve">{\rtf1\ansi\ansicpg1252\deff0\deflang11274{\fonttbl{\f0\fnil\fcharset0 MS Sans Serif}} \viewkind4\uc1\pard\f0\fs16 JGO CABLES BUJIAS COMPETICION 9MM R19 RT 1.7/1.8 BOB. SECA\par } </v>
      </c>
      <c r="AM2045" t="str">
        <f t="shared" si="1316"/>
        <v>-</v>
      </c>
    </row>
    <row r="2046" spans="1:39" x14ac:dyDescent="0.25">
      <c r="A2046" t="str">
        <f>"06-00215"</f>
        <v>06-00215</v>
      </c>
      <c r="B2046" t="str">
        <f>"JGO CABLES BUJIAS COMPETICION 9MM R9/11 BOBINA SECA"</f>
        <v>JGO CABLES BUJIAS COMPETICION 9MM R9/11 BOBINA SECA</v>
      </c>
      <c r="C2046" t="str">
        <f>"$ 39373,61"</f>
        <v>$ 39373,61</v>
      </c>
      <c r="D2046" t="str">
        <f>"$ 39373,61"</f>
        <v>$ 39373,61</v>
      </c>
      <c r="E2046" t="str">
        <f>"$ 39373,61"</f>
        <v>$ 39373,61</v>
      </c>
      <c r="F2046" t="str">
        <f>"$ 39373,61"</f>
        <v>$ 39373,61</v>
      </c>
      <c r="G2046" t="str">
        <f>"$ 39373,61"</f>
        <v>$ 39373,61</v>
      </c>
      <c r="H2046" t="str">
        <f t="shared" si="1286"/>
        <v>$ 0,00</v>
      </c>
      <c r="I2046" t="str">
        <f t="shared" si="1313"/>
        <v>CABLES BUJÍAS COMPETICION 9MM</v>
      </c>
      <c r="J2046" t="str">
        <f t="shared" si="1287"/>
        <v>1</v>
      </c>
      <c r="K2046" t="str">
        <f t="shared" si="1309"/>
        <v>0</v>
      </c>
      <c r="L2046" t="str">
        <f>"9,000"</f>
        <v>9,000</v>
      </c>
      <c r="M2046" t="str">
        <f t="shared" si="1288"/>
        <v xml:space="preserve"> </v>
      </c>
      <c r="N2046" t="str">
        <f t="shared" si="1311"/>
        <v>FERRAZZI</v>
      </c>
      <c r="O2046" t="str">
        <f t="shared" si="1312"/>
        <v>CABLES</v>
      </c>
      <c r="P2046" t="str">
        <f t="shared" si="1317"/>
        <v>0</v>
      </c>
      <c r="Q2046" t="str">
        <f t="shared" si="1317"/>
        <v>0</v>
      </c>
      <c r="R2046" t="str">
        <f t="shared" si="1318"/>
        <v>0,00</v>
      </c>
      <c r="S2046" t="str">
        <f t="shared" si="1318"/>
        <v>0,00</v>
      </c>
      <c r="T2046" t="str">
        <f t="shared" si="1284"/>
        <v xml:space="preserve"> </v>
      </c>
      <c r="U2046" t="str">
        <f t="shared" si="1304"/>
        <v xml:space="preserve"> </v>
      </c>
      <c r="V2046" t="str">
        <f>"9,000"</f>
        <v>9,000</v>
      </c>
      <c r="W2046" t="str">
        <f t="shared" si="1289"/>
        <v>Lista 4</v>
      </c>
      <c r="X2046" t="str">
        <f t="shared" si="1290"/>
        <v>Lista 5</v>
      </c>
      <c r="Y2046" t="str">
        <f t="shared" si="1291"/>
        <v>Oferta Gral.</v>
      </c>
      <c r="Z2046" t="str">
        <f t="shared" si="1292"/>
        <v>Rubro</v>
      </c>
      <c r="AA2046" t="str">
        <f t="shared" si="1293"/>
        <v>Cantidad por Bulto</v>
      </c>
      <c r="AB2046" t="str">
        <f t="shared" si="1294"/>
        <v>INNER</v>
      </c>
      <c r="AC2046" t="str">
        <f t="shared" si="1295"/>
        <v>Stock en Bultos</v>
      </c>
      <c r="AD2046" t="str">
        <f t="shared" si="1296"/>
        <v>SubDepósito</v>
      </c>
      <c r="AE2046" t="str">
        <f t="shared" si="1297"/>
        <v>Marca</v>
      </c>
      <c r="AF2046" t="str">
        <f t="shared" si="1298"/>
        <v>Super Rubro</v>
      </c>
      <c r="AG2046" t="str">
        <f t="shared" si="1299"/>
        <v>ComercioExterior</v>
      </c>
      <c r="AH2046" t="str">
        <f t="shared" si="1300"/>
        <v>PrecioFOB</v>
      </c>
      <c r="AI2046" t="str">
        <f t="shared" si="1301"/>
        <v>Monto II</v>
      </c>
      <c r="AJ2046" t="str">
        <f t="shared" si="1302"/>
        <v>Porcentaje II</v>
      </c>
      <c r="AK2046" t="str">
        <f t="shared" si="1303"/>
        <v>Foto</v>
      </c>
      <c r="AL2046" t="str">
        <f>"{\rtf1\ansi\ansicpg1252\deff0\deflang11274{\fonttbl{\f0\fnil\fcharset0 MS Sans Serif}} \viewkind4\uc1\pard\f0\fs16 JGO CABLES BUJIAS COMPETICION 9MM R9/11 BOBINA SECA\par } "</f>
        <v xml:space="preserve">{\rtf1\ansi\ansicpg1252\deff0\deflang11274{\fonttbl{\f0\fnil\fcharset0 MS Sans Serif}} \viewkind4\uc1\pard\f0\fs16 JGO CABLES BUJIAS COMPETICION 9MM R9/11 BOBINA SECA\par } </v>
      </c>
      <c r="AM2046" t="str">
        <f t="shared" si="1316"/>
        <v>-</v>
      </c>
    </row>
    <row r="2047" spans="1:39" x14ac:dyDescent="0.25">
      <c r="A2047" t="str">
        <f>"06-00283"</f>
        <v>06-00283</v>
      </c>
      <c r="B2047" t="str">
        <f>"JGO CABLES BUJIAS COMPETICION 9MM RENAULT 18/FUEGO 2000"</f>
        <v>JGO CABLES BUJIAS COMPETICION 9MM RENAULT 18/FUEGO 2000</v>
      </c>
      <c r="C2047" t="str">
        <f>"$ 39875,29"</f>
        <v>$ 39875,29</v>
      </c>
      <c r="D2047" t="str">
        <f>"$ 39875,29"</f>
        <v>$ 39875,29</v>
      </c>
      <c r="E2047" t="str">
        <f>"$ 39875,29"</f>
        <v>$ 39875,29</v>
      </c>
      <c r="F2047" t="str">
        <f>"$ 39875,29"</f>
        <v>$ 39875,29</v>
      </c>
      <c r="G2047" t="str">
        <f>"$ 39875,29"</f>
        <v>$ 39875,29</v>
      </c>
      <c r="H2047" t="str">
        <f t="shared" si="1286"/>
        <v>$ 0,00</v>
      </c>
      <c r="I2047" t="str">
        <f t="shared" si="1313"/>
        <v>CABLES BUJÍAS COMPETICION 9MM</v>
      </c>
      <c r="J2047" t="str">
        <f t="shared" si="1287"/>
        <v>1</v>
      </c>
      <c r="K2047" t="str">
        <f t="shared" si="1309"/>
        <v>0</v>
      </c>
      <c r="L2047" t="str">
        <f>"9,000"</f>
        <v>9,000</v>
      </c>
      <c r="M2047" t="str">
        <f t="shared" si="1288"/>
        <v xml:space="preserve"> </v>
      </c>
      <c r="N2047" t="str">
        <f t="shared" si="1311"/>
        <v>FERRAZZI</v>
      </c>
      <c r="O2047" t="str">
        <f t="shared" si="1312"/>
        <v>CABLES</v>
      </c>
      <c r="P2047" t="str">
        <f t="shared" si="1317"/>
        <v>0</v>
      </c>
      <c r="Q2047" t="str">
        <f t="shared" si="1317"/>
        <v>0</v>
      </c>
      <c r="R2047" t="str">
        <f t="shared" si="1318"/>
        <v>0,00</v>
      </c>
      <c r="S2047" t="str">
        <f t="shared" si="1318"/>
        <v>0,00</v>
      </c>
      <c r="T2047" t="str">
        <f t="shared" si="1284"/>
        <v xml:space="preserve"> </v>
      </c>
      <c r="U2047" t="str">
        <f t="shared" si="1304"/>
        <v xml:space="preserve"> </v>
      </c>
      <c r="V2047" t="str">
        <f>"9,000"</f>
        <v>9,000</v>
      </c>
      <c r="W2047" t="str">
        <f t="shared" si="1289"/>
        <v>Lista 4</v>
      </c>
      <c r="X2047" t="str">
        <f t="shared" si="1290"/>
        <v>Lista 5</v>
      </c>
      <c r="Y2047" t="str">
        <f t="shared" si="1291"/>
        <v>Oferta Gral.</v>
      </c>
      <c r="Z2047" t="str">
        <f t="shared" si="1292"/>
        <v>Rubro</v>
      </c>
      <c r="AA2047" t="str">
        <f t="shared" si="1293"/>
        <v>Cantidad por Bulto</v>
      </c>
      <c r="AB2047" t="str">
        <f t="shared" si="1294"/>
        <v>INNER</v>
      </c>
      <c r="AC2047" t="str">
        <f t="shared" si="1295"/>
        <v>Stock en Bultos</v>
      </c>
      <c r="AD2047" t="str">
        <f t="shared" si="1296"/>
        <v>SubDepósito</v>
      </c>
      <c r="AE2047" t="str">
        <f t="shared" si="1297"/>
        <v>Marca</v>
      </c>
      <c r="AF2047" t="str">
        <f t="shared" si="1298"/>
        <v>Super Rubro</v>
      </c>
      <c r="AG2047" t="str">
        <f t="shared" si="1299"/>
        <v>ComercioExterior</v>
      </c>
      <c r="AH2047" t="str">
        <f t="shared" si="1300"/>
        <v>PrecioFOB</v>
      </c>
      <c r="AI2047" t="str">
        <f t="shared" si="1301"/>
        <v>Monto II</v>
      </c>
      <c r="AJ2047" t="str">
        <f t="shared" si="1302"/>
        <v>Porcentaje II</v>
      </c>
      <c r="AK2047" t="str">
        <f t="shared" si="1303"/>
        <v>Foto</v>
      </c>
      <c r="AL2047" t="str">
        <f>"{\rtf1\ansi\ansicpg1252\deff0\deflang11274{\fonttbl{\f0\fnil\fcharset0 MS Sans Serif}} \viewkind4\uc1\pard\f0\fs16 JGO CABLES BUJIAS COMPETICION 9MM RENAULT 18/FUEGO 2000\par } "</f>
        <v xml:space="preserve">{\rtf1\ansi\ansicpg1252\deff0\deflang11274{\fonttbl{\f0\fnil\fcharset0 MS Sans Serif}} \viewkind4\uc1\pard\f0\fs16 JGO CABLES BUJIAS COMPETICION 9MM RENAULT 18/FUEGO 2000\par } </v>
      </c>
      <c r="AM2047" t="str">
        <f t="shared" si="1316"/>
        <v>-</v>
      </c>
    </row>
    <row r="2048" spans="1:39" x14ac:dyDescent="0.25">
      <c r="A2048" t="str">
        <f>"06-00225"</f>
        <v>06-00225</v>
      </c>
      <c r="B2048" t="str">
        <f>"JGO CABLES BUJIAS COMPETICION 9MM RENAULT 19RTI 1.8/CLIORSI 1.8 "</f>
        <v xml:space="preserve">JGO CABLES BUJIAS COMPETICION 9MM RENAULT 19RTI 1.8/CLIORSI 1.8 </v>
      </c>
      <c r="C2048" t="str">
        <f>"$ 54833,92"</f>
        <v>$ 54833,92</v>
      </c>
      <c r="D2048" t="str">
        <f>"$ 54833,92"</f>
        <v>$ 54833,92</v>
      </c>
      <c r="E2048" t="str">
        <f>"$ 54833,92"</f>
        <v>$ 54833,92</v>
      </c>
      <c r="F2048" t="str">
        <f>"$ 54833,92"</f>
        <v>$ 54833,92</v>
      </c>
      <c r="G2048" t="str">
        <f>"$ 54833,92"</f>
        <v>$ 54833,92</v>
      </c>
      <c r="H2048" t="str">
        <f t="shared" si="1286"/>
        <v>$ 0,00</v>
      </c>
      <c r="I2048" t="str">
        <f t="shared" si="1313"/>
        <v>CABLES BUJÍAS COMPETICION 9MM</v>
      </c>
      <c r="J2048" t="str">
        <f t="shared" si="1287"/>
        <v>1</v>
      </c>
      <c r="K2048" t="str">
        <f t="shared" si="1309"/>
        <v>0</v>
      </c>
      <c r="L2048" t="str">
        <f>"3,000"</f>
        <v>3,000</v>
      </c>
      <c r="M2048" t="str">
        <f t="shared" si="1288"/>
        <v xml:space="preserve"> </v>
      </c>
      <c r="N2048" t="str">
        <f t="shared" si="1311"/>
        <v>FERRAZZI</v>
      </c>
      <c r="O2048" t="str">
        <f t="shared" si="1312"/>
        <v>CABLES</v>
      </c>
      <c r="P2048" t="str">
        <f t="shared" si="1317"/>
        <v>0</v>
      </c>
      <c r="Q2048" t="str">
        <f t="shared" si="1317"/>
        <v>0</v>
      </c>
      <c r="R2048" t="str">
        <f t="shared" si="1318"/>
        <v>0,00</v>
      </c>
      <c r="S2048" t="str">
        <f t="shared" si="1318"/>
        <v>0,00</v>
      </c>
      <c r="T2048" t="str">
        <f t="shared" ref="T2048:T2111" si="1319">" "</f>
        <v xml:space="preserve"> </v>
      </c>
      <c r="U2048" t="str">
        <f t="shared" si="1304"/>
        <v xml:space="preserve"> </v>
      </c>
      <c r="V2048" t="str">
        <f>"3,000"</f>
        <v>3,000</v>
      </c>
      <c r="W2048" t="str">
        <f t="shared" si="1289"/>
        <v>Lista 4</v>
      </c>
      <c r="X2048" t="str">
        <f t="shared" si="1290"/>
        <v>Lista 5</v>
      </c>
      <c r="Y2048" t="str">
        <f t="shared" si="1291"/>
        <v>Oferta Gral.</v>
      </c>
      <c r="Z2048" t="str">
        <f t="shared" si="1292"/>
        <v>Rubro</v>
      </c>
      <c r="AA2048" t="str">
        <f t="shared" si="1293"/>
        <v>Cantidad por Bulto</v>
      </c>
      <c r="AB2048" t="str">
        <f t="shared" si="1294"/>
        <v>INNER</v>
      </c>
      <c r="AC2048" t="str">
        <f t="shared" si="1295"/>
        <v>Stock en Bultos</v>
      </c>
      <c r="AD2048" t="str">
        <f t="shared" si="1296"/>
        <v>SubDepósito</v>
      </c>
      <c r="AE2048" t="str">
        <f t="shared" si="1297"/>
        <v>Marca</v>
      </c>
      <c r="AF2048" t="str">
        <f t="shared" si="1298"/>
        <v>Super Rubro</v>
      </c>
      <c r="AG2048" t="str">
        <f t="shared" si="1299"/>
        <v>ComercioExterior</v>
      </c>
      <c r="AH2048" t="str">
        <f t="shared" si="1300"/>
        <v>PrecioFOB</v>
      </c>
      <c r="AI2048" t="str">
        <f t="shared" si="1301"/>
        <v>Monto II</v>
      </c>
      <c r="AJ2048" t="str">
        <f t="shared" si="1302"/>
        <v>Porcentaje II</v>
      </c>
      <c r="AK2048" t="str">
        <f t="shared" si="1303"/>
        <v>Foto</v>
      </c>
      <c r="AL2048" t="str">
        <f>"{\rtf1\ansi\ansicpg1252\deff0\deflang11274{\fonttbl{\f0\fnil\fcharset0 MS Sans Serif}} \viewkind4\uc1\pard\f0\fs16 JGO CABLES BUJIAS COMPETICION 9MM RENAULT 19RTI 1.8/CLIORSI 1.8 \par } "</f>
        <v xml:space="preserve">{\rtf1\ansi\ansicpg1252\deff0\deflang11274{\fonttbl{\f0\fnil\fcharset0 MS Sans Serif}} \viewkind4\uc1\pard\f0\fs16 JGO CABLES BUJIAS COMPETICION 9MM RENAULT 19RTI 1.8/CLIORSI 1.8 \par } </v>
      </c>
      <c r="AM2048" t="str">
        <f t="shared" si="1316"/>
        <v>-</v>
      </c>
    </row>
    <row r="2049" spans="1:39" x14ac:dyDescent="0.25">
      <c r="A2049" t="str">
        <f>"06-00296"</f>
        <v>06-00296</v>
      </c>
      <c r="B2049" t="str">
        <f>"JGO CABLES BUJIAS COMPETICION 9MM RENAULT CLIO 1.2 16V D4F"</f>
        <v>JGO CABLES BUJIAS COMPETICION 9MM RENAULT CLIO 1.2 16V D4F</v>
      </c>
      <c r="C2049" t="str">
        <f>"$ 50525,29"</f>
        <v>$ 50525,29</v>
      </c>
      <c r="D2049" t="str">
        <f>"$ 50525,29"</f>
        <v>$ 50525,29</v>
      </c>
      <c r="E2049" t="str">
        <f>"$ 50525,29"</f>
        <v>$ 50525,29</v>
      </c>
      <c r="F2049" t="str">
        <f>"$ 50525,29"</f>
        <v>$ 50525,29</v>
      </c>
      <c r="G2049" t="str">
        <f>"$ 50525,29"</f>
        <v>$ 50525,29</v>
      </c>
      <c r="H2049" t="str">
        <f t="shared" si="1286"/>
        <v>$ 0,00</v>
      </c>
      <c r="I2049" t="str">
        <f t="shared" si="1313"/>
        <v>CABLES BUJÍAS COMPETICION 9MM</v>
      </c>
      <c r="J2049" t="str">
        <f t="shared" si="1287"/>
        <v>1</v>
      </c>
      <c r="K2049" t="str">
        <f t="shared" si="1309"/>
        <v>0</v>
      </c>
      <c r="L2049" t="str">
        <f>"-1,000"</f>
        <v>-1,000</v>
      </c>
      <c r="M2049" t="str">
        <f t="shared" si="1288"/>
        <v xml:space="preserve"> </v>
      </c>
      <c r="N2049" t="str">
        <f t="shared" si="1311"/>
        <v>FERRAZZI</v>
      </c>
      <c r="O2049" t="str">
        <f t="shared" si="1312"/>
        <v>CABLES</v>
      </c>
      <c r="P2049" t="str">
        <f t="shared" si="1317"/>
        <v>0</v>
      </c>
      <c r="Q2049" t="str">
        <f t="shared" si="1317"/>
        <v>0</v>
      </c>
      <c r="R2049" t="str">
        <f t="shared" si="1318"/>
        <v>0,00</v>
      </c>
      <c r="S2049" t="str">
        <f t="shared" si="1318"/>
        <v>0,00</v>
      </c>
      <c r="T2049" t="str">
        <f t="shared" si="1319"/>
        <v xml:space="preserve"> </v>
      </c>
      <c r="U2049" t="str">
        <f t="shared" si="1304"/>
        <v xml:space="preserve"> </v>
      </c>
      <c r="V2049" t="str">
        <f>"-1,000"</f>
        <v>-1,000</v>
      </c>
      <c r="W2049" t="str">
        <f t="shared" si="1289"/>
        <v>Lista 4</v>
      </c>
      <c r="X2049" t="str">
        <f t="shared" si="1290"/>
        <v>Lista 5</v>
      </c>
      <c r="Y2049" t="str">
        <f t="shared" si="1291"/>
        <v>Oferta Gral.</v>
      </c>
      <c r="Z2049" t="str">
        <f t="shared" si="1292"/>
        <v>Rubro</v>
      </c>
      <c r="AA2049" t="str">
        <f t="shared" si="1293"/>
        <v>Cantidad por Bulto</v>
      </c>
      <c r="AB2049" t="str">
        <f t="shared" si="1294"/>
        <v>INNER</v>
      </c>
      <c r="AC2049" t="str">
        <f t="shared" si="1295"/>
        <v>Stock en Bultos</v>
      </c>
      <c r="AD2049" t="str">
        <f t="shared" si="1296"/>
        <v>SubDepósito</v>
      </c>
      <c r="AE2049" t="str">
        <f t="shared" si="1297"/>
        <v>Marca</v>
      </c>
      <c r="AF2049" t="str">
        <f t="shared" si="1298"/>
        <v>Super Rubro</v>
      </c>
      <c r="AG2049" t="str">
        <f t="shared" si="1299"/>
        <v>ComercioExterior</v>
      </c>
      <c r="AH2049" t="str">
        <f t="shared" si="1300"/>
        <v>PrecioFOB</v>
      </c>
      <c r="AI2049" t="str">
        <f t="shared" si="1301"/>
        <v>Monto II</v>
      </c>
      <c r="AJ2049" t="str">
        <f t="shared" si="1302"/>
        <v>Porcentaje II</v>
      </c>
      <c r="AK2049" t="str">
        <f t="shared" si="1303"/>
        <v>Foto</v>
      </c>
      <c r="AL2049" t="str">
        <f>"{\rtf1\ansi\ansicpg1252\deff0\deflang11274{\fonttbl{\f0\fnil\fcharset0 MS Sans Serif}} \viewkind4\uc1\pard\f0\fs16 JGO CABLES BUJIAS COMPETICION 9MM RENAULT CLIO 1.2 16V D4F\par } "</f>
        <v xml:space="preserve">{\rtf1\ansi\ansicpg1252\deff0\deflang11274{\fonttbl{\f0\fnil\fcharset0 MS Sans Serif}} \viewkind4\uc1\pard\f0\fs16 JGO CABLES BUJIAS COMPETICION 9MM RENAULT CLIO 1.2 16V D4F\par } </v>
      </c>
      <c r="AM2049" t="str">
        <f t="shared" si="1316"/>
        <v>-</v>
      </c>
    </row>
    <row r="2050" spans="1:39" x14ac:dyDescent="0.25">
      <c r="A2050" t="str">
        <f>"06-00220"</f>
        <v>06-00220</v>
      </c>
      <c r="B2050" t="str">
        <f>"JGO CABLES BUJIAS COMPETICION 9MM RENAULT MEGANE/SCENIC 2.0 8V"</f>
        <v>JGO CABLES BUJIAS COMPETICION 9MM RENAULT MEGANE/SCENIC 2.0 8V</v>
      </c>
      <c r="C2050" t="str">
        <f>"$ 29254,63"</f>
        <v>$ 29254,63</v>
      </c>
      <c r="D2050" t="str">
        <f>"$ 29254,63"</f>
        <v>$ 29254,63</v>
      </c>
      <c r="E2050" t="str">
        <f>"$ 29254,63"</f>
        <v>$ 29254,63</v>
      </c>
      <c r="F2050" t="str">
        <f>"$ 29254,63"</f>
        <v>$ 29254,63</v>
      </c>
      <c r="G2050" t="str">
        <f>"$ 29254,63"</f>
        <v>$ 29254,63</v>
      </c>
      <c r="H2050" t="str">
        <f t="shared" si="1286"/>
        <v>$ 0,00</v>
      </c>
      <c r="I2050" t="str">
        <f t="shared" si="1313"/>
        <v>CABLES BUJÍAS COMPETICION 9MM</v>
      </c>
      <c r="J2050" t="str">
        <f t="shared" si="1287"/>
        <v>1</v>
      </c>
      <c r="K2050" t="str">
        <f t="shared" si="1309"/>
        <v>0</v>
      </c>
      <c r="L2050" t="str">
        <f>"7,000"</f>
        <v>7,000</v>
      </c>
      <c r="M2050" t="str">
        <f t="shared" si="1288"/>
        <v xml:space="preserve"> </v>
      </c>
      <c r="N2050" t="str">
        <f t="shared" si="1311"/>
        <v>FERRAZZI</v>
      </c>
      <c r="O2050" t="str">
        <f t="shared" si="1312"/>
        <v>CABLES</v>
      </c>
      <c r="P2050" t="str">
        <f t="shared" si="1317"/>
        <v>0</v>
      </c>
      <c r="Q2050" t="str">
        <f t="shared" si="1317"/>
        <v>0</v>
      </c>
      <c r="R2050" t="str">
        <f t="shared" si="1318"/>
        <v>0,00</v>
      </c>
      <c r="S2050" t="str">
        <f t="shared" si="1318"/>
        <v>0,00</v>
      </c>
      <c r="T2050" t="str">
        <f t="shared" si="1319"/>
        <v xml:space="preserve"> </v>
      </c>
      <c r="U2050" t="str">
        <f t="shared" si="1304"/>
        <v xml:space="preserve"> </v>
      </c>
      <c r="V2050" t="str">
        <f>"7,000"</f>
        <v>7,000</v>
      </c>
      <c r="W2050" t="str">
        <f t="shared" si="1289"/>
        <v>Lista 4</v>
      </c>
      <c r="X2050" t="str">
        <f t="shared" si="1290"/>
        <v>Lista 5</v>
      </c>
      <c r="Y2050" t="str">
        <f t="shared" si="1291"/>
        <v>Oferta Gral.</v>
      </c>
      <c r="Z2050" t="str">
        <f t="shared" si="1292"/>
        <v>Rubro</v>
      </c>
      <c r="AA2050" t="str">
        <f t="shared" si="1293"/>
        <v>Cantidad por Bulto</v>
      </c>
      <c r="AB2050" t="str">
        <f t="shared" si="1294"/>
        <v>INNER</v>
      </c>
      <c r="AC2050" t="str">
        <f t="shared" si="1295"/>
        <v>Stock en Bultos</v>
      </c>
      <c r="AD2050" t="str">
        <f t="shared" si="1296"/>
        <v>SubDepósito</v>
      </c>
      <c r="AE2050" t="str">
        <f t="shared" si="1297"/>
        <v>Marca</v>
      </c>
      <c r="AF2050" t="str">
        <f t="shared" si="1298"/>
        <v>Super Rubro</v>
      </c>
      <c r="AG2050" t="str">
        <f t="shared" si="1299"/>
        <v>ComercioExterior</v>
      </c>
      <c r="AH2050" t="str">
        <f t="shared" si="1300"/>
        <v>PrecioFOB</v>
      </c>
      <c r="AI2050" t="str">
        <f t="shared" si="1301"/>
        <v>Monto II</v>
      </c>
      <c r="AJ2050" t="str">
        <f t="shared" si="1302"/>
        <v>Porcentaje II</v>
      </c>
      <c r="AK2050" t="str">
        <f t="shared" si="1303"/>
        <v>Foto</v>
      </c>
      <c r="AL2050" t="str">
        <f>"{\rtf1\ansi\ansicpg1252\deff0\deflang11274{\fonttbl{\f0\fnil\fcharset0 MS Sans Serif}} \viewkind4\uc1\pard\f0\fs16 JGO CABLES BUJIAS COMPETICION 9MM RENAULT MEGANE/SCENIC 2.0 8V\par } "</f>
        <v xml:space="preserve">{\rtf1\ansi\ansicpg1252\deff0\deflang11274{\fonttbl{\f0\fnil\fcharset0 MS Sans Serif}} \viewkind4\uc1\pard\f0\fs16 JGO CABLES BUJIAS COMPETICION 9MM RENAULT MEGANE/SCENIC 2.0 8V\par } </v>
      </c>
      <c r="AM2050" t="str">
        <f t="shared" si="1316"/>
        <v>-</v>
      </c>
    </row>
    <row r="2051" spans="1:39" x14ac:dyDescent="0.25">
      <c r="A2051" t="str">
        <f>"05-00195"</f>
        <v>05-00195</v>
      </c>
      <c r="B2051" t="str">
        <f>"JGO CABLES BUJIAS COMPETICION EXTREME 11 MM FIAT 147 1.4 TIPO "</f>
        <v xml:space="preserve">JGO CABLES BUJIAS COMPETICION EXTREME 11 MM FIAT 147 1.4 TIPO </v>
      </c>
      <c r="C2051" t="str">
        <f>"$ 115851,26"</f>
        <v>$ 115851,26</v>
      </c>
      <c r="D2051" t="str">
        <f>"$ 115851,26"</f>
        <v>$ 115851,26</v>
      </c>
      <c r="E2051" t="str">
        <f>"$ 115851,26"</f>
        <v>$ 115851,26</v>
      </c>
      <c r="F2051" t="str">
        <f>"$ 115851,26"</f>
        <v>$ 115851,26</v>
      </c>
      <c r="G2051" t="str">
        <f>"$ 115851,26"</f>
        <v>$ 115851,26</v>
      </c>
      <c r="H2051" t="str">
        <f t="shared" ref="H2051:H2114" si="1320">"$ 0,00"</f>
        <v>$ 0,00</v>
      </c>
      <c r="I2051" t="str">
        <f>"CABLES BUJIAS COMPETICION EXTREME 11MM"</f>
        <v>CABLES BUJIAS COMPETICION EXTREME 11MM</v>
      </c>
      <c r="J2051" t="str">
        <f t="shared" ref="J2051:J2114" si="1321">"1"</f>
        <v>1</v>
      </c>
      <c r="K2051" t="str">
        <f t="shared" si="1309"/>
        <v>0</v>
      </c>
      <c r="L2051" t="str">
        <f>"0,000"</f>
        <v>0,000</v>
      </c>
      <c r="M2051" t="str">
        <f t="shared" ref="M2051:M2114" si="1322">" "</f>
        <v xml:space="preserve"> </v>
      </c>
      <c r="N2051" t="str">
        <f t="shared" si="1311"/>
        <v>FERRAZZI</v>
      </c>
      <c r="O2051" t="str">
        <f t="shared" si="1312"/>
        <v>CABLES</v>
      </c>
      <c r="P2051" t="str">
        <f t="shared" si="1317"/>
        <v>0</v>
      </c>
      <c r="Q2051" t="str">
        <f t="shared" si="1317"/>
        <v>0</v>
      </c>
      <c r="R2051" t="str">
        <f t="shared" si="1318"/>
        <v>0,00</v>
      </c>
      <c r="S2051" t="str">
        <f t="shared" si="1318"/>
        <v>0,00</v>
      </c>
      <c r="T2051" t="str">
        <f t="shared" si="1319"/>
        <v xml:space="preserve"> </v>
      </c>
      <c r="U2051" t="str">
        <f t="shared" si="1304"/>
        <v xml:space="preserve"> </v>
      </c>
      <c r="V2051" t="str">
        <f>"0,000"</f>
        <v>0,000</v>
      </c>
      <c r="W2051" t="str">
        <f t="shared" ref="W2051:W2114" si="1323">"Lista 4"</f>
        <v>Lista 4</v>
      </c>
      <c r="X2051" t="str">
        <f t="shared" ref="X2051:X2114" si="1324">"Lista 5"</f>
        <v>Lista 5</v>
      </c>
      <c r="Y2051" t="str">
        <f t="shared" ref="Y2051:Y2114" si="1325">"Oferta Gral."</f>
        <v>Oferta Gral.</v>
      </c>
      <c r="Z2051" t="str">
        <f t="shared" ref="Z2051:Z2114" si="1326">"Rubro"</f>
        <v>Rubro</v>
      </c>
      <c r="AA2051" t="str">
        <f t="shared" ref="AA2051:AA2114" si="1327">"Cantidad por Bulto"</f>
        <v>Cantidad por Bulto</v>
      </c>
      <c r="AB2051" t="str">
        <f t="shared" ref="AB2051:AB2114" si="1328">"INNER"</f>
        <v>INNER</v>
      </c>
      <c r="AC2051" t="str">
        <f t="shared" ref="AC2051:AC2114" si="1329">"Stock en Bultos"</f>
        <v>Stock en Bultos</v>
      </c>
      <c r="AD2051" t="str">
        <f t="shared" ref="AD2051:AD2114" si="1330">"SubDepósito"</f>
        <v>SubDepósito</v>
      </c>
      <c r="AE2051" t="str">
        <f t="shared" ref="AE2051:AE2114" si="1331">"Marca"</f>
        <v>Marca</v>
      </c>
      <c r="AF2051" t="str">
        <f t="shared" ref="AF2051:AF2114" si="1332">"Super Rubro"</f>
        <v>Super Rubro</v>
      </c>
      <c r="AG2051" t="str">
        <f t="shared" ref="AG2051:AG2114" si="1333">"ComercioExterior"</f>
        <v>ComercioExterior</v>
      </c>
      <c r="AH2051" t="str">
        <f t="shared" ref="AH2051:AH2114" si="1334">"PrecioFOB"</f>
        <v>PrecioFOB</v>
      </c>
      <c r="AI2051" t="str">
        <f t="shared" ref="AI2051:AI2114" si="1335">"Monto II"</f>
        <v>Monto II</v>
      </c>
      <c r="AJ2051" t="str">
        <f t="shared" ref="AJ2051:AJ2114" si="1336">"Porcentaje II"</f>
        <v>Porcentaje II</v>
      </c>
      <c r="AK2051" t="str">
        <f t="shared" ref="AK2051:AK2114" si="1337">"Foto"</f>
        <v>Foto</v>
      </c>
      <c r="AL2051" t="str">
        <f>"{\rtf1\ansi\ansicpg1252\deff0\deflang11274{\fonttbl{\f0\fnil\fcharset0 MS Sans Serif}} \viewkind4\uc1\pard\f0\fs16 SENSOR NIVEL COMBUSTIBLE F ESCORT ZETEC DESDE 97\par } "</f>
        <v xml:space="preserve">{\rtf1\ansi\ansicpg1252\deff0\deflang11274{\fonttbl{\f0\fnil\fcharset0 MS Sans Serif}} \viewkind4\uc1\pard\f0\fs16 SENSOR NIVEL COMBUSTIBLE F ESCORT ZETEC DESDE 97\par } </v>
      </c>
      <c r="AM2051" t="str">
        <f>" "</f>
        <v xml:space="preserve"> </v>
      </c>
    </row>
    <row r="2052" spans="1:39" x14ac:dyDescent="0.25">
      <c r="A2052" t="str">
        <f>"05-00243"</f>
        <v>05-00243</v>
      </c>
      <c r="B2052" t="str">
        <f>"JGO CABLES BUJIAS COMPETICION FIAT 125"</f>
        <v>JGO CABLES BUJIAS COMPETICION FIAT 125</v>
      </c>
      <c r="C2052" t="str">
        <f>"$ 46562,89"</f>
        <v>$ 46562,89</v>
      </c>
      <c r="D2052" t="str">
        <f>"$ 46562,89"</f>
        <v>$ 46562,89</v>
      </c>
      <c r="E2052" t="str">
        <f>"$ 46562,89"</f>
        <v>$ 46562,89</v>
      </c>
      <c r="F2052" t="str">
        <f>"$ 46562,89"</f>
        <v>$ 46562,89</v>
      </c>
      <c r="G2052" t="str">
        <f>"$ 46562,89"</f>
        <v>$ 46562,89</v>
      </c>
      <c r="H2052" t="str">
        <f t="shared" si="1320"/>
        <v>$ 0,00</v>
      </c>
      <c r="I2052" t="str">
        <f t="shared" ref="I2052:I2059" si="1338">"CABLES BUJÍAS COMPETICION 9MM"</f>
        <v>CABLES BUJÍAS COMPETICION 9MM</v>
      </c>
      <c r="J2052" t="str">
        <f t="shared" si="1321"/>
        <v>1</v>
      </c>
      <c r="K2052" t="str">
        <f t="shared" si="1309"/>
        <v>0</v>
      </c>
      <c r="L2052" t="str">
        <f>"5,000"</f>
        <v>5,000</v>
      </c>
      <c r="M2052" t="str">
        <f t="shared" si="1322"/>
        <v xml:space="preserve"> </v>
      </c>
      <c r="N2052" t="str">
        <f t="shared" si="1311"/>
        <v>FERRAZZI</v>
      </c>
      <c r="O2052" t="str">
        <f t="shared" ref="O2052:O2074" si="1339">"CABLES"</f>
        <v>CABLES</v>
      </c>
      <c r="P2052" t="str">
        <f t="shared" si="1317"/>
        <v>0</v>
      </c>
      <c r="Q2052" t="str">
        <f t="shared" si="1317"/>
        <v>0</v>
      </c>
      <c r="R2052" t="str">
        <f t="shared" si="1318"/>
        <v>0,00</v>
      </c>
      <c r="S2052" t="str">
        <f t="shared" si="1318"/>
        <v>0,00</v>
      </c>
      <c r="T2052" t="str">
        <f t="shared" si="1319"/>
        <v xml:space="preserve"> </v>
      </c>
      <c r="U2052" t="str">
        <f t="shared" si="1304"/>
        <v xml:space="preserve"> </v>
      </c>
      <c r="V2052" t="str">
        <f>"5,000"</f>
        <v>5,000</v>
      </c>
      <c r="W2052" t="str">
        <f t="shared" si="1323"/>
        <v>Lista 4</v>
      </c>
      <c r="X2052" t="str">
        <f t="shared" si="1324"/>
        <v>Lista 5</v>
      </c>
      <c r="Y2052" t="str">
        <f t="shared" si="1325"/>
        <v>Oferta Gral.</v>
      </c>
      <c r="Z2052" t="str">
        <f t="shared" si="1326"/>
        <v>Rubro</v>
      </c>
      <c r="AA2052" t="str">
        <f t="shared" si="1327"/>
        <v>Cantidad por Bulto</v>
      </c>
      <c r="AB2052" t="str">
        <f t="shared" si="1328"/>
        <v>INNER</v>
      </c>
      <c r="AC2052" t="str">
        <f t="shared" si="1329"/>
        <v>Stock en Bultos</v>
      </c>
      <c r="AD2052" t="str">
        <f t="shared" si="1330"/>
        <v>SubDepósito</v>
      </c>
      <c r="AE2052" t="str">
        <f t="shared" si="1331"/>
        <v>Marca</v>
      </c>
      <c r="AF2052" t="str">
        <f t="shared" si="1332"/>
        <v>Super Rubro</v>
      </c>
      <c r="AG2052" t="str">
        <f t="shared" si="1333"/>
        <v>ComercioExterior</v>
      </c>
      <c r="AH2052" t="str">
        <f t="shared" si="1334"/>
        <v>PrecioFOB</v>
      </c>
      <c r="AI2052" t="str">
        <f t="shared" si="1335"/>
        <v>Monto II</v>
      </c>
      <c r="AJ2052" t="str">
        <f t="shared" si="1336"/>
        <v>Porcentaje II</v>
      </c>
      <c r="AK2052" t="str">
        <f t="shared" si="1337"/>
        <v>Foto</v>
      </c>
      <c r="AL2052" t="str">
        <f>"{\rtf1\ansi\ansicpg1252\deff0\deflang11274{\fonttbl{\f0\fnil\fcharset0 MS Sans Serif}} \viewkind4\uc1\pard\f0\fs16 JGO CABLES BUJIAS COMPETICION FIAT 125\par } "</f>
        <v xml:space="preserve">{\rtf1\ansi\ansicpg1252\deff0\deflang11274{\fonttbl{\f0\fnil\fcharset0 MS Sans Serif}} \viewkind4\uc1\pard\f0\fs16 JGO CABLES BUJIAS COMPETICION FIAT 125\par } </v>
      </c>
      <c r="AM2052" t="str">
        <f>" "</f>
        <v xml:space="preserve"> </v>
      </c>
    </row>
    <row r="2053" spans="1:39" x14ac:dyDescent="0.25">
      <c r="A2053" t="str">
        <f>"05-00244"</f>
        <v>05-00244</v>
      </c>
      <c r="B2053" t="str">
        <f>"JGO CABLES BUJIAS COMPETICION FIAT 128/DUNA/UNO"</f>
        <v>JGO CABLES BUJIAS COMPETICION FIAT 128/DUNA/UNO</v>
      </c>
      <c r="C2053" t="str">
        <f>"$ 39405,79"</f>
        <v>$ 39405,79</v>
      </c>
      <c r="D2053" t="str">
        <f>"$ 39405,79"</f>
        <v>$ 39405,79</v>
      </c>
      <c r="E2053" t="str">
        <f>"$ 39405,79"</f>
        <v>$ 39405,79</v>
      </c>
      <c r="F2053" t="str">
        <f>"$ 39405,79"</f>
        <v>$ 39405,79</v>
      </c>
      <c r="G2053" t="str">
        <f>"$ 39405,79"</f>
        <v>$ 39405,79</v>
      </c>
      <c r="H2053" t="str">
        <f t="shared" si="1320"/>
        <v>$ 0,00</v>
      </c>
      <c r="I2053" t="str">
        <f t="shared" si="1338"/>
        <v>CABLES BUJÍAS COMPETICION 9MM</v>
      </c>
      <c r="J2053" t="str">
        <f t="shared" si="1321"/>
        <v>1</v>
      </c>
      <c r="K2053" t="str">
        <f t="shared" si="1309"/>
        <v>0</v>
      </c>
      <c r="L2053" t="str">
        <f>"27,000"</f>
        <v>27,000</v>
      </c>
      <c r="M2053" t="str">
        <f t="shared" si="1322"/>
        <v xml:space="preserve"> </v>
      </c>
      <c r="N2053" t="str">
        <f t="shared" si="1311"/>
        <v>FERRAZZI</v>
      </c>
      <c r="O2053" t="str">
        <f t="shared" si="1339"/>
        <v>CABLES</v>
      </c>
      <c r="P2053" t="str">
        <f t="shared" si="1317"/>
        <v>0</v>
      </c>
      <c r="Q2053" t="str">
        <f t="shared" si="1317"/>
        <v>0</v>
      </c>
      <c r="R2053" t="str">
        <f t="shared" si="1318"/>
        <v>0,00</v>
      </c>
      <c r="S2053" t="str">
        <f t="shared" si="1318"/>
        <v>0,00</v>
      </c>
      <c r="T2053" t="str">
        <f t="shared" si="1319"/>
        <v xml:space="preserve"> </v>
      </c>
      <c r="U2053" t="str">
        <f t="shared" si="1304"/>
        <v xml:space="preserve"> </v>
      </c>
      <c r="V2053" t="str">
        <f>"27,000"</f>
        <v>27,000</v>
      </c>
      <c r="W2053" t="str">
        <f t="shared" si="1323"/>
        <v>Lista 4</v>
      </c>
      <c r="X2053" t="str">
        <f t="shared" si="1324"/>
        <v>Lista 5</v>
      </c>
      <c r="Y2053" t="str">
        <f t="shared" si="1325"/>
        <v>Oferta Gral.</v>
      </c>
      <c r="Z2053" t="str">
        <f t="shared" si="1326"/>
        <v>Rubro</v>
      </c>
      <c r="AA2053" t="str">
        <f t="shared" si="1327"/>
        <v>Cantidad por Bulto</v>
      </c>
      <c r="AB2053" t="str">
        <f t="shared" si="1328"/>
        <v>INNER</v>
      </c>
      <c r="AC2053" t="str">
        <f t="shared" si="1329"/>
        <v>Stock en Bultos</v>
      </c>
      <c r="AD2053" t="str">
        <f t="shared" si="1330"/>
        <v>SubDepósito</v>
      </c>
      <c r="AE2053" t="str">
        <f t="shared" si="1331"/>
        <v>Marca</v>
      </c>
      <c r="AF2053" t="str">
        <f t="shared" si="1332"/>
        <v>Super Rubro</v>
      </c>
      <c r="AG2053" t="str">
        <f t="shared" si="1333"/>
        <v>ComercioExterior</v>
      </c>
      <c r="AH2053" t="str">
        <f t="shared" si="1334"/>
        <v>PrecioFOB</v>
      </c>
      <c r="AI2053" t="str">
        <f t="shared" si="1335"/>
        <v>Monto II</v>
      </c>
      <c r="AJ2053" t="str">
        <f t="shared" si="1336"/>
        <v>Porcentaje II</v>
      </c>
      <c r="AK2053" t="str">
        <f t="shared" si="1337"/>
        <v>Foto</v>
      </c>
      <c r="AL2053" t="str">
        <f>"{\rtf1\ansi\ansicpg1252\deff0\deflang11274{\fonttbl{\f0\fnil\fcharset0 MS Sans Serif}} \viewkind4\uc1\pard\f0\fs16 JGO CABLES BUJIAS COMPETICION FIAT 128/DUNA/UNO\par } "</f>
        <v xml:space="preserve">{\rtf1\ansi\ansicpg1252\deff0\deflang11274{\fonttbl{\f0\fnil\fcharset0 MS Sans Serif}} \viewkind4\uc1\pard\f0\fs16 JGO CABLES BUJIAS COMPETICION FIAT 128/DUNA/UNO\par } </v>
      </c>
      <c r="AM2053" t="str">
        <f>" "</f>
        <v xml:space="preserve"> </v>
      </c>
    </row>
    <row r="2054" spans="1:39" x14ac:dyDescent="0.25">
      <c r="A2054" t="str">
        <f>"05-00295"</f>
        <v>05-00295</v>
      </c>
      <c r="B2054" t="str">
        <f>"JGO CABLES BUJIAS COMPETICION FIAT DUNA/UNO MOTOR TIPO"</f>
        <v>JGO CABLES BUJIAS COMPETICION FIAT DUNA/UNO MOTOR TIPO</v>
      </c>
      <c r="C2054" t="str">
        <f>"$ 42485,70"</f>
        <v>$ 42485,70</v>
      </c>
      <c r="D2054" t="str">
        <f>"$ 42485,70"</f>
        <v>$ 42485,70</v>
      </c>
      <c r="E2054" t="str">
        <f>"$ 42485,70"</f>
        <v>$ 42485,70</v>
      </c>
      <c r="F2054" t="str">
        <f>"$ 42485,70"</f>
        <v>$ 42485,70</v>
      </c>
      <c r="G2054" t="str">
        <f>"$ 42485,70"</f>
        <v>$ 42485,70</v>
      </c>
      <c r="H2054" t="str">
        <f t="shared" si="1320"/>
        <v>$ 0,00</v>
      </c>
      <c r="I2054" t="str">
        <f t="shared" si="1338"/>
        <v>CABLES BUJÍAS COMPETICION 9MM</v>
      </c>
      <c r="J2054" t="str">
        <f t="shared" si="1321"/>
        <v>1</v>
      </c>
      <c r="K2054" t="str">
        <f t="shared" si="1309"/>
        <v>0</v>
      </c>
      <c r="L2054" t="str">
        <f>"0,000"</f>
        <v>0,000</v>
      </c>
      <c r="M2054" t="str">
        <f t="shared" si="1322"/>
        <v xml:space="preserve"> </v>
      </c>
      <c r="N2054" t="str">
        <f t="shared" si="1311"/>
        <v>FERRAZZI</v>
      </c>
      <c r="O2054" t="str">
        <f t="shared" si="1339"/>
        <v>CABLES</v>
      </c>
      <c r="P2054" t="str">
        <f t="shared" si="1317"/>
        <v>0</v>
      </c>
      <c r="Q2054" t="str">
        <f t="shared" si="1317"/>
        <v>0</v>
      </c>
      <c r="R2054" t="str">
        <f t="shared" si="1318"/>
        <v>0,00</v>
      </c>
      <c r="S2054" t="str">
        <f t="shared" si="1318"/>
        <v>0,00</v>
      </c>
      <c r="T2054" t="str">
        <f t="shared" si="1319"/>
        <v xml:space="preserve"> </v>
      </c>
      <c r="U2054" t="str">
        <f t="shared" si="1304"/>
        <v xml:space="preserve"> </v>
      </c>
      <c r="V2054" t="str">
        <f>"0,000"</f>
        <v>0,000</v>
      </c>
      <c r="W2054" t="str">
        <f t="shared" si="1323"/>
        <v>Lista 4</v>
      </c>
      <c r="X2054" t="str">
        <f t="shared" si="1324"/>
        <v>Lista 5</v>
      </c>
      <c r="Y2054" t="str">
        <f t="shared" si="1325"/>
        <v>Oferta Gral.</v>
      </c>
      <c r="Z2054" t="str">
        <f t="shared" si="1326"/>
        <v>Rubro</v>
      </c>
      <c r="AA2054" t="str">
        <f t="shared" si="1327"/>
        <v>Cantidad por Bulto</v>
      </c>
      <c r="AB2054" t="str">
        <f t="shared" si="1328"/>
        <v>INNER</v>
      </c>
      <c r="AC2054" t="str">
        <f t="shared" si="1329"/>
        <v>Stock en Bultos</v>
      </c>
      <c r="AD2054" t="str">
        <f t="shared" si="1330"/>
        <v>SubDepósito</v>
      </c>
      <c r="AE2054" t="str">
        <f t="shared" si="1331"/>
        <v>Marca</v>
      </c>
      <c r="AF2054" t="str">
        <f t="shared" si="1332"/>
        <v>Super Rubro</v>
      </c>
      <c r="AG2054" t="str">
        <f t="shared" si="1333"/>
        <v>ComercioExterior</v>
      </c>
      <c r="AH2054" t="str">
        <f t="shared" si="1334"/>
        <v>PrecioFOB</v>
      </c>
      <c r="AI2054" t="str">
        <f t="shared" si="1335"/>
        <v>Monto II</v>
      </c>
      <c r="AJ2054" t="str">
        <f t="shared" si="1336"/>
        <v>Porcentaje II</v>
      </c>
      <c r="AK2054" t="str">
        <f t="shared" si="1337"/>
        <v>Foto</v>
      </c>
      <c r="AL2054" t="str">
        <f>"{\rtf1\ansi\ansicpg1252\deff0\deflang11274{\fonttbl{\f0\fnil\fcharset0 MS Sans Serif}} \viewkind4\uc1\pard\f0\fs16 JGO CABLES BUJIAS COMPETICION FIAT DUNA/UNO MOTOR TIPO\par } "</f>
        <v xml:space="preserve">{\rtf1\ansi\ansicpg1252\deff0\deflang11274{\fonttbl{\f0\fnil\fcharset0 MS Sans Serif}} \viewkind4\uc1\pard\f0\fs16 JGO CABLES BUJIAS COMPETICION FIAT DUNA/UNO MOTOR TIPO\par } </v>
      </c>
      <c r="AM2054" t="str">
        <f>"-"</f>
        <v>-</v>
      </c>
    </row>
    <row r="2055" spans="1:39" x14ac:dyDescent="0.25">
      <c r="A2055" t="str">
        <f>"04-00238"</f>
        <v>04-00238</v>
      </c>
      <c r="B2055" t="str">
        <f>"JGO CABLES BUJIAS COMPETICION FORD F100 V8 FASE 2"</f>
        <v>JGO CABLES BUJIAS COMPETICION FORD F100 V8 FASE 2</v>
      </c>
      <c r="C2055" t="str">
        <f>"$ 99901,06"</f>
        <v>$ 99901,06</v>
      </c>
      <c r="D2055" t="str">
        <f>"$ 99901,06"</f>
        <v>$ 99901,06</v>
      </c>
      <c r="E2055" t="str">
        <f>"$ 99901,06"</f>
        <v>$ 99901,06</v>
      </c>
      <c r="F2055" t="str">
        <f>"$ 99901,06"</f>
        <v>$ 99901,06</v>
      </c>
      <c r="G2055" t="str">
        <f>"$ 99901,06"</f>
        <v>$ 99901,06</v>
      </c>
      <c r="H2055" t="str">
        <f t="shared" si="1320"/>
        <v>$ 0,00</v>
      </c>
      <c r="I2055" t="str">
        <f t="shared" si="1338"/>
        <v>CABLES BUJÍAS COMPETICION 9MM</v>
      </c>
      <c r="J2055" t="str">
        <f t="shared" si="1321"/>
        <v>1</v>
      </c>
      <c r="K2055" t="str">
        <f t="shared" si="1309"/>
        <v>0</v>
      </c>
      <c r="L2055" t="str">
        <f>"13,000"</f>
        <v>13,000</v>
      </c>
      <c r="M2055" t="str">
        <f t="shared" si="1322"/>
        <v xml:space="preserve"> </v>
      </c>
      <c r="N2055" t="str">
        <f t="shared" si="1311"/>
        <v>FERRAZZI</v>
      </c>
      <c r="O2055" t="str">
        <f t="shared" si="1339"/>
        <v>CABLES</v>
      </c>
      <c r="P2055" t="str">
        <f t="shared" si="1317"/>
        <v>0</v>
      </c>
      <c r="Q2055" t="str">
        <f t="shared" si="1317"/>
        <v>0</v>
      </c>
      <c r="R2055" t="str">
        <f t="shared" si="1318"/>
        <v>0,00</v>
      </c>
      <c r="S2055" t="str">
        <f t="shared" si="1318"/>
        <v>0,00</v>
      </c>
      <c r="T2055" t="str">
        <f t="shared" si="1319"/>
        <v xml:space="preserve"> </v>
      </c>
      <c r="U2055" t="str">
        <f t="shared" si="1304"/>
        <v xml:space="preserve"> </v>
      </c>
      <c r="V2055" t="str">
        <f>"13,000"</f>
        <v>13,000</v>
      </c>
      <c r="W2055" t="str">
        <f t="shared" si="1323"/>
        <v>Lista 4</v>
      </c>
      <c r="X2055" t="str">
        <f t="shared" si="1324"/>
        <v>Lista 5</v>
      </c>
      <c r="Y2055" t="str">
        <f t="shared" si="1325"/>
        <v>Oferta Gral.</v>
      </c>
      <c r="Z2055" t="str">
        <f t="shared" si="1326"/>
        <v>Rubro</v>
      </c>
      <c r="AA2055" t="str">
        <f t="shared" si="1327"/>
        <v>Cantidad por Bulto</v>
      </c>
      <c r="AB2055" t="str">
        <f t="shared" si="1328"/>
        <v>INNER</v>
      </c>
      <c r="AC2055" t="str">
        <f t="shared" si="1329"/>
        <v>Stock en Bultos</v>
      </c>
      <c r="AD2055" t="str">
        <f t="shared" si="1330"/>
        <v>SubDepósito</v>
      </c>
      <c r="AE2055" t="str">
        <f t="shared" si="1331"/>
        <v>Marca</v>
      </c>
      <c r="AF2055" t="str">
        <f t="shared" si="1332"/>
        <v>Super Rubro</v>
      </c>
      <c r="AG2055" t="str">
        <f t="shared" si="1333"/>
        <v>ComercioExterior</v>
      </c>
      <c r="AH2055" t="str">
        <f t="shared" si="1334"/>
        <v>PrecioFOB</v>
      </c>
      <c r="AI2055" t="str">
        <f t="shared" si="1335"/>
        <v>Monto II</v>
      </c>
      <c r="AJ2055" t="str">
        <f t="shared" si="1336"/>
        <v>Porcentaje II</v>
      </c>
      <c r="AK2055" t="str">
        <f t="shared" si="1337"/>
        <v>Foto</v>
      </c>
      <c r="AL2055" t="str">
        <f>"{\rtf1\ansi\ansicpg1252\deff0\deflang11274{\fonttbl{\f0\fnil\fcharset0 MS Sans Serif}} \viewkind4\uc1\pard\f0\fs16 JGO CABLES BUJIAS COMPETICION FORD F100 V8 FASE 2\par } "</f>
        <v xml:space="preserve">{\rtf1\ansi\ansicpg1252\deff0\deflang11274{\fonttbl{\f0\fnil\fcharset0 MS Sans Serif}} \viewkind4\uc1\pard\f0\fs16 JGO CABLES BUJIAS COMPETICION FORD F100 V8 FASE 2\par } </v>
      </c>
      <c r="AM2055" t="str">
        <f>"-"</f>
        <v>-</v>
      </c>
    </row>
    <row r="2056" spans="1:39" x14ac:dyDescent="0.25">
      <c r="A2056" t="str">
        <f>"03-00200"</f>
        <v>03-00200</v>
      </c>
      <c r="B2056" t="str">
        <f>"JGO CABLES BUJIAS COMPETICION GOL/GACEL/CARAT"</f>
        <v>JGO CABLES BUJIAS COMPETICION GOL/GACEL/CARAT</v>
      </c>
      <c r="C2056" t="str">
        <f>"$ 45368,23"</f>
        <v>$ 45368,23</v>
      </c>
      <c r="D2056" t="str">
        <f>"$ 45368,23"</f>
        <v>$ 45368,23</v>
      </c>
      <c r="E2056" t="str">
        <f>"$ 45368,23"</f>
        <v>$ 45368,23</v>
      </c>
      <c r="F2056" t="str">
        <f>"$ 45368,23"</f>
        <v>$ 45368,23</v>
      </c>
      <c r="G2056" t="str">
        <f>"$ 45368,23"</f>
        <v>$ 45368,23</v>
      </c>
      <c r="H2056" t="str">
        <f t="shared" si="1320"/>
        <v>$ 0,00</v>
      </c>
      <c r="I2056" t="str">
        <f t="shared" si="1338"/>
        <v>CABLES BUJÍAS COMPETICION 9MM</v>
      </c>
      <c r="J2056" t="str">
        <f t="shared" si="1321"/>
        <v>1</v>
      </c>
      <c r="K2056" t="str">
        <f t="shared" si="1309"/>
        <v>0</v>
      </c>
      <c r="L2056" t="str">
        <f>"27,000"</f>
        <v>27,000</v>
      </c>
      <c r="M2056" t="str">
        <f t="shared" si="1322"/>
        <v xml:space="preserve"> </v>
      </c>
      <c r="N2056" t="str">
        <f t="shared" si="1311"/>
        <v>FERRAZZI</v>
      </c>
      <c r="O2056" t="str">
        <f t="shared" si="1339"/>
        <v>CABLES</v>
      </c>
      <c r="P2056" t="str">
        <f t="shared" si="1317"/>
        <v>0</v>
      </c>
      <c r="Q2056" t="str">
        <f t="shared" si="1317"/>
        <v>0</v>
      </c>
      <c r="R2056" t="str">
        <f t="shared" si="1318"/>
        <v>0,00</v>
      </c>
      <c r="S2056" t="str">
        <f t="shared" si="1318"/>
        <v>0,00</v>
      </c>
      <c r="T2056" t="str">
        <f t="shared" si="1319"/>
        <v xml:space="preserve"> </v>
      </c>
      <c r="U2056" t="str">
        <f t="shared" si="1304"/>
        <v xml:space="preserve"> </v>
      </c>
      <c r="V2056" t="str">
        <f>"27,000"</f>
        <v>27,000</v>
      </c>
      <c r="W2056" t="str">
        <f t="shared" si="1323"/>
        <v>Lista 4</v>
      </c>
      <c r="X2056" t="str">
        <f t="shared" si="1324"/>
        <v>Lista 5</v>
      </c>
      <c r="Y2056" t="str">
        <f t="shared" si="1325"/>
        <v>Oferta Gral.</v>
      </c>
      <c r="Z2056" t="str">
        <f t="shared" si="1326"/>
        <v>Rubro</v>
      </c>
      <c r="AA2056" t="str">
        <f t="shared" si="1327"/>
        <v>Cantidad por Bulto</v>
      </c>
      <c r="AB2056" t="str">
        <f t="shared" si="1328"/>
        <v>INNER</v>
      </c>
      <c r="AC2056" t="str">
        <f t="shared" si="1329"/>
        <v>Stock en Bultos</v>
      </c>
      <c r="AD2056" t="str">
        <f t="shared" si="1330"/>
        <v>SubDepósito</v>
      </c>
      <c r="AE2056" t="str">
        <f t="shared" si="1331"/>
        <v>Marca</v>
      </c>
      <c r="AF2056" t="str">
        <f t="shared" si="1332"/>
        <v>Super Rubro</v>
      </c>
      <c r="AG2056" t="str">
        <f t="shared" si="1333"/>
        <v>ComercioExterior</v>
      </c>
      <c r="AH2056" t="str">
        <f t="shared" si="1334"/>
        <v>PrecioFOB</v>
      </c>
      <c r="AI2056" t="str">
        <f t="shared" si="1335"/>
        <v>Monto II</v>
      </c>
      <c r="AJ2056" t="str">
        <f t="shared" si="1336"/>
        <v>Porcentaje II</v>
      </c>
      <c r="AK2056" t="str">
        <f t="shared" si="1337"/>
        <v>Foto</v>
      </c>
      <c r="AL2056" t="str">
        <f>"{\rtf1\ansi\ansicpg1252\deff0\deflang11274{\fonttbl{\f0\fnil\fcharset0 MS Sans Serif}} \viewkind4\uc1\pard\f0\fs16 JGO CABLES BUJIAS COMPETICION GOL/GACEL/CARAT\par } "</f>
        <v xml:space="preserve">{\rtf1\ansi\ansicpg1252\deff0\deflang11274{\fonttbl{\f0\fnil\fcharset0 MS Sans Serif}} \viewkind4\uc1\pard\f0\fs16 JGO CABLES BUJIAS COMPETICION GOL/GACEL/CARAT\par } </v>
      </c>
      <c r="AM2056" t="str">
        <f>"-"</f>
        <v>-</v>
      </c>
    </row>
    <row r="2057" spans="1:39" x14ac:dyDescent="0.25">
      <c r="A2057" t="str">
        <f>"04-00236"</f>
        <v>04-00236</v>
      </c>
      <c r="B2057" t="str">
        <f>"JGO CABLES BUJIAS COMPETICION TAUNUS CABLE BOBINA LARGO"</f>
        <v>JGO CABLES BUJIAS COMPETICION TAUNUS CABLE BOBINA LARGO</v>
      </c>
      <c r="C2057" t="str">
        <f>"$ 54231,20"</f>
        <v>$ 54231,20</v>
      </c>
      <c r="D2057" t="str">
        <f>"$ 54231,20"</f>
        <v>$ 54231,20</v>
      </c>
      <c r="E2057" t="str">
        <f>"$ 54231,20"</f>
        <v>$ 54231,20</v>
      </c>
      <c r="F2057" t="str">
        <f>"$ 54231,20"</f>
        <v>$ 54231,20</v>
      </c>
      <c r="G2057" t="str">
        <f>"$ 54231,20"</f>
        <v>$ 54231,20</v>
      </c>
      <c r="H2057" t="str">
        <f t="shared" si="1320"/>
        <v>$ 0,00</v>
      </c>
      <c r="I2057" t="str">
        <f t="shared" si="1338"/>
        <v>CABLES BUJÍAS COMPETICION 9MM</v>
      </c>
      <c r="J2057" t="str">
        <f t="shared" si="1321"/>
        <v>1</v>
      </c>
      <c r="K2057" t="str">
        <f t="shared" si="1309"/>
        <v>0</v>
      </c>
      <c r="L2057" t="str">
        <f>"6,000"</f>
        <v>6,000</v>
      </c>
      <c r="M2057" t="str">
        <f t="shared" si="1322"/>
        <v xml:space="preserve"> </v>
      </c>
      <c r="N2057" t="str">
        <f t="shared" si="1311"/>
        <v>FERRAZZI</v>
      </c>
      <c r="O2057" t="str">
        <f t="shared" si="1339"/>
        <v>CABLES</v>
      </c>
      <c r="P2057" t="str">
        <f t="shared" si="1317"/>
        <v>0</v>
      </c>
      <c r="Q2057" t="str">
        <f t="shared" si="1317"/>
        <v>0</v>
      </c>
      <c r="R2057" t="str">
        <f t="shared" si="1318"/>
        <v>0,00</v>
      </c>
      <c r="S2057" t="str">
        <f t="shared" si="1318"/>
        <v>0,00</v>
      </c>
      <c r="T2057" t="str">
        <f t="shared" si="1319"/>
        <v xml:space="preserve"> </v>
      </c>
      <c r="U2057" t="str">
        <f t="shared" si="1304"/>
        <v xml:space="preserve"> </v>
      </c>
      <c r="V2057" t="str">
        <f>"6,000"</f>
        <v>6,000</v>
      </c>
      <c r="W2057" t="str">
        <f t="shared" si="1323"/>
        <v>Lista 4</v>
      </c>
      <c r="X2057" t="str">
        <f t="shared" si="1324"/>
        <v>Lista 5</v>
      </c>
      <c r="Y2057" t="str">
        <f t="shared" si="1325"/>
        <v>Oferta Gral.</v>
      </c>
      <c r="Z2057" t="str">
        <f t="shared" si="1326"/>
        <v>Rubro</v>
      </c>
      <c r="AA2057" t="str">
        <f t="shared" si="1327"/>
        <v>Cantidad por Bulto</v>
      </c>
      <c r="AB2057" t="str">
        <f t="shared" si="1328"/>
        <v>INNER</v>
      </c>
      <c r="AC2057" t="str">
        <f t="shared" si="1329"/>
        <v>Stock en Bultos</v>
      </c>
      <c r="AD2057" t="str">
        <f t="shared" si="1330"/>
        <v>SubDepósito</v>
      </c>
      <c r="AE2057" t="str">
        <f t="shared" si="1331"/>
        <v>Marca</v>
      </c>
      <c r="AF2057" t="str">
        <f t="shared" si="1332"/>
        <v>Super Rubro</v>
      </c>
      <c r="AG2057" t="str">
        <f t="shared" si="1333"/>
        <v>ComercioExterior</v>
      </c>
      <c r="AH2057" t="str">
        <f t="shared" si="1334"/>
        <v>PrecioFOB</v>
      </c>
      <c r="AI2057" t="str">
        <f t="shared" si="1335"/>
        <v>Monto II</v>
      </c>
      <c r="AJ2057" t="str">
        <f t="shared" si="1336"/>
        <v>Porcentaje II</v>
      </c>
      <c r="AK2057" t="str">
        <f t="shared" si="1337"/>
        <v>Foto</v>
      </c>
      <c r="AL2057" t="str">
        <f>"{\rtf1\ansi\ansicpg1252\deff0\deflang11274{\fonttbl{\f0\fnil\fcharset0 MS Sans Serif}} \viewkind4\uc1\pard\f0\fs16 JGO CABLES BUJIAS COMPETICION TAUNUS CABLE BOBINA LARGO\par } "</f>
        <v xml:space="preserve">{\rtf1\ansi\ansicpg1252\deff0\deflang11274{\fonttbl{\f0\fnil\fcharset0 MS Sans Serif}} \viewkind4\uc1\pard\f0\fs16 JGO CABLES BUJIAS COMPETICION TAUNUS CABLE BOBINA LARGO\par } </v>
      </c>
      <c r="AM2057" t="str">
        <f>"-"</f>
        <v>-</v>
      </c>
    </row>
    <row r="2058" spans="1:39" x14ac:dyDescent="0.25">
      <c r="A2058" t="str">
        <f>"03-00239"</f>
        <v>03-00239</v>
      </c>
      <c r="B2058" t="str">
        <f>"JGO CABLES BUJIAS COMPETICION VW FOX"</f>
        <v>JGO CABLES BUJIAS COMPETICION VW FOX</v>
      </c>
      <c r="C2058" t="str">
        <f>"$ 48102,61"</f>
        <v>$ 48102,61</v>
      </c>
      <c r="D2058" t="str">
        <f>"$ 48102,61"</f>
        <v>$ 48102,61</v>
      </c>
      <c r="E2058" t="str">
        <f>"$ 48102,61"</f>
        <v>$ 48102,61</v>
      </c>
      <c r="F2058" t="str">
        <f>"$ 48102,61"</f>
        <v>$ 48102,61</v>
      </c>
      <c r="G2058" t="str">
        <f>"$ 48102,61"</f>
        <v>$ 48102,61</v>
      </c>
      <c r="H2058" t="str">
        <f t="shared" si="1320"/>
        <v>$ 0,00</v>
      </c>
      <c r="I2058" t="str">
        <f t="shared" si="1338"/>
        <v>CABLES BUJÍAS COMPETICION 9MM</v>
      </c>
      <c r="J2058" t="str">
        <f t="shared" si="1321"/>
        <v>1</v>
      </c>
      <c r="K2058" t="str">
        <f t="shared" si="1309"/>
        <v>0</v>
      </c>
      <c r="L2058" t="str">
        <f>"122,000"</f>
        <v>122,000</v>
      </c>
      <c r="M2058" t="str">
        <f t="shared" si="1322"/>
        <v xml:space="preserve"> </v>
      </c>
      <c r="N2058" t="str">
        <f t="shared" si="1311"/>
        <v>FERRAZZI</v>
      </c>
      <c r="O2058" t="str">
        <f t="shared" si="1339"/>
        <v>CABLES</v>
      </c>
      <c r="P2058" t="str">
        <f t="shared" si="1317"/>
        <v>0</v>
      </c>
      <c r="Q2058" t="str">
        <f t="shared" si="1317"/>
        <v>0</v>
      </c>
      <c r="R2058" t="str">
        <f t="shared" si="1318"/>
        <v>0,00</v>
      </c>
      <c r="S2058" t="str">
        <f t="shared" si="1318"/>
        <v>0,00</v>
      </c>
      <c r="T2058" t="str">
        <f t="shared" si="1319"/>
        <v xml:space="preserve"> </v>
      </c>
      <c r="U2058" t="str">
        <f t="shared" si="1304"/>
        <v xml:space="preserve"> </v>
      </c>
      <c r="V2058" t="str">
        <f>"122,000"</f>
        <v>122,000</v>
      </c>
      <c r="W2058" t="str">
        <f t="shared" si="1323"/>
        <v>Lista 4</v>
      </c>
      <c r="X2058" t="str">
        <f t="shared" si="1324"/>
        <v>Lista 5</v>
      </c>
      <c r="Y2058" t="str">
        <f t="shared" si="1325"/>
        <v>Oferta Gral.</v>
      </c>
      <c r="Z2058" t="str">
        <f t="shared" si="1326"/>
        <v>Rubro</v>
      </c>
      <c r="AA2058" t="str">
        <f t="shared" si="1327"/>
        <v>Cantidad por Bulto</v>
      </c>
      <c r="AB2058" t="str">
        <f t="shared" si="1328"/>
        <v>INNER</v>
      </c>
      <c r="AC2058" t="str">
        <f t="shared" si="1329"/>
        <v>Stock en Bultos</v>
      </c>
      <c r="AD2058" t="str">
        <f t="shared" si="1330"/>
        <v>SubDepósito</v>
      </c>
      <c r="AE2058" t="str">
        <f t="shared" si="1331"/>
        <v>Marca</v>
      </c>
      <c r="AF2058" t="str">
        <f t="shared" si="1332"/>
        <v>Super Rubro</v>
      </c>
      <c r="AG2058" t="str">
        <f t="shared" si="1333"/>
        <v>ComercioExterior</v>
      </c>
      <c r="AH2058" t="str">
        <f t="shared" si="1334"/>
        <v>PrecioFOB</v>
      </c>
      <c r="AI2058" t="str">
        <f t="shared" si="1335"/>
        <v>Monto II</v>
      </c>
      <c r="AJ2058" t="str">
        <f t="shared" si="1336"/>
        <v>Porcentaje II</v>
      </c>
      <c r="AK2058" t="str">
        <f t="shared" si="1337"/>
        <v>Foto</v>
      </c>
      <c r="AL2058" t="str">
        <f>"{\rtf1\ansi\ansicpg1252\deff0\deflang11274{\fonttbl{\f0\fnil\fcharset0 MS Sans Serif}} \viewkind4\uc1\pard\f0\fs16 JGO CABLES BUJIAS COMPETICION VW FOX\par } "</f>
        <v xml:space="preserve">{\rtf1\ansi\ansicpg1252\deff0\deflang11274{\fonttbl{\f0\fnil\fcharset0 MS Sans Serif}} \viewkind4\uc1\pard\f0\fs16 JGO CABLES BUJIAS COMPETICION VW FOX\par } </v>
      </c>
      <c r="AM2058" t="str">
        <f>"-"</f>
        <v>-</v>
      </c>
    </row>
    <row r="2059" spans="1:39" x14ac:dyDescent="0.25">
      <c r="A2059" t="str">
        <f>"03-00212"</f>
        <v>03-00212</v>
      </c>
      <c r="B2059" t="str">
        <f>"JGO CABLES BUJIAS COMPETICIÓN GOL 1000"</f>
        <v>JGO CABLES BUJIAS COMPETICIÓN GOL 1000</v>
      </c>
      <c r="C2059" t="str">
        <f>"$ 58300,39"</f>
        <v>$ 58300,39</v>
      </c>
      <c r="D2059" t="str">
        <f>"$ 58300,39"</f>
        <v>$ 58300,39</v>
      </c>
      <c r="E2059" t="str">
        <f>"$ 58300,39"</f>
        <v>$ 58300,39</v>
      </c>
      <c r="F2059" t="str">
        <f>"$ 58300,39"</f>
        <v>$ 58300,39</v>
      </c>
      <c r="G2059" t="str">
        <f>"$ 58300,39"</f>
        <v>$ 58300,39</v>
      </c>
      <c r="H2059" t="str">
        <f t="shared" si="1320"/>
        <v>$ 0,00</v>
      </c>
      <c r="I2059" t="str">
        <f t="shared" si="1338"/>
        <v>CABLES BUJÍAS COMPETICION 9MM</v>
      </c>
      <c r="J2059" t="str">
        <f t="shared" si="1321"/>
        <v>1</v>
      </c>
      <c r="K2059" t="str">
        <f t="shared" si="1309"/>
        <v>0</v>
      </c>
      <c r="L2059" t="str">
        <f>"5,000"</f>
        <v>5,000</v>
      </c>
      <c r="M2059" t="str">
        <f t="shared" si="1322"/>
        <v xml:space="preserve"> </v>
      </c>
      <c r="N2059" t="str">
        <f t="shared" si="1311"/>
        <v>FERRAZZI</v>
      </c>
      <c r="O2059" t="str">
        <f t="shared" si="1339"/>
        <v>CABLES</v>
      </c>
      <c r="P2059" t="str">
        <f t="shared" si="1317"/>
        <v>0</v>
      </c>
      <c r="Q2059" t="str">
        <f t="shared" si="1317"/>
        <v>0</v>
      </c>
      <c r="R2059" t="str">
        <f t="shared" si="1318"/>
        <v>0,00</v>
      </c>
      <c r="S2059" t="str">
        <f t="shared" si="1318"/>
        <v>0,00</v>
      </c>
      <c r="T2059" t="str">
        <f t="shared" si="1319"/>
        <v xml:space="preserve"> </v>
      </c>
      <c r="U2059" t="str">
        <f t="shared" si="1304"/>
        <v xml:space="preserve"> </v>
      </c>
      <c r="V2059" t="str">
        <f>"5,000"</f>
        <v>5,000</v>
      </c>
      <c r="W2059" t="str">
        <f t="shared" si="1323"/>
        <v>Lista 4</v>
      </c>
      <c r="X2059" t="str">
        <f t="shared" si="1324"/>
        <v>Lista 5</v>
      </c>
      <c r="Y2059" t="str">
        <f t="shared" si="1325"/>
        <v>Oferta Gral.</v>
      </c>
      <c r="Z2059" t="str">
        <f t="shared" si="1326"/>
        <v>Rubro</v>
      </c>
      <c r="AA2059" t="str">
        <f t="shared" si="1327"/>
        <v>Cantidad por Bulto</v>
      </c>
      <c r="AB2059" t="str">
        <f t="shared" si="1328"/>
        <v>INNER</v>
      </c>
      <c r="AC2059" t="str">
        <f t="shared" si="1329"/>
        <v>Stock en Bultos</v>
      </c>
      <c r="AD2059" t="str">
        <f t="shared" si="1330"/>
        <v>SubDepósito</v>
      </c>
      <c r="AE2059" t="str">
        <f t="shared" si="1331"/>
        <v>Marca</v>
      </c>
      <c r="AF2059" t="str">
        <f t="shared" si="1332"/>
        <v>Super Rubro</v>
      </c>
      <c r="AG2059" t="str">
        <f t="shared" si="1333"/>
        <v>ComercioExterior</v>
      </c>
      <c r="AH2059" t="str">
        <f t="shared" si="1334"/>
        <v>PrecioFOB</v>
      </c>
      <c r="AI2059" t="str">
        <f t="shared" si="1335"/>
        <v>Monto II</v>
      </c>
      <c r="AJ2059" t="str">
        <f t="shared" si="1336"/>
        <v>Porcentaje II</v>
      </c>
      <c r="AK2059" t="str">
        <f t="shared" si="1337"/>
        <v>Foto</v>
      </c>
      <c r="AL2059" t="str">
        <f>"{\rtf1\ansi\ansicpg1252\deff0\deflang11274{\fonttbl{\f0\fnil\fcharset0 MS Sans Serif}} \viewkind4\uc1\pard\f0\fs16 JGO CABLES BUJIAS COMPETICI`d3N GOL 1.6/1.8\par } "</f>
        <v xml:space="preserve">{\rtf1\ansi\ansicpg1252\deff0\deflang11274{\fonttbl{\f0\fnil\fcharset0 MS Sans Serif}} \viewkind4\uc1\pard\f0\fs16 JGO CABLES BUJIAS COMPETICI`d3N GOL 1.6/1.8\par } </v>
      </c>
      <c r="AM2059" t="str">
        <f t="shared" ref="AM2059:AM2068" si="1340">" "</f>
        <v xml:space="preserve"> </v>
      </c>
    </row>
    <row r="2060" spans="1:39" x14ac:dyDescent="0.25">
      <c r="A2060" t="str">
        <f>"CO0748"</f>
        <v>CO0748</v>
      </c>
      <c r="B2060" t="str">
        <f>"JGO CABLES BUJIAS CORSA SILICONA ANTIP"</f>
        <v>JGO CABLES BUJIAS CORSA SILICONA ANTIP</v>
      </c>
      <c r="C2060" t="str">
        <f>"$ 32680,87"</f>
        <v>$ 32680,87</v>
      </c>
      <c r="D2060" t="str">
        <f>"$ 32680,87"</f>
        <v>$ 32680,87</v>
      </c>
      <c r="E2060" t="str">
        <f>"$ 32680,87"</f>
        <v>$ 32680,87</v>
      </c>
      <c r="F2060" t="str">
        <f>"$ 32680,87"</f>
        <v>$ 32680,87</v>
      </c>
      <c r="G2060" t="str">
        <f>"$ 32680,87"</f>
        <v>$ 32680,87</v>
      </c>
      <c r="H2060" t="str">
        <f t="shared" si="1320"/>
        <v>$ 0,00</v>
      </c>
      <c r="I2060" t="str">
        <f t="shared" ref="I2060:I2069" si="1341">"CABLES BUJÍAS SILICONA ANTIPARASITARIOS"</f>
        <v>CABLES BUJÍAS SILICONA ANTIPARASITARIOS</v>
      </c>
      <c r="J2060" t="str">
        <f t="shared" si="1321"/>
        <v>1</v>
      </c>
      <c r="K2060" t="str">
        <f t="shared" si="1309"/>
        <v>0</v>
      </c>
      <c r="L2060" t="str">
        <f>"15,000"</f>
        <v>15,000</v>
      </c>
      <c r="M2060" t="str">
        <f t="shared" si="1322"/>
        <v xml:space="preserve"> </v>
      </c>
      <c r="N2060" t="str">
        <f>"CADIC"</f>
        <v>CADIC</v>
      </c>
      <c r="O2060" t="str">
        <f t="shared" si="1339"/>
        <v>CABLES</v>
      </c>
      <c r="P2060" t="str">
        <f t="shared" si="1317"/>
        <v>0</v>
      </c>
      <c r="Q2060" t="str">
        <f t="shared" si="1317"/>
        <v>0</v>
      </c>
      <c r="R2060" t="str">
        <f t="shared" si="1318"/>
        <v>0,00</v>
      </c>
      <c r="S2060" t="str">
        <f t="shared" si="1318"/>
        <v>0,00</v>
      </c>
      <c r="T2060" t="str">
        <f t="shared" si="1319"/>
        <v xml:space="preserve"> </v>
      </c>
      <c r="U2060" t="str">
        <f t="shared" ref="U2060:U2123" si="1342">" "</f>
        <v xml:space="preserve"> </v>
      </c>
      <c r="V2060" t="str">
        <f>"15,000"</f>
        <v>15,000</v>
      </c>
      <c r="W2060" t="str">
        <f t="shared" si="1323"/>
        <v>Lista 4</v>
      </c>
      <c r="X2060" t="str">
        <f t="shared" si="1324"/>
        <v>Lista 5</v>
      </c>
      <c r="Y2060" t="str">
        <f t="shared" si="1325"/>
        <v>Oferta Gral.</v>
      </c>
      <c r="Z2060" t="str">
        <f t="shared" si="1326"/>
        <v>Rubro</v>
      </c>
      <c r="AA2060" t="str">
        <f t="shared" si="1327"/>
        <v>Cantidad por Bulto</v>
      </c>
      <c r="AB2060" t="str">
        <f t="shared" si="1328"/>
        <v>INNER</v>
      </c>
      <c r="AC2060" t="str">
        <f t="shared" si="1329"/>
        <v>Stock en Bultos</v>
      </c>
      <c r="AD2060" t="str">
        <f t="shared" si="1330"/>
        <v>SubDepósito</v>
      </c>
      <c r="AE2060" t="str">
        <f t="shared" si="1331"/>
        <v>Marca</v>
      </c>
      <c r="AF2060" t="str">
        <f t="shared" si="1332"/>
        <v>Super Rubro</v>
      </c>
      <c r="AG2060" t="str">
        <f t="shared" si="1333"/>
        <v>ComercioExterior</v>
      </c>
      <c r="AH2060" t="str">
        <f t="shared" si="1334"/>
        <v>PrecioFOB</v>
      </c>
      <c r="AI2060" t="str">
        <f t="shared" si="1335"/>
        <v>Monto II</v>
      </c>
      <c r="AJ2060" t="str">
        <f t="shared" si="1336"/>
        <v>Porcentaje II</v>
      </c>
      <c r="AK2060" t="str">
        <f t="shared" si="1337"/>
        <v>Foto</v>
      </c>
      <c r="AL2060" t="str">
        <f>"{\rtf1\ansi\ansicpg1252\deff0\deflang11274{\fonttbl{\f0\fnil\fcharset0 MS Sans Serif}} \viewkind4\uc1\pard\f0\fs16 JGO CABLES BUJIAS CORSA SILICONA ANTIP\par } "</f>
        <v xml:space="preserve">{\rtf1\ansi\ansicpg1252\deff0\deflang11274{\fonttbl{\f0\fnil\fcharset0 MS Sans Serif}} \viewkind4\uc1\pard\f0\fs16 JGO CABLES BUJIAS CORSA SILICONA ANTIP\par } </v>
      </c>
      <c r="AM2060" t="str">
        <f t="shared" si="1340"/>
        <v xml:space="preserve"> </v>
      </c>
    </row>
    <row r="2061" spans="1:39" x14ac:dyDescent="0.25">
      <c r="A2061" t="str">
        <f>"04-01799"</f>
        <v>04-01799</v>
      </c>
      <c r="B2061" t="str">
        <f>"JGO CABLES BUJIAS ECOSPORT FIESTA FOCUS 1.6 16V SIGMA SILICONADO"</f>
        <v>JGO CABLES BUJIAS ECOSPORT FIESTA FOCUS 1.6 16V SIGMA SILICONADO</v>
      </c>
      <c r="C2061" t="str">
        <f>"$ 27067,20"</f>
        <v>$ 27067,20</v>
      </c>
      <c r="D2061" t="str">
        <f>"$ 27067,20"</f>
        <v>$ 27067,20</v>
      </c>
      <c r="E2061" t="str">
        <f>"$ 27067,20"</f>
        <v>$ 27067,20</v>
      </c>
      <c r="F2061" t="str">
        <f>"$ 27067,20"</f>
        <v>$ 27067,20</v>
      </c>
      <c r="G2061" t="str">
        <f>"$ 27067,20"</f>
        <v>$ 27067,20</v>
      </c>
      <c r="H2061" t="str">
        <f t="shared" si="1320"/>
        <v>$ 0,00</v>
      </c>
      <c r="I2061" t="str">
        <f t="shared" si="1341"/>
        <v>CABLES BUJÍAS SILICONA ANTIPARASITARIOS</v>
      </c>
      <c r="J2061" t="str">
        <f t="shared" si="1321"/>
        <v>1</v>
      </c>
      <c r="K2061" t="str">
        <f t="shared" si="1309"/>
        <v>0</v>
      </c>
      <c r="L2061" t="str">
        <f>"10,000"</f>
        <v>10,000</v>
      </c>
      <c r="M2061" t="str">
        <f t="shared" si="1322"/>
        <v xml:space="preserve"> </v>
      </c>
      <c r="N2061" t="str">
        <f t="shared" ref="N2061:N2066" si="1343">"FERRAZZI"</f>
        <v>FERRAZZI</v>
      </c>
      <c r="O2061" t="str">
        <f t="shared" si="1339"/>
        <v>CABLES</v>
      </c>
      <c r="P2061" t="str">
        <f t="shared" si="1317"/>
        <v>0</v>
      </c>
      <c r="Q2061" t="str">
        <f t="shared" si="1317"/>
        <v>0</v>
      </c>
      <c r="R2061" t="str">
        <f t="shared" si="1318"/>
        <v>0,00</v>
      </c>
      <c r="S2061" t="str">
        <f t="shared" si="1318"/>
        <v>0,00</v>
      </c>
      <c r="T2061" t="str">
        <f t="shared" si="1319"/>
        <v xml:space="preserve"> </v>
      </c>
      <c r="U2061" t="str">
        <f t="shared" si="1342"/>
        <v xml:space="preserve"> </v>
      </c>
      <c r="V2061" t="str">
        <f>"10,000"</f>
        <v>10,000</v>
      </c>
      <c r="W2061" t="str">
        <f t="shared" si="1323"/>
        <v>Lista 4</v>
      </c>
      <c r="X2061" t="str">
        <f t="shared" si="1324"/>
        <v>Lista 5</v>
      </c>
      <c r="Y2061" t="str">
        <f t="shared" si="1325"/>
        <v>Oferta Gral.</v>
      </c>
      <c r="Z2061" t="str">
        <f t="shared" si="1326"/>
        <v>Rubro</v>
      </c>
      <c r="AA2061" t="str">
        <f t="shared" si="1327"/>
        <v>Cantidad por Bulto</v>
      </c>
      <c r="AB2061" t="str">
        <f t="shared" si="1328"/>
        <v>INNER</v>
      </c>
      <c r="AC2061" t="str">
        <f t="shared" si="1329"/>
        <v>Stock en Bultos</v>
      </c>
      <c r="AD2061" t="str">
        <f t="shared" si="1330"/>
        <v>SubDepósito</v>
      </c>
      <c r="AE2061" t="str">
        <f t="shared" si="1331"/>
        <v>Marca</v>
      </c>
      <c r="AF2061" t="str">
        <f t="shared" si="1332"/>
        <v>Super Rubro</v>
      </c>
      <c r="AG2061" t="str">
        <f t="shared" si="1333"/>
        <v>ComercioExterior</v>
      </c>
      <c r="AH2061" t="str">
        <f t="shared" si="1334"/>
        <v>PrecioFOB</v>
      </c>
      <c r="AI2061" t="str">
        <f t="shared" si="1335"/>
        <v>Monto II</v>
      </c>
      <c r="AJ2061" t="str">
        <f t="shared" si="1336"/>
        <v>Porcentaje II</v>
      </c>
      <c r="AK2061" t="str">
        <f t="shared" si="1337"/>
        <v>Foto</v>
      </c>
      <c r="AL2061" t="str">
        <f>"{\rtf1\ansi\ansicpg1252\deff0\deflang11274{\fonttbl{\f0\fnil\fcharset0 MS Sans Serif}} \viewkind4\uc1\pard\f0\fs16 JGO CABLES BUJIAS ECOSPORT FIESTA FOCUS 1.6 16V SIGMA SILICONADO\par } "</f>
        <v xml:space="preserve">{\rtf1\ansi\ansicpg1252\deff0\deflang11274{\fonttbl{\f0\fnil\fcharset0 MS Sans Serif}} \viewkind4\uc1\pard\f0\fs16 JGO CABLES BUJIAS ECOSPORT FIESTA FOCUS 1.6 16V SIGMA SILICONADO\par } </v>
      </c>
      <c r="AM2061" t="str">
        <f t="shared" si="1340"/>
        <v xml:space="preserve"> </v>
      </c>
    </row>
    <row r="2062" spans="1:39" x14ac:dyDescent="0.25">
      <c r="A2062" t="str">
        <f>"04-01797"</f>
        <v>04-01797</v>
      </c>
      <c r="B2062" t="str">
        <f>"JGO CABLES BUJIAS ECOSPORT/FIESTA CAPUCHON ALUMINIO"</f>
        <v>JGO CABLES BUJIAS ECOSPORT/FIESTA CAPUCHON ALUMINIO</v>
      </c>
      <c r="C2062" t="str">
        <f>"$ 27478,07"</f>
        <v>$ 27478,07</v>
      </c>
      <c r="D2062" t="str">
        <f>"$ 27478,07"</f>
        <v>$ 27478,07</v>
      </c>
      <c r="E2062" t="str">
        <f>"$ 27478,07"</f>
        <v>$ 27478,07</v>
      </c>
      <c r="F2062" t="str">
        <f>"$ 27478,07"</f>
        <v>$ 27478,07</v>
      </c>
      <c r="G2062" t="str">
        <f>"$ 27478,07"</f>
        <v>$ 27478,07</v>
      </c>
      <c r="H2062" t="str">
        <f t="shared" si="1320"/>
        <v>$ 0,00</v>
      </c>
      <c r="I2062" t="str">
        <f t="shared" si="1341"/>
        <v>CABLES BUJÍAS SILICONA ANTIPARASITARIOS</v>
      </c>
      <c r="J2062" t="str">
        <f t="shared" si="1321"/>
        <v>1</v>
      </c>
      <c r="K2062" t="str">
        <f t="shared" si="1309"/>
        <v>0</v>
      </c>
      <c r="L2062" t="str">
        <f>"17,000"</f>
        <v>17,000</v>
      </c>
      <c r="M2062" t="str">
        <f t="shared" si="1322"/>
        <v xml:space="preserve"> </v>
      </c>
      <c r="N2062" t="str">
        <f t="shared" si="1343"/>
        <v>FERRAZZI</v>
      </c>
      <c r="O2062" t="str">
        <f t="shared" si="1339"/>
        <v>CABLES</v>
      </c>
      <c r="P2062" t="str">
        <f t="shared" si="1317"/>
        <v>0</v>
      </c>
      <c r="Q2062" t="str">
        <f t="shared" si="1317"/>
        <v>0</v>
      </c>
      <c r="R2062" t="str">
        <f t="shared" si="1318"/>
        <v>0,00</v>
      </c>
      <c r="S2062" t="str">
        <f t="shared" si="1318"/>
        <v>0,00</v>
      </c>
      <c r="T2062" t="str">
        <f t="shared" si="1319"/>
        <v xml:space="preserve"> </v>
      </c>
      <c r="U2062" t="str">
        <f t="shared" si="1342"/>
        <v xml:space="preserve"> </v>
      </c>
      <c r="V2062" t="str">
        <f>"17,000"</f>
        <v>17,000</v>
      </c>
      <c r="W2062" t="str">
        <f t="shared" si="1323"/>
        <v>Lista 4</v>
      </c>
      <c r="X2062" t="str">
        <f t="shared" si="1324"/>
        <v>Lista 5</v>
      </c>
      <c r="Y2062" t="str">
        <f t="shared" si="1325"/>
        <v>Oferta Gral.</v>
      </c>
      <c r="Z2062" t="str">
        <f t="shared" si="1326"/>
        <v>Rubro</v>
      </c>
      <c r="AA2062" t="str">
        <f t="shared" si="1327"/>
        <v>Cantidad por Bulto</v>
      </c>
      <c r="AB2062" t="str">
        <f t="shared" si="1328"/>
        <v>INNER</v>
      </c>
      <c r="AC2062" t="str">
        <f t="shared" si="1329"/>
        <v>Stock en Bultos</v>
      </c>
      <c r="AD2062" t="str">
        <f t="shared" si="1330"/>
        <v>SubDepósito</v>
      </c>
      <c r="AE2062" t="str">
        <f t="shared" si="1331"/>
        <v>Marca</v>
      </c>
      <c r="AF2062" t="str">
        <f t="shared" si="1332"/>
        <v>Super Rubro</v>
      </c>
      <c r="AG2062" t="str">
        <f t="shared" si="1333"/>
        <v>ComercioExterior</v>
      </c>
      <c r="AH2062" t="str">
        <f t="shared" si="1334"/>
        <v>PrecioFOB</v>
      </c>
      <c r="AI2062" t="str">
        <f t="shared" si="1335"/>
        <v>Monto II</v>
      </c>
      <c r="AJ2062" t="str">
        <f t="shared" si="1336"/>
        <v>Porcentaje II</v>
      </c>
      <c r="AK2062" t="str">
        <f t="shared" si="1337"/>
        <v>Foto</v>
      </c>
      <c r="AL2062" t="str">
        <f>"{\rtf1\ansi\ansicpg1252\deff0\deflang11274{\fonttbl{\f0\fnil\fcharset0 MS Sans Serif}} \viewkind4\uc1\pard\f0\fs16 JGO CABLES BUJIAS ECOSPORT/FIESTA CAPUCHON ALUMINIO\par } "</f>
        <v xml:space="preserve">{\rtf1\ansi\ansicpg1252\deff0\deflang11274{\fonttbl{\f0\fnil\fcharset0 MS Sans Serif}} \viewkind4\uc1\pard\f0\fs16 JGO CABLES BUJIAS ECOSPORT/FIESTA CAPUCHON ALUMINIO\par } </v>
      </c>
      <c r="AM2062" t="str">
        <f t="shared" si="1340"/>
        <v xml:space="preserve"> </v>
      </c>
    </row>
    <row r="2063" spans="1:39" x14ac:dyDescent="0.25">
      <c r="A2063" t="str">
        <f>"04-01798"</f>
        <v>04-01798</v>
      </c>
      <c r="B2063" t="str">
        <f>"JGO CABLES BUJIAS FORD RANGER 4.9 "</f>
        <v xml:space="preserve">JGO CABLES BUJIAS FORD RANGER 4.9 </v>
      </c>
      <c r="C2063" t="str">
        <f>"$ 37503,22"</f>
        <v>$ 37503,22</v>
      </c>
      <c r="D2063" t="str">
        <f>"$ 37503,22"</f>
        <v>$ 37503,22</v>
      </c>
      <c r="E2063" t="str">
        <f>"$ 37503,22"</f>
        <v>$ 37503,22</v>
      </c>
      <c r="F2063" t="str">
        <f>"$ 37503,22"</f>
        <v>$ 37503,22</v>
      </c>
      <c r="G2063" t="str">
        <f>"$ 37503,22"</f>
        <v>$ 37503,22</v>
      </c>
      <c r="H2063" t="str">
        <f t="shared" si="1320"/>
        <v>$ 0,00</v>
      </c>
      <c r="I2063" t="str">
        <f t="shared" si="1341"/>
        <v>CABLES BUJÍAS SILICONA ANTIPARASITARIOS</v>
      </c>
      <c r="J2063" t="str">
        <f t="shared" si="1321"/>
        <v>1</v>
      </c>
      <c r="K2063" t="str">
        <f t="shared" si="1309"/>
        <v>0</v>
      </c>
      <c r="L2063" t="str">
        <f>"-1,000"</f>
        <v>-1,000</v>
      </c>
      <c r="M2063" t="str">
        <f t="shared" si="1322"/>
        <v xml:space="preserve"> </v>
      </c>
      <c r="N2063" t="str">
        <f t="shared" si="1343"/>
        <v>FERRAZZI</v>
      </c>
      <c r="O2063" t="str">
        <f t="shared" si="1339"/>
        <v>CABLES</v>
      </c>
      <c r="P2063" t="str">
        <f t="shared" ref="P2063:Q2082" si="1344">"0"</f>
        <v>0</v>
      </c>
      <c r="Q2063" t="str">
        <f t="shared" si="1344"/>
        <v>0</v>
      </c>
      <c r="R2063" t="str">
        <f t="shared" ref="R2063:S2082" si="1345">"0,00"</f>
        <v>0,00</v>
      </c>
      <c r="S2063" t="str">
        <f t="shared" si="1345"/>
        <v>0,00</v>
      </c>
      <c r="T2063" t="str">
        <f t="shared" si="1319"/>
        <v xml:space="preserve"> </v>
      </c>
      <c r="U2063" t="str">
        <f t="shared" si="1342"/>
        <v xml:space="preserve"> </v>
      </c>
      <c r="V2063" t="str">
        <f>"-1,000"</f>
        <v>-1,000</v>
      </c>
      <c r="W2063" t="str">
        <f t="shared" si="1323"/>
        <v>Lista 4</v>
      </c>
      <c r="X2063" t="str">
        <f t="shared" si="1324"/>
        <v>Lista 5</v>
      </c>
      <c r="Y2063" t="str">
        <f t="shared" si="1325"/>
        <v>Oferta Gral.</v>
      </c>
      <c r="Z2063" t="str">
        <f t="shared" si="1326"/>
        <v>Rubro</v>
      </c>
      <c r="AA2063" t="str">
        <f t="shared" si="1327"/>
        <v>Cantidad por Bulto</v>
      </c>
      <c r="AB2063" t="str">
        <f t="shared" si="1328"/>
        <v>INNER</v>
      </c>
      <c r="AC2063" t="str">
        <f t="shared" si="1329"/>
        <v>Stock en Bultos</v>
      </c>
      <c r="AD2063" t="str">
        <f t="shared" si="1330"/>
        <v>SubDepósito</v>
      </c>
      <c r="AE2063" t="str">
        <f t="shared" si="1331"/>
        <v>Marca</v>
      </c>
      <c r="AF2063" t="str">
        <f t="shared" si="1332"/>
        <v>Super Rubro</v>
      </c>
      <c r="AG2063" t="str">
        <f t="shared" si="1333"/>
        <v>ComercioExterior</v>
      </c>
      <c r="AH2063" t="str">
        <f t="shared" si="1334"/>
        <v>PrecioFOB</v>
      </c>
      <c r="AI2063" t="str">
        <f t="shared" si="1335"/>
        <v>Monto II</v>
      </c>
      <c r="AJ2063" t="str">
        <f t="shared" si="1336"/>
        <v>Porcentaje II</v>
      </c>
      <c r="AK2063" t="str">
        <f t="shared" si="1337"/>
        <v>Foto</v>
      </c>
      <c r="AL2063" t="str">
        <f>"{\rtf1\ansi\ansicpg1252\deff0\deflang11274{\fonttbl{\f0\fnil\fcharset0 MS Sans Serif}} \viewkind4\uc1\pard\f0\fs16 JGO CABLES BUJIAS FORD RANGER 4.9 \par } "</f>
        <v xml:space="preserve">{\rtf1\ansi\ansicpg1252\deff0\deflang11274{\fonttbl{\f0\fnil\fcharset0 MS Sans Serif}} \viewkind4\uc1\pard\f0\fs16 JGO CABLES BUJIAS FORD RANGER 4.9 \par } </v>
      </c>
      <c r="AM2063" t="str">
        <f t="shared" si="1340"/>
        <v xml:space="preserve"> </v>
      </c>
    </row>
    <row r="2064" spans="1:39" x14ac:dyDescent="0.25">
      <c r="A2064" t="str">
        <f>"04-01740"</f>
        <v>04-01740</v>
      </c>
      <c r="B2064" t="str">
        <f>"JGO CABLES BUJIAS FORD RANGER 4.9 XL / XLT PICK UP"</f>
        <v>JGO CABLES BUJIAS FORD RANGER 4.9 XL / XLT PICK UP</v>
      </c>
      <c r="C2064" t="str">
        <f>"$ 18797,52"</f>
        <v>$ 18797,52</v>
      </c>
      <c r="D2064" t="str">
        <f>"$ 18797,52"</f>
        <v>$ 18797,52</v>
      </c>
      <c r="E2064" t="str">
        <f>"$ 18797,52"</f>
        <v>$ 18797,52</v>
      </c>
      <c r="F2064" t="str">
        <f>"$ 18797,52"</f>
        <v>$ 18797,52</v>
      </c>
      <c r="G2064" t="str">
        <f>"$ 18797,52"</f>
        <v>$ 18797,52</v>
      </c>
      <c r="H2064" t="str">
        <f t="shared" si="1320"/>
        <v>$ 0,00</v>
      </c>
      <c r="I2064" t="str">
        <f t="shared" si="1341"/>
        <v>CABLES BUJÍAS SILICONA ANTIPARASITARIOS</v>
      </c>
      <c r="J2064" t="str">
        <f t="shared" si="1321"/>
        <v>1</v>
      </c>
      <c r="K2064" t="str">
        <f t="shared" si="1309"/>
        <v>0</v>
      </c>
      <c r="L2064" t="str">
        <f>"0,000"</f>
        <v>0,000</v>
      </c>
      <c r="M2064" t="str">
        <f t="shared" si="1322"/>
        <v xml:space="preserve"> </v>
      </c>
      <c r="N2064" t="str">
        <f t="shared" si="1343"/>
        <v>FERRAZZI</v>
      </c>
      <c r="O2064" t="str">
        <f t="shared" si="1339"/>
        <v>CABLES</v>
      </c>
      <c r="P2064" t="str">
        <f t="shared" si="1344"/>
        <v>0</v>
      </c>
      <c r="Q2064" t="str">
        <f t="shared" si="1344"/>
        <v>0</v>
      </c>
      <c r="R2064" t="str">
        <f t="shared" si="1345"/>
        <v>0,00</v>
      </c>
      <c r="S2064" t="str">
        <f t="shared" si="1345"/>
        <v>0,00</v>
      </c>
      <c r="T2064" t="str">
        <f t="shared" si="1319"/>
        <v xml:space="preserve"> </v>
      </c>
      <c r="U2064" t="str">
        <f t="shared" si="1342"/>
        <v xml:space="preserve"> </v>
      </c>
      <c r="V2064" t="str">
        <f>"0,000"</f>
        <v>0,000</v>
      </c>
      <c r="W2064" t="str">
        <f t="shared" si="1323"/>
        <v>Lista 4</v>
      </c>
      <c r="X2064" t="str">
        <f t="shared" si="1324"/>
        <v>Lista 5</v>
      </c>
      <c r="Y2064" t="str">
        <f t="shared" si="1325"/>
        <v>Oferta Gral.</v>
      </c>
      <c r="Z2064" t="str">
        <f t="shared" si="1326"/>
        <v>Rubro</v>
      </c>
      <c r="AA2064" t="str">
        <f t="shared" si="1327"/>
        <v>Cantidad por Bulto</v>
      </c>
      <c r="AB2064" t="str">
        <f t="shared" si="1328"/>
        <v>INNER</v>
      </c>
      <c r="AC2064" t="str">
        <f t="shared" si="1329"/>
        <v>Stock en Bultos</v>
      </c>
      <c r="AD2064" t="str">
        <f t="shared" si="1330"/>
        <v>SubDepósito</v>
      </c>
      <c r="AE2064" t="str">
        <f t="shared" si="1331"/>
        <v>Marca</v>
      </c>
      <c r="AF2064" t="str">
        <f t="shared" si="1332"/>
        <v>Super Rubro</v>
      </c>
      <c r="AG2064" t="str">
        <f t="shared" si="1333"/>
        <v>ComercioExterior</v>
      </c>
      <c r="AH2064" t="str">
        <f t="shared" si="1334"/>
        <v>PrecioFOB</v>
      </c>
      <c r="AI2064" t="str">
        <f t="shared" si="1335"/>
        <v>Monto II</v>
      </c>
      <c r="AJ2064" t="str">
        <f t="shared" si="1336"/>
        <v>Porcentaje II</v>
      </c>
      <c r="AK2064" t="str">
        <f t="shared" si="1337"/>
        <v>Foto</v>
      </c>
      <c r="AL2064" t="str">
        <f>"{\rtf1\ansi\ansicpg1252\deff0\deflang11274{\fonttbl{\f0\fnil\fcharset0 MS Sans Serif}} \viewkind4\uc1\pard\f0\fs16 JGO CABLES BUJIAS FORD RANGER 4.9 XL / XLT PICK UP\par } "</f>
        <v xml:space="preserve">{\rtf1\ansi\ansicpg1252\deff0\deflang11274{\fonttbl{\f0\fnil\fcharset0 MS Sans Serif}} \viewkind4\uc1\pard\f0\fs16 JGO CABLES BUJIAS FORD RANGER 4.9 XL / XLT PICK UP\par } </v>
      </c>
      <c r="AM2064" t="str">
        <f t="shared" si="1340"/>
        <v xml:space="preserve"> </v>
      </c>
    </row>
    <row r="2065" spans="1:39" x14ac:dyDescent="0.25">
      <c r="A2065" t="str">
        <f>"03-01759"</f>
        <v>03-01759</v>
      </c>
      <c r="B2065" t="str">
        <f>"JGO CABLES BUJIAS GOL POWER 1.6 8V"</f>
        <v>JGO CABLES BUJIAS GOL POWER 1.6 8V</v>
      </c>
      <c r="C2065" t="str">
        <f>"$ 40937,36"</f>
        <v>$ 40937,36</v>
      </c>
      <c r="D2065" t="str">
        <f>"$ 40937,36"</f>
        <v>$ 40937,36</v>
      </c>
      <c r="E2065" t="str">
        <f>"$ 40937,36"</f>
        <v>$ 40937,36</v>
      </c>
      <c r="F2065" t="str">
        <f>"$ 40937,36"</f>
        <v>$ 40937,36</v>
      </c>
      <c r="G2065" t="str">
        <f>"$ 40937,36"</f>
        <v>$ 40937,36</v>
      </c>
      <c r="H2065" t="str">
        <f t="shared" si="1320"/>
        <v>$ 0,00</v>
      </c>
      <c r="I2065" t="str">
        <f t="shared" si="1341"/>
        <v>CABLES BUJÍAS SILICONA ANTIPARASITARIOS</v>
      </c>
      <c r="J2065" t="str">
        <f t="shared" si="1321"/>
        <v>1</v>
      </c>
      <c r="K2065" t="str">
        <f t="shared" si="1309"/>
        <v>0</v>
      </c>
      <c r="L2065" t="str">
        <f>"20,000"</f>
        <v>20,000</v>
      </c>
      <c r="M2065" t="str">
        <f t="shared" si="1322"/>
        <v xml:space="preserve"> </v>
      </c>
      <c r="N2065" t="str">
        <f t="shared" si="1343"/>
        <v>FERRAZZI</v>
      </c>
      <c r="O2065" t="str">
        <f t="shared" si="1339"/>
        <v>CABLES</v>
      </c>
      <c r="P2065" t="str">
        <f t="shared" si="1344"/>
        <v>0</v>
      </c>
      <c r="Q2065" t="str">
        <f t="shared" si="1344"/>
        <v>0</v>
      </c>
      <c r="R2065" t="str">
        <f t="shared" si="1345"/>
        <v>0,00</v>
      </c>
      <c r="S2065" t="str">
        <f t="shared" si="1345"/>
        <v>0,00</v>
      </c>
      <c r="T2065" t="str">
        <f t="shared" si="1319"/>
        <v xml:space="preserve"> </v>
      </c>
      <c r="U2065" t="str">
        <f t="shared" si="1342"/>
        <v xml:space="preserve"> </v>
      </c>
      <c r="V2065" t="str">
        <f>"20,000"</f>
        <v>20,000</v>
      </c>
      <c r="W2065" t="str">
        <f t="shared" si="1323"/>
        <v>Lista 4</v>
      </c>
      <c r="X2065" t="str">
        <f t="shared" si="1324"/>
        <v>Lista 5</v>
      </c>
      <c r="Y2065" t="str">
        <f t="shared" si="1325"/>
        <v>Oferta Gral.</v>
      </c>
      <c r="Z2065" t="str">
        <f t="shared" si="1326"/>
        <v>Rubro</v>
      </c>
      <c r="AA2065" t="str">
        <f t="shared" si="1327"/>
        <v>Cantidad por Bulto</v>
      </c>
      <c r="AB2065" t="str">
        <f t="shared" si="1328"/>
        <v>INNER</v>
      </c>
      <c r="AC2065" t="str">
        <f t="shared" si="1329"/>
        <v>Stock en Bultos</v>
      </c>
      <c r="AD2065" t="str">
        <f t="shared" si="1330"/>
        <v>SubDepósito</v>
      </c>
      <c r="AE2065" t="str">
        <f t="shared" si="1331"/>
        <v>Marca</v>
      </c>
      <c r="AF2065" t="str">
        <f t="shared" si="1332"/>
        <v>Super Rubro</v>
      </c>
      <c r="AG2065" t="str">
        <f t="shared" si="1333"/>
        <v>ComercioExterior</v>
      </c>
      <c r="AH2065" t="str">
        <f t="shared" si="1334"/>
        <v>PrecioFOB</v>
      </c>
      <c r="AI2065" t="str">
        <f t="shared" si="1335"/>
        <v>Monto II</v>
      </c>
      <c r="AJ2065" t="str">
        <f t="shared" si="1336"/>
        <v>Porcentaje II</v>
      </c>
      <c r="AK2065" t="str">
        <f t="shared" si="1337"/>
        <v>Foto</v>
      </c>
      <c r="AL2065" t="str">
        <f>"{\rtf1\ansi\ansicpg1252\deff0\deflang11274{\fonttbl{\f0\fnil\fcharset0 MS Sans Serif}} \viewkind4\uc1\pard\f0\fs16 JGO CABLES BUJIAS GOL POWER 1.6 8V\par } "</f>
        <v xml:space="preserve">{\rtf1\ansi\ansicpg1252\deff0\deflang11274{\fonttbl{\f0\fnil\fcharset0 MS Sans Serif}} \viewkind4\uc1\pard\f0\fs16 JGO CABLES BUJIAS GOL POWER 1.6 8V\par } </v>
      </c>
      <c r="AM2065" t="str">
        <f t="shared" si="1340"/>
        <v xml:space="preserve"> </v>
      </c>
    </row>
    <row r="2066" spans="1:39" x14ac:dyDescent="0.25">
      <c r="A2066" t="str">
        <f>"05-01770"</f>
        <v>05-01770</v>
      </c>
      <c r="B2066" t="str">
        <f>"JGO CABLES BUJIAS GRAND SIENA/PALIO/PUNTO 1.6 ESSENCE 16V"</f>
        <v>JGO CABLES BUJIAS GRAND SIENA/PALIO/PUNTO 1.6 ESSENCE 16V</v>
      </c>
      <c r="C2066" t="str">
        <f>"$ 29822,82"</f>
        <v>$ 29822,82</v>
      </c>
      <c r="D2066" t="str">
        <f>"$ 29822,82"</f>
        <v>$ 29822,82</v>
      </c>
      <c r="E2066" t="str">
        <f>"$ 29822,82"</f>
        <v>$ 29822,82</v>
      </c>
      <c r="F2066" t="str">
        <f>"$ 29822,82"</f>
        <v>$ 29822,82</v>
      </c>
      <c r="G2066" t="str">
        <f>"$ 29822,82"</f>
        <v>$ 29822,82</v>
      </c>
      <c r="H2066" t="str">
        <f t="shared" si="1320"/>
        <v>$ 0,00</v>
      </c>
      <c r="I2066" t="str">
        <f t="shared" si="1341"/>
        <v>CABLES BUJÍAS SILICONA ANTIPARASITARIOS</v>
      </c>
      <c r="J2066" t="str">
        <f t="shared" si="1321"/>
        <v>1</v>
      </c>
      <c r="K2066" t="str">
        <f t="shared" si="1309"/>
        <v>0</v>
      </c>
      <c r="L2066" t="str">
        <f>"9,000"</f>
        <v>9,000</v>
      </c>
      <c r="M2066" t="str">
        <f t="shared" si="1322"/>
        <v xml:space="preserve"> </v>
      </c>
      <c r="N2066" t="str">
        <f t="shared" si="1343"/>
        <v>FERRAZZI</v>
      </c>
      <c r="O2066" t="str">
        <f t="shared" si="1339"/>
        <v>CABLES</v>
      </c>
      <c r="P2066" t="str">
        <f t="shared" si="1344"/>
        <v>0</v>
      </c>
      <c r="Q2066" t="str">
        <f t="shared" si="1344"/>
        <v>0</v>
      </c>
      <c r="R2066" t="str">
        <f t="shared" si="1345"/>
        <v>0,00</v>
      </c>
      <c r="S2066" t="str">
        <f t="shared" si="1345"/>
        <v>0,00</v>
      </c>
      <c r="T2066" t="str">
        <f t="shared" si="1319"/>
        <v xml:space="preserve"> </v>
      </c>
      <c r="U2066" t="str">
        <f t="shared" si="1342"/>
        <v xml:space="preserve"> </v>
      </c>
      <c r="V2066" t="str">
        <f>"9,000"</f>
        <v>9,000</v>
      </c>
      <c r="W2066" t="str">
        <f t="shared" si="1323"/>
        <v>Lista 4</v>
      </c>
      <c r="X2066" t="str">
        <f t="shared" si="1324"/>
        <v>Lista 5</v>
      </c>
      <c r="Y2066" t="str">
        <f t="shared" si="1325"/>
        <v>Oferta Gral.</v>
      </c>
      <c r="Z2066" t="str">
        <f t="shared" si="1326"/>
        <v>Rubro</v>
      </c>
      <c r="AA2066" t="str">
        <f t="shared" si="1327"/>
        <v>Cantidad por Bulto</v>
      </c>
      <c r="AB2066" t="str">
        <f t="shared" si="1328"/>
        <v>INNER</v>
      </c>
      <c r="AC2066" t="str">
        <f t="shared" si="1329"/>
        <v>Stock en Bultos</v>
      </c>
      <c r="AD2066" t="str">
        <f t="shared" si="1330"/>
        <v>SubDepósito</v>
      </c>
      <c r="AE2066" t="str">
        <f t="shared" si="1331"/>
        <v>Marca</v>
      </c>
      <c r="AF2066" t="str">
        <f t="shared" si="1332"/>
        <v>Super Rubro</v>
      </c>
      <c r="AG2066" t="str">
        <f t="shared" si="1333"/>
        <v>ComercioExterior</v>
      </c>
      <c r="AH2066" t="str">
        <f t="shared" si="1334"/>
        <v>PrecioFOB</v>
      </c>
      <c r="AI2066" t="str">
        <f t="shared" si="1335"/>
        <v>Monto II</v>
      </c>
      <c r="AJ2066" t="str">
        <f t="shared" si="1336"/>
        <v>Porcentaje II</v>
      </c>
      <c r="AK2066" t="str">
        <f t="shared" si="1337"/>
        <v>Foto</v>
      </c>
      <c r="AL2066" t="str">
        <f>"{\rtf1\ansi\ansicpg1252\deff0\deflang11274{\fonttbl{\f0\fnil\fcharset0 MS Sans Serif}} \viewkind4\uc1\pard\f0\fs16 JGO CABLES BUJIAS GRAND SIENA/PALIO/PUNTO 1.6 ESSENCE 16V\par } "</f>
        <v xml:space="preserve">{\rtf1\ansi\ansicpg1252\deff0\deflang11274{\fonttbl{\f0\fnil\fcharset0 MS Sans Serif}} \viewkind4\uc1\pard\f0\fs16 JGO CABLES BUJIAS GRAND SIENA/PALIO/PUNTO 1.6 ESSENCE 16V\par } </v>
      </c>
      <c r="AM2066" t="str">
        <f t="shared" si="1340"/>
        <v xml:space="preserve"> </v>
      </c>
    </row>
    <row r="2067" spans="1:39" x14ac:dyDescent="0.25">
      <c r="A2067" t="str">
        <f>"CO2043"</f>
        <v>CO2043</v>
      </c>
      <c r="B2067" t="str">
        <f>"JGO CABLES BUJIAS LOGAN/SANDERO 1.6 8V. K7M"</f>
        <v>JGO CABLES BUJIAS LOGAN/SANDERO 1.6 8V. K7M</v>
      </c>
      <c r="C2067" t="str">
        <f>"$ 19007,42"</f>
        <v>$ 19007,42</v>
      </c>
      <c r="D2067" t="str">
        <f>"$ 19007,42"</f>
        <v>$ 19007,42</v>
      </c>
      <c r="E2067" t="str">
        <f>"$ 19007,42"</f>
        <v>$ 19007,42</v>
      </c>
      <c r="F2067" t="str">
        <f>"$ 19007,42"</f>
        <v>$ 19007,42</v>
      </c>
      <c r="G2067" t="str">
        <f>"$ 19007,42"</f>
        <v>$ 19007,42</v>
      </c>
      <c r="H2067" t="str">
        <f t="shared" si="1320"/>
        <v>$ 0,00</v>
      </c>
      <c r="I2067" t="str">
        <f t="shared" si="1341"/>
        <v>CABLES BUJÍAS SILICONA ANTIPARASITARIOS</v>
      </c>
      <c r="J2067" t="str">
        <f t="shared" si="1321"/>
        <v>1</v>
      </c>
      <c r="K2067" t="str">
        <f t="shared" si="1309"/>
        <v>0</v>
      </c>
      <c r="L2067" t="str">
        <f>"1,000"</f>
        <v>1,000</v>
      </c>
      <c r="M2067" t="str">
        <f t="shared" si="1322"/>
        <v xml:space="preserve"> </v>
      </c>
      <c r="N2067" t="str">
        <f>"CADIC"</f>
        <v>CADIC</v>
      </c>
      <c r="O2067" t="str">
        <f t="shared" si="1339"/>
        <v>CABLES</v>
      </c>
      <c r="P2067" t="str">
        <f t="shared" si="1344"/>
        <v>0</v>
      </c>
      <c r="Q2067" t="str">
        <f t="shared" si="1344"/>
        <v>0</v>
      </c>
      <c r="R2067" t="str">
        <f t="shared" si="1345"/>
        <v>0,00</v>
      </c>
      <c r="S2067" t="str">
        <f t="shared" si="1345"/>
        <v>0,00</v>
      </c>
      <c r="T2067" t="str">
        <f t="shared" si="1319"/>
        <v xml:space="preserve"> </v>
      </c>
      <c r="U2067" t="str">
        <f t="shared" si="1342"/>
        <v xml:space="preserve"> </v>
      </c>
      <c r="V2067" t="str">
        <f>"1,000"</f>
        <v>1,000</v>
      </c>
      <c r="W2067" t="str">
        <f t="shared" si="1323"/>
        <v>Lista 4</v>
      </c>
      <c r="X2067" t="str">
        <f t="shared" si="1324"/>
        <v>Lista 5</v>
      </c>
      <c r="Y2067" t="str">
        <f t="shared" si="1325"/>
        <v>Oferta Gral.</v>
      </c>
      <c r="Z2067" t="str">
        <f t="shared" si="1326"/>
        <v>Rubro</v>
      </c>
      <c r="AA2067" t="str">
        <f t="shared" si="1327"/>
        <v>Cantidad por Bulto</v>
      </c>
      <c r="AB2067" t="str">
        <f t="shared" si="1328"/>
        <v>INNER</v>
      </c>
      <c r="AC2067" t="str">
        <f t="shared" si="1329"/>
        <v>Stock en Bultos</v>
      </c>
      <c r="AD2067" t="str">
        <f t="shared" si="1330"/>
        <v>SubDepósito</v>
      </c>
      <c r="AE2067" t="str">
        <f t="shared" si="1331"/>
        <v>Marca</v>
      </c>
      <c r="AF2067" t="str">
        <f t="shared" si="1332"/>
        <v>Super Rubro</v>
      </c>
      <c r="AG2067" t="str">
        <f t="shared" si="1333"/>
        <v>ComercioExterior</v>
      </c>
      <c r="AH2067" t="str">
        <f t="shared" si="1334"/>
        <v>PrecioFOB</v>
      </c>
      <c r="AI2067" t="str">
        <f t="shared" si="1335"/>
        <v>Monto II</v>
      </c>
      <c r="AJ2067" t="str">
        <f t="shared" si="1336"/>
        <v>Porcentaje II</v>
      </c>
      <c r="AK2067" t="str">
        <f t="shared" si="1337"/>
        <v>Foto</v>
      </c>
      <c r="AL2067" t="str">
        <f>"{\rtf1\ansi\ansicpg1252\deff0\deflang11274{\fonttbl{\f0\fnil\fcharset0 MS Sans Serif}} \viewkind4\uc1\pard\f0\fs16 JGO CABLES BUJIAS LOGAN/SANDERO 1.6 8V. K7M\par } "</f>
        <v xml:space="preserve">{\rtf1\ansi\ansicpg1252\deff0\deflang11274{\fonttbl{\f0\fnil\fcharset0 MS Sans Serif}} \viewkind4\uc1\pard\f0\fs16 JGO CABLES BUJIAS LOGAN/SANDERO 1.6 8V. K7M\par } </v>
      </c>
      <c r="AM2067" t="str">
        <f t="shared" si="1340"/>
        <v xml:space="preserve"> </v>
      </c>
    </row>
    <row r="2068" spans="1:39" x14ac:dyDescent="0.25">
      <c r="A2068" t="str">
        <f>"02-01731"</f>
        <v>02-01731</v>
      </c>
      <c r="B2068" t="str">
        <f>"JGO CABLES BUJIAS ONIX/PRISMA 2013 EN ADELANTE"</f>
        <v>JGO CABLES BUJIAS ONIX/PRISMA 2013 EN ADELANTE</v>
      </c>
      <c r="C2068" t="str">
        <f>"$ 23873,82"</f>
        <v>$ 23873,82</v>
      </c>
      <c r="D2068" t="str">
        <f>"$ 23873,82"</f>
        <v>$ 23873,82</v>
      </c>
      <c r="E2068" t="str">
        <f>"$ 23873,82"</f>
        <v>$ 23873,82</v>
      </c>
      <c r="F2068" t="str">
        <f>"$ 23873,82"</f>
        <v>$ 23873,82</v>
      </c>
      <c r="G2068" t="str">
        <f>"$ 23873,82"</f>
        <v>$ 23873,82</v>
      </c>
      <c r="H2068" t="str">
        <f t="shared" si="1320"/>
        <v>$ 0,00</v>
      </c>
      <c r="I2068" t="str">
        <f t="shared" si="1341"/>
        <v>CABLES BUJÍAS SILICONA ANTIPARASITARIOS</v>
      </c>
      <c r="J2068" t="str">
        <f t="shared" si="1321"/>
        <v>1</v>
      </c>
      <c r="K2068" t="str">
        <f t="shared" si="1309"/>
        <v>0</v>
      </c>
      <c r="L2068" t="str">
        <f>"16,000"</f>
        <v>16,000</v>
      </c>
      <c r="M2068" t="str">
        <f t="shared" si="1322"/>
        <v xml:space="preserve"> </v>
      </c>
      <c r="N2068" t="str">
        <f>"FERRAZZI"</f>
        <v>FERRAZZI</v>
      </c>
      <c r="O2068" t="str">
        <f t="shared" si="1339"/>
        <v>CABLES</v>
      </c>
      <c r="P2068" t="str">
        <f t="shared" si="1344"/>
        <v>0</v>
      </c>
      <c r="Q2068" t="str">
        <f t="shared" si="1344"/>
        <v>0</v>
      </c>
      <c r="R2068" t="str">
        <f t="shared" si="1345"/>
        <v>0,00</v>
      </c>
      <c r="S2068" t="str">
        <f t="shared" si="1345"/>
        <v>0,00</v>
      </c>
      <c r="T2068" t="str">
        <f t="shared" si="1319"/>
        <v xml:space="preserve"> </v>
      </c>
      <c r="U2068" t="str">
        <f t="shared" si="1342"/>
        <v xml:space="preserve"> </v>
      </c>
      <c r="V2068" t="str">
        <f>"16,000"</f>
        <v>16,000</v>
      </c>
      <c r="W2068" t="str">
        <f t="shared" si="1323"/>
        <v>Lista 4</v>
      </c>
      <c r="X2068" t="str">
        <f t="shared" si="1324"/>
        <v>Lista 5</v>
      </c>
      <c r="Y2068" t="str">
        <f t="shared" si="1325"/>
        <v>Oferta Gral.</v>
      </c>
      <c r="Z2068" t="str">
        <f t="shared" si="1326"/>
        <v>Rubro</v>
      </c>
      <c r="AA2068" t="str">
        <f t="shared" si="1327"/>
        <v>Cantidad por Bulto</v>
      </c>
      <c r="AB2068" t="str">
        <f t="shared" si="1328"/>
        <v>INNER</v>
      </c>
      <c r="AC2068" t="str">
        <f t="shared" si="1329"/>
        <v>Stock en Bultos</v>
      </c>
      <c r="AD2068" t="str">
        <f t="shared" si="1330"/>
        <v>SubDepósito</v>
      </c>
      <c r="AE2068" t="str">
        <f t="shared" si="1331"/>
        <v>Marca</v>
      </c>
      <c r="AF2068" t="str">
        <f t="shared" si="1332"/>
        <v>Super Rubro</v>
      </c>
      <c r="AG2068" t="str">
        <f t="shared" si="1333"/>
        <v>ComercioExterior</v>
      </c>
      <c r="AH2068" t="str">
        <f t="shared" si="1334"/>
        <v>PrecioFOB</v>
      </c>
      <c r="AI2068" t="str">
        <f t="shared" si="1335"/>
        <v>Monto II</v>
      </c>
      <c r="AJ2068" t="str">
        <f t="shared" si="1336"/>
        <v>Porcentaje II</v>
      </c>
      <c r="AK2068" t="str">
        <f t="shared" si="1337"/>
        <v>Foto</v>
      </c>
      <c r="AL2068" t="str">
        <f>"{\rtf1\ansi\ansicpg1252\deff0\deflang11274{\fonttbl{\f0\fnil\fcharset0 MS Sans Serif}} \viewkind4\uc1\pard\f0\fs16 JGO CABLES BUJIAS ONIX/PRISMA 2013 EN ADELANTE\par } "</f>
        <v xml:space="preserve">{\rtf1\ansi\ansicpg1252\deff0\deflang11274{\fonttbl{\f0\fnil\fcharset0 MS Sans Serif}} \viewkind4\uc1\pard\f0\fs16 JGO CABLES BUJIAS ONIX/PRISMA 2013 EN ADELANTE\par } </v>
      </c>
      <c r="AM2068" t="str">
        <f t="shared" si="1340"/>
        <v xml:space="preserve"> </v>
      </c>
    </row>
    <row r="2069" spans="1:39" x14ac:dyDescent="0.25">
      <c r="A2069" t="str">
        <f>"06-01720"</f>
        <v>06-01720</v>
      </c>
      <c r="B2069" t="str">
        <f>"JGO CABLES BUJIAS SILICONADO MEGANE/SCENIC 2.0 8V"</f>
        <v>JGO CABLES BUJIAS SILICONADO MEGANE/SCENIC 2.0 8V</v>
      </c>
      <c r="C2069" t="str">
        <f>"$ 14592,75"</f>
        <v>$ 14592,75</v>
      </c>
      <c r="D2069" t="str">
        <f>"$ 14592,75"</f>
        <v>$ 14592,75</v>
      </c>
      <c r="E2069" t="str">
        <f>"$ 14592,75"</f>
        <v>$ 14592,75</v>
      </c>
      <c r="F2069" t="str">
        <f>"$ 14592,75"</f>
        <v>$ 14592,75</v>
      </c>
      <c r="G2069" t="str">
        <f>"$ 14592,75"</f>
        <v>$ 14592,75</v>
      </c>
      <c r="H2069" t="str">
        <f t="shared" si="1320"/>
        <v>$ 0,00</v>
      </c>
      <c r="I2069" t="str">
        <f t="shared" si="1341"/>
        <v>CABLES BUJÍAS SILICONA ANTIPARASITARIOS</v>
      </c>
      <c r="J2069" t="str">
        <f t="shared" si="1321"/>
        <v>1</v>
      </c>
      <c r="K2069" t="str">
        <f t="shared" ref="K2069:K2132" si="1346">"0"</f>
        <v>0</v>
      </c>
      <c r="L2069" t="str">
        <f>"26,000"</f>
        <v>26,000</v>
      </c>
      <c r="M2069" t="str">
        <f t="shared" si="1322"/>
        <v xml:space="preserve"> </v>
      </c>
      <c r="N2069" t="str">
        <f>"FERRAZZI"</f>
        <v>FERRAZZI</v>
      </c>
      <c r="O2069" t="str">
        <f t="shared" si="1339"/>
        <v>CABLES</v>
      </c>
      <c r="P2069" t="str">
        <f t="shared" si="1344"/>
        <v>0</v>
      </c>
      <c r="Q2069" t="str">
        <f t="shared" si="1344"/>
        <v>0</v>
      </c>
      <c r="R2069" t="str">
        <f t="shared" si="1345"/>
        <v>0,00</v>
      </c>
      <c r="S2069" t="str">
        <f t="shared" si="1345"/>
        <v>0,00</v>
      </c>
      <c r="T2069" t="str">
        <f t="shared" si="1319"/>
        <v xml:space="preserve"> </v>
      </c>
      <c r="U2069" t="str">
        <f t="shared" si="1342"/>
        <v xml:space="preserve"> </v>
      </c>
      <c r="V2069" t="str">
        <f>"26,000"</f>
        <v>26,000</v>
      </c>
      <c r="W2069" t="str">
        <f t="shared" si="1323"/>
        <v>Lista 4</v>
      </c>
      <c r="X2069" t="str">
        <f t="shared" si="1324"/>
        <v>Lista 5</v>
      </c>
      <c r="Y2069" t="str">
        <f t="shared" si="1325"/>
        <v>Oferta Gral.</v>
      </c>
      <c r="Z2069" t="str">
        <f t="shared" si="1326"/>
        <v>Rubro</v>
      </c>
      <c r="AA2069" t="str">
        <f t="shared" si="1327"/>
        <v>Cantidad por Bulto</v>
      </c>
      <c r="AB2069" t="str">
        <f t="shared" si="1328"/>
        <v>INNER</v>
      </c>
      <c r="AC2069" t="str">
        <f t="shared" si="1329"/>
        <v>Stock en Bultos</v>
      </c>
      <c r="AD2069" t="str">
        <f t="shared" si="1330"/>
        <v>SubDepósito</v>
      </c>
      <c r="AE2069" t="str">
        <f t="shared" si="1331"/>
        <v>Marca</v>
      </c>
      <c r="AF2069" t="str">
        <f t="shared" si="1332"/>
        <v>Super Rubro</v>
      </c>
      <c r="AG2069" t="str">
        <f t="shared" si="1333"/>
        <v>ComercioExterior</v>
      </c>
      <c r="AH2069" t="str">
        <f t="shared" si="1334"/>
        <v>PrecioFOB</v>
      </c>
      <c r="AI2069" t="str">
        <f t="shared" si="1335"/>
        <v>Monto II</v>
      </c>
      <c r="AJ2069" t="str">
        <f t="shared" si="1336"/>
        <v>Porcentaje II</v>
      </c>
      <c r="AK2069" t="str">
        <f t="shared" si="1337"/>
        <v>Foto</v>
      </c>
      <c r="AL2069" t="str">
        <f>"{\rtf1\ansi\ansicpg1252\deff0\deflang11274{\fonttbl{\f0\fnil\fcharset0 MS Sans Serif}} \viewkind4\uc1\pard\f0\fs16 JGO CABLES BUJIAS SILICONADO MEGANE/SCENIC 2.0 8V\par } "</f>
        <v xml:space="preserve">{\rtf1\ansi\ansicpg1252\deff0\deflang11274{\fonttbl{\f0\fnil\fcharset0 MS Sans Serif}} \viewkind4\uc1\pard\f0\fs16 JGO CABLES BUJIAS SILICONADO MEGANE/SCENIC 2.0 8V\par } </v>
      </c>
      <c r="AM2069" t="str">
        <f>"-"</f>
        <v>-</v>
      </c>
    </row>
    <row r="2070" spans="1:39" x14ac:dyDescent="0.25">
      <c r="A2070" t="str">
        <f>"06-00230"</f>
        <v>06-00230</v>
      </c>
      <c r="B2070" t="str">
        <f>"JGO CABLES BUJÍAS COMPETICIÓN RENAULT MEGANE K7M"</f>
        <v>JGO CABLES BUJÍAS COMPETICIÓN RENAULT MEGANE K7M</v>
      </c>
      <c r="C2070" t="str">
        <f>"$ 37949,90"</f>
        <v>$ 37949,90</v>
      </c>
      <c r="D2070" t="str">
        <f>"$ 37949,90"</f>
        <v>$ 37949,90</v>
      </c>
      <c r="E2070" t="str">
        <f>"$ 37949,90"</f>
        <v>$ 37949,90</v>
      </c>
      <c r="F2070" t="str">
        <f>"$ 37949,90"</f>
        <v>$ 37949,90</v>
      </c>
      <c r="G2070" t="str">
        <f>"$ 37949,90"</f>
        <v>$ 37949,90</v>
      </c>
      <c r="H2070" t="str">
        <f t="shared" si="1320"/>
        <v>$ 0,00</v>
      </c>
      <c r="I2070" t="str">
        <f>"CABLES BUJÍAS COMPETICION 9MM"</f>
        <v>CABLES BUJÍAS COMPETICION 9MM</v>
      </c>
      <c r="J2070" t="str">
        <f t="shared" si="1321"/>
        <v>1</v>
      </c>
      <c r="K2070" t="str">
        <f t="shared" si="1346"/>
        <v>0</v>
      </c>
      <c r="L2070" t="str">
        <f>"24,000"</f>
        <v>24,000</v>
      </c>
      <c r="M2070" t="str">
        <f t="shared" si="1322"/>
        <v xml:space="preserve"> </v>
      </c>
      <c r="N2070" t="str">
        <f>"FERRAZZI"</f>
        <v>FERRAZZI</v>
      </c>
      <c r="O2070" t="str">
        <f t="shared" si="1339"/>
        <v>CABLES</v>
      </c>
      <c r="P2070" t="str">
        <f t="shared" si="1344"/>
        <v>0</v>
      </c>
      <c r="Q2070" t="str">
        <f t="shared" si="1344"/>
        <v>0</v>
      </c>
      <c r="R2070" t="str">
        <f t="shared" si="1345"/>
        <v>0,00</v>
      </c>
      <c r="S2070" t="str">
        <f t="shared" si="1345"/>
        <v>0,00</v>
      </c>
      <c r="T2070" t="str">
        <f t="shared" si="1319"/>
        <v xml:space="preserve"> </v>
      </c>
      <c r="U2070" t="str">
        <f t="shared" si="1342"/>
        <v xml:space="preserve"> </v>
      </c>
      <c r="V2070" t="str">
        <f>"24,000"</f>
        <v>24,000</v>
      </c>
      <c r="W2070" t="str">
        <f t="shared" si="1323"/>
        <v>Lista 4</v>
      </c>
      <c r="X2070" t="str">
        <f t="shared" si="1324"/>
        <v>Lista 5</v>
      </c>
      <c r="Y2070" t="str">
        <f t="shared" si="1325"/>
        <v>Oferta Gral.</v>
      </c>
      <c r="Z2070" t="str">
        <f t="shared" si="1326"/>
        <v>Rubro</v>
      </c>
      <c r="AA2070" t="str">
        <f t="shared" si="1327"/>
        <v>Cantidad por Bulto</v>
      </c>
      <c r="AB2070" t="str">
        <f t="shared" si="1328"/>
        <v>INNER</v>
      </c>
      <c r="AC2070" t="str">
        <f t="shared" si="1329"/>
        <v>Stock en Bultos</v>
      </c>
      <c r="AD2070" t="str">
        <f t="shared" si="1330"/>
        <v>SubDepósito</v>
      </c>
      <c r="AE2070" t="str">
        <f t="shared" si="1331"/>
        <v>Marca</v>
      </c>
      <c r="AF2070" t="str">
        <f t="shared" si="1332"/>
        <v>Super Rubro</v>
      </c>
      <c r="AG2070" t="str">
        <f t="shared" si="1333"/>
        <v>ComercioExterior</v>
      </c>
      <c r="AH2070" t="str">
        <f t="shared" si="1334"/>
        <v>PrecioFOB</v>
      </c>
      <c r="AI2070" t="str">
        <f t="shared" si="1335"/>
        <v>Monto II</v>
      </c>
      <c r="AJ2070" t="str">
        <f t="shared" si="1336"/>
        <v>Porcentaje II</v>
      </c>
      <c r="AK2070" t="str">
        <f t="shared" si="1337"/>
        <v>Foto</v>
      </c>
      <c r="AL2070" t="str">
        <f>"{\rtf1\ansi\ansicpg1252\deff0\deflang11274{\fonttbl{\f0\fnil\fcharset0 MS Sans Serif}} \viewkind4\uc1\pard\f0\fs16 JGO CABLES BUJ\'cdAS COMPETICI\'d3N RENAULT MEGANE K7M\par } "</f>
        <v xml:space="preserve">{\rtf1\ansi\ansicpg1252\deff0\deflang11274{\fonttbl{\f0\fnil\fcharset0 MS Sans Serif}} \viewkind4\uc1\pard\f0\fs16 JGO CABLES BUJ\'cdAS COMPETICI\'d3N RENAULT MEGANE K7M\par } </v>
      </c>
      <c r="AM2070" t="str">
        <f>"-"</f>
        <v>-</v>
      </c>
    </row>
    <row r="2071" spans="1:39" x14ac:dyDescent="0.25">
      <c r="A2071" t="str">
        <f>"CO2045"</f>
        <v>CO2045</v>
      </c>
      <c r="B2071" t="str">
        <f>"JGO CABLES BUJÍAS RENAULT CLIO 1.2 16V"</f>
        <v>JGO CABLES BUJÍAS RENAULT CLIO 1.2 16V</v>
      </c>
      <c r="C2071" t="str">
        <f>"$ 28925,19"</f>
        <v>$ 28925,19</v>
      </c>
      <c r="D2071" t="str">
        <f>"$ 28925,19"</f>
        <v>$ 28925,19</v>
      </c>
      <c r="E2071" t="str">
        <f>"$ 28925,19"</f>
        <v>$ 28925,19</v>
      </c>
      <c r="F2071" t="str">
        <f>"$ 28925,19"</f>
        <v>$ 28925,19</v>
      </c>
      <c r="G2071" t="str">
        <f>"$ 28925,19"</f>
        <v>$ 28925,19</v>
      </c>
      <c r="H2071" t="str">
        <f t="shared" si="1320"/>
        <v>$ 0,00</v>
      </c>
      <c r="I2071" t="str">
        <f>"CABLES BUJÍAS SILICONA ANTIPARASITARIOS"</f>
        <v>CABLES BUJÍAS SILICONA ANTIPARASITARIOS</v>
      </c>
      <c r="J2071" t="str">
        <f t="shared" si="1321"/>
        <v>1</v>
      </c>
      <c r="K2071" t="str">
        <f t="shared" si="1346"/>
        <v>0</v>
      </c>
      <c r="L2071" t="str">
        <f>"6,000"</f>
        <v>6,000</v>
      </c>
      <c r="M2071" t="str">
        <f t="shared" si="1322"/>
        <v xml:space="preserve"> </v>
      </c>
      <c r="N2071" t="str">
        <f>"CADIC"</f>
        <v>CADIC</v>
      </c>
      <c r="O2071" t="str">
        <f t="shared" si="1339"/>
        <v>CABLES</v>
      </c>
      <c r="P2071" t="str">
        <f t="shared" si="1344"/>
        <v>0</v>
      </c>
      <c r="Q2071" t="str">
        <f t="shared" si="1344"/>
        <v>0</v>
      </c>
      <c r="R2071" t="str">
        <f t="shared" si="1345"/>
        <v>0,00</v>
      </c>
      <c r="S2071" t="str">
        <f t="shared" si="1345"/>
        <v>0,00</v>
      </c>
      <c r="T2071" t="str">
        <f t="shared" si="1319"/>
        <v xml:space="preserve"> </v>
      </c>
      <c r="U2071" t="str">
        <f t="shared" si="1342"/>
        <v xml:space="preserve"> </v>
      </c>
      <c r="V2071" t="str">
        <f>"6,000"</f>
        <v>6,000</v>
      </c>
      <c r="W2071" t="str">
        <f t="shared" si="1323"/>
        <v>Lista 4</v>
      </c>
      <c r="X2071" t="str">
        <f t="shared" si="1324"/>
        <v>Lista 5</v>
      </c>
      <c r="Y2071" t="str">
        <f t="shared" si="1325"/>
        <v>Oferta Gral.</v>
      </c>
      <c r="Z2071" t="str">
        <f t="shared" si="1326"/>
        <v>Rubro</v>
      </c>
      <c r="AA2071" t="str">
        <f t="shared" si="1327"/>
        <v>Cantidad por Bulto</v>
      </c>
      <c r="AB2071" t="str">
        <f t="shared" si="1328"/>
        <v>INNER</v>
      </c>
      <c r="AC2071" t="str">
        <f t="shared" si="1329"/>
        <v>Stock en Bultos</v>
      </c>
      <c r="AD2071" t="str">
        <f t="shared" si="1330"/>
        <v>SubDepósito</v>
      </c>
      <c r="AE2071" t="str">
        <f t="shared" si="1331"/>
        <v>Marca</v>
      </c>
      <c r="AF2071" t="str">
        <f t="shared" si="1332"/>
        <v>Super Rubro</v>
      </c>
      <c r="AG2071" t="str">
        <f t="shared" si="1333"/>
        <v>ComercioExterior</v>
      </c>
      <c r="AH2071" t="str">
        <f t="shared" si="1334"/>
        <v>PrecioFOB</v>
      </c>
      <c r="AI2071" t="str">
        <f t="shared" si="1335"/>
        <v>Monto II</v>
      </c>
      <c r="AJ2071" t="str">
        <f t="shared" si="1336"/>
        <v>Porcentaje II</v>
      </c>
      <c r="AK2071" t="str">
        <f t="shared" si="1337"/>
        <v>Foto</v>
      </c>
      <c r="AL2071" t="str">
        <f>"{\rtf1\ansi\ansicpg1252\deff0\deflang11274{\fonttbl{\f0\fnil\fcharset0 MS Sans Serif}} \viewkind4\uc1\pard\f0\fs16 JGO CABLES BUJ`cdAS RENAULT CLIO III\par } "</f>
        <v xml:space="preserve">{\rtf1\ansi\ansicpg1252\deff0\deflang11274{\fonttbl{\f0\fnil\fcharset0 MS Sans Serif}} \viewkind4\uc1\pard\f0\fs16 JGO CABLES BUJ`cdAS RENAULT CLIO III\par } </v>
      </c>
      <c r="AM2071" t="str">
        <f t="shared" ref="AM2071:AM2082" si="1347">" "</f>
        <v xml:space="preserve"> </v>
      </c>
    </row>
    <row r="2072" spans="1:39" x14ac:dyDescent="0.25">
      <c r="A2072" t="str">
        <f>"05-00270"</f>
        <v>05-00270</v>
      </c>
      <c r="B2072" t="str">
        <f>"JGO CABLES DE BUJIAS COMP 9MM FIAT SIENA/PUNTO/PALIO 1.6 16V TORQ"</f>
        <v>JGO CABLES DE BUJIAS COMP 9MM FIAT SIENA/PUNTO/PALIO 1.6 16V TORQ</v>
      </c>
      <c r="C2072" t="str">
        <f>"$ 54413,35"</f>
        <v>$ 54413,35</v>
      </c>
      <c r="D2072" t="str">
        <f>"$ 54413,35"</f>
        <v>$ 54413,35</v>
      </c>
      <c r="E2072" t="str">
        <f>"$ 54413,35"</f>
        <v>$ 54413,35</v>
      </c>
      <c r="F2072" t="str">
        <f>"$ 54413,35"</f>
        <v>$ 54413,35</v>
      </c>
      <c r="G2072" t="str">
        <f>"$ 54413,35"</f>
        <v>$ 54413,35</v>
      </c>
      <c r="H2072" t="str">
        <f t="shared" si="1320"/>
        <v>$ 0,00</v>
      </c>
      <c r="I2072" t="str">
        <f>"CABLES BUJÍAS COMPETICION 9MM"</f>
        <v>CABLES BUJÍAS COMPETICION 9MM</v>
      </c>
      <c r="J2072" t="str">
        <f t="shared" si="1321"/>
        <v>1</v>
      </c>
      <c r="K2072" t="str">
        <f t="shared" si="1346"/>
        <v>0</v>
      </c>
      <c r="L2072" t="str">
        <f>"17,000"</f>
        <v>17,000</v>
      </c>
      <c r="M2072" t="str">
        <f t="shared" si="1322"/>
        <v xml:space="preserve"> </v>
      </c>
      <c r="N2072" t="str">
        <f>"FERRAZZI"</f>
        <v>FERRAZZI</v>
      </c>
      <c r="O2072" t="str">
        <f t="shared" si="1339"/>
        <v>CABLES</v>
      </c>
      <c r="P2072" t="str">
        <f t="shared" si="1344"/>
        <v>0</v>
      </c>
      <c r="Q2072" t="str">
        <f t="shared" si="1344"/>
        <v>0</v>
      </c>
      <c r="R2072" t="str">
        <f t="shared" si="1345"/>
        <v>0,00</v>
      </c>
      <c r="S2072" t="str">
        <f t="shared" si="1345"/>
        <v>0,00</v>
      </c>
      <c r="T2072" t="str">
        <f t="shared" si="1319"/>
        <v xml:space="preserve"> </v>
      </c>
      <c r="U2072" t="str">
        <f t="shared" si="1342"/>
        <v xml:space="preserve"> </v>
      </c>
      <c r="V2072" t="str">
        <f>"17,000"</f>
        <v>17,000</v>
      </c>
      <c r="W2072" t="str">
        <f t="shared" si="1323"/>
        <v>Lista 4</v>
      </c>
      <c r="X2072" t="str">
        <f t="shared" si="1324"/>
        <v>Lista 5</v>
      </c>
      <c r="Y2072" t="str">
        <f t="shared" si="1325"/>
        <v>Oferta Gral.</v>
      </c>
      <c r="Z2072" t="str">
        <f t="shared" si="1326"/>
        <v>Rubro</v>
      </c>
      <c r="AA2072" t="str">
        <f t="shared" si="1327"/>
        <v>Cantidad por Bulto</v>
      </c>
      <c r="AB2072" t="str">
        <f t="shared" si="1328"/>
        <v>INNER</v>
      </c>
      <c r="AC2072" t="str">
        <f t="shared" si="1329"/>
        <v>Stock en Bultos</v>
      </c>
      <c r="AD2072" t="str">
        <f t="shared" si="1330"/>
        <v>SubDepósito</v>
      </c>
      <c r="AE2072" t="str">
        <f t="shared" si="1331"/>
        <v>Marca</v>
      </c>
      <c r="AF2072" t="str">
        <f t="shared" si="1332"/>
        <v>Super Rubro</v>
      </c>
      <c r="AG2072" t="str">
        <f t="shared" si="1333"/>
        <v>ComercioExterior</v>
      </c>
      <c r="AH2072" t="str">
        <f t="shared" si="1334"/>
        <v>PrecioFOB</v>
      </c>
      <c r="AI2072" t="str">
        <f t="shared" si="1335"/>
        <v>Monto II</v>
      </c>
      <c r="AJ2072" t="str">
        <f t="shared" si="1336"/>
        <v>Porcentaje II</v>
      </c>
      <c r="AK2072" t="str">
        <f t="shared" si="1337"/>
        <v>Foto</v>
      </c>
      <c r="AL2072" t="str">
        <f>"{\rtf1\ansi\ansicpg1252\deff0\deflang11274{\fonttbl{\f0\fnil\fcharset0 MS Sans Serif}} \viewkind4\uc1\pard\f0\fs16 JGO CABLES DE BUJIAS COMP 9MM FIAT SIENA/PUNTO/PALIO 1.6 16V TORQ\par } "</f>
        <v xml:space="preserve">{\rtf1\ansi\ansicpg1252\deff0\deflang11274{\fonttbl{\f0\fnil\fcharset0 MS Sans Serif}} \viewkind4\uc1\pard\f0\fs16 JGO CABLES DE BUJIAS COMP 9MM FIAT SIENA/PUNTO/PALIO 1.6 16V TORQ\par } </v>
      </c>
      <c r="AM2072" t="str">
        <f t="shared" si="1347"/>
        <v xml:space="preserve"> </v>
      </c>
    </row>
    <row r="2073" spans="1:39" x14ac:dyDescent="0.25">
      <c r="A2073" t="str">
        <f>"02-00296"</f>
        <v>02-00296</v>
      </c>
      <c r="B2073" t="str">
        <f>"JGO CABLES DE BUJIAS COMPETICION CORSA/MERIVA"</f>
        <v>JGO CABLES DE BUJIAS COMPETICION CORSA/MERIVA</v>
      </c>
      <c r="C2073" t="str">
        <f>"$ 48034,44"</f>
        <v>$ 48034,44</v>
      </c>
      <c r="D2073" t="str">
        <f>"$ 48034,44"</f>
        <v>$ 48034,44</v>
      </c>
      <c r="E2073" t="str">
        <f>"$ 48034,44"</f>
        <v>$ 48034,44</v>
      </c>
      <c r="F2073" t="str">
        <f>"$ 48034,44"</f>
        <v>$ 48034,44</v>
      </c>
      <c r="G2073" t="str">
        <f>"$ 48034,44"</f>
        <v>$ 48034,44</v>
      </c>
      <c r="H2073" t="str">
        <f t="shared" si="1320"/>
        <v>$ 0,00</v>
      </c>
      <c r="I2073" t="str">
        <f>"CABLES BUJÍAS COMPETICION 9MM"</f>
        <v>CABLES BUJÍAS COMPETICION 9MM</v>
      </c>
      <c r="J2073" t="str">
        <f t="shared" si="1321"/>
        <v>1</v>
      </c>
      <c r="K2073" t="str">
        <f t="shared" si="1346"/>
        <v>0</v>
      </c>
      <c r="L2073" t="str">
        <f>"258,000"</f>
        <v>258,000</v>
      </c>
      <c r="M2073" t="str">
        <f t="shared" si="1322"/>
        <v xml:space="preserve"> </v>
      </c>
      <c r="N2073" t="str">
        <f>"FERRAZZI"</f>
        <v>FERRAZZI</v>
      </c>
      <c r="O2073" t="str">
        <f t="shared" si="1339"/>
        <v>CABLES</v>
      </c>
      <c r="P2073" t="str">
        <f t="shared" si="1344"/>
        <v>0</v>
      </c>
      <c r="Q2073" t="str">
        <f t="shared" si="1344"/>
        <v>0</v>
      </c>
      <c r="R2073" t="str">
        <f t="shared" si="1345"/>
        <v>0,00</v>
      </c>
      <c r="S2073" t="str">
        <f t="shared" si="1345"/>
        <v>0,00</v>
      </c>
      <c r="T2073" t="str">
        <f t="shared" si="1319"/>
        <v xml:space="preserve"> </v>
      </c>
      <c r="U2073" t="str">
        <f t="shared" si="1342"/>
        <v xml:space="preserve"> </v>
      </c>
      <c r="V2073" t="str">
        <f>"258,000"</f>
        <v>258,000</v>
      </c>
      <c r="W2073" t="str">
        <f t="shared" si="1323"/>
        <v>Lista 4</v>
      </c>
      <c r="X2073" t="str">
        <f t="shared" si="1324"/>
        <v>Lista 5</v>
      </c>
      <c r="Y2073" t="str">
        <f t="shared" si="1325"/>
        <v>Oferta Gral.</v>
      </c>
      <c r="Z2073" t="str">
        <f t="shared" si="1326"/>
        <v>Rubro</v>
      </c>
      <c r="AA2073" t="str">
        <f t="shared" si="1327"/>
        <v>Cantidad por Bulto</v>
      </c>
      <c r="AB2073" t="str">
        <f t="shared" si="1328"/>
        <v>INNER</v>
      </c>
      <c r="AC2073" t="str">
        <f t="shared" si="1329"/>
        <v>Stock en Bultos</v>
      </c>
      <c r="AD2073" t="str">
        <f t="shared" si="1330"/>
        <v>SubDepósito</v>
      </c>
      <c r="AE2073" t="str">
        <f t="shared" si="1331"/>
        <v>Marca</v>
      </c>
      <c r="AF2073" t="str">
        <f t="shared" si="1332"/>
        <v>Super Rubro</v>
      </c>
      <c r="AG2073" t="str">
        <f t="shared" si="1333"/>
        <v>ComercioExterior</v>
      </c>
      <c r="AH2073" t="str">
        <f t="shared" si="1334"/>
        <v>PrecioFOB</v>
      </c>
      <c r="AI2073" t="str">
        <f t="shared" si="1335"/>
        <v>Monto II</v>
      </c>
      <c r="AJ2073" t="str">
        <f t="shared" si="1336"/>
        <v>Porcentaje II</v>
      </c>
      <c r="AK2073" t="str">
        <f t="shared" si="1337"/>
        <v>Foto</v>
      </c>
      <c r="AL2073" t="str">
        <f>"{\rtf1\ansi\ansicpg1252\deff0\deflang11274{\fonttbl{\f0\fnil\fcharset0 MS Sans Serif}} \viewkind4\uc1\pard\f0\fs16 JGO CABLES DE BUJIAS COMPETICION CORSA/MERIVA\par } "</f>
        <v xml:space="preserve">{\rtf1\ansi\ansicpg1252\deff0\deflang11274{\fonttbl{\f0\fnil\fcharset0 MS Sans Serif}} \viewkind4\uc1\pard\f0\fs16 JGO CABLES DE BUJIAS COMPETICION CORSA/MERIVA\par } </v>
      </c>
      <c r="AM2073" t="str">
        <f t="shared" si="1347"/>
        <v xml:space="preserve"> </v>
      </c>
    </row>
    <row r="2074" spans="1:39" x14ac:dyDescent="0.25">
      <c r="A2074" t="str">
        <f>"03-01741"</f>
        <v>03-01741</v>
      </c>
      <c r="B2074" t="str">
        <f>"JGO CABLES DE BUJIAS FOX/GOLF/GOL TREND REFORMA"</f>
        <v>JGO CABLES DE BUJIAS FOX/GOLF/GOL TREND REFORMA</v>
      </c>
      <c r="C2074" t="str">
        <f>"$ 36547,20"</f>
        <v>$ 36547,20</v>
      </c>
      <c r="D2074" t="str">
        <f>"$ 36547,20"</f>
        <v>$ 36547,20</v>
      </c>
      <c r="E2074" t="str">
        <f>"$ 36547,20"</f>
        <v>$ 36547,20</v>
      </c>
      <c r="F2074" t="str">
        <f>"$ 36547,20"</f>
        <v>$ 36547,20</v>
      </c>
      <c r="G2074" t="str">
        <f>"$ 36547,20"</f>
        <v>$ 36547,20</v>
      </c>
      <c r="H2074" t="str">
        <f t="shared" si="1320"/>
        <v>$ 0,00</v>
      </c>
      <c r="I2074" t="str">
        <f>"CABLES BUJÍAS SILICONA ANTIPARASITARIOS"</f>
        <v>CABLES BUJÍAS SILICONA ANTIPARASITARIOS</v>
      </c>
      <c r="J2074" t="str">
        <f t="shared" si="1321"/>
        <v>1</v>
      </c>
      <c r="K2074" t="str">
        <f t="shared" si="1346"/>
        <v>0</v>
      </c>
      <c r="L2074" t="str">
        <f>"2,000"</f>
        <v>2,000</v>
      </c>
      <c r="M2074" t="str">
        <f t="shared" si="1322"/>
        <v xml:space="preserve"> </v>
      </c>
      <c r="N2074" t="str">
        <f>"FERRAZZI"</f>
        <v>FERRAZZI</v>
      </c>
      <c r="O2074" t="str">
        <f t="shared" si="1339"/>
        <v>CABLES</v>
      </c>
      <c r="P2074" t="str">
        <f t="shared" si="1344"/>
        <v>0</v>
      </c>
      <c r="Q2074" t="str">
        <f t="shared" si="1344"/>
        <v>0</v>
      </c>
      <c r="R2074" t="str">
        <f t="shared" si="1345"/>
        <v>0,00</v>
      </c>
      <c r="S2074" t="str">
        <f t="shared" si="1345"/>
        <v>0,00</v>
      </c>
      <c r="T2074" t="str">
        <f t="shared" si="1319"/>
        <v xml:space="preserve"> </v>
      </c>
      <c r="U2074" t="str">
        <f t="shared" si="1342"/>
        <v xml:space="preserve"> </v>
      </c>
      <c r="V2074" t="str">
        <f>"2,000"</f>
        <v>2,000</v>
      </c>
      <c r="W2074" t="str">
        <f t="shared" si="1323"/>
        <v>Lista 4</v>
      </c>
      <c r="X2074" t="str">
        <f t="shared" si="1324"/>
        <v>Lista 5</v>
      </c>
      <c r="Y2074" t="str">
        <f t="shared" si="1325"/>
        <v>Oferta Gral.</v>
      </c>
      <c r="Z2074" t="str">
        <f t="shared" si="1326"/>
        <v>Rubro</v>
      </c>
      <c r="AA2074" t="str">
        <f t="shared" si="1327"/>
        <v>Cantidad por Bulto</v>
      </c>
      <c r="AB2074" t="str">
        <f t="shared" si="1328"/>
        <v>INNER</v>
      </c>
      <c r="AC2074" t="str">
        <f t="shared" si="1329"/>
        <v>Stock en Bultos</v>
      </c>
      <c r="AD2074" t="str">
        <f t="shared" si="1330"/>
        <v>SubDepósito</v>
      </c>
      <c r="AE2074" t="str">
        <f t="shared" si="1331"/>
        <v>Marca</v>
      </c>
      <c r="AF2074" t="str">
        <f t="shared" si="1332"/>
        <v>Super Rubro</v>
      </c>
      <c r="AG2074" t="str">
        <f t="shared" si="1333"/>
        <v>ComercioExterior</v>
      </c>
      <c r="AH2074" t="str">
        <f t="shared" si="1334"/>
        <v>PrecioFOB</v>
      </c>
      <c r="AI2074" t="str">
        <f t="shared" si="1335"/>
        <v>Monto II</v>
      </c>
      <c r="AJ2074" t="str">
        <f t="shared" si="1336"/>
        <v>Porcentaje II</v>
      </c>
      <c r="AK2074" t="str">
        <f t="shared" si="1337"/>
        <v>Foto</v>
      </c>
      <c r="AL2074" t="str">
        <f>"{\rtf1\ansi\ansicpg1252\deff0\deflang11274{\fonttbl{\f0\fnil\fcharset0 MS Sans Serif}} \viewkind4\uc1\pard\f0\fs16 JGO CABLES DE BUJIAS FOX/GOLF/GOL TREND REFORMA\par \par \par \par } "</f>
        <v xml:space="preserve">{\rtf1\ansi\ansicpg1252\deff0\deflang11274{\fonttbl{\f0\fnil\fcharset0 MS Sans Serif}} \viewkind4\uc1\pard\f0\fs16 JGO CABLES DE BUJIAS FOX/GOLF/GOL TREND REFORMA\par \par \par \par } </v>
      </c>
      <c r="AM2074" t="str">
        <f t="shared" si="1347"/>
        <v xml:space="preserve"> </v>
      </c>
    </row>
    <row r="2075" spans="1:39" x14ac:dyDescent="0.25">
      <c r="A2075" t="str">
        <f>"PE003"</f>
        <v>PE003</v>
      </c>
      <c r="B2075" t="str">
        <f>"JGO CUBREPEDAL DEPORTIVO ALUMINIO C/AZUL"</f>
        <v>JGO CUBREPEDAL DEPORTIVO ALUMINIO C/AZUL</v>
      </c>
      <c r="C2075" t="str">
        <f t="shared" ref="C2075:G2076" si="1348">"$ 12405,60"</f>
        <v>$ 12405,60</v>
      </c>
      <c r="D2075" t="str">
        <f t="shared" si="1348"/>
        <v>$ 12405,60</v>
      </c>
      <c r="E2075" t="str">
        <f t="shared" si="1348"/>
        <v>$ 12405,60</v>
      </c>
      <c r="F2075" t="str">
        <f t="shared" si="1348"/>
        <v>$ 12405,60</v>
      </c>
      <c r="G2075" t="str">
        <f t="shared" si="1348"/>
        <v>$ 12405,60</v>
      </c>
      <c r="H2075" t="str">
        <f t="shared" si="1320"/>
        <v>$ 0,00</v>
      </c>
      <c r="I2075" t="str">
        <f>"JUEGO CUBREPEDALES ALUMINIO"</f>
        <v>JUEGO CUBREPEDALES ALUMINIO</v>
      </c>
      <c r="J2075" t="str">
        <f t="shared" si="1321"/>
        <v>1</v>
      </c>
      <c r="K2075" t="str">
        <f t="shared" si="1346"/>
        <v>0</v>
      </c>
      <c r="L2075" t="str">
        <f>"6,000"</f>
        <v>6,000</v>
      </c>
      <c r="M2075" t="str">
        <f t="shared" si="1322"/>
        <v xml:space="preserve"> </v>
      </c>
      <c r="N2075" t="str">
        <f>"OREGON"</f>
        <v>OREGON</v>
      </c>
      <c r="O2075" t="str">
        <f>"CUBREPEDALES"</f>
        <v>CUBREPEDALES</v>
      </c>
      <c r="P2075" t="str">
        <f t="shared" si="1344"/>
        <v>0</v>
      </c>
      <c r="Q2075" t="str">
        <f t="shared" si="1344"/>
        <v>0</v>
      </c>
      <c r="R2075" t="str">
        <f t="shared" si="1345"/>
        <v>0,00</v>
      </c>
      <c r="S2075" t="str">
        <f t="shared" si="1345"/>
        <v>0,00</v>
      </c>
      <c r="T2075" t="str">
        <f t="shared" si="1319"/>
        <v xml:space="preserve"> </v>
      </c>
      <c r="U2075" t="str">
        <f t="shared" si="1342"/>
        <v xml:space="preserve"> </v>
      </c>
      <c r="V2075" t="str">
        <f>"6,000"</f>
        <v>6,000</v>
      </c>
      <c r="W2075" t="str">
        <f t="shared" si="1323"/>
        <v>Lista 4</v>
      </c>
      <c r="X2075" t="str">
        <f t="shared" si="1324"/>
        <v>Lista 5</v>
      </c>
      <c r="Y2075" t="str">
        <f t="shared" si="1325"/>
        <v>Oferta Gral.</v>
      </c>
      <c r="Z2075" t="str">
        <f t="shared" si="1326"/>
        <v>Rubro</v>
      </c>
      <c r="AA2075" t="str">
        <f t="shared" si="1327"/>
        <v>Cantidad por Bulto</v>
      </c>
      <c r="AB2075" t="str">
        <f t="shared" si="1328"/>
        <v>INNER</v>
      </c>
      <c r="AC2075" t="str">
        <f t="shared" si="1329"/>
        <v>Stock en Bultos</v>
      </c>
      <c r="AD2075" t="str">
        <f t="shared" si="1330"/>
        <v>SubDepósito</v>
      </c>
      <c r="AE2075" t="str">
        <f t="shared" si="1331"/>
        <v>Marca</v>
      </c>
      <c r="AF2075" t="str">
        <f t="shared" si="1332"/>
        <v>Super Rubro</v>
      </c>
      <c r="AG2075" t="str">
        <f t="shared" si="1333"/>
        <v>ComercioExterior</v>
      </c>
      <c r="AH2075" t="str">
        <f t="shared" si="1334"/>
        <v>PrecioFOB</v>
      </c>
      <c r="AI2075" t="str">
        <f t="shared" si="1335"/>
        <v>Monto II</v>
      </c>
      <c r="AJ2075" t="str">
        <f t="shared" si="1336"/>
        <v>Porcentaje II</v>
      </c>
      <c r="AK2075" t="str">
        <f t="shared" si="1337"/>
        <v>Foto</v>
      </c>
      <c r="AL2075" t="str">
        <f>"{\rtf1\ansi\ansicpg1252\deff0\deflang11274{\fonttbl{\f0\fnil\fcharset0 MS Sans Serif}} \viewkind4\uc1\pard\f0\fs16 JGO CUBREPEDAL DEPORTIVO ALUMINIO C/AZUL\par } "</f>
        <v xml:space="preserve">{\rtf1\ansi\ansicpg1252\deff0\deflang11274{\fonttbl{\f0\fnil\fcharset0 MS Sans Serif}} \viewkind4\uc1\pard\f0\fs16 JGO CUBREPEDAL DEPORTIVO ALUMINIO C/AZUL\par } </v>
      </c>
      <c r="AM2075" t="str">
        <f t="shared" si="1347"/>
        <v xml:space="preserve"> </v>
      </c>
    </row>
    <row r="2076" spans="1:39" x14ac:dyDescent="0.25">
      <c r="A2076" t="str">
        <f>"PE002"</f>
        <v>PE002</v>
      </c>
      <c r="B2076" t="str">
        <f>"JGO CUBREPEDAL DEPORTIVO ALUMINIO C/GRIS"</f>
        <v>JGO CUBREPEDAL DEPORTIVO ALUMINIO C/GRIS</v>
      </c>
      <c r="C2076" t="str">
        <f t="shared" si="1348"/>
        <v>$ 12405,60</v>
      </c>
      <c r="D2076" t="str">
        <f t="shared" si="1348"/>
        <v>$ 12405,60</v>
      </c>
      <c r="E2076" t="str">
        <f t="shared" si="1348"/>
        <v>$ 12405,60</v>
      </c>
      <c r="F2076" t="str">
        <f t="shared" si="1348"/>
        <v>$ 12405,60</v>
      </c>
      <c r="G2076" t="str">
        <f t="shared" si="1348"/>
        <v>$ 12405,60</v>
      </c>
      <c r="H2076" t="str">
        <f t="shared" si="1320"/>
        <v>$ 0,00</v>
      </c>
      <c r="I2076" t="str">
        <f>"JUEGO CUBREPEDALES ALUMINIO"</f>
        <v>JUEGO CUBREPEDALES ALUMINIO</v>
      </c>
      <c r="J2076" t="str">
        <f t="shared" si="1321"/>
        <v>1</v>
      </c>
      <c r="K2076" t="str">
        <f t="shared" si="1346"/>
        <v>0</v>
      </c>
      <c r="L2076" t="str">
        <f>"19,000"</f>
        <v>19,000</v>
      </c>
      <c r="M2076" t="str">
        <f t="shared" si="1322"/>
        <v xml:space="preserve"> </v>
      </c>
      <c r="N2076" t="str">
        <f>"OREGON"</f>
        <v>OREGON</v>
      </c>
      <c r="O2076" t="str">
        <f>"CUBREPEDALES"</f>
        <v>CUBREPEDALES</v>
      </c>
      <c r="P2076" t="str">
        <f t="shared" si="1344"/>
        <v>0</v>
      </c>
      <c r="Q2076" t="str">
        <f t="shared" si="1344"/>
        <v>0</v>
      </c>
      <c r="R2076" t="str">
        <f t="shared" si="1345"/>
        <v>0,00</v>
      </c>
      <c r="S2076" t="str">
        <f t="shared" si="1345"/>
        <v>0,00</v>
      </c>
      <c r="T2076" t="str">
        <f t="shared" si="1319"/>
        <v xml:space="preserve"> </v>
      </c>
      <c r="U2076" t="str">
        <f t="shared" si="1342"/>
        <v xml:space="preserve"> </v>
      </c>
      <c r="V2076" t="str">
        <f>"19,000"</f>
        <v>19,000</v>
      </c>
      <c r="W2076" t="str">
        <f t="shared" si="1323"/>
        <v>Lista 4</v>
      </c>
      <c r="X2076" t="str">
        <f t="shared" si="1324"/>
        <v>Lista 5</v>
      </c>
      <c r="Y2076" t="str">
        <f t="shared" si="1325"/>
        <v>Oferta Gral.</v>
      </c>
      <c r="Z2076" t="str">
        <f t="shared" si="1326"/>
        <v>Rubro</v>
      </c>
      <c r="AA2076" t="str">
        <f t="shared" si="1327"/>
        <v>Cantidad por Bulto</v>
      </c>
      <c r="AB2076" t="str">
        <f t="shared" si="1328"/>
        <v>INNER</v>
      </c>
      <c r="AC2076" t="str">
        <f t="shared" si="1329"/>
        <v>Stock en Bultos</v>
      </c>
      <c r="AD2076" t="str">
        <f t="shared" si="1330"/>
        <v>SubDepósito</v>
      </c>
      <c r="AE2076" t="str">
        <f t="shared" si="1331"/>
        <v>Marca</v>
      </c>
      <c r="AF2076" t="str">
        <f t="shared" si="1332"/>
        <v>Super Rubro</v>
      </c>
      <c r="AG2076" t="str">
        <f t="shared" si="1333"/>
        <v>ComercioExterior</v>
      </c>
      <c r="AH2076" t="str">
        <f t="shared" si="1334"/>
        <v>PrecioFOB</v>
      </c>
      <c r="AI2076" t="str">
        <f t="shared" si="1335"/>
        <v>Monto II</v>
      </c>
      <c r="AJ2076" t="str">
        <f t="shared" si="1336"/>
        <v>Porcentaje II</v>
      </c>
      <c r="AK2076" t="str">
        <f t="shared" si="1337"/>
        <v>Foto</v>
      </c>
      <c r="AL2076" t="str">
        <f>"{\rtf1\ansi\ansicpg1252\deff0\deflang11274{\fonttbl{\f0\fnil\fcharset0 MS Sans Serif}} \viewkind4\uc1\pard\f0\fs16 JGO CUBREPEDAL DEPORTIVO ALUMINIO C/GRIS\par } "</f>
        <v xml:space="preserve">{\rtf1\ansi\ansicpg1252\deff0\deflang11274{\fonttbl{\f0\fnil\fcharset0 MS Sans Serif}} \viewkind4\uc1\pard\f0\fs16 JGO CUBREPEDAL DEPORTIVO ALUMINIO C/GRIS\par } </v>
      </c>
      <c r="AM2076" t="str">
        <f t="shared" si="1347"/>
        <v xml:space="preserve"> </v>
      </c>
    </row>
    <row r="2077" spans="1:39" x14ac:dyDescent="0.25">
      <c r="A2077" t="str">
        <f>"PE001"</f>
        <v>PE001</v>
      </c>
      <c r="B2077" t="str">
        <f>"JGO CUBREPEDAL DEPORTIVO ALUMINIO C/NEGRO"</f>
        <v>JGO CUBREPEDAL DEPORTIVO ALUMINIO C/NEGRO</v>
      </c>
      <c r="C2077" t="str">
        <f>"$ 12574,52"</f>
        <v>$ 12574,52</v>
      </c>
      <c r="D2077" t="str">
        <f>"$ 12574,52"</f>
        <v>$ 12574,52</v>
      </c>
      <c r="E2077" t="str">
        <f>"$ 12574,52"</f>
        <v>$ 12574,52</v>
      </c>
      <c r="F2077" t="str">
        <f>"$ 12574,52"</f>
        <v>$ 12574,52</v>
      </c>
      <c r="G2077" t="str">
        <f>"$ 12574,52"</f>
        <v>$ 12574,52</v>
      </c>
      <c r="H2077" t="str">
        <f t="shared" si="1320"/>
        <v>$ 0,00</v>
      </c>
      <c r="I2077" t="str">
        <f>"JUEGO CUBREPEDALES ALUMINIO"</f>
        <v>JUEGO CUBREPEDALES ALUMINIO</v>
      </c>
      <c r="J2077" t="str">
        <f t="shared" si="1321"/>
        <v>1</v>
      </c>
      <c r="K2077" t="str">
        <f t="shared" si="1346"/>
        <v>0</v>
      </c>
      <c r="L2077" t="str">
        <f>"13,000"</f>
        <v>13,000</v>
      </c>
      <c r="M2077" t="str">
        <f t="shared" si="1322"/>
        <v xml:space="preserve"> </v>
      </c>
      <c r="N2077" t="str">
        <f>"OREGON"</f>
        <v>OREGON</v>
      </c>
      <c r="O2077" t="str">
        <f>"CUBREPEDALES"</f>
        <v>CUBREPEDALES</v>
      </c>
      <c r="P2077" t="str">
        <f t="shared" si="1344"/>
        <v>0</v>
      </c>
      <c r="Q2077" t="str">
        <f t="shared" si="1344"/>
        <v>0</v>
      </c>
      <c r="R2077" t="str">
        <f t="shared" si="1345"/>
        <v>0,00</v>
      </c>
      <c r="S2077" t="str">
        <f t="shared" si="1345"/>
        <v>0,00</v>
      </c>
      <c r="T2077" t="str">
        <f t="shared" si="1319"/>
        <v xml:space="preserve"> </v>
      </c>
      <c r="U2077" t="str">
        <f t="shared" si="1342"/>
        <v xml:space="preserve"> </v>
      </c>
      <c r="V2077" t="str">
        <f>"13,000"</f>
        <v>13,000</v>
      </c>
      <c r="W2077" t="str">
        <f t="shared" si="1323"/>
        <v>Lista 4</v>
      </c>
      <c r="X2077" t="str">
        <f t="shared" si="1324"/>
        <v>Lista 5</v>
      </c>
      <c r="Y2077" t="str">
        <f t="shared" si="1325"/>
        <v>Oferta Gral.</v>
      </c>
      <c r="Z2077" t="str">
        <f t="shared" si="1326"/>
        <v>Rubro</v>
      </c>
      <c r="AA2077" t="str">
        <f t="shared" si="1327"/>
        <v>Cantidad por Bulto</v>
      </c>
      <c r="AB2077" t="str">
        <f t="shared" si="1328"/>
        <v>INNER</v>
      </c>
      <c r="AC2077" t="str">
        <f t="shared" si="1329"/>
        <v>Stock en Bultos</v>
      </c>
      <c r="AD2077" t="str">
        <f t="shared" si="1330"/>
        <v>SubDepósito</v>
      </c>
      <c r="AE2077" t="str">
        <f t="shared" si="1331"/>
        <v>Marca</v>
      </c>
      <c r="AF2077" t="str">
        <f t="shared" si="1332"/>
        <v>Super Rubro</v>
      </c>
      <c r="AG2077" t="str">
        <f t="shared" si="1333"/>
        <v>ComercioExterior</v>
      </c>
      <c r="AH2077" t="str">
        <f t="shared" si="1334"/>
        <v>PrecioFOB</v>
      </c>
      <c r="AI2077" t="str">
        <f t="shared" si="1335"/>
        <v>Monto II</v>
      </c>
      <c r="AJ2077" t="str">
        <f t="shared" si="1336"/>
        <v>Porcentaje II</v>
      </c>
      <c r="AK2077" t="str">
        <f t="shared" si="1337"/>
        <v>Foto</v>
      </c>
      <c r="AL2077" t="str">
        <f>"{\rtf1\ansi\ansicpg1252\deff0\deflang11274{\fonttbl{\f0\fnil\fcharset0 MS Sans Serif}} \viewkind4\uc1\pard\f0\fs16 JGO CUBREPEDAL DEPORTIVO ALUMINIO C/NEGRO\par } "</f>
        <v xml:space="preserve">{\rtf1\ansi\ansicpg1252\deff0\deflang11274{\fonttbl{\f0\fnil\fcharset0 MS Sans Serif}} \viewkind4\uc1\pard\f0\fs16 JGO CUBREPEDAL DEPORTIVO ALUMINIO C/NEGRO\par } </v>
      </c>
      <c r="AM2077" t="str">
        <f t="shared" si="1347"/>
        <v xml:space="preserve"> </v>
      </c>
    </row>
    <row r="2078" spans="1:39" x14ac:dyDescent="0.25">
      <c r="A2078" t="str">
        <f>"PE004"</f>
        <v>PE004</v>
      </c>
      <c r="B2078" t="str">
        <f>"JGO CUBREPEDAL DEPORTIVO ALUMINIO C/ROJO"</f>
        <v>JGO CUBREPEDAL DEPORTIVO ALUMINIO C/ROJO</v>
      </c>
      <c r="C2078" t="str">
        <f>"$ 12405,60"</f>
        <v>$ 12405,60</v>
      </c>
      <c r="D2078" t="str">
        <f>"$ 12405,60"</f>
        <v>$ 12405,60</v>
      </c>
      <c r="E2078" t="str">
        <f>"$ 12405,60"</f>
        <v>$ 12405,60</v>
      </c>
      <c r="F2078" t="str">
        <f>"$ 12405,60"</f>
        <v>$ 12405,60</v>
      </c>
      <c r="G2078" t="str">
        <f>"$ 12405,60"</f>
        <v>$ 12405,60</v>
      </c>
      <c r="H2078" t="str">
        <f t="shared" si="1320"/>
        <v>$ 0,00</v>
      </c>
      <c r="I2078" t="str">
        <f>"JUEGO CUBREPEDALES ALUMINIO"</f>
        <v>JUEGO CUBREPEDALES ALUMINIO</v>
      </c>
      <c r="J2078" t="str">
        <f t="shared" si="1321"/>
        <v>1</v>
      </c>
      <c r="K2078" t="str">
        <f t="shared" si="1346"/>
        <v>0</v>
      </c>
      <c r="L2078" t="str">
        <f>"15,000"</f>
        <v>15,000</v>
      </c>
      <c r="M2078" t="str">
        <f t="shared" si="1322"/>
        <v xml:space="preserve"> </v>
      </c>
      <c r="N2078" t="str">
        <f>"OREGON"</f>
        <v>OREGON</v>
      </c>
      <c r="O2078" t="str">
        <f>"CUBREPEDALES"</f>
        <v>CUBREPEDALES</v>
      </c>
      <c r="P2078" t="str">
        <f t="shared" si="1344"/>
        <v>0</v>
      </c>
      <c r="Q2078" t="str">
        <f t="shared" si="1344"/>
        <v>0</v>
      </c>
      <c r="R2078" t="str">
        <f t="shared" si="1345"/>
        <v>0,00</v>
      </c>
      <c r="S2078" t="str">
        <f t="shared" si="1345"/>
        <v>0,00</v>
      </c>
      <c r="T2078" t="str">
        <f t="shared" si="1319"/>
        <v xml:space="preserve"> </v>
      </c>
      <c r="U2078" t="str">
        <f t="shared" si="1342"/>
        <v xml:space="preserve"> </v>
      </c>
      <c r="V2078" t="str">
        <f>"15,000"</f>
        <v>15,000</v>
      </c>
      <c r="W2078" t="str">
        <f t="shared" si="1323"/>
        <v>Lista 4</v>
      </c>
      <c r="X2078" t="str">
        <f t="shared" si="1324"/>
        <v>Lista 5</v>
      </c>
      <c r="Y2078" t="str">
        <f t="shared" si="1325"/>
        <v>Oferta Gral.</v>
      </c>
      <c r="Z2078" t="str">
        <f t="shared" si="1326"/>
        <v>Rubro</v>
      </c>
      <c r="AA2078" t="str">
        <f t="shared" si="1327"/>
        <v>Cantidad por Bulto</v>
      </c>
      <c r="AB2078" t="str">
        <f t="shared" si="1328"/>
        <v>INNER</v>
      </c>
      <c r="AC2078" t="str">
        <f t="shared" si="1329"/>
        <v>Stock en Bultos</v>
      </c>
      <c r="AD2078" t="str">
        <f t="shared" si="1330"/>
        <v>SubDepósito</v>
      </c>
      <c r="AE2078" t="str">
        <f t="shared" si="1331"/>
        <v>Marca</v>
      </c>
      <c r="AF2078" t="str">
        <f t="shared" si="1332"/>
        <v>Super Rubro</v>
      </c>
      <c r="AG2078" t="str">
        <f t="shared" si="1333"/>
        <v>ComercioExterior</v>
      </c>
      <c r="AH2078" t="str">
        <f t="shared" si="1334"/>
        <v>PrecioFOB</v>
      </c>
      <c r="AI2078" t="str">
        <f t="shared" si="1335"/>
        <v>Monto II</v>
      </c>
      <c r="AJ2078" t="str">
        <f t="shared" si="1336"/>
        <v>Porcentaje II</v>
      </c>
      <c r="AK2078" t="str">
        <f t="shared" si="1337"/>
        <v>Foto</v>
      </c>
      <c r="AL2078" t="str">
        <f>"{\rtf1\ansi\ansicpg1252\deff0\deflang11274{\fonttbl{\f0\fnil\fcharset0 MS Sans Serif}} \viewkind4\uc1\pard\f0\fs16 JGO CUBREPEDAL DEPORTIVO ALUMINIO C/ROJO\par } "</f>
        <v xml:space="preserve">{\rtf1\ansi\ansicpg1252\deff0\deflang11274{\fonttbl{\f0\fnil\fcharset0 MS Sans Serif}} \viewkind4\uc1\pard\f0\fs16 JGO CUBREPEDAL DEPORTIVO ALUMINIO C/ROJO\par } </v>
      </c>
      <c r="AM2078" t="str">
        <f t="shared" si="1347"/>
        <v xml:space="preserve"> </v>
      </c>
    </row>
    <row r="2079" spans="1:39" x14ac:dyDescent="0.25">
      <c r="A2079" t="str">
        <f>"579V"</f>
        <v>579V</v>
      </c>
      <c r="B2079" t="str">
        <f>"JGO PLATINO RENAULT/PEUGEOT"</f>
        <v>JGO PLATINO RENAULT/PEUGEOT</v>
      </c>
      <c r="C2079" t="str">
        <f t="shared" ref="C2079:G2081" si="1349">"$ 5656,07"</f>
        <v>$ 5656,07</v>
      </c>
      <c r="D2079" t="str">
        <f t="shared" si="1349"/>
        <v>$ 5656,07</v>
      </c>
      <c r="E2079" t="str">
        <f t="shared" si="1349"/>
        <v>$ 5656,07</v>
      </c>
      <c r="F2079" t="str">
        <f t="shared" si="1349"/>
        <v>$ 5656,07</v>
      </c>
      <c r="G2079" t="str">
        <f t="shared" si="1349"/>
        <v>$ 5656,07</v>
      </c>
      <c r="H2079" t="str">
        <f t="shared" si="1320"/>
        <v>$ 0,00</v>
      </c>
      <c r="I2079" t="str">
        <f>"PLATINO"</f>
        <v>PLATINO</v>
      </c>
      <c r="J2079" t="str">
        <f t="shared" si="1321"/>
        <v>1</v>
      </c>
      <c r="K2079" t="str">
        <f t="shared" si="1346"/>
        <v>0</v>
      </c>
      <c r="L2079" t="str">
        <f>"0,000"</f>
        <v>0,000</v>
      </c>
      <c r="M2079" t="str">
        <f t="shared" si="1322"/>
        <v xml:space="preserve"> </v>
      </c>
      <c r="N2079" t="str">
        <f>"EKTION"</f>
        <v>EKTION</v>
      </c>
      <c r="O2079" t="str">
        <f>"PLATINO CONDENSADOR"</f>
        <v>PLATINO CONDENSADOR</v>
      </c>
      <c r="P2079" t="str">
        <f t="shared" si="1344"/>
        <v>0</v>
      </c>
      <c r="Q2079" t="str">
        <f t="shared" si="1344"/>
        <v>0</v>
      </c>
      <c r="R2079" t="str">
        <f t="shared" si="1345"/>
        <v>0,00</v>
      </c>
      <c r="S2079" t="str">
        <f t="shared" si="1345"/>
        <v>0,00</v>
      </c>
      <c r="T2079" t="str">
        <f t="shared" si="1319"/>
        <v xml:space="preserve"> </v>
      </c>
      <c r="U2079" t="str">
        <f t="shared" si="1342"/>
        <v xml:space="preserve"> </v>
      </c>
      <c r="V2079" t="str">
        <f>"0,000"</f>
        <v>0,000</v>
      </c>
      <c r="W2079" t="str">
        <f t="shared" si="1323"/>
        <v>Lista 4</v>
      </c>
      <c r="X2079" t="str">
        <f t="shared" si="1324"/>
        <v>Lista 5</v>
      </c>
      <c r="Y2079" t="str">
        <f t="shared" si="1325"/>
        <v>Oferta Gral.</v>
      </c>
      <c r="Z2079" t="str">
        <f t="shared" si="1326"/>
        <v>Rubro</v>
      </c>
      <c r="AA2079" t="str">
        <f t="shared" si="1327"/>
        <v>Cantidad por Bulto</v>
      </c>
      <c r="AB2079" t="str">
        <f t="shared" si="1328"/>
        <v>INNER</v>
      </c>
      <c r="AC2079" t="str">
        <f t="shared" si="1329"/>
        <v>Stock en Bultos</v>
      </c>
      <c r="AD2079" t="str">
        <f t="shared" si="1330"/>
        <v>SubDepósito</v>
      </c>
      <c r="AE2079" t="str">
        <f t="shared" si="1331"/>
        <v>Marca</v>
      </c>
      <c r="AF2079" t="str">
        <f t="shared" si="1332"/>
        <v>Super Rubro</v>
      </c>
      <c r="AG2079" t="str">
        <f t="shared" si="1333"/>
        <v>ComercioExterior</v>
      </c>
      <c r="AH2079" t="str">
        <f t="shared" si="1334"/>
        <v>PrecioFOB</v>
      </c>
      <c r="AI2079" t="str">
        <f t="shared" si="1335"/>
        <v>Monto II</v>
      </c>
      <c r="AJ2079" t="str">
        <f t="shared" si="1336"/>
        <v>Porcentaje II</v>
      </c>
      <c r="AK2079" t="str">
        <f t="shared" si="1337"/>
        <v>Foto</v>
      </c>
      <c r="AL2079" t="str">
        <f>"{\rtf1\ansi\ansicpg1252\deff0\deflang11274{\fonttbl{\f0\fnil\fcharset0 MS Sans Serif}} \viewkind4\uc1\pard\f0\fs16 JGO PLATINO RENAULT/PEUGEOT\par } "</f>
        <v xml:space="preserve">{\rtf1\ansi\ansicpg1252\deff0\deflang11274{\fonttbl{\f0\fnil\fcharset0 MS Sans Serif}} \viewkind4\uc1\pard\f0\fs16 JGO PLATINO RENAULT/PEUGEOT\par } </v>
      </c>
      <c r="AM2079" t="str">
        <f t="shared" si="1347"/>
        <v xml:space="preserve"> </v>
      </c>
    </row>
    <row r="2080" spans="1:39" x14ac:dyDescent="0.25">
      <c r="A2080" t="str">
        <f>"17V"</f>
        <v>17V</v>
      </c>
      <c r="B2080" t="str">
        <f>"JGO PLATINOS FORD FALCON/F100/CHEVROLET 400/CHEVY"</f>
        <v>JGO PLATINOS FORD FALCON/F100/CHEVROLET 400/CHEVY</v>
      </c>
      <c r="C2080" t="str">
        <f t="shared" si="1349"/>
        <v>$ 5656,07</v>
      </c>
      <c r="D2080" t="str">
        <f t="shared" si="1349"/>
        <v>$ 5656,07</v>
      </c>
      <c r="E2080" t="str">
        <f t="shared" si="1349"/>
        <v>$ 5656,07</v>
      </c>
      <c r="F2080" t="str">
        <f t="shared" si="1349"/>
        <v>$ 5656,07</v>
      </c>
      <c r="G2080" t="str">
        <f t="shared" si="1349"/>
        <v>$ 5656,07</v>
      </c>
      <c r="H2080" t="str">
        <f t="shared" si="1320"/>
        <v>$ 0,00</v>
      </c>
      <c r="I2080" t="str">
        <f>"PLATINO"</f>
        <v>PLATINO</v>
      </c>
      <c r="J2080" t="str">
        <f t="shared" si="1321"/>
        <v>1</v>
      </c>
      <c r="K2080" t="str">
        <f t="shared" si="1346"/>
        <v>0</v>
      </c>
      <c r="L2080" t="str">
        <f>"150,000"</f>
        <v>150,000</v>
      </c>
      <c r="M2080" t="str">
        <f t="shared" si="1322"/>
        <v xml:space="preserve"> </v>
      </c>
      <c r="N2080" t="str">
        <f>"EKTION"</f>
        <v>EKTION</v>
      </c>
      <c r="O2080" t="str">
        <f>"PLATINO CONDENSADOR"</f>
        <v>PLATINO CONDENSADOR</v>
      </c>
      <c r="P2080" t="str">
        <f t="shared" si="1344"/>
        <v>0</v>
      </c>
      <c r="Q2080" t="str">
        <f t="shared" si="1344"/>
        <v>0</v>
      </c>
      <c r="R2080" t="str">
        <f t="shared" si="1345"/>
        <v>0,00</v>
      </c>
      <c r="S2080" t="str">
        <f t="shared" si="1345"/>
        <v>0,00</v>
      </c>
      <c r="T2080" t="str">
        <f t="shared" si="1319"/>
        <v xml:space="preserve"> </v>
      </c>
      <c r="U2080" t="str">
        <f t="shared" si="1342"/>
        <v xml:space="preserve"> </v>
      </c>
      <c r="V2080" t="str">
        <f>"150,000"</f>
        <v>150,000</v>
      </c>
      <c r="W2080" t="str">
        <f t="shared" si="1323"/>
        <v>Lista 4</v>
      </c>
      <c r="X2080" t="str">
        <f t="shared" si="1324"/>
        <v>Lista 5</v>
      </c>
      <c r="Y2080" t="str">
        <f t="shared" si="1325"/>
        <v>Oferta Gral.</v>
      </c>
      <c r="Z2080" t="str">
        <f t="shared" si="1326"/>
        <v>Rubro</v>
      </c>
      <c r="AA2080" t="str">
        <f t="shared" si="1327"/>
        <v>Cantidad por Bulto</v>
      </c>
      <c r="AB2080" t="str">
        <f t="shared" si="1328"/>
        <v>INNER</v>
      </c>
      <c r="AC2080" t="str">
        <f t="shared" si="1329"/>
        <v>Stock en Bultos</v>
      </c>
      <c r="AD2080" t="str">
        <f t="shared" si="1330"/>
        <v>SubDepósito</v>
      </c>
      <c r="AE2080" t="str">
        <f t="shared" si="1331"/>
        <v>Marca</v>
      </c>
      <c r="AF2080" t="str">
        <f t="shared" si="1332"/>
        <v>Super Rubro</v>
      </c>
      <c r="AG2080" t="str">
        <f t="shared" si="1333"/>
        <v>ComercioExterior</v>
      </c>
      <c r="AH2080" t="str">
        <f t="shared" si="1334"/>
        <v>PrecioFOB</v>
      </c>
      <c r="AI2080" t="str">
        <f t="shared" si="1335"/>
        <v>Monto II</v>
      </c>
      <c r="AJ2080" t="str">
        <f t="shared" si="1336"/>
        <v>Porcentaje II</v>
      </c>
      <c r="AK2080" t="str">
        <f t="shared" si="1337"/>
        <v>Foto</v>
      </c>
      <c r="AL2080" t="str">
        <f>"{\rtf1\ansi\ansicpg1252\deff0\deflang11274{\fonttbl{\f0\fnil\fcharset0 MS Sans Serif}} \viewkind4\uc1\pard\f0\fs16 JGO PLATINOS FORD FALCON/F100/CHEVROLET 400/CHEVY\par } "</f>
        <v xml:space="preserve">{\rtf1\ansi\ansicpg1252\deff0\deflang11274{\fonttbl{\f0\fnil\fcharset0 MS Sans Serif}} \viewkind4\uc1\pard\f0\fs16 JGO PLATINOS FORD FALCON/F100/CHEVROLET 400/CHEVY\par } </v>
      </c>
      <c r="AM2080" t="str">
        <f t="shared" si="1347"/>
        <v xml:space="preserve"> </v>
      </c>
    </row>
    <row r="2081" spans="1:39" x14ac:dyDescent="0.25">
      <c r="A2081" t="str">
        <f>"161V"</f>
        <v>161V</v>
      </c>
      <c r="B2081" t="str">
        <f>"JGO PLATINOS VW GOL/GACEL/SENDA"</f>
        <v>JGO PLATINOS VW GOL/GACEL/SENDA</v>
      </c>
      <c r="C2081" t="str">
        <f t="shared" si="1349"/>
        <v>$ 5656,07</v>
      </c>
      <c r="D2081" t="str">
        <f t="shared" si="1349"/>
        <v>$ 5656,07</v>
      </c>
      <c r="E2081" t="str">
        <f t="shared" si="1349"/>
        <v>$ 5656,07</v>
      </c>
      <c r="F2081" t="str">
        <f t="shared" si="1349"/>
        <v>$ 5656,07</v>
      </c>
      <c r="G2081" t="str">
        <f t="shared" si="1349"/>
        <v>$ 5656,07</v>
      </c>
      <c r="H2081" t="str">
        <f t="shared" si="1320"/>
        <v>$ 0,00</v>
      </c>
      <c r="I2081" t="str">
        <f>"PLATINO"</f>
        <v>PLATINO</v>
      </c>
      <c r="J2081" t="str">
        <f t="shared" si="1321"/>
        <v>1</v>
      </c>
      <c r="K2081" t="str">
        <f t="shared" si="1346"/>
        <v>0</v>
      </c>
      <c r="L2081" t="str">
        <f>"50,000"</f>
        <v>50,000</v>
      </c>
      <c r="M2081" t="str">
        <f t="shared" si="1322"/>
        <v xml:space="preserve"> </v>
      </c>
      <c r="N2081" t="str">
        <f>"EKTION"</f>
        <v>EKTION</v>
      </c>
      <c r="O2081" t="str">
        <f>"PLATINO CONDENSADOR"</f>
        <v>PLATINO CONDENSADOR</v>
      </c>
      <c r="P2081" t="str">
        <f t="shared" si="1344"/>
        <v>0</v>
      </c>
      <c r="Q2081" t="str">
        <f t="shared" si="1344"/>
        <v>0</v>
      </c>
      <c r="R2081" t="str">
        <f t="shared" si="1345"/>
        <v>0,00</v>
      </c>
      <c r="S2081" t="str">
        <f t="shared" si="1345"/>
        <v>0,00</v>
      </c>
      <c r="T2081" t="str">
        <f t="shared" si="1319"/>
        <v xml:space="preserve"> </v>
      </c>
      <c r="U2081" t="str">
        <f t="shared" si="1342"/>
        <v xml:space="preserve"> </v>
      </c>
      <c r="V2081" t="str">
        <f>"50,000"</f>
        <v>50,000</v>
      </c>
      <c r="W2081" t="str">
        <f t="shared" si="1323"/>
        <v>Lista 4</v>
      </c>
      <c r="X2081" t="str">
        <f t="shared" si="1324"/>
        <v>Lista 5</v>
      </c>
      <c r="Y2081" t="str">
        <f t="shared" si="1325"/>
        <v>Oferta Gral.</v>
      </c>
      <c r="Z2081" t="str">
        <f t="shared" si="1326"/>
        <v>Rubro</v>
      </c>
      <c r="AA2081" t="str">
        <f t="shared" si="1327"/>
        <v>Cantidad por Bulto</v>
      </c>
      <c r="AB2081" t="str">
        <f t="shared" si="1328"/>
        <v>INNER</v>
      </c>
      <c r="AC2081" t="str">
        <f t="shared" si="1329"/>
        <v>Stock en Bultos</v>
      </c>
      <c r="AD2081" t="str">
        <f t="shared" si="1330"/>
        <v>SubDepósito</v>
      </c>
      <c r="AE2081" t="str">
        <f t="shared" si="1331"/>
        <v>Marca</v>
      </c>
      <c r="AF2081" t="str">
        <f t="shared" si="1332"/>
        <v>Super Rubro</v>
      </c>
      <c r="AG2081" t="str">
        <f t="shared" si="1333"/>
        <v>ComercioExterior</v>
      </c>
      <c r="AH2081" t="str">
        <f t="shared" si="1334"/>
        <v>PrecioFOB</v>
      </c>
      <c r="AI2081" t="str">
        <f t="shared" si="1335"/>
        <v>Monto II</v>
      </c>
      <c r="AJ2081" t="str">
        <f t="shared" si="1336"/>
        <v>Porcentaje II</v>
      </c>
      <c r="AK2081" t="str">
        <f t="shared" si="1337"/>
        <v>Foto</v>
      </c>
      <c r="AL2081" t="str">
        <f>"{\rtf1\ansi\ansicpg1252\deff0\deflang11274{\fonttbl{\f0\fnil\fcharset0 MS Sans Serif}} \viewkind4\uc1\pard\f0\fs16 JGO PLATINOS VW GOL/GACEL/SENDA\par } "</f>
        <v xml:space="preserve">{\rtf1\ansi\ansicpg1252\deff0\deflang11274{\fonttbl{\f0\fnil\fcharset0 MS Sans Serif}} \viewkind4\uc1\pard\f0\fs16 JGO PLATINOS VW GOL/GACEL/SENDA\par } </v>
      </c>
      <c r="AM2081" t="str">
        <f t="shared" si="1347"/>
        <v xml:space="preserve"> </v>
      </c>
    </row>
    <row r="2082" spans="1:39" x14ac:dyDescent="0.25">
      <c r="A2082" t="str">
        <f>"TV007"</f>
        <v>TV007</v>
      </c>
      <c r="B2082" t="str">
        <f>"JGO TAPA VALV. RUEDA CALAVERA AZUL"</f>
        <v>JGO TAPA VALV. RUEDA CALAVERA AZUL</v>
      </c>
      <c r="C2082" t="str">
        <f t="shared" ref="C2082:G2084" si="1350">"$ 4339,31"</f>
        <v>$ 4339,31</v>
      </c>
      <c r="D2082" t="str">
        <f t="shared" si="1350"/>
        <v>$ 4339,31</v>
      </c>
      <c r="E2082" t="str">
        <f t="shared" si="1350"/>
        <v>$ 4339,31</v>
      </c>
      <c r="F2082" t="str">
        <f t="shared" si="1350"/>
        <v>$ 4339,31</v>
      </c>
      <c r="G2082" t="str">
        <f t="shared" si="1350"/>
        <v>$ 4339,31</v>
      </c>
      <c r="H2082" t="str">
        <f t="shared" si="1320"/>
        <v>$ 0,00</v>
      </c>
      <c r="I2082" t="str">
        <f t="shared" ref="I2082:I2089" si="1351">"JUEGO TAPAVALVULAS RUEDA DEPORTIVAS"</f>
        <v>JUEGO TAPAVALVULAS RUEDA DEPORTIVAS</v>
      </c>
      <c r="J2082" t="str">
        <f t="shared" si="1321"/>
        <v>1</v>
      </c>
      <c r="K2082" t="str">
        <f t="shared" si="1346"/>
        <v>0</v>
      </c>
      <c r="L2082" t="str">
        <f>"185,000"</f>
        <v>185,000</v>
      </c>
      <c r="M2082" t="str">
        <f t="shared" si="1322"/>
        <v xml:space="preserve"> </v>
      </c>
      <c r="N2082" t="str">
        <f t="shared" ref="N2082:N2089" si="1352">"OREGON"</f>
        <v>OREGON</v>
      </c>
      <c r="O2082" t="str">
        <f t="shared" ref="O2082:O2089" si="1353">"TAPA VALVULAS RUEDAS DEPORTIVAS"</f>
        <v>TAPA VALVULAS RUEDAS DEPORTIVAS</v>
      </c>
      <c r="P2082" t="str">
        <f t="shared" si="1344"/>
        <v>0</v>
      </c>
      <c r="Q2082" t="str">
        <f t="shared" si="1344"/>
        <v>0</v>
      </c>
      <c r="R2082" t="str">
        <f t="shared" si="1345"/>
        <v>0,00</v>
      </c>
      <c r="S2082" t="str">
        <f t="shared" si="1345"/>
        <v>0,00</v>
      </c>
      <c r="T2082" t="str">
        <f t="shared" si="1319"/>
        <v xml:space="preserve"> </v>
      </c>
      <c r="U2082" t="str">
        <f t="shared" si="1342"/>
        <v xml:space="preserve"> </v>
      </c>
      <c r="V2082" t="str">
        <f>"185,000"</f>
        <v>185,000</v>
      </c>
      <c r="W2082" t="str">
        <f t="shared" si="1323"/>
        <v>Lista 4</v>
      </c>
      <c r="X2082" t="str">
        <f t="shared" si="1324"/>
        <v>Lista 5</v>
      </c>
      <c r="Y2082" t="str">
        <f t="shared" si="1325"/>
        <v>Oferta Gral.</v>
      </c>
      <c r="Z2082" t="str">
        <f t="shared" si="1326"/>
        <v>Rubro</v>
      </c>
      <c r="AA2082" t="str">
        <f t="shared" si="1327"/>
        <v>Cantidad por Bulto</v>
      </c>
      <c r="AB2082" t="str">
        <f t="shared" si="1328"/>
        <v>INNER</v>
      </c>
      <c r="AC2082" t="str">
        <f t="shared" si="1329"/>
        <v>Stock en Bultos</v>
      </c>
      <c r="AD2082" t="str">
        <f t="shared" si="1330"/>
        <v>SubDepósito</v>
      </c>
      <c r="AE2082" t="str">
        <f t="shared" si="1331"/>
        <v>Marca</v>
      </c>
      <c r="AF2082" t="str">
        <f t="shared" si="1332"/>
        <v>Super Rubro</v>
      </c>
      <c r="AG2082" t="str">
        <f t="shared" si="1333"/>
        <v>ComercioExterior</v>
      </c>
      <c r="AH2082" t="str">
        <f t="shared" si="1334"/>
        <v>PrecioFOB</v>
      </c>
      <c r="AI2082" t="str">
        <f t="shared" si="1335"/>
        <v>Monto II</v>
      </c>
      <c r="AJ2082" t="str">
        <f t="shared" si="1336"/>
        <v>Porcentaje II</v>
      </c>
      <c r="AK2082" t="str">
        <f t="shared" si="1337"/>
        <v>Foto</v>
      </c>
      <c r="AL2082" t="str">
        <f>"{\rtf1\ansi\ansicpg1252\deff0\deflang11274{\fonttbl{\f0\fnil\fcharset0 MS Sans Serif}} \viewkind4\uc1\pard\f0\fs16 JGO TAPA VALV. RUEDA CALAVERA AZUL\par } "</f>
        <v xml:space="preserve">{\rtf1\ansi\ansicpg1252\deff0\deflang11274{\fonttbl{\f0\fnil\fcharset0 MS Sans Serif}} \viewkind4\uc1\pard\f0\fs16 JGO TAPA VALV. RUEDA CALAVERA AZUL\par } </v>
      </c>
      <c r="AM2082" t="str">
        <f t="shared" si="1347"/>
        <v xml:space="preserve"> </v>
      </c>
    </row>
    <row r="2083" spans="1:39" x14ac:dyDescent="0.25">
      <c r="A2083" t="str">
        <f>"TV006"</f>
        <v>TV006</v>
      </c>
      <c r="B2083" t="str">
        <f>"JGO TAPA VALV. RUEDA CALAVERA PLATEADO"</f>
        <v>JGO TAPA VALV. RUEDA CALAVERA PLATEADO</v>
      </c>
      <c r="C2083" t="str">
        <f t="shared" si="1350"/>
        <v>$ 4339,31</v>
      </c>
      <c r="D2083" t="str">
        <f t="shared" si="1350"/>
        <v>$ 4339,31</v>
      </c>
      <c r="E2083" t="str">
        <f t="shared" si="1350"/>
        <v>$ 4339,31</v>
      </c>
      <c r="F2083" t="str">
        <f t="shared" si="1350"/>
        <v>$ 4339,31</v>
      </c>
      <c r="G2083" t="str">
        <f t="shared" si="1350"/>
        <v>$ 4339,31</v>
      </c>
      <c r="H2083" t="str">
        <f t="shared" si="1320"/>
        <v>$ 0,00</v>
      </c>
      <c r="I2083" t="str">
        <f t="shared" si="1351"/>
        <v>JUEGO TAPAVALVULAS RUEDA DEPORTIVAS</v>
      </c>
      <c r="J2083" t="str">
        <f t="shared" si="1321"/>
        <v>1</v>
      </c>
      <c r="K2083" t="str">
        <f t="shared" si="1346"/>
        <v>0</v>
      </c>
      <c r="L2083" t="str">
        <f>"174,000"</f>
        <v>174,000</v>
      </c>
      <c r="M2083" t="str">
        <f t="shared" si="1322"/>
        <v xml:space="preserve"> </v>
      </c>
      <c r="N2083" t="str">
        <f t="shared" si="1352"/>
        <v>OREGON</v>
      </c>
      <c r="O2083" t="str">
        <f t="shared" si="1353"/>
        <v>TAPA VALVULAS RUEDAS DEPORTIVAS</v>
      </c>
      <c r="P2083" t="str">
        <f t="shared" ref="P2083:Q2102" si="1354">"0"</f>
        <v>0</v>
      </c>
      <c r="Q2083" t="str">
        <f t="shared" si="1354"/>
        <v>0</v>
      </c>
      <c r="R2083" t="str">
        <f t="shared" ref="R2083:S2102" si="1355">"0,00"</f>
        <v>0,00</v>
      </c>
      <c r="S2083" t="str">
        <f t="shared" si="1355"/>
        <v>0,00</v>
      </c>
      <c r="T2083" t="str">
        <f t="shared" si="1319"/>
        <v xml:space="preserve"> </v>
      </c>
      <c r="U2083" t="str">
        <f t="shared" si="1342"/>
        <v xml:space="preserve"> </v>
      </c>
      <c r="V2083" t="str">
        <f>"174,000"</f>
        <v>174,000</v>
      </c>
      <c r="W2083" t="str">
        <f t="shared" si="1323"/>
        <v>Lista 4</v>
      </c>
      <c r="X2083" t="str">
        <f t="shared" si="1324"/>
        <v>Lista 5</v>
      </c>
      <c r="Y2083" t="str">
        <f t="shared" si="1325"/>
        <v>Oferta Gral.</v>
      </c>
      <c r="Z2083" t="str">
        <f t="shared" si="1326"/>
        <v>Rubro</v>
      </c>
      <c r="AA2083" t="str">
        <f t="shared" si="1327"/>
        <v>Cantidad por Bulto</v>
      </c>
      <c r="AB2083" t="str">
        <f t="shared" si="1328"/>
        <v>INNER</v>
      </c>
      <c r="AC2083" t="str">
        <f t="shared" si="1329"/>
        <v>Stock en Bultos</v>
      </c>
      <c r="AD2083" t="str">
        <f t="shared" si="1330"/>
        <v>SubDepósito</v>
      </c>
      <c r="AE2083" t="str">
        <f t="shared" si="1331"/>
        <v>Marca</v>
      </c>
      <c r="AF2083" t="str">
        <f t="shared" si="1332"/>
        <v>Super Rubro</v>
      </c>
      <c r="AG2083" t="str">
        <f t="shared" si="1333"/>
        <v>ComercioExterior</v>
      </c>
      <c r="AH2083" t="str">
        <f t="shared" si="1334"/>
        <v>PrecioFOB</v>
      </c>
      <c r="AI2083" t="str">
        <f t="shared" si="1335"/>
        <v>Monto II</v>
      </c>
      <c r="AJ2083" t="str">
        <f t="shared" si="1336"/>
        <v>Porcentaje II</v>
      </c>
      <c r="AK2083" t="str">
        <f t="shared" si="1337"/>
        <v>Foto</v>
      </c>
      <c r="AL2083" t="str">
        <f>"{\rtf1\ansi\ansicpg1252\deff0\deflang11274{\fonttbl{\f0\fnil\fcharset0 MS Sans Serif}} \viewkind4\uc1\pard\f0\fs16 JGO TAPA VALV. RUEDA CALAVERA PLATEADO\par } "</f>
        <v xml:space="preserve">{\rtf1\ansi\ansicpg1252\deff0\deflang11274{\fonttbl{\f0\fnil\fcharset0 MS Sans Serif}} \viewkind4\uc1\pard\f0\fs16 JGO TAPA VALV. RUEDA CALAVERA PLATEADO\par } </v>
      </c>
      <c r="AM2083" t="str">
        <f>"-"</f>
        <v>-</v>
      </c>
    </row>
    <row r="2084" spans="1:39" x14ac:dyDescent="0.25">
      <c r="A2084" t="str">
        <f>"TV008"</f>
        <v>TV008</v>
      </c>
      <c r="B2084" t="str">
        <f>"JGO TAPA VALV. RUEDA CALAVERA ROJO"</f>
        <v>JGO TAPA VALV. RUEDA CALAVERA ROJO</v>
      </c>
      <c r="C2084" t="str">
        <f t="shared" si="1350"/>
        <v>$ 4339,31</v>
      </c>
      <c r="D2084" t="str">
        <f t="shared" si="1350"/>
        <v>$ 4339,31</v>
      </c>
      <c r="E2084" t="str">
        <f t="shared" si="1350"/>
        <v>$ 4339,31</v>
      </c>
      <c r="F2084" t="str">
        <f t="shared" si="1350"/>
        <v>$ 4339,31</v>
      </c>
      <c r="G2084" t="str">
        <f t="shared" si="1350"/>
        <v>$ 4339,31</v>
      </c>
      <c r="H2084" t="str">
        <f t="shared" si="1320"/>
        <v>$ 0,00</v>
      </c>
      <c r="I2084" t="str">
        <f t="shared" si="1351"/>
        <v>JUEGO TAPAVALVULAS RUEDA DEPORTIVAS</v>
      </c>
      <c r="J2084" t="str">
        <f t="shared" si="1321"/>
        <v>1</v>
      </c>
      <c r="K2084" t="str">
        <f t="shared" si="1346"/>
        <v>0</v>
      </c>
      <c r="L2084" t="str">
        <f>"191,000"</f>
        <v>191,000</v>
      </c>
      <c r="M2084" t="str">
        <f t="shared" si="1322"/>
        <v xml:space="preserve"> </v>
      </c>
      <c r="N2084" t="str">
        <f t="shared" si="1352"/>
        <v>OREGON</v>
      </c>
      <c r="O2084" t="str">
        <f t="shared" si="1353"/>
        <v>TAPA VALVULAS RUEDAS DEPORTIVAS</v>
      </c>
      <c r="P2084" t="str">
        <f t="shared" si="1354"/>
        <v>0</v>
      </c>
      <c r="Q2084" t="str">
        <f t="shared" si="1354"/>
        <v>0</v>
      </c>
      <c r="R2084" t="str">
        <f t="shared" si="1355"/>
        <v>0,00</v>
      </c>
      <c r="S2084" t="str">
        <f t="shared" si="1355"/>
        <v>0,00</v>
      </c>
      <c r="T2084" t="str">
        <f t="shared" si="1319"/>
        <v xml:space="preserve"> </v>
      </c>
      <c r="U2084" t="str">
        <f t="shared" si="1342"/>
        <v xml:space="preserve"> </v>
      </c>
      <c r="V2084" t="str">
        <f>"191,000"</f>
        <v>191,000</v>
      </c>
      <c r="W2084" t="str">
        <f t="shared" si="1323"/>
        <v>Lista 4</v>
      </c>
      <c r="X2084" t="str">
        <f t="shared" si="1324"/>
        <v>Lista 5</v>
      </c>
      <c r="Y2084" t="str">
        <f t="shared" si="1325"/>
        <v>Oferta Gral.</v>
      </c>
      <c r="Z2084" t="str">
        <f t="shared" si="1326"/>
        <v>Rubro</v>
      </c>
      <c r="AA2084" t="str">
        <f t="shared" si="1327"/>
        <v>Cantidad por Bulto</v>
      </c>
      <c r="AB2084" t="str">
        <f t="shared" si="1328"/>
        <v>INNER</v>
      </c>
      <c r="AC2084" t="str">
        <f t="shared" si="1329"/>
        <v>Stock en Bultos</v>
      </c>
      <c r="AD2084" t="str">
        <f t="shared" si="1330"/>
        <v>SubDepósito</v>
      </c>
      <c r="AE2084" t="str">
        <f t="shared" si="1331"/>
        <v>Marca</v>
      </c>
      <c r="AF2084" t="str">
        <f t="shared" si="1332"/>
        <v>Super Rubro</v>
      </c>
      <c r="AG2084" t="str">
        <f t="shared" si="1333"/>
        <v>ComercioExterior</v>
      </c>
      <c r="AH2084" t="str">
        <f t="shared" si="1334"/>
        <v>PrecioFOB</v>
      </c>
      <c r="AI2084" t="str">
        <f t="shared" si="1335"/>
        <v>Monto II</v>
      </c>
      <c r="AJ2084" t="str">
        <f t="shared" si="1336"/>
        <v>Porcentaje II</v>
      </c>
      <c r="AK2084" t="str">
        <f t="shared" si="1337"/>
        <v>Foto</v>
      </c>
      <c r="AL2084" t="str">
        <f>"{\rtf1\ansi\ansicpg1252\deff0\deflang11274{\fonttbl{\f0\fnil\fcharset0 MS Sans Serif}} \viewkind4\uc1\pard\f0\fs16 JGO TAPA VALV. RUEDA CALAVERA ROJO\par \par } "</f>
        <v xml:space="preserve">{\rtf1\ansi\ansicpg1252\deff0\deflang11274{\fonttbl{\f0\fnil\fcharset0 MS Sans Serif}} \viewkind4\uc1\pard\f0\fs16 JGO TAPA VALV. RUEDA CALAVERA ROJO\par \par } </v>
      </c>
      <c r="AM2084" t="str">
        <f t="shared" ref="AM2084:AM2094" si="1356">" "</f>
        <v xml:space="preserve"> </v>
      </c>
    </row>
    <row r="2085" spans="1:39" x14ac:dyDescent="0.25">
      <c r="A2085" t="str">
        <f>"TV005"</f>
        <v>TV005</v>
      </c>
      <c r="B2085" t="str">
        <f>"JGO TAPA VALV. RUEDA DEP. CALAVERA NEGRA"</f>
        <v>JGO TAPA VALV. RUEDA DEP. CALAVERA NEGRA</v>
      </c>
      <c r="C2085" t="str">
        <f>"$ 4634,95"</f>
        <v>$ 4634,95</v>
      </c>
      <c r="D2085" t="str">
        <f>"$ 4634,95"</f>
        <v>$ 4634,95</v>
      </c>
      <c r="E2085" t="str">
        <f>"$ 4634,95"</f>
        <v>$ 4634,95</v>
      </c>
      <c r="F2085" t="str">
        <f>"$ 4634,95"</f>
        <v>$ 4634,95</v>
      </c>
      <c r="G2085" t="str">
        <f>"$ 4634,95"</f>
        <v>$ 4634,95</v>
      </c>
      <c r="H2085" t="str">
        <f t="shared" si="1320"/>
        <v>$ 0,00</v>
      </c>
      <c r="I2085" t="str">
        <f t="shared" si="1351"/>
        <v>JUEGO TAPAVALVULAS RUEDA DEPORTIVAS</v>
      </c>
      <c r="J2085" t="str">
        <f t="shared" si="1321"/>
        <v>1</v>
      </c>
      <c r="K2085" t="str">
        <f t="shared" si="1346"/>
        <v>0</v>
      </c>
      <c r="L2085" t="str">
        <f>"178,000"</f>
        <v>178,000</v>
      </c>
      <c r="M2085" t="str">
        <f t="shared" si="1322"/>
        <v xml:space="preserve"> </v>
      </c>
      <c r="N2085" t="str">
        <f t="shared" si="1352"/>
        <v>OREGON</v>
      </c>
      <c r="O2085" t="str">
        <f t="shared" si="1353"/>
        <v>TAPA VALVULAS RUEDAS DEPORTIVAS</v>
      </c>
      <c r="P2085" t="str">
        <f t="shared" si="1354"/>
        <v>0</v>
      </c>
      <c r="Q2085" t="str">
        <f t="shared" si="1354"/>
        <v>0</v>
      </c>
      <c r="R2085" t="str">
        <f t="shared" si="1355"/>
        <v>0,00</v>
      </c>
      <c r="S2085" t="str">
        <f t="shared" si="1355"/>
        <v>0,00</v>
      </c>
      <c r="T2085" t="str">
        <f t="shared" si="1319"/>
        <v xml:space="preserve"> </v>
      </c>
      <c r="U2085" t="str">
        <f t="shared" si="1342"/>
        <v xml:space="preserve"> </v>
      </c>
      <c r="V2085" t="str">
        <f>"178,000"</f>
        <v>178,000</v>
      </c>
      <c r="W2085" t="str">
        <f t="shared" si="1323"/>
        <v>Lista 4</v>
      </c>
      <c r="X2085" t="str">
        <f t="shared" si="1324"/>
        <v>Lista 5</v>
      </c>
      <c r="Y2085" t="str">
        <f t="shared" si="1325"/>
        <v>Oferta Gral.</v>
      </c>
      <c r="Z2085" t="str">
        <f t="shared" si="1326"/>
        <v>Rubro</v>
      </c>
      <c r="AA2085" t="str">
        <f t="shared" si="1327"/>
        <v>Cantidad por Bulto</v>
      </c>
      <c r="AB2085" t="str">
        <f t="shared" si="1328"/>
        <v>INNER</v>
      </c>
      <c r="AC2085" t="str">
        <f t="shared" si="1329"/>
        <v>Stock en Bultos</v>
      </c>
      <c r="AD2085" t="str">
        <f t="shared" si="1330"/>
        <v>SubDepósito</v>
      </c>
      <c r="AE2085" t="str">
        <f t="shared" si="1331"/>
        <v>Marca</v>
      </c>
      <c r="AF2085" t="str">
        <f t="shared" si="1332"/>
        <v>Super Rubro</v>
      </c>
      <c r="AG2085" t="str">
        <f t="shared" si="1333"/>
        <v>ComercioExterior</v>
      </c>
      <c r="AH2085" t="str">
        <f t="shared" si="1334"/>
        <v>PrecioFOB</v>
      </c>
      <c r="AI2085" t="str">
        <f t="shared" si="1335"/>
        <v>Monto II</v>
      </c>
      <c r="AJ2085" t="str">
        <f t="shared" si="1336"/>
        <v>Porcentaje II</v>
      </c>
      <c r="AK2085" t="str">
        <f t="shared" si="1337"/>
        <v>Foto</v>
      </c>
      <c r="AL2085" t="str">
        <f>"{\rtf1\ansi\ansicpg1252\deff0\deflang11274{\fonttbl{\f0\fnil\fcharset0 MS Sans Serif}} \viewkind4\uc1\pard\f0\fs16 JGO RETEN V`c1LVULA RENAULT\par } "</f>
        <v xml:space="preserve">{\rtf1\ansi\ansicpg1252\deff0\deflang11274{\fonttbl{\f0\fnil\fcharset0 MS Sans Serif}} \viewkind4\uc1\pard\f0\fs16 JGO RETEN V`c1LVULA RENAULT\par } </v>
      </c>
      <c r="AM2085" t="str">
        <f t="shared" si="1356"/>
        <v xml:space="preserve"> </v>
      </c>
    </row>
    <row r="2086" spans="1:39" x14ac:dyDescent="0.25">
      <c r="A2086" t="str">
        <f>"TV003"</f>
        <v>TV003</v>
      </c>
      <c r="B2086" t="str">
        <f>"JGO TAPA VALV. RUEDA DEP. METALIZADA AZUL"</f>
        <v>JGO TAPA VALV. RUEDA DEP. METALIZADA AZUL</v>
      </c>
      <c r="C2086" t="str">
        <f>"$ 2723,95"</f>
        <v>$ 2723,95</v>
      </c>
      <c r="D2086" t="str">
        <f>"$ 2723,95"</f>
        <v>$ 2723,95</v>
      </c>
      <c r="E2086" t="str">
        <f>"$ 2723,95"</f>
        <v>$ 2723,95</v>
      </c>
      <c r="F2086" t="str">
        <f>"$ 2723,95"</f>
        <v>$ 2723,95</v>
      </c>
      <c r="G2086" t="str">
        <f>"$ 2723,95"</f>
        <v>$ 2723,95</v>
      </c>
      <c r="H2086" t="str">
        <f t="shared" si="1320"/>
        <v>$ 0,00</v>
      </c>
      <c r="I2086" t="str">
        <f t="shared" si="1351"/>
        <v>JUEGO TAPAVALVULAS RUEDA DEPORTIVAS</v>
      </c>
      <c r="J2086" t="str">
        <f t="shared" si="1321"/>
        <v>1</v>
      </c>
      <c r="K2086" t="str">
        <f t="shared" si="1346"/>
        <v>0</v>
      </c>
      <c r="L2086" t="str">
        <f>"37,000"</f>
        <v>37,000</v>
      </c>
      <c r="M2086" t="str">
        <f t="shared" si="1322"/>
        <v xml:space="preserve"> </v>
      </c>
      <c r="N2086" t="str">
        <f t="shared" si="1352"/>
        <v>OREGON</v>
      </c>
      <c r="O2086" t="str">
        <f t="shared" si="1353"/>
        <v>TAPA VALVULAS RUEDAS DEPORTIVAS</v>
      </c>
      <c r="P2086" t="str">
        <f t="shared" si="1354"/>
        <v>0</v>
      </c>
      <c r="Q2086" t="str">
        <f t="shared" si="1354"/>
        <v>0</v>
      </c>
      <c r="R2086" t="str">
        <f t="shared" si="1355"/>
        <v>0,00</v>
      </c>
      <c r="S2086" t="str">
        <f t="shared" si="1355"/>
        <v>0,00</v>
      </c>
      <c r="T2086" t="str">
        <f t="shared" si="1319"/>
        <v xml:space="preserve"> </v>
      </c>
      <c r="U2086" t="str">
        <f t="shared" si="1342"/>
        <v xml:space="preserve"> </v>
      </c>
      <c r="V2086" t="str">
        <f>"37,000"</f>
        <v>37,000</v>
      </c>
      <c r="W2086" t="str">
        <f t="shared" si="1323"/>
        <v>Lista 4</v>
      </c>
      <c r="X2086" t="str">
        <f t="shared" si="1324"/>
        <v>Lista 5</v>
      </c>
      <c r="Y2086" t="str">
        <f t="shared" si="1325"/>
        <v>Oferta Gral.</v>
      </c>
      <c r="Z2086" t="str">
        <f t="shared" si="1326"/>
        <v>Rubro</v>
      </c>
      <c r="AA2086" t="str">
        <f t="shared" si="1327"/>
        <v>Cantidad por Bulto</v>
      </c>
      <c r="AB2086" t="str">
        <f t="shared" si="1328"/>
        <v>INNER</v>
      </c>
      <c r="AC2086" t="str">
        <f t="shared" si="1329"/>
        <v>Stock en Bultos</v>
      </c>
      <c r="AD2086" t="str">
        <f t="shared" si="1330"/>
        <v>SubDepósito</v>
      </c>
      <c r="AE2086" t="str">
        <f t="shared" si="1331"/>
        <v>Marca</v>
      </c>
      <c r="AF2086" t="str">
        <f t="shared" si="1332"/>
        <v>Super Rubro</v>
      </c>
      <c r="AG2086" t="str">
        <f t="shared" si="1333"/>
        <v>ComercioExterior</v>
      </c>
      <c r="AH2086" t="str">
        <f t="shared" si="1334"/>
        <v>PrecioFOB</v>
      </c>
      <c r="AI2086" t="str">
        <f t="shared" si="1335"/>
        <v>Monto II</v>
      </c>
      <c r="AJ2086" t="str">
        <f t="shared" si="1336"/>
        <v>Porcentaje II</v>
      </c>
      <c r="AK2086" t="str">
        <f t="shared" si="1337"/>
        <v>Foto</v>
      </c>
      <c r="AL2086" t="str">
        <f>"{\rtf1\ansi\ansicpg1252\deff0\deflang11274{\fonttbl{\f0\fnil\fcharset0 MS Sans Serif}} \viewkind4\uc1\pard\f0\fs16 JGO TAPA VALV. RUEDA DEP. METALIZADA AZUL\par \par } "</f>
        <v xml:space="preserve">{\rtf1\ansi\ansicpg1252\deff0\deflang11274{\fonttbl{\f0\fnil\fcharset0 MS Sans Serif}} \viewkind4\uc1\pard\f0\fs16 JGO TAPA VALV. RUEDA DEP. METALIZADA AZUL\par \par } </v>
      </c>
      <c r="AM2086" t="str">
        <f t="shared" si="1356"/>
        <v xml:space="preserve"> </v>
      </c>
    </row>
    <row r="2087" spans="1:39" x14ac:dyDescent="0.25">
      <c r="A2087" t="str">
        <f>"TV002"</f>
        <v>TV002</v>
      </c>
      <c r="B2087" t="str">
        <f>"JGO TAPA VALV. RUEDA DEP. METALIZADA PLATEADA"</f>
        <v>JGO TAPA VALV. RUEDA DEP. METALIZADA PLATEADA</v>
      </c>
      <c r="C2087" t="str">
        <f t="shared" ref="C2087:G2089" si="1357">"$ 2745,07"</f>
        <v>$ 2745,07</v>
      </c>
      <c r="D2087" t="str">
        <f t="shared" si="1357"/>
        <v>$ 2745,07</v>
      </c>
      <c r="E2087" t="str">
        <f t="shared" si="1357"/>
        <v>$ 2745,07</v>
      </c>
      <c r="F2087" t="str">
        <f t="shared" si="1357"/>
        <v>$ 2745,07</v>
      </c>
      <c r="G2087" t="str">
        <f t="shared" si="1357"/>
        <v>$ 2745,07</v>
      </c>
      <c r="H2087" t="str">
        <f t="shared" si="1320"/>
        <v>$ 0,00</v>
      </c>
      <c r="I2087" t="str">
        <f t="shared" si="1351"/>
        <v>JUEGO TAPAVALVULAS RUEDA DEPORTIVAS</v>
      </c>
      <c r="J2087" t="str">
        <f t="shared" si="1321"/>
        <v>1</v>
      </c>
      <c r="K2087" t="str">
        <f t="shared" si="1346"/>
        <v>0</v>
      </c>
      <c r="L2087" t="str">
        <f>"149,000"</f>
        <v>149,000</v>
      </c>
      <c r="M2087" t="str">
        <f t="shared" si="1322"/>
        <v xml:space="preserve"> </v>
      </c>
      <c r="N2087" t="str">
        <f t="shared" si="1352"/>
        <v>OREGON</v>
      </c>
      <c r="O2087" t="str">
        <f t="shared" si="1353"/>
        <v>TAPA VALVULAS RUEDAS DEPORTIVAS</v>
      </c>
      <c r="P2087" t="str">
        <f t="shared" si="1354"/>
        <v>0</v>
      </c>
      <c r="Q2087" t="str">
        <f t="shared" si="1354"/>
        <v>0</v>
      </c>
      <c r="R2087" t="str">
        <f t="shared" si="1355"/>
        <v>0,00</v>
      </c>
      <c r="S2087" t="str">
        <f t="shared" si="1355"/>
        <v>0,00</v>
      </c>
      <c r="T2087" t="str">
        <f t="shared" si="1319"/>
        <v xml:space="preserve"> </v>
      </c>
      <c r="U2087" t="str">
        <f t="shared" si="1342"/>
        <v xml:space="preserve"> </v>
      </c>
      <c r="V2087" t="str">
        <f>"149,000"</f>
        <v>149,000</v>
      </c>
      <c r="W2087" t="str">
        <f t="shared" si="1323"/>
        <v>Lista 4</v>
      </c>
      <c r="X2087" t="str">
        <f t="shared" si="1324"/>
        <v>Lista 5</v>
      </c>
      <c r="Y2087" t="str">
        <f t="shared" si="1325"/>
        <v>Oferta Gral.</v>
      </c>
      <c r="Z2087" t="str">
        <f t="shared" si="1326"/>
        <v>Rubro</v>
      </c>
      <c r="AA2087" t="str">
        <f t="shared" si="1327"/>
        <v>Cantidad por Bulto</v>
      </c>
      <c r="AB2087" t="str">
        <f t="shared" si="1328"/>
        <v>INNER</v>
      </c>
      <c r="AC2087" t="str">
        <f t="shared" si="1329"/>
        <v>Stock en Bultos</v>
      </c>
      <c r="AD2087" t="str">
        <f t="shared" si="1330"/>
        <v>SubDepósito</v>
      </c>
      <c r="AE2087" t="str">
        <f t="shared" si="1331"/>
        <v>Marca</v>
      </c>
      <c r="AF2087" t="str">
        <f t="shared" si="1332"/>
        <v>Super Rubro</v>
      </c>
      <c r="AG2087" t="str">
        <f t="shared" si="1333"/>
        <v>ComercioExterior</v>
      </c>
      <c r="AH2087" t="str">
        <f t="shared" si="1334"/>
        <v>PrecioFOB</v>
      </c>
      <c r="AI2087" t="str">
        <f t="shared" si="1335"/>
        <v>Monto II</v>
      </c>
      <c r="AJ2087" t="str">
        <f t="shared" si="1336"/>
        <v>Porcentaje II</v>
      </c>
      <c r="AK2087" t="str">
        <f t="shared" si="1337"/>
        <v>Foto</v>
      </c>
      <c r="AL2087" t="str">
        <f>"{\rtf1\ansi\ansicpg1252\deff0\deflang11274{\fonttbl{\f0\fnil\fcharset0 MS Sans Serif}} \viewkind4\uc1\pard\f0\fs16 JGO TAPA VALV. RUEDA DEP. METALIZADA PLATEADA\par } "</f>
        <v xml:space="preserve">{\rtf1\ansi\ansicpg1252\deff0\deflang11274{\fonttbl{\f0\fnil\fcharset0 MS Sans Serif}} \viewkind4\uc1\pard\f0\fs16 JGO TAPA VALV. RUEDA DEP. METALIZADA PLATEADA\par } </v>
      </c>
      <c r="AM2087" t="str">
        <f t="shared" si="1356"/>
        <v xml:space="preserve"> </v>
      </c>
    </row>
    <row r="2088" spans="1:39" x14ac:dyDescent="0.25">
      <c r="A2088" t="str">
        <f>"TV004"</f>
        <v>TV004</v>
      </c>
      <c r="B2088" t="str">
        <f>"JGO TAPA VALV. RUEDA DEP. METALIZADA ROJO"</f>
        <v>JGO TAPA VALV. RUEDA DEP. METALIZADA ROJO</v>
      </c>
      <c r="C2088" t="str">
        <f t="shared" si="1357"/>
        <v>$ 2745,07</v>
      </c>
      <c r="D2088" t="str">
        <f t="shared" si="1357"/>
        <v>$ 2745,07</v>
      </c>
      <c r="E2088" t="str">
        <f t="shared" si="1357"/>
        <v>$ 2745,07</v>
      </c>
      <c r="F2088" t="str">
        <f t="shared" si="1357"/>
        <v>$ 2745,07</v>
      </c>
      <c r="G2088" t="str">
        <f t="shared" si="1357"/>
        <v>$ 2745,07</v>
      </c>
      <c r="H2088" t="str">
        <f t="shared" si="1320"/>
        <v>$ 0,00</v>
      </c>
      <c r="I2088" t="str">
        <f t="shared" si="1351"/>
        <v>JUEGO TAPAVALVULAS RUEDA DEPORTIVAS</v>
      </c>
      <c r="J2088" t="str">
        <f t="shared" si="1321"/>
        <v>1</v>
      </c>
      <c r="K2088" t="str">
        <f t="shared" si="1346"/>
        <v>0</v>
      </c>
      <c r="L2088" t="str">
        <f>"154,000"</f>
        <v>154,000</v>
      </c>
      <c r="M2088" t="str">
        <f t="shared" si="1322"/>
        <v xml:space="preserve"> </v>
      </c>
      <c r="N2088" t="str">
        <f t="shared" si="1352"/>
        <v>OREGON</v>
      </c>
      <c r="O2088" t="str">
        <f t="shared" si="1353"/>
        <v>TAPA VALVULAS RUEDAS DEPORTIVAS</v>
      </c>
      <c r="P2088" t="str">
        <f t="shared" si="1354"/>
        <v>0</v>
      </c>
      <c r="Q2088" t="str">
        <f t="shared" si="1354"/>
        <v>0</v>
      </c>
      <c r="R2088" t="str">
        <f t="shared" si="1355"/>
        <v>0,00</v>
      </c>
      <c r="S2088" t="str">
        <f t="shared" si="1355"/>
        <v>0,00</v>
      </c>
      <c r="T2088" t="str">
        <f t="shared" si="1319"/>
        <v xml:space="preserve"> </v>
      </c>
      <c r="U2088" t="str">
        <f t="shared" si="1342"/>
        <v xml:space="preserve"> </v>
      </c>
      <c r="V2088" t="str">
        <f>"154,000"</f>
        <v>154,000</v>
      </c>
      <c r="W2088" t="str">
        <f t="shared" si="1323"/>
        <v>Lista 4</v>
      </c>
      <c r="X2088" t="str">
        <f t="shared" si="1324"/>
        <v>Lista 5</v>
      </c>
      <c r="Y2088" t="str">
        <f t="shared" si="1325"/>
        <v>Oferta Gral.</v>
      </c>
      <c r="Z2088" t="str">
        <f t="shared" si="1326"/>
        <v>Rubro</v>
      </c>
      <c r="AA2088" t="str">
        <f t="shared" si="1327"/>
        <v>Cantidad por Bulto</v>
      </c>
      <c r="AB2088" t="str">
        <f t="shared" si="1328"/>
        <v>INNER</v>
      </c>
      <c r="AC2088" t="str">
        <f t="shared" si="1329"/>
        <v>Stock en Bultos</v>
      </c>
      <c r="AD2088" t="str">
        <f t="shared" si="1330"/>
        <v>SubDepósito</v>
      </c>
      <c r="AE2088" t="str">
        <f t="shared" si="1331"/>
        <v>Marca</v>
      </c>
      <c r="AF2088" t="str">
        <f t="shared" si="1332"/>
        <v>Super Rubro</v>
      </c>
      <c r="AG2088" t="str">
        <f t="shared" si="1333"/>
        <v>ComercioExterior</v>
      </c>
      <c r="AH2088" t="str">
        <f t="shared" si="1334"/>
        <v>PrecioFOB</v>
      </c>
      <c r="AI2088" t="str">
        <f t="shared" si="1335"/>
        <v>Monto II</v>
      </c>
      <c r="AJ2088" t="str">
        <f t="shared" si="1336"/>
        <v>Porcentaje II</v>
      </c>
      <c r="AK2088" t="str">
        <f t="shared" si="1337"/>
        <v>Foto</v>
      </c>
      <c r="AL2088" t="str">
        <f>"{\rtf1\ansi\ansicpg1252\deff0\deflang11274{\fonttbl{\f0\fnil\fcharset0 MS Sans Serif}} \viewkind4\uc1\pard\f0\fs16 JGO TAPA VALV. RUEDA DEP. METALIZADA ROJO\par } "</f>
        <v xml:space="preserve">{\rtf1\ansi\ansicpg1252\deff0\deflang11274{\fonttbl{\f0\fnil\fcharset0 MS Sans Serif}} \viewkind4\uc1\pard\f0\fs16 JGO TAPA VALV. RUEDA DEP. METALIZADA ROJO\par } </v>
      </c>
      <c r="AM2088" t="str">
        <f t="shared" si="1356"/>
        <v xml:space="preserve"> </v>
      </c>
    </row>
    <row r="2089" spans="1:39" x14ac:dyDescent="0.25">
      <c r="A2089" t="str">
        <f>"TV001"</f>
        <v>TV001</v>
      </c>
      <c r="B2089" t="str">
        <f>"JGO TAPAS VALV. RUEDA DEP. METALIZADA NEGRA"</f>
        <v>JGO TAPAS VALV. RUEDA DEP. METALIZADA NEGRA</v>
      </c>
      <c r="C2089" t="str">
        <f t="shared" si="1357"/>
        <v>$ 2745,07</v>
      </c>
      <c r="D2089" t="str">
        <f t="shared" si="1357"/>
        <v>$ 2745,07</v>
      </c>
      <c r="E2089" t="str">
        <f t="shared" si="1357"/>
        <v>$ 2745,07</v>
      </c>
      <c r="F2089" t="str">
        <f t="shared" si="1357"/>
        <v>$ 2745,07</v>
      </c>
      <c r="G2089" t="str">
        <f t="shared" si="1357"/>
        <v>$ 2745,07</v>
      </c>
      <c r="H2089" t="str">
        <f t="shared" si="1320"/>
        <v>$ 0,00</v>
      </c>
      <c r="I2089" t="str">
        <f t="shared" si="1351"/>
        <v>JUEGO TAPAVALVULAS RUEDA DEPORTIVAS</v>
      </c>
      <c r="J2089" t="str">
        <f t="shared" si="1321"/>
        <v>1</v>
      </c>
      <c r="K2089" t="str">
        <f t="shared" si="1346"/>
        <v>0</v>
      </c>
      <c r="L2089" t="str">
        <f>"145,000"</f>
        <v>145,000</v>
      </c>
      <c r="M2089" t="str">
        <f t="shared" si="1322"/>
        <v xml:space="preserve"> </v>
      </c>
      <c r="N2089" t="str">
        <f t="shared" si="1352"/>
        <v>OREGON</v>
      </c>
      <c r="O2089" t="str">
        <f t="shared" si="1353"/>
        <v>TAPA VALVULAS RUEDAS DEPORTIVAS</v>
      </c>
      <c r="P2089" t="str">
        <f t="shared" si="1354"/>
        <v>0</v>
      </c>
      <c r="Q2089" t="str">
        <f t="shared" si="1354"/>
        <v>0</v>
      </c>
      <c r="R2089" t="str">
        <f t="shared" si="1355"/>
        <v>0,00</v>
      </c>
      <c r="S2089" t="str">
        <f t="shared" si="1355"/>
        <v>0,00</v>
      </c>
      <c r="T2089" t="str">
        <f t="shared" si="1319"/>
        <v xml:space="preserve"> </v>
      </c>
      <c r="U2089" t="str">
        <f t="shared" si="1342"/>
        <v xml:space="preserve"> </v>
      </c>
      <c r="V2089" t="str">
        <f>"145,000"</f>
        <v>145,000</v>
      </c>
      <c r="W2089" t="str">
        <f t="shared" si="1323"/>
        <v>Lista 4</v>
      </c>
      <c r="X2089" t="str">
        <f t="shared" si="1324"/>
        <v>Lista 5</v>
      </c>
      <c r="Y2089" t="str">
        <f t="shared" si="1325"/>
        <v>Oferta Gral.</v>
      </c>
      <c r="Z2089" t="str">
        <f t="shared" si="1326"/>
        <v>Rubro</v>
      </c>
      <c r="AA2089" t="str">
        <f t="shared" si="1327"/>
        <v>Cantidad por Bulto</v>
      </c>
      <c r="AB2089" t="str">
        <f t="shared" si="1328"/>
        <v>INNER</v>
      </c>
      <c r="AC2089" t="str">
        <f t="shared" si="1329"/>
        <v>Stock en Bultos</v>
      </c>
      <c r="AD2089" t="str">
        <f t="shared" si="1330"/>
        <v>SubDepósito</v>
      </c>
      <c r="AE2089" t="str">
        <f t="shared" si="1331"/>
        <v>Marca</v>
      </c>
      <c r="AF2089" t="str">
        <f t="shared" si="1332"/>
        <v>Super Rubro</v>
      </c>
      <c r="AG2089" t="str">
        <f t="shared" si="1333"/>
        <v>ComercioExterior</v>
      </c>
      <c r="AH2089" t="str">
        <f t="shared" si="1334"/>
        <v>PrecioFOB</v>
      </c>
      <c r="AI2089" t="str">
        <f t="shared" si="1335"/>
        <v>Monto II</v>
      </c>
      <c r="AJ2089" t="str">
        <f t="shared" si="1336"/>
        <v>Porcentaje II</v>
      </c>
      <c r="AK2089" t="str">
        <f t="shared" si="1337"/>
        <v>Foto</v>
      </c>
      <c r="AL2089" t="str">
        <f>"{\rtf1\ansi\ansicpg1252\deff0\deflang11274{\fonttbl{\f0\fnil\fcharset0 MS Sans Serif}} \viewkind4\uc1\pard\f0\fs16 JGO TAPAS VALV. RUEDA DEP. METALIZADA NEGRA\par } "</f>
        <v xml:space="preserve">{\rtf1\ansi\ansicpg1252\deff0\deflang11274{\fonttbl{\f0\fnil\fcharset0 MS Sans Serif}} \viewkind4\uc1\pard\f0\fs16 JGO TAPAS VALV. RUEDA DEP. METALIZADA NEGRA\par } </v>
      </c>
      <c r="AM2089" t="str">
        <f t="shared" si="1356"/>
        <v xml:space="preserve"> </v>
      </c>
    </row>
    <row r="2090" spans="1:39" x14ac:dyDescent="0.25">
      <c r="A2090" t="str">
        <f>"02-01799"</f>
        <v>02-01799</v>
      </c>
      <c r="B2090" t="str">
        <f>"JGO. CABLES BUJIAS ASTRA 1.8/2.0 8 V"</f>
        <v>JGO. CABLES BUJIAS ASTRA 1.8/2.0 8 V</v>
      </c>
      <c r="C2090" t="str">
        <f>"$ 29337,27"</f>
        <v>$ 29337,27</v>
      </c>
      <c r="D2090" t="str">
        <f>"$ 29337,27"</f>
        <v>$ 29337,27</v>
      </c>
      <c r="E2090" t="str">
        <f>"$ 29337,27"</f>
        <v>$ 29337,27</v>
      </c>
      <c r="F2090" t="str">
        <f>"$ 29337,27"</f>
        <v>$ 29337,27</v>
      </c>
      <c r="G2090" t="str">
        <f>"$ 29337,27"</f>
        <v>$ 29337,27</v>
      </c>
      <c r="H2090" t="str">
        <f t="shared" si="1320"/>
        <v>$ 0,00</v>
      </c>
      <c r="I2090" t="str">
        <f>"CABLES BUJÍAS SILICONA ANTIPARASITARIOS"</f>
        <v>CABLES BUJÍAS SILICONA ANTIPARASITARIOS</v>
      </c>
      <c r="J2090" t="str">
        <f t="shared" si="1321"/>
        <v>1</v>
      </c>
      <c r="K2090" t="str">
        <f t="shared" si="1346"/>
        <v>0</v>
      </c>
      <c r="L2090" t="str">
        <f>"15,000"</f>
        <v>15,000</v>
      </c>
      <c r="M2090" t="str">
        <f t="shared" si="1322"/>
        <v xml:space="preserve"> </v>
      </c>
      <c r="N2090" t="str">
        <f>"FERRAZZI"</f>
        <v>FERRAZZI</v>
      </c>
      <c r="O2090" t="str">
        <f t="shared" ref="O2090:O2121" si="1358">"CABLES"</f>
        <v>CABLES</v>
      </c>
      <c r="P2090" t="str">
        <f t="shared" si="1354"/>
        <v>0</v>
      </c>
      <c r="Q2090" t="str">
        <f t="shared" si="1354"/>
        <v>0</v>
      </c>
      <c r="R2090" t="str">
        <f t="shared" si="1355"/>
        <v>0,00</v>
      </c>
      <c r="S2090" t="str">
        <f t="shared" si="1355"/>
        <v>0,00</v>
      </c>
      <c r="T2090" t="str">
        <f t="shared" si="1319"/>
        <v xml:space="preserve"> </v>
      </c>
      <c r="U2090" t="str">
        <f t="shared" si="1342"/>
        <v xml:space="preserve"> </v>
      </c>
      <c r="V2090" t="str">
        <f>"15,000"</f>
        <v>15,000</v>
      </c>
      <c r="W2090" t="str">
        <f t="shared" si="1323"/>
        <v>Lista 4</v>
      </c>
      <c r="X2090" t="str">
        <f t="shared" si="1324"/>
        <v>Lista 5</v>
      </c>
      <c r="Y2090" t="str">
        <f t="shared" si="1325"/>
        <v>Oferta Gral.</v>
      </c>
      <c r="Z2090" t="str">
        <f t="shared" si="1326"/>
        <v>Rubro</v>
      </c>
      <c r="AA2090" t="str">
        <f t="shared" si="1327"/>
        <v>Cantidad por Bulto</v>
      </c>
      <c r="AB2090" t="str">
        <f t="shared" si="1328"/>
        <v>INNER</v>
      </c>
      <c r="AC2090" t="str">
        <f t="shared" si="1329"/>
        <v>Stock en Bultos</v>
      </c>
      <c r="AD2090" t="str">
        <f t="shared" si="1330"/>
        <v>SubDepósito</v>
      </c>
      <c r="AE2090" t="str">
        <f t="shared" si="1331"/>
        <v>Marca</v>
      </c>
      <c r="AF2090" t="str">
        <f t="shared" si="1332"/>
        <v>Super Rubro</v>
      </c>
      <c r="AG2090" t="str">
        <f t="shared" si="1333"/>
        <v>ComercioExterior</v>
      </c>
      <c r="AH2090" t="str">
        <f t="shared" si="1334"/>
        <v>PrecioFOB</v>
      </c>
      <c r="AI2090" t="str">
        <f t="shared" si="1335"/>
        <v>Monto II</v>
      </c>
      <c r="AJ2090" t="str">
        <f t="shared" si="1336"/>
        <v>Porcentaje II</v>
      </c>
      <c r="AK2090" t="str">
        <f t="shared" si="1337"/>
        <v>Foto</v>
      </c>
      <c r="AL2090" t="str">
        <f>"{\rtf1\ansi\ansicpg1252\deff0\deflang11274{\fonttbl{\f0\fnil\fcharset0 MS Sans Serif}} \viewkind4\uc1\pard\f0\fs16 JGO. CABLES BUJIAS ASTRA 1.8/2.0 8 V\par } "</f>
        <v xml:space="preserve">{\rtf1\ansi\ansicpg1252\deff0\deflang11274{\fonttbl{\f0\fnil\fcharset0 MS Sans Serif}} \viewkind4\uc1\pard\f0\fs16 JGO. CABLES BUJIAS ASTRA 1.8/2.0 8 V\par } </v>
      </c>
      <c r="AM2090" t="str">
        <f t="shared" si="1356"/>
        <v xml:space="preserve"> </v>
      </c>
    </row>
    <row r="2091" spans="1:39" x14ac:dyDescent="0.25">
      <c r="A2091" t="str">
        <f>"04-01779"</f>
        <v>04-01779</v>
      </c>
      <c r="B2091" t="str">
        <f>"JGO. CABLES BUJIAS FORD KA 1.3"</f>
        <v>JGO. CABLES BUJIAS FORD KA 1.3</v>
      </c>
      <c r="C2091" t="str">
        <f>"$ 25330,34"</f>
        <v>$ 25330,34</v>
      </c>
      <c r="D2091" t="str">
        <f>"$ 25330,34"</f>
        <v>$ 25330,34</v>
      </c>
      <c r="E2091" t="str">
        <f>"$ 25330,34"</f>
        <v>$ 25330,34</v>
      </c>
      <c r="F2091" t="str">
        <f>"$ 25330,34"</f>
        <v>$ 25330,34</v>
      </c>
      <c r="G2091" t="str">
        <f>"$ 25330,34"</f>
        <v>$ 25330,34</v>
      </c>
      <c r="H2091" t="str">
        <f t="shared" si="1320"/>
        <v>$ 0,00</v>
      </c>
      <c r="I2091" t="str">
        <f>"CABLES BUJÍAS SILICONA ANTIPARASITARIOS"</f>
        <v>CABLES BUJÍAS SILICONA ANTIPARASITARIOS</v>
      </c>
      <c r="J2091" t="str">
        <f t="shared" si="1321"/>
        <v>1</v>
      </c>
      <c r="K2091" t="str">
        <f t="shared" si="1346"/>
        <v>0</v>
      </c>
      <c r="L2091" t="str">
        <f>"17,000"</f>
        <v>17,000</v>
      </c>
      <c r="M2091" t="str">
        <f t="shared" si="1322"/>
        <v xml:space="preserve"> </v>
      </c>
      <c r="N2091" t="str">
        <f>"FERRAZZI"</f>
        <v>FERRAZZI</v>
      </c>
      <c r="O2091" t="str">
        <f t="shared" si="1358"/>
        <v>CABLES</v>
      </c>
      <c r="P2091" t="str">
        <f t="shared" si="1354"/>
        <v>0</v>
      </c>
      <c r="Q2091" t="str">
        <f t="shared" si="1354"/>
        <v>0</v>
      </c>
      <c r="R2091" t="str">
        <f t="shared" si="1355"/>
        <v>0,00</v>
      </c>
      <c r="S2091" t="str">
        <f t="shared" si="1355"/>
        <v>0,00</v>
      </c>
      <c r="T2091" t="str">
        <f t="shared" si="1319"/>
        <v xml:space="preserve"> </v>
      </c>
      <c r="U2091" t="str">
        <f t="shared" si="1342"/>
        <v xml:space="preserve"> </v>
      </c>
      <c r="V2091" t="str">
        <f>"17,000"</f>
        <v>17,000</v>
      </c>
      <c r="W2091" t="str">
        <f t="shared" si="1323"/>
        <v>Lista 4</v>
      </c>
      <c r="X2091" t="str">
        <f t="shared" si="1324"/>
        <v>Lista 5</v>
      </c>
      <c r="Y2091" t="str">
        <f t="shared" si="1325"/>
        <v>Oferta Gral.</v>
      </c>
      <c r="Z2091" t="str">
        <f t="shared" si="1326"/>
        <v>Rubro</v>
      </c>
      <c r="AA2091" t="str">
        <f t="shared" si="1327"/>
        <v>Cantidad por Bulto</v>
      </c>
      <c r="AB2091" t="str">
        <f t="shared" si="1328"/>
        <v>INNER</v>
      </c>
      <c r="AC2091" t="str">
        <f t="shared" si="1329"/>
        <v>Stock en Bultos</v>
      </c>
      <c r="AD2091" t="str">
        <f t="shared" si="1330"/>
        <v>SubDepósito</v>
      </c>
      <c r="AE2091" t="str">
        <f t="shared" si="1331"/>
        <v>Marca</v>
      </c>
      <c r="AF2091" t="str">
        <f t="shared" si="1332"/>
        <v>Super Rubro</v>
      </c>
      <c r="AG2091" t="str">
        <f t="shared" si="1333"/>
        <v>ComercioExterior</v>
      </c>
      <c r="AH2091" t="str">
        <f t="shared" si="1334"/>
        <v>PrecioFOB</v>
      </c>
      <c r="AI2091" t="str">
        <f t="shared" si="1335"/>
        <v>Monto II</v>
      </c>
      <c r="AJ2091" t="str">
        <f t="shared" si="1336"/>
        <v>Porcentaje II</v>
      </c>
      <c r="AK2091" t="str">
        <f t="shared" si="1337"/>
        <v>Foto</v>
      </c>
      <c r="AL2091" t="str">
        <f>"{\rtf1\ansi\ansicpg1252\deff0\deflang11274{\fonttbl{\f0\fnil\fcharset0 MS Sans Serif}} \viewkind4\uc1\pard\f0\fs16 JGO. CABLES BUJIAS FORD KA 1.3\par \par } "</f>
        <v xml:space="preserve">{\rtf1\ansi\ansicpg1252\deff0\deflang11274{\fonttbl{\f0\fnil\fcharset0 MS Sans Serif}} \viewkind4\uc1\pard\f0\fs16 JGO. CABLES BUJIAS FORD KA 1.3\par \par } </v>
      </c>
      <c r="AM2091" t="str">
        <f t="shared" si="1356"/>
        <v xml:space="preserve"> </v>
      </c>
    </row>
    <row r="2092" spans="1:39" x14ac:dyDescent="0.25">
      <c r="A2092" t="str">
        <f>"CO4026"</f>
        <v>CO4026</v>
      </c>
      <c r="B2092" t="str">
        <f>"JGO. CABLES BUJIAS GOL MI 1.6/1.8/2.0 CAP. CHAPA"</f>
        <v>JGO. CABLES BUJIAS GOL MI 1.6/1.8/2.0 CAP. CHAPA</v>
      </c>
      <c r="C2092" t="str">
        <f>"$ 43539,76"</f>
        <v>$ 43539,76</v>
      </c>
      <c r="D2092" t="str">
        <f>"$ 43539,76"</f>
        <v>$ 43539,76</v>
      </c>
      <c r="E2092" t="str">
        <f>"$ 43539,76"</f>
        <v>$ 43539,76</v>
      </c>
      <c r="F2092" t="str">
        <f>"$ 43539,76"</f>
        <v>$ 43539,76</v>
      </c>
      <c r="G2092" t="str">
        <f>"$ 43539,76"</f>
        <v>$ 43539,76</v>
      </c>
      <c r="H2092" t="str">
        <f t="shared" si="1320"/>
        <v>$ 0,00</v>
      </c>
      <c r="I2092" t="str">
        <f>"CABLES BUJÍAS SILICONA ANTIPARASITARIOS"</f>
        <v>CABLES BUJÍAS SILICONA ANTIPARASITARIOS</v>
      </c>
      <c r="J2092" t="str">
        <f t="shared" si="1321"/>
        <v>1</v>
      </c>
      <c r="K2092" t="str">
        <f t="shared" si="1346"/>
        <v>0</v>
      </c>
      <c r="L2092" t="str">
        <f>"5,000"</f>
        <v>5,000</v>
      </c>
      <c r="M2092" t="str">
        <f t="shared" si="1322"/>
        <v xml:space="preserve"> </v>
      </c>
      <c r="N2092" t="str">
        <f>"CADIC"</f>
        <v>CADIC</v>
      </c>
      <c r="O2092" t="str">
        <f t="shared" si="1358"/>
        <v>CABLES</v>
      </c>
      <c r="P2092" t="str">
        <f t="shared" si="1354"/>
        <v>0</v>
      </c>
      <c r="Q2092" t="str">
        <f t="shared" si="1354"/>
        <v>0</v>
      </c>
      <c r="R2092" t="str">
        <f t="shared" si="1355"/>
        <v>0,00</v>
      </c>
      <c r="S2092" t="str">
        <f t="shared" si="1355"/>
        <v>0,00</v>
      </c>
      <c r="T2092" t="str">
        <f t="shared" si="1319"/>
        <v xml:space="preserve"> </v>
      </c>
      <c r="U2092" t="str">
        <f t="shared" si="1342"/>
        <v xml:space="preserve"> </v>
      </c>
      <c r="V2092" t="str">
        <f>"5,000"</f>
        <v>5,000</v>
      </c>
      <c r="W2092" t="str">
        <f t="shared" si="1323"/>
        <v>Lista 4</v>
      </c>
      <c r="X2092" t="str">
        <f t="shared" si="1324"/>
        <v>Lista 5</v>
      </c>
      <c r="Y2092" t="str">
        <f t="shared" si="1325"/>
        <v>Oferta Gral.</v>
      </c>
      <c r="Z2092" t="str">
        <f t="shared" si="1326"/>
        <v>Rubro</v>
      </c>
      <c r="AA2092" t="str">
        <f t="shared" si="1327"/>
        <v>Cantidad por Bulto</v>
      </c>
      <c r="AB2092" t="str">
        <f t="shared" si="1328"/>
        <v>INNER</v>
      </c>
      <c r="AC2092" t="str">
        <f t="shared" si="1329"/>
        <v>Stock en Bultos</v>
      </c>
      <c r="AD2092" t="str">
        <f t="shared" si="1330"/>
        <v>SubDepósito</v>
      </c>
      <c r="AE2092" t="str">
        <f t="shared" si="1331"/>
        <v>Marca</v>
      </c>
      <c r="AF2092" t="str">
        <f t="shared" si="1332"/>
        <v>Super Rubro</v>
      </c>
      <c r="AG2092" t="str">
        <f t="shared" si="1333"/>
        <v>ComercioExterior</v>
      </c>
      <c r="AH2092" t="str">
        <f t="shared" si="1334"/>
        <v>PrecioFOB</v>
      </c>
      <c r="AI2092" t="str">
        <f t="shared" si="1335"/>
        <v>Monto II</v>
      </c>
      <c r="AJ2092" t="str">
        <f t="shared" si="1336"/>
        <v>Porcentaje II</v>
      </c>
      <c r="AK2092" t="str">
        <f t="shared" si="1337"/>
        <v>Foto</v>
      </c>
      <c r="AL2092" t="str">
        <f>"{\rtf1\ansi\ansicpg1252\deff0\deflang11274{\fonttbl{\f0\fnil\fcharset0 MS Sans Serif}} \viewkind4\uc1\pard\f0\fs16 JGO. CABLES BUJIAS GOL MI 1.6/1.8/2.0 CAP. CHAPA\par } "</f>
        <v xml:space="preserve">{\rtf1\ansi\ansicpg1252\deff0\deflang11274{\fonttbl{\f0\fnil\fcharset0 MS Sans Serif}} \viewkind4\uc1\pard\f0\fs16 JGO. CABLES BUJIAS GOL MI 1.6/1.8/2.0 CAP. CHAPA\par } </v>
      </c>
      <c r="AM2092" t="str">
        <f t="shared" si="1356"/>
        <v xml:space="preserve"> </v>
      </c>
    </row>
    <row r="2093" spans="1:39" x14ac:dyDescent="0.25">
      <c r="A2093" t="str">
        <f>"06-01730"</f>
        <v>06-01730</v>
      </c>
      <c r="B2093" t="str">
        <f>"JGO. CABLES BUJIAS LOGAN SANDERO K7M SILICONA"</f>
        <v>JGO. CABLES BUJIAS LOGAN SANDERO K7M SILICONA</v>
      </c>
      <c r="C2093" t="str">
        <f>"$ 19061,88"</f>
        <v>$ 19061,88</v>
      </c>
      <c r="D2093" t="str">
        <f>"$ 19061,88"</f>
        <v>$ 19061,88</v>
      </c>
      <c r="E2093" t="str">
        <f>"$ 19061,88"</f>
        <v>$ 19061,88</v>
      </c>
      <c r="F2093" t="str">
        <f>"$ 19061,88"</f>
        <v>$ 19061,88</v>
      </c>
      <c r="G2093" t="str">
        <f>"$ 19061,88"</f>
        <v>$ 19061,88</v>
      </c>
      <c r="H2093" t="str">
        <f t="shared" si="1320"/>
        <v>$ 0,00</v>
      </c>
      <c r="I2093" t="str">
        <f>"CABLES BUJÍAS SILICONA ANTIPARASITARIOS"</f>
        <v>CABLES BUJÍAS SILICONA ANTIPARASITARIOS</v>
      </c>
      <c r="J2093" t="str">
        <f t="shared" si="1321"/>
        <v>1</v>
      </c>
      <c r="K2093" t="str">
        <f t="shared" si="1346"/>
        <v>0</v>
      </c>
      <c r="L2093" t="str">
        <f>"56,000"</f>
        <v>56,000</v>
      </c>
      <c r="M2093" t="str">
        <f t="shared" si="1322"/>
        <v xml:space="preserve"> </v>
      </c>
      <c r="N2093" t="str">
        <f t="shared" ref="N2093:N2124" si="1359">"FERRAZZI"</f>
        <v>FERRAZZI</v>
      </c>
      <c r="O2093" t="str">
        <f t="shared" si="1358"/>
        <v>CABLES</v>
      </c>
      <c r="P2093" t="str">
        <f t="shared" si="1354"/>
        <v>0</v>
      </c>
      <c r="Q2093" t="str">
        <f t="shared" si="1354"/>
        <v>0</v>
      </c>
      <c r="R2093" t="str">
        <f t="shared" si="1355"/>
        <v>0,00</v>
      </c>
      <c r="S2093" t="str">
        <f t="shared" si="1355"/>
        <v>0,00</v>
      </c>
      <c r="T2093" t="str">
        <f t="shared" si="1319"/>
        <v xml:space="preserve"> </v>
      </c>
      <c r="U2093" t="str">
        <f t="shared" si="1342"/>
        <v xml:space="preserve"> </v>
      </c>
      <c r="V2093" t="str">
        <f>"56,000"</f>
        <v>56,000</v>
      </c>
      <c r="W2093" t="str">
        <f t="shared" si="1323"/>
        <v>Lista 4</v>
      </c>
      <c r="X2093" t="str">
        <f t="shared" si="1324"/>
        <v>Lista 5</v>
      </c>
      <c r="Y2093" t="str">
        <f t="shared" si="1325"/>
        <v>Oferta Gral.</v>
      </c>
      <c r="Z2093" t="str">
        <f t="shared" si="1326"/>
        <v>Rubro</v>
      </c>
      <c r="AA2093" t="str">
        <f t="shared" si="1327"/>
        <v>Cantidad por Bulto</v>
      </c>
      <c r="AB2093" t="str">
        <f t="shared" si="1328"/>
        <v>INNER</v>
      </c>
      <c r="AC2093" t="str">
        <f t="shared" si="1329"/>
        <v>Stock en Bultos</v>
      </c>
      <c r="AD2093" t="str">
        <f t="shared" si="1330"/>
        <v>SubDepósito</v>
      </c>
      <c r="AE2093" t="str">
        <f t="shared" si="1331"/>
        <v>Marca</v>
      </c>
      <c r="AF2093" t="str">
        <f t="shared" si="1332"/>
        <v>Super Rubro</v>
      </c>
      <c r="AG2093" t="str">
        <f t="shared" si="1333"/>
        <v>ComercioExterior</v>
      </c>
      <c r="AH2093" t="str">
        <f t="shared" si="1334"/>
        <v>PrecioFOB</v>
      </c>
      <c r="AI2093" t="str">
        <f t="shared" si="1335"/>
        <v>Monto II</v>
      </c>
      <c r="AJ2093" t="str">
        <f t="shared" si="1336"/>
        <v>Porcentaje II</v>
      </c>
      <c r="AK2093" t="str">
        <f t="shared" si="1337"/>
        <v>Foto</v>
      </c>
      <c r="AL2093" t="str">
        <f>"{\rtf1\ansi\ansicpg1252\deff0\deflang11274{\fonttbl{\f0\fnil\fcharset0 MS Sans Serif}} \viewkind4\uc1\pard\f0\fs16 JGO. CABLES BUJIAS LOGAN SANDERO K7M SILICONA\par } "</f>
        <v xml:space="preserve">{\rtf1\ansi\ansicpg1252\deff0\deflang11274{\fonttbl{\f0\fnil\fcharset0 MS Sans Serif}} \viewkind4\uc1\pard\f0\fs16 JGO. CABLES BUJIAS LOGAN SANDERO K7M SILICONA\par } </v>
      </c>
      <c r="AM2093" t="str">
        <f t="shared" si="1356"/>
        <v xml:space="preserve"> </v>
      </c>
    </row>
    <row r="2094" spans="1:39" x14ac:dyDescent="0.25">
      <c r="A2094" t="str">
        <f>"02-01719"</f>
        <v>02-01719</v>
      </c>
      <c r="B2094" t="str">
        <f>"JGO. CABLES BUJIAS MONZA/IPANEMA SILICONA"</f>
        <v>JGO. CABLES BUJIAS MONZA/IPANEMA SILICONA</v>
      </c>
      <c r="C2094" t="str">
        <f>"$ 26277,59"</f>
        <v>$ 26277,59</v>
      </c>
      <c r="D2094" t="str">
        <f>"$ 26277,59"</f>
        <v>$ 26277,59</v>
      </c>
      <c r="E2094" t="str">
        <f>"$ 26277,59"</f>
        <v>$ 26277,59</v>
      </c>
      <c r="F2094" t="str">
        <f>"$ 26277,59"</f>
        <v>$ 26277,59</v>
      </c>
      <c r="G2094" t="str">
        <f>"$ 26277,59"</f>
        <v>$ 26277,59</v>
      </c>
      <c r="H2094" t="str">
        <f t="shared" si="1320"/>
        <v>$ 0,00</v>
      </c>
      <c r="I2094" t="str">
        <f>"CABLES BUJÍAS SILICONA ANTIPARASITARIOS"</f>
        <v>CABLES BUJÍAS SILICONA ANTIPARASITARIOS</v>
      </c>
      <c r="J2094" t="str">
        <f t="shared" si="1321"/>
        <v>1</v>
      </c>
      <c r="K2094" t="str">
        <f t="shared" si="1346"/>
        <v>0</v>
      </c>
      <c r="L2094" t="str">
        <f>"0,000"</f>
        <v>0,000</v>
      </c>
      <c r="M2094" t="str">
        <f t="shared" si="1322"/>
        <v xml:space="preserve"> </v>
      </c>
      <c r="N2094" t="str">
        <f t="shared" si="1359"/>
        <v>FERRAZZI</v>
      </c>
      <c r="O2094" t="str">
        <f t="shared" si="1358"/>
        <v>CABLES</v>
      </c>
      <c r="P2094" t="str">
        <f t="shared" si="1354"/>
        <v>0</v>
      </c>
      <c r="Q2094" t="str">
        <f t="shared" si="1354"/>
        <v>0</v>
      </c>
      <c r="R2094" t="str">
        <f t="shared" si="1355"/>
        <v>0,00</v>
      </c>
      <c r="S2094" t="str">
        <f t="shared" si="1355"/>
        <v>0,00</v>
      </c>
      <c r="T2094" t="str">
        <f t="shared" si="1319"/>
        <v xml:space="preserve"> </v>
      </c>
      <c r="U2094" t="str">
        <f t="shared" si="1342"/>
        <v xml:space="preserve"> </v>
      </c>
      <c r="V2094" t="str">
        <f>"0,000"</f>
        <v>0,000</v>
      </c>
      <c r="W2094" t="str">
        <f t="shared" si="1323"/>
        <v>Lista 4</v>
      </c>
      <c r="X2094" t="str">
        <f t="shared" si="1324"/>
        <v>Lista 5</v>
      </c>
      <c r="Y2094" t="str">
        <f t="shared" si="1325"/>
        <v>Oferta Gral.</v>
      </c>
      <c r="Z2094" t="str">
        <f t="shared" si="1326"/>
        <v>Rubro</v>
      </c>
      <c r="AA2094" t="str">
        <f t="shared" si="1327"/>
        <v>Cantidad por Bulto</v>
      </c>
      <c r="AB2094" t="str">
        <f t="shared" si="1328"/>
        <v>INNER</v>
      </c>
      <c r="AC2094" t="str">
        <f t="shared" si="1329"/>
        <v>Stock en Bultos</v>
      </c>
      <c r="AD2094" t="str">
        <f t="shared" si="1330"/>
        <v>SubDepósito</v>
      </c>
      <c r="AE2094" t="str">
        <f t="shared" si="1331"/>
        <v>Marca</v>
      </c>
      <c r="AF2094" t="str">
        <f t="shared" si="1332"/>
        <v>Super Rubro</v>
      </c>
      <c r="AG2094" t="str">
        <f t="shared" si="1333"/>
        <v>ComercioExterior</v>
      </c>
      <c r="AH2094" t="str">
        <f t="shared" si="1334"/>
        <v>PrecioFOB</v>
      </c>
      <c r="AI2094" t="str">
        <f t="shared" si="1335"/>
        <v>Monto II</v>
      </c>
      <c r="AJ2094" t="str">
        <f t="shared" si="1336"/>
        <v>Porcentaje II</v>
      </c>
      <c r="AK2094" t="str">
        <f t="shared" si="1337"/>
        <v>Foto</v>
      </c>
      <c r="AL2094" t="str">
        <f>"{\rtf1\ansi\ansicpg1252\deff0\deflang11274{\fonttbl{\f0\fnil\fcharset0 MS Sans Serif}} \viewkind4\uc1\pard\f0\fs16 JGO. CABLES BUJIAS MONZA/IPANEMA SILICONA\par } "</f>
        <v xml:space="preserve">{\rtf1\ansi\ansicpg1252\deff0\deflang11274{\fonttbl{\f0\fnil\fcharset0 MS Sans Serif}} \viewkind4\uc1\pard\f0\fs16 JGO. CABLES BUJIAS MONZA/IPANEMA SILICONA\par } </v>
      </c>
      <c r="AM2094" t="str">
        <f t="shared" si="1356"/>
        <v xml:space="preserve"> </v>
      </c>
    </row>
    <row r="2095" spans="1:39" x14ac:dyDescent="0.25">
      <c r="A2095" t="str">
        <f>"06-33094"</f>
        <v>06-33094</v>
      </c>
      <c r="B2095" t="str">
        <f>"JGO. CABLES BUJÍAS  9 - 19  BOBINA SECA  LARGA 110CM"</f>
        <v>JGO. CABLES BUJÍAS  9 - 19  BOBINA SECA  LARGA 110CM</v>
      </c>
      <c r="C2095" t="str">
        <f>"$ 12003,05"</f>
        <v>$ 12003,05</v>
      </c>
      <c r="D2095" t="str">
        <f>"$ 12003,05"</f>
        <v>$ 12003,05</v>
      </c>
      <c r="E2095" t="str">
        <f>"$ 12003,05"</f>
        <v>$ 12003,05</v>
      </c>
      <c r="F2095" t="str">
        <f>"$ 12003,05"</f>
        <v>$ 12003,05</v>
      </c>
      <c r="G2095" t="str">
        <f>"$ 12003,05"</f>
        <v>$ 12003,05</v>
      </c>
      <c r="H2095" t="str">
        <f t="shared" si="1320"/>
        <v>$ 0,00</v>
      </c>
      <c r="I2095" t="str">
        <f>"CABLES BUJÍAS PVC ANTIPARASITARIOS"</f>
        <v>CABLES BUJÍAS PVC ANTIPARASITARIOS</v>
      </c>
      <c r="J2095" t="str">
        <f t="shared" si="1321"/>
        <v>1</v>
      </c>
      <c r="K2095" t="str">
        <f t="shared" si="1346"/>
        <v>0</v>
      </c>
      <c r="L2095" t="str">
        <f>"70,000"</f>
        <v>70,000</v>
      </c>
      <c r="M2095" t="str">
        <f t="shared" si="1322"/>
        <v xml:space="preserve"> </v>
      </c>
      <c r="N2095" t="str">
        <f t="shared" si="1359"/>
        <v>FERRAZZI</v>
      </c>
      <c r="O2095" t="str">
        <f t="shared" si="1358"/>
        <v>CABLES</v>
      </c>
      <c r="P2095" t="str">
        <f t="shared" si="1354"/>
        <v>0</v>
      </c>
      <c r="Q2095" t="str">
        <f t="shared" si="1354"/>
        <v>0</v>
      </c>
      <c r="R2095" t="str">
        <f t="shared" si="1355"/>
        <v>0,00</v>
      </c>
      <c r="S2095" t="str">
        <f t="shared" si="1355"/>
        <v>0,00</v>
      </c>
      <c r="T2095" t="str">
        <f t="shared" si="1319"/>
        <v xml:space="preserve"> </v>
      </c>
      <c r="U2095" t="str">
        <f t="shared" si="1342"/>
        <v xml:space="preserve"> </v>
      </c>
      <c r="V2095" t="str">
        <f>"70,000"</f>
        <v>70,000</v>
      </c>
      <c r="W2095" t="str">
        <f t="shared" si="1323"/>
        <v>Lista 4</v>
      </c>
      <c r="X2095" t="str">
        <f t="shared" si="1324"/>
        <v>Lista 5</v>
      </c>
      <c r="Y2095" t="str">
        <f t="shared" si="1325"/>
        <v>Oferta Gral.</v>
      </c>
      <c r="Z2095" t="str">
        <f t="shared" si="1326"/>
        <v>Rubro</v>
      </c>
      <c r="AA2095" t="str">
        <f t="shared" si="1327"/>
        <v>Cantidad por Bulto</v>
      </c>
      <c r="AB2095" t="str">
        <f t="shared" si="1328"/>
        <v>INNER</v>
      </c>
      <c r="AC2095" t="str">
        <f t="shared" si="1329"/>
        <v>Stock en Bultos</v>
      </c>
      <c r="AD2095" t="str">
        <f t="shared" si="1330"/>
        <v>SubDepósito</v>
      </c>
      <c r="AE2095" t="str">
        <f t="shared" si="1331"/>
        <v>Marca</v>
      </c>
      <c r="AF2095" t="str">
        <f t="shared" si="1332"/>
        <v>Super Rubro</v>
      </c>
      <c r="AG2095" t="str">
        <f t="shared" si="1333"/>
        <v>ComercioExterior</v>
      </c>
      <c r="AH2095" t="str">
        <f t="shared" si="1334"/>
        <v>PrecioFOB</v>
      </c>
      <c r="AI2095" t="str">
        <f t="shared" si="1335"/>
        <v>Monto II</v>
      </c>
      <c r="AJ2095" t="str">
        <f t="shared" si="1336"/>
        <v>Porcentaje II</v>
      </c>
      <c r="AK2095" t="str">
        <f t="shared" si="1337"/>
        <v>Foto</v>
      </c>
      <c r="AL2095" t="str">
        <f>"{\rtf1\ansi\ansicpg1252\deff0\deflang11274{\fonttbl{\f0\fnil\fcharset0 MS Sans Serif}} \viewkind4\uc1\pard\f0\fs16 JGO. CABLES BUJ\'cdAS  9 - 19  BOBINA SECA  LARGA 110CM\par } "</f>
        <v xml:space="preserve">{\rtf1\ansi\ansicpg1252\deff0\deflang11274{\fonttbl{\f0\fnil\fcharset0 MS Sans Serif}} \viewkind4\uc1\pard\f0\fs16 JGO. CABLES BUJ\'cdAS  9 - 19  BOBINA SECA  LARGA 110CM\par } </v>
      </c>
      <c r="AM2095" t="str">
        <f t="shared" ref="AM2095:AM2125" si="1360">"-"</f>
        <v>-</v>
      </c>
    </row>
    <row r="2096" spans="1:39" x14ac:dyDescent="0.25">
      <c r="A2096" t="str">
        <f>"03-00203"</f>
        <v>03-00203</v>
      </c>
      <c r="B2096" t="str">
        <f>"JGO. CABLES BUJÍAS  COMPET. 9MM VW GOL/SAVEIRO 96/97 ENC MOTORCRAFT"</f>
        <v>JGO. CABLES BUJÍAS  COMPET. 9MM VW GOL/SAVEIRO 96/97 ENC MOTORCRAFT</v>
      </c>
      <c r="C2096" t="str">
        <f>"$ 49334,40"</f>
        <v>$ 49334,40</v>
      </c>
      <c r="D2096" t="str">
        <f>"$ 49334,40"</f>
        <v>$ 49334,40</v>
      </c>
      <c r="E2096" t="str">
        <f>"$ 49334,40"</f>
        <v>$ 49334,40</v>
      </c>
      <c r="F2096" t="str">
        <f>"$ 49334,40"</f>
        <v>$ 49334,40</v>
      </c>
      <c r="G2096" t="str">
        <f>"$ 49334,40"</f>
        <v>$ 49334,40</v>
      </c>
      <c r="H2096" t="str">
        <f t="shared" si="1320"/>
        <v>$ 0,00</v>
      </c>
      <c r="I2096" t="str">
        <f>"CABLES BUJÍAS COMPETICION 9MM"</f>
        <v>CABLES BUJÍAS COMPETICION 9MM</v>
      </c>
      <c r="J2096" t="str">
        <f t="shared" si="1321"/>
        <v>1</v>
      </c>
      <c r="K2096" t="str">
        <f t="shared" si="1346"/>
        <v>0</v>
      </c>
      <c r="L2096" t="str">
        <f>"5,000"</f>
        <v>5,000</v>
      </c>
      <c r="M2096" t="str">
        <f t="shared" si="1322"/>
        <v xml:space="preserve"> </v>
      </c>
      <c r="N2096" t="str">
        <f t="shared" si="1359"/>
        <v>FERRAZZI</v>
      </c>
      <c r="O2096" t="str">
        <f t="shared" si="1358"/>
        <v>CABLES</v>
      </c>
      <c r="P2096" t="str">
        <f t="shared" si="1354"/>
        <v>0</v>
      </c>
      <c r="Q2096" t="str">
        <f t="shared" si="1354"/>
        <v>0</v>
      </c>
      <c r="R2096" t="str">
        <f t="shared" si="1355"/>
        <v>0,00</v>
      </c>
      <c r="S2096" t="str">
        <f t="shared" si="1355"/>
        <v>0,00</v>
      </c>
      <c r="T2096" t="str">
        <f t="shared" si="1319"/>
        <v xml:space="preserve"> </v>
      </c>
      <c r="U2096" t="str">
        <f t="shared" si="1342"/>
        <v xml:space="preserve"> </v>
      </c>
      <c r="V2096" t="str">
        <f>"5,000"</f>
        <v>5,000</v>
      </c>
      <c r="W2096" t="str">
        <f t="shared" si="1323"/>
        <v>Lista 4</v>
      </c>
      <c r="X2096" t="str">
        <f t="shared" si="1324"/>
        <v>Lista 5</v>
      </c>
      <c r="Y2096" t="str">
        <f t="shared" si="1325"/>
        <v>Oferta Gral.</v>
      </c>
      <c r="Z2096" t="str">
        <f t="shared" si="1326"/>
        <v>Rubro</v>
      </c>
      <c r="AA2096" t="str">
        <f t="shared" si="1327"/>
        <v>Cantidad por Bulto</v>
      </c>
      <c r="AB2096" t="str">
        <f t="shared" si="1328"/>
        <v>INNER</v>
      </c>
      <c r="AC2096" t="str">
        <f t="shared" si="1329"/>
        <v>Stock en Bultos</v>
      </c>
      <c r="AD2096" t="str">
        <f t="shared" si="1330"/>
        <v>SubDepósito</v>
      </c>
      <c r="AE2096" t="str">
        <f t="shared" si="1331"/>
        <v>Marca</v>
      </c>
      <c r="AF2096" t="str">
        <f t="shared" si="1332"/>
        <v>Super Rubro</v>
      </c>
      <c r="AG2096" t="str">
        <f t="shared" si="1333"/>
        <v>ComercioExterior</v>
      </c>
      <c r="AH2096" t="str">
        <f t="shared" si="1334"/>
        <v>PrecioFOB</v>
      </c>
      <c r="AI2096" t="str">
        <f t="shared" si="1335"/>
        <v>Monto II</v>
      </c>
      <c r="AJ2096" t="str">
        <f t="shared" si="1336"/>
        <v>Porcentaje II</v>
      </c>
      <c r="AK2096" t="str">
        <f t="shared" si="1337"/>
        <v>Foto</v>
      </c>
      <c r="AL2096" t="str">
        <f>"{\rtf1\ansi\ansicpg1252\deff0\deflang11274{\fonttbl{\f0\fnil\fcharset0 MS Sans Serif}} \viewkind4\uc1\pard\f0\fs16 JGO. CABLES BUJ\'cdAS GTX V8\par } "</f>
        <v xml:space="preserve">{\rtf1\ansi\ansicpg1252\deff0\deflang11274{\fonttbl{\f0\fnil\fcharset0 MS Sans Serif}} \viewkind4\uc1\pard\f0\fs16 JGO. CABLES BUJ\'cdAS GTX V8\par } </v>
      </c>
      <c r="AM2096" t="str">
        <f t="shared" si="1360"/>
        <v>-</v>
      </c>
    </row>
    <row r="2097" spans="1:39" x14ac:dyDescent="0.25">
      <c r="A2097" t="str">
        <f>"03-33050"</f>
        <v>03-33050</v>
      </c>
      <c r="B2097" t="str">
        <f>"JGO. CABLES BUJÍAS (CARBURADOR)  ´´"</f>
        <v>JGO. CABLES BUJÍAS (CARBURADOR)  ´´</v>
      </c>
      <c r="C2097" t="str">
        <f>"$ 18057,65"</f>
        <v>$ 18057,65</v>
      </c>
      <c r="D2097" t="str">
        <f>"$ 18057,65"</f>
        <v>$ 18057,65</v>
      </c>
      <c r="E2097" t="str">
        <f>"$ 18057,65"</f>
        <v>$ 18057,65</v>
      </c>
      <c r="F2097" t="str">
        <f>"$ 18057,65"</f>
        <v>$ 18057,65</v>
      </c>
      <c r="G2097" t="str">
        <f>"$ 18057,65"</f>
        <v>$ 18057,65</v>
      </c>
      <c r="H2097" t="str">
        <f t="shared" si="1320"/>
        <v>$ 0,00</v>
      </c>
      <c r="I2097" t="str">
        <f t="shared" ref="I2097:I2106" si="1361">"CABLES BUJÍAS PVC ANTIPARASITARIOS"</f>
        <v>CABLES BUJÍAS PVC ANTIPARASITARIOS</v>
      </c>
      <c r="J2097" t="str">
        <f t="shared" si="1321"/>
        <v>1</v>
      </c>
      <c r="K2097" t="str">
        <f t="shared" si="1346"/>
        <v>0</v>
      </c>
      <c r="L2097" t="str">
        <f>"27,000"</f>
        <v>27,000</v>
      </c>
      <c r="M2097" t="str">
        <f t="shared" si="1322"/>
        <v xml:space="preserve"> </v>
      </c>
      <c r="N2097" t="str">
        <f t="shared" si="1359"/>
        <v>FERRAZZI</v>
      </c>
      <c r="O2097" t="str">
        <f t="shared" si="1358"/>
        <v>CABLES</v>
      </c>
      <c r="P2097" t="str">
        <f t="shared" si="1354"/>
        <v>0</v>
      </c>
      <c r="Q2097" t="str">
        <f t="shared" si="1354"/>
        <v>0</v>
      </c>
      <c r="R2097" t="str">
        <f t="shared" si="1355"/>
        <v>0,00</v>
      </c>
      <c r="S2097" t="str">
        <f t="shared" si="1355"/>
        <v>0,00</v>
      </c>
      <c r="T2097" t="str">
        <f t="shared" si="1319"/>
        <v xml:space="preserve"> </v>
      </c>
      <c r="U2097" t="str">
        <f t="shared" si="1342"/>
        <v xml:space="preserve"> </v>
      </c>
      <c r="V2097" t="str">
        <f>"27,000"</f>
        <v>27,000</v>
      </c>
      <c r="W2097" t="str">
        <f t="shared" si="1323"/>
        <v>Lista 4</v>
      </c>
      <c r="X2097" t="str">
        <f t="shared" si="1324"/>
        <v>Lista 5</v>
      </c>
      <c r="Y2097" t="str">
        <f t="shared" si="1325"/>
        <v>Oferta Gral.</v>
      </c>
      <c r="Z2097" t="str">
        <f t="shared" si="1326"/>
        <v>Rubro</v>
      </c>
      <c r="AA2097" t="str">
        <f t="shared" si="1327"/>
        <v>Cantidad por Bulto</v>
      </c>
      <c r="AB2097" t="str">
        <f t="shared" si="1328"/>
        <v>INNER</v>
      </c>
      <c r="AC2097" t="str">
        <f t="shared" si="1329"/>
        <v>Stock en Bultos</v>
      </c>
      <c r="AD2097" t="str">
        <f t="shared" si="1330"/>
        <v>SubDepósito</v>
      </c>
      <c r="AE2097" t="str">
        <f t="shared" si="1331"/>
        <v>Marca</v>
      </c>
      <c r="AF2097" t="str">
        <f t="shared" si="1332"/>
        <v>Super Rubro</v>
      </c>
      <c r="AG2097" t="str">
        <f t="shared" si="1333"/>
        <v>ComercioExterior</v>
      </c>
      <c r="AH2097" t="str">
        <f t="shared" si="1334"/>
        <v>PrecioFOB</v>
      </c>
      <c r="AI2097" t="str">
        <f t="shared" si="1335"/>
        <v>Monto II</v>
      </c>
      <c r="AJ2097" t="str">
        <f t="shared" si="1336"/>
        <v>Porcentaje II</v>
      </c>
      <c r="AK2097" t="str">
        <f t="shared" si="1337"/>
        <v>Foto</v>
      </c>
      <c r="AL2097" t="str">
        <f>"{\rtf1\ansi\ansicpg1252\deff0\deflang11274{\fonttbl{\f0\fnil\fcharset0 MS Sans Serif}} \viewkind4\uc1\pard\f0\fs16 JGO. CABLES BUJ\'cdAS (CARBURADOR)  \'b4\'b4\par } "</f>
        <v xml:space="preserve">{\rtf1\ansi\ansicpg1252\deff0\deflang11274{\fonttbl{\f0\fnil\fcharset0 MS Sans Serif}} \viewkind4\uc1\pard\f0\fs16 JGO. CABLES BUJ\'cdAS (CARBURADOR)  \'b4\'b4\par } </v>
      </c>
      <c r="AM2097" t="str">
        <f t="shared" si="1360"/>
        <v>-</v>
      </c>
    </row>
    <row r="2098" spans="1:39" x14ac:dyDescent="0.25">
      <c r="A2098" t="str">
        <f>"06-33054"</f>
        <v>06-33054</v>
      </c>
      <c r="B2098" t="str">
        <f>"JGO. CABLES BUJÍAS 12"</f>
        <v>JGO. CABLES BUJÍAS 12</v>
      </c>
      <c r="C2098" t="str">
        <f>"$ 8609,76"</f>
        <v>$ 8609,76</v>
      </c>
      <c r="D2098" t="str">
        <f>"$ 8609,76"</f>
        <v>$ 8609,76</v>
      </c>
      <c r="E2098" t="str">
        <f>"$ 8609,76"</f>
        <v>$ 8609,76</v>
      </c>
      <c r="F2098" t="str">
        <f>"$ 8609,76"</f>
        <v>$ 8609,76</v>
      </c>
      <c r="G2098" t="str">
        <f>"$ 8609,76"</f>
        <v>$ 8609,76</v>
      </c>
      <c r="H2098" t="str">
        <f t="shared" si="1320"/>
        <v>$ 0,00</v>
      </c>
      <c r="I2098" t="str">
        <f t="shared" si="1361"/>
        <v>CABLES BUJÍAS PVC ANTIPARASITARIOS</v>
      </c>
      <c r="J2098" t="str">
        <f t="shared" si="1321"/>
        <v>1</v>
      </c>
      <c r="K2098" t="str">
        <f t="shared" si="1346"/>
        <v>0</v>
      </c>
      <c r="L2098" t="str">
        <f>"65,000"</f>
        <v>65,000</v>
      </c>
      <c r="M2098" t="str">
        <f t="shared" si="1322"/>
        <v xml:space="preserve"> </v>
      </c>
      <c r="N2098" t="str">
        <f t="shared" si="1359"/>
        <v>FERRAZZI</v>
      </c>
      <c r="O2098" t="str">
        <f t="shared" si="1358"/>
        <v>CABLES</v>
      </c>
      <c r="P2098" t="str">
        <f t="shared" si="1354"/>
        <v>0</v>
      </c>
      <c r="Q2098" t="str">
        <f t="shared" si="1354"/>
        <v>0</v>
      </c>
      <c r="R2098" t="str">
        <f t="shared" si="1355"/>
        <v>0,00</v>
      </c>
      <c r="S2098" t="str">
        <f t="shared" si="1355"/>
        <v>0,00</v>
      </c>
      <c r="T2098" t="str">
        <f t="shared" si="1319"/>
        <v xml:space="preserve"> </v>
      </c>
      <c r="U2098" t="str">
        <f t="shared" si="1342"/>
        <v xml:space="preserve"> </v>
      </c>
      <c r="V2098" t="str">
        <f>"65,000"</f>
        <v>65,000</v>
      </c>
      <c r="W2098" t="str">
        <f t="shared" si="1323"/>
        <v>Lista 4</v>
      </c>
      <c r="X2098" t="str">
        <f t="shared" si="1324"/>
        <v>Lista 5</v>
      </c>
      <c r="Y2098" t="str">
        <f t="shared" si="1325"/>
        <v>Oferta Gral.</v>
      </c>
      <c r="Z2098" t="str">
        <f t="shared" si="1326"/>
        <v>Rubro</v>
      </c>
      <c r="AA2098" t="str">
        <f t="shared" si="1327"/>
        <v>Cantidad por Bulto</v>
      </c>
      <c r="AB2098" t="str">
        <f t="shared" si="1328"/>
        <v>INNER</v>
      </c>
      <c r="AC2098" t="str">
        <f t="shared" si="1329"/>
        <v>Stock en Bultos</v>
      </c>
      <c r="AD2098" t="str">
        <f t="shared" si="1330"/>
        <v>SubDepósito</v>
      </c>
      <c r="AE2098" t="str">
        <f t="shared" si="1331"/>
        <v>Marca</v>
      </c>
      <c r="AF2098" t="str">
        <f t="shared" si="1332"/>
        <v>Super Rubro</v>
      </c>
      <c r="AG2098" t="str">
        <f t="shared" si="1333"/>
        <v>ComercioExterior</v>
      </c>
      <c r="AH2098" t="str">
        <f t="shared" si="1334"/>
        <v>PrecioFOB</v>
      </c>
      <c r="AI2098" t="str">
        <f t="shared" si="1335"/>
        <v>Monto II</v>
      </c>
      <c r="AJ2098" t="str">
        <f t="shared" si="1336"/>
        <v>Porcentaje II</v>
      </c>
      <c r="AK2098" t="str">
        <f t="shared" si="1337"/>
        <v>Foto</v>
      </c>
      <c r="AL2098" t="str">
        <f>"{\rtf1\ansi\ansicpg1252\deff0\deflang11274{\fonttbl{\f0\fnil\fcharset0 MS Sans Serif}} \viewkind4\uc1\pard\f0\fs16 JGO. CABLES BUJ\'cdAS 12\par } "</f>
        <v xml:space="preserve">{\rtf1\ansi\ansicpg1252\deff0\deflang11274{\fonttbl{\f0\fnil\fcharset0 MS Sans Serif}} \viewkind4\uc1\pard\f0\fs16 JGO. CABLES BUJ\'cdAS 12\par } </v>
      </c>
      <c r="AM2098" t="str">
        <f t="shared" si="1360"/>
        <v>-</v>
      </c>
    </row>
    <row r="2099" spans="1:39" x14ac:dyDescent="0.25">
      <c r="A2099" t="str">
        <f>"05-33043"</f>
        <v>05-33043</v>
      </c>
      <c r="B2099" t="str">
        <f>"JGO. CABLES BUJÍAS 125"</f>
        <v>JGO. CABLES BUJÍAS 125</v>
      </c>
      <c r="C2099" t="str">
        <f>"$ 10260,29"</f>
        <v>$ 10260,29</v>
      </c>
      <c r="D2099" t="str">
        <f>"$ 10260,29"</f>
        <v>$ 10260,29</v>
      </c>
      <c r="E2099" t="str">
        <f>"$ 10260,29"</f>
        <v>$ 10260,29</v>
      </c>
      <c r="F2099" t="str">
        <f>"$ 10260,29"</f>
        <v>$ 10260,29</v>
      </c>
      <c r="G2099" t="str">
        <f>"$ 10260,29"</f>
        <v>$ 10260,29</v>
      </c>
      <c r="H2099" t="str">
        <f t="shared" si="1320"/>
        <v>$ 0,00</v>
      </c>
      <c r="I2099" t="str">
        <f t="shared" si="1361"/>
        <v>CABLES BUJÍAS PVC ANTIPARASITARIOS</v>
      </c>
      <c r="J2099" t="str">
        <f t="shared" si="1321"/>
        <v>1</v>
      </c>
      <c r="K2099" t="str">
        <f t="shared" si="1346"/>
        <v>0</v>
      </c>
      <c r="L2099" t="str">
        <f>"7,000"</f>
        <v>7,000</v>
      </c>
      <c r="M2099" t="str">
        <f t="shared" si="1322"/>
        <v xml:space="preserve"> </v>
      </c>
      <c r="N2099" t="str">
        <f t="shared" si="1359"/>
        <v>FERRAZZI</v>
      </c>
      <c r="O2099" t="str">
        <f t="shared" si="1358"/>
        <v>CABLES</v>
      </c>
      <c r="P2099" t="str">
        <f t="shared" si="1354"/>
        <v>0</v>
      </c>
      <c r="Q2099" t="str">
        <f t="shared" si="1354"/>
        <v>0</v>
      </c>
      <c r="R2099" t="str">
        <f t="shared" si="1355"/>
        <v>0,00</v>
      </c>
      <c r="S2099" t="str">
        <f t="shared" si="1355"/>
        <v>0,00</v>
      </c>
      <c r="T2099" t="str">
        <f t="shared" si="1319"/>
        <v xml:space="preserve"> </v>
      </c>
      <c r="U2099" t="str">
        <f t="shared" si="1342"/>
        <v xml:space="preserve"> </v>
      </c>
      <c r="V2099" t="str">
        <f>"7,000"</f>
        <v>7,000</v>
      </c>
      <c r="W2099" t="str">
        <f t="shared" si="1323"/>
        <v>Lista 4</v>
      </c>
      <c r="X2099" t="str">
        <f t="shared" si="1324"/>
        <v>Lista 5</v>
      </c>
      <c r="Y2099" t="str">
        <f t="shared" si="1325"/>
        <v>Oferta Gral.</v>
      </c>
      <c r="Z2099" t="str">
        <f t="shared" si="1326"/>
        <v>Rubro</v>
      </c>
      <c r="AA2099" t="str">
        <f t="shared" si="1327"/>
        <v>Cantidad por Bulto</v>
      </c>
      <c r="AB2099" t="str">
        <f t="shared" si="1328"/>
        <v>INNER</v>
      </c>
      <c r="AC2099" t="str">
        <f t="shared" si="1329"/>
        <v>Stock en Bultos</v>
      </c>
      <c r="AD2099" t="str">
        <f t="shared" si="1330"/>
        <v>SubDepósito</v>
      </c>
      <c r="AE2099" t="str">
        <f t="shared" si="1331"/>
        <v>Marca</v>
      </c>
      <c r="AF2099" t="str">
        <f t="shared" si="1332"/>
        <v>Super Rubro</v>
      </c>
      <c r="AG2099" t="str">
        <f t="shared" si="1333"/>
        <v>ComercioExterior</v>
      </c>
      <c r="AH2099" t="str">
        <f t="shared" si="1334"/>
        <v>PrecioFOB</v>
      </c>
      <c r="AI2099" t="str">
        <f t="shared" si="1335"/>
        <v>Monto II</v>
      </c>
      <c r="AJ2099" t="str">
        <f t="shared" si="1336"/>
        <v>Porcentaje II</v>
      </c>
      <c r="AK2099" t="str">
        <f t="shared" si="1337"/>
        <v>Foto</v>
      </c>
      <c r="AL2099" t="str">
        <f>"{\rtf1\ansi\ansicpg1252\deff0\deflang11274{\fonttbl{\f0\fnil\fcharset0 MS Sans Serif}} \viewkind4\uc1\pard\f0\fs16 JGO. CABLES BUJ\'cdAS 125\par } "</f>
        <v xml:space="preserve">{\rtf1\ansi\ansicpg1252\deff0\deflang11274{\fonttbl{\f0\fnil\fcharset0 MS Sans Serif}} \viewkind4\uc1\pard\f0\fs16 JGO. CABLES BUJ\'cdAS 125\par } </v>
      </c>
      <c r="AM2099" t="str">
        <f t="shared" si="1360"/>
        <v>-</v>
      </c>
    </row>
    <row r="2100" spans="1:39" x14ac:dyDescent="0.25">
      <c r="A2100" t="str">
        <f>"05-33044"</f>
        <v>05-33044</v>
      </c>
      <c r="B2100" t="str">
        <f>"JGO. CABLES BUJÍAS 128 SUPEREUROPA / DUNA / UNO / BRIO/REGATTA"</f>
        <v>JGO. CABLES BUJÍAS 128 SUPEREUROPA / DUNA / UNO / BRIO/REGATTA</v>
      </c>
      <c r="C2100" t="str">
        <f>"$ 9091,16"</f>
        <v>$ 9091,16</v>
      </c>
      <c r="D2100" t="str">
        <f>"$ 9091,16"</f>
        <v>$ 9091,16</v>
      </c>
      <c r="E2100" t="str">
        <f>"$ 9091,16"</f>
        <v>$ 9091,16</v>
      </c>
      <c r="F2100" t="str">
        <f>"$ 9091,16"</f>
        <v>$ 9091,16</v>
      </c>
      <c r="G2100" t="str">
        <f>"$ 9091,16"</f>
        <v>$ 9091,16</v>
      </c>
      <c r="H2100" t="str">
        <f t="shared" si="1320"/>
        <v>$ 0,00</v>
      </c>
      <c r="I2100" t="str">
        <f t="shared" si="1361"/>
        <v>CABLES BUJÍAS PVC ANTIPARASITARIOS</v>
      </c>
      <c r="J2100" t="str">
        <f t="shared" si="1321"/>
        <v>1</v>
      </c>
      <c r="K2100" t="str">
        <f t="shared" si="1346"/>
        <v>0</v>
      </c>
      <c r="L2100" t="str">
        <f>"23,000"</f>
        <v>23,000</v>
      </c>
      <c r="M2100" t="str">
        <f t="shared" si="1322"/>
        <v xml:space="preserve"> </v>
      </c>
      <c r="N2100" t="str">
        <f t="shared" si="1359"/>
        <v>FERRAZZI</v>
      </c>
      <c r="O2100" t="str">
        <f t="shared" si="1358"/>
        <v>CABLES</v>
      </c>
      <c r="P2100" t="str">
        <f t="shared" si="1354"/>
        <v>0</v>
      </c>
      <c r="Q2100" t="str">
        <f t="shared" si="1354"/>
        <v>0</v>
      </c>
      <c r="R2100" t="str">
        <f t="shared" si="1355"/>
        <v>0,00</v>
      </c>
      <c r="S2100" t="str">
        <f t="shared" si="1355"/>
        <v>0,00</v>
      </c>
      <c r="T2100" t="str">
        <f t="shared" si="1319"/>
        <v xml:space="preserve"> </v>
      </c>
      <c r="U2100" t="str">
        <f t="shared" si="1342"/>
        <v xml:space="preserve"> </v>
      </c>
      <c r="V2100" t="str">
        <f>"23,000"</f>
        <v>23,000</v>
      </c>
      <c r="W2100" t="str">
        <f t="shared" si="1323"/>
        <v>Lista 4</v>
      </c>
      <c r="X2100" t="str">
        <f t="shared" si="1324"/>
        <v>Lista 5</v>
      </c>
      <c r="Y2100" t="str">
        <f t="shared" si="1325"/>
        <v>Oferta Gral.</v>
      </c>
      <c r="Z2100" t="str">
        <f t="shared" si="1326"/>
        <v>Rubro</v>
      </c>
      <c r="AA2100" t="str">
        <f t="shared" si="1327"/>
        <v>Cantidad por Bulto</v>
      </c>
      <c r="AB2100" t="str">
        <f t="shared" si="1328"/>
        <v>INNER</v>
      </c>
      <c r="AC2100" t="str">
        <f t="shared" si="1329"/>
        <v>Stock en Bultos</v>
      </c>
      <c r="AD2100" t="str">
        <f t="shared" si="1330"/>
        <v>SubDepósito</v>
      </c>
      <c r="AE2100" t="str">
        <f t="shared" si="1331"/>
        <v>Marca</v>
      </c>
      <c r="AF2100" t="str">
        <f t="shared" si="1332"/>
        <v>Super Rubro</v>
      </c>
      <c r="AG2100" t="str">
        <f t="shared" si="1333"/>
        <v>ComercioExterior</v>
      </c>
      <c r="AH2100" t="str">
        <f t="shared" si="1334"/>
        <v>PrecioFOB</v>
      </c>
      <c r="AI2100" t="str">
        <f t="shared" si="1335"/>
        <v>Monto II</v>
      </c>
      <c r="AJ2100" t="str">
        <f t="shared" si="1336"/>
        <v>Porcentaje II</v>
      </c>
      <c r="AK2100" t="str">
        <f t="shared" si="1337"/>
        <v>Foto</v>
      </c>
      <c r="AL2100" t="str">
        <f>"{\rtf1\ansi\ansicpg1252\deff0\deflang11274{\fonttbl{\f0\fnil\fcharset0 MS Sans Serif}} \viewkind4\uc1\pard\f0\fs16 JGO. CABLES BUJ\'cdAS 128 SUPEREUROPA / DUNA / UNO / BRIO/REGATTA\par } "</f>
        <v xml:space="preserve">{\rtf1\ansi\ansicpg1252\deff0\deflang11274{\fonttbl{\f0\fnil\fcharset0 MS Sans Serif}} \viewkind4\uc1\pard\f0\fs16 JGO. CABLES BUJ\'cdAS 128 SUPEREUROPA / DUNA / UNO / BRIO/REGATTA\par } </v>
      </c>
      <c r="AM2100" t="str">
        <f t="shared" si="1360"/>
        <v>-</v>
      </c>
    </row>
    <row r="2101" spans="1:39" x14ac:dyDescent="0.25">
      <c r="A2101" t="str">
        <f>"05-33045"</f>
        <v>05-33045</v>
      </c>
      <c r="B2101" t="str">
        <f>"JGO. CABLES BUJÍAS 133"</f>
        <v>JGO. CABLES BUJÍAS 133</v>
      </c>
      <c r="C2101" t="str">
        <f>"$ 10397,82"</f>
        <v>$ 10397,82</v>
      </c>
      <c r="D2101" t="str">
        <f>"$ 10397,82"</f>
        <v>$ 10397,82</v>
      </c>
      <c r="E2101" t="str">
        <f>"$ 10397,82"</f>
        <v>$ 10397,82</v>
      </c>
      <c r="F2101" t="str">
        <f>"$ 10397,82"</f>
        <v>$ 10397,82</v>
      </c>
      <c r="G2101" t="str">
        <f>"$ 10397,82"</f>
        <v>$ 10397,82</v>
      </c>
      <c r="H2101" t="str">
        <f t="shared" si="1320"/>
        <v>$ 0,00</v>
      </c>
      <c r="I2101" t="str">
        <f t="shared" si="1361"/>
        <v>CABLES BUJÍAS PVC ANTIPARASITARIOS</v>
      </c>
      <c r="J2101" t="str">
        <f t="shared" si="1321"/>
        <v>1</v>
      </c>
      <c r="K2101" t="str">
        <f t="shared" si="1346"/>
        <v>0</v>
      </c>
      <c r="L2101" t="str">
        <f>"9,000"</f>
        <v>9,000</v>
      </c>
      <c r="M2101" t="str">
        <f t="shared" si="1322"/>
        <v xml:space="preserve"> </v>
      </c>
      <c r="N2101" t="str">
        <f t="shared" si="1359"/>
        <v>FERRAZZI</v>
      </c>
      <c r="O2101" t="str">
        <f t="shared" si="1358"/>
        <v>CABLES</v>
      </c>
      <c r="P2101" t="str">
        <f t="shared" si="1354"/>
        <v>0</v>
      </c>
      <c r="Q2101" t="str">
        <f t="shared" si="1354"/>
        <v>0</v>
      </c>
      <c r="R2101" t="str">
        <f t="shared" si="1355"/>
        <v>0,00</v>
      </c>
      <c r="S2101" t="str">
        <f t="shared" si="1355"/>
        <v>0,00</v>
      </c>
      <c r="T2101" t="str">
        <f t="shared" si="1319"/>
        <v xml:space="preserve"> </v>
      </c>
      <c r="U2101" t="str">
        <f t="shared" si="1342"/>
        <v xml:space="preserve"> </v>
      </c>
      <c r="V2101" t="str">
        <f>"9,000"</f>
        <v>9,000</v>
      </c>
      <c r="W2101" t="str">
        <f t="shared" si="1323"/>
        <v>Lista 4</v>
      </c>
      <c r="X2101" t="str">
        <f t="shared" si="1324"/>
        <v>Lista 5</v>
      </c>
      <c r="Y2101" t="str">
        <f t="shared" si="1325"/>
        <v>Oferta Gral.</v>
      </c>
      <c r="Z2101" t="str">
        <f t="shared" si="1326"/>
        <v>Rubro</v>
      </c>
      <c r="AA2101" t="str">
        <f t="shared" si="1327"/>
        <v>Cantidad por Bulto</v>
      </c>
      <c r="AB2101" t="str">
        <f t="shared" si="1328"/>
        <v>INNER</v>
      </c>
      <c r="AC2101" t="str">
        <f t="shared" si="1329"/>
        <v>Stock en Bultos</v>
      </c>
      <c r="AD2101" t="str">
        <f t="shared" si="1330"/>
        <v>SubDepósito</v>
      </c>
      <c r="AE2101" t="str">
        <f t="shared" si="1331"/>
        <v>Marca</v>
      </c>
      <c r="AF2101" t="str">
        <f t="shared" si="1332"/>
        <v>Super Rubro</v>
      </c>
      <c r="AG2101" t="str">
        <f t="shared" si="1333"/>
        <v>ComercioExterior</v>
      </c>
      <c r="AH2101" t="str">
        <f t="shared" si="1334"/>
        <v>PrecioFOB</v>
      </c>
      <c r="AI2101" t="str">
        <f t="shared" si="1335"/>
        <v>Monto II</v>
      </c>
      <c r="AJ2101" t="str">
        <f t="shared" si="1336"/>
        <v>Porcentaje II</v>
      </c>
      <c r="AK2101" t="str">
        <f t="shared" si="1337"/>
        <v>Foto</v>
      </c>
      <c r="AL2101" t="str">
        <f>"{\rtf1\ansi\ansicpg1252\deff0\deflang11274{\fonttbl{\f0\fnil\fcharset0 MS Sans Serif}} \viewkind4\uc1\pard\f0\fs16 JGO. CABLES BUJ\'cdAS 133\par } "</f>
        <v xml:space="preserve">{\rtf1\ansi\ansicpg1252\deff0\deflang11274{\fonttbl{\f0\fnil\fcharset0 MS Sans Serif}} \viewkind4\uc1\pard\f0\fs16 JGO. CABLES BUJ\'cdAS 133\par } </v>
      </c>
      <c r="AM2101" t="str">
        <f t="shared" si="1360"/>
        <v>-</v>
      </c>
    </row>
    <row r="2102" spans="1:39" x14ac:dyDescent="0.25">
      <c r="A2102" t="str">
        <f>"05-33041"</f>
        <v>05-33041</v>
      </c>
      <c r="B2102" t="str">
        <f>"JGO. CABLES BUJÍAS 1500 - 1600"</f>
        <v>JGO. CABLES BUJÍAS 1500 - 1600</v>
      </c>
      <c r="C2102" t="str">
        <f>"$ 9985,19"</f>
        <v>$ 9985,19</v>
      </c>
      <c r="D2102" t="str">
        <f>"$ 9985,19"</f>
        <v>$ 9985,19</v>
      </c>
      <c r="E2102" t="str">
        <f>"$ 9985,19"</f>
        <v>$ 9985,19</v>
      </c>
      <c r="F2102" t="str">
        <f>"$ 9985,19"</f>
        <v>$ 9985,19</v>
      </c>
      <c r="G2102" t="str">
        <f>"$ 9985,19"</f>
        <v>$ 9985,19</v>
      </c>
      <c r="H2102" t="str">
        <f t="shared" si="1320"/>
        <v>$ 0,00</v>
      </c>
      <c r="I2102" t="str">
        <f t="shared" si="1361"/>
        <v>CABLES BUJÍAS PVC ANTIPARASITARIOS</v>
      </c>
      <c r="J2102" t="str">
        <f t="shared" si="1321"/>
        <v>1</v>
      </c>
      <c r="K2102" t="str">
        <f t="shared" si="1346"/>
        <v>0</v>
      </c>
      <c r="L2102" t="str">
        <f>"4,000"</f>
        <v>4,000</v>
      </c>
      <c r="M2102" t="str">
        <f t="shared" si="1322"/>
        <v xml:space="preserve"> </v>
      </c>
      <c r="N2102" t="str">
        <f t="shared" si="1359"/>
        <v>FERRAZZI</v>
      </c>
      <c r="O2102" t="str">
        <f t="shared" si="1358"/>
        <v>CABLES</v>
      </c>
      <c r="P2102" t="str">
        <f t="shared" si="1354"/>
        <v>0</v>
      </c>
      <c r="Q2102" t="str">
        <f t="shared" si="1354"/>
        <v>0</v>
      </c>
      <c r="R2102" t="str">
        <f t="shared" si="1355"/>
        <v>0,00</v>
      </c>
      <c r="S2102" t="str">
        <f t="shared" si="1355"/>
        <v>0,00</v>
      </c>
      <c r="T2102" t="str">
        <f t="shared" si="1319"/>
        <v xml:space="preserve"> </v>
      </c>
      <c r="U2102" t="str">
        <f t="shared" si="1342"/>
        <v xml:space="preserve"> </v>
      </c>
      <c r="V2102" t="str">
        <f>"4,000"</f>
        <v>4,000</v>
      </c>
      <c r="W2102" t="str">
        <f t="shared" si="1323"/>
        <v>Lista 4</v>
      </c>
      <c r="X2102" t="str">
        <f t="shared" si="1324"/>
        <v>Lista 5</v>
      </c>
      <c r="Y2102" t="str">
        <f t="shared" si="1325"/>
        <v>Oferta Gral.</v>
      </c>
      <c r="Z2102" t="str">
        <f t="shared" si="1326"/>
        <v>Rubro</v>
      </c>
      <c r="AA2102" t="str">
        <f t="shared" si="1327"/>
        <v>Cantidad por Bulto</v>
      </c>
      <c r="AB2102" t="str">
        <f t="shared" si="1328"/>
        <v>INNER</v>
      </c>
      <c r="AC2102" t="str">
        <f t="shared" si="1329"/>
        <v>Stock en Bultos</v>
      </c>
      <c r="AD2102" t="str">
        <f t="shared" si="1330"/>
        <v>SubDepósito</v>
      </c>
      <c r="AE2102" t="str">
        <f t="shared" si="1331"/>
        <v>Marca</v>
      </c>
      <c r="AF2102" t="str">
        <f t="shared" si="1332"/>
        <v>Super Rubro</v>
      </c>
      <c r="AG2102" t="str">
        <f t="shared" si="1333"/>
        <v>ComercioExterior</v>
      </c>
      <c r="AH2102" t="str">
        <f t="shared" si="1334"/>
        <v>PrecioFOB</v>
      </c>
      <c r="AI2102" t="str">
        <f t="shared" si="1335"/>
        <v>Monto II</v>
      </c>
      <c r="AJ2102" t="str">
        <f t="shared" si="1336"/>
        <v>Porcentaje II</v>
      </c>
      <c r="AK2102" t="str">
        <f t="shared" si="1337"/>
        <v>Foto</v>
      </c>
      <c r="AL2102" t="str">
        <f>"{\rtf1\ansi\ansicpg1252\deff0\deflang11274{\fonttbl{\f0\fnil\fcharset0 MS Sans Serif}} \viewkind4\uc1\pard\f0\fs16 JGO. CABLES BUJ\'cdAS 1500 - 1600\par } "</f>
        <v xml:space="preserve">{\rtf1\ansi\ansicpg1252\deff0\deflang11274{\fonttbl{\f0\fnil\fcharset0 MS Sans Serif}} \viewkind4\uc1\pard\f0\fs16 JGO. CABLES BUJ\'cdAS 1500 - 1600\par } </v>
      </c>
      <c r="AM2102" t="str">
        <f t="shared" si="1360"/>
        <v>-</v>
      </c>
    </row>
    <row r="2103" spans="1:39" x14ac:dyDescent="0.25">
      <c r="A2103" t="str">
        <f>"03-33021"</f>
        <v>03-33021</v>
      </c>
      <c r="B2103" t="str">
        <f>"JGO. CABLES BUJÍAS 1500 / 1800"</f>
        <v>JGO. CABLES BUJÍAS 1500 / 1800</v>
      </c>
      <c r="C2103" t="str">
        <f>"$ 8747,30"</f>
        <v>$ 8747,30</v>
      </c>
      <c r="D2103" t="str">
        <f>"$ 8747,30"</f>
        <v>$ 8747,30</v>
      </c>
      <c r="E2103" t="str">
        <f>"$ 8747,30"</f>
        <v>$ 8747,30</v>
      </c>
      <c r="F2103" t="str">
        <f>"$ 8747,30"</f>
        <v>$ 8747,30</v>
      </c>
      <c r="G2103" t="str">
        <f>"$ 8747,30"</f>
        <v>$ 8747,30</v>
      </c>
      <c r="H2103" t="str">
        <f t="shared" si="1320"/>
        <v>$ 0,00</v>
      </c>
      <c r="I2103" t="str">
        <f t="shared" si="1361"/>
        <v>CABLES BUJÍAS PVC ANTIPARASITARIOS</v>
      </c>
      <c r="J2103" t="str">
        <f t="shared" si="1321"/>
        <v>1</v>
      </c>
      <c r="K2103" t="str">
        <f t="shared" si="1346"/>
        <v>0</v>
      </c>
      <c r="L2103" t="str">
        <f>"9,000"</f>
        <v>9,000</v>
      </c>
      <c r="M2103" t="str">
        <f t="shared" si="1322"/>
        <v xml:space="preserve"> </v>
      </c>
      <c r="N2103" t="str">
        <f t="shared" si="1359"/>
        <v>FERRAZZI</v>
      </c>
      <c r="O2103" t="str">
        <f t="shared" si="1358"/>
        <v>CABLES</v>
      </c>
      <c r="P2103" t="str">
        <f t="shared" ref="P2103:Q2122" si="1362">"0"</f>
        <v>0</v>
      </c>
      <c r="Q2103" t="str">
        <f t="shared" si="1362"/>
        <v>0</v>
      </c>
      <c r="R2103" t="str">
        <f t="shared" ref="R2103:S2122" si="1363">"0,00"</f>
        <v>0,00</v>
      </c>
      <c r="S2103" t="str">
        <f t="shared" si="1363"/>
        <v>0,00</v>
      </c>
      <c r="T2103" t="str">
        <f t="shared" si="1319"/>
        <v xml:space="preserve"> </v>
      </c>
      <c r="U2103" t="str">
        <f t="shared" si="1342"/>
        <v xml:space="preserve"> </v>
      </c>
      <c r="V2103" t="str">
        <f>"9,000"</f>
        <v>9,000</v>
      </c>
      <c r="W2103" t="str">
        <f t="shared" si="1323"/>
        <v>Lista 4</v>
      </c>
      <c r="X2103" t="str">
        <f t="shared" si="1324"/>
        <v>Lista 5</v>
      </c>
      <c r="Y2103" t="str">
        <f t="shared" si="1325"/>
        <v>Oferta Gral.</v>
      </c>
      <c r="Z2103" t="str">
        <f t="shared" si="1326"/>
        <v>Rubro</v>
      </c>
      <c r="AA2103" t="str">
        <f t="shared" si="1327"/>
        <v>Cantidad por Bulto</v>
      </c>
      <c r="AB2103" t="str">
        <f t="shared" si="1328"/>
        <v>INNER</v>
      </c>
      <c r="AC2103" t="str">
        <f t="shared" si="1329"/>
        <v>Stock en Bultos</v>
      </c>
      <c r="AD2103" t="str">
        <f t="shared" si="1330"/>
        <v>SubDepósito</v>
      </c>
      <c r="AE2103" t="str">
        <f t="shared" si="1331"/>
        <v>Marca</v>
      </c>
      <c r="AF2103" t="str">
        <f t="shared" si="1332"/>
        <v>Super Rubro</v>
      </c>
      <c r="AG2103" t="str">
        <f t="shared" si="1333"/>
        <v>ComercioExterior</v>
      </c>
      <c r="AH2103" t="str">
        <f t="shared" si="1334"/>
        <v>PrecioFOB</v>
      </c>
      <c r="AI2103" t="str">
        <f t="shared" si="1335"/>
        <v>Monto II</v>
      </c>
      <c r="AJ2103" t="str">
        <f t="shared" si="1336"/>
        <v>Porcentaje II</v>
      </c>
      <c r="AK2103" t="str">
        <f t="shared" si="1337"/>
        <v>Foto</v>
      </c>
      <c r="AL2103" t="str">
        <f>"{\rtf1\ansi\ansicpg1252\deff0\deflang11274{\fonttbl{\f0\fnil\fcharset0 MS Sans Serif}} \viewkind4\uc1\pard\f0\fs16 JGO. CABLES BUJ\'cdAS 1500 / 1800\par } "</f>
        <v xml:space="preserve">{\rtf1\ansi\ansicpg1252\deff0\deflang11274{\fonttbl{\f0\fnil\fcharset0 MS Sans Serif}} \viewkind4\uc1\pard\f0\fs16 JGO. CABLES BUJ\'cdAS 1500 / 1800\par } </v>
      </c>
      <c r="AM2103" t="str">
        <f t="shared" si="1360"/>
        <v>-</v>
      </c>
    </row>
    <row r="2104" spans="1:39" x14ac:dyDescent="0.25">
      <c r="A2104" t="str">
        <f>"06-33083"</f>
        <v>06-33083</v>
      </c>
      <c r="B2104" t="str">
        <f>"JGO. CABLES BUJÍAS 18 / 21 / 21 NEVADA / FUEGO"</f>
        <v>JGO. CABLES BUJÍAS 18 / 21 / 21 NEVADA / FUEGO</v>
      </c>
      <c r="C2104" t="str">
        <f>"$ 11441,94"</f>
        <v>$ 11441,94</v>
      </c>
      <c r="D2104" t="str">
        <f>"$ 11441,94"</f>
        <v>$ 11441,94</v>
      </c>
      <c r="E2104" t="str">
        <f>"$ 11441,94"</f>
        <v>$ 11441,94</v>
      </c>
      <c r="F2104" t="str">
        <f>"$ 11441,94"</f>
        <v>$ 11441,94</v>
      </c>
      <c r="G2104" t="str">
        <f>"$ 11441,94"</f>
        <v>$ 11441,94</v>
      </c>
      <c r="H2104" t="str">
        <f t="shared" si="1320"/>
        <v>$ 0,00</v>
      </c>
      <c r="I2104" t="str">
        <f t="shared" si="1361"/>
        <v>CABLES BUJÍAS PVC ANTIPARASITARIOS</v>
      </c>
      <c r="J2104" t="str">
        <f t="shared" si="1321"/>
        <v>1</v>
      </c>
      <c r="K2104" t="str">
        <f t="shared" si="1346"/>
        <v>0</v>
      </c>
      <c r="L2104" t="str">
        <f>"28,000"</f>
        <v>28,000</v>
      </c>
      <c r="M2104" t="str">
        <f t="shared" si="1322"/>
        <v xml:space="preserve"> </v>
      </c>
      <c r="N2104" t="str">
        <f t="shared" si="1359"/>
        <v>FERRAZZI</v>
      </c>
      <c r="O2104" t="str">
        <f t="shared" si="1358"/>
        <v>CABLES</v>
      </c>
      <c r="P2104" t="str">
        <f t="shared" si="1362"/>
        <v>0</v>
      </c>
      <c r="Q2104" t="str">
        <f t="shared" si="1362"/>
        <v>0</v>
      </c>
      <c r="R2104" t="str">
        <f t="shared" si="1363"/>
        <v>0,00</v>
      </c>
      <c r="S2104" t="str">
        <f t="shared" si="1363"/>
        <v>0,00</v>
      </c>
      <c r="T2104" t="str">
        <f t="shared" si="1319"/>
        <v xml:space="preserve"> </v>
      </c>
      <c r="U2104" t="str">
        <f t="shared" si="1342"/>
        <v xml:space="preserve"> </v>
      </c>
      <c r="V2104" t="str">
        <f>"28,000"</f>
        <v>28,000</v>
      </c>
      <c r="W2104" t="str">
        <f t="shared" si="1323"/>
        <v>Lista 4</v>
      </c>
      <c r="X2104" t="str">
        <f t="shared" si="1324"/>
        <v>Lista 5</v>
      </c>
      <c r="Y2104" t="str">
        <f t="shared" si="1325"/>
        <v>Oferta Gral.</v>
      </c>
      <c r="Z2104" t="str">
        <f t="shared" si="1326"/>
        <v>Rubro</v>
      </c>
      <c r="AA2104" t="str">
        <f t="shared" si="1327"/>
        <v>Cantidad por Bulto</v>
      </c>
      <c r="AB2104" t="str">
        <f t="shared" si="1328"/>
        <v>INNER</v>
      </c>
      <c r="AC2104" t="str">
        <f t="shared" si="1329"/>
        <v>Stock en Bultos</v>
      </c>
      <c r="AD2104" t="str">
        <f t="shared" si="1330"/>
        <v>SubDepósito</v>
      </c>
      <c r="AE2104" t="str">
        <f t="shared" si="1331"/>
        <v>Marca</v>
      </c>
      <c r="AF2104" t="str">
        <f t="shared" si="1332"/>
        <v>Super Rubro</v>
      </c>
      <c r="AG2104" t="str">
        <f t="shared" si="1333"/>
        <v>ComercioExterior</v>
      </c>
      <c r="AH2104" t="str">
        <f t="shared" si="1334"/>
        <v>PrecioFOB</v>
      </c>
      <c r="AI2104" t="str">
        <f t="shared" si="1335"/>
        <v>Monto II</v>
      </c>
      <c r="AJ2104" t="str">
        <f t="shared" si="1336"/>
        <v>Porcentaje II</v>
      </c>
      <c r="AK2104" t="str">
        <f t="shared" si="1337"/>
        <v>Foto</v>
      </c>
      <c r="AL2104" t="str">
        <f>"{\rtf1\ansi\ansicpg1252\deff0\deflang11274{\fonttbl{\f0\fnil\fcharset0 MS Sans Serif}} \viewkind4\uc1\pard\f0\fs16 JGO. CABLES BUJ\'cdAS 18 / 21 / 21 NEVADA / FUEGO\par } "</f>
        <v xml:space="preserve">{\rtf1\ansi\ansicpg1252\deff0\deflang11274{\fonttbl{\f0\fnil\fcharset0 MS Sans Serif}} \viewkind4\uc1\pard\f0\fs16 JGO. CABLES BUJ\'cdAS 18 / 21 / 21 NEVADA / FUEGO\par } </v>
      </c>
      <c r="AM2104" t="str">
        <f t="shared" si="1360"/>
        <v>-</v>
      </c>
    </row>
    <row r="2105" spans="1:39" x14ac:dyDescent="0.25">
      <c r="A2105" t="str">
        <f>"06-33058"</f>
        <v>06-33058</v>
      </c>
      <c r="B2105" t="str">
        <f>"JGO. CABLES BUJÍAS 19 BOBINA LARGA 90CM"</f>
        <v>JGO. CABLES BUJÍAS 19 BOBINA LARGA 90CM</v>
      </c>
      <c r="C2105" t="str">
        <f>"$ 11372,88"</f>
        <v>$ 11372,88</v>
      </c>
      <c r="D2105" t="str">
        <f>"$ 11372,88"</f>
        <v>$ 11372,88</v>
      </c>
      <c r="E2105" t="str">
        <f>"$ 11372,88"</f>
        <v>$ 11372,88</v>
      </c>
      <c r="F2105" t="str">
        <f>"$ 11372,88"</f>
        <v>$ 11372,88</v>
      </c>
      <c r="G2105" t="str">
        <f>"$ 11372,88"</f>
        <v>$ 11372,88</v>
      </c>
      <c r="H2105" t="str">
        <f t="shared" si="1320"/>
        <v>$ 0,00</v>
      </c>
      <c r="I2105" t="str">
        <f t="shared" si="1361"/>
        <v>CABLES BUJÍAS PVC ANTIPARASITARIOS</v>
      </c>
      <c r="J2105" t="str">
        <f t="shared" si="1321"/>
        <v>1</v>
      </c>
      <c r="K2105" t="str">
        <f t="shared" si="1346"/>
        <v>0</v>
      </c>
      <c r="L2105" t="str">
        <f>"85,000"</f>
        <v>85,000</v>
      </c>
      <c r="M2105" t="str">
        <f t="shared" si="1322"/>
        <v xml:space="preserve"> </v>
      </c>
      <c r="N2105" t="str">
        <f t="shared" si="1359"/>
        <v>FERRAZZI</v>
      </c>
      <c r="O2105" t="str">
        <f t="shared" si="1358"/>
        <v>CABLES</v>
      </c>
      <c r="P2105" t="str">
        <f t="shared" si="1362"/>
        <v>0</v>
      </c>
      <c r="Q2105" t="str">
        <f t="shared" si="1362"/>
        <v>0</v>
      </c>
      <c r="R2105" t="str">
        <f t="shared" si="1363"/>
        <v>0,00</v>
      </c>
      <c r="S2105" t="str">
        <f t="shared" si="1363"/>
        <v>0,00</v>
      </c>
      <c r="T2105" t="str">
        <f t="shared" si="1319"/>
        <v xml:space="preserve"> </v>
      </c>
      <c r="U2105" t="str">
        <f t="shared" si="1342"/>
        <v xml:space="preserve"> </v>
      </c>
      <c r="V2105" t="str">
        <f>"85,000"</f>
        <v>85,000</v>
      </c>
      <c r="W2105" t="str">
        <f t="shared" si="1323"/>
        <v>Lista 4</v>
      </c>
      <c r="X2105" t="str">
        <f t="shared" si="1324"/>
        <v>Lista 5</v>
      </c>
      <c r="Y2105" t="str">
        <f t="shared" si="1325"/>
        <v>Oferta Gral.</v>
      </c>
      <c r="Z2105" t="str">
        <f t="shared" si="1326"/>
        <v>Rubro</v>
      </c>
      <c r="AA2105" t="str">
        <f t="shared" si="1327"/>
        <v>Cantidad por Bulto</v>
      </c>
      <c r="AB2105" t="str">
        <f t="shared" si="1328"/>
        <v>INNER</v>
      </c>
      <c r="AC2105" t="str">
        <f t="shared" si="1329"/>
        <v>Stock en Bultos</v>
      </c>
      <c r="AD2105" t="str">
        <f t="shared" si="1330"/>
        <v>SubDepósito</v>
      </c>
      <c r="AE2105" t="str">
        <f t="shared" si="1331"/>
        <v>Marca</v>
      </c>
      <c r="AF2105" t="str">
        <f t="shared" si="1332"/>
        <v>Super Rubro</v>
      </c>
      <c r="AG2105" t="str">
        <f t="shared" si="1333"/>
        <v>ComercioExterior</v>
      </c>
      <c r="AH2105" t="str">
        <f t="shared" si="1334"/>
        <v>PrecioFOB</v>
      </c>
      <c r="AI2105" t="str">
        <f t="shared" si="1335"/>
        <v>Monto II</v>
      </c>
      <c r="AJ2105" t="str">
        <f t="shared" si="1336"/>
        <v>Porcentaje II</v>
      </c>
      <c r="AK2105" t="str">
        <f t="shared" si="1337"/>
        <v>Foto</v>
      </c>
      <c r="AL2105" t="str">
        <f>"{\rtf1\ansi\ansicpg1252\deff0\deflang11274{\fonttbl{\f0\fnil\fcharset0 MS Sans Serif}} \viewkind4\uc1\pard\f0\fs16 JGO. CABLES BUJ\'cdAS 19 BOBINA LARGA 90CM\par } "</f>
        <v xml:space="preserve">{\rtf1\ansi\ansicpg1252\deff0\deflang11274{\fonttbl{\f0\fnil\fcharset0 MS Sans Serif}} \viewkind4\uc1\pard\f0\fs16 JGO. CABLES BUJ\'cdAS 19 BOBINA LARGA 90CM\par } </v>
      </c>
      <c r="AM2105" t="str">
        <f t="shared" si="1360"/>
        <v>-</v>
      </c>
    </row>
    <row r="2106" spans="1:39" x14ac:dyDescent="0.25">
      <c r="A2106" t="str">
        <f>"06-33056"</f>
        <v>06-33056</v>
      </c>
      <c r="B2106" t="str">
        <f>"JGO. CABLES BUJÍAS 19 RT 1,7 - 1,8 BOB. SECA DIST. DUCELLIER"</f>
        <v>JGO. CABLES BUJÍAS 19 RT 1,7 - 1,8 BOB. SECA DIST. DUCELLIER</v>
      </c>
      <c r="C2106" t="str">
        <f>"$ 13264,88"</f>
        <v>$ 13264,88</v>
      </c>
      <c r="D2106" t="str">
        <f>"$ 13264,88"</f>
        <v>$ 13264,88</v>
      </c>
      <c r="E2106" t="str">
        <f>"$ 13264,88"</f>
        <v>$ 13264,88</v>
      </c>
      <c r="F2106" t="str">
        <f>"$ 13264,88"</f>
        <v>$ 13264,88</v>
      </c>
      <c r="G2106" t="str">
        <f>"$ 13264,88"</f>
        <v>$ 13264,88</v>
      </c>
      <c r="H2106" t="str">
        <f t="shared" si="1320"/>
        <v>$ 0,00</v>
      </c>
      <c r="I2106" t="str">
        <f t="shared" si="1361"/>
        <v>CABLES BUJÍAS PVC ANTIPARASITARIOS</v>
      </c>
      <c r="J2106" t="str">
        <f t="shared" si="1321"/>
        <v>1</v>
      </c>
      <c r="K2106" t="str">
        <f t="shared" si="1346"/>
        <v>0</v>
      </c>
      <c r="L2106" t="str">
        <f>"24,000"</f>
        <v>24,000</v>
      </c>
      <c r="M2106" t="str">
        <f t="shared" si="1322"/>
        <v xml:space="preserve"> </v>
      </c>
      <c r="N2106" t="str">
        <f t="shared" si="1359"/>
        <v>FERRAZZI</v>
      </c>
      <c r="O2106" t="str">
        <f t="shared" si="1358"/>
        <v>CABLES</v>
      </c>
      <c r="P2106" t="str">
        <f t="shared" si="1362"/>
        <v>0</v>
      </c>
      <c r="Q2106" t="str">
        <f t="shared" si="1362"/>
        <v>0</v>
      </c>
      <c r="R2106" t="str">
        <f t="shared" si="1363"/>
        <v>0,00</v>
      </c>
      <c r="S2106" t="str">
        <f t="shared" si="1363"/>
        <v>0,00</v>
      </c>
      <c r="T2106" t="str">
        <f t="shared" si="1319"/>
        <v xml:space="preserve"> </v>
      </c>
      <c r="U2106" t="str">
        <f t="shared" si="1342"/>
        <v xml:space="preserve"> </v>
      </c>
      <c r="V2106" t="str">
        <f>"24,000"</f>
        <v>24,000</v>
      </c>
      <c r="W2106" t="str">
        <f t="shared" si="1323"/>
        <v>Lista 4</v>
      </c>
      <c r="X2106" t="str">
        <f t="shared" si="1324"/>
        <v>Lista 5</v>
      </c>
      <c r="Y2106" t="str">
        <f t="shared" si="1325"/>
        <v>Oferta Gral.</v>
      </c>
      <c r="Z2106" t="str">
        <f t="shared" si="1326"/>
        <v>Rubro</v>
      </c>
      <c r="AA2106" t="str">
        <f t="shared" si="1327"/>
        <v>Cantidad por Bulto</v>
      </c>
      <c r="AB2106" t="str">
        <f t="shared" si="1328"/>
        <v>INNER</v>
      </c>
      <c r="AC2106" t="str">
        <f t="shared" si="1329"/>
        <v>Stock en Bultos</v>
      </c>
      <c r="AD2106" t="str">
        <f t="shared" si="1330"/>
        <v>SubDepósito</v>
      </c>
      <c r="AE2106" t="str">
        <f t="shared" si="1331"/>
        <v>Marca</v>
      </c>
      <c r="AF2106" t="str">
        <f t="shared" si="1332"/>
        <v>Super Rubro</v>
      </c>
      <c r="AG2106" t="str">
        <f t="shared" si="1333"/>
        <v>ComercioExterior</v>
      </c>
      <c r="AH2106" t="str">
        <f t="shared" si="1334"/>
        <v>PrecioFOB</v>
      </c>
      <c r="AI2106" t="str">
        <f t="shared" si="1335"/>
        <v>Monto II</v>
      </c>
      <c r="AJ2106" t="str">
        <f t="shared" si="1336"/>
        <v>Porcentaje II</v>
      </c>
      <c r="AK2106" t="str">
        <f t="shared" si="1337"/>
        <v>Foto</v>
      </c>
      <c r="AL2106" t="str">
        <f>"{\rtf1\ansi\ansicpg1252\deff0\deflang11274{\fonttbl{\f0\fnil\fcharset0 MS Sans Serif}} \viewkind4\uc1\pard\f0\fs16 JGO. CABLES BUJ\'cdAS 19 RT 1,7 - 1,8 BOB. SECA DIST. DUCELLIER\par } "</f>
        <v xml:space="preserve">{\rtf1\ansi\ansicpg1252\deff0\deflang11274{\fonttbl{\f0\fnil\fcharset0 MS Sans Serif}} \viewkind4\uc1\pard\f0\fs16 JGO. CABLES BUJ\'cdAS 19 RT 1,7 - 1,8 BOB. SECA DIST. DUCELLIER\par } </v>
      </c>
      <c r="AM2106" t="str">
        <f t="shared" si="1360"/>
        <v>-</v>
      </c>
    </row>
    <row r="2107" spans="1:39" x14ac:dyDescent="0.25">
      <c r="A2107" t="str">
        <f>"07-01781"</f>
        <v>07-01781</v>
      </c>
      <c r="B2107" t="str">
        <f>"JGO. CABLES BUJÍAS 205 XS - XSI SILICONADOS 7MM"</f>
        <v>JGO. CABLES BUJÍAS 205 XS - XSI SILICONADOS 7MM</v>
      </c>
      <c r="C2107" t="str">
        <f>"$ 19419,96"</f>
        <v>$ 19419,96</v>
      </c>
      <c r="D2107" t="str">
        <f>"$ 19419,96"</f>
        <v>$ 19419,96</v>
      </c>
      <c r="E2107" t="str">
        <f>"$ 19419,96"</f>
        <v>$ 19419,96</v>
      </c>
      <c r="F2107" t="str">
        <f>"$ 19419,96"</f>
        <v>$ 19419,96</v>
      </c>
      <c r="G2107" t="str">
        <f>"$ 19419,96"</f>
        <v>$ 19419,96</v>
      </c>
      <c r="H2107" t="str">
        <f t="shared" si="1320"/>
        <v>$ 0,00</v>
      </c>
      <c r="I2107" t="str">
        <f>"CABLES BUJÍAS SILICONA ANTIPARASITARIOS"</f>
        <v>CABLES BUJÍAS SILICONA ANTIPARASITARIOS</v>
      </c>
      <c r="J2107" t="str">
        <f t="shared" si="1321"/>
        <v>1</v>
      </c>
      <c r="K2107" t="str">
        <f t="shared" si="1346"/>
        <v>0</v>
      </c>
      <c r="L2107" t="str">
        <f>"20,000"</f>
        <v>20,000</v>
      </c>
      <c r="M2107" t="str">
        <f t="shared" si="1322"/>
        <v xml:space="preserve"> </v>
      </c>
      <c r="N2107" t="str">
        <f t="shared" si="1359"/>
        <v>FERRAZZI</v>
      </c>
      <c r="O2107" t="str">
        <f t="shared" si="1358"/>
        <v>CABLES</v>
      </c>
      <c r="P2107" t="str">
        <f t="shared" si="1362"/>
        <v>0</v>
      </c>
      <c r="Q2107" t="str">
        <f t="shared" si="1362"/>
        <v>0</v>
      </c>
      <c r="R2107" t="str">
        <f t="shared" si="1363"/>
        <v>0,00</v>
      </c>
      <c r="S2107" t="str">
        <f t="shared" si="1363"/>
        <v>0,00</v>
      </c>
      <c r="T2107" t="str">
        <f t="shared" si="1319"/>
        <v xml:space="preserve"> </v>
      </c>
      <c r="U2107" t="str">
        <f t="shared" si="1342"/>
        <v xml:space="preserve"> </v>
      </c>
      <c r="V2107" t="str">
        <f>"20,000"</f>
        <v>20,000</v>
      </c>
      <c r="W2107" t="str">
        <f t="shared" si="1323"/>
        <v>Lista 4</v>
      </c>
      <c r="X2107" t="str">
        <f t="shared" si="1324"/>
        <v>Lista 5</v>
      </c>
      <c r="Y2107" t="str">
        <f t="shared" si="1325"/>
        <v>Oferta Gral.</v>
      </c>
      <c r="Z2107" t="str">
        <f t="shared" si="1326"/>
        <v>Rubro</v>
      </c>
      <c r="AA2107" t="str">
        <f t="shared" si="1327"/>
        <v>Cantidad por Bulto</v>
      </c>
      <c r="AB2107" t="str">
        <f t="shared" si="1328"/>
        <v>INNER</v>
      </c>
      <c r="AC2107" t="str">
        <f t="shared" si="1329"/>
        <v>Stock en Bultos</v>
      </c>
      <c r="AD2107" t="str">
        <f t="shared" si="1330"/>
        <v>SubDepósito</v>
      </c>
      <c r="AE2107" t="str">
        <f t="shared" si="1331"/>
        <v>Marca</v>
      </c>
      <c r="AF2107" t="str">
        <f t="shared" si="1332"/>
        <v>Super Rubro</v>
      </c>
      <c r="AG2107" t="str">
        <f t="shared" si="1333"/>
        <v>ComercioExterior</v>
      </c>
      <c r="AH2107" t="str">
        <f t="shared" si="1334"/>
        <v>PrecioFOB</v>
      </c>
      <c r="AI2107" t="str">
        <f t="shared" si="1335"/>
        <v>Monto II</v>
      </c>
      <c r="AJ2107" t="str">
        <f t="shared" si="1336"/>
        <v>Porcentaje II</v>
      </c>
      <c r="AK2107" t="str">
        <f t="shared" si="1337"/>
        <v>Foto</v>
      </c>
      <c r="AL2107" t="str">
        <f>"{\rtf1\ansi\ansicpg1252\deff0\deflang11274{\fonttbl{\f0\fnil\fcharset0 MS Sans Serif}} \viewkind4\uc1\pard\f0\fs16 JGO. CABLES BUJ\'cdAS 205 XS - XSI SILICONADOS 7MM\par } "</f>
        <v xml:space="preserve">{\rtf1\ansi\ansicpg1252\deff0\deflang11274{\fonttbl{\f0\fnil\fcharset0 MS Sans Serif}} \viewkind4\uc1\pard\f0\fs16 JGO. CABLES BUJ\'cdAS 205 XS - XSI SILICONADOS 7MM\par } </v>
      </c>
      <c r="AM2107" t="str">
        <f t="shared" si="1360"/>
        <v>-</v>
      </c>
    </row>
    <row r="2108" spans="1:39" x14ac:dyDescent="0.25">
      <c r="A2108" t="str">
        <f>"06-33017"</f>
        <v>06-33017</v>
      </c>
      <c r="B2108" t="str">
        <f>"JGO. CABLES BUJÍAS 21 - ALIZE -ENCENDIDO MARELLI"</f>
        <v>JGO. CABLES BUJÍAS 21 - ALIZE -ENCENDIDO MARELLI</v>
      </c>
      <c r="C2108" t="str">
        <f>"$ 16526,21"</f>
        <v>$ 16526,21</v>
      </c>
      <c r="D2108" t="str">
        <f>"$ 16526,21"</f>
        <v>$ 16526,21</v>
      </c>
      <c r="E2108" t="str">
        <f>"$ 16526,21"</f>
        <v>$ 16526,21</v>
      </c>
      <c r="F2108" t="str">
        <f>"$ 16526,21"</f>
        <v>$ 16526,21</v>
      </c>
      <c r="G2108" t="str">
        <f>"$ 16526,21"</f>
        <v>$ 16526,21</v>
      </c>
      <c r="H2108" t="str">
        <f t="shared" si="1320"/>
        <v>$ 0,00</v>
      </c>
      <c r="I2108" t="str">
        <f t="shared" ref="I2108:I2119" si="1364">"CABLES BUJÍAS PVC ANTIPARASITARIOS"</f>
        <v>CABLES BUJÍAS PVC ANTIPARASITARIOS</v>
      </c>
      <c r="J2108" t="str">
        <f t="shared" si="1321"/>
        <v>1</v>
      </c>
      <c r="K2108" t="str">
        <f t="shared" si="1346"/>
        <v>0</v>
      </c>
      <c r="L2108" t="str">
        <f>"5,000"</f>
        <v>5,000</v>
      </c>
      <c r="M2108" t="str">
        <f t="shared" si="1322"/>
        <v xml:space="preserve"> </v>
      </c>
      <c r="N2108" t="str">
        <f t="shared" si="1359"/>
        <v>FERRAZZI</v>
      </c>
      <c r="O2108" t="str">
        <f t="shared" si="1358"/>
        <v>CABLES</v>
      </c>
      <c r="P2108" t="str">
        <f t="shared" si="1362"/>
        <v>0</v>
      </c>
      <c r="Q2108" t="str">
        <f t="shared" si="1362"/>
        <v>0</v>
      </c>
      <c r="R2108" t="str">
        <f t="shared" si="1363"/>
        <v>0,00</v>
      </c>
      <c r="S2108" t="str">
        <f t="shared" si="1363"/>
        <v>0,00</v>
      </c>
      <c r="T2108" t="str">
        <f t="shared" si="1319"/>
        <v xml:space="preserve"> </v>
      </c>
      <c r="U2108" t="str">
        <f t="shared" si="1342"/>
        <v xml:space="preserve"> </v>
      </c>
      <c r="V2108" t="str">
        <f>"5,000"</f>
        <v>5,000</v>
      </c>
      <c r="W2108" t="str">
        <f t="shared" si="1323"/>
        <v>Lista 4</v>
      </c>
      <c r="X2108" t="str">
        <f t="shared" si="1324"/>
        <v>Lista 5</v>
      </c>
      <c r="Y2108" t="str">
        <f t="shared" si="1325"/>
        <v>Oferta Gral.</v>
      </c>
      <c r="Z2108" t="str">
        <f t="shared" si="1326"/>
        <v>Rubro</v>
      </c>
      <c r="AA2108" t="str">
        <f t="shared" si="1327"/>
        <v>Cantidad por Bulto</v>
      </c>
      <c r="AB2108" t="str">
        <f t="shared" si="1328"/>
        <v>INNER</v>
      </c>
      <c r="AC2108" t="str">
        <f t="shared" si="1329"/>
        <v>Stock en Bultos</v>
      </c>
      <c r="AD2108" t="str">
        <f t="shared" si="1330"/>
        <v>SubDepósito</v>
      </c>
      <c r="AE2108" t="str">
        <f t="shared" si="1331"/>
        <v>Marca</v>
      </c>
      <c r="AF2108" t="str">
        <f t="shared" si="1332"/>
        <v>Super Rubro</v>
      </c>
      <c r="AG2108" t="str">
        <f t="shared" si="1333"/>
        <v>ComercioExterior</v>
      </c>
      <c r="AH2108" t="str">
        <f t="shared" si="1334"/>
        <v>PrecioFOB</v>
      </c>
      <c r="AI2108" t="str">
        <f t="shared" si="1335"/>
        <v>Monto II</v>
      </c>
      <c r="AJ2108" t="str">
        <f t="shared" si="1336"/>
        <v>Porcentaje II</v>
      </c>
      <c r="AK2108" t="str">
        <f t="shared" si="1337"/>
        <v>Foto</v>
      </c>
      <c r="AL2108" t="str">
        <f>"{\rtf1\ansi\ansicpg1252\deff0\deflang11274{\fonttbl{\f0\fnil\fcharset0 MS Sans Serif}} \viewkind4\uc1\pard\f0\fs16 JGO. CABLES BUJ\'cdAS 21 - ALIZE -ENCENDIDO MARELLI\par } "</f>
        <v xml:space="preserve">{\rtf1\ansi\ansicpg1252\deff0\deflang11274{\fonttbl{\f0\fnil\fcharset0 MS Sans Serif}} \viewkind4\uc1\pard\f0\fs16 JGO. CABLES BUJ\'cdAS 21 - ALIZE -ENCENDIDO MARELLI\par } </v>
      </c>
      <c r="AM2108" t="str">
        <f t="shared" si="1360"/>
        <v>-</v>
      </c>
    </row>
    <row r="2109" spans="1:39" x14ac:dyDescent="0.25">
      <c r="A2109" t="str">
        <f>"07-33077"</f>
        <v>07-33077</v>
      </c>
      <c r="B2109" t="str">
        <f>"JGO. CABLES BUJÍAS 306/405 SR-ST XN-XR-GR"</f>
        <v>JGO. CABLES BUJÍAS 306/405 SR-ST XN-XR-GR</v>
      </c>
      <c r="C2109" t="str">
        <f>"$ 18224,89"</f>
        <v>$ 18224,89</v>
      </c>
      <c r="D2109" t="str">
        <f>"$ 18224,89"</f>
        <v>$ 18224,89</v>
      </c>
      <c r="E2109" t="str">
        <f>"$ 18224,89"</f>
        <v>$ 18224,89</v>
      </c>
      <c r="F2109" t="str">
        <f>"$ 18224,89"</f>
        <v>$ 18224,89</v>
      </c>
      <c r="G2109" t="str">
        <f>"$ 18224,89"</f>
        <v>$ 18224,89</v>
      </c>
      <c r="H2109" t="str">
        <f t="shared" si="1320"/>
        <v>$ 0,00</v>
      </c>
      <c r="I2109" t="str">
        <f t="shared" si="1364"/>
        <v>CABLES BUJÍAS PVC ANTIPARASITARIOS</v>
      </c>
      <c r="J2109" t="str">
        <f t="shared" si="1321"/>
        <v>1</v>
      </c>
      <c r="K2109" t="str">
        <f t="shared" si="1346"/>
        <v>0</v>
      </c>
      <c r="L2109" t="str">
        <f>"13,000"</f>
        <v>13,000</v>
      </c>
      <c r="M2109" t="str">
        <f t="shared" si="1322"/>
        <v xml:space="preserve"> </v>
      </c>
      <c r="N2109" t="str">
        <f t="shared" si="1359"/>
        <v>FERRAZZI</v>
      </c>
      <c r="O2109" t="str">
        <f t="shared" si="1358"/>
        <v>CABLES</v>
      </c>
      <c r="P2109" t="str">
        <f t="shared" si="1362"/>
        <v>0</v>
      </c>
      <c r="Q2109" t="str">
        <f t="shared" si="1362"/>
        <v>0</v>
      </c>
      <c r="R2109" t="str">
        <f t="shared" si="1363"/>
        <v>0,00</v>
      </c>
      <c r="S2109" t="str">
        <f t="shared" si="1363"/>
        <v>0,00</v>
      </c>
      <c r="T2109" t="str">
        <f t="shared" si="1319"/>
        <v xml:space="preserve"> </v>
      </c>
      <c r="U2109" t="str">
        <f t="shared" si="1342"/>
        <v xml:space="preserve"> </v>
      </c>
      <c r="V2109" t="str">
        <f>"13,000"</f>
        <v>13,000</v>
      </c>
      <c r="W2109" t="str">
        <f t="shared" si="1323"/>
        <v>Lista 4</v>
      </c>
      <c r="X2109" t="str">
        <f t="shared" si="1324"/>
        <v>Lista 5</v>
      </c>
      <c r="Y2109" t="str">
        <f t="shared" si="1325"/>
        <v>Oferta Gral.</v>
      </c>
      <c r="Z2109" t="str">
        <f t="shared" si="1326"/>
        <v>Rubro</v>
      </c>
      <c r="AA2109" t="str">
        <f t="shared" si="1327"/>
        <v>Cantidad por Bulto</v>
      </c>
      <c r="AB2109" t="str">
        <f t="shared" si="1328"/>
        <v>INNER</v>
      </c>
      <c r="AC2109" t="str">
        <f t="shared" si="1329"/>
        <v>Stock en Bultos</v>
      </c>
      <c r="AD2109" t="str">
        <f t="shared" si="1330"/>
        <v>SubDepósito</v>
      </c>
      <c r="AE2109" t="str">
        <f t="shared" si="1331"/>
        <v>Marca</v>
      </c>
      <c r="AF2109" t="str">
        <f t="shared" si="1332"/>
        <v>Super Rubro</v>
      </c>
      <c r="AG2109" t="str">
        <f t="shared" si="1333"/>
        <v>ComercioExterior</v>
      </c>
      <c r="AH2109" t="str">
        <f t="shared" si="1334"/>
        <v>PrecioFOB</v>
      </c>
      <c r="AI2109" t="str">
        <f t="shared" si="1335"/>
        <v>Monto II</v>
      </c>
      <c r="AJ2109" t="str">
        <f t="shared" si="1336"/>
        <v>Porcentaje II</v>
      </c>
      <c r="AK2109" t="str">
        <f t="shared" si="1337"/>
        <v>Foto</v>
      </c>
      <c r="AL2109" t="str">
        <f>"{\rtf1\ansi\ansicpg1252\deff0\deflang11274{\fonttbl{\f0\fnil\fcharset0 MS Sans Serif}} \viewkind4\uc1\pard\f0\fs16 JGO. CABLES BUJ\'cdAS 306/405 SR-ST XN-XR-GR\par } "</f>
        <v xml:space="preserve">{\rtf1\ansi\ansicpg1252\deff0\deflang11274{\fonttbl{\f0\fnil\fcharset0 MS Sans Serif}} \viewkind4\uc1\pard\f0\fs16 JGO. CABLES BUJ\'cdAS 306/405 SR-ST XN-XR-GR\par } </v>
      </c>
      <c r="AM2109" t="str">
        <f t="shared" si="1360"/>
        <v>-</v>
      </c>
    </row>
    <row r="2110" spans="1:39" x14ac:dyDescent="0.25">
      <c r="A2110" t="str">
        <f>"06-33080"</f>
        <v>06-33080</v>
      </c>
      <c r="B2110" t="str">
        <f>"JGO. CABLES BUJÍAS 4 - 4L - GORDINI"</f>
        <v>JGO. CABLES BUJÍAS 4 - 4L - GORDINI</v>
      </c>
      <c r="C2110" t="str">
        <f>"$ 8609,76"</f>
        <v>$ 8609,76</v>
      </c>
      <c r="D2110" t="str">
        <f>"$ 8609,76"</f>
        <v>$ 8609,76</v>
      </c>
      <c r="E2110" t="str">
        <f>"$ 8609,76"</f>
        <v>$ 8609,76</v>
      </c>
      <c r="F2110" t="str">
        <f>"$ 8609,76"</f>
        <v>$ 8609,76</v>
      </c>
      <c r="G2110" t="str">
        <f>"$ 8609,76"</f>
        <v>$ 8609,76</v>
      </c>
      <c r="H2110" t="str">
        <f t="shared" si="1320"/>
        <v>$ 0,00</v>
      </c>
      <c r="I2110" t="str">
        <f t="shared" si="1364"/>
        <v>CABLES BUJÍAS PVC ANTIPARASITARIOS</v>
      </c>
      <c r="J2110" t="str">
        <f t="shared" si="1321"/>
        <v>1</v>
      </c>
      <c r="K2110" t="str">
        <f t="shared" si="1346"/>
        <v>0</v>
      </c>
      <c r="L2110" t="str">
        <f>"0,000"</f>
        <v>0,000</v>
      </c>
      <c r="M2110" t="str">
        <f t="shared" si="1322"/>
        <v xml:space="preserve"> </v>
      </c>
      <c r="N2110" t="str">
        <f t="shared" si="1359"/>
        <v>FERRAZZI</v>
      </c>
      <c r="O2110" t="str">
        <f t="shared" si="1358"/>
        <v>CABLES</v>
      </c>
      <c r="P2110" t="str">
        <f t="shared" si="1362"/>
        <v>0</v>
      </c>
      <c r="Q2110" t="str">
        <f t="shared" si="1362"/>
        <v>0</v>
      </c>
      <c r="R2110" t="str">
        <f t="shared" si="1363"/>
        <v>0,00</v>
      </c>
      <c r="S2110" t="str">
        <f t="shared" si="1363"/>
        <v>0,00</v>
      </c>
      <c r="T2110" t="str">
        <f t="shared" si="1319"/>
        <v xml:space="preserve"> </v>
      </c>
      <c r="U2110" t="str">
        <f t="shared" si="1342"/>
        <v xml:space="preserve"> </v>
      </c>
      <c r="V2110" t="str">
        <f>"0,000"</f>
        <v>0,000</v>
      </c>
      <c r="W2110" t="str">
        <f t="shared" si="1323"/>
        <v>Lista 4</v>
      </c>
      <c r="X2110" t="str">
        <f t="shared" si="1324"/>
        <v>Lista 5</v>
      </c>
      <c r="Y2110" t="str">
        <f t="shared" si="1325"/>
        <v>Oferta Gral.</v>
      </c>
      <c r="Z2110" t="str">
        <f t="shared" si="1326"/>
        <v>Rubro</v>
      </c>
      <c r="AA2110" t="str">
        <f t="shared" si="1327"/>
        <v>Cantidad por Bulto</v>
      </c>
      <c r="AB2110" t="str">
        <f t="shared" si="1328"/>
        <v>INNER</v>
      </c>
      <c r="AC2110" t="str">
        <f t="shared" si="1329"/>
        <v>Stock en Bultos</v>
      </c>
      <c r="AD2110" t="str">
        <f t="shared" si="1330"/>
        <v>SubDepósito</v>
      </c>
      <c r="AE2110" t="str">
        <f t="shared" si="1331"/>
        <v>Marca</v>
      </c>
      <c r="AF2110" t="str">
        <f t="shared" si="1332"/>
        <v>Super Rubro</v>
      </c>
      <c r="AG2110" t="str">
        <f t="shared" si="1333"/>
        <v>ComercioExterior</v>
      </c>
      <c r="AH2110" t="str">
        <f t="shared" si="1334"/>
        <v>PrecioFOB</v>
      </c>
      <c r="AI2110" t="str">
        <f t="shared" si="1335"/>
        <v>Monto II</v>
      </c>
      <c r="AJ2110" t="str">
        <f t="shared" si="1336"/>
        <v>Porcentaje II</v>
      </c>
      <c r="AK2110" t="str">
        <f t="shared" si="1337"/>
        <v>Foto</v>
      </c>
      <c r="AL2110" t="str">
        <f>"{\rtf1\ansi\ansicpg1252\deff0\deflang11274{\fonttbl{\f0\fnil\fcharset0 MS Sans Serif}} \viewkind4\uc1\pard\f0\fs16 JGO. CABLES BUJ\'cdAS 4 - 4L - GORDINI\par } "</f>
        <v xml:space="preserve">{\rtf1\ansi\ansicpg1252\deff0\deflang11274{\fonttbl{\f0\fnil\fcharset0 MS Sans Serif}} \viewkind4\uc1\pard\f0\fs16 JGO. CABLES BUJ\'cdAS 4 - 4L - GORDINI\par } </v>
      </c>
      <c r="AM2110" t="str">
        <f t="shared" si="1360"/>
        <v>-</v>
      </c>
    </row>
    <row r="2111" spans="1:39" x14ac:dyDescent="0.25">
      <c r="A2111" t="str">
        <f>"07-33076"</f>
        <v>07-33076</v>
      </c>
      <c r="B2111" t="str">
        <f>"JGO. CABLES BUJÍAS 405 GR - SR 1.9 8V CARBURADO/PARTNER"</f>
        <v>JGO. CABLES BUJÍAS 405 GR - SR 1.9 8V CARBURADO/PARTNER</v>
      </c>
      <c r="C2111" t="str">
        <f>"$ 14402,40"</f>
        <v>$ 14402,40</v>
      </c>
      <c r="D2111" t="str">
        <f>"$ 14402,40"</f>
        <v>$ 14402,40</v>
      </c>
      <c r="E2111" t="str">
        <f>"$ 14402,40"</f>
        <v>$ 14402,40</v>
      </c>
      <c r="F2111" t="str">
        <f>"$ 14402,40"</f>
        <v>$ 14402,40</v>
      </c>
      <c r="G2111" t="str">
        <f>"$ 14402,40"</f>
        <v>$ 14402,40</v>
      </c>
      <c r="H2111" t="str">
        <f t="shared" si="1320"/>
        <v>$ 0,00</v>
      </c>
      <c r="I2111" t="str">
        <f t="shared" si="1364"/>
        <v>CABLES BUJÍAS PVC ANTIPARASITARIOS</v>
      </c>
      <c r="J2111" t="str">
        <f t="shared" si="1321"/>
        <v>1</v>
      </c>
      <c r="K2111" t="str">
        <f t="shared" si="1346"/>
        <v>0</v>
      </c>
      <c r="L2111" t="str">
        <f>"13,000"</f>
        <v>13,000</v>
      </c>
      <c r="M2111" t="str">
        <f t="shared" si="1322"/>
        <v xml:space="preserve"> </v>
      </c>
      <c r="N2111" t="str">
        <f t="shared" si="1359"/>
        <v>FERRAZZI</v>
      </c>
      <c r="O2111" t="str">
        <f t="shared" si="1358"/>
        <v>CABLES</v>
      </c>
      <c r="P2111" t="str">
        <f t="shared" si="1362"/>
        <v>0</v>
      </c>
      <c r="Q2111" t="str">
        <f t="shared" si="1362"/>
        <v>0</v>
      </c>
      <c r="R2111" t="str">
        <f t="shared" si="1363"/>
        <v>0,00</v>
      </c>
      <c r="S2111" t="str">
        <f t="shared" si="1363"/>
        <v>0,00</v>
      </c>
      <c r="T2111" t="str">
        <f t="shared" si="1319"/>
        <v xml:space="preserve"> </v>
      </c>
      <c r="U2111" t="str">
        <f t="shared" si="1342"/>
        <v xml:space="preserve"> </v>
      </c>
      <c r="V2111" t="str">
        <f>"13,000"</f>
        <v>13,000</v>
      </c>
      <c r="W2111" t="str">
        <f t="shared" si="1323"/>
        <v>Lista 4</v>
      </c>
      <c r="X2111" t="str">
        <f t="shared" si="1324"/>
        <v>Lista 5</v>
      </c>
      <c r="Y2111" t="str">
        <f t="shared" si="1325"/>
        <v>Oferta Gral.</v>
      </c>
      <c r="Z2111" t="str">
        <f t="shared" si="1326"/>
        <v>Rubro</v>
      </c>
      <c r="AA2111" t="str">
        <f t="shared" si="1327"/>
        <v>Cantidad por Bulto</v>
      </c>
      <c r="AB2111" t="str">
        <f t="shared" si="1328"/>
        <v>INNER</v>
      </c>
      <c r="AC2111" t="str">
        <f t="shared" si="1329"/>
        <v>Stock en Bultos</v>
      </c>
      <c r="AD2111" t="str">
        <f t="shared" si="1330"/>
        <v>SubDepósito</v>
      </c>
      <c r="AE2111" t="str">
        <f t="shared" si="1331"/>
        <v>Marca</v>
      </c>
      <c r="AF2111" t="str">
        <f t="shared" si="1332"/>
        <v>Super Rubro</v>
      </c>
      <c r="AG2111" t="str">
        <f t="shared" si="1333"/>
        <v>ComercioExterior</v>
      </c>
      <c r="AH2111" t="str">
        <f t="shared" si="1334"/>
        <v>PrecioFOB</v>
      </c>
      <c r="AI2111" t="str">
        <f t="shared" si="1335"/>
        <v>Monto II</v>
      </c>
      <c r="AJ2111" t="str">
        <f t="shared" si="1336"/>
        <v>Porcentaje II</v>
      </c>
      <c r="AK2111" t="str">
        <f t="shared" si="1337"/>
        <v>Foto</v>
      </c>
      <c r="AL2111" t="str">
        <f>"{\rtf1\ansi\ansicpg1252\deff0\deflang11274{\fonttbl{\f0\fnil\fcharset0 MS Sans Serif}} \viewkind4\uc1\pard\f0\fs16 JGO. CABLES BUJ\'cdAS 405 GR - SR 1.9 8V CARBURADO/PARTNER\par } "</f>
        <v xml:space="preserve">{\rtf1\ansi\ansicpg1252\deff0\deflang11274{\fonttbl{\f0\fnil\fcharset0 MS Sans Serif}} \viewkind4\uc1\pard\f0\fs16 JGO. CABLES BUJ\'cdAS 405 GR - SR 1.9 8V CARBURADO/PARTNER\par } </v>
      </c>
      <c r="AM2111" t="str">
        <f t="shared" si="1360"/>
        <v>-</v>
      </c>
    </row>
    <row r="2112" spans="1:39" x14ac:dyDescent="0.25">
      <c r="A2112" t="str">
        <f>"07-33075"</f>
        <v>07-33075</v>
      </c>
      <c r="B2112" t="str">
        <f>"JGO. CABLES BUJÍAS 405 SRI 2.0"</f>
        <v>JGO. CABLES BUJÍAS 405 SRI 2.0</v>
      </c>
      <c r="C2112" t="str">
        <f>"$ 17594,80"</f>
        <v>$ 17594,80</v>
      </c>
      <c r="D2112" t="str">
        <f>"$ 17594,80"</f>
        <v>$ 17594,80</v>
      </c>
      <c r="E2112" t="str">
        <f>"$ 17594,80"</f>
        <v>$ 17594,80</v>
      </c>
      <c r="F2112" t="str">
        <f>"$ 17594,80"</f>
        <v>$ 17594,80</v>
      </c>
      <c r="G2112" t="str">
        <f>"$ 17594,80"</f>
        <v>$ 17594,80</v>
      </c>
      <c r="H2112" t="str">
        <f t="shared" si="1320"/>
        <v>$ 0,00</v>
      </c>
      <c r="I2112" t="str">
        <f t="shared" si="1364"/>
        <v>CABLES BUJÍAS PVC ANTIPARASITARIOS</v>
      </c>
      <c r="J2112" t="str">
        <f t="shared" si="1321"/>
        <v>1</v>
      </c>
      <c r="K2112" t="str">
        <f t="shared" si="1346"/>
        <v>0</v>
      </c>
      <c r="L2112" t="str">
        <f>"5,000"</f>
        <v>5,000</v>
      </c>
      <c r="M2112" t="str">
        <f t="shared" si="1322"/>
        <v xml:space="preserve"> </v>
      </c>
      <c r="N2112" t="str">
        <f t="shared" si="1359"/>
        <v>FERRAZZI</v>
      </c>
      <c r="O2112" t="str">
        <f t="shared" si="1358"/>
        <v>CABLES</v>
      </c>
      <c r="P2112" t="str">
        <f t="shared" si="1362"/>
        <v>0</v>
      </c>
      <c r="Q2112" t="str">
        <f t="shared" si="1362"/>
        <v>0</v>
      </c>
      <c r="R2112" t="str">
        <f t="shared" si="1363"/>
        <v>0,00</v>
      </c>
      <c r="S2112" t="str">
        <f t="shared" si="1363"/>
        <v>0,00</v>
      </c>
      <c r="T2112" t="str">
        <f t="shared" ref="T2112:T2175" si="1365">" "</f>
        <v xml:space="preserve"> </v>
      </c>
      <c r="U2112" t="str">
        <f t="shared" si="1342"/>
        <v xml:space="preserve"> </v>
      </c>
      <c r="V2112" t="str">
        <f>"5,000"</f>
        <v>5,000</v>
      </c>
      <c r="W2112" t="str">
        <f t="shared" si="1323"/>
        <v>Lista 4</v>
      </c>
      <c r="X2112" t="str">
        <f t="shared" si="1324"/>
        <v>Lista 5</v>
      </c>
      <c r="Y2112" t="str">
        <f t="shared" si="1325"/>
        <v>Oferta Gral.</v>
      </c>
      <c r="Z2112" t="str">
        <f t="shared" si="1326"/>
        <v>Rubro</v>
      </c>
      <c r="AA2112" t="str">
        <f t="shared" si="1327"/>
        <v>Cantidad por Bulto</v>
      </c>
      <c r="AB2112" t="str">
        <f t="shared" si="1328"/>
        <v>INNER</v>
      </c>
      <c r="AC2112" t="str">
        <f t="shared" si="1329"/>
        <v>Stock en Bultos</v>
      </c>
      <c r="AD2112" t="str">
        <f t="shared" si="1330"/>
        <v>SubDepósito</v>
      </c>
      <c r="AE2112" t="str">
        <f t="shared" si="1331"/>
        <v>Marca</v>
      </c>
      <c r="AF2112" t="str">
        <f t="shared" si="1332"/>
        <v>Super Rubro</v>
      </c>
      <c r="AG2112" t="str">
        <f t="shared" si="1333"/>
        <v>ComercioExterior</v>
      </c>
      <c r="AH2112" t="str">
        <f t="shared" si="1334"/>
        <v>PrecioFOB</v>
      </c>
      <c r="AI2112" t="str">
        <f t="shared" si="1335"/>
        <v>Monto II</v>
      </c>
      <c r="AJ2112" t="str">
        <f t="shared" si="1336"/>
        <v>Porcentaje II</v>
      </c>
      <c r="AK2112" t="str">
        <f t="shared" si="1337"/>
        <v>Foto</v>
      </c>
      <c r="AL2112" t="str">
        <f>"{\rtf1\ansi\ansicpg1252\deff0\deflang11274{\fonttbl{\f0\fnil\fcharset0 MS Sans Serif}} \viewkind4\uc1\pard\f0\fs16 JGO. CABLES BUJ\'cdAS 405 SRI 2.0\par } "</f>
        <v xml:space="preserve">{\rtf1\ansi\ansicpg1252\deff0\deflang11274{\fonttbl{\f0\fnil\fcharset0 MS Sans Serif}} \viewkind4\uc1\pard\f0\fs16 JGO. CABLES BUJ\'cdAS 405 SRI 2.0\par } </v>
      </c>
      <c r="AM2112" t="str">
        <f t="shared" si="1360"/>
        <v>-</v>
      </c>
    </row>
    <row r="2113" spans="1:39" x14ac:dyDescent="0.25">
      <c r="A2113" t="str">
        <f>"07-33072"</f>
        <v>07-33072</v>
      </c>
      <c r="B2113" t="str">
        <f>"JGO. CABLES BUJÍAS 504 MOTOR 2000"</f>
        <v>JGO. CABLES BUJÍAS 504 MOTOR 2000</v>
      </c>
      <c r="C2113" t="str">
        <f>"$ 8728,15"</f>
        <v>$ 8728,15</v>
      </c>
      <c r="D2113" t="str">
        <f>"$ 8728,15"</f>
        <v>$ 8728,15</v>
      </c>
      <c r="E2113" t="str">
        <f>"$ 8728,15"</f>
        <v>$ 8728,15</v>
      </c>
      <c r="F2113" t="str">
        <f>"$ 8728,15"</f>
        <v>$ 8728,15</v>
      </c>
      <c r="G2113" t="str">
        <f>"$ 8728,15"</f>
        <v>$ 8728,15</v>
      </c>
      <c r="H2113" t="str">
        <f t="shared" si="1320"/>
        <v>$ 0,00</v>
      </c>
      <c r="I2113" t="str">
        <f t="shared" si="1364"/>
        <v>CABLES BUJÍAS PVC ANTIPARASITARIOS</v>
      </c>
      <c r="J2113" t="str">
        <f t="shared" si="1321"/>
        <v>1</v>
      </c>
      <c r="K2113" t="str">
        <f t="shared" si="1346"/>
        <v>0</v>
      </c>
      <c r="L2113" t="str">
        <f>"20,000"</f>
        <v>20,000</v>
      </c>
      <c r="M2113" t="str">
        <f t="shared" si="1322"/>
        <v xml:space="preserve"> </v>
      </c>
      <c r="N2113" t="str">
        <f t="shared" si="1359"/>
        <v>FERRAZZI</v>
      </c>
      <c r="O2113" t="str">
        <f t="shared" si="1358"/>
        <v>CABLES</v>
      </c>
      <c r="P2113" t="str">
        <f t="shared" si="1362"/>
        <v>0</v>
      </c>
      <c r="Q2113" t="str">
        <f t="shared" si="1362"/>
        <v>0</v>
      </c>
      <c r="R2113" t="str">
        <f t="shared" si="1363"/>
        <v>0,00</v>
      </c>
      <c r="S2113" t="str">
        <f t="shared" si="1363"/>
        <v>0,00</v>
      </c>
      <c r="T2113" t="str">
        <f t="shared" si="1365"/>
        <v xml:space="preserve"> </v>
      </c>
      <c r="U2113" t="str">
        <f t="shared" si="1342"/>
        <v xml:space="preserve"> </v>
      </c>
      <c r="V2113" t="str">
        <f>"20,000"</f>
        <v>20,000</v>
      </c>
      <c r="W2113" t="str">
        <f t="shared" si="1323"/>
        <v>Lista 4</v>
      </c>
      <c r="X2113" t="str">
        <f t="shared" si="1324"/>
        <v>Lista 5</v>
      </c>
      <c r="Y2113" t="str">
        <f t="shared" si="1325"/>
        <v>Oferta Gral.</v>
      </c>
      <c r="Z2113" t="str">
        <f t="shared" si="1326"/>
        <v>Rubro</v>
      </c>
      <c r="AA2113" t="str">
        <f t="shared" si="1327"/>
        <v>Cantidad por Bulto</v>
      </c>
      <c r="AB2113" t="str">
        <f t="shared" si="1328"/>
        <v>INNER</v>
      </c>
      <c r="AC2113" t="str">
        <f t="shared" si="1329"/>
        <v>Stock en Bultos</v>
      </c>
      <c r="AD2113" t="str">
        <f t="shared" si="1330"/>
        <v>SubDepósito</v>
      </c>
      <c r="AE2113" t="str">
        <f t="shared" si="1331"/>
        <v>Marca</v>
      </c>
      <c r="AF2113" t="str">
        <f t="shared" si="1332"/>
        <v>Super Rubro</v>
      </c>
      <c r="AG2113" t="str">
        <f t="shared" si="1333"/>
        <v>ComercioExterior</v>
      </c>
      <c r="AH2113" t="str">
        <f t="shared" si="1334"/>
        <v>PrecioFOB</v>
      </c>
      <c r="AI2113" t="str">
        <f t="shared" si="1335"/>
        <v>Monto II</v>
      </c>
      <c r="AJ2113" t="str">
        <f t="shared" si="1336"/>
        <v>Porcentaje II</v>
      </c>
      <c r="AK2113" t="str">
        <f t="shared" si="1337"/>
        <v>Foto</v>
      </c>
      <c r="AL2113" t="str">
        <f>"{\rtf1\ansi\ansicpg1252\deff0\deflang11274{\fonttbl{\f0\fnil\fcharset0 MS Sans Serif}} \viewkind4\uc1\pard\f0\fs16 JGO. CABLES BUJ\'cdAS 504 MOTOR 2000\par } "</f>
        <v xml:space="preserve">{\rtf1\ansi\ansicpg1252\deff0\deflang11274{\fonttbl{\f0\fnil\fcharset0 MS Sans Serif}} \viewkind4\uc1\pard\f0\fs16 JGO. CABLES BUJ\'cdAS 504 MOTOR 2000\par } </v>
      </c>
      <c r="AM2113" t="str">
        <f t="shared" si="1360"/>
        <v>-</v>
      </c>
    </row>
    <row r="2114" spans="1:39" x14ac:dyDescent="0.25">
      <c r="A2114" t="str">
        <f>"07-33073"</f>
        <v>07-33073</v>
      </c>
      <c r="B2114" t="str">
        <f>"JGO. CABLES BUJÍAS 505 1.8 - 2.0 GR-SR"</f>
        <v>JGO. CABLES BUJÍAS 505 1.8 - 2.0 GR-SR</v>
      </c>
      <c r="C2114" t="str">
        <f>"$ 8590,61"</f>
        <v>$ 8590,61</v>
      </c>
      <c r="D2114" t="str">
        <f>"$ 8590,61"</f>
        <v>$ 8590,61</v>
      </c>
      <c r="E2114" t="str">
        <f>"$ 8590,61"</f>
        <v>$ 8590,61</v>
      </c>
      <c r="F2114" t="str">
        <f>"$ 8590,61"</f>
        <v>$ 8590,61</v>
      </c>
      <c r="G2114" t="str">
        <f>"$ 8590,61"</f>
        <v>$ 8590,61</v>
      </c>
      <c r="H2114" t="str">
        <f t="shared" si="1320"/>
        <v>$ 0,00</v>
      </c>
      <c r="I2114" t="str">
        <f t="shared" si="1364"/>
        <v>CABLES BUJÍAS PVC ANTIPARASITARIOS</v>
      </c>
      <c r="J2114" t="str">
        <f t="shared" si="1321"/>
        <v>1</v>
      </c>
      <c r="K2114" t="str">
        <f t="shared" si="1346"/>
        <v>0</v>
      </c>
      <c r="L2114" t="str">
        <f>"6,000"</f>
        <v>6,000</v>
      </c>
      <c r="M2114" t="str">
        <f t="shared" si="1322"/>
        <v xml:space="preserve"> </v>
      </c>
      <c r="N2114" t="str">
        <f t="shared" si="1359"/>
        <v>FERRAZZI</v>
      </c>
      <c r="O2114" t="str">
        <f t="shared" si="1358"/>
        <v>CABLES</v>
      </c>
      <c r="P2114" t="str">
        <f t="shared" si="1362"/>
        <v>0</v>
      </c>
      <c r="Q2114" t="str">
        <f t="shared" si="1362"/>
        <v>0</v>
      </c>
      <c r="R2114" t="str">
        <f t="shared" si="1363"/>
        <v>0,00</v>
      </c>
      <c r="S2114" t="str">
        <f t="shared" si="1363"/>
        <v>0,00</v>
      </c>
      <c r="T2114" t="str">
        <f t="shared" si="1365"/>
        <v xml:space="preserve"> </v>
      </c>
      <c r="U2114" t="str">
        <f t="shared" si="1342"/>
        <v xml:space="preserve"> </v>
      </c>
      <c r="V2114" t="str">
        <f>"6,000"</f>
        <v>6,000</v>
      </c>
      <c r="W2114" t="str">
        <f t="shared" si="1323"/>
        <v>Lista 4</v>
      </c>
      <c r="X2114" t="str">
        <f t="shared" si="1324"/>
        <v>Lista 5</v>
      </c>
      <c r="Y2114" t="str">
        <f t="shared" si="1325"/>
        <v>Oferta Gral.</v>
      </c>
      <c r="Z2114" t="str">
        <f t="shared" si="1326"/>
        <v>Rubro</v>
      </c>
      <c r="AA2114" t="str">
        <f t="shared" si="1327"/>
        <v>Cantidad por Bulto</v>
      </c>
      <c r="AB2114" t="str">
        <f t="shared" si="1328"/>
        <v>INNER</v>
      </c>
      <c r="AC2114" t="str">
        <f t="shared" si="1329"/>
        <v>Stock en Bultos</v>
      </c>
      <c r="AD2114" t="str">
        <f t="shared" si="1330"/>
        <v>SubDepósito</v>
      </c>
      <c r="AE2114" t="str">
        <f t="shared" si="1331"/>
        <v>Marca</v>
      </c>
      <c r="AF2114" t="str">
        <f t="shared" si="1332"/>
        <v>Super Rubro</v>
      </c>
      <c r="AG2114" t="str">
        <f t="shared" si="1333"/>
        <v>ComercioExterior</v>
      </c>
      <c r="AH2114" t="str">
        <f t="shared" si="1334"/>
        <v>PrecioFOB</v>
      </c>
      <c r="AI2114" t="str">
        <f t="shared" si="1335"/>
        <v>Monto II</v>
      </c>
      <c r="AJ2114" t="str">
        <f t="shared" si="1336"/>
        <v>Porcentaje II</v>
      </c>
      <c r="AK2114" t="str">
        <f t="shared" si="1337"/>
        <v>Foto</v>
      </c>
      <c r="AL2114" t="str">
        <f>"{\rtf1\ansi\ansicpg1252\deff0\deflang11274{\fonttbl{\f0\fnil\fcharset0 MS Sans Serif}} \viewkind4\uc1\pard\f0\fs16 JGO. CABLES BUJ\'cdAS 505 1.8 - 2.0 GR-SR\par } "</f>
        <v xml:space="preserve">{\rtf1\ansi\ansicpg1252\deff0\deflang11274{\fonttbl{\f0\fnil\fcharset0 MS Sans Serif}} \viewkind4\uc1\pard\f0\fs16 JGO. CABLES BUJ\'cdAS 505 1.8 - 2.0 GR-SR\par } </v>
      </c>
      <c r="AM2114" t="str">
        <f t="shared" si="1360"/>
        <v>-</v>
      </c>
    </row>
    <row r="2115" spans="1:39" x14ac:dyDescent="0.25">
      <c r="A2115" t="str">
        <f>"07-33074"</f>
        <v>07-33074</v>
      </c>
      <c r="B2115" t="str">
        <f>"JGO. CABLES BUJÍAS 505 GAMMA"</f>
        <v>JGO. CABLES BUJÍAS 505 GAMMA</v>
      </c>
      <c r="C2115" t="str">
        <f>"$ 14009,53"</f>
        <v>$ 14009,53</v>
      </c>
      <c r="D2115" t="str">
        <f>"$ 14009,53"</f>
        <v>$ 14009,53</v>
      </c>
      <c r="E2115" t="str">
        <f>"$ 14009,53"</f>
        <v>$ 14009,53</v>
      </c>
      <c r="F2115" t="str">
        <f>"$ 14009,53"</f>
        <v>$ 14009,53</v>
      </c>
      <c r="G2115" t="str">
        <f>"$ 14009,53"</f>
        <v>$ 14009,53</v>
      </c>
      <c r="H2115" t="str">
        <f t="shared" ref="H2115:H2178" si="1366">"$ 0,00"</f>
        <v>$ 0,00</v>
      </c>
      <c r="I2115" t="str">
        <f t="shared" si="1364"/>
        <v>CABLES BUJÍAS PVC ANTIPARASITARIOS</v>
      </c>
      <c r="J2115" t="str">
        <f t="shared" ref="J2115:J2178" si="1367">"1"</f>
        <v>1</v>
      </c>
      <c r="K2115" t="str">
        <f t="shared" si="1346"/>
        <v>0</v>
      </c>
      <c r="L2115" t="str">
        <f>"0,000"</f>
        <v>0,000</v>
      </c>
      <c r="M2115" t="str">
        <f t="shared" ref="M2115:M2178" si="1368">" "</f>
        <v xml:space="preserve"> </v>
      </c>
      <c r="N2115" t="str">
        <f t="shared" si="1359"/>
        <v>FERRAZZI</v>
      </c>
      <c r="O2115" t="str">
        <f t="shared" si="1358"/>
        <v>CABLES</v>
      </c>
      <c r="P2115" t="str">
        <f t="shared" si="1362"/>
        <v>0</v>
      </c>
      <c r="Q2115" t="str">
        <f t="shared" si="1362"/>
        <v>0</v>
      </c>
      <c r="R2115" t="str">
        <f t="shared" si="1363"/>
        <v>0,00</v>
      </c>
      <c r="S2115" t="str">
        <f t="shared" si="1363"/>
        <v>0,00</v>
      </c>
      <c r="T2115" t="str">
        <f t="shared" si="1365"/>
        <v xml:space="preserve"> </v>
      </c>
      <c r="U2115" t="str">
        <f t="shared" si="1342"/>
        <v xml:space="preserve"> </v>
      </c>
      <c r="V2115" t="str">
        <f>"0,000"</f>
        <v>0,000</v>
      </c>
      <c r="W2115" t="str">
        <f t="shared" ref="W2115:W2178" si="1369">"Lista 4"</f>
        <v>Lista 4</v>
      </c>
      <c r="X2115" t="str">
        <f t="shared" ref="X2115:X2178" si="1370">"Lista 5"</f>
        <v>Lista 5</v>
      </c>
      <c r="Y2115" t="str">
        <f t="shared" ref="Y2115:Y2178" si="1371">"Oferta Gral."</f>
        <v>Oferta Gral.</v>
      </c>
      <c r="Z2115" t="str">
        <f t="shared" ref="Z2115:Z2178" si="1372">"Rubro"</f>
        <v>Rubro</v>
      </c>
      <c r="AA2115" t="str">
        <f t="shared" ref="AA2115:AA2178" si="1373">"Cantidad por Bulto"</f>
        <v>Cantidad por Bulto</v>
      </c>
      <c r="AB2115" t="str">
        <f t="shared" ref="AB2115:AB2178" si="1374">"INNER"</f>
        <v>INNER</v>
      </c>
      <c r="AC2115" t="str">
        <f t="shared" ref="AC2115:AC2178" si="1375">"Stock en Bultos"</f>
        <v>Stock en Bultos</v>
      </c>
      <c r="AD2115" t="str">
        <f t="shared" ref="AD2115:AD2178" si="1376">"SubDepósito"</f>
        <v>SubDepósito</v>
      </c>
      <c r="AE2115" t="str">
        <f t="shared" ref="AE2115:AE2178" si="1377">"Marca"</f>
        <v>Marca</v>
      </c>
      <c r="AF2115" t="str">
        <f t="shared" ref="AF2115:AF2178" si="1378">"Super Rubro"</f>
        <v>Super Rubro</v>
      </c>
      <c r="AG2115" t="str">
        <f t="shared" ref="AG2115:AG2178" si="1379">"ComercioExterior"</f>
        <v>ComercioExterior</v>
      </c>
      <c r="AH2115" t="str">
        <f t="shared" ref="AH2115:AH2178" si="1380">"PrecioFOB"</f>
        <v>PrecioFOB</v>
      </c>
      <c r="AI2115" t="str">
        <f t="shared" ref="AI2115:AI2178" si="1381">"Monto II"</f>
        <v>Monto II</v>
      </c>
      <c r="AJ2115" t="str">
        <f t="shared" ref="AJ2115:AJ2178" si="1382">"Porcentaje II"</f>
        <v>Porcentaje II</v>
      </c>
      <c r="AK2115" t="str">
        <f t="shared" ref="AK2115:AK2178" si="1383">"Foto"</f>
        <v>Foto</v>
      </c>
      <c r="AL2115" t="str">
        <f>"{\rtf1\ansi\ansicpg1252\deff0\deflang11274{\fonttbl{\f0\fnil\fcharset0 MS Sans Serif}} \viewkind4\uc1\pard\f0\fs16 JGO. CABLES BUJ\'cdAS 505 GAMMA\par } "</f>
        <v xml:space="preserve">{\rtf1\ansi\ansicpg1252\deff0\deflang11274{\fonttbl{\f0\fnil\fcharset0 MS Sans Serif}} \viewkind4\uc1\pard\f0\fs16 JGO. CABLES BUJ\'cdAS 505 GAMMA\par } </v>
      </c>
      <c r="AM2115" t="str">
        <f t="shared" si="1360"/>
        <v>-</v>
      </c>
    </row>
    <row r="2116" spans="1:39" x14ac:dyDescent="0.25">
      <c r="A2116" t="str">
        <f>"07-33082"</f>
        <v>07-33082</v>
      </c>
      <c r="B2116" t="str">
        <f>"JGO. CABLES BUJÍAS 505 GR - SR 2.0 CARBURADO"</f>
        <v>JGO. CABLES BUJÍAS 505 GR - SR 2.0 CARBURADO</v>
      </c>
      <c r="C2116" t="str">
        <f>"$ 14995,80"</f>
        <v>$ 14995,80</v>
      </c>
      <c r="D2116" t="str">
        <f>"$ 14995,80"</f>
        <v>$ 14995,80</v>
      </c>
      <c r="E2116" t="str">
        <f>"$ 14995,80"</f>
        <v>$ 14995,80</v>
      </c>
      <c r="F2116" t="str">
        <f>"$ 14995,80"</f>
        <v>$ 14995,80</v>
      </c>
      <c r="G2116" t="str">
        <f>"$ 14995,80"</f>
        <v>$ 14995,80</v>
      </c>
      <c r="H2116" t="str">
        <f t="shared" si="1366"/>
        <v>$ 0,00</v>
      </c>
      <c r="I2116" t="str">
        <f t="shared" si="1364"/>
        <v>CABLES BUJÍAS PVC ANTIPARASITARIOS</v>
      </c>
      <c r="J2116" t="str">
        <f t="shared" si="1367"/>
        <v>1</v>
      </c>
      <c r="K2116" t="str">
        <f t="shared" si="1346"/>
        <v>0</v>
      </c>
      <c r="L2116" t="str">
        <f>"10,000"</f>
        <v>10,000</v>
      </c>
      <c r="M2116" t="str">
        <f t="shared" si="1368"/>
        <v xml:space="preserve"> </v>
      </c>
      <c r="N2116" t="str">
        <f t="shared" si="1359"/>
        <v>FERRAZZI</v>
      </c>
      <c r="O2116" t="str">
        <f t="shared" si="1358"/>
        <v>CABLES</v>
      </c>
      <c r="P2116" t="str">
        <f t="shared" si="1362"/>
        <v>0</v>
      </c>
      <c r="Q2116" t="str">
        <f t="shared" si="1362"/>
        <v>0</v>
      </c>
      <c r="R2116" t="str">
        <f t="shared" si="1363"/>
        <v>0,00</v>
      </c>
      <c r="S2116" t="str">
        <f t="shared" si="1363"/>
        <v>0,00</v>
      </c>
      <c r="T2116" t="str">
        <f t="shared" si="1365"/>
        <v xml:space="preserve"> </v>
      </c>
      <c r="U2116" t="str">
        <f t="shared" si="1342"/>
        <v xml:space="preserve"> </v>
      </c>
      <c r="V2116" t="str">
        <f>"10,000"</f>
        <v>10,000</v>
      </c>
      <c r="W2116" t="str">
        <f t="shared" si="1369"/>
        <v>Lista 4</v>
      </c>
      <c r="X2116" t="str">
        <f t="shared" si="1370"/>
        <v>Lista 5</v>
      </c>
      <c r="Y2116" t="str">
        <f t="shared" si="1371"/>
        <v>Oferta Gral.</v>
      </c>
      <c r="Z2116" t="str">
        <f t="shared" si="1372"/>
        <v>Rubro</v>
      </c>
      <c r="AA2116" t="str">
        <f t="shared" si="1373"/>
        <v>Cantidad por Bulto</v>
      </c>
      <c r="AB2116" t="str">
        <f t="shared" si="1374"/>
        <v>INNER</v>
      </c>
      <c r="AC2116" t="str">
        <f t="shared" si="1375"/>
        <v>Stock en Bultos</v>
      </c>
      <c r="AD2116" t="str">
        <f t="shared" si="1376"/>
        <v>SubDepósito</v>
      </c>
      <c r="AE2116" t="str">
        <f t="shared" si="1377"/>
        <v>Marca</v>
      </c>
      <c r="AF2116" t="str">
        <f t="shared" si="1378"/>
        <v>Super Rubro</v>
      </c>
      <c r="AG2116" t="str">
        <f t="shared" si="1379"/>
        <v>ComercioExterior</v>
      </c>
      <c r="AH2116" t="str">
        <f t="shared" si="1380"/>
        <v>PrecioFOB</v>
      </c>
      <c r="AI2116" t="str">
        <f t="shared" si="1381"/>
        <v>Monto II</v>
      </c>
      <c r="AJ2116" t="str">
        <f t="shared" si="1382"/>
        <v>Porcentaje II</v>
      </c>
      <c r="AK2116" t="str">
        <f t="shared" si="1383"/>
        <v>Foto</v>
      </c>
      <c r="AL2116" t="str">
        <f>"{\rtf1\ansi\ansicpg1252\deff0\deflang11274{\fonttbl{\f0\fnil\fcharset0 MS Sans Serif}} \viewkind4\uc1\pard\f0\fs16 JGO. CABLES BUJ\'cdAS 505 GR - SR 2.0 CARBURADO\par } "</f>
        <v xml:space="preserve">{\rtf1\ansi\ansicpg1252\deff0\deflang11274{\fonttbl{\f0\fnil\fcharset0 MS Sans Serif}} \viewkind4\uc1\pard\f0\fs16 JGO. CABLES BUJ\'cdAS 505 GR - SR 2.0 CARBURADO\par } </v>
      </c>
      <c r="AM2116" t="str">
        <f t="shared" si="1360"/>
        <v>-</v>
      </c>
    </row>
    <row r="2117" spans="1:39" x14ac:dyDescent="0.25">
      <c r="A2117" t="str">
        <f>"05-33040"</f>
        <v>05-33040</v>
      </c>
      <c r="B2117" t="str">
        <f>"JGO. CABLES BUJÍAS 600 - 800"</f>
        <v>JGO. CABLES BUJÍAS 600 - 800</v>
      </c>
      <c r="C2117" t="str">
        <f>"$ 9710,11"</f>
        <v>$ 9710,11</v>
      </c>
      <c r="D2117" t="str">
        <f>"$ 9710,11"</f>
        <v>$ 9710,11</v>
      </c>
      <c r="E2117" t="str">
        <f>"$ 9710,11"</f>
        <v>$ 9710,11</v>
      </c>
      <c r="F2117" t="str">
        <f>"$ 9710,11"</f>
        <v>$ 9710,11</v>
      </c>
      <c r="G2117" t="str">
        <f>"$ 9710,11"</f>
        <v>$ 9710,11</v>
      </c>
      <c r="H2117" t="str">
        <f t="shared" si="1366"/>
        <v>$ 0,00</v>
      </c>
      <c r="I2117" t="str">
        <f t="shared" si="1364"/>
        <v>CABLES BUJÍAS PVC ANTIPARASITARIOS</v>
      </c>
      <c r="J2117" t="str">
        <f t="shared" si="1367"/>
        <v>1</v>
      </c>
      <c r="K2117" t="str">
        <f t="shared" si="1346"/>
        <v>0</v>
      </c>
      <c r="L2117" t="str">
        <f>"20,000"</f>
        <v>20,000</v>
      </c>
      <c r="M2117" t="str">
        <f t="shared" si="1368"/>
        <v xml:space="preserve"> </v>
      </c>
      <c r="N2117" t="str">
        <f t="shared" si="1359"/>
        <v>FERRAZZI</v>
      </c>
      <c r="O2117" t="str">
        <f t="shared" si="1358"/>
        <v>CABLES</v>
      </c>
      <c r="P2117" t="str">
        <f t="shared" si="1362"/>
        <v>0</v>
      </c>
      <c r="Q2117" t="str">
        <f t="shared" si="1362"/>
        <v>0</v>
      </c>
      <c r="R2117" t="str">
        <f t="shared" si="1363"/>
        <v>0,00</v>
      </c>
      <c r="S2117" t="str">
        <f t="shared" si="1363"/>
        <v>0,00</v>
      </c>
      <c r="T2117" t="str">
        <f t="shared" si="1365"/>
        <v xml:space="preserve"> </v>
      </c>
      <c r="U2117" t="str">
        <f t="shared" si="1342"/>
        <v xml:space="preserve"> </v>
      </c>
      <c r="V2117" t="str">
        <f>"20,000"</f>
        <v>20,000</v>
      </c>
      <c r="W2117" t="str">
        <f t="shared" si="1369"/>
        <v>Lista 4</v>
      </c>
      <c r="X2117" t="str">
        <f t="shared" si="1370"/>
        <v>Lista 5</v>
      </c>
      <c r="Y2117" t="str">
        <f t="shared" si="1371"/>
        <v>Oferta Gral.</v>
      </c>
      <c r="Z2117" t="str">
        <f t="shared" si="1372"/>
        <v>Rubro</v>
      </c>
      <c r="AA2117" t="str">
        <f t="shared" si="1373"/>
        <v>Cantidad por Bulto</v>
      </c>
      <c r="AB2117" t="str">
        <f t="shared" si="1374"/>
        <v>INNER</v>
      </c>
      <c r="AC2117" t="str">
        <f t="shared" si="1375"/>
        <v>Stock en Bultos</v>
      </c>
      <c r="AD2117" t="str">
        <f t="shared" si="1376"/>
        <v>SubDepósito</v>
      </c>
      <c r="AE2117" t="str">
        <f t="shared" si="1377"/>
        <v>Marca</v>
      </c>
      <c r="AF2117" t="str">
        <f t="shared" si="1378"/>
        <v>Super Rubro</v>
      </c>
      <c r="AG2117" t="str">
        <f t="shared" si="1379"/>
        <v>ComercioExterior</v>
      </c>
      <c r="AH2117" t="str">
        <f t="shared" si="1380"/>
        <v>PrecioFOB</v>
      </c>
      <c r="AI2117" t="str">
        <f t="shared" si="1381"/>
        <v>Monto II</v>
      </c>
      <c r="AJ2117" t="str">
        <f t="shared" si="1382"/>
        <v>Porcentaje II</v>
      </c>
      <c r="AK2117" t="str">
        <f t="shared" si="1383"/>
        <v>Foto</v>
      </c>
      <c r="AL2117" t="str">
        <f>"{\rtf1\ansi\ansicpg1252\deff0\deflang11274{\fonttbl{\f0\fnil\fcharset0 MS Sans Serif}} \viewkind4\uc1\pard\f0\fs16 JGO. CABLES BUJ\'cdAS 600 - 800\par } "</f>
        <v xml:space="preserve">{\rtf1\ansi\ansicpg1252\deff0\deflang11274{\fonttbl{\f0\fnil\fcharset0 MS Sans Serif}} \viewkind4\uc1\pard\f0\fs16 JGO. CABLES BUJ\'cdAS 600 - 800\par } </v>
      </c>
      <c r="AM2117" t="str">
        <f t="shared" si="1360"/>
        <v>-</v>
      </c>
    </row>
    <row r="2118" spans="1:39" x14ac:dyDescent="0.25">
      <c r="A2118" t="str">
        <f>"06-33015"</f>
        <v>06-33015</v>
      </c>
      <c r="B2118" t="str">
        <f>"JGO. CABLES BUJÍAS 9 - ENCENDIDO MARELLI  /  RENAULT 11 TURBO"</f>
        <v>JGO. CABLES BUJÍAS 9 - ENCENDIDO MARELLI  /  RENAULT 11 TURBO</v>
      </c>
      <c r="C2118" t="str">
        <f>"$ 11659,20"</f>
        <v>$ 11659,20</v>
      </c>
      <c r="D2118" t="str">
        <f>"$ 11659,20"</f>
        <v>$ 11659,20</v>
      </c>
      <c r="E2118" t="str">
        <f>"$ 11659,20"</f>
        <v>$ 11659,20</v>
      </c>
      <c r="F2118" t="str">
        <f>"$ 11659,20"</f>
        <v>$ 11659,20</v>
      </c>
      <c r="G2118" t="str">
        <f>"$ 11659,20"</f>
        <v>$ 11659,20</v>
      </c>
      <c r="H2118" t="str">
        <f t="shared" si="1366"/>
        <v>$ 0,00</v>
      </c>
      <c r="I2118" t="str">
        <f t="shared" si="1364"/>
        <v>CABLES BUJÍAS PVC ANTIPARASITARIOS</v>
      </c>
      <c r="J2118" t="str">
        <f t="shared" si="1367"/>
        <v>1</v>
      </c>
      <c r="K2118" t="str">
        <f t="shared" si="1346"/>
        <v>0</v>
      </c>
      <c r="L2118" t="str">
        <f>"102,000"</f>
        <v>102,000</v>
      </c>
      <c r="M2118" t="str">
        <f t="shared" si="1368"/>
        <v xml:space="preserve"> </v>
      </c>
      <c r="N2118" t="str">
        <f t="shared" si="1359"/>
        <v>FERRAZZI</v>
      </c>
      <c r="O2118" t="str">
        <f t="shared" si="1358"/>
        <v>CABLES</v>
      </c>
      <c r="P2118" t="str">
        <f t="shared" si="1362"/>
        <v>0</v>
      </c>
      <c r="Q2118" t="str">
        <f t="shared" si="1362"/>
        <v>0</v>
      </c>
      <c r="R2118" t="str">
        <f t="shared" si="1363"/>
        <v>0,00</v>
      </c>
      <c r="S2118" t="str">
        <f t="shared" si="1363"/>
        <v>0,00</v>
      </c>
      <c r="T2118" t="str">
        <f t="shared" si="1365"/>
        <v xml:space="preserve"> </v>
      </c>
      <c r="U2118" t="str">
        <f t="shared" si="1342"/>
        <v xml:space="preserve"> </v>
      </c>
      <c r="V2118" t="str">
        <f>"102,000"</f>
        <v>102,000</v>
      </c>
      <c r="W2118" t="str">
        <f t="shared" si="1369"/>
        <v>Lista 4</v>
      </c>
      <c r="X2118" t="str">
        <f t="shared" si="1370"/>
        <v>Lista 5</v>
      </c>
      <c r="Y2118" t="str">
        <f t="shared" si="1371"/>
        <v>Oferta Gral.</v>
      </c>
      <c r="Z2118" t="str">
        <f t="shared" si="1372"/>
        <v>Rubro</v>
      </c>
      <c r="AA2118" t="str">
        <f t="shared" si="1373"/>
        <v>Cantidad por Bulto</v>
      </c>
      <c r="AB2118" t="str">
        <f t="shared" si="1374"/>
        <v>INNER</v>
      </c>
      <c r="AC2118" t="str">
        <f t="shared" si="1375"/>
        <v>Stock en Bultos</v>
      </c>
      <c r="AD2118" t="str">
        <f t="shared" si="1376"/>
        <v>SubDepósito</v>
      </c>
      <c r="AE2118" t="str">
        <f t="shared" si="1377"/>
        <v>Marca</v>
      </c>
      <c r="AF2118" t="str">
        <f t="shared" si="1378"/>
        <v>Super Rubro</v>
      </c>
      <c r="AG2118" t="str">
        <f t="shared" si="1379"/>
        <v>ComercioExterior</v>
      </c>
      <c r="AH2118" t="str">
        <f t="shared" si="1380"/>
        <v>PrecioFOB</v>
      </c>
      <c r="AI2118" t="str">
        <f t="shared" si="1381"/>
        <v>Monto II</v>
      </c>
      <c r="AJ2118" t="str">
        <f t="shared" si="1382"/>
        <v>Porcentaje II</v>
      </c>
      <c r="AK2118" t="str">
        <f t="shared" si="1383"/>
        <v>Foto</v>
      </c>
      <c r="AL2118" t="str">
        <f>"{\rtf1\ansi\ansicpg1252\deff0\deflang11274{\fonttbl{\f0\fnil\fcharset0 MS Sans Serif}} \viewkind4\uc1\pard\f0\fs16 JGO. CABLES BUJ\'cdAS 9 - ENCENDIDO MARELLI  /  RENAULT 11 TURBO\par } "</f>
        <v xml:space="preserve">{\rtf1\ansi\ansicpg1252\deff0\deflang11274{\fonttbl{\f0\fnil\fcharset0 MS Sans Serif}} \viewkind4\uc1\pard\f0\fs16 JGO. CABLES BUJ\'cdAS 9 - ENCENDIDO MARELLI  /  RENAULT 11 TURBO\par } </v>
      </c>
      <c r="AM2118" t="str">
        <f t="shared" si="1360"/>
        <v>-</v>
      </c>
    </row>
    <row r="2119" spans="1:39" x14ac:dyDescent="0.25">
      <c r="A2119" t="str">
        <f>"06-33085"</f>
        <v>06-33085</v>
      </c>
      <c r="B2119" t="str">
        <f>"JGO. CABLES BUJÍAS 9 11 19 PARA BOBINA BOTELLA"</f>
        <v>JGO. CABLES BUJÍAS 9 11 19 PARA BOBINA BOTELLA</v>
      </c>
      <c r="C2119" t="str">
        <f>"$ 11097,80"</f>
        <v>$ 11097,80</v>
      </c>
      <c r="D2119" t="str">
        <f>"$ 11097,80"</f>
        <v>$ 11097,80</v>
      </c>
      <c r="E2119" t="str">
        <f>"$ 11097,80"</f>
        <v>$ 11097,80</v>
      </c>
      <c r="F2119" t="str">
        <f>"$ 11097,80"</f>
        <v>$ 11097,80</v>
      </c>
      <c r="G2119" t="str">
        <f>"$ 11097,80"</f>
        <v>$ 11097,80</v>
      </c>
      <c r="H2119" t="str">
        <f t="shared" si="1366"/>
        <v>$ 0,00</v>
      </c>
      <c r="I2119" t="str">
        <f t="shared" si="1364"/>
        <v>CABLES BUJÍAS PVC ANTIPARASITARIOS</v>
      </c>
      <c r="J2119" t="str">
        <f t="shared" si="1367"/>
        <v>1</v>
      </c>
      <c r="K2119" t="str">
        <f t="shared" si="1346"/>
        <v>0</v>
      </c>
      <c r="L2119" t="str">
        <f>"49,000"</f>
        <v>49,000</v>
      </c>
      <c r="M2119" t="str">
        <f t="shared" si="1368"/>
        <v xml:space="preserve"> </v>
      </c>
      <c r="N2119" t="str">
        <f t="shared" si="1359"/>
        <v>FERRAZZI</v>
      </c>
      <c r="O2119" t="str">
        <f t="shared" si="1358"/>
        <v>CABLES</v>
      </c>
      <c r="P2119" t="str">
        <f t="shared" si="1362"/>
        <v>0</v>
      </c>
      <c r="Q2119" t="str">
        <f t="shared" si="1362"/>
        <v>0</v>
      </c>
      <c r="R2119" t="str">
        <f t="shared" si="1363"/>
        <v>0,00</v>
      </c>
      <c r="S2119" t="str">
        <f t="shared" si="1363"/>
        <v>0,00</v>
      </c>
      <c r="T2119" t="str">
        <f t="shared" si="1365"/>
        <v xml:space="preserve"> </v>
      </c>
      <c r="U2119" t="str">
        <f t="shared" si="1342"/>
        <v xml:space="preserve"> </v>
      </c>
      <c r="V2119" t="str">
        <f>"49,000"</f>
        <v>49,000</v>
      </c>
      <c r="W2119" t="str">
        <f t="shared" si="1369"/>
        <v>Lista 4</v>
      </c>
      <c r="X2119" t="str">
        <f t="shared" si="1370"/>
        <v>Lista 5</v>
      </c>
      <c r="Y2119" t="str">
        <f t="shared" si="1371"/>
        <v>Oferta Gral.</v>
      </c>
      <c r="Z2119" t="str">
        <f t="shared" si="1372"/>
        <v>Rubro</v>
      </c>
      <c r="AA2119" t="str">
        <f t="shared" si="1373"/>
        <v>Cantidad por Bulto</v>
      </c>
      <c r="AB2119" t="str">
        <f t="shared" si="1374"/>
        <v>INNER</v>
      </c>
      <c r="AC2119" t="str">
        <f t="shared" si="1375"/>
        <v>Stock en Bultos</v>
      </c>
      <c r="AD2119" t="str">
        <f t="shared" si="1376"/>
        <v>SubDepósito</v>
      </c>
      <c r="AE2119" t="str">
        <f t="shared" si="1377"/>
        <v>Marca</v>
      </c>
      <c r="AF2119" t="str">
        <f t="shared" si="1378"/>
        <v>Super Rubro</v>
      </c>
      <c r="AG2119" t="str">
        <f t="shared" si="1379"/>
        <v>ComercioExterior</v>
      </c>
      <c r="AH2119" t="str">
        <f t="shared" si="1380"/>
        <v>PrecioFOB</v>
      </c>
      <c r="AI2119" t="str">
        <f t="shared" si="1381"/>
        <v>Monto II</v>
      </c>
      <c r="AJ2119" t="str">
        <f t="shared" si="1382"/>
        <v>Porcentaje II</v>
      </c>
      <c r="AK2119" t="str">
        <f t="shared" si="1383"/>
        <v>Foto</v>
      </c>
      <c r="AL2119" t="str">
        <f>"{\rtf1\ansi\ansicpg1252\deff0\deflang11274{\fonttbl{\f0\fnil\fcharset0 MS Sans Serif}} \viewkind4\uc1\pard\f0\fs16 JGO. CABLES BUJ\'cdAS 9 11 19 PARA BOBINA BOTELLA\par } "</f>
        <v xml:space="preserve">{\rtf1\ansi\ansicpg1252\deff0\deflang11274{\fonttbl{\f0\fnil\fcharset0 MS Sans Serif}} \viewkind4\uc1\pard\f0\fs16 JGO. CABLES BUJ\'cdAS 9 11 19 PARA BOBINA BOTELLA\par } </v>
      </c>
      <c r="AM2119" t="str">
        <f t="shared" si="1360"/>
        <v>-</v>
      </c>
    </row>
    <row r="2120" spans="1:39" x14ac:dyDescent="0.25">
      <c r="A2120" t="str">
        <f>"02-01797"</f>
        <v>02-01797</v>
      </c>
      <c r="B2120" t="str">
        <f>"JGO. CABLES BUJÍAS ASTRA 2,0 16V SILICONA"</f>
        <v>JGO. CABLES BUJÍAS ASTRA 2,0 16V SILICONA</v>
      </c>
      <c r="C2120" t="str">
        <f>"$ 30126,37"</f>
        <v>$ 30126,37</v>
      </c>
      <c r="D2120" t="str">
        <f>"$ 30126,37"</f>
        <v>$ 30126,37</v>
      </c>
      <c r="E2120" t="str">
        <f>"$ 30126,37"</f>
        <v>$ 30126,37</v>
      </c>
      <c r="F2120" t="str">
        <f>"$ 30126,37"</f>
        <v>$ 30126,37</v>
      </c>
      <c r="G2120" t="str">
        <f>"$ 30126,37"</f>
        <v>$ 30126,37</v>
      </c>
      <c r="H2120" t="str">
        <f t="shared" si="1366"/>
        <v>$ 0,00</v>
      </c>
      <c r="I2120" t="str">
        <f>"CABLES BUJÍAS SILICONA ANTIPARASITARIOS"</f>
        <v>CABLES BUJÍAS SILICONA ANTIPARASITARIOS</v>
      </c>
      <c r="J2120" t="str">
        <f t="shared" si="1367"/>
        <v>1</v>
      </c>
      <c r="K2120" t="str">
        <f t="shared" si="1346"/>
        <v>0</v>
      </c>
      <c r="L2120" t="str">
        <f>"14,000"</f>
        <v>14,000</v>
      </c>
      <c r="M2120" t="str">
        <f t="shared" si="1368"/>
        <v xml:space="preserve"> </v>
      </c>
      <c r="N2120" t="str">
        <f t="shared" si="1359"/>
        <v>FERRAZZI</v>
      </c>
      <c r="O2120" t="str">
        <f t="shared" si="1358"/>
        <v>CABLES</v>
      </c>
      <c r="P2120" t="str">
        <f t="shared" si="1362"/>
        <v>0</v>
      </c>
      <c r="Q2120" t="str">
        <f t="shared" si="1362"/>
        <v>0</v>
      </c>
      <c r="R2120" t="str">
        <f t="shared" si="1363"/>
        <v>0,00</v>
      </c>
      <c r="S2120" t="str">
        <f t="shared" si="1363"/>
        <v>0,00</v>
      </c>
      <c r="T2120" t="str">
        <f t="shared" si="1365"/>
        <v xml:space="preserve"> </v>
      </c>
      <c r="U2120" t="str">
        <f t="shared" si="1342"/>
        <v xml:space="preserve"> </v>
      </c>
      <c r="V2120" t="str">
        <f>"14,000"</f>
        <v>14,000</v>
      </c>
      <c r="W2120" t="str">
        <f t="shared" si="1369"/>
        <v>Lista 4</v>
      </c>
      <c r="X2120" t="str">
        <f t="shared" si="1370"/>
        <v>Lista 5</v>
      </c>
      <c r="Y2120" t="str">
        <f t="shared" si="1371"/>
        <v>Oferta Gral.</v>
      </c>
      <c r="Z2120" t="str">
        <f t="shared" si="1372"/>
        <v>Rubro</v>
      </c>
      <c r="AA2120" t="str">
        <f t="shared" si="1373"/>
        <v>Cantidad por Bulto</v>
      </c>
      <c r="AB2120" t="str">
        <f t="shared" si="1374"/>
        <v>INNER</v>
      </c>
      <c r="AC2120" t="str">
        <f t="shared" si="1375"/>
        <v>Stock en Bultos</v>
      </c>
      <c r="AD2120" t="str">
        <f t="shared" si="1376"/>
        <v>SubDepósito</v>
      </c>
      <c r="AE2120" t="str">
        <f t="shared" si="1377"/>
        <v>Marca</v>
      </c>
      <c r="AF2120" t="str">
        <f t="shared" si="1378"/>
        <v>Super Rubro</v>
      </c>
      <c r="AG2120" t="str">
        <f t="shared" si="1379"/>
        <v>ComercioExterior</v>
      </c>
      <c r="AH2120" t="str">
        <f t="shared" si="1380"/>
        <v>PrecioFOB</v>
      </c>
      <c r="AI2120" t="str">
        <f t="shared" si="1381"/>
        <v>Monto II</v>
      </c>
      <c r="AJ2120" t="str">
        <f t="shared" si="1382"/>
        <v>Porcentaje II</v>
      </c>
      <c r="AK2120" t="str">
        <f t="shared" si="1383"/>
        <v>Foto</v>
      </c>
      <c r="AL2120" t="str">
        <f>"{\rtf1\ansi\ansicpg1252\deff0\deflang11274{\fonttbl{\f0\fnil\fcharset0 MS Sans Serif}} \viewkind4\uc1\pard\f0\fs16 JGO. CABLES BUJ\'cdAS ASTRA 2,0 16V SILICONA\par } "</f>
        <v xml:space="preserve">{\rtf1\ansi\ansicpg1252\deff0\deflang11274{\fonttbl{\f0\fnil\fcharset0 MS Sans Serif}} \viewkind4\uc1\pard\f0\fs16 JGO. CABLES BUJ\'cdAS ASTRA 2,0 16V SILICONA\par } </v>
      </c>
      <c r="AM2120" t="str">
        <f t="shared" si="1360"/>
        <v>-</v>
      </c>
    </row>
    <row r="2121" spans="1:39" x14ac:dyDescent="0.25">
      <c r="A2121" t="str">
        <f>"02-01793"</f>
        <v>02-01793</v>
      </c>
      <c r="B2121" t="str">
        <f>"JGO. CABLES BUJÍAS AVEO SILICONA"</f>
        <v>JGO. CABLES BUJÍAS AVEO SILICONA</v>
      </c>
      <c r="C2121" t="str">
        <f>"$ 24272,75"</f>
        <v>$ 24272,75</v>
      </c>
      <c r="D2121" t="str">
        <f>"$ 24272,75"</f>
        <v>$ 24272,75</v>
      </c>
      <c r="E2121" t="str">
        <f>"$ 24272,75"</f>
        <v>$ 24272,75</v>
      </c>
      <c r="F2121" t="str">
        <f>"$ 24272,75"</f>
        <v>$ 24272,75</v>
      </c>
      <c r="G2121" t="str">
        <f>"$ 24272,75"</f>
        <v>$ 24272,75</v>
      </c>
      <c r="H2121" t="str">
        <f t="shared" si="1366"/>
        <v>$ 0,00</v>
      </c>
      <c r="I2121" t="str">
        <f>"CABLES BUJÍAS SILICONA ANTIPARASITARIOS"</f>
        <v>CABLES BUJÍAS SILICONA ANTIPARASITARIOS</v>
      </c>
      <c r="J2121" t="str">
        <f t="shared" si="1367"/>
        <v>1</v>
      </c>
      <c r="K2121" t="str">
        <f t="shared" si="1346"/>
        <v>0</v>
      </c>
      <c r="L2121" t="str">
        <f>"29,000"</f>
        <v>29,000</v>
      </c>
      <c r="M2121" t="str">
        <f t="shared" si="1368"/>
        <v xml:space="preserve"> </v>
      </c>
      <c r="N2121" t="str">
        <f t="shared" si="1359"/>
        <v>FERRAZZI</v>
      </c>
      <c r="O2121" t="str">
        <f t="shared" si="1358"/>
        <v>CABLES</v>
      </c>
      <c r="P2121" t="str">
        <f t="shared" si="1362"/>
        <v>0</v>
      </c>
      <c r="Q2121" t="str">
        <f t="shared" si="1362"/>
        <v>0</v>
      </c>
      <c r="R2121" t="str">
        <f t="shared" si="1363"/>
        <v>0,00</v>
      </c>
      <c r="S2121" t="str">
        <f t="shared" si="1363"/>
        <v>0,00</v>
      </c>
      <c r="T2121" t="str">
        <f t="shared" si="1365"/>
        <v xml:space="preserve"> </v>
      </c>
      <c r="U2121" t="str">
        <f t="shared" si="1342"/>
        <v xml:space="preserve"> </v>
      </c>
      <c r="V2121" t="str">
        <f>"29,000"</f>
        <v>29,000</v>
      </c>
      <c r="W2121" t="str">
        <f t="shared" si="1369"/>
        <v>Lista 4</v>
      </c>
      <c r="X2121" t="str">
        <f t="shared" si="1370"/>
        <v>Lista 5</v>
      </c>
      <c r="Y2121" t="str">
        <f t="shared" si="1371"/>
        <v>Oferta Gral.</v>
      </c>
      <c r="Z2121" t="str">
        <f t="shared" si="1372"/>
        <v>Rubro</v>
      </c>
      <c r="AA2121" t="str">
        <f t="shared" si="1373"/>
        <v>Cantidad por Bulto</v>
      </c>
      <c r="AB2121" t="str">
        <f t="shared" si="1374"/>
        <v>INNER</v>
      </c>
      <c r="AC2121" t="str">
        <f t="shared" si="1375"/>
        <v>Stock en Bultos</v>
      </c>
      <c r="AD2121" t="str">
        <f t="shared" si="1376"/>
        <v>SubDepósito</v>
      </c>
      <c r="AE2121" t="str">
        <f t="shared" si="1377"/>
        <v>Marca</v>
      </c>
      <c r="AF2121" t="str">
        <f t="shared" si="1378"/>
        <v>Super Rubro</v>
      </c>
      <c r="AG2121" t="str">
        <f t="shared" si="1379"/>
        <v>ComercioExterior</v>
      </c>
      <c r="AH2121" t="str">
        <f t="shared" si="1380"/>
        <v>PrecioFOB</v>
      </c>
      <c r="AI2121" t="str">
        <f t="shared" si="1381"/>
        <v>Monto II</v>
      </c>
      <c r="AJ2121" t="str">
        <f t="shared" si="1382"/>
        <v>Porcentaje II</v>
      </c>
      <c r="AK2121" t="str">
        <f t="shared" si="1383"/>
        <v>Foto</v>
      </c>
      <c r="AL2121" t="str">
        <f>"{\rtf1\ansi\ansicpg1252\deff0\deflang11274{\fonttbl{\f0\fnil\fcharset0 MS Sans Serif}} \viewkind4\uc1\pard\f0\fs16 JGO. CABLES BUJ\'cdAS AVEO SILICONA\par } "</f>
        <v xml:space="preserve">{\rtf1\ansi\ansicpg1252\deff0\deflang11274{\fonttbl{\f0\fnil\fcharset0 MS Sans Serif}} \viewkind4\uc1\pard\f0\fs16 JGO. CABLES BUJ\'cdAS AVEO SILICONA\par } </v>
      </c>
      <c r="AM2121" t="str">
        <f t="shared" si="1360"/>
        <v>-</v>
      </c>
    </row>
    <row r="2122" spans="1:39" x14ac:dyDescent="0.25">
      <c r="A2122" t="str">
        <f>"02-33004"</f>
        <v>02-33004</v>
      </c>
      <c r="B2122" t="str">
        <f>"JGO. CABLES BUJÍAS CHEVETTE"</f>
        <v>JGO. CABLES BUJÍAS CHEVETTE</v>
      </c>
      <c r="C2122" t="str">
        <f>"$ 10879,22"</f>
        <v>$ 10879,22</v>
      </c>
      <c r="D2122" t="str">
        <f>"$ 10879,22"</f>
        <v>$ 10879,22</v>
      </c>
      <c r="E2122" t="str">
        <f>"$ 10879,22"</f>
        <v>$ 10879,22</v>
      </c>
      <c r="F2122" t="str">
        <f>"$ 10879,22"</f>
        <v>$ 10879,22</v>
      </c>
      <c r="G2122" t="str">
        <f>"$ 10879,22"</f>
        <v>$ 10879,22</v>
      </c>
      <c r="H2122" t="str">
        <f t="shared" si="1366"/>
        <v>$ 0,00</v>
      </c>
      <c r="I2122" t="str">
        <f>"CABLES BUJÍAS PVC ANTIPARASITARIOS"</f>
        <v>CABLES BUJÍAS PVC ANTIPARASITARIOS</v>
      </c>
      <c r="J2122" t="str">
        <f t="shared" si="1367"/>
        <v>1</v>
      </c>
      <c r="K2122" t="str">
        <f t="shared" si="1346"/>
        <v>0</v>
      </c>
      <c r="L2122" t="str">
        <f>"15,000"</f>
        <v>15,000</v>
      </c>
      <c r="M2122" t="str">
        <f t="shared" si="1368"/>
        <v xml:space="preserve"> </v>
      </c>
      <c r="N2122" t="str">
        <f t="shared" si="1359"/>
        <v>FERRAZZI</v>
      </c>
      <c r="O2122" t="str">
        <f t="shared" ref="O2122:O2153" si="1384">"CABLES"</f>
        <v>CABLES</v>
      </c>
      <c r="P2122" t="str">
        <f t="shared" si="1362"/>
        <v>0</v>
      </c>
      <c r="Q2122" t="str">
        <f t="shared" si="1362"/>
        <v>0</v>
      </c>
      <c r="R2122" t="str">
        <f t="shared" si="1363"/>
        <v>0,00</v>
      </c>
      <c r="S2122" t="str">
        <f t="shared" si="1363"/>
        <v>0,00</v>
      </c>
      <c r="T2122" t="str">
        <f t="shared" si="1365"/>
        <v xml:space="preserve"> </v>
      </c>
      <c r="U2122" t="str">
        <f t="shared" si="1342"/>
        <v xml:space="preserve"> </v>
      </c>
      <c r="V2122" t="str">
        <f>"15,000"</f>
        <v>15,000</v>
      </c>
      <c r="W2122" t="str">
        <f t="shared" si="1369"/>
        <v>Lista 4</v>
      </c>
      <c r="X2122" t="str">
        <f t="shared" si="1370"/>
        <v>Lista 5</v>
      </c>
      <c r="Y2122" t="str">
        <f t="shared" si="1371"/>
        <v>Oferta Gral.</v>
      </c>
      <c r="Z2122" t="str">
        <f t="shared" si="1372"/>
        <v>Rubro</v>
      </c>
      <c r="AA2122" t="str">
        <f t="shared" si="1373"/>
        <v>Cantidad por Bulto</v>
      </c>
      <c r="AB2122" t="str">
        <f t="shared" si="1374"/>
        <v>INNER</v>
      </c>
      <c r="AC2122" t="str">
        <f t="shared" si="1375"/>
        <v>Stock en Bultos</v>
      </c>
      <c r="AD2122" t="str">
        <f t="shared" si="1376"/>
        <v>SubDepósito</v>
      </c>
      <c r="AE2122" t="str">
        <f t="shared" si="1377"/>
        <v>Marca</v>
      </c>
      <c r="AF2122" t="str">
        <f t="shared" si="1378"/>
        <v>Super Rubro</v>
      </c>
      <c r="AG2122" t="str">
        <f t="shared" si="1379"/>
        <v>ComercioExterior</v>
      </c>
      <c r="AH2122" t="str">
        <f t="shared" si="1380"/>
        <v>PrecioFOB</v>
      </c>
      <c r="AI2122" t="str">
        <f t="shared" si="1381"/>
        <v>Monto II</v>
      </c>
      <c r="AJ2122" t="str">
        <f t="shared" si="1382"/>
        <v>Porcentaje II</v>
      </c>
      <c r="AK2122" t="str">
        <f t="shared" si="1383"/>
        <v>Foto</v>
      </c>
      <c r="AL2122" t="str">
        <f>"{\rtf1\ansi\ansicpg1252\deff0\deflang11274{\fonttbl{\f0\fnil\fcharset0 MS Sans Serif}} \viewkind4\uc1\pard\f0\fs16 JGO. CABLES BUJ\'cdAS CHEVETTE\par } "</f>
        <v xml:space="preserve">{\rtf1\ansi\ansicpg1252\deff0\deflang11274{\fonttbl{\f0\fnil\fcharset0 MS Sans Serif}} \viewkind4\uc1\pard\f0\fs16 JGO. CABLES BUJ\'cdAS CHEVETTE\par } </v>
      </c>
      <c r="AM2122" t="str">
        <f t="shared" si="1360"/>
        <v>-</v>
      </c>
    </row>
    <row r="2123" spans="1:39" x14ac:dyDescent="0.25">
      <c r="A2123" t="str">
        <f>"02-33011"</f>
        <v>02-33011</v>
      </c>
      <c r="B2123" t="str">
        <f>"JGO. CABLES BUJÍAS CHEVY / SUPER SPORT/ PICK UP / 400"</f>
        <v>JGO. CABLES BUJÍAS CHEVY / SUPER SPORT/ PICK UP / 400</v>
      </c>
      <c r="C2123" t="str">
        <f>"$ 12546,69"</f>
        <v>$ 12546,69</v>
      </c>
      <c r="D2123" t="str">
        <f>"$ 12546,69"</f>
        <v>$ 12546,69</v>
      </c>
      <c r="E2123" t="str">
        <f>"$ 12546,69"</f>
        <v>$ 12546,69</v>
      </c>
      <c r="F2123" t="str">
        <f>"$ 12546,69"</f>
        <v>$ 12546,69</v>
      </c>
      <c r="G2123" t="str">
        <f>"$ 12546,69"</f>
        <v>$ 12546,69</v>
      </c>
      <c r="H2123" t="str">
        <f t="shared" si="1366"/>
        <v>$ 0,00</v>
      </c>
      <c r="I2123" t="str">
        <f>"CABLES BUJÍAS PVC ANTIPARASITARIOS"</f>
        <v>CABLES BUJÍAS PVC ANTIPARASITARIOS</v>
      </c>
      <c r="J2123" t="str">
        <f t="shared" si="1367"/>
        <v>1</v>
      </c>
      <c r="K2123" t="str">
        <f t="shared" si="1346"/>
        <v>0</v>
      </c>
      <c r="L2123" t="str">
        <f>"31,000"</f>
        <v>31,000</v>
      </c>
      <c r="M2123" t="str">
        <f t="shared" si="1368"/>
        <v xml:space="preserve"> </v>
      </c>
      <c r="N2123" t="str">
        <f t="shared" si="1359"/>
        <v>FERRAZZI</v>
      </c>
      <c r="O2123" t="str">
        <f t="shared" si="1384"/>
        <v>CABLES</v>
      </c>
      <c r="P2123" t="str">
        <f t="shared" ref="P2123:Q2142" si="1385">"0"</f>
        <v>0</v>
      </c>
      <c r="Q2123" t="str">
        <f t="shared" si="1385"/>
        <v>0</v>
      </c>
      <c r="R2123" t="str">
        <f t="shared" ref="R2123:S2142" si="1386">"0,00"</f>
        <v>0,00</v>
      </c>
      <c r="S2123" t="str">
        <f t="shared" si="1386"/>
        <v>0,00</v>
      </c>
      <c r="T2123" t="str">
        <f t="shared" si="1365"/>
        <v xml:space="preserve"> </v>
      </c>
      <c r="U2123" t="str">
        <f t="shared" si="1342"/>
        <v xml:space="preserve"> </v>
      </c>
      <c r="V2123" t="str">
        <f>"31,000"</f>
        <v>31,000</v>
      </c>
      <c r="W2123" t="str">
        <f t="shared" si="1369"/>
        <v>Lista 4</v>
      </c>
      <c r="X2123" t="str">
        <f t="shared" si="1370"/>
        <v>Lista 5</v>
      </c>
      <c r="Y2123" t="str">
        <f t="shared" si="1371"/>
        <v>Oferta Gral.</v>
      </c>
      <c r="Z2123" t="str">
        <f t="shared" si="1372"/>
        <v>Rubro</v>
      </c>
      <c r="AA2123" t="str">
        <f t="shared" si="1373"/>
        <v>Cantidad por Bulto</v>
      </c>
      <c r="AB2123" t="str">
        <f t="shared" si="1374"/>
        <v>INNER</v>
      </c>
      <c r="AC2123" t="str">
        <f t="shared" si="1375"/>
        <v>Stock en Bultos</v>
      </c>
      <c r="AD2123" t="str">
        <f t="shared" si="1376"/>
        <v>SubDepósito</v>
      </c>
      <c r="AE2123" t="str">
        <f t="shared" si="1377"/>
        <v>Marca</v>
      </c>
      <c r="AF2123" t="str">
        <f t="shared" si="1378"/>
        <v>Super Rubro</v>
      </c>
      <c r="AG2123" t="str">
        <f t="shared" si="1379"/>
        <v>ComercioExterior</v>
      </c>
      <c r="AH2123" t="str">
        <f t="shared" si="1380"/>
        <v>PrecioFOB</v>
      </c>
      <c r="AI2123" t="str">
        <f t="shared" si="1381"/>
        <v>Monto II</v>
      </c>
      <c r="AJ2123" t="str">
        <f t="shared" si="1382"/>
        <v>Porcentaje II</v>
      </c>
      <c r="AK2123" t="str">
        <f t="shared" si="1383"/>
        <v>Foto</v>
      </c>
      <c r="AL2123" t="str">
        <f>"{\rtf1\ansi\ansicpg1252\deff0\deflang11274{\fonttbl{\f0\fnil\fcharset0 MS Sans Serif}} \viewkind4\uc1\pard\f0\fs16 JGO. CABLES BUJ\'cdAS CHEVY / SUPER SPORT/ PICK UP / 400\par } "</f>
        <v xml:space="preserve">{\rtf1\ansi\ansicpg1252\deff0\deflang11274{\fonttbl{\f0\fnil\fcharset0 MS Sans Serif}} \viewkind4\uc1\pard\f0\fs16 JGO. CABLES BUJ\'cdAS CHEVY / SUPER SPORT/ PICK UP / 400\par } </v>
      </c>
      <c r="AM2123" t="str">
        <f t="shared" si="1360"/>
        <v>-</v>
      </c>
    </row>
    <row r="2124" spans="1:39" x14ac:dyDescent="0.25">
      <c r="A2124" t="str">
        <f>"06-01796"</f>
        <v>06-01796</v>
      </c>
      <c r="B2124" t="str">
        <f>"JGO. CABLES BUJÍAS CLIO 1.2 16 V. DESDE 2009 SILICONA"</f>
        <v>JGO. CABLES BUJÍAS CLIO 1.2 16 V. DESDE 2009 SILICONA</v>
      </c>
      <c r="C2124" t="str">
        <f>"$ 25182,21"</f>
        <v>$ 25182,21</v>
      </c>
      <c r="D2124" t="str">
        <f>"$ 25182,21"</f>
        <v>$ 25182,21</v>
      </c>
      <c r="E2124" t="str">
        <f>"$ 25182,21"</f>
        <v>$ 25182,21</v>
      </c>
      <c r="F2124" t="str">
        <f>"$ 25182,21"</f>
        <v>$ 25182,21</v>
      </c>
      <c r="G2124" t="str">
        <f>"$ 25182,21"</f>
        <v>$ 25182,21</v>
      </c>
      <c r="H2124" t="str">
        <f t="shared" si="1366"/>
        <v>$ 0,00</v>
      </c>
      <c r="I2124" t="str">
        <f>"CABLES BUJÍAS SILICONA ANTIPARASITARIOS"</f>
        <v>CABLES BUJÍAS SILICONA ANTIPARASITARIOS</v>
      </c>
      <c r="J2124" t="str">
        <f t="shared" si="1367"/>
        <v>1</v>
      </c>
      <c r="K2124" t="str">
        <f t="shared" si="1346"/>
        <v>0</v>
      </c>
      <c r="L2124" t="str">
        <f>"16,000"</f>
        <v>16,000</v>
      </c>
      <c r="M2124" t="str">
        <f t="shared" si="1368"/>
        <v xml:space="preserve"> </v>
      </c>
      <c r="N2124" t="str">
        <f t="shared" si="1359"/>
        <v>FERRAZZI</v>
      </c>
      <c r="O2124" t="str">
        <f t="shared" si="1384"/>
        <v>CABLES</v>
      </c>
      <c r="P2124" t="str">
        <f t="shared" si="1385"/>
        <v>0</v>
      </c>
      <c r="Q2124" t="str">
        <f t="shared" si="1385"/>
        <v>0</v>
      </c>
      <c r="R2124" t="str">
        <f t="shared" si="1386"/>
        <v>0,00</v>
      </c>
      <c r="S2124" t="str">
        <f t="shared" si="1386"/>
        <v>0,00</v>
      </c>
      <c r="T2124" t="str">
        <f t="shared" si="1365"/>
        <v xml:space="preserve"> </v>
      </c>
      <c r="U2124" t="str">
        <f t="shared" ref="U2124:U2187" si="1387">" "</f>
        <v xml:space="preserve"> </v>
      </c>
      <c r="V2124" t="str">
        <f>"16,000"</f>
        <v>16,000</v>
      </c>
      <c r="W2124" t="str">
        <f t="shared" si="1369"/>
        <v>Lista 4</v>
      </c>
      <c r="X2124" t="str">
        <f t="shared" si="1370"/>
        <v>Lista 5</v>
      </c>
      <c r="Y2124" t="str">
        <f t="shared" si="1371"/>
        <v>Oferta Gral.</v>
      </c>
      <c r="Z2124" t="str">
        <f t="shared" si="1372"/>
        <v>Rubro</v>
      </c>
      <c r="AA2124" t="str">
        <f t="shared" si="1373"/>
        <v>Cantidad por Bulto</v>
      </c>
      <c r="AB2124" t="str">
        <f t="shared" si="1374"/>
        <v>INNER</v>
      </c>
      <c r="AC2124" t="str">
        <f t="shared" si="1375"/>
        <v>Stock en Bultos</v>
      </c>
      <c r="AD2124" t="str">
        <f t="shared" si="1376"/>
        <v>SubDepósito</v>
      </c>
      <c r="AE2124" t="str">
        <f t="shared" si="1377"/>
        <v>Marca</v>
      </c>
      <c r="AF2124" t="str">
        <f t="shared" si="1378"/>
        <v>Super Rubro</v>
      </c>
      <c r="AG2124" t="str">
        <f t="shared" si="1379"/>
        <v>ComercioExterior</v>
      </c>
      <c r="AH2124" t="str">
        <f t="shared" si="1380"/>
        <v>PrecioFOB</v>
      </c>
      <c r="AI2124" t="str">
        <f t="shared" si="1381"/>
        <v>Monto II</v>
      </c>
      <c r="AJ2124" t="str">
        <f t="shared" si="1382"/>
        <v>Porcentaje II</v>
      </c>
      <c r="AK2124" t="str">
        <f t="shared" si="1383"/>
        <v>Foto</v>
      </c>
      <c r="AL2124" t="str">
        <f>"{\rtf1\ansi\ansicpg1252\deff0\deflang11274{\fonttbl{\f0\fnil\fcharset0 MS Sans Serif}} \viewkind4\uc1\pard\f0\fs16 JGO. CABLES BUJ\'cdAS CLIO 1.2 16 V. DESDE 2009 SILICONA\par } "</f>
        <v xml:space="preserve">{\rtf1\ansi\ansicpg1252\deff0\deflang11274{\fonttbl{\f0\fnil\fcharset0 MS Sans Serif}} \viewkind4\uc1\pard\f0\fs16 JGO. CABLES BUJ\'cdAS CLIO 1.2 16 V. DESDE 2009 SILICONA\par } </v>
      </c>
      <c r="AM2124" t="str">
        <f t="shared" si="1360"/>
        <v>-</v>
      </c>
    </row>
    <row r="2125" spans="1:39" x14ac:dyDescent="0.25">
      <c r="A2125" t="str">
        <f>"04-00280"</f>
        <v>04-00280</v>
      </c>
      <c r="B2125" t="str">
        <f>"JGO. CABLES BUJÍAS COMPETICION 9 MM ESCORT/MONDEO ZETEC 1.8/2.0 16V "</f>
        <v xml:space="preserve">JGO. CABLES BUJÍAS COMPETICION 9 MM ESCORT/MONDEO ZETEC 1.8/2.0 16V </v>
      </c>
      <c r="C2125" t="str">
        <f>"$ 45371,85"</f>
        <v>$ 45371,85</v>
      </c>
      <c r="D2125" t="str">
        <f>"$ 45371,85"</f>
        <v>$ 45371,85</v>
      </c>
      <c r="E2125" t="str">
        <f>"$ 45371,85"</f>
        <v>$ 45371,85</v>
      </c>
      <c r="F2125" t="str">
        <f>"$ 45371,85"</f>
        <v>$ 45371,85</v>
      </c>
      <c r="G2125" t="str">
        <f>"$ 45371,85"</f>
        <v>$ 45371,85</v>
      </c>
      <c r="H2125" t="str">
        <f t="shared" si="1366"/>
        <v>$ 0,00</v>
      </c>
      <c r="I2125" t="str">
        <f t="shared" ref="I2125:I2130" si="1388">"CABLES BUJÍAS COMPETICION 9MM"</f>
        <v>CABLES BUJÍAS COMPETICION 9MM</v>
      </c>
      <c r="J2125" t="str">
        <f t="shared" si="1367"/>
        <v>1</v>
      </c>
      <c r="K2125" t="str">
        <f t="shared" si="1346"/>
        <v>0</v>
      </c>
      <c r="L2125" t="str">
        <f>"2,000"</f>
        <v>2,000</v>
      </c>
      <c r="M2125" t="str">
        <f t="shared" si="1368"/>
        <v xml:space="preserve"> </v>
      </c>
      <c r="N2125" t="str">
        <f t="shared" ref="N2125:N2150" si="1389">"FERRAZZI"</f>
        <v>FERRAZZI</v>
      </c>
      <c r="O2125" t="str">
        <f t="shared" si="1384"/>
        <v>CABLES</v>
      </c>
      <c r="P2125" t="str">
        <f t="shared" si="1385"/>
        <v>0</v>
      </c>
      <c r="Q2125" t="str">
        <f t="shared" si="1385"/>
        <v>0</v>
      </c>
      <c r="R2125" t="str">
        <f t="shared" si="1386"/>
        <v>0,00</v>
      </c>
      <c r="S2125" t="str">
        <f t="shared" si="1386"/>
        <v>0,00</v>
      </c>
      <c r="T2125" t="str">
        <f t="shared" si="1365"/>
        <v xml:space="preserve"> </v>
      </c>
      <c r="U2125" t="str">
        <f t="shared" si="1387"/>
        <v xml:space="preserve"> </v>
      </c>
      <c r="V2125" t="str">
        <f>"2,000"</f>
        <v>2,000</v>
      </c>
      <c r="W2125" t="str">
        <f t="shared" si="1369"/>
        <v>Lista 4</v>
      </c>
      <c r="X2125" t="str">
        <f t="shared" si="1370"/>
        <v>Lista 5</v>
      </c>
      <c r="Y2125" t="str">
        <f t="shared" si="1371"/>
        <v>Oferta Gral.</v>
      </c>
      <c r="Z2125" t="str">
        <f t="shared" si="1372"/>
        <v>Rubro</v>
      </c>
      <c r="AA2125" t="str">
        <f t="shared" si="1373"/>
        <v>Cantidad por Bulto</v>
      </c>
      <c r="AB2125" t="str">
        <f t="shared" si="1374"/>
        <v>INNER</v>
      </c>
      <c r="AC2125" t="str">
        <f t="shared" si="1375"/>
        <v>Stock en Bultos</v>
      </c>
      <c r="AD2125" t="str">
        <f t="shared" si="1376"/>
        <v>SubDepósito</v>
      </c>
      <c r="AE2125" t="str">
        <f t="shared" si="1377"/>
        <v>Marca</v>
      </c>
      <c r="AF2125" t="str">
        <f t="shared" si="1378"/>
        <v>Super Rubro</v>
      </c>
      <c r="AG2125" t="str">
        <f t="shared" si="1379"/>
        <v>ComercioExterior</v>
      </c>
      <c r="AH2125" t="str">
        <f t="shared" si="1380"/>
        <v>PrecioFOB</v>
      </c>
      <c r="AI2125" t="str">
        <f t="shared" si="1381"/>
        <v>Monto II</v>
      </c>
      <c r="AJ2125" t="str">
        <f t="shared" si="1382"/>
        <v>Porcentaje II</v>
      </c>
      <c r="AK2125" t="str">
        <f t="shared" si="1383"/>
        <v>Foto</v>
      </c>
      <c r="AL212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25" t="str">
        <f t="shared" si="1360"/>
        <v>-</v>
      </c>
    </row>
    <row r="2126" spans="1:39" x14ac:dyDescent="0.25">
      <c r="A2126" t="str">
        <f>"03-00222"</f>
        <v>03-00222</v>
      </c>
      <c r="B2126" t="str">
        <f>"JGO. CABLES BUJÍAS COMPETICION 9MM DODGE GTX V8"</f>
        <v>JGO. CABLES BUJÍAS COMPETICION 9MM DODGE GTX V8</v>
      </c>
      <c r="C2126" t="str">
        <f>"$ 87120,53"</f>
        <v>$ 87120,53</v>
      </c>
      <c r="D2126" t="str">
        <f>"$ 87120,53"</f>
        <v>$ 87120,53</v>
      </c>
      <c r="E2126" t="str">
        <f>"$ 87120,53"</f>
        <v>$ 87120,53</v>
      </c>
      <c r="F2126" t="str">
        <f>"$ 87120,53"</f>
        <v>$ 87120,53</v>
      </c>
      <c r="G2126" t="str">
        <f>"$ 87120,53"</f>
        <v>$ 87120,53</v>
      </c>
      <c r="H2126" t="str">
        <f t="shared" si="1366"/>
        <v>$ 0,00</v>
      </c>
      <c r="I2126" t="str">
        <f t="shared" si="1388"/>
        <v>CABLES BUJÍAS COMPETICION 9MM</v>
      </c>
      <c r="J2126" t="str">
        <f t="shared" si="1367"/>
        <v>1</v>
      </c>
      <c r="K2126" t="str">
        <f t="shared" si="1346"/>
        <v>0</v>
      </c>
      <c r="L2126" t="str">
        <f>"3,000"</f>
        <v>3,000</v>
      </c>
      <c r="M2126" t="str">
        <f t="shared" si="1368"/>
        <v xml:space="preserve"> </v>
      </c>
      <c r="N2126" t="str">
        <f t="shared" si="1389"/>
        <v>FERRAZZI</v>
      </c>
      <c r="O2126" t="str">
        <f t="shared" si="1384"/>
        <v>CABLES</v>
      </c>
      <c r="P2126" t="str">
        <f t="shared" si="1385"/>
        <v>0</v>
      </c>
      <c r="Q2126" t="str">
        <f t="shared" si="1385"/>
        <v>0</v>
      </c>
      <c r="R2126" t="str">
        <f t="shared" si="1386"/>
        <v>0,00</v>
      </c>
      <c r="S2126" t="str">
        <f t="shared" si="1386"/>
        <v>0,00</v>
      </c>
      <c r="T2126" t="str">
        <f t="shared" si="1365"/>
        <v xml:space="preserve"> </v>
      </c>
      <c r="U2126" t="str">
        <f t="shared" si="1387"/>
        <v xml:space="preserve"> </v>
      </c>
      <c r="V2126" t="str">
        <f>"3,000"</f>
        <v>3,000</v>
      </c>
      <c r="W2126" t="str">
        <f t="shared" si="1369"/>
        <v>Lista 4</v>
      </c>
      <c r="X2126" t="str">
        <f t="shared" si="1370"/>
        <v>Lista 5</v>
      </c>
      <c r="Y2126" t="str">
        <f t="shared" si="1371"/>
        <v>Oferta Gral.</v>
      </c>
      <c r="Z2126" t="str">
        <f t="shared" si="1372"/>
        <v>Rubro</v>
      </c>
      <c r="AA2126" t="str">
        <f t="shared" si="1373"/>
        <v>Cantidad por Bulto</v>
      </c>
      <c r="AB2126" t="str">
        <f t="shared" si="1374"/>
        <v>INNER</v>
      </c>
      <c r="AC2126" t="str">
        <f t="shared" si="1375"/>
        <v>Stock en Bultos</v>
      </c>
      <c r="AD2126" t="str">
        <f t="shared" si="1376"/>
        <v>SubDepósito</v>
      </c>
      <c r="AE2126" t="str">
        <f t="shared" si="1377"/>
        <v>Marca</v>
      </c>
      <c r="AF2126" t="str">
        <f t="shared" si="1378"/>
        <v>Super Rubro</v>
      </c>
      <c r="AG2126" t="str">
        <f t="shared" si="1379"/>
        <v>ComercioExterior</v>
      </c>
      <c r="AH2126" t="str">
        <f t="shared" si="1380"/>
        <v>PrecioFOB</v>
      </c>
      <c r="AI2126" t="str">
        <f t="shared" si="1381"/>
        <v>Monto II</v>
      </c>
      <c r="AJ2126" t="str">
        <f t="shared" si="1382"/>
        <v>Porcentaje II</v>
      </c>
      <c r="AK2126" t="str">
        <f t="shared" si="1383"/>
        <v>Foto</v>
      </c>
      <c r="AL2126" t="str">
        <f>"{\rtf1\ansi\ansicpg1252\deff0\deflang11274{\fonttbl{\f0\fnil\fcharset0 MS Sans Serif}} \viewkind4\uc1\pard\f0\fs16 JUEGO CABLES BUJIAS COMPETICION 9MM DODGE GTX V8\par } "</f>
        <v xml:space="preserve">{\rtf1\ansi\ansicpg1252\deff0\deflang11274{\fonttbl{\f0\fnil\fcharset0 MS Sans Serif}} \viewkind4\uc1\pard\f0\fs16 JUEGO CABLES BUJIAS COMPETICION 9MM DODGE GTX V8\par } </v>
      </c>
      <c r="AM2126" t="str">
        <f>"DODGE GTX V8"</f>
        <v>DODGE GTX V8</v>
      </c>
    </row>
    <row r="2127" spans="1:39" x14ac:dyDescent="0.25">
      <c r="A2127" t="str">
        <f>"03-00221"</f>
        <v>03-00221</v>
      </c>
      <c r="B2127" t="str">
        <f>"JGO. CABLES BUJÍAS COMPETICION 9MM DODGE/VW 1500"</f>
        <v>JGO. CABLES BUJÍAS COMPETICION 9MM DODGE/VW 1500</v>
      </c>
      <c r="C2127" t="str">
        <f>"$ 35316,03"</f>
        <v>$ 35316,03</v>
      </c>
      <c r="D2127" t="str">
        <f>"$ 35316,03"</f>
        <v>$ 35316,03</v>
      </c>
      <c r="E2127" t="str">
        <f>"$ 35316,03"</f>
        <v>$ 35316,03</v>
      </c>
      <c r="F2127" t="str">
        <f>"$ 35316,03"</f>
        <v>$ 35316,03</v>
      </c>
      <c r="G2127" t="str">
        <f>"$ 35316,03"</f>
        <v>$ 35316,03</v>
      </c>
      <c r="H2127" t="str">
        <f t="shared" si="1366"/>
        <v>$ 0,00</v>
      </c>
      <c r="I2127" t="str">
        <f t="shared" si="1388"/>
        <v>CABLES BUJÍAS COMPETICION 9MM</v>
      </c>
      <c r="J2127" t="str">
        <f t="shared" si="1367"/>
        <v>1</v>
      </c>
      <c r="K2127" t="str">
        <f t="shared" si="1346"/>
        <v>0</v>
      </c>
      <c r="L2127" t="str">
        <f>"7,000"</f>
        <v>7,000</v>
      </c>
      <c r="M2127" t="str">
        <f t="shared" si="1368"/>
        <v xml:space="preserve"> </v>
      </c>
      <c r="N2127" t="str">
        <f t="shared" si="1389"/>
        <v>FERRAZZI</v>
      </c>
      <c r="O2127" t="str">
        <f t="shared" si="1384"/>
        <v>CABLES</v>
      </c>
      <c r="P2127" t="str">
        <f t="shared" si="1385"/>
        <v>0</v>
      </c>
      <c r="Q2127" t="str">
        <f t="shared" si="1385"/>
        <v>0</v>
      </c>
      <c r="R2127" t="str">
        <f t="shared" si="1386"/>
        <v>0,00</v>
      </c>
      <c r="S2127" t="str">
        <f t="shared" si="1386"/>
        <v>0,00</v>
      </c>
      <c r="T2127" t="str">
        <f t="shared" si="1365"/>
        <v xml:space="preserve"> </v>
      </c>
      <c r="U2127" t="str">
        <f t="shared" si="1387"/>
        <v xml:space="preserve"> </v>
      </c>
      <c r="V2127" t="str">
        <f>"7,000"</f>
        <v>7,000</v>
      </c>
      <c r="W2127" t="str">
        <f t="shared" si="1369"/>
        <v>Lista 4</v>
      </c>
      <c r="X2127" t="str">
        <f t="shared" si="1370"/>
        <v>Lista 5</v>
      </c>
      <c r="Y2127" t="str">
        <f t="shared" si="1371"/>
        <v>Oferta Gral.</v>
      </c>
      <c r="Z2127" t="str">
        <f t="shared" si="1372"/>
        <v>Rubro</v>
      </c>
      <c r="AA2127" t="str">
        <f t="shared" si="1373"/>
        <v>Cantidad por Bulto</v>
      </c>
      <c r="AB2127" t="str">
        <f t="shared" si="1374"/>
        <v>INNER</v>
      </c>
      <c r="AC2127" t="str">
        <f t="shared" si="1375"/>
        <v>Stock en Bultos</v>
      </c>
      <c r="AD2127" t="str">
        <f t="shared" si="1376"/>
        <v>SubDepósito</v>
      </c>
      <c r="AE2127" t="str">
        <f t="shared" si="1377"/>
        <v>Marca</v>
      </c>
      <c r="AF2127" t="str">
        <f t="shared" si="1378"/>
        <v>Super Rubro</v>
      </c>
      <c r="AG2127" t="str">
        <f t="shared" si="1379"/>
        <v>ComercioExterior</v>
      </c>
      <c r="AH2127" t="str">
        <f t="shared" si="1380"/>
        <v>PrecioFOB</v>
      </c>
      <c r="AI2127" t="str">
        <f t="shared" si="1381"/>
        <v>Monto II</v>
      </c>
      <c r="AJ2127" t="str">
        <f t="shared" si="1382"/>
        <v>Porcentaje II</v>
      </c>
      <c r="AK2127" t="str">
        <f t="shared" si="1383"/>
        <v>Foto</v>
      </c>
      <c r="AL212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27" t="str">
        <f t="shared" ref="AM2127:AM2150" si="1390">"-"</f>
        <v>-</v>
      </c>
    </row>
    <row r="2128" spans="1:39" x14ac:dyDescent="0.25">
      <c r="A2128" t="str">
        <f>"04-00205"</f>
        <v>04-00205</v>
      </c>
      <c r="B2128" t="str">
        <f>"JGO. CABLES BUJÍAS COMPETICION 9MM ESCORT 1.6/1.8 CARBURADOR 90/96"</f>
        <v>JGO. CABLES BUJÍAS COMPETICION 9MM ESCORT 1.6/1.8 CARBURADOR 90/96</v>
      </c>
      <c r="C2128" t="str">
        <f>"$ 50628,95"</f>
        <v>$ 50628,95</v>
      </c>
      <c r="D2128" t="str">
        <f>"$ 50628,95"</f>
        <v>$ 50628,95</v>
      </c>
      <c r="E2128" t="str">
        <f>"$ 50628,95"</f>
        <v>$ 50628,95</v>
      </c>
      <c r="F2128" t="str">
        <f>"$ 50628,95"</f>
        <v>$ 50628,95</v>
      </c>
      <c r="G2128" t="str">
        <f>"$ 50628,95"</f>
        <v>$ 50628,95</v>
      </c>
      <c r="H2128" t="str">
        <f t="shared" si="1366"/>
        <v>$ 0,00</v>
      </c>
      <c r="I2128" t="str">
        <f t="shared" si="1388"/>
        <v>CABLES BUJÍAS COMPETICION 9MM</v>
      </c>
      <c r="J2128" t="str">
        <f t="shared" si="1367"/>
        <v>1</v>
      </c>
      <c r="K2128" t="str">
        <f t="shared" si="1346"/>
        <v>0</v>
      </c>
      <c r="L2128" t="str">
        <f>"8,000"</f>
        <v>8,000</v>
      </c>
      <c r="M2128" t="str">
        <f t="shared" si="1368"/>
        <v xml:space="preserve"> </v>
      </c>
      <c r="N2128" t="str">
        <f t="shared" si="1389"/>
        <v>FERRAZZI</v>
      </c>
      <c r="O2128" t="str">
        <f t="shared" si="1384"/>
        <v>CABLES</v>
      </c>
      <c r="P2128" t="str">
        <f t="shared" si="1385"/>
        <v>0</v>
      </c>
      <c r="Q2128" t="str">
        <f t="shared" si="1385"/>
        <v>0</v>
      </c>
      <c r="R2128" t="str">
        <f t="shared" si="1386"/>
        <v>0,00</v>
      </c>
      <c r="S2128" t="str">
        <f t="shared" si="1386"/>
        <v>0,00</v>
      </c>
      <c r="T2128" t="str">
        <f t="shared" si="1365"/>
        <v xml:space="preserve"> </v>
      </c>
      <c r="U2128" t="str">
        <f t="shared" si="1387"/>
        <v xml:space="preserve"> </v>
      </c>
      <c r="V2128" t="str">
        <f>"8,000"</f>
        <v>8,000</v>
      </c>
      <c r="W2128" t="str">
        <f t="shared" si="1369"/>
        <v>Lista 4</v>
      </c>
      <c r="X2128" t="str">
        <f t="shared" si="1370"/>
        <v>Lista 5</v>
      </c>
      <c r="Y2128" t="str">
        <f t="shared" si="1371"/>
        <v>Oferta Gral.</v>
      </c>
      <c r="Z2128" t="str">
        <f t="shared" si="1372"/>
        <v>Rubro</v>
      </c>
      <c r="AA2128" t="str">
        <f t="shared" si="1373"/>
        <v>Cantidad por Bulto</v>
      </c>
      <c r="AB2128" t="str">
        <f t="shared" si="1374"/>
        <v>INNER</v>
      </c>
      <c r="AC2128" t="str">
        <f t="shared" si="1375"/>
        <v>Stock en Bultos</v>
      </c>
      <c r="AD2128" t="str">
        <f t="shared" si="1376"/>
        <v>SubDepósito</v>
      </c>
      <c r="AE2128" t="str">
        <f t="shared" si="1377"/>
        <v>Marca</v>
      </c>
      <c r="AF2128" t="str">
        <f t="shared" si="1378"/>
        <v>Super Rubro</v>
      </c>
      <c r="AG2128" t="str">
        <f t="shared" si="1379"/>
        <v>ComercioExterior</v>
      </c>
      <c r="AH2128" t="str">
        <f t="shared" si="1380"/>
        <v>PrecioFOB</v>
      </c>
      <c r="AI2128" t="str">
        <f t="shared" si="1381"/>
        <v>Monto II</v>
      </c>
      <c r="AJ2128" t="str">
        <f t="shared" si="1382"/>
        <v>Porcentaje II</v>
      </c>
      <c r="AK2128" t="str">
        <f t="shared" si="1383"/>
        <v>Foto</v>
      </c>
      <c r="AL212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28" t="str">
        <f t="shared" si="1390"/>
        <v>-</v>
      </c>
    </row>
    <row r="2129" spans="1:39" x14ac:dyDescent="0.25">
      <c r="A2129" t="str">
        <f>"03-00258"</f>
        <v>03-00258</v>
      </c>
      <c r="B2129" t="str">
        <f>"JGO. CABLES BUJÍAS COMPETICION 9MM VW BORA/GOLF 2.0 8V"</f>
        <v>JGO. CABLES BUJÍAS COMPETICION 9MM VW BORA/GOLF 2.0 8V</v>
      </c>
      <c r="C2129" t="str">
        <f>"$ 45764,48"</f>
        <v>$ 45764,48</v>
      </c>
      <c r="D2129" t="str">
        <f>"$ 45764,48"</f>
        <v>$ 45764,48</v>
      </c>
      <c r="E2129" t="str">
        <f>"$ 45764,48"</f>
        <v>$ 45764,48</v>
      </c>
      <c r="F2129" t="str">
        <f>"$ 45764,48"</f>
        <v>$ 45764,48</v>
      </c>
      <c r="G2129" t="str">
        <f>"$ 45764,48"</f>
        <v>$ 45764,48</v>
      </c>
      <c r="H2129" t="str">
        <f t="shared" si="1366"/>
        <v>$ 0,00</v>
      </c>
      <c r="I2129" t="str">
        <f t="shared" si="1388"/>
        <v>CABLES BUJÍAS COMPETICION 9MM</v>
      </c>
      <c r="J2129" t="str">
        <f t="shared" si="1367"/>
        <v>1</v>
      </c>
      <c r="K2129" t="str">
        <f t="shared" si="1346"/>
        <v>0</v>
      </c>
      <c r="L2129" t="str">
        <f>"65,000"</f>
        <v>65,000</v>
      </c>
      <c r="M2129" t="str">
        <f t="shared" si="1368"/>
        <v xml:space="preserve"> </v>
      </c>
      <c r="N2129" t="str">
        <f t="shared" si="1389"/>
        <v>FERRAZZI</v>
      </c>
      <c r="O2129" t="str">
        <f t="shared" si="1384"/>
        <v>CABLES</v>
      </c>
      <c r="P2129" t="str">
        <f t="shared" si="1385"/>
        <v>0</v>
      </c>
      <c r="Q2129" t="str">
        <f t="shared" si="1385"/>
        <v>0</v>
      </c>
      <c r="R2129" t="str">
        <f t="shared" si="1386"/>
        <v>0,00</v>
      </c>
      <c r="S2129" t="str">
        <f t="shared" si="1386"/>
        <v>0,00</v>
      </c>
      <c r="T2129" t="str">
        <f t="shared" si="1365"/>
        <v xml:space="preserve"> </v>
      </c>
      <c r="U2129" t="str">
        <f t="shared" si="1387"/>
        <v xml:space="preserve"> </v>
      </c>
      <c r="V2129" t="str">
        <f>"65,000"</f>
        <v>65,000</v>
      </c>
      <c r="W2129" t="str">
        <f t="shared" si="1369"/>
        <v>Lista 4</v>
      </c>
      <c r="X2129" t="str">
        <f t="shared" si="1370"/>
        <v>Lista 5</v>
      </c>
      <c r="Y2129" t="str">
        <f t="shared" si="1371"/>
        <v>Oferta Gral.</v>
      </c>
      <c r="Z2129" t="str">
        <f t="shared" si="1372"/>
        <v>Rubro</v>
      </c>
      <c r="AA2129" t="str">
        <f t="shared" si="1373"/>
        <v>Cantidad por Bulto</v>
      </c>
      <c r="AB2129" t="str">
        <f t="shared" si="1374"/>
        <v>INNER</v>
      </c>
      <c r="AC2129" t="str">
        <f t="shared" si="1375"/>
        <v>Stock en Bultos</v>
      </c>
      <c r="AD2129" t="str">
        <f t="shared" si="1376"/>
        <v>SubDepósito</v>
      </c>
      <c r="AE2129" t="str">
        <f t="shared" si="1377"/>
        <v>Marca</v>
      </c>
      <c r="AF2129" t="str">
        <f t="shared" si="1378"/>
        <v>Super Rubro</v>
      </c>
      <c r="AG2129" t="str">
        <f t="shared" si="1379"/>
        <v>ComercioExterior</v>
      </c>
      <c r="AH2129" t="str">
        <f t="shared" si="1380"/>
        <v>PrecioFOB</v>
      </c>
      <c r="AI2129" t="str">
        <f t="shared" si="1381"/>
        <v>Monto II</v>
      </c>
      <c r="AJ2129" t="str">
        <f t="shared" si="1382"/>
        <v>Porcentaje II</v>
      </c>
      <c r="AK2129" t="str">
        <f t="shared" si="1383"/>
        <v>Foto</v>
      </c>
      <c r="AL2129" t="str">
        <f>"{\rtf1\ansi\ansicpg1252\deff0\deflang11274{\fonttbl{\f0\fnil\fcharset0 MS Sans Serif}} \viewkind4\uc1\pard\f0\fs16 JGO. CABLES BUJ\'cdAS COMPETICION 9MM VW BORA/GOLF 2.0 8V\par } "</f>
        <v xml:space="preserve">{\rtf1\ansi\ansicpg1252\deff0\deflang11274{\fonttbl{\f0\fnil\fcharset0 MS Sans Serif}} \viewkind4\uc1\pard\f0\fs16 JGO. CABLES BUJ\'cdAS COMPETICION 9MM VW BORA/GOLF 2.0 8V\par } </v>
      </c>
      <c r="AM2129" t="str">
        <f t="shared" si="1390"/>
        <v>-</v>
      </c>
    </row>
    <row r="2130" spans="1:39" x14ac:dyDescent="0.25">
      <c r="A2130" t="str">
        <f>"03-00202"</f>
        <v>03-00202</v>
      </c>
      <c r="B2130" t="str">
        <f>"JGO. CABLES BUJÍAS COMPETICION 9MM VW GOL/SAVEIRO MOTOR CHT"</f>
        <v>JGO. CABLES BUJÍAS COMPETICION 9MM VW GOL/SAVEIRO MOTOR CHT</v>
      </c>
      <c r="C2130" t="str">
        <f>"$ 48809,65"</f>
        <v>$ 48809,65</v>
      </c>
      <c r="D2130" t="str">
        <f>"$ 48809,65"</f>
        <v>$ 48809,65</v>
      </c>
      <c r="E2130" t="str">
        <f>"$ 48809,65"</f>
        <v>$ 48809,65</v>
      </c>
      <c r="F2130" t="str">
        <f>"$ 48809,65"</f>
        <v>$ 48809,65</v>
      </c>
      <c r="G2130" t="str">
        <f>"$ 48809,65"</f>
        <v>$ 48809,65</v>
      </c>
      <c r="H2130" t="str">
        <f t="shared" si="1366"/>
        <v>$ 0,00</v>
      </c>
      <c r="I2130" t="str">
        <f t="shared" si="1388"/>
        <v>CABLES BUJÍAS COMPETICION 9MM</v>
      </c>
      <c r="J2130" t="str">
        <f t="shared" si="1367"/>
        <v>1</v>
      </c>
      <c r="K2130" t="str">
        <f t="shared" si="1346"/>
        <v>0</v>
      </c>
      <c r="L2130" t="str">
        <f>"8,000"</f>
        <v>8,000</v>
      </c>
      <c r="M2130" t="str">
        <f t="shared" si="1368"/>
        <v xml:space="preserve"> </v>
      </c>
      <c r="N2130" t="str">
        <f t="shared" si="1389"/>
        <v>FERRAZZI</v>
      </c>
      <c r="O2130" t="str">
        <f t="shared" si="1384"/>
        <v>CABLES</v>
      </c>
      <c r="P2130" t="str">
        <f t="shared" si="1385"/>
        <v>0</v>
      </c>
      <c r="Q2130" t="str">
        <f t="shared" si="1385"/>
        <v>0</v>
      </c>
      <c r="R2130" t="str">
        <f t="shared" si="1386"/>
        <v>0,00</v>
      </c>
      <c r="S2130" t="str">
        <f t="shared" si="1386"/>
        <v>0,00</v>
      </c>
      <c r="T2130" t="str">
        <f t="shared" si="1365"/>
        <v xml:space="preserve"> </v>
      </c>
      <c r="U2130" t="str">
        <f t="shared" si="1387"/>
        <v xml:space="preserve"> </v>
      </c>
      <c r="V2130" t="str">
        <f>"8,000"</f>
        <v>8,000</v>
      </c>
      <c r="W2130" t="str">
        <f t="shared" si="1369"/>
        <v>Lista 4</v>
      </c>
      <c r="X2130" t="str">
        <f t="shared" si="1370"/>
        <v>Lista 5</v>
      </c>
      <c r="Y2130" t="str">
        <f t="shared" si="1371"/>
        <v>Oferta Gral.</v>
      </c>
      <c r="Z2130" t="str">
        <f t="shared" si="1372"/>
        <v>Rubro</v>
      </c>
      <c r="AA2130" t="str">
        <f t="shared" si="1373"/>
        <v>Cantidad por Bulto</v>
      </c>
      <c r="AB2130" t="str">
        <f t="shared" si="1374"/>
        <v>INNER</v>
      </c>
      <c r="AC2130" t="str">
        <f t="shared" si="1375"/>
        <v>Stock en Bultos</v>
      </c>
      <c r="AD2130" t="str">
        <f t="shared" si="1376"/>
        <v>SubDepósito</v>
      </c>
      <c r="AE2130" t="str">
        <f t="shared" si="1377"/>
        <v>Marca</v>
      </c>
      <c r="AF2130" t="str">
        <f t="shared" si="1378"/>
        <v>Super Rubro</v>
      </c>
      <c r="AG2130" t="str">
        <f t="shared" si="1379"/>
        <v>ComercioExterior</v>
      </c>
      <c r="AH2130" t="str">
        <f t="shared" si="1380"/>
        <v>PrecioFOB</v>
      </c>
      <c r="AI2130" t="str">
        <f t="shared" si="1381"/>
        <v>Monto II</v>
      </c>
      <c r="AJ2130" t="str">
        <f t="shared" si="1382"/>
        <v>Porcentaje II</v>
      </c>
      <c r="AK2130" t="str">
        <f t="shared" si="1383"/>
        <v>Foto</v>
      </c>
      <c r="AL213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30" t="str">
        <f t="shared" si="1390"/>
        <v>-</v>
      </c>
    </row>
    <row r="2131" spans="1:39" x14ac:dyDescent="0.25">
      <c r="A2131" t="str">
        <f>"02-01796"</f>
        <v>02-01796</v>
      </c>
      <c r="B2131" t="str">
        <f>"JGO. CABLES BUJÍAS CORSA/MERIVA 1.6 8V MPFI  SILICONA"</f>
        <v>JGO. CABLES BUJÍAS CORSA/MERIVA 1.6 8V MPFI  SILICONA</v>
      </c>
      <c r="C2131" t="str">
        <f>"$ 24586,87"</f>
        <v>$ 24586,87</v>
      </c>
      <c r="D2131" t="str">
        <f>"$ 24586,87"</f>
        <v>$ 24586,87</v>
      </c>
      <c r="E2131" t="str">
        <f>"$ 24586,87"</f>
        <v>$ 24586,87</v>
      </c>
      <c r="F2131" t="str">
        <f>"$ 24586,87"</f>
        <v>$ 24586,87</v>
      </c>
      <c r="G2131" t="str">
        <f>"$ 24586,87"</f>
        <v>$ 24586,87</v>
      </c>
      <c r="H2131" t="str">
        <f t="shared" si="1366"/>
        <v>$ 0,00</v>
      </c>
      <c r="I2131" t="str">
        <f>"CABLES BUJÍAS SILICONA ANTIPARASITARIOS"</f>
        <v>CABLES BUJÍAS SILICONA ANTIPARASITARIOS</v>
      </c>
      <c r="J2131" t="str">
        <f t="shared" si="1367"/>
        <v>1</v>
      </c>
      <c r="K2131" t="str">
        <f t="shared" si="1346"/>
        <v>0</v>
      </c>
      <c r="L2131" t="str">
        <f>"68,000"</f>
        <v>68,000</v>
      </c>
      <c r="M2131" t="str">
        <f t="shared" si="1368"/>
        <v xml:space="preserve"> </v>
      </c>
      <c r="N2131" t="str">
        <f t="shared" si="1389"/>
        <v>FERRAZZI</v>
      </c>
      <c r="O2131" t="str">
        <f t="shared" si="1384"/>
        <v>CABLES</v>
      </c>
      <c r="P2131" t="str">
        <f t="shared" si="1385"/>
        <v>0</v>
      </c>
      <c r="Q2131" t="str">
        <f t="shared" si="1385"/>
        <v>0</v>
      </c>
      <c r="R2131" t="str">
        <f t="shared" si="1386"/>
        <v>0,00</v>
      </c>
      <c r="S2131" t="str">
        <f t="shared" si="1386"/>
        <v>0,00</v>
      </c>
      <c r="T2131" t="str">
        <f t="shared" si="1365"/>
        <v xml:space="preserve"> </v>
      </c>
      <c r="U2131" t="str">
        <f t="shared" si="1387"/>
        <v xml:space="preserve"> </v>
      </c>
      <c r="V2131" t="str">
        <f>"68,000"</f>
        <v>68,000</v>
      </c>
      <c r="W2131" t="str">
        <f t="shared" si="1369"/>
        <v>Lista 4</v>
      </c>
      <c r="X2131" t="str">
        <f t="shared" si="1370"/>
        <v>Lista 5</v>
      </c>
      <c r="Y2131" t="str">
        <f t="shared" si="1371"/>
        <v>Oferta Gral.</v>
      </c>
      <c r="Z2131" t="str">
        <f t="shared" si="1372"/>
        <v>Rubro</v>
      </c>
      <c r="AA2131" t="str">
        <f t="shared" si="1373"/>
        <v>Cantidad por Bulto</v>
      </c>
      <c r="AB2131" t="str">
        <f t="shared" si="1374"/>
        <v>INNER</v>
      </c>
      <c r="AC2131" t="str">
        <f t="shared" si="1375"/>
        <v>Stock en Bultos</v>
      </c>
      <c r="AD2131" t="str">
        <f t="shared" si="1376"/>
        <v>SubDepósito</v>
      </c>
      <c r="AE2131" t="str">
        <f t="shared" si="1377"/>
        <v>Marca</v>
      </c>
      <c r="AF2131" t="str">
        <f t="shared" si="1378"/>
        <v>Super Rubro</v>
      </c>
      <c r="AG2131" t="str">
        <f t="shared" si="1379"/>
        <v>ComercioExterior</v>
      </c>
      <c r="AH2131" t="str">
        <f t="shared" si="1380"/>
        <v>PrecioFOB</v>
      </c>
      <c r="AI2131" t="str">
        <f t="shared" si="1381"/>
        <v>Monto II</v>
      </c>
      <c r="AJ2131" t="str">
        <f t="shared" si="1382"/>
        <v>Porcentaje II</v>
      </c>
      <c r="AK2131" t="str">
        <f t="shared" si="1383"/>
        <v>Foto</v>
      </c>
      <c r="AL2131" t="str">
        <f>"{\rtf1\ansi\ansicpg1252\deff0\deflang11274{\fonttbl{\f0\fnil\fcharset0 MS Sans Serif}} \viewkind4\uc1\pard\f0\fs16 JGO. CABLES BUJ\'cdAS CORSA/MERIVA 1.6 8V MPFI  SILICONA\par } "</f>
        <v xml:space="preserve">{\rtf1\ansi\ansicpg1252\deff0\deflang11274{\fonttbl{\f0\fnil\fcharset0 MS Sans Serif}} \viewkind4\uc1\pard\f0\fs16 JGO. CABLES BUJ\'cdAS CORSA/MERIVA 1.6 8V MPFI  SILICONA\par } </v>
      </c>
      <c r="AM2131" t="str">
        <f t="shared" si="1390"/>
        <v>-</v>
      </c>
    </row>
    <row r="2132" spans="1:39" x14ac:dyDescent="0.25">
      <c r="A2132" t="str">
        <f>"05-33097"</f>
        <v>05-33097</v>
      </c>
      <c r="B2132" t="str">
        <f>"JGO. CABLES BUJÍAS DUNA 1.4 - 1.6"</f>
        <v>JGO. CABLES BUJÍAS DUNA 1.4 - 1.6</v>
      </c>
      <c r="C2132" t="str">
        <f>"$ 11080,83"</f>
        <v>$ 11080,83</v>
      </c>
      <c r="D2132" t="str">
        <f>"$ 11080,83"</f>
        <v>$ 11080,83</v>
      </c>
      <c r="E2132" t="str">
        <f>"$ 11080,83"</f>
        <v>$ 11080,83</v>
      </c>
      <c r="F2132" t="str">
        <f>"$ 11080,83"</f>
        <v>$ 11080,83</v>
      </c>
      <c r="G2132" t="str">
        <f>"$ 11080,83"</f>
        <v>$ 11080,83</v>
      </c>
      <c r="H2132" t="str">
        <f t="shared" si="1366"/>
        <v>$ 0,00</v>
      </c>
      <c r="I2132" t="str">
        <f>"CABLES BUJÍAS PVC ANTIPARASITARIOS"</f>
        <v>CABLES BUJÍAS PVC ANTIPARASITARIOS</v>
      </c>
      <c r="J2132" t="str">
        <f t="shared" si="1367"/>
        <v>1</v>
      </c>
      <c r="K2132" t="str">
        <f t="shared" si="1346"/>
        <v>0</v>
      </c>
      <c r="L2132" t="str">
        <f>"33,000"</f>
        <v>33,000</v>
      </c>
      <c r="M2132" t="str">
        <f t="shared" si="1368"/>
        <v xml:space="preserve"> </v>
      </c>
      <c r="N2132" t="str">
        <f t="shared" si="1389"/>
        <v>FERRAZZI</v>
      </c>
      <c r="O2132" t="str">
        <f t="shared" si="1384"/>
        <v>CABLES</v>
      </c>
      <c r="P2132" t="str">
        <f t="shared" si="1385"/>
        <v>0</v>
      </c>
      <c r="Q2132" t="str">
        <f t="shared" si="1385"/>
        <v>0</v>
      </c>
      <c r="R2132" t="str">
        <f t="shared" si="1386"/>
        <v>0,00</v>
      </c>
      <c r="S2132" t="str">
        <f t="shared" si="1386"/>
        <v>0,00</v>
      </c>
      <c r="T2132" t="str">
        <f t="shared" si="1365"/>
        <v xml:space="preserve"> </v>
      </c>
      <c r="U2132" t="str">
        <f t="shared" si="1387"/>
        <v xml:space="preserve"> </v>
      </c>
      <c r="V2132" t="str">
        <f>"33,000"</f>
        <v>33,000</v>
      </c>
      <c r="W2132" t="str">
        <f t="shared" si="1369"/>
        <v>Lista 4</v>
      </c>
      <c r="X2132" t="str">
        <f t="shared" si="1370"/>
        <v>Lista 5</v>
      </c>
      <c r="Y2132" t="str">
        <f t="shared" si="1371"/>
        <v>Oferta Gral.</v>
      </c>
      <c r="Z2132" t="str">
        <f t="shared" si="1372"/>
        <v>Rubro</v>
      </c>
      <c r="AA2132" t="str">
        <f t="shared" si="1373"/>
        <v>Cantidad por Bulto</v>
      </c>
      <c r="AB2132" t="str">
        <f t="shared" si="1374"/>
        <v>INNER</v>
      </c>
      <c r="AC2132" t="str">
        <f t="shared" si="1375"/>
        <v>Stock en Bultos</v>
      </c>
      <c r="AD2132" t="str">
        <f t="shared" si="1376"/>
        <v>SubDepósito</v>
      </c>
      <c r="AE2132" t="str">
        <f t="shared" si="1377"/>
        <v>Marca</v>
      </c>
      <c r="AF2132" t="str">
        <f t="shared" si="1378"/>
        <v>Super Rubro</v>
      </c>
      <c r="AG2132" t="str">
        <f t="shared" si="1379"/>
        <v>ComercioExterior</v>
      </c>
      <c r="AH2132" t="str">
        <f t="shared" si="1380"/>
        <v>PrecioFOB</v>
      </c>
      <c r="AI2132" t="str">
        <f t="shared" si="1381"/>
        <v>Monto II</v>
      </c>
      <c r="AJ2132" t="str">
        <f t="shared" si="1382"/>
        <v>Porcentaje II</v>
      </c>
      <c r="AK2132" t="str">
        <f t="shared" si="1383"/>
        <v>Foto</v>
      </c>
      <c r="AL2132" t="str">
        <f>"{\rtf1\ansi\ansicpg1252\deff0\deflang11274{\fonttbl{\f0\fnil\fcharset0 MS Sans Serif}} \viewkind4\uc1\pard\f0\fs16 JGO. CABLES BUJ\'cdAS DUNA 1.4 - 1.6\par } "</f>
        <v xml:space="preserve">{\rtf1\ansi\ansicpg1252\deff0\deflang11274{\fonttbl{\f0\fnil\fcharset0 MS Sans Serif}} \viewkind4\uc1\pard\f0\fs16 JGO. CABLES BUJ\'cdAS DUNA 1.4 - 1.6\par } </v>
      </c>
      <c r="AM2132" t="str">
        <f t="shared" si="1390"/>
        <v>-</v>
      </c>
    </row>
    <row r="2133" spans="1:39" x14ac:dyDescent="0.25">
      <c r="A2133" t="str">
        <f>"05-01797"</f>
        <v>05-01797</v>
      </c>
      <c r="B2133" t="str">
        <f>"JGO. CABLES BUJÍAS DUNA 1.4 - 1.6 SILICONA"</f>
        <v>JGO. CABLES BUJÍAS DUNA 1.4 - 1.6 SILICONA</v>
      </c>
      <c r="C2133" t="str">
        <f>"$ 16044,76"</f>
        <v>$ 16044,76</v>
      </c>
      <c r="D2133" t="str">
        <f>"$ 16044,76"</f>
        <v>$ 16044,76</v>
      </c>
      <c r="E2133" t="str">
        <f>"$ 16044,76"</f>
        <v>$ 16044,76</v>
      </c>
      <c r="F2133" t="str">
        <f>"$ 16044,76"</f>
        <v>$ 16044,76</v>
      </c>
      <c r="G2133" t="str">
        <f>"$ 16044,76"</f>
        <v>$ 16044,76</v>
      </c>
      <c r="H2133" t="str">
        <f t="shared" si="1366"/>
        <v>$ 0,00</v>
      </c>
      <c r="I2133" t="str">
        <f>"CABLES BUJÍAS SILICONA ANTIPARASITARIOS"</f>
        <v>CABLES BUJÍAS SILICONA ANTIPARASITARIOS</v>
      </c>
      <c r="J2133" t="str">
        <f t="shared" si="1367"/>
        <v>1</v>
      </c>
      <c r="K2133" t="str">
        <f t="shared" ref="K2133:K2196" si="1391">"0"</f>
        <v>0</v>
      </c>
      <c r="L2133" t="str">
        <f>"13,000"</f>
        <v>13,000</v>
      </c>
      <c r="M2133" t="str">
        <f t="shared" si="1368"/>
        <v xml:space="preserve"> </v>
      </c>
      <c r="N2133" t="str">
        <f t="shared" si="1389"/>
        <v>FERRAZZI</v>
      </c>
      <c r="O2133" t="str">
        <f t="shared" si="1384"/>
        <v>CABLES</v>
      </c>
      <c r="P2133" t="str">
        <f t="shared" si="1385"/>
        <v>0</v>
      </c>
      <c r="Q2133" t="str">
        <f t="shared" si="1385"/>
        <v>0</v>
      </c>
      <c r="R2133" t="str">
        <f t="shared" si="1386"/>
        <v>0,00</v>
      </c>
      <c r="S2133" t="str">
        <f t="shared" si="1386"/>
        <v>0,00</v>
      </c>
      <c r="T2133" t="str">
        <f t="shared" si="1365"/>
        <v xml:space="preserve"> </v>
      </c>
      <c r="U2133" t="str">
        <f t="shared" si="1387"/>
        <v xml:space="preserve"> </v>
      </c>
      <c r="V2133" t="str">
        <f>"13,000"</f>
        <v>13,000</v>
      </c>
      <c r="W2133" t="str">
        <f t="shared" si="1369"/>
        <v>Lista 4</v>
      </c>
      <c r="X2133" t="str">
        <f t="shared" si="1370"/>
        <v>Lista 5</v>
      </c>
      <c r="Y2133" t="str">
        <f t="shared" si="1371"/>
        <v>Oferta Gral.</v>
      </c>
      <c r="Z2133" t="str">
        <f t="shared" si="1372"/>
        <v>Rubro</v>
      </c>
      <c r="AA2133" t="str">
        <f t="shared" si="1373"/>
        <v>Cantidad por Bulto</v>
      </c>
      <c r="AB2133" t="str">
        <f t="shared" si="1374"/>
        <v>INNER</v>
      </c>
      <c r="AC2133" t="str">
        <f t="shared" si="1375"/>
        <v>Stock en Bultos</v>
      </c>
      <c r="AD2133" t="str">
        <f t="shared" si="1376"/>
        <v>SubDepósito</v>
      </c>
      <c r="AE2133" t="str">
        <f t="shared" si="1377"/>
        <v>Marca</v>
      </c>
      <c r="AF2133" t="str">
        <f t="shared" si="1378"/>
        <v>Super Rubro</v>
      </c>
      <c r="AG2133" t="str">
        <f t="shared" si="1379"/>
        <v>ComercioExterior</v>
      </c>
      <c r="AH2133" t="str">
        <f t="shared" si="1380"/>
        <v>PrecioFOB</v>
      </c>
      <c r="AI2133" t="str">
        <f t="shared" si="1381"/>
        <v>Monto II</v>
      </c>
      <c r="AJ2133" t="str">
        <f t="shared" si="1382"/>
        <v>Porcentaje II</v>
      </c>
      <c r="AK2133" t="str">
        <f t="shared" si="1383"/>
        <v>Foto</v>
      </c>
      <c r="AL2133" t="str">
        <f>"{\rtf1\ansi\ansicpg1252\deff0\deflang11274{\fonttbl{\f0\fnil\fcharset0 MS Sans Serif}} \viewkind4\uc1\pard\f0\fs16 JGO. CABLES BUJ\'cdAS DUNA 1.4 - 1.6 SILICONA\par } "</f>
        <v xml:space="preserve">{\rtf1\ansi\ansicpg1252\deff0\deflang11274{\fonttbl{\f0\fnil\fcharset0 MS Sans Serif}} \viewkind4\uc1\pard\f0\fs16 JGO. CABLES BUJ\'cdAS DUNA 1.4 - 1.6 SILICONA\par } </v>
      </c>
      <c r="AM2133" t="str">
        <f t="shared" si="1390"/>
        <v>-</v>
      </c>
    </row>
    <row r="2134" spans="1:39" x14ac:dyDescent="0.25">
      <c r="A2134" t="str">
        <f>"05-33055"</f>
        <v>05-33055</v>
      </c>
      <c r="B2134" t="str">
        <f>"JGO. CABLES BUJÍAS DUNA 1.5 (BRASILERO)"</f>
        <v>JGO. CABLES BUJÍAS DUNA 1.5 (BRASILERO)</v>
      </c>
      <c r="C2134" t="str">
        <f>"$ 12042,51"</f>
        <v>$ 12042,51</v>
      </c>
      <c r="D2134" t="str">
        <f>"$ 12042,51"</f>
        <v>$ 12042,51</v>
      </c>
      <c r="E2134" t="str">
        <f>"$ 12042,51"</f>
        <v>$ 12042,51</v>
      </c>
      <c r="F2134" t="str">
        <f>"$ 12042,51"</f>
        <v>$ 12042,51</v>
      </c>
      <c r="G2134" t="str">
        <f>"$ 12042,51"</f>
        <v>$ 12042,51</v>
      </c>
      <c r="H2134" t="str">
        <f t="shared" si="1366"/>
        <v>$ 0,00</v>
      </c>
      <c r="I2134" t="str">
        <f t="shared" ref="I2134:I2139" si="1392">"CABLES BUJÍAS PVC ANTIPARASITARIOS"</f>
        <v>CABLES BUJÍAS PVC ANTIPARASITARIOS</v>
      </c>
      <c r="J2134" t="str">
        <f t="shared" si="1367"/>
        <v>1</v>
      </c>
      <c r="K2134" t="str">
        <f t="shared" si="1391"/>
        <v>0</v>
      </c>
      <c r="L2134" t="str">
        <f>"5,000"</f>
        <v>5,000</v>
      </c>
      <c r="M2134" t="str">
        <f t="shared" si="1368"/>
        <v xml:space="preserve"> </v>
      </c>
      <c r="N2134" t="str">
        <f t="shared" si="1389"/>
        <v>FERRAZZI</v>
      </c>
      <c r="O2134" t="str">
        <f t="shared" si="1384"/>
        <v>CABLES</v>
      </c>
      <c r="P2134" t="str">
        <f t="shared" si="1385"/>
        <v>0</v>
      </c>
      <c r="Q2134" t="str">
        <f t="shared" si="1385"/>
        <v>0</v>
      </c>
      <c r="R2134" t="str">
        <f t="shared" si="1386"/>
        <v>0,00</v>
      </c>
      <c r="S2134" t="str">
        <f t="shared" si="1386"/>
        <v>0,00</v>
      </c>
      <c r="T2134" t="str">
        <f t="shared" si="1365"/>
        <v xml:space="preserve"> </v>
      </c>
      <c r="U2134" t="str">
        <f t="shared" si="1387"/>
        <v xml:space="preserve"> </v>
      </c>
      <c r="V2134" t="str">
        <f>"5,000"</f>
        <v>5,000</v>
      </c>
      <c r="W2134" t="str">
        <f t="shared" si="1369"/>
        <v>Lista 4</v>
      </c>
      <c r="X2134" t="str">
        <f t="shared" si="1370"/>
        <v>Lista 5</v>
      </c>
      <c r="Y2134" t="str">
        <f t="shared" si="1371"/>
        <v>Oferta Gral.</v>
      </c>
      <c r="Z2134" t="str">
        <f t="shared" si="1372"/>
        <v>Rubro</v>
      </c>
      <c r="AA2134" t="str">
        <f t="shared" si="1373"/>
        <v>Cantidad por Bulto</v>
      </c>
      <c r="AB2134" t="str">
        <f t="shared" si="1374"/>
        <v>INNER</v>
      </c>
      <c r="AC2134" t="str">
        <f t="shared" si="1375"/>
        <v>Stock en Bultos</v>
      </c>
      <c r="AD2134" t="str">
        <f t="shared" si="1376"/>
        <v>SubDepósito</v>
      </c>
      <c r="AE2134" t="str">
        <f t="shared" si="1377"/>
        <v>Marca</v>
      </c>
      <c r="AF2134" t="str">
        <f t="shared" si="1378"/>
        <v>Super Rubro</v>
      </c>
      <c r="AG2134" t="str">
        <f t="shared" si="1379"/>
        <v>ComercioExterior</v>
      </c>
      <c r="AH2134" t="str">
        <f t="shared" si="1380"/>
        <v>PrecioFOB</v>
      </c>
      <c r="AI2134" t="str">
        <f t="shared" si="1381"/>
        <v>Monto II</v>
      </c>
      <c r="AJ2134" t="str">
        <f t="shared" si="1382"/>
        <v>Porcentaje II</v>
      </c>
      <c r="AK2134" t="str">
        <f t="shared" si="1383"/>
        <v>Foto</v>
      </c>
      <c r="AL2134" t="str">
        <f>"{\rtf1\ansi\ansicpg1252\deff0\deflang11274{\fonttbl{\f0\fnil\fcharset0 MS Sans Serif}} \viewkind4\uc1\pard\f0\fs16 JGO. CABLES BUJ\'cdAS DUNA 1.5 (BRASILERO)\par } "</f>
        <v xml:space="preserve">{\rtf1\ansi\ansicpg1252\deff0\deflang11274{\fonttbl{\f0\fnil\fcharset0 MS Sans Serif}} \viewkind4\uc1\pard\f0\fs16 JGO. CABLES BUJ\'cdAS DUNA 1.5 (BRASILERO)\par } </v>
      </c>
      <c r="AM2134" t="str">
        <f t="shared" si="1390"/>
        <v>-</v>
      </c>
    </row>
    <row r="2135" spans="1:39" x14ac:dyDescent="0.25">
      <c r="A2135" t="str">
        <f>"04-33053"</f>
        <v>04-33053</v>
      </c>
      <c r="B2135" t="str">
        <f>"JGO. CABLES BUJÍAS ESCORT 1.6 - 1.8 CARBURADOR"</f>
        <v>JGO. CABLES BUJÍAS ESCORT 1.6 - 1.8 CARBURADOR</v>
      </c>
      <c r="C2135" t="str">
        <f>"$ 19633,43"</f>
        <v>$ 19633,43</v>
      </c>
      <c r="D2135" t="str">
        <f>"$ 19633,43"</f>
        <v>$ 19633,43</v>
      </c>
      <c r="E2135" t="str">
        <f>"$ 19633,43"</f>
        <v>$ 19633,43</v>
      </c>
      <c r="F2135" t="str">
        <f>"$ 19633,43"</f>
        <v>$ 19633,43</v>
      </c>
      <c r="G2135" t="str">
        <f>"$ 19633,43"</f>
        <v>$ 19633,43</v>
      </c>
      <c r="H2135" t="str">
        <f t="shared" si="1366"/>
        <v>$ 0,00</v>
      </c>
      <c r="I2135" t="str">
        <f t="shared" si="1392"/>
        <v>CABLES BUJÍAS PVC ANTIPARASITARIOS</v>
      </c>
      <c r="J2135" t="str">
        <f t="shared" si="1367"/>
        <v>1</v>
      </c>
      <c r="K2135" t="str">
        <f t="shared" si="1391"/>
        <v>0</v>
      </c>
      <c r="L2135" t="str">
        <f>"18,000"</f>
        <v>18,000</v>
      </c>
      <c r="M2135" t="str">
        <f t="shared" si="1368"/>
        <v xml:space="preserve"> </v>
      </c>
      <c r="N2135" t="str">
        <f t="shared" si="1389"/>
        <v>FERRAZZI</v>
      </c>
      <c r="O2135" t="str">
        <f t="shared" si="1384"/>
        <v>CABLES</v>
      </c>
      <c r="P2135" t="str">
        <f t="shared" si="1385"/>
        <v>0</v>
      </c>
      <c r="Q2135" t="str">
        <f t="shared" si="1385"/>
        <v>0</v>
      </c>
      <c r="R2135" t="str">
        <f t="shared" si="1386"/>
        <v>0,00</v>
      </c>
      <c r="S2135" t="str">
        <f t="shared" si="1386"/>
        <v>0,00</v>
      </c>
      <c r="T2135" t="str">
        <f t="shared" si="1365"/>
        <v xml:space="preserve"> </v>
      </c>
      <c r="U2135" t="str">
        <f t="shared" si="1387"/>
        <v xml:space="preserve"> </v>
      </c>
      <c r="V2135" t="str">
        <f>"18,000"</f>
        <v>18,000</v>
      </c>
      <c r="W2135" t="str">
        <f t="shared" si="1369"/>
        <v>Lista 4</v>
      </c>
      <c r="X2135" t="str">
        <f t="shared" si="1370"/>
        <v>Lista 5</v>
      </c>
      <c r="Y2135" t="str">
        <f t="shared" si="1371"/>
        <v>Oferta Gral.</v>
      </c>
      <c r="Z2135" t="str">
        <f t="shared" si="1372"/>
        <v>Rubro</v>
      </c>
      <c r="AA2135" t="str">
        <f t="shared" si="1373"/>
        <v>Cantidad por Bulto</v>
      </c>
      <c r="AB2135" t="str">
        <f t="shared" si="1374"/>
        <v>INNER</v>
      </c>
      <c r="AC2135" t="str">
        <f t="shared" si="1375"/>
        <v>Stock en Bultos</v>
      </c>
      <c r="AD2135" t="str">
        <f t="shared" si="1376"/>
        <v>SubDepósito</v>
      </c>
      <c r="AE2135" t="str">
        <f t="shared" si="1377"/>
        <v>Marca</v>
      </c>
      <c r="AF2135" t="str">
        <f t="shared" si="1378"/>
        <v>Super Rubro</v>
      </c>
      <c r="AG2135" t="str">
        <f t="shared" si="1379"/>
        <v>ComercioExterior</v>
      </c>
      <c r="AH2135" t="str">
        <f t="shared" si="1380"/>
        <v>PrecioFOB</v>
      </c>
      <c r="AI2135" t="str">
        <f t="shared" si="1381"/>
        <v>Monto II</v>
      </c>
      <c r="AJ2135" t="str">
        <f t="shared" si="1382"/>
        <v>Porcentaje II</v>
      </c>
      <c r="AK2135" t="str">
        <f t="shared" si="1383"/>
        <v>Foto</v>
      </c>
      <c r="AL2135" t="str">
        <f>"{\rtf1\ansi\ansicpg1252\deff0\deflang11274{\fonttbl{\f0\fnil\fcharset0 MS Sans Serif}} \viewkind4\uc1\pard\f0\fs16 JGO. CABLES BUJ\'cdAS ESCORT 1.6 - 1.8 CARBURADOR\par } "</f>
        <v xml:space="preserve">{\rtf1\ansi\ansicpg1252\deff0\deflang11274{\fonttbl{\f0\fnil\fcharset0 MS Sans Serif}} \viewkind4\uc1\pard\f0\fs16 JGO. CABLES BUJ\'cdAS ESCORT 1.6 - 1.8 CARBURADOR\par } </v>
      </c>
      <c r="AM2135" t="str">
        <f t="shared" si="1390"/>
        <v>-</v>
      </c>
    </row>
    <row r="2136" spans="1:39" x14ac:dyDescent="0.25">
      <c r="A2136" t="str">
        <f>"04-33064"</f>
        <v>04-33064</v>
      </c>
      <c r="B2136" t="str">
        <f>"JGO. CABLES BUJÍAS ESCORT GL 1.6 DIST.INDIEL/BOSCH"</f>
        <v>JGO. CABLES BUJÍAS ESCORT GL 1.6 DIST.INDIEL/BOSCH</v>
      </c>
      <c r="C2136" t="str">
        <f>"$ 12171,05"</f>
        <v>$ 12171,05</v>
      </c>
      <c r="D2136" t="str">
        <f>"$ 12171,05"</f>
        <v>$ 12171,05</v>
      </c>
      <c r="E2136" t="str">
        <f>"$ 12171,05"</f>
        <v>$ 12171,05</v>
      </c>
      <c r="F2136" t="str">
        <f>"$ 12171,05"</f>
        <v>$ 12171,05</v>
      </c>
      <c r="G2136" t="str">
        <f>"$ 12171,05"</f>
        <v>$ 12171,05</v>
      </c>
      <c r="H2136" t="str">
        <f t="shared" si="1366"/>
        <v>$ 0,00</v>
      </c>
      <c r="I2136" t="str">
        <f t="shared" si="1392"/>
        <v>CABLES BUJÍAS PVC ANTIPARASITARIOS</v>
      </c>
      <c r="J2136" t="str">
        <f t="shared" si="1367"/>
        <v>1</v>
      </c>
      <c r="K2136" t="str">
        <f t="shared" si="1391"/>
        <v>0</v>
      </c>
      <c r="L2136" t="str">
        <f>"14,000"</f>
        <v>14,000</v>
      </c>
      <c r="M2136" t="str">
        <f t="shared" si="1368"/>
        <v xml:space="preserve"> </v>
      </c>
      <c r="N2136" t="str">
        <f t="shared" si="1389"/>
        <v>FERRAZZI</v>
      </c>
      <c r="O2136" t="str">
        <f t="shared" si="1384"/>
        <v>CABLES</v>
      </c>
      <c r="P2136" t="str">
        <f t="shared" si="1385"/>
        <v>0</v>
      </c>
      <c r="Q2136" t="str">
        <f t="shared" si="1385"/>
        <v>0</v>
      </c>
      <c r="R2136" t="str">
        <f t="shared" si="1386"/>
        <v>0,00</v>
      </c>
      <c r="S2136" t="str">
        <f t="shared" si="1386"/>
        <v>0,00</v>
      </c>
      <c r="T2136" t="str">
        <f t="shared" si="1365"/>
        <v xml:space="preserve"> </v>
      </c>
      <c r="U2136" t="str">
        <f t="shared" si="1387"/>
        <v xml:space="preserve"> </v>
      </c>
      <c r="V2136" t="str">
        <f>"14,000"</f>
        <v>14,000</v>
      </c>
      <c r="W2136" t="str">
        <f t="shared" si="1369"/>
        <v>Lista 4</v>
      </c>
      <c r="X2136" t="str">
        <f t="shared" si="1370"/>
        <v>Lista 5</v>
      </c>
      <c r="Y2136" t="str">
        <f t="shared" si="1371"/>
        <v>Oferta Gral.</v>
      </c>
      <c r="Z2136" t="str">
        <f t="shared" si="1372"/>
        <v>Rubro</v>
      </c>
      <c r="AA2136" t="str">
        <f t="shared" si="1373"/>
        <v>Cantidad por Bulto</v>
      </c>
      <c r="AB2136" t="str">
        <f t="shared" si="1374"/>
        <v>INNER</v>
      </c>
      <c r="AC2136" t="str">
        <f t="shared" si="1375"/>
        <v>Stock en Bultos</v>
      </c>
      <c r="AD2136" t="str">
        <f t="shared" si="1376"/>
        <v>SubDepósito</v>
      </c>
      <c r="AE2136" t="str">
        <f t="shared" si="1377"/>
        <v>Marca</v>
      </c>
      <c r="AF2136" t="str">
        <f t="shared" si="1378"/>
        <v>Super Rubro</v>
      </c>
      <c r="AG2136" t="str">
        <f t="shared" si="1379"/>
        <v>ComercioExterior</v>
      </c>
      <c r="AH2136" t="str">
        <f t="shared" si="1380"/>
        <v>PrecioFOB</v>
      </c>
      <c r="AI2136" t="str">
        <f t="shared" si="1381"/>
        <v>Monto II</v>
      </c>
      <c r="AJ2136" t="str">
        <f t="shared" si="1382"/>
        <v>Porcentaje II</v>
      </c>
      <c r="AK2136" t="str">
        <f t="shared" si="1383"/>
        <v>Foto</v>
      </c>
      <c r="AL2136" t="str">
        <f>"{\rtf1\ansi\ansicpg1252\deff0\deflang11274{\fonttbl{\f0\fnil\fcharset0 MS Sans Serif}} \viewkind4\uc1\pard\f0\fs16 JGO. CABLES BUJ\'cdAS ESCORT GL 1.6 DIST.INDIEL/BOSCH\par } "</f>
        <v xml:space="preserve">{\rtf1\ansi\ansicpg1252\deff0\deflang11274{\fonttbl{\f0\fnil\fcharset0 MS Sans Serif}} \viewkind4\uc1\pard\f0\fs16 JGO. CABLES BUJ\'cdAS ESCORT GL 1.6 DIST.INDIEL/BOSCH\par } </v>
      </c>
      <c r="AM2136" t="str">
        <f t="shared" si="1390"/>
        <v>-</v>
      </c>
    </row>
    <row r="2137" spans="1:39" x14ac:dyDescent="0.25">
      <c r="A2137" t="str">
        <f>"04-33030"</f>
        <v>04-33030</v>
      </c>
      <c r="B2137" t="str">
        <f>"JGO. CABLES BUJÍAS FALCON / FAIRLANE 6 CIL"</f>
        <v>JGO. CABLES BUJÍAS FALCON / FAIRLANE 6 CIL</v>
      </c>
      <c r="C2137" t="str">
        <f>"$ 12959,33"</f>
        <v>$ 12959,33</v>
      </c>
      <c r="D2137" t="str">
        <f>"$ 12959,33"</f>
        <v>$ 12959,33</v>
      </c>
      <c r="E2137" t="str">
        <f>"$ 12959,33"</f>
        <v>$ 12959,33</v>
      </c>
      <c r="F2137" t="str">
        <f>"$ 12959,33"</f>
        <v>$ 12959,33</v>
      </c>
      <c r="G2137" t="str">
        <f>"$ 12959,33"</f>
        <v>$ 12959,33</v>
      </c>
      <c r="H2137" t="str">
        <f t="shared" si="1366"/>
        <v>$ 0,00</v>
      </c>
      <c r="I2137" t="str">
        <f t="shared" si="1392"/>
        <v>CABLES BUJÍAS PVC ANTIPARASITARIOS</v>
      </c>
      <c r="J2137" t="str">
        <f t="shared" si="1367"/>
        <v>1</v>
      </c>
      <c r="K2137" t="str">
        <f t="shared" si="1391"/>
        <v>0</v>
      </c>
      <c r="L2137" t="str">
        <f>"64,000"</f>
        <v>64,000</v>
      </c>
      <c r="M2137" t="str">
        <f t="shared" si="1368"/>
        <v xml:space="preserve"> </v>
      </c>
      <c r="N2137" t="str">
        <f t="shared" si="1389"/>
        <v>FERRAZZI</v>
      </c>
      <c r="O2137" t="str">
        <f t="shared" si="1384"/>
        <v>CABLES</v>
      </c>
      <c r="P2137" t="str">
        <f t="shared" si="1385"/>
        <v>0</v>
      </c>
      <c r="Q2137" t="str">
        <f t="shared" si="1385"/>
        <v>0</v>
      </c>
      <c r="R2137" t="str">
        <f t="shared" si="1386"/>
        <v>0,00</v>
      </c>
      <c r="S2137" t="str">
        <f t="shared" si="1386"/>
        <v>0,00</v>
      </c>
      <c r="T2137" t="str">
        <f t="shared" si="1365"/>
        <v xml:space="preserve"> </v>
      </c>
      <c r="U2137" t="str">
        <f t="shared" si="1387"/>
        <v xml:space="preserve"> </v>
      </c>
      <c r="V2137" t="str">
        <f>"64,000"</f>
        <v>64,000</v>
      </c>
      <c r="W2137" t="str">
        <f t="shared" si="1369"/>
        <v>Lista 4</v>
      </c>
      <c r="X2137" t="str">
        <f t="shared" si="1370"/>
        <v>Lista 5</v>
      </c>
      <c r="Y2137" t="str">
        <f t="shared" si="1371"/>
        <v>Oferta Gral.</v>
      </c>
      <c r="Z2137" t="str">
        <f t="shared" si="1372"/>
        <v>Rubro</v>
      </c>
      <c r="AA2137" t="str">
        <f t="shared" si="1373"/>
        <v>Cantidad por Bulto</v>
      </c>
      <c r="AB2137" t="str">
        <f t="shared" si="1374"/>
        <v>INNER</v>
      </c>
      <c r="AC2137" t="str">
        <f t="shared" si="1375"/>
        <v>Stock en Bultos</v>
      </c>
      <c r="AD2137" t="str">
        <f t="shared" si="1376"/>
        <v>SubDepósito</v>
      </c>
      <c r="AE2137" t="str">
        <f t="shared" si="1377"/>
        <v>Marca</v>
      </c>
      <c r="AF2137" t="str">
        <f t="shared" si="1378"/>
        <v>Super Rubro</v>
      </c>
      <c r="AG2137" t="str">
        <f t="shared" si="1379"/>
        <v>ComercioExterior</v>
      </c>
      <c r="AH2137" t="str">
        <f t="shared" si="1380"/>
        <v>PrecioFOB</v>
      </c>
      <c r="AI2137" t="str">
        <f t="shared" si="1381"/>
        <v>Monto II</v>
      </c>
      <c r="AJ2137" t="str">
        <f t="shared" si="1382"/>
        <v>Porcentaje II</v>
      </c>
      <c r="AK2137" t="str">
        <f t="shared" si="1383"/>
        <v>Foto</v>
      </c>
      <c r="AL2137" t="str">
        <f>"{\rtf1\ansi\ansicpg1252\deff0\deflang11274{\fonttbl{\f0\fnil\fcharset0 MS Sans Serif}} \viewkind4\uc1\pard\f0\fs16 JGO. CABLES BUJ\'cdAS FALCON / FAIRLANE 6 CIL\par } "</f>
        <v xml:space="preserve">{\rtf1\ansi\ansicpg1252\deff0\deflang11274{\fonttbl{\f0\fnil\fcharset0 MS Sans Serif}} \viewkind4\uc1\pard\f0\fs16 JGO. CABLES BUJ\'cdAS FALCON / FAIRLANE 6 CIL\par } </v>
      </c>
      <c r="AM2137" t="str">
        <f t="shared" si="1390"/>
        <v>-</v>
      </c>
    </row>
    <row r="2138" spans="1:39" x14ac:dyDescent="0.25">
      <c r="A2138" t="str">
        <f>"04-33063"</f>
        <v>04-33063</v>
      </c>
      <c r="B2138" t="str">
        <f>"JGO. CABLES BUJÍAS FALCON ENC. DURASPARK"</f>
        <v>JGO. CABLES BUJÍAS FALCON ENC. DURASPARK</v>
      </c>
      <c r="C2138" t="str">
        <f>"$ 14658,63"</f>
        <v>$ 14658,63</v>
      </c>
      <c r="D2138" t="str">
        <f>"$ 14658,63"</f>
        <v>$ 14658,63</v>
      </c>
      <c r="E2138" t="str">
        <f>"$ 14658,63"</f>
        <v>$ 14658,63</v>
      </c>
      <c r="F2138" t="str">
        <f>"$ 14658,63"</f>
        <v>$ 14658,63</v>
      </c>
      <c r="G2138" t="str">
        <f>"$ 14658,63"</f>
        <v>$ 14658,63</v>
      </c>
      <c r="H2138" t="str">
        <f t="shared" si="1366"/>
        <v>$ 0,00</v>
      </c>
      <c r="I2138" t="str">
        <f t="shared" si="1392"/>
        <v>CABLES BUJÍAS PVC ANTIPARASITARIOS</v>
      </c>
      <c r="J2138" t="str">
        <f t="shared" si="1367"/>
        <v>1</v>
      </c>
      <c r="K2138" t="str">
        <f t="shared" si="1391"/>
        <v>0</v>
      </c>
      <c r="L2138" t="str">
        <f>"11,000"</f>
        <v>11,000</v>
      </c>
      <c r="M2138" t="str">
        <f t="shared" si="1368"/>
        <v xml:space="preserve"> </v>
      </c>
      <c r="N2138" t="str">
        <f t="shared" si="1389"/>
        <v>FERRAZZI</v>
      </c>
      <c r="O2138" t="str">
        <f t="shared" si="1384"/>
        <v>CABLES</v>
      </c>
      <c r="P2138" t="str">
        <f t="shared" si="1385"/>
        <v>0</v>
      </c>
      <c r="Q2138" t="str">
        <f t="shared" si="1385"/>
        <v>0</v>
      </c>
      <c r="R2138" t="str">
        <f t="shared" si="1386"/>
        <v>0,00</v>
      </c>
      <c r="S2138" t="str">
        <f t="shared" si="1386"/>
        <v>0,00</v>
      </c>
      <c r="T2138" t="str">
        <f t="shared" si="1365"/>
        <v xml:space="preserve"> </v>
      </c>
      <c r="U2138" t="str">
        <f t="shared" si="1387"/>
        <v xml:space="preserve"> </v>
      </c>
      <c r="V2138" t="str">
        <f>"11,000"</f>
        <v>11,000</v>
      </c>
      <c r="W2138" t="str">
        <f t="shared" si="1369"/>
        <v>Lista 4</v>
      </c>
      <c r="X2138" t="str">
        <f t="shared" si="1370"/>
        <v>Lista 5</v>
      </c>
      <c r="Y2138" t="str">
        <f t="shared" si="1371"/>
        <v>Oferta Gral.</v>
      </c>
      <c r="Z2138" t="str">
        <f t="shared" si="1372"/>
        <v>Rubro</v>
      </c>
      <c r="AA2138" t="str">
        <f t="shared" si="1373"/>
        <v>Cantidad por Bulto</v>
      </c>
      <c r="AB2138" t="str">
        <f t="shared" si="1374"/>
        <v>INNER</v>
      </c>
      <c r="AC2138" t="str">
        <f t="shared" si="1375"/>
        <v>Stock en Bultos</v>
      </c>
      <c r="AD2138" t="str">
        <f t="shared" si="1376"/>
        <v>SubDepósito</v>
      </c>
      <c r="AE2138" t="str">
        <f t="shared" si="1377"/>
        <v>Marca</v>
      </c>
      <c r="AF2138" t="str">
        <f t="shared" si="1378"/>
        <v>Super Rubro</v>
      </c>
      <c r="AG2138" t="str">
        <f t="shared" si="1379"/>
        <v>ComercioExterior</v>
      </c>
      <c r="AH2138" t="str">
        <f t="shared" si="1380"/>
        <v>PrecioFOB</v>
      </c>
      <c r="AI2138" t="str">
        <f t="shared" si="1381"/>
        <v>Monto II</v>
      </c>
      <c r="AJ2138" t="str">
        <f t="shared" si="1382"/>
        <v>Porcentaje II</v>
      </c>
      <c r="AK2138" t="str">
        <f t="shared" si="1383"/>
        <v>Foto</v>
      </c>
      <c r="AL2138" t="str">
        <f>"{\rtf1\ansi\ansicpg1252\deff0\deflang11274{\fonttbl{\f0\fnil\fcharset0 MS Sans Serif}} \viewkind4\uc1\pard\f0\fs16 JGO. CABLES BUJ\'cdAS FALCON ENC. DURASPARK\par } "</f>
        <v xml:space="preserve">{\rtf1\ansi\ansicpg1252\deff0\deflang11274{\fonttbl{\f0\fnil\fcharset0 MS Sans Serif}} \viewkind4\uc1\pard\f0\fs16 JGO. CABLES BUJ\'cdAS FALCON ENC. DURASPARK\par } </v>
      </c>
      <c r="AM2138" t="str">
        <f t="shared" si="1390"/>
        <v>-</v>
      </c>
    </row>
    <row r="2139" spans="1:39" x14ac:dyDescent="0.25">
      <c r="A2139" t="str">
        <f>"05-33059"</f>
        <v>05-33059</v>
      </c>
      <c r="B2139" t="str">
        <f>"JGO. CABLES BUJÍAS FIORINO BRASILERO"</f>
        <v>JGO. CABLES BUJÍAS FIORINO BRASILERO</v>
      </c>
      <c r="C2139" t="str">
        <f>"$ 11080,83"</f>
        <v>$ 11080,83</v>
      </c>
      <c r="D2139" t="str">
        <f>"$ 11080,83"</f>
        <v>$ 11080,83</v>
      </c>
      <c r="E2139" t="str">
        <f>"$ 11080,83"</f>
        <v>$ 11080,83</v>
      </c>
      <c r="F2139" t="str">
        <f>"$ 11080,83"</f>
        <v>$ 11080,83</v>
      </c>
      <c r="G2139" t="str">
        <f>"$ 11080,83"</f>
        <v>$ 11080,83</v>
      </c>
      <c r="H2139" t="str">
        <f t="shared" si="1366"/>
        <v>$ 0,00</v>
      </c>
      <c r="I2139" t="str">
        <f t="shared" si="1392"/>
        <v>CABLES BUJÍAS PVC ANTIPARASITARIOS</v>
      </c>
      <c r="J2139" t="str">
        <f t="shared" si="1367"/>
        <v>1</v>
      </c>
      <c r="K2139" t="str">
        <f t="shared" si="1391"/>
        <v>0</v>
      </c>
      <c r="L2139" t="str">
        <f>"6,000"</f>
        <v>6,000</v>
      </c>
      <c r="M2139" t="str">
        <f t="shared" si="1368"/>
        <v xml:space="preserve"> </v>
      </c>
      <c r="N2139" t="str">
        <f t="shared" si="1389"/>
        <v>FERRAZZI</v>
      </c>
      <c r="O2139" t="str">
        <f t="shared" si="1384"/>
        <v>CABLES</v>
      </c>
      <c r="P2139" t="str">
        <f t="shared" si="1385"/>
        <v>0</v>
      </c>
      <c r="Q2139" t="str">
        <f t="shared" si="1385"/>
        <v>0</v>
      </c>
      <c r="R2139" t="str">
        <f t="shared" si="1386"/>
        <v>0,00</v>
      </c>
      <c r="S2139" t="str">
        <f t="shared" si="1386"/>
        <v>0,00</v>
      </c>
      <c r="T2139" t="str">
        <f t="shared" si="1365"/>
        <v xml:space="preserve"> </v>
      </c>
      <c r="U2139" t="str">
        <f t="shared" si="1387"/>
        <v xml:space="preserve"> </v>
      </c>
      <c r="V2139" t="str">
        <f>"6,000"</f>
        <v>6,000</v>
      </c>
      <c r="W2139" t="str">
        <f t="shared" si="1369"/>
        <v>Lista 4</v>
      </c>
      <c r="X2139" t="str">
        <f t="shared" si="1370"/>
        <v>Lista 5</v>
      </c>
      <c r="Y2139" t="str">
        <f t="shared" si="1371"/>
        <v>Oferta Gral.</v>
      </c>
      <c r="Z2139" t="str">
        <f t="shared" si="1372"/>
        <v>Rubro</v>
      </c>
      <c r="AA2139" t="str">
        <f t="shared" si="1373"/>
        <v>Cantidad por Bulto</v>
      </c>
      <c r="AB2139" t="str">
        <f t="shared" si="1374"/>
        <v>INNER</v>
      </c>
      <c r="AC2139" t="str">
        <f t="shared" si="1375"/>
        <v>Stock en Bultos</v>
      </c>
      <c r="AD2139" t="str">
        <f t="shared" si="1376"/>
        <v>SubDepósito</v>
      </c>
      <c r="AE2139" t="str">
        <f t="shared" si="1377"/>
        <v>Marca</v>
      </c>
      <c r="AF2139" t="str">
        <f t="shared" si="1378"/>
        <v>Super Rubro</v>
      </c>
      <c r="AG2139" t="str">
        <f t="shared" si="1379"/>
        <v>ComercioExterior</v>
      </c>
      <c r="AH2139" t="str">
        <f t="shared" si="1380"/>
        <v>PrecioFOB</v>
      </c>
      <c r="AI2139" t="str">
        <f t="shared" si="1381"/>
        <v>Monto II</v>
      </c>
      <c r="AJ2139" t="str">
        <f t="shared" si="1382"/>
        <v>Porcentaje II</v>
      </c>
      <c r="AK2139" t="str">
        <f t="shared" si="1383"/>
        <v>Foto</v>
      </c>
      <c r="AL2139" t="str">
        <f>"{\rtf1\ansi\ansicpg1252\deff0\deflang11274{\fonttbl{\f0\fnil\fcharset0 MS Sans Serif}} \viewkind4\uc1\pard\f0\fs16 JGO. CABLES BUJ\'cdAS FIORINO BRASILERO\par } "</f>
        <v xml:space="preserve">{\rtf1\ansi\ansicpg1252\deff0\deflang11274{\fonttbl{\f0\fnil\fcharset0 MS Sans Serif}} \viewkind4\uc1\pard\f0\fs16 JGO. CABLES BUJ\'cdAS FIORINO BRASILERO\par } </v>
      </c>
      <c r="AM2139" t="str">
        <f t="shared" si="1390"/>
        <v>-</v>
      </c>
    </row>
    <row r="2140" spans="1:39" x14ac:dyDescent="0.25">
      <c r="A2140" t="str">
        <f>"04-01793"</f>
        <v>04-01793</v>
      </c>
      <c r="B2140" t="str">
        <f>"JGO. CABLES BUJÍAS FOCUS 2.0 16V. ECOSPORT 2.0 16V. SILICONA"</f>
        <v>JGO. CABLES BUJÍAS FOCUS 2.0 16V. ECOSPORT 2.0 16V. SILICONA</v>
      </c>
      <c r="C2140" t="str">
        <f>"$ 34775,61"</f>
        <v>$ 34775,61</v>
      </c>
      <c r="D2140" t="str">
        <f>"$ 34775,61"</f>
        <v>$ 34775,61</v>
      </c>
      <c r="E2140" t="str">
        <f>"$ 34775,61"</f>
        <v>$ 34775,61</v>
      </c>
      <c r="F2140" t="str">
        <f>"$ 34775,61"</f>
        <v>$ 34775,61</v>
      </c>
      <c r="G2140" t="str">
        <f>"$ 34775,61"</f>
        <v>$ 34775,61</v>
      </c>
      <c r="H2140" t="str">
        <f t="shared" si="1366"/>
        <v>$ 0,00</v>
      </c>
      <c r="I2140" t="str">
        <f>"CABLES BUJÍAS SILICONA ANTIPARASITARIOS"</f>
        <v>CABLES BUJÍAS SILICONA ANTIPARASITARIOS</v>
      </c>
      <c r="J2140" t="str">
        <f t="shared" si="1367"/>
        <v>1</v>
      </c>
      <c r="K2140" t="str">
        <f t="shared" si="1391"/>
        <v>0</v>
      </c>
      <c r="L2140" t="str">
        <f>"10,000"</f>
        <v>10,000</v>
      </c>
      <c r="M2140" t="str">
        <f t="shared" si="1368"/>
        <v xml:space="preserve"> </v>
      </c>
      <c r="N2140" t="str">
        <f t="shared" si="1389"/>
        <v>FERRAZZI</v>
      </c>
      <c r="O2140" t="str">
        <f t="shared" si="1384"/>
        <v>CABLES</v>
      </c>
      <c r="P2140" t="str">
        <f t="shared" si="1385"/>
        <v>0</v>
      </c>
      <c r="Q2140" t="str">
        <f t="shared" si="1385"/>
        <v>0</v>
      </c>
      <c r="R2140" t="str">
        <f t="shared" si="1386"/>
        <v>0,00</v>
      </c>
      <c r="S2140" t="str">
        <f t="shared" si="1386"/>
        <v>0,00</v>
      </c>
      <c r="T2140" t="str">
        <f t="shared" si="1365"/>
        <v xml:space="preserve"> </v>
      </c>
      <c r="U2140" t="str">
        <f t="shared" si="1387"/>
        <v xml:space="preserve"> </v>
      </c>
      <c r="V2140" t="str">
        <f>"10,000"</f>
        <v>10,000</v>
      </c>
      <c r="W2140" t="str">
        <f t="shared" si="1369"/>
        <v>Lista 4</v>
      </c>
      <c r="X2140" t="str">
        <f t="shared" si="1370"/>
        <v>Lista 5</v>
      </c>
      <c r="Y2140" t="str">
        <f t="shared" si="1371"/>
        <v>Oferta Gral.</v>
      </c>
      <c r="Z2140" t="str">
        <f t="shared" si="1372"/>
        <v>Rubro</v>
      </c>
      <c r="AA2140" t="str">
        <f t="shared" si="1373"/>
        <v>Cantidad por Bulto</v>
      </c>
      <c r="AB2140" t="str">
        <f t="shared" si="1374"/>
        <v>INNER</v>
      </c>
      <c r="AC2140" t="str">
        <f t="shared" si="1375"/>
        <v>Stock en Bultos</v>
      </c>
      <c r="AD2140" t="str">
        <f t="shared" si="1376"/>
        <v>SubDepósito</v>
      </c>
      <c r="AE2140" t="str">
        <f t="shared" si="1377"/>
        <v>Marca</v>
      </c>
      <c r="AF2140" t="str">
        <f t="shared" si="1378"/>
        <v>Super Rubro</v>
      </c>
      <c r="AG2140" t="str">
        <f t="shared" si="1379"/>
        <v>ComercioExterior</v>
      </c>
      <c r="AH2140" t="str">
        <f t="shared" si="1380"/>
        <v>PrecioFOB</v>
      </c>
      <c r="AI2140" t="str">
        <f t="shared" si="1381"/>
        <v>Monto II</v>
      </c>
      <c r="AJ2140" t="str">
        <f t="shared" si="1382"/>
        <v>Porcentaje II</v>
      </c>
      <c r="AK2140" t="str">
        <f t="shared" si="1383"/>
        <v>Foto</v>
      </c>
      <c r="AL2140" t="str">
        <f>"{\rtf1\ansi\ansicpg1252\deff0\deflang11274{\fonttbl{\f0\fnil\fcharset0 MS Sans Serif}} \viewkind4\uc1\pard\f0\fs16 JGO. CABLES BUJ\'cdAS FOCUS 2.0 16V. ECOSPORT 2.0 16V. SILICONA\par } "</f>
        <v xml:space="preserve">{\rtf1\ansi\ansicpg1252\deff0\deflang11274{\fonttbl{\f0\fnil\fcharset0 MS Sans Serif}} \viewkind4\uc1\pard\f0\fs16 JGO. CABLES BUJ\'cdAS FOCUS 2.0 16V. ECOSPORT 2.0 16V. SILICONA\par } </v>
      </c>
      <c r="AM2140" t="str">
        <f t="shared" si="1390"/>
        <v>-</v>
      </c>
    </row>
    <row r="2141" spans="1:39" x14ac:dyDescent="0.25">
      <c r="A2141" t="str">
        <f>"04-01788"</f>
        <v>04-01788</v>
      </c>
      <c r="B2141" t="str">
        <f>"JGO. CABLES BUJÍAS FOCUS GHIA 2000 -  2.0 16 VALVULAS SILICONA"</f>
        <v>JGO. CABLES BUJÍAS FOCUS GHIA 2000 -  2.0 16 VALVULAS SILICONA</v>
      </c>
      <c r="C2141" t="str">
        <f>"$ 23191,10"</f>
        <v>$ 23191,10</v>
      </c>
      <c r="D2141" t="str">
        <f>"$ 23191,10"</f>
        <v>$ 23191,10</v>
      </c>
      <c r="E2141" t="str">
        <f>"$ 23191,10"</f>
        <v>$ 23191,10</v>
      </c>
      <c r="F2141" t="str">
        <f>"$ 23191,10"</f>
        <v>$ 23191,10</v>
      </c>
      <c r="G2141" t="str">
        <f>"$ 23191,10"</f>
        <v>$ 23191,10</v>
      </c>
      <c r="H2141" t="str">
        <f t="shared" si="1366"/>
        <v>$ 0,00</v>
      </c>
      <c r="I2141" t="str">
        <f>"CABLES BUJÍAS SILICONA ANTIPARASITARIOS"</f>
        <v>CABLES BUJÍAS SILICONA ANTIPARASITARIOS</v>
      </c>
      <c r="J2141" t="str">
        <f t="shared" si="1367"/>
        <v>1</v>
      </c>
      <c r="K2141" t="str">
        <f t="shared" si="1391"/>
        <v>0</v>
      </c>
      <c r="L2141" t="str">
        <f>"5,000"</f>
        <v>5,000</v>
      </c>
      <c r="M2141" t="str">
        <f t="shared" si="1368"/>
        <v xml:space="preserve"> </v>
      </c>
      <c r="N2141" t="str">
        <f t="shared" si="1389"/>
        <v>FERRAZZI</v>
      </c>
      <c r="O2141" t="str">
        <f t="shared" si="1384"/>
        <v>CABLES</v>
      </c>
      <c r="P2141" t="str">
        <f t="shared" si="1385"/>
        <v>0</v>
      </c>
      <c r="Q2141" t="str">
        <f t="shared" si="1385"/>
        <v>0</v>
      </c>
      <c r="R2141" t="str">
        <f t="shared" si="1386"/>
        <v>0,00</v>
      </c>
      <c r="S2141" t="str">
        <f t="shared" si="1386"/>
        <v>0,00</v>
      </c>
      <c r="T2141" t="str">
        <f t="shared" si="1365"/>
        <v xml:space="preserve"> </v>
      </c>
      <c r="U2141" t="str">
        <f t="shared" si="1387"/>
        <v xml:space="preserve"> </v>
      </c>
      <c r="V2141" t="str">
        <f>"5,000"</f>
        <v>5,000</v>
      </c>
      <c r="W2141" t="str">
        <f t="shared" si="1369"/>
        <v>Lista 4</v>
      </c>
      <c r="X2141" t="str">
        <f t="shared" si="1370"/>
        <v>Lista 5</v>
      </c>
      <c r="Y2141" t="str">
        <f t="shared" si="1371"/>
        <v>Oferta Gral.</v>
      </c>
      <c r="Z2141" t="str">
        <f t="shared" si="1372"/>
        <v>Rubro</v>
      </c>
      <c r="AA2141" t="str">
        <f t="shared" si="1373"/>
        <v>Cantidad por Bulto</v>
      </c>
      <c r="AB2141" t="str">
        <f t="shared" si="1374"/>
        <v>INNER</v>
      </c>
      <c r="AC2141" t="str">
        <f t="shared" si="1375"/>
        <v>Stock en Bultos</v>
      </c>
      <c r="AD2141" t="str">
        <f t="shared" si="1376"/>
        <v>SubDepósito</v>
      </c>
      <c r="AE2141" t="str">
        <f t="shared" si="1377"/>
        <v>Marca</v>
      </c>
      <c r="AF2141" t="str">
        <f t="shared" si="1378"/>
        <v>Super Rubro</v>
      </c>
      <c r="AG2141" t="str">
        <f t="shared" si="1379"/>
        <v>ComercioExterior</v>
      </c>
      <c r="AH2141" t="str">
        <f t="shared" si="1380"/>
        <v>PrecioFOB</v>
      </c>
      <c r="AI2141" t="str">
        <f t="shared" si="1381"/>
        <v>Monto II</v>
      </c>
      <c r="AJ2141" t="str">
        <f t="shared" si="1382"/>
        <v>Porcentaje II</v>
      </c>
      <c r="AK2141" t="str">
        <f t="shared" si="1383"/>
        <v>Foto</v>
      </c>
      <c r="AL2141" t="str">
        <f>"{\rtf1\ansi\ansicpg1252\deff0\deflang11274{\fonttbl{\f0\fnil\fcharset0 MS Sans Serif}} \viewkind4\uc1\pard\f0\fs16 JGO. CABLES BUJ\'cdAS FOCUS GHIA 2000 -  2.0 16 VALVULAS SILICONA\par } "</f>
        <v xml:space="preserve">{\rtf1\ansi\ansicpg1252\deff0\deflang11274{\fonttbl{\f0\fnil\fcharset0 MS Sans Serif}} \viewkind4\uc1\pard\f0\fs16 JGO. CABLES BUJ\'cdAS FOCUS GHIA 2000 -  2.0 16 VALVULAS SILICONA\par } </v>
      </c>
      <c r="AM2141" t="str">
        <f t="shared" si="1390"/>
        <v>-</v>
      </c>
    </row>
    <row r="2142" spans="1:39" x14ac:dyDescent="0.25">
      <c r="A2142" t="str">
        <f>"04-01789"</f>
        <v>04-01789</v>
      </c>
      <c r="B2142" t="str">
        <f>"JGO. CABLES BUJÍAS FOCUS/FIESTA/ECOSPORT/MONDEO 1.6  8VKA  1.0 - 1.6  8 V SILICONA"</f>
        <v>JGO. CABLES BUJÍAS FOCUS/FIESTA/ECOSPORT/MONDEO 1.6  8VKA  1.0 - 1.6  8 V SILICONA</v>
      </c>
      <c r="C2142" t="str">
        <f>"$ 20681,64"</f>
        <v>$ 20681,64</v>
      </c>
      <c r="D2142" t="str">
        <f>"$ 20681,64"</f>
        <v>$ 20681,64</v>
      </c>
      <c r="E2142" t="str">
        <f>"$ 20681,64"</f>
        <v>$ 20681,64</v>
      </c>
      <c r="F2142" t="str">
        <f>"$ 20681,64"</f>
        <v>$ 20681,64</v>
      </c>
      <c r="G2142" t="str">
        <f>"$ 20681,64"</f>
        <v>$ 20681,64</v>
      </c>
      <c r="H2142" t="str">
        <f t="shared" si="1366"/>
        <v>$ 0,00</v>
      </c>
      <c r="I2142" t="str">
        <f>"CABLES BUJÍAS SILICONA ANTIPARASITARIOS"</f>
        <v>CABLES BUJÍAS SILICONA ANTIPARASITARIOS</v>
      </c>
      <c r="J2142" t="str">
        <f t="shared" si="1367"/>
        <v>1</v>
      </c>
      <c r="K2142" t="str">
        <f t="shared" si="1391"/>
        <v>0</v>
      </c>
      <c r="L2142" t="str">
        <f>"45,000"</f>
        <v>45,000</v>
      </c>
      <c r="M2142" t="str">
        <f t="shared" si="1368"/>
        <v xml:space="preserve"> </v>
      </c>
      <c r="N2142" t="str">
        <f t="shared" si="1389"/>
        <v>FERRAZZI</v>
      </c>
      <c r="O2142" t="str">
        <f t="shared" si="1384"/>
        <v>CABLES</v>
      </c>
      <c r="P2142" t="str">
        <f t="shared" si="1385"/>
        <v>0</v>
      </c>
      <c r="Q2142" t="str">
        <f t="shared" si="1385"/>
        <v>0</v>
      </c>
      <c r="R2142" t="str">
        <f t="shared" si="1386"/>
        <v>0,00</v>
      </c>
      <c r="S2142" t="str">
        <f t="shared" si="1386"/>
        <v>0,00</v>
      </c>
      <c r="T2142" t="str">
        <f t="shared" si="1365"/>
        <v xml:space="preserve"> </v>
      </c>
      <c r="U2142" t="str">
        <f t="shared" si="1387"/>
        <v xml:space="preserve"> </v>
      </c>
      <c r="V2142" t="str">
        <f>"45,000"</f>
        <v>45,000</v>
      </c>
      <c r="W2142" t="str">
        <f t="shared" si="1369"/>
        <v>Lista 4</v>
      </c>
      <c r="X2142" t="str">
        <f t="shared" si="1370"/>
        <v>Lista 5</v>
      </c>
      <c r="Y2142" t="str">
        <f t="shared" si="1371"/>
        <v>Oferta Gral.</v>
      </c>
      <c r="Z2142" t="str">
        <f t="shared" si="1372"/>
        <v>Rubro</v>
      </c>
      <c r="AA2142" t="str">
        <f t="shared" si="1373"/>
        <v>Cantidad por Bulto</v>
      </c>
      <c r="AB2142" t="str">
        <f t="shared" si="1374"/>
        <v>INNER</v>
      </c>
      <c r="AC2142" t="str">
        <f t="shared" si="1375"/>
        <v>Stock en Bultos</v>
      </c>
      <c r="AD2142" t="str">
        <f t="shared" si="1376"/>
        <v>SubDepósito</v>
      </c>
      <c r="AE2142" t="str">
        <f t="shared" si="1377"/>
        <v>Marca</v>
      </c>
      <c r="AF2142" t="str">
        <f t="shared" si="1378"/>
        <v>Super Rubro</v>
      </c>
      <c r="AG2142" t="str">
        <f t="shared" si="1379"/>
        <v>ComercioExterior</v>
      </c>
      <c r="AH2142" t="str">
        <f t="shared" si="1380"/>
        <v>PrecioFOB</v>
      </c>
      <c r="AI2142" t="str">
        <f t="shared" si="1381"/>
        <v>Monto II</v>
      </c>
      <c r="AJ2142" t="str">
        <f t="shared" si="1382"/>
        <v>Porcentaje II</v>
      </c>
      <c r="AK2142" t="str">
        <f t="shared" si="1383"/>
        <v>Foto</v>
      </c>
      <c r="AL2142" t="str">
        <f>"{\rtf1\ansi\ansicpg1252\deff0\deflang11274{\fonttbl{\f0\fnil\fcharset0 MS Sans Serif}} \viewkind4\uc1\pard\f0\fs16 JGO. CABLES BUJ\'cdAS FOCUS/FIESTA/ECOSPORT/MONDEO 1.6  8VKA  1.0 - 1.6  8 V SILICONA\par } "</f>
        <v xml:space="preserve">{\rtf1\ansi\ansicpg1252\deff0\deflang11274{\fonttbl{\f0\fnil\fcharset0 MS Sans Serif}} \viewkind4\uc1\pard\f0\fs16 JGO. CABLES BUJ\'cdAS FOCUS/FIESTA/ECOSPORT/MONDEO 1.6  8VKA  1.0 - 1.6  8 V SILICONA\par } </v>
      </c>
      <c r="AM2142" t="str">
        <f t="shared" si="1390"/>
        <v>-</v>
      </c>
    </row>
    <row r="2143" spans="1:39" x14ac:dyDescent="0.25">
      <c r="A2143" t="str">
        <f>"03-01739"</f>
        <v>03-01739</v>
      </c>
      <c r="B2143" t="str">
        <f>"JGO. CABLES BUJÍAS FOX/GOLF 1.6 8V SILICONA"</f>
        <v>JGO. CABLES BUJÍAS FOX/GOLF 1.6 8V SILICONA</v>
      </c>
      <c r="C2143" t="str">
        <f>"$ 36547,20"</f>
        <v>$ 36547,20</v>
      </c>
      <c r="D2143" t="str">
        <f>"$ 36547,20"</f>
        <v>$ 36547,20</v>
      </c>
      <c r="E2143" t="str">
        <f>"$ 36547,20"</f>
        <v>$ 36547,20</v>
      </c>
      <c r="F2143" t="str">
        <f>"$ 36547,20"</f>
        <v>$ 36547,20</v>
      </c>
      <c r="G2143" t="str">
        <f>"$ 36547,20"</f>
        <v>$ 36547,20</v>
      </c>
      <c r="H2143" t="str">
        <f t="shared" si="1366"/>
        <v>$ 0,00</v>
      </c>
      <c r="I2143" t="str">
        <f>"CABLES BUJÍAS SILICONA ANTIPARASITARIOS"</f>
        <v>CABLES BUJÍAS SILICONA ANTIPARASITARIOS</v>
      </c>
      <c r="J2143" t="str">
        <f t="shared" si="1367"/>
        <v>1</v>
      </c>
      <c r="K2143" t="str">
        <f t="shared" si="1391"/>
        <v>0</v>
      </c>
      <c r="L2143" t="str">
        <f>"66,000"</f>
        <v>66,000</v>
      </c>
      <c r="M2143" t="str">
        <f t="shared" si="1368"/>
        <v xml:space="preserve"> </v>
      </c>
      <c r="N2143" t="str">
        <f t="shared" si="1389"/>
        <v>FERRAZZI</v>
      </c>
      <c r="O2143" t="str">
        <f t="shared" si="1384"/>
        <v>CABLES</v>
      </c>
      <c r="P2143" t="str">
        <f t="shared" ref="P2143:Q2162" si="1393">"0"</f>
        <v>0</v>
      </c>
      <c r="Q2143" t="str">
        <f t="shared" si="1393"/>
        <v>0</v>
      </c>
      <c r="R2143" t="str">
        <f t="shared" ref="R2143:S2162" si="1394">"0,00"</f>
        <v>0,00</v>
      </c>
      <c r="S2143" t="str">
        <f t="shared" si="1394"/>
        <v>0,00</v>
      </c>
      <c r="T2143" t="str">
        <f t="shared" si="1365"/>
        <v xml:space="preserve"> </v>
      </c>
      <c r="U2143" t="str">
        <f t="shared" si="1387"/>
        <v xml:space="preserve"> </v>
      </c>
      <c r="V2143" t="str">
        <f>"66,000"</f>
        <v>66,000</v>
      </c>
      <c r="W2143" t="str">
        <f t="shared" si="1369"/>
        <v>Lista 4</v>
      </c>
      <c r="X2143" t="str">
        <f t="shared" si="1370"/>
        <v>Lista 5</v>
      </c>
      <c r="Y2143" t="str">
        <f t="shared" si="1371"/>
        <v>Oferta Gral.</v>
      </c>
      <c r="Z2143" t="str">
        <f t="shared" si="1372"/>
        <v>Rubro</v>
      </c>
      <c r="AA2143" t="str">
        <f t="shared" si="1373"/>
        <v>Cantidad por Bulto</v>
      </c>
      <c r="AB2143" t="str">
        <f t="shared" si="1374"/>
        <v>INNER</v>
      </c>
      <c r="AC2143" t="str">
        <f t="shared" si="1375"/>
        <v>Stock en Bultos</v>
      </c>
      <c r="AD2143" t="str">
        <f t="shared" si="1376"/>
        <v>SubDepósito</v>
      </c>
      <c r="AE2143" t="str">
        <f t="shared" si="1377"/>
        <v>Marca</v>
      </c>
      <c r="AF2143" t="str">
        <f t="shared" si="1378"/>
        <v>Super Rubro</v>
      </c>
      <c r="AG2143" t="str">
        <f t="shared" si="1379"/>
        <v>ComercioExterior</v>
      </c>
      <c r="AH2143" t="str">
        <f t="shared" si="1380"/>
        <v>PrecioFOB</v>
      </c>
      <c r="AI2143" t="str">
        <f t="shared" si="1381"/>
        <v>Monto II</v>
      </c>
      <c r="AJ2143" t="str">
        <f t="shared" si="1382"/>
        <v>Porcentaje II</v>
      </c>
      <c r="AK2143" t="str">
        <f t="shared" si="1383"/>
        <v>Foto</v>
      </c>
      <c r="AL2143" t="str">
        <f>"{\rtf1\ansi\ansicpg1252\deff0\deflang11274{\fonttbl{\f0\fnil\fcharset0 MS Sans Serif}} \viewkind4\uc1\pard\f0\fs16 JGO. CABLES BUJ\'cdAS FOX/GOLF 1.6 8V SILICONA\par } "</f>
        <v xml:space="preserve">{\rtf1\ansi\ansicpg1252\deff0\deflang11274{\fonttbl{\f0\fnil\fcharset0 MS Sans Serif}} \viewkind4\uc1\pard\f0\fs16 JGO. CABLES BUJ\'cdAS FOX/GOLF 1.6 8V SILICONA\par } </v>
      </c>
      <c r="AM2143" t="str">
        <f t="shared" si="1390"/>
        <v>-</v>
      </c>
    </row>
    <row r="2144" spans="1:39" x14ac:dyDescent="0.25">
      <c r="A2144" t="str">
        <f>"03-33025"</f>
        <v>03-33025</v>
      </c>
      <c r="B2144" t="str">
        <f>"JGO. CABLES BUJÍAS GACEL - CARAT - SENDA"</f>
        <v>JGO. CABLES BUJÍAS GACEL - CARAT - SENDA</v>
      </c>
      <c r="C2144" t="str">
        <f>"$ 9091,16"</f>
        <v>$ 9091,16</v>
      </c>
      <c r="D2144" t="str">
        <f>"$ 9091,16"</f>
        <v>$ 9091,16</v>
      </c>
      <c r="E2144" t="str">
        <f>"$ 9091,16"</f>
        <v>$ 9091,16</v>
      </c>
      <c r="F2144" t="str">
        <f>"$ 9091,16"</f>
        <v>$ 9091,16</v>
      </c>
      <c r="G2144" t="str">
        <f>"$ 9091,16"</f>
        <v>$ 9091,16</v>
      </c>
      <c r="H2144" t="str">
        <f t="shared" si="1366"/>
        <v>$ 0,00</v>
      </c>
      <c r="I2144" t="str">
        <f t="shared" ref="I2144:I2150" si="1395">"CABLES BUJÍAS PVC ANTIPARASITARIOS"</f>
        <v>CABLES BUJÍAS PVC ANTIPARASITARIOS</v>
      </c>
      <c r="J2144" t="str">
        <f t="shared" si="1367"/>
        <v>1</v>
      </c>
      <c r="K2144" t="str">
        <f t="shared" si="1391"/>
        <v>0</v>
      </c>
      <c r="L2144" t="str">
        <f>"12,000"</f>
        <v>12,000</v>
      </c>
      <c r="M2144" t="str">
        <f t="shared" si="1368"/>
        <v xml:space="preserve"> </v>
      </c>
      <c r="N2144" t="str">
        <f t="shared" si="1389"/>
        <v>FERRAZZI</v>
      </c>
      <c r="O2144" t="str">
        <f t="shared" si="1384"/>
        <v>CABLES</v>
      </c>
      <c r="P2144" t="str">
        <f t="shared" si="1393"/>
        <v>0</v>
      </c>
      <c r="Q2144" t="str">
        <f t="shared" si="1393"/>
        <v>0</v>
      </c>
      <c r="R2144" t="str">
        <f t="shared" si="1394"/>
        <v>0,00</v>
      </c>
      <c r="S2144" t="str">
        <f t="shared" si="1394"/>
        <v>0,00</v>
      </c>
      <c r="T2144" t="str">
        <f t="shared" si="1365"/>
        <v xml:space="preserve"> </v>
      </c>
      <c r="U2144" t="str">
        <f t="shared" si="1387"/>
        <v xml:space="preserve"> </v>
      </c>
      <c r="V2144" t="str">
        <f>"12,000"</f>
        <v>12,000</v>
      </c>
      <c r="W2144" t="str">
        <f t="shared" si="1369"/>
        <v>Lista 4</v>
      </c>
      <c r="X2144" t="str">
        <f t="shared" si="1370"/>
        <v>Lista 5</v>
      </c>
      <c r="Y2144" t="str">
        <f t="shared" si="1371"/>
        <v>Oferta Gral.</v>
      </c>
      <c r="Z2144" t="str">
        <f t="shared" si="1372"/>
        <v>Rubro</v>
      </c>
      <c r="AA2144" t="str">
        <f t="shared" si="1373"/>
        <v>Cantidad por Bulto</v>
      </c>
      <c r="AB2144" t="str">
        <f t="shared" si="1374"/>
        <v>INNER</v>
      </c>
      <c r="AC2144" t="str">
        <f t="shared" si="1375"/>
        <v>Stock en Bultos</v>
      </c>
      <c r="AD2144" t="str">
        <f t="shared" si="1376"/>
        <v>SubDepósito</v>
      </c>
      <c r="AE2144" t="str">
        <f t="shared" si="1377"/>
        <v>Marca</v>
      </c>
      <c r="AF2144" t="str">
        <f t="shared" si="1378"/>
        <v>Super Rubro</v>
      </c>
      <c r="AG2144" t="str">
        <f t="shared" si="1379"/>
        <v>ComercioExterior</v>
      </c>
      <c r="AH2144" t="str">
        <f t="shared" si="1380"/>
        <v>PrecioFOB</v>
      </c>
      <c r="AI2144" t="str">
        <f t="shared" si="1381"/>
        <v>Monto II</v>
      </c>
      <c r="AJ2144" t="str">
        <f t="shared" si="1382"/>
        <v>Porcentaje II</v>
      </c>
      <c r="AK2144" t="str">
        <f t="shared" si="1383"/>
        <v>Foto</v>
      </c>
      <c r="AL2144" t="str">
        <f>"{\rtf1\ansi\ansicpg1252\deff0\deflang11274{\fonttbl{\f0\fnil\fcharset0 MS Sans Serif}} \viewkind4\uc1\pard\f0\fs16 JGO. CABLES BUJ\'cdAS GACEL - CARAT - SENDA\par } "</f>
        <v xml:space="preserve">{\rtf1\ansi\ansicpg1252\deff0\deflang11274{\fonttbl{\f0\fnil\fcharset0 MS Sans Serif}} \viewkind4\uc1\pard\f0\fs16 JGO. CABLES BUJ\'cdAS GACEL - CARAT - SENDA\par } </v>
      </c>
      <c r="AM2144" t="str">
        <f t="shared" si="1390"/>
        <v>-</v>
      </c>
    </row>
    <row r="2145" spans="1:39" x14ac:dyDescent="0.25">
      <c r="A2145" t="str">
        <f>"04-33082"</f>
        <v>04-33082</v>
      </c>
      <c r="B2145" t="str">
        <f>"JGO. CABLES BUJÍAS GALAXY 2.0 INY. BOBINA SECA"</f>
        <v>JGO. CABLES BUJÍAS GALAXY 2.0 INY. BOBINA SECA</v>
      </c>
      <c r="C2145" t="str">
        <f>"$ 16210,79"</f>
        <v>$ 16210,79</v>
      </c>
      <c r="D2145" t="str">
        <f>"$ 16210,79"</f>
        <v>$ 16210,79</v>
      </c>
      <c r="E2145" t="str">
        <f>"$ 16210,79"</f>
        <v>$ 16210,79</v>
      </c>
      <c r="F2145" t="str">
        <f>"$ 16210,79"</f>
        <v>$ 16210,79</v>
      </c>
      <c r="G2145" t="str">
        <f>"$ 16210,79"</f>
        <v>$ 16210,79</v>
      </c>
      <c r="H2145" t="str">
        <f t="shared" si="1366"/>
        <v>$ 0,00</v>
      </c>
      <c r="I2145" t="str">
        <f t="shared" si="1395"/>
        <v>CABLES BUJÍAS PVC ANTIPARASITARIOS</v>
      </c>
      <c r="J2145" t="str">
        <f t="shared" si="1367"/>
        <v>1</v>
      </c>
      <c r="K2145" t="str">
        <f t="shared" si="1391"/>
        <v>0</v>
      </c>
      <c r="L2145" t="str">
        <f>"9,000"</f>
        <v>9,000</v>
      </c>
      <c r="M2145" t="str">
        <f t="shared" si="1368"/>
        <v xml:space="preserve"> </v>
      </c>
      <c r="N2145" t="str">
        <f t="shared" si="1389"/>
        <v>FERRAZZI</v>
      </c>
      <c r="O2145" t="str">
        <f t="shared" si="1384"/>
        <v>CABLES</v>
      </c>
      <c r="P2145" t="str">
        <f t="shared" si="1393"/>
        <v>0</v>
      </c>
      <c r="Q2145" t="str">
        <f t="shared" si="1393"/>
        <v>0</v>
      </c>
      <c r="R2145" t="str">
        <f t="shared" si="1394"/>
        <v>0,00</v>
      </c>
      <c r="S2145" t="str">
        <f t="shared" si="1394"/>
        <v>0,00</v>
      </c>
      <c r="T2145" t="str">
        <f t="shared" si="1365"/>
        <v xml:space="preserve"> </v>
      </c>
      <c r="U2145" t="str">
        <f t="shared" si="1387"/>
        <v xml:space="preserve"> </v>
      </c>
      <c r="V2145" t="str">
        <f>"9,000"</f>
        <v>9,000</v>
      </c>
      <c r="W2145" t="str">
        <f t="shared" si="1369"/>
        <v>Lista 4</v>
      </c>
      <c r="X2145" t="str">
        <f t="shared" si="1370"/>
        <v>Lista 5</v>
      </c>
      <c r="Y2145" t="str">
        <f t="shared" si="1371"/>
        <v>Oferta Gral.</v>
      </c>
      <c r="Z2145" t="str">
        <f t="shared" si="1372"/>
        <v>Rubro</v>
      </c>
      <c r="AA2145" t="str">
        <f t="shared" si="1373"/>
        <v>Cantidad por Bulto</v>
      </c>
      <c r="AB2145" t="str">
        <f t="shared" si="1374"/>
        <v>INNER</v>
      </c>
      <c r="AC2145" t="str">
        <f t="shared" si="1375"/>
        <v>Stock en Bultos</v>
      </c>
      <c r="AD2145" t="str">
        <f t="shared" si="1376"/>
        <v>SubDepósito</v>
      </c>
      <c r="AE2145" t="str">
        <f t="shared" si="1377"/>
        <v>Marca</v>
      </c>
      <c r="AF2145" t="str">
        <f t="shared" si="1378"/>
        <v>Super Rubro</v>
      </c>
      <c r="AG2145" t="str">
        <f t="shared" si="1379"/>
        <v>ComercioExterior</v>
      </c>
      <c r="AH2145" t="str">
        <f t="shared" si="1380"/>
        <v>PrecioFOB</v>
      </c>
      <c r="AI2145" t="str">
        <f t="shared" si="1381"/>
        <v>Monto II</v>
      </c>
      <c r="AJ2145" t="str">
        <f t="shared" si="1382"/>
        <v>Porcentaje II</v>
      </c>
      <c r="AK2145" t="str">
        <f t="shared" si="1383"/>
        <v>Foto</v>
      </c>
      <c r="AL2145" t="str">
        <f>"{\rtf1\ansi\ansicpg1252\deff0\deflang11274{\fonttbl{\f0\fnil\fcharset0 MS Sans Serif}} \viewkind4\uc1\pard\f0\fs16 JGO. CABLES BUJ\'cdAS GALAXY 2.0 INY. BOBINA SECA\par } "</f>
        <v xml:space="preserve">{\rtf1\ansi\ansicpg1252\deff0\deflang11274{\fonttbl{\f0\fnil\fcharset0 MS Sans Serif}} \viewkind4\uc1\pard\f0\fs16 JGO. CABLES BUJ\'cdAS GALAXY 2.0 INY. BOBINA SECA\par } </v>
      </c>
      <c r="AM2145" t="str">
        <f t="shared" si="1390"/>
        <v>-</v>
      </c>
    </row>
    <row r="2146" spans="1:39" x14ac:dyDescent="0.25">
      <c r="A2146" t="str">
        <f>"04-33055"</f>
        <v>04-33055</v>
      </c>
      <c r="B2146" t="str">
        <f>"JGO. CABLES BUJÍAS GALAXY1.8 - 2.0 INYECCION EFI DIST. BOSH"</f>
        <v>JGO. CABLES BUJÍAS GALAXY1.8 - 2.0 INYECCION EFI DIST. BOSH</v>
      </c>
      <c r="C2146" t="str">
        <f>"$ 17665,13"</f>
        <v>$ 17665,13</v>
      </c>
      <c r="D2146" t="str">
        <f>"$ 17665,13"</f>
        <v>$ 17665,13</v>
      </c>
      <c r="E2146" t="str">
        <f>"$ 17665,13"</f>
        <v>$ 17665,13</v>
      </c>
      <c r="F2146" t="str">
        <f>"$ 17665,13"</f>
        <v>$ 17665,13</v>
      </c>
      <c r="G2146" t="str">
        <f>"$ 17665,13"</f>
        <v>$ 17665,13</v>
      </c>
      <c r="H2146" t="str">
        <f t="shared" si="1366"/>
        <v>$ 0,00</v>
      </c>
      <c r="I2146" t="str">
        <f t="shared" si="1395"/>
        <v>CABLES BUJÍAS PVC ANTIPARASITARIOS</v>
      </c>
      <c r="J2146" t="str">
        <f t="shared" si="1367"/>
        <v>1</v>
      </c>
      <c r="K2146" t="str">
        <f t="shared" si="1391"/>
        <v>0</v>
      </c>
      <c r="L2146" t="str">
        <f>"9,000"</f>
        <v>9,000</v>
      </c>
      <c r="M2146" t="str">
        <f t="shared" si="1368"/>
        <v xml:space="preserve"> </v>
      </c>
      <c r="N2146" t="str">
        <f t="shared" si="1389"/>
        <v>FERRAZZI</v>
      </c>
      <c r="O2146" t="str">
        <f t="shared" si="1384"/>
        <v>CABLES</v>
      </c>
      <c r="P2146" t="str">
        <f t="shared" si="1393"/>
        <v>0</v>
      </c>
      <c r="Q2146" t="str">
        <f t="shared" si="1393"/>
        <v>0</v>
      </c>
      <c r="R2146" t="str">
        <f t="shared" si="1394"/>
        <v>0,00</v>
      </c>
      <c r="S2146" t="str">
        <f t="shared" si="1394"/>
        <v>0,00</v>
      </c>
      <c r="T2146" t="str">
        <f t="shared" si="1365"/>
        <v xml:space="preserve"> </v>
      </c>
      <c r="U2146" t="str">
        <f t="shared" si="1387"/>
        <v xml:space="preserve"> </v>
      </c>
      <c r="V2146" t="str">
        <f>"9,000"</f>
        <v>9,000</v>
      </c>
      <c r="W2146" t="str">
        <f t="shared" si="1369"/>
        <v>Lista 4</v>
      </c>
      <c r="X2146" t="str">
        <f t="shared" si="1370"/>
        <v>Lista 5</v>
      </c>
      <c r="Y2146" t="str">
        <f t="shared" si="1371"/>
        <v>Oferta Gral.</v>
      </c>
      <c r="Z2146" t="str">
        <f t="shared" si="1372"/>
        <v>Rubro</v>
      </c>
      <c r="AA2146" t="str">
        <f t="shared" si="1373"/>
        <v>Cantidad por Bulto</v>
      </c>
      <c r="AB2146" t="str">
        <f t="shared" si="1374"/>
        <v>INNER</v>
      </c>
      <c r="AC2146" t="str">
        <f t="shared" si="1375"/>
        <v>Stock en Bultos</v>
      </c>
      <c r="AD2146" t="str">
        <f t="shared" si="1376"/>
        <v>SubDepósito</v>
      </c>
      <c r="AE2146" t="str">
        <f t="shared" si="1377"/>
        <v>Marca</v>
      </c>
      <c r="AF2146" t="str">
        <f t="shared" si="1378"/>
        <v>Super Rubro</v>
      </c>
      <c r="AG2146" t="str">
        <f t="shared" si="1379"/>
        <v>ComercioExterior</v>
      </c>
      <c r="AH2146" t="str">
        <f t="shared" si="1380"/>
        <v>PrecioFOB</v>
      </c>
      <c r="AI2146" t="str">
        <f t="shared" si="1381"/>
        <v>Monto II</v>
      </c>
      <c r="AJ2146" t="str">
        <f t="shared" si="1382"/>
        <v>Porcentaje II</v>
      </c>
      <c r="AK2146" t="str">
        <f t="shared" si="1383"/>
        <v>Foto</v>
      </c>
      <c r="AL2146" t="str">
        <f>"{\rtf1\ansi\ansicpg1252\deff0\deflang11274{\fonttbl{\f0\fnil\fcharset0 MS Sans Serif}} \viewkind4\uc1\pard\f0\fs16 JGO. CABLES BUJ\'cdAS GALAXY1.8 - 2.0 INYECCION EFI DIST. BOSH\par } "</f>
        <v xml:space="preserve">{\rtf1\ansi\ansicpg1252\deff0\deflang11274{\fonttbl{\f0\fnil\fcharset0 MS Sans Serif}} \viewkind4\uc1\pard\f0\fs16 JGO. CABLES BUJ\'cdAS GALAXY1.8 - 2.0 INYECCION EFI DIST. BOSH\par } </v>
      </c>
      <c r="AM2146" t="str">
        <f t="shared" si="1390"/>
        <v>-</v>
      </c>
    </row>
    <row r="2147" spans="1:39" x14ac:dyDescent="0.25">
      <c r="A2147" t="str">
        <f>"03-33027"</f>
        <v>03-33027</v>
      </c>
      <c r="B2147" t="str">
        <f>"JGO. CABLES BUJÍAS GOL  GL - SAVEIRO 1,6"</f>
        <v>JGO. CABLES BUJÍAS GOL  GL - SAVEIRO 1,6</v>
      </c>
      <c r="C2147" t="str">
        <f>"$ 19502,43"</f>
        <v>$ 19502,43</v>
      </c>
      <c r="D2147" t="str">
        <f>"$ 19502,43"</f>
        <v>$ 19502,43</v>
      </c>
      <c r="E2147" t="str">
        <f>"$ 19502,43"</f>
        <v>$ 19502,43</v>
      </c>
      <c r="F2147" t="str">
        <f>"$ 19502,43"</f>
        <v>$ 19502,43</v>
      </c>
      <c r="G2147" t="str">
        <f>"$ 19502,43"</f>
        <v>$ 19502,43</v>
      </c>
      <c r="H2147" t="str">
        <f t="shared" si="1366"/>
        <v>$ 0,00</v>
      </c>
      <c r="I2147" t="str">
        <f t="shared" si="1395"/>
        <v>CABLES BUJÍAS PVC ANTIPARASITARIOS</v>
      </c>
      <c r="J2147" t="str">
        <f t="shared" si="1367"/>
        <v>1</v>
      </c>
      <c r="K2147" t="str">
        <f t="shared" si="1391"/>
        <v>0</v>
      </c>
      <c r="L2147" t="str">
        <f>"11,000"</f>
        <v>11,000</v>
      </c>
      <c r="M2147" t="str">
        <f t="shared" si="1368"/>
        <v xml:space="preserve"> </v>
      </c>
      <c r="N2147" t="str">
        <f t="shared" si="1389"/>
        <v>FERRAZZI</v>
      </c>
      <c r="O2147" t="str">
        <f t="shared" si="1384"/>
        <v>CABLES</v>
      </c>
      <c r="P2147" t="str">
        <f t="shared" si="1393"/>
        <v>0</v>
      </c>
      <c r="Q2147" t="str">
        <f t="shared" si="1393"/>
        <v>0</v>
      </c>
      <c r="R2147" t="str">
        <f t="shared" si="1394"/>
        <v>0,00</v>
      </c>
      <c r="S2147" t="str">
        <f t="shared" si="1394"/>
        <v>0,00</v>
      </c>
      <c r="T2147" t="str">
        <f t="shared" si="1365"/>
        <v xml:space="preserve"> </v>
      </c>
      <c r="U2147" t="str">
        <f t="shared" si="1387"/>
        <v xml:space="preserve"> </v>
      </c>
      <c r="V2147" t="str">
        <f>"11,000"</f>
        <v>11,000</v>
      </c>
      <c r="W2147" t="str">
        <f t="shared" si="1369"/>
        <v>Lista 4</v>
      </c>
      <c r="X2147" t="str">
        <f t="shared" si="1370"/>
        <v>Lista 5</v>
      </c>
      <c r="Y2147" t="str">
        <f t="shared" si="1371"/>
        <v>Oferta Gral.</v>
      </c>
      <c r="Z2147" t="str">
        <f t="shared" si="1372"/>
        <v>Rubro</v>
      </c>
      <c r="AA2147" t="str">
        <f t="shared" si="1373"/>
        <v>Cantidad por Bulto</v>
      </c>
      <c r="AB2147" t="str">
        <f t="shared" si="1374"/>
        <v>INNER</v>
      </c>
      <c r="AC2147" t="str">
        <f t="shared" si="1375"/>
        <v>Stock en Bultos</v>
      </c>
      <c r="AD2147" t="str">
        <f t="shared" si="1376"/>
        <v>SubDepósito</v>
      </c>
      <c r="AE2147" t="str">
        <f t="shared" si="1377"/>
        <v>Marca</v>
      </c>
      <c r="AF2147" t="str">
        <f t="shared" si="1378"/>
        <v>Super Rubro</v>
      </c>
      <c r="AG2147" t="str">
        <f t="shared" si="1379"/>
        <v>ComercioExterior</v>
      </c>
      <c r="AH2147" t="str">
        <f t="shared" si="1380"/>
        <v>PrecioFOB</v>
      </c>
      <c r="AI2147" t="str">
        <f t="shared" si="1381"/>
        <v>Monto II</v>
      </c>
      <c r="AJ2147" t="str">
        <f t="shared" si="1382"/>
        <v>Porcentaje II</v>
      </c>
      <c r="AK2147" t="str">
        <f t="shared" si="1383"/>
        <v>Foto</v>
      </c>
      <c r="AL2147" t="str">
        <f>"{\rtf1\ansi\ansicpg1252\deff0\deflang11274{\fonttbl{\f0\fnil\fcharset0 MS Sans Serif}} \viewkind4\uc1\pard\f0\fs16 JGO. CABLES BUJ\'cdAS GOL  GL - SAVEIRO 1,6\par } "</f>
        <v xml:space="preserve">{\rtf1\ansi\ansicpg1252\deff0\deflang11274{\fonttbl{\f0\fnil\fcharset0 MS Sans Serif}} \viewkind4\uc1\pard\f0\fs16 JGO. CABLES BUJ\'cdAS GOL  GL - SAVEIRO 1,6\par } </v>
      </c>
      <c r="AM2147" t="str">
        <f t="shared" si="1390"/>
        <v>-</v>
      </c>
    </row>
    <row r="2148" spans="1:39" x14ac:dyDescent="0.25">
      <c r="A2148" t="str">
        <f>"03-33035"</f>
        <v>03-33035</v>
      </c>
      <c r="B2148" t="str">
        <f>"JGO. CABLES BUJÍAS GOL GL MI 1.6 - 1.8 - 2.0"</f>
        <v>JGO. CABLES BUJÍAS GOL GL MI 1.6 - 1.8 - 2.0</v>
      </c>
      <c r="C2148" t="str">
        <f>"$ 16205,02"</f>
        <v>$ 16205,02</v>
      </c>
      <c r="D2148" t="str">
        <f>"$ 16205,02"</f>
        <v>$ 16205,02</v>
      </c>
      <c r="E2148" t="str">
        <f>"$ 16205,02"</f>
        <v>$ 16205,02</v>
      </c>
      <c r="F2148" t="str">
        <f>"$ 16205,02"</f>
        <v>$ 16205,02</v>
      </c>
      <c r="G2148" t="str">
        <f>"$ 16205,02"</f>
        <v>$ 16205,02</v>
      </c>
      <c r="H2148" t="str">
        <f t="shared" si="1366"/>
        <v>$ 0,00</v>
      </c>
      <c r="I2148" t="str">
        <f t="shared" si="1395"/>
        <v>CABLES BUJÍAS PVC ANTIPARASITARIOS</v>
      </c>
      <c r="J2148" t="str">
        <f t="shared" si="1367"/>
        <v>1</v>
      </c>
      <c r="K2148" t="str">
        <f t="shared" si="1391"/>
        <v>0</v>
      </c>
      <c r="L2148" t="str">
        <f>"73,000"</f>
        <v>73,000</v>
      </c>
      <c r="M2148" t="str">
        <f t="shared" si="1368"/>
        <v xml:space="preserve"> </v>
      </c>
      <c r="N2148" t="str">
        <f t="shared" si="1389"/>
        <v>FERRAZZI</v>
      </c>
      <c r="O2148" t="str">
        <f t="shared" si="1384"/>
        <v>CABLES</v>
      </c>
      <c r="P2148" t="str">
        <f t="shared" si="1393"/>
        <v>0</v>
      </c>
      <c r="Q2148" t="str">
        <f t="shared" si="1393"/>
        <v>0</v>
      </c>
      <c r="R2148" t="str">
        <f t="shared" si="1394"/>
        <v>0,00</v>
      </c>
      <c r="S2148" t="str">
        <f t="shared" si="1394"/>
        <v>0,00</v>
      </c>
      <c r="T2148" t="str">
        <f t="shared" si="1365"/>
        <v xml:space="preserve"> </v>
      </c>
      <c r="U2148" t="str">
        <f t="shared" si="1387"/>
        <v xml:space="preserve"> </v>
      </c>
      <c r="V2148" t="str">
        <f>"73,000"</f>
        <v>73,000</v>
      </c>
      <c r="W2148" t="str">
        <f t="shared" si="1369"/>
        <v>Lista 4</v>
      </c>
      <c r="X2148" t="str">
        <f t="shared" si="1370"/>
        <v>Lista 5</v>
      </c>
      <c r="Y2148" t="str">
        <f t="shared" si="1371"/>
        <v>Oferta Gral.</v>
      </c>
      <c r="Z2148" t="str">
        <f t="shared" si="1372"/>
        <v>Rubro</v>
      </c>
      <c r="AA2148" t="str">
        <f t="shared" si="1373"/>
        <v>Cantidad por Bulto</v>
      </c>
      <c r="AB2148" t="str">
        <f t="shared" si="1374"/>
        <v>INNER</v>
      </c>
      <c r="AC2148" t="str">
        <f t="shared" si="1375"/>
        <v>Stock en Bultos</v>
      </c>
      <c r="AD2148" t="str">
        <f t="shared" si="1376"/>
        <v>SubDepósito</v>
      </c>
      <c r="AE2148" t="str">
        <f t="shared" si="1377"/>
        <v>Marca</v>
      </c>
      <c r="AF2148" t="str">
        <f t="shared" si="1378"/>
        <v>Super Rubro</v>
      </c>
      <c r="AG2148" t="str">
        <f t="shared" si="1379"/>
        <v>ComercioExterior</v>
      </c>
      <c r="AH2148" t="str">
        <f t="shared" si="1380"/>
        <v>PrecioFOB</v>
      </c>
      <c r="AI2148" t="str">
        <f t="shared" si="1381"/>
        <v>Monto II</v>
      </c>
      <c r="AJ2148" t="str">
        <f t="shared" si="1382"/>
        <v>Porcentaje II</v>
      </c>
      <c r="AK2148" t="str">
        <f t="shared" si="1383"/>
        <v>Foto</v>
      </c>
      <c r="AL2148" t="str">
        <f>"{\rtf1\ansi\ansicpg1252\deff0\deflang11274{\fonttbl{\f0\fnil\fcharset0 MS Sans Serif}} \viewkind4\uc1\pard\f0\fs16 JGO. CABLES BUJ\'cdAS GOL GL MI 1.6 - 1.8 - 2.0\par } "</f>
        <v xml:space="preserve">{\rtf1\ansi\ansicpg1252\deff0\deflang11274{\fonttbl{\f0\fnil\fcharset0 MS Sans Serif}} \viewkind4\uc1\pard\f0\fs16 JGO. CABLES BUJ\'cdAS GOL GL MI 1.6 - 1.8 - 2.0\par } </v>
      </c>
      <c r="AM2148" t="str">
        <f t="shared" si="1390"/>
        <v>-</v>
      </c>
    </row>
    <row r="2149" spans="1:39" x14ac:dyDescent="0.25">
      <c r="A2149" t="str">
        <f>"03-33034"</f>
        <v>03-33034</v>
      </c>
      <c r="B2149" t="str">
        <f>"JGO. CABLES BUJÍAS GOL GLI 1.6-1.8-2.0 ENC.MOTORCRAFT"</f>
        <v>JGO. CABLES BUJÍAS GOL GLI 1.6-1.8-2.0 ENC.MOTORCRAFT</v>
      </c>
      <c r="C2149" t="str">
        <f>"$ 17802,66"</f>
        <v>$ 17802,66</v>
      </c>
      <c r="D2149" t="str">
        <f>"$ 17802,66"</f>
        <v>$ 17802,66</v>
      </c>
      <c r="E2149" t="str">
        <f>"$ 17802,66"</f>
        <v>$ 17802,66</v>
      </c>
      <c r="F2149" t="str">
        <f>"$ 17802,66"</f>
        <v>$ 17802,66</v>
      </c>
      <c r="G2149" t="str">
        <f>"$ 17802,66"</f>
        <v>$ 17802,66</v>
      </c>
      <c r="H2149" t="str">
        <f t="shared" si="1366"/>
        <v>$ 0,00</v>
      </c>
      <c r="I2149" t="str">
        <f t="shared" si="1395"/>
        <v>CABLES BUJÍAS PVC ANTIPARASITARIOS</v>
      </c>
      <c r="J2149" t="str">
        <f t="shared" si="1367"/>
        <v>1</v>
      </c>
      <c r="K2149" t="str">
        <f t="shared" si="1391"/>
        <v>0</v>
      </c>
      <c r="L2149" t="str">
        <f>"10,000"</f>
        <v>10,000</v>
      </c>
      <c r="M2149" t="str">
        <f t="shared" si="1368"/>
        <v xml:space="preserve"> </v>
      </c>
      <c r="N2149" t="str">
        <f t="shared" si="1389"/>
        <v>FERRAZZI</v>
      </c>
      <c r="O2149" t="str">
        <f t="shared" si="1384"/>
        <v>CABLES</v>
      </c>
      <c r="P2149" t="str">
        <f t="shared" si="1393"/>
        <v>0</v>
      </c>
      <c r="Q2149" t="str">
        <f t="shared" si="1393"/>
        <v>0</v>
      </c>
      <c r="R2149" t="str">
        <f t="shared" si="1394"/>
        <v>0,00</v>
      </c>
      <c r="S2149" t="str">
        <f t="shared" si="1394"/>
        <v>0,00</v>
      </c>
      <c r="T2149" t="str">
        <f t="shared" si="1365"/>
        <v xml:space="preserve"> </v>
      </c>
      <c r="U2149" t="str">
        <f t="shared" si="1387"/>
        <v xml:space="preserve"> </v>
      </c>
      <c r="V2149" t="str">
        <f>"10,000"</f>
        <v>10,000</v>
      </c>
      <c r="W2149" t="str">
        <f t="shared" si="1369"/>
        <v>Lista 4</v>
      </c>
      <c r="X2149" t="str">
        <f t="shared" si="1370"/>
        <v>Lista 5</v>
      </c>
      <c r="Y2149" t="str">
        <f t="shared" si="1371"/>
        <v>Oferta Gral.</v>
      </c>
      <c r="Z2149" t="str">
        <f t="shared" si="1372"/>
        <v>Rubro</v>
      </c>
      <c r="AA2149" t="str">
        <f t="shared" si="1373"/>
        <v>Cantidad por Bulto</v>
      </c>
      <c r="AB2149" t="str">
        <f t="shared" si="1374"/>
        <v>INNER</v>
      </c>
      <c r="AC2149" t="str">
        <f t="shared" si="1375"/>
        <v>Stock en Bultos</v>
      </c>
      <c r="AD2149" t="str">
        <f t="shared" si="1376"/>
        <v>SubDepósito</v>
      </c>
      <c r="AE2149" t="str">
        <f t="shared" si="1377"/>
        <v>Marca</v>
      </c>
      <c r="AF2149" t="str">
        <f t="shared" si="1378"/>
        <v>Super Rubro</v>
      </c>
      <c r="AG2149" t="str">
        <f t="shared" si="1379"/>
        <v>ComercioExterior</v>
      </c>
      <c r="AH2149" t="str">
        <f t="shared" si="1380"/>
        <v>PrecioFOB</v>
      </c>
      <c r="AI2149" t="str">
        <f t="shared" si="1381"/>
        <v>Monto II</v>
      </c>
      <c r="AJ2149" t="str">
        <f t="shared" si="1382"/>
        <v>Porcentaje II</v>
      </c>
      <c r="AK2149" t="str">
        <f t="shared" si="1383"/>
        <v>Foto</v>
      </c>
      <c r="AL2149" t="str">
        <f>"{\rtf1\ansi\ansicpg1252\deff0\deflang11274{\fonttbl{\f0\fnil\fcharset0 MS Sans Serif}} \viewkind4\uc1\pard\f0\fs16 JGO. CABLES BUJ\'cdAS GOL GLI 1.6-1.8-2.0 ENC.MOTORCRAFT\par } "</f>
        <v xml:space="preserve">{\rtf1\ansi\ansicpg1252\deff0\deflang11274{\fonttbl{\f0\fnil\fcharset0 MS Sans Serif}} \viewkind4\uc1\pard\f0\fs16 JGO. CABLES BUJ\'cdAS GOL GLI 1.6-1.8-2.0 ENC.MOTORCRAFT\par } </v>
      </c>
      <c r="AM2149" t="str">
        <f t="shared" si="1390"/>
        <v>-</v>
      </c>
    </row>
    <row r="2150" spans="1:39" x14ac:dyDescent="0.25">
      <c r="A2150" t="str">
        <f>"03-33040"</f>
        <v>03-33040</v>
      </c>
      <c r="B2150" t="str">
        <f>"JGO. CABLES BUJÍAS GOL MI 1000"</f>
        <v>JGO. CABLES BUJÍAS GOL MI 1000</v>
      </c>
      <c r="C2150" t="str">
        <f>"$ 25802,54"</f>
        <v>$ 25802,54</v>
      </c>
      <c r="D2150" t="str">
        <f>"$ 25802,54"</f>
        <v>$ 25802,54</v>
      </c>
      <c r="E2150" t="str">
        <f>"$ 25802,54"</f>
        <v>$ 25802,54</v>
      </c>
      <c r="F2150" t="str">
        <f>"$ 25802,54"</f>
        <v>$ 25802,54</v>
      </c>
      <c r="G2150" t="str">
        <f>"$ 25802,54"</f>
        <v>$ 25802,54</v>
      </c>
      <c r="H2150" t="str">
        <f t="shared" si="1366"/>
        <v>$ 0,00</v>
      </c>
      <c r="I2150" t="str">
        <f t="shared" si="1395"/>
        <v>CABLES BUJÍAS PVC ANTIPARASITARIOS</v>
      </c>
      <c r="J2150" t="str">
        <f t="shared" si="1367"/>
        <v>1</v>
      </c>
      <c r="K2150" t="str">
        <f t="shared" si="1391"/>
        <v>0</v>
      </c>
      <c r="L2150" t="str">
        <f>"9,000"</f>
        <v>9,000</v>
      </c>
      <c r="M2150" t="str">
        <f t="shared" si="1368"/>
        <v xml:space="preserve"> </v>
      </c>
      <c r="N2150" t="str">
        <f t="shared" si="1389"/>
        <v>FERRAZZI</v>
      </c>
      <c r="O2150" t="str">
        <f t="shared" si="1384"/>
        <v>CABLES</v>
      </c>
      <c r="P2150" t="str">
        <f t="shared" si="1393"/>
        <v>0</v>
      </c>
      <c r="Q2150" t="str">
        <f t="shared" si="1393"/>
        <v>0</v>
      </c>
      <c r="R2150" t="str">
        <f t="shared" si="1394"/>
        <v>0,00</v>
      </c>
      <c r="S2150" t="str">
        <f t="shared" si="1394"/>
        <v>0,00</v>
      </c>
      <c r="T2150" t="str">
        <f t="shared" si="1365"/>
        <v xml:space="preserve"> </v>
      </c>
      <c r="U2150" t="str">
        <f t="shared" si="1387"/>
        <v xml:space="preserve"> </v>
      </c>
      <c r="V2150" t="str">
        <f>"9,000"</f>
        <v>9,000</v>
      </c>
      <c r="W2150" t="str">
        <f t="shared" si="1369"/>
        <v>Lista 4</v>
      </c>
      <c r="X2150" t="str">
        <f t="shared" si="1370"/>
        <v>Lista 5</v>
      </c>
      <c r="Y2150" t="str">
        <f t="shared" si="1371"/>
        <v>Oferta Gral.</v>
      </c>
      <c r="Z2150" t="str">
        <f t="shared" si="1372"/>
        <v>Rubro</v>
      </c>
      <c r="AA2150" t="str">
        <f t="shared" si="1373"/>
        <v>Cantidad por Bulto</v>
      </c>
      <c r="AB2150" t="str">
        <f t="shared" si="1374"/>
        <v>INNER</v>
      </c>
      <c r="AC2150" t="str">
        <f t="shared" si="1375"/>
        <v>Stock en Bultos</v>
      </c>
      <c r="AD2150" t="str">
        <f t="shared" si="1376"/>
        <v>SubDepósito</v>
      </c>
      <c r="AE2150" t="str">
        <f t="shared" si="1377"/>
        <v>Marca</v>
      </c>
      <c r="AF2150" t="str">
        <f t="shared" si="1378"/>
        <v>Super Rubro</v>
      </c>
      <c r="AG2150" t="str">
        <f t="shared" si="1379"/>
        <v>ComercioExterior</v>
      </c>
      <c r="AH2150" t="str">
        <f t="shared" si="1380"/>
        <v>PrecioFOB</v>
      </c>
      <c r="AI2150" t="str">
        <f t="shared" si="1381"/>
        <v>Monto II</v>
      </c>
      <c r="AJ2150" t="str">
        <f t="shared" si="1382"/>
        <v>Porcentaje II</v>
      </c>
      <c r="AK2150" t="str">
        <f t="shared" si="1383"/>
        <v>Foto</v>
      </c>
      <c r="AL2150" t="str">
        <f>"{\rtf1\ansi\ansicpg1252\deff0\deflang11274{\fonttbl{\f0\fnil\fcharset0 MS Sans Serif}} \viewkind4\uc1\pard\f0\fs16 JGO. CABLES BUJ\'cdAS GOL MI 1000\par } "</f>
        <v xml:space="preserve">{\rtf1\ansi\ansicpg1252\deff0\deflang11274{\fonttbl{\f0\fnil\fcharset0 MS Sans Serif}} \viewkind4\uc1\pard\f0\fs16 JGO. CABLES BUJ\'cdAS GOL MI 1000\par } </v>
      </c>
      <c r="AM2150" t="str">
        <f t="shared" si="1390"/>
        <v>-</v>
      </c>
    </row>
    <row r="2151" spans="1:39" x14ac:dyDescent="0.25">
      <c r="A2151" t="str">
        <f>"CO330"</f>
        <v>CO330</v>
      </c>
      <c r="B2151" t="str">
        <f>"JGO. CABLES BUJÍAS GOL/SENDA 1.6/1.8/2.0 CAP. CHAPA DESDE 87"</f>
        <v>JGO. CABLES BUJÍAS GOL/SENDA 1.6/1.8/2.0 CAP. CHAPA DESDE 87</v>
      </c>
      <c r="C2151" t="str">
        <f>"$ 43589,15"</f>
        <v>$ 43589,15</v>
      </c>
      <c r="D2151" t="str">
        <f>"$ 43589,15"</f>
        <v>$ 43589,15</v>
      </c>
      <c r="E2151" t="str">
        <f>"$ 43589,15"</f>
        <v>$ 43589,15</v>
      </c>
      <c r="F2151" t="str">
        <f>"$ 43589,15"</f>
        <v>$ 43589,15</v>
      </c>
      <c r="G2151" t="str">
        <f>"$ 43589,15"</f>
        <v>$ 43589,15</v>
      </c>
      <c r="H2151" t="str">
        <f t="shared" si="1366"/>
        <v>$ 0,00</v>
      </c>
      <c r="I2151" t="str">
        <f>"CABLES BUJÍAS SILICONA ANTIPARASITARIOS"</f>
        <v>CABLES BUJÍAS SILICONA ANTIPARASITARIOS</v>
      </c>
      <c r="J2151" t="str">
        <f t="shared" si="1367"/>
        <v>1</v>
      </c>
      <c r="K2151" t="str">
        <f t="shared" si="1391"/>
        <v>0</v>
      </c>
      <c r="L2151" t="str">
        <f>"13,000"</f>
        <v>13,000</v>
      </c>
      <c r="M2151" t="str">
        <f t="shared" si="1368"/>
        <v xml:space="preserve"> </v>
      </c>
      <c r="N2151" t="str">
        <f>"CADIC"</f>
        <v>CADIC</v>
      </c>
      <c r="O2151" t="str">
        <f t="shared" si="1384"/>
        <v>CABLES</v>
      </c>
      <c r="P2151" t="str">
        <f t="shared" si="1393"/>
        <v>0</v>
      </c>
      <c r="Q2151" t="str">
        <f t="shared" si="1393"/>
        <v>0</v>
      </c>
      <c r="R2151" t="str">
        <f t="shared" si="1394"/>
        <v>0,00</v>
      </c>
      <c r="S2151" t="str">
        <f t="shared" si="1394"/>
        <v>0,00</v>
      </c>
      <c r="T2151" t="str">
        <f t="shared" si="1365"/>
        <v xml:space="preserve"> </v>
      </c>
      <c r="U2151" t="str">
        <f t="shared" si="1387"/>
        <v xml:space="preserve"> </v>
      </c>
      <c r="V2151" t="str">
        <f>"13,000"</f>
        <v>13,000</v>
      </c>
      <c r="W2151" t="str">
        <f t="shared" si="1369"/>
        <v>Lista 4</v>
      </c>
      <c r="X2151" t="str">
        <f t="shared" si="1370"/>
        <v>Lista 5</v>
      </c>
      <c r="Y2151" t="str">
        <f t="shared" si="1371"/>
        <v>Oferta Gral.</v>
      </c>
      <c r="Z2151" t="str">
        <f t="shared" si="1372"/>
        <v>Rubro</v>
      </c>
      <c r="AA2151" t="str">
        <f t="shared" si="1373"/>
        <v>Cantidad por Bulto</v>
      </c>
      <c r="AB2151" t="str">
        <f t="shared" si="1374"/>
        <v>INNER</v>
      </c>
      <c r="AC2151" t="str">
        <f t="shared" si="1375"/>
        <v>Stock en Bultos</v>
      </c>
      <c r="AD2151" t="str">
        <f t="shared" si="1376"/>
        <v>SubDepósito</v>
      </c>
      <c r="AE2151" t="str">
        <f t="shared" si="1377"/>
        <v>Marca</v>
      </c>
      <c r="AF2151" t="str">
        <f t="shared" si="1378"/>
        <v>Super Rubro</v>
      </c>
      <c r="AG2151" t="str">
        <f t="shared" si="1379"/>
        <v>ComercioExterior</v>
      </c>
      <c r="AH2151" t="str">
        <f t="shared" si="1380"/>
        <v>PrecioFOB</v>
      </c>
      <c r="AI2151" t="str">
        <f t="shared" si="1381"/>
        <v>Monto II</v>
      </c>
      <c r="AJ2151" t="str">
        <f t="shared" si="1382"/>
        <v>Porcentaje II</v>
      </c>
      <c r="AK2151" t="str">
        <f t="shared" si="1383"/>
        <v>Foto</v>
      </c>
      <c r="AL2151" t="str">
        <f>"{\rtf1\ansi\ansicpg1252\deff0\deflang11274{\fonttbl{\f0\fnil\fcharset0 MS Sans Serif}} \viewkind4\uc1\pard\f0\fs16 JGO. CABLES BUJ\'cdAS GOL/SENDA 1.6/1.8/2.0 CAP. CHAPA DESDE 87\par } "</f>
        <v xml:space="preserve">{\rtf1\ansi\ansicpg1252\deff0\deflang11274{\fonttbl{\f0\fnil\fcharset0 MS Sans Serif}} \viewkind4\uc1\pard\f0\fs16 JGO. CABLES BUJ\'cdAS GOL/SENDA 1.6/1.8/2.0 CAP. CHAPA DESDE 87\par } </v>
      </c>
      <c r="AM2151" t="str">
        <f>" "</f>
        <v xml:space="preserve"> </v>
      </c>
    </row>
    <row r="2152" spans="1:39" x14ac:dyDescent="0.25">
      <c r="A2152" t="str">
        <f>"06-33050"</f>
        <v>06-33050</v>
      </c>
      <c r="B2152" t="str">
        <f>"JGO. CABLES BUJÍAS IKA CONTINENTAL 4 CIL. JEEP"</f>
        <v>JGO. CABLES BUJÍAS IKA CONTINENTAL 4 CIL. JEEP</v>
      </c>
      <c r="C2152" t="str">
        <f>"$ 9022,40"</f>
        <v>$ 9022,40</v>
      </c>
      <c r="D2152" t="str">
        <f>"$ 9022,40"</f>
        <v>$ 9022,40</v>
      </c>
      <c r="E2152" t="str">
        <f>"$ 9022,40"</f>
        <v>$ 9022,40</v>
      </c>
      <c r="F2152" t="str">
        <f>"$ 9022,40"</f>
        <v>$ 9022,40</v>
      </c>
      <c r="G2152" t="str">
        <f>"$ 9022,40"</f>
        <v>$ 9022,40</v>
      </c>
      <c r="H2152" t="str">
        <f t="shared" si="1366"/>
        <v>$ 0,00</v>
      </c>
      <c r="I2152" t="str">
        <f>"CABLES BUJÍAS PVC ANTIPARASITARIOS"</f>
        <v>CABLES BUJÍAS PVC ANTIPARASITARIOS</v>
      </c>
      <c r="J2152" t="str">
        <f t="shared" si="1367"/>
        <v>1</v>
      </c>
      <c r="K2152" t="str">
        <f t="shared" si="1391"/>
        <v>0</v>
      </c>
      <c r="L2152" t="str">
        <f>"5,000"</f>
        <v>5,000</v>
      </c>
      <c r="M2152" t="str">
        <f t="shared" si="1368"/>
        <v xml:space="preserve"> </v>
      </c>
      <c r="N2152" t="str">
        <f t="shared" ref="N2152:N2170" si="1396">"FERRAZZI"</f>
        <v>FERRAZZI</v>
      </c>
      <c r="O2152" t="str">
        <f t="shared" si="1384"/>
        <v>CABLES</v>
      </c>
      <c r="P2152" t="str">
        <f t="shared" si="1393"/>
        <v>0</v>
      </c>
      <c r="Q2152" t="str">
        <f t="shared" si="1393"/>
        <v>0</v>
      </c>
      <c r="R2152" t="str">
        <f t="shared" si="1394"/>
        <v>0,00</v>
      </c>
      <c r="S2152" t="str">
        <f t="shared" si="1394"/>
        <v>0,00</v>
      </c>
      <c r="T2152" t="str">
        <f t="shared" si="1365"/>
        <v xml:space="preserve"> </v>
      </c>
      <c r="U2152" t="str">
        <f t="shared" si="1387"/>
        <v xml:space="preserve"> </v>
      </c>
      <c r="V2152" t="str">
        <f>"5,000"</f>
        <v>5,000</v>
      </c>
      <c r="W2152" t="str">
        <f t="shared" si="1369"/>
        <v>Lista 4</v>
      </c>
      <c r="X2152" t="str">
        <f t="shared" si="1370"/>
        <v>Lista 5</v>
      </c>
      <c r="Y2152" t="str">
        <f t="shared" si="1371"/>
        <v>Oferta Gral.</v>
      </c>
      <c r="Z2152" t="str">
        <f t="shared" si="1372"/>
        <v>Rubro</v>
      </c>
      <c r="AA2152" t="str">
        <f t="shared" si="1373"/>
        <v>Cantidad por Bulto</v>
      </c>
      <c r="AB2152" t="str">
        <f t="shared" si="1374"/>
        <v>INNER</v>
      </c>
      <c r="AC2152" t="str">
        <f t="shared" si="1375"/>
        <v>Stock en Bultos</v>
      </c>
      <c r="AD2152" t="str">
        <f t="shared" si="1376"/>
        <v>SubDepósito</v>
      </c>
      <c r="AE2152" t="str">
        <f t="shared" si="1377"/>
        <v>Marca</v>
      </c>
      <c r="AF2152" t="str">
        <f t="shared" si="1378"/>
        <v>Super Rubro</v>
      </c>
      <c r="AG2152" t="str">
        <f t="shared" si="1379"/>
        <v>ComercioExterior</v>
      </c>
      <c r="AH2152" t="str">
        <f t="shared" si="1380"/>
        <v>PrecioFOB</v>
      </c>
      <c r="AI2152" t="str">
        <f t="shared" si="1381"/>
        <v>Monto II</v>
      </c>
      <c r="AJ2152" t="str">
        <f t="shared" si="1382"/>
        <v>Porcentaje II</v>
      </c>
      <c r="AK2152" t="str">
        <f t="shared" si="1383"/>
        <v>Foto</v>
      </c>
      <c r="AL2152" t="str">
        <f>"{\rtf1\ansi\ansicpg1252\deff0\deflang11274{\fonttbl{\f0\fnil\fcharset0 MS Sans Serif}} \viewkind4\uc1\pard\f0\fs16 JGO. CABLES BUJ\'cdAS IKA CONTINENTAL 4 CIL. JEEP\par } "</f>
        <v xml:space="preserve">{\rtf1\ansi\ansicpg1252\deff0\deflang11274{\fonttbl{\f0\fnil\fcharset0 MS Sans Serif}} \viewkind4\uc1\pard\f0\fs16 JGO. CABLES BUJ\'cdAS IKA CONTINENTAL 4 CIL. JEEP\par } </v>
      </c>
      <c r="AM2152" t="str">
        <f t="shared" ref="AM2152:AM2161" si="1397">"-"</f>
        <v>-</v>
      </c>
    </row>
    <row r="2153" spans="1:39" x14ac:dyDescent="0.25">
      <c r="A2153" t="str">
        <f>"06-33052"</f>
        <v>06-33052</v>
      </c>
      <c r="B2153" t="str">
        <f>"JGO. CABLES BUJÍAS IKA CONTINENTAL 6 CIL."</f>
        <v>JGO. CABLES BUJÍAS IKA CONTINENTAL 6 CIL.</v>
      </c>
      <c r="C2153" t="str">
        <f>"$ 13096,87"</f>
        <v>$ 13096,87</v>
      </c>
      <c r="D2153" t="str">
        <f>"$ 13096,87"</f>
        <v>$ 13096,87</v>
      </c>
      <c r="E2153" t="str">
        <f>"$ 13096,87"</f>
        <v>$ 13096,87</v>
      </c>
      <c r="F2153" t="str">
        <f>"$ 13096,87"</f>
        <v>$ 13096,87</v>
      </c>
      <c r="G2153" t="str">
        <f>"$ 13096,87"</f>
        <v>$ 13096,87</v>
      </c>
      <c r="H2153" t="str">
        <f t="shared" si="1366"/>
        <v>$ 0,00</v>
      </c>
      <c r="I2153" t="str">
        <f>"CABLES BUJÍAS PVC ANTIPARASITARIOS"</f>
        <v>CABLES BUJÍAS PVC ANTIPARASITARIOS</v>
      </c>
      <c r="J2153" t="str">
        <f t="shared" si="1367"/>
        <v>1</v>
      </c>
      <c r="K2153" t="str">
        <f t="shared" si="1391"/>
        <v>0</v>
      </c>
      <c r="L2153" t="str">
        <f>"2,000"</f>
        <v>2,000</v>
      </c>
      <c r="M2153" t="str">
        <f t="shared" si="1368"/>
        <v xml:space="preserve"> </v>
      </c>
      <c r="N2153" t="str">
        <f t="shared" si="1396"/>
        <v>FERRAZZI</v>
      </c>
      <c r="O2153" t="str">
        <f t="shared" si="1384"/>
        <v>CABLES</v>
      </c>
      <c r="P2153" t="str">
        <f t="shared" si="1393"/>
        <v>0</v>
      </c>
      <c r="Q2153" t="str">
        <f t="shared" si="1393"/>
        <v>0</v>
      </c>
      <c r="R2153" t="str">
        <f t="shared" si="1394"/>
        <v>0,00</v>
      </c>
      <c r="S2153" t="str">
        <f t="shared" si="1394"/>
        <v>0,00</v>
      </c>
      <c r="T2153" t="str">
        <f t="shared" si="1365"/>
        <v xml:space="preserve"> </v>
      </c>
      <c r="U2153" t="str">
        <f t="shared" si="1387"/>
        <v xml:space="preserve"> </v>
      </c>
      <c r="V2153" t="str">
        <f>"2,000"</f>
        <v>2,000</v>
      </c>
      <c r="W2153" t="str">
        <f t="shared" si="1369"/>
        <v>Lista 4</v>
      </c>
      <c r="X2153" t="str">
        <f t="shared" si="1370"/>
        <v>Lista 5</v>
      </c>
      <c r="Y2153" t="str">
        <f t="shared" si="1371"/>
        <v>Oferta Gral.</v>
      </c>
      <c r="Z2153" t="str">
        <f t="shared" si="1372"/>
        <v>Rubro</v>
      </c>
      <c r="AA2153" t="str">
        <f t="shared" si="1373"/>
        <v>Cantidad por Bulto</v>
      </c>
      <c r="AB2153" t="str">
        <f t="shared" si="1374"/>
        <v>INNER</v>
      </c>
      <c r="AC2153" t="str">
        <f t="shared" si="1375"/>
        <v>Stock en Bultos</v>
      </c>
      <c r="AD2153" t="str">
        <f t="shared" si="1376"/>
        <v>SubDepósito</v>
      </c>
      <c r="AE2153" t="str">
        <f t="shared" si="1377"/>
        <v>Marca</v>
      </c>
      <c r="AF2153" t="str">
        <f t="shared" si="1378"/>
        <v>Super Rubro</v>
      </c>
      <c r="AG2153" t="str">
        <f t="shared" si="1379"/>
        <v>ComercioExterior</v>
      </c>
      <c r="AH2153" t="str">
        <f t="shared" si="1380"/>
        <v>PrecioFOB</v>
      </c>
      <c r="AI2153" t="str">
        <f t="shared" si="1381"/>
        <v>Monto II</v>
      </c>
      <c r="AJ2153" t="str">
        <f t="shared" si="1382"/>
        <v>Porcentaje II</v>
      </c>
      <c r="AK2153" t="str">
        <f t="shared" si="1383"/>
        <v>Foto</v>
      </c>
      <c r="AL2153" t="str">
        <f>"{\rtf1\ansi\ansicpg1252\deff0\deflang11274{\fonttbl{\f0\fnil\fcharset0 MS Sans Serif}} \viewkind4\uc1\pard\f0\fs16 JGO. CABLES BUJ\'cdAS IKA CONTINENTAL 6 CIL.\par } "</f>
        <v xml:space="preserve">{\rtf1\ansi\ansicpg1252\deff0\deflang11274{\fonttbl{\f0\fnil\fcharset0 MS Sans Serif}} \viewkind4\uc1\pard\f0\fs16 JGO. CABLES BUJ\'cdAS IKA CONTINENTAL 6 CIL.\par } </v>
      </c>
      <c r="AM2153" t="str">
        <f t="shared" si="1397"/>
        <v>-</v>
      </c>
    </row>
    <row r="2154" spans="1:39" x14ac:dyDescent="0.25">
      <c r="A2154" t="str">
        <f>"06-33026"</f>
        <v>06-33026</v>
      </c>
      <c r="B2154" t="str">
        <f>"JGO. CABLES BUJÍAS KANGOO  1.4"</f>
        <v>JGO. CABLES BUJÍAS KANGOO  1.4</v>
      </c>
      <c r="C2154" t="str">
        <f>"$ 10236,37"</f>
        <v>$ 10236,37</v>
      </c>
      <c r="D2154" t="str">
        <f>"$ 10236,37"</f>
        <v>$ 10236,37</v>
      </c>
      <c r="E2154" t="str">
        <f>"$ 10236,37"</f>
        <v>$ 10236,37</v>
      </c>
      <c r="F2154" t="str">
        <f>"$ 10236,37"</f>
        <v>$ 10236,37</v>
      </c>
      <c r="G2154" t="str">
        <f>"$ 10236,37"</f>
        <v>$ 10236,37</v>
      </c>
      <c r="H2154" t="str">
        <f t="shared" si="1366"/>
        <v>$ 0,00</v>
      </c>
      <c r="I2154" t="str">
        <f>"CABLES BUJÍAS PVC ANTIPARASITARIOS"</f>
        <v>CABLES BUJÍAS PVC ANTIPARASITARIOS</v>
      </c>
      <c r="J2154" t="str">
        <f t="shared" si="1367"/>
        <v>1</v>
      </c>
      <c r="K2154" t="str">
        <f t="shared" si="1391"/>
        <v>0</v>
      </c>
      <c r="L2154" t="str">
        <f>"0,000"</f>
        <v>0,000</v>
      </c>
      <c r="M2154" t="str">
        <f t="shared" si="1368"/>
        <v xml:space="preserve"> </v>
      </c>
      <c r="N2154" t="str">
        <f t="shared" si="1396"/>
        <v>FERRAZZI</v>
      </c>
      <c r="O2154" t="str">
        <f t="shared" ref="O2154:O2185" si="1398">"CABLES"</f>
        <v>CABLES</v>
      </c>
      <c r="P2154" t="str">
        <f t="shared" si="1393"/>
        <v>0</v>
      </c>
      <c r="Q2154" t="str">
        <f t="shared" si="1393"/>
        <v>0</v>
      </c>
      <c r="R2154" t="str">
        <f t="shared" si="1394"/>
        <v>0,00</v>
      </c>
      <c r="S2154" t="str">
        <f t="shared" si="1394"/>
        <v>0,00</v>
      </c>
      <c r="T2154" t="str">
        <f t="shared" si="1365"/>
        <v xml:space="preserve"> </v>
      </c>
      <c r="U2154" t="str">
        <f t="shared" si="1387"/>
        <v xml:space="preserve"> </v>
      </c>
      <c r="V2154" t="str">
        <f>"0,000"</f>
        <v>0,000</v>
      </c>
      <c r="W2154" t="str">
        <f t="shared" si="1369"/>
        <v>Lista 4</v>
      </c>
      <c r="X2154" t="str">
        <f t="shared" si="1370"/>
        <v>Lista 5</v>
      </c>
      <c r="Y2154" t="str">
        <f t="shared" si="1371"/>
        <v>Oferta Gral.</v>
      </c>
      <c r="Z2154" t="str">
        <f t="shared" si="1372"/>
        <v>Rubro</v>
      </c>
      <c r="AA2154" t="str">
        <f t="shared" si="1373"/>
        <v>Cantidad por Bulto</v>
      </c>
      <c r="AB2154" t="str">
        <f t="shared" si="1374"/>
        <v>INNER</v>
      </c>
      <c r="AC2154" t="str">
        <f t="shared" si="1375"/>
        <v>Stock en Bultos</v>
      </c>
      <c r="AD2154" t="str">
        <f t="shared" si="1376"/>
        <v>SubDepósito</v>
      </c>
      <c r="AE2154" t="str">
        <f t="shared" si="1377"/>
        <v>Marca</v>
      </c>
      <c r="AF2154" t="str">
        <f t="shared" si="1378"/>
        <v>Super Rubro</v>
      </c>
      <c r="AG2154" t="str">
        <f t="shared" si="1379"/>
        <v>ComercioExterior</v>
      </c>
      <c r="AH2154" t="str">
        <f t="shared" si="1380"/>
        <v>PrecioFOB</v>
      </c>
      <c r="AI2154" t="str">
        <f t="shared" si="1381"/>
        <v>Monto II</v>
      </c>
      <c r="AJ2154" t="str">
        <f t="shared" si="1382"/>
        <v>Porcentaje II</v>
      </c>
      <c r="AK2154" t="str">
        <f t="shared" si="1383"/>
        <v>Foto</v>
      </c>
      <c r="AL2154" t="str">
        <f>"{\rtf1\ansi\ansicpg1252\deff0\deflang11274{\fonttbl{\f0\fnil\fcharset0 MS Sans Serif}} \viewkind4\uc1\pard\f0\fs16 JGO. CABLES BUJ\'cdAS KANGOO  1.4\par } "</f>
        <v xml:space="preserve">{\rtf1\ansi\ansicpg1252\deff0\deflang11274{\fonttbl{\f0\fnil\fcharset0 MS Sans Serif}} \viewkind4\uc1\pard\f0\fs16 JGO. CABLES BUJ\'cdAS KANGOO  1.4\par } </v>
      </c>
      <c r="AM2154" t="str">
        <f t="shared" si="1397"/>
        <v>-</v>
      </c>
    </row>
    <row r="2155" spans="1:39" x14ac:dyDescent="0.25">
      <c r="A2155" t="str">
        <f>"06-33032"</f>
        <v>06-33032</v>
      </c>
      <c r="B2155" t="str">
        <f>"JGO. CABLES BUJÍAS LAGUNA 2.0I 8V 4 CILINDROS"</f>
        <v>JGO. CABLES BUJÍAS LAGUNA 2.0I 8V 4 CILINDROS</v>
      </c>
      <c r="C2155" t="str">
        <f>"$ 15020,94"</f>
        <v>$ 15020,94</v>
      </c>
      <c r="D2155" t="str">
        <f>"$ 15020,94"</f>
        <v>$ 15020,94</v>
      </c>
      <c r="E2155" t="str">
        <f>"$ 15020,94"</f>
        <v>$ 15020,94</v>
      </c>
      <c r="F2155" t="str">
        <f>"$ 15020,94"</f>
        <v>$ 15020,94</v>
      </c>
      <c r="G2155" t="str">
        <f>"$ 15020,94"</f>
        <v>$ 15020,94</v>
      </c>
      <c r="H2155" t="str">
        <f t="shared" si="1366"/>
        <v>$ 0,00</v>
      </c>
      <c r="I2155" t="str">
        <f>"CABLES BUJÍAS PVC ANTIPARASITARIOS"</f>
        <v>CABLES BUJÍAS PVC ANTIPARASITARIOS</v>
      </c>
      <c r="J2155" t="str">
        <f t="shared" si="1367"/>
        <v>1</v>
      </c>
      <c r="K2155" t="str">
        <f t="shared" si="1391"/>
        <v>0</v>
      </c>
      <c r="L2155" t="str">
        <f>"0,000"</f>
        <v>0,000</v>
      </c>
      <c r="M2155" t="str">
        <f t="shared" si="1368"/>
        <v xml:space="preserve"> </v>
      </c>
      <c r="N2155" t="str">
        <f t="shared" si="1396"/>
        <v>FERRAZZI</v>
      </c>
      <c r="O2155" t="str">
        <f t="shared" si="1398"/>
        <v>CABLES</v>
      </c>
      <c r="P2155" t="str">
        <f t="shared" si="1393"/>
        <v>0</v>
      </c>
      <c r="Q2155" t="str">
        <f t="shared" si="1393"/>
        <v>0</v>
      </c>
      <c r="R2155" t="str">
        <f t="shared" si="1394"/>
        <v>0,00</v>
      </c>
      <c r="S2155" t="str">
        <f t="shared" si="1394"/>
        <v>0,00</v>
      </c>
      <c r="T2155" t="str">
        <f t="shared" si="1365"/>
        <v xml:space="preserve"> </v>
      </c>
      <c r="U2155" t="str">
        <f t="shared" si="1387"/>
        <v xml:space="preserve"> </v>
      </c>
      <c r="V2155" t="str">
        <f>"0,000"</f>
        <v>0,000</v>
      </c>
      <c r="W2155" t="str">
        <f t="shared" si="1369"/>
        <v>Lista 4</v>
      </c>
      <c r="X2155" t="str">
        <f t="shared" si="1370"/>
        <v>Lista 5</v>
      </c>
      <c r="Y2155" t="str">
        <f t="shared" si="1371"/>
        <v>Oferta Gral.</v>
      </c>
      <c r="Z2155" t="str">
        <f t="shared" si="1372"/>
        <v>Rubro</v>
      </c>
      <c r="AA2155" t="str">
        <f t="shared" si="1373"/>
        <v>Cantidad por Bulto</v>
      </c>
      <c r="AB2155" t="str">
        <f t="shared" si="1374"/>
        <v>INNER</v>
      </c>
      <c r="AC2155" t="str">
        <f t="shared" si="1375"/>
        <v>Stock en Bultos</v>
      </c>
      <c r="AD2155" t="str">
        <f t="shared" si="1376"/>
        <v>SubDepósito</v>
      </c>
      <c r="AE2155" t="str">
        <f t="shared" si="1377"/>
        <v>Marca</v>
      </c>
      <c r="AF2155" t="str">
        <f t="shared" si="1378"/>
        <v>Super Rubro</v>
      </c>
      <c r="AG2155" t="str">
        <f t="shared" si="1379"/>
        <v>ComercioExterior</v>
      </c>
      <c r="AH2155" t="str">
        <f t="shared" si="1380"/>
        <v>PrecioFOB</v>
      </c>
      <c r="AI2155" t="str">
        <f t="shared" si="1381"/>
        <v>Monto II</v>
      </c>
      <c r="AJ2155" t="str">
        <f t="shared" si="1382"/>
        <v>Porcentaje II</v>
      </c>
      <c r="AK2155" t="str">
        <f t="shared" si="1383"/>
        <v>Foto</v>
      </c>
      <c r="AL2155" t="str">
        <f>"{\rtf1\ansi\ansicpg1252\deff0\deflang11274{\fonttbl{\f0\fnil\fcharset0 MS Sans Serif}} \viewkind4\uc1\pard\f0\fs16 JGO. CABLES BUJ\'cdAS LAGUNA 2.0I 8V 4 CILINDROS\par } "</f>
        <v xml:space="preserve">{\rtf1\ansi\ansicpg1252\deff0\deflang11274{\fonttbl{\f0\fnil\fcharset0 MS Sans Serif}} \viewkind4\uc1\pard\f0\fs16 JGO. CABLES BUJ\'cdAS LAGUNA 2.0I 8V 4 CILINDROS\par } </v>
      </c>
      <c r="AM2155" t="str">
        <f t="shared" si="1397"/>
        <v>-</v>
      </c>
    </row>
    <row r="2156" spans="1:39" x14ac:dyDescent="0.25">
      <c r="A2156" t="str">
        <f>"06-33028"</f>
        <v>06-33028</v>
      </c>
      <c r="B2156" t="str">
        <f>"JGO. CABLES BUJÍAS MEGANE/KANGOO/CLIO  2   1.6 8V"</f>
        <v>JGO. CABLES BUJÍAS MEGANE/KANGOO/CLIO  2   1.6 8V</v>
      </c>
      <c r="C2156" t="str">
        <f>"$ 15033,40"</f>
        <v>$ 15033,40</v>
      </c>
      <c r="D2156" t="str">
        <f>"$ 15033,40"</f>
        <v>$ 15033,40</v>
      </c>
      <c r="E2156" t="str">
        <f>"$ 15033,40"</f>
        <v>$ 15033,40</v>
      </c>
      <c r="F2156" t="str">
        <f>"$ 15033,40"</f>
        <v>$ 15033,40</v>
      </c>
      <c r="G2156" t="str">
        <f>"$ 15033,40"</f>
        <v>$ 15033,40</v>
      </c>
      <c r="H2156" t="str">
        <f t="shared" si="1366"/>
        <v>$ 0,00</v>
      </c>
      <c r="I2156" t="str">
        <f>"CABLES BUJÍAS PVC ANTIPARASITARIOS"</f>
        <v>CABLES BUJÍAS PVC ANTIPARASITARIOS</v>
      </c>
      <c r="J2156" t="str">
        <f t="shared" si="1367"/>
        <v>1</v>
      </c>
      <c r="K2156" t="str">
        <f t="shared" si="1391"/>
        <v>0</v>
      </c>
      <c r="L2156" t="str">
        <f>"6,000"</f>
        <v>6,000</v>
      </c>
      <c r="M2156" t="str">
        <f t="shared" si="1368"/>
        <v xml:space="preserve"> </v>
      </c>
      <c r="N2156" t="str">
        <f t="shared" si="1396"/>
        <v>FERRAZZI</v>
      </c>
      <c r="O2156" t="str">
        <f t="shared" si="1398"/>
        <v>CABLES</v>
      </c>
      <c r="P2156" t="str">
        <f t="shared" si="1393"/>
        <v>0</v>
      </c>
      <c r="Q2156" t="str">
        <f t="shared" si="1393"/>
        <v>0</v>
      </c>
      <c r="R2156" t="str">
        <f t="shared" si="1394"/>
        <v>0,00</v>
      </c>
      <c r="S2156" t="str">
        <f t="shared" si="1394"/>
        <v>0,00</v>
      </c>
      <c r="T2156" t="str">
        <f t="shared" si="1365"/>
        <v xml:space="preserve"> </v>
      </c>
      <c r="U2156" t="str">
        <f t="shared" si="1387"/>
        <v xml:space="preserve"> </v>
      </c>
      <c r="V2156" t="str">
        <f>"6,000"</f>
        <v>6,000</v>
      </c>
      <c r="W2156" t="str">
        <f t="shared" si="1369"/>
        <v>Lista 4</v>
      </c>
      <c r="X2156" t="str">
        <f t="shared" si="1370"/>
        <v>Lista 5</v>
      </c>
      <c r="Y2156" t="str">
        <f t="shared" si="1371"/>
        <v>Oferta Gral.</v>
      </c>
      <c r="Z2156" t="str">
        <f t="shared" si="1372"/>
        <v>Rubro</v>
      </c>
      <c r="AA2156" t="str">
        <f t="shared" si="1373"/>
        <v>Cantidad por Bulto</v>
      </c>
      <c r="AB2156" t="str">
        <f t="shared" si="1374"/>
        <v>INNER</v>
      </c>
      <c r="AC2156" t="str">
        <f t="shared" si="1375"/>
        <v>Stock en Bultos</v>
      </c>
      <c r="AD2156" t="str">
        <f t="shared" si="1376"/>
        <v>SubDepósito</v>
      </c>
      <c r="AE2156" t="str">
        <f t="shared" si="1377"/>
        <v>Marca</v>
      </c>
      <c r="AF2156" t="str">
        <f t="shared" si="1378"/>
        <v>Super Rubro</v>
      </c>
      <c r="AG2156" t="str">
        <f t="shared" si="1379"/>
        <v>ComercioExterior</v>
      </c>
      <c r="AH2156" t="str">
        <f t="shared" si="1380"/>
        <v>PrecioFOB</v>
      </c>
      <c r="AI2156" t="str">
        <f t="shared" si="1381"/>
        <v>Monto II</v>
      </c>
      <c r="AJ2156" t="str">
        <f t="shared" si="1382"/>
        <v>Porcentaje II</v>
      </c>
      <c r="AK2156" t="str">
        <f t="shared" si="1383"/>
        <v>Foto</v>
      </c>
      <c r="AL2156" t="str">
        <f>"{\rtf1\ansi\ansicpg1252\deff0\deflang11274{\fonttbl{\f0\fnil\fcharset0 MS Sans Serif}} \viewkind4\uc1\pard\f0\fs16 JGO. CABLES BUJ\'cdAS MEGANE/KANGOO/CLIO  2   1.6 8V\par } "</f>
        <v xml:space="preserve">{\rtf1\ansi\ansicpg1252\deff0\deflang11274{\fonttbl{\f0\fnil\fcharset0 MS Sans Serif}} \viewkind4\uc1\pard\f0\fs16 JGO. CABLES BUJ\'cdAS MEGANE/KANGOO/CLIO  2   1.6 8V\par } </v>
      </c>
      <c r="AM2156" t="str">
        <f t="shared" si="1397"/>
        <v>-</v>
      </c>
    </row>
    <row r="2157" spans="1:39" x14ac:dyDescent="0.25">
      <c r="A2157" t="str">
        <f>"04-01780"</f>
        <v>04-01780</v>
      </c>
      <c r="B2157" t="str">
        <f>"JGO. CABLES BUJÍAS MONDEO 1.8 - 2.0 16V SILICONA"</f>
        <v>JGO. CABLES BUJÍAS MONDEO 1.8 - 2.0 16V SILICONA</v>
      </c>
      <c r="C2157" t="str">
        <f>"$ 22852,08"</f>
        <v>$ 22852,08</v>
      </c>
      <c r="D2157" t="str">
        <f>"$ 22852,08"</f>
        <v>$ 22852,08</v>
      </c>
      <c r="E2157" t="str">
        <f>"$ 22852,08"</f>
        <v>$ 22852,08</v>
      </c>
      <c r="F2157" t="str">
        <f>"$ 22852,08"</f>
        <v>$ 22852,08</v>
      </c>
      <c r="G2157" t="str">
        <f>"$ 22852,08"</f>
        <v>$ 22852,08</v>
      </c>
      <c r="H2157" t="str">
        <f t="shared" si="1366"/>
        <v>$ 0,00</v>
      </c>
      <c r="I2157" t="str">
        <f>"CABLES BUJÍAS SILICONA ANTIPARASITARIOS"</f>
        <v>CABLES BUJÍAS SILICONA ANTIPARASITARIOS</v>
      </c>
      <c r="J2157" t="str">
        <f t="shared" si="1367"/>
        <v>1</v>
      </c>
      <c r="K2157" t="str">
        <f t="shared" si="1391"/>
        <v>0</v>
      </c>
      <c r="L2157" t="str">
        <f>"20,000"</f>
        <v>20,000</v>
      </c>
      <c r="M2157" t="str">
        <f t="shared" si="1368"/>
        <v xml:space="preserve"> </v>
      </c>
      <c r="N2157" t="str">
        <f t="shared" si="1396"/>
        <v>FERRAZZI</v>
      </c>
      <c r="O2157" t="str">
        <f t="shared" si="1398"/>
        <v>CABLES</v>
      </c>
      <c r="P2157" t="str">
        <f t="shared" si="1393"/>
        <v>0</v>
      </c>
      <c r="Q2157" t="str">
        <f t="shared" si="1393"/>
        <v>0</v>
      </c>
      <c r="R2157" t="str">
        <f t="shared" si="1394"/>
        <v>0,00</v>
      </c>
      <c r="S2157" t="str">
        <f t="shared" si="1394"/>
        <v>0,00</v>
      </c>
      <c r="T2157" t="str">
        <f t="shared" si="1365"/>
        <v xml:space="preserve"> </v>
      </c>
      <c r="U2157" t="str">
        <f t="shared" si="1387"/>
        <v xml:space="preserve"> </v>
      </c>
      <c r="V2157" t="str">
        <f>"20,000"</f>
        <v>20,000</v>
      </c>
      <c r="W2157" t="str">
        <f t="shared" si="1369"/>
        <v>Lista 4</v>
      </c>
      <c r="X2157" t="str">
        <f t="shared" si="1370"/>
        <v>Lista 5</v>
      </c>
      <c r="Y2157" t="str">
        <f t="shared" si="1371"/>
        <v>Oferta Gral.</v>
      </c>
      <c r="Z2157" t="str">
        <f t="shared" si="1372"/>
        <v>Rubro</v>
      </c>
      <c r="AA2157" t="str">
        <f t="shared" si="1373"/>
        <v>Cantidad por Bulto</v>
      </c>
      <c r="AB2157" t="str">
        <f t="shared" si="1374"/>
        <v>INNER</v>
      </c>
      <c r="AC2157" t="str">
        <f t="shared" si="1375"/>
        <v>Stock en Bultos</v>
      </c>
      <c r="AD2157" t="str">
        <f t="shared" si="1376"/>
        <v>SubDepósito</v>
      </c>
      <c r="AE2157" t="str">
        <f t="shared" si="1377"/>
        <v>Marca</v>
      </c>
      <c r="AF2157" t="str">
        <f t="shared" si="1378"/>
        <v>Super Rubro</v>
      </c>
      <c r="AG2157" t="str">
        <f t="shared" si="1379"/>
        <v>ComercioExterior</v>
      </c>
      <c r="AH2157" t="str">
        <f t="shared" si="1380"/>
        <v>PrecioFOB</v>
      </c>
      <c r="AI2157" t="str">
        <f t="shared" si="1381"/>
        <v>Monto II</v>
      </c>
      <c r="AJ2157" t="str">
        <f t="shared" si="1382"/>
        <v>Porcentaje II</v>
      </c>
      <c r="AK2157" t="str">
        <f t="shared" si="1383"/>
        <v>Foto</v>
      </c>
      <c r="AL2157" t="str">
        <f>"{\rtf1\ansi\ansicpg1252\deff0\deflang11274{\fonttbl{\f0\fnil\fcharset0 MS Sans Serif}} \viewkind4\uc1\pard\f0\fs16 JGO. CABLES BUJ\'cdAS MONDEO 1.8 - 2.0 16V SILICONA\par } "</f>
        <v xml:space="preserve">{\rtf1\ansi\ansicpg1252\deff0\deflang11274{\fonttbl{\f0\fnil\fcharset0 MS Sans Serif}} \viewkind4\uc1\pard\f0\fs16 JGO. CABLES BUJ\'cdAS MONDEO 1.8 - 2.0 16V SILICONA\par } </v>
      </c>
      <c r="AM2157" t="str">
        <f t="shared" si="1397"/>
        <v>-</v>
      </c>
    </row>
    <row r="2158" spans="1:39" x14ac:dyDescent="0.25">
      <c r="A2158" t="str">
        <f>"04-33086"</f>
        <v>04-33086</v>
      </c>
      <c r="B2158" t="str">
        <f>"JGO. CABLES BUJÍAS ORION 1.6-1.8-2.0 GL"</f>
        <v>JGO. CABLES BUJÍAS ORION 1.6-1.8-2.0 GL</v>
      </c>
      <c r="C2158" t="str">
        <f>"$ 18022,38"</f>
        <v>$ 18022,38</v>
      </c>
      <c r="D2158" t="str">
        <f>"$ 18022,38"</f>
        <v>$ 18022,38</v>
      </c>
      <c r="E2158" t="str">
        <f>"$ 18022,38"</f>
        <v>$ 18022,38</v>
      </c>
      <c r="F2158" t="str">
        <f>"$ 18022,38"</f>
        <v>$ 18022,38</v>
      </c>
      <c r="G2158" t="str">
        <f>"$ 18022,38"</f>
        <v>$ 18022,38</v>
      </c>
      <c r="H2158" t="str">
        <f t="shared" si="1366"/>
        <v>$ 0,00</v>
      </c>
      <c r="I2158" t="str">
        <f>"CABLES BUJÍAS PVC ANTIPARASITARIOS"</f>
        <v>CABLES BUJÍAS PVC ANTIPARASITARIOS</v>
      </c>
      <c r="J2158" t="str">
        <f t="shared" si="1367"/>
        <v>1</v>
      </c>
      <c r="K2158" t="str">
        <f t="shared" si="1391"/>
        <v>0</v>
      </c>
      <c r="L2158" t="str">
        <f>"34,000"</f>
        <v>34,000</v>
      </c>
      <c r="M2158" t="str">
        <f t="shared" si="1368"/>
        <v xml:space="preserve"> </v>
      </c>
      <c r="N2158" t="str">
        <f t="shared" si="1396"/>
        <v>FERRAZZI</v>
      </c>
      <c r="O2158" t="str">
        <f t="shared" si="1398"/>
        <v>CABLES</v>
      </c>
      <c r="P2158" t="str">
        <f t="shared" si="1393"/>
        <v>0</v>
      </c>
      <c r="Q2158" t="str">
        <f t="shared" si="1393"/>
        <v>0</v>
      </c>
      <c r="R2158" t="str">
        <f t="shared" si="1394"/>
        <v>0,00</v>
      </c>
      <c r="S2158" t="str">
        <f t="shared" si="1394"/>
        <v>0,00</v>
      </c>
      <c r="T2158" t="str">
        <f t="shared" si="1365"/>
        <v xml:space="preserve"> </v>
      </c>
      <c r="U2158" t="str">
        <f t="shared" si="1387"/>
        <v xml:space="preserve"> </v>
      </c>
      <c r="V2158" t="str">
        <f>"34,000"</f>
        <v>34,000</v>
      </c>
      <c r="W2158" t="str">
        <f t="shared" si="1369"/>
        <v>Lista 4</v>
      </c>
      <c r="X2158" t="str">
        <f t="shared" si="1370"/>
        <v>Lista 5</v>
      </c>
      <c r="Y2158" t="str">
        <f t="shared" si="1371"/>
        <v>Oferta Gral.</v>
      </c>
      <c r="Z2158" t="str">
        <f t="shared" si="1372"/>
        <v>Rubro</v>
      </c>
      <c r="AA2158" t="str">
        <f t="shared" si="1373"/>
        <v>Cantidad por Bulto</v>
      </c>
      <c r="AB2158" t="str">
        <f t="shared" si="1374"/>
        <v>INNER</v>
      </c>
      <c r="AC2158" t="str">
        <f t="shared" si="1375"/>
        <v>Stock en Bultos</v>
      </c>
      <c r="AD2158" t="str">
        <f t="shared" si="1376"/>
        <v>SubDepósito</v>
      </c>
      <c r="AE2158" t="str">
        <f t="shared" si="1377"/>
        <v>Marca</v>
      </c>
      <c r="AF2158" t="str">
        <f t="shared" si="1378"/>
        <v>Super Rubro</v>
      </c>
      <c r="AG2158" t="str">
        <f t="shared" si="1379"/>
        <v>ComercioExterior</v>
      </c>
      <c r="AH2158" t="str">
        <f t="shared" si="1380"/>
        <v>PrecioFOB</v>
      </c>
      <c r="AI2158" t="str">
        <f t="shared" si="1381"/>
        <v>Monto II</v>
      </c>
      <c r="AJ2158" t="str">
        <f t="shared" si="1382"/>
        <v>Porcentaje II</v>
      </c>
      <c r="AK2158" t="str">
        <f t="shared" si="1383"/>
        <v>Foto</v>
      </c>
      <c r="AL2158" t="str">
        <f>"{\rtf1\ansi\ansicpg1252\deff0\deflang11274{\fonttbl{\f0\fnil\fcharset0 MS Sans Serif}} \viewkind4\uc1\pard\f0\fs16 JGO. CABLES BUJ\'cdAS ORION 1.6-1.8-2.0 GL\par } "</f>
        <v xml:space="preserve">{\rtf1\ansi\ansicpg1252\deff0\deflang11274{\fonttbl{\f0\fnil\fcharset0 MS Sans Serif}} \viewkind4\uc1\pard\f0\fs16 JGO. CABLES BUJ\'cdAS ORION 1.6-1.8-2.0 GL\par } </v>
      </c>
      <c r="AM2158" t="str">
        <f t="shared" si="1397"/>
        <v>-</v>
      </c>
    </row>
    <row r="2159" spans="1:39" x14ac:dyDescent="0.25">
      <c r="A2159" t="str">
        <f>"05-01763"</f>
        <v>05-01763</v>
      </c>
      <c r="B2159" t="str">
        <f>"JGO. CABLES BUJÍAS PALIO - UNO - 1.3 - MOTOR FIRE   8 V. SILICONA"</f>
        <v>JGO. CABLES BUJÍAS PALIO - UNO - 1.3 - MOTOR FIRE   8 V. SILICONA</v>
      </c>
      <c r="C2159" t="str">
        <f>"$ 13379,44"</f>
        <v>$ 13379,44</v>
      </c>
      <c r="D2159" t="str">
        <f>"$ 13379,44"</f>
        <v>$ 13379,44</v>
      </c>
      <c r="E2159" t="str">
        <f>"$ 13379,44"</f>
        <v>$ 13379,44</v>
      </c>
      <c r="F2159" t="str">
        <f>"$ 13379,44"</f>
        <v>$ 13379,44</v>
      </c>
      <c r="G2159" t="str">
        <f>"$ 13379,44"</f>
        <v>$ 13379,44</v>
      </c>
      <c r="H2159" t="str">
        <f t="shared" si="1366"/>
        <v>$ 0,00</v>
      </c>
      <c r="I2159" t="str">
        <f>"CABLES BUJÍAS SILICONA ANTIPARASITARIOS"</f>
        <v>CABLES BUJÍAS SILICONA ANTIPARASITARIOS</v>
      </c>
      <c r="J2159" t="str">
        <f t="shared" si="1367"/>
        <v>1</v>
      </c>
      <c r="K2159" t="str">
        <f t="shared" si="1391"/>
        <v>0</v>
      </c>
      <c r="L2159" t="str">
        <f>"9,000"</f>
        <v>9,000</v>
      </c>
      <c r="M2159" t="str">
        <f t="shared" si="1368"/>
        <v xml:space="preserve"> </v>
      </c>
      <c r="N2159" t="str">
        <f t="shared" si="1396"/>
        <v>FERRAZZI</v>
      </c>
      <c r="O2159" t="str">
        <f t="shared" si="1398"/>
        <v>CABLES</v>
      </c>
      <c r="P2159" t="str">
        <f t="shared" si="1393"/>
        <v>0</v>
      </c>
      <c r="Q2159" t="str">
        <f t="shared" si="1393"/>
        <v>0</v>
      </c>
      <c r="R2159" t="str">
        <f t="shared" si="1394"/>
        <v>0,00</v>
      </c>
      <c r="S2159" t="str">
        <f t="shared" si="1394"/>
        <v>0,00</v>
      </c>
      <c r="T2159" t="str">
        <f t="shared" si="1365"/>
        <v xml:space="preserve"> </v>
      </c>
      <c r="U2159" t="str">
        <f t="shared" si="1387"/>
        <v xml:space="preserve"> </v>
      </c>
      <c r="V2159" t="str">
        <f>"9,000"</f>
        <v>9,000</v>
      </c>
      <c r="W2159" t="str">
        <f t="shared" si="1369"/>
        <v>Lista 4</v>
      </c>
      <c r="X2159" t="str">
        <f t="shared" si="1370"/>
        <v>Lista 5</v>
      </c>
      <c r="Y2159" t="str">
        <f t="shared" si="1371"/>
        <v>Oferta Gral.</v>
      </c>
      <c r="Z2159" t="str">
        <f t="shared" si="1372"/>
        <v>Rubro</v>
      </c>
      <c r="AA2159" t="str">
        <f t="shared" si="1373"/>
        <v>Cantidad por Bulto</v>
      </c>
      <c r="AB2159" t="str">
        <f t="shared" si="1374"/>
        <v>INNER</v>
      </c>
      <c r="AC2159" t="str">
        <f t="shared" si="1375"/>
        <v>Stock en Bultos</v>
      </c>
      <c r="AD2159" t="str">
        <f t="shared" si="1376"/>
        <v>SubDepósito</v>
      </c>
      <c r="AE2159" t="str">
        <f t="shared" si="1377"/>
        <v>Marca</v>
      </c>
      <c r="AF2159" t="str">
        <f t="shared" si="1378"/>
        <v>Super Rubro</v>
      </c>
      <c r="AG2159" t="str">
        <f t="shared" si="1379"/>
        <v>ComercioExterior</v>
      </c>
      <c r="AH2159" t="str">
        <f t="shared" si="1380"/>
        <v>PrecioFOB</v>
      </c>
      <c r="AI2159" t="str">
        <f t="shared" si="1381"/>
        <v>Monto II</v>
      </c>
      <c r="AJ2159" t="str">
        <f t="shared" si="1382"/>
        <v>Porcentaje II</v>
      </c>
      <c r="AK2159" t="str">
        <f t="shared" si="1383"/>
        <v>Foto</v>
      </c>
      <c r="AL2159" t="str">
        <f>"{\rtf1\ansi\ansicpg1252\deff0\deflang11274{\fonttbl{\f0\fnil\fcharset0 MS Sans Serif}} \viewkind4\uc1\pard\f0\fs16 JGO. CABLES BUJ\'cdAS PALIO - UNO - 1.3 - MOTOR FIRE   8 V. SILICONA\par } "</f>
        <v xml:space="preserve">{\rtf1\ansi\ansicpg1252\deff0\deflang11274{\fonttbl{\f0\fnil\fcharset0 MS Sans Serif}} \viewkind4\uc1\pard\f0\fs16 JGO. CABLES BUJ\'cdAS PALIO - UNO - 1.3 - MOTOR FIRE   8 V. SILICONA\par } </v>
      </c>
      <c r="AM2159" t="str">
        <f t="shared" si="1397"/>
        <v>-</v>
      </c>
    </row>
    <row r="2160" spans="1:39" x14ac:dyDescent="0.25">
      <c r="A2160" t="str">
        <f>"05-01751"</f>
        <v>05-01751</v>
      </c>
      <c r="B2160" t="str">
        <f>"JGO. CABLES BUJÍAS PALIO HL - SIENA HL - MAREA SX 16V SILICONA"</f>
        <v>JGO. CABLES BUJÍAS PALIO HL - SIENA HL - MAREA SX 16V SILICONA</v>
      </c>
      <c r="C2160" t="str">
        <f>"$ 48479,82"</f>
        <v>$ 48479,82</v>
      </c>
      <c r="D2160" t="str">
        <f>"$ 48479,82"</f>
        <v>$ 48479,82</v>
      </c>
      <c r="E2160" t="str">
        <f>"$ 48479,82"</f>
        <v>$ 48479,82</v>
      </c>
      <c r="F2160" t="str">
        <f>"$ 48479,82"</f>
        <v>$ 48479,82</v>
      </c>
      <c r="G2160" t="str">
        <f>"$ 48479,82"</f>
        <v>$ 48479,82</v>
      </c>
      <c r="H2160" t="str">
        <f t="shared" si="1366"/>
        <v>$ 0,00</v>
      </c>
      <c r="I2160" t="str">
        <f>"CABLES BUJÍAS SILICONA ANTIPARASITARIOS"</f>
        <v>CABLES BUJÍAS SILICONA ANTIPARASITARIOS</v>
      </c>
      <c r="J2160" t="str">
        <f t="shared" si="1367"/>
        <v>1</v>
      </c>
      <c r="K2160" t="str">
        <f t="shared" si="1391"/>
        <v>0</v>
      </c>
      <c r="L2160" t="str">
        <f>"15,000"</f>
        <v>15,000</v>
      </c>
      <c r="M2160" t="str">
        <f t="shared" si="1368"/>
        <v xml:space="preserve"> </v>
      </c>
      <c r="N2160" t="str">
        <f t="shared" si="1396"/>
        <v>FERRAZZI</v>
      </c>
      <c r="O2160" t="str">
        <f t="shared" si="1398"/>
        <v>CABLES</v>
      </c>
      <c r="P2160" t="str">
        <f t="shared" si="1393"/>
        <v>0</v>
      </c>
      <c r="Q2160" t="str">
        <f t="shared" si="1393"/>
        <v>0</v>
      </c>
      <c r="R2160" t="str">
        <f t="shared" si="1394"/>
        <v>0,00</v>
      </c>
      <c r="S2160" t="str">
        <f t="shared" si="1394"/>
        <v>0,00</v>
      </c>
      <c r="T2160" t="str">
        <f t="shared" si="1365"/>
        <v xml:space="preserve"> </v>
      </c>
      <c r="U2160" t="str">
        <f t="shared" si="1387"/>
        <v xml:space="preserve"> </v>
      </c>
      <c r="V2160" t="str">
        <f>"15,000"</f>
        <v>15,000</v>
      </c>
      <c r="W2160" t="str">
        <f t="shared" si="1369"/>
        <v>Lista 4</v>
      </c>
      <c r="X2160" t="str">
        <f t="shared" si="1370"/>
        <v>Lista 5</v>
      </c>
      <c r="Y2160" t="str">
        <f t="shared" si="1371"/>
        <v>Oferta Gral.</v>
      </c>
      <c r="Z2160" t="str">
        <f t="shared" si="1372"/>
        <v>Rubro</v>
      </c>
      <c r="AA2160" t="str">
        <f t="shared" si="1373"/>
        <v>Cantidad por Bulto</v>
      </c>
      <c r="AB2160" t="str">
        <f t="shared" si="1374"/>
        <v>INNER</v>
      </c>
      <c r="AC2160" t="str">
        <f t="shared" si="1375"/>
        <v>Stock en Bultos</v>
      </c>
      <c r="AD2160" t="str">
        <f t="shared" si="1376"/>
        <v>SubDepósito</v>
      </c>
      <c r="AE2160" t="str">
        <f t="shared" si="1377"/>
        <v>Marca</v>
      </c>
      <c r="AF2160" t="str">
        <f t="shared" si="1378"/>
        <v>Super Rubro</v>
      </c>
      <c r="AG2160" t="str">
        <f t="shared" si="1379"/>
        <v>ComercioExterior</v>
      </c>
      <c r="AH2160" t="str">
        <f t="shared" si="1380"/>
        <v>PrecioFOB</v>
      </c>
      <c r="AI2160" t="str">
        <f t="shared" si="1381"/>
        <v>Monto II</v>
      </c>
      <c r="AJ2160" t="str">
        <f t="shared" si="1382"/>
        <v>Porcentaje II</v>
      </c>
      <c r="AK2160" t="str">
        <f t="shared" si="1383"/>
        <v>Foto</v>
      </c>
      <c r="AL2160" t="str">
        <f>"{\rtf1\ansi\ansicpg1252\deff0\deflang11274{\fonttbl{\f0\fnil\fcharset0 MS Sans Serif}} \viewkind4\uc1\pard\f0\fs16 JGO. CABLES BUJ\'cdAS PALIO HL - SIENA HL - MAREA SX 16V SILICONA\par } "</f>
        <v xml:space="preserve">{\rtf1\ansi\ansicpg1252\deff0\deflang11274{\fonttbl{\f0\fnil\fcharset0 MS Sans Serif}} \viewkind4\uc1\pard\f0\fs16 JGO. CABLES BUJ\'cdAS PALIO HL - SIENA HL - MAREA SX 16V SILICONA\par } </v>
      </c>
      <c r="AM2160" t="str">
        <f t="shared" si="1397"/>
        <v>-</v>
      </c>
    </row>
    <row r="2161" spans="1:39" x14ac:dyDescent="0.25">
      <c r="A2161" t="str">
        <f>"05-01766"</f>
        <v>05-01766</v>
      </c>
      <c r="B2161" t="str">
        <f>"JGO. CABLES BUJÍAS PALIO SIENA UNO 1.3 8V. 1 BOBINA SILICONA"</f>
        <v>JGO. CABLES BUJÍAS PALIO SIENA UNO 1.3 8V. 1 BOBINA SILICONA</v>
      </c>
      <c r="C2161" t="str">
        <f>"$ 19137,98"</f>
        <v>$ 19137,98</v>
      </c>
      <c r="D2161" t="str">
        <f>"$ 19137,98"</f>
        <v>$ 19137,98</v>
      </c>
      <c r="E2161" t="str">
        <f>"$ 19137,98"</f>
        <v>$ 19137,98</v>
      </c>
      <c r="F2161" t="str">
        <f>"$ 19137,98"</f>
        <v>$ 19137,98</v>
      </c>
      <c r="G2161" t="str">
        <f>"$ 19137,98"</f>
        <v>$ 19137,98</v>
      </c>
      <c r="H2161" t="str">
        <f t="shared" si="1366"/>
        <v>$ 0,00</v>
      </c>
      <c r="I2161" t="str">
        <f>"CABLES BUJÍAS SILICONA ANTIPARASITARIOS"</f>
        <v>CABLES BUJÍAS SILICONA ANTIPARASITARIOS</v>
      </c>
      <c r="J2161" t="str">
        <f t="shared" si="1367"/>
        <v>1</v>
      </c>
      <c r="K2161" t="str">
        <f t="shared" si="1391"/>
        <v>0</v>
      </c>
      <c r="L2161" t="str">
        <f>"1,000"</f>
        <v>1,000</v>
      </c>
      <c r="M2161" t="str">
        <f t="shared" si="1368"/>
        <v xml:space="preserve"> </v>
      </c>
      <c r="N2161" t="str">
        <f t="shared" si="1396"/>
        <v>FERRAZZI</v>
      </c>
      <c r="O2161" t="str">
        <f t="shared" si="1398"/>
        <v>CABLES</v>
      </c>
      <c r="P2161" t="str">
        <f t="shared" si="1393"/>
        <v>0</v>
      </c>
      <c r="Q2161" t="str">
        <f t="shared" si="1393"/>
        <v>0</v>
      </c>
      <c r="R2161" t="str">
        <f t="shared" si="1394"/>
        <v>0,00</v>
      </c>
      <c r="S2161" t="str">
        <f t="shared" si="1394"/>
        <v>0,00</v>
      </c>
      <c r="T2161" t="str">
        <f t="shared" si="1365"/>
        <v xml:space="preserve"> </v>
      </c>
      <c r="U2161" t="str">
        <f t="shared" si="1387"/>
        <v xml:space="preserve"> </v>
      </c>
      <c r="V2161" t="str">
        <f>"1,000"</f>
        <v>1,000</v>
      </c>
      <c r="W2161" t="str">
        <f t="shared" si="1369"/>
        <v>Lista 4</v>
      </c>
      <c r="X2161" t="str">
        <f t="shared" si="1370"/>
        <v>Lista 5</v>
      </c>
      <c r="Y2161" t="str">
        <f t="shared" si="1371"/>
        <v>Oferta Gral.</v>
      </c>
      <c r="Z2161" t="str">
        <f t="shared" si="1372"/>
        <v>Rubro</v>
      </c>
      <c r="AA2161" t="str">
        <f t="shared" si="1373"/>
        <v>Cantidad por Bulto</v>
      </c>
      <c r="AB2161" t="str">
        <f t="shared" si="1374"/>
        <v>INNER</v>
      </c>
      <c r="AC2161" t="str">
        <f t="shared" si="1375"/>
        <v>Stock en Bultos</v>
      </c>
      <c r="AD2161" t="str">
        <f t="shared" si="1376"/>
        <v>SubDepósito</v>
      </c>
      <c r="AE2161" t="str">
        <f t="shared" si="1377"/>
        <v>Marca</v>
      </c>
      <c r="AF2161" t="str">
        <f t="shared" si="1378"/>
        <v>Super Rubro</v>
      </c>
      <c r="AG2161" t="str">
        <f t="shared" si="1379"/>
        <v>ComercioExterior</v>
      </c>
      <c r="AH2161" t="str">
        <f t="shared" si="1380"/>
        <v>PrecioFOB</v>
      </c>
      <c r="AI2161" t="str">
        <f t="shared" si="1381"/>
        <v>Monto II</v>
      </c>
      <c r="AJ2161" t="str">
        <f t="shared" si="1382"/>
        <v>Porcentaje II</v>
      </c>
      <c r="AK2161" t="str">
        <f t="shared" si="1383"/>
        <v>Foto</v>
      </c>
      <c r="AL2161" t="str">
        <f>"{\rtf1\ansi\ansicpg1252\deff0\deflang11274{\fonttbl{\f0\fnil\fcharset0 MS Sans Serif}} \viewkind4\uc1\pard\f0\fs16 JGO. CABLES BUJ\'cdAS PALIO SIENA UNO 1.3 8V. 1 BOBINA SILICONA\par } "</f>
        <v xml:space="preserve">{\rtf1\ansi\ansicpg1252\deff0\deflang11274{\fonttbl{\f0\fnil\fcharset0 MS Sans Serif}} \viewkind4\uc1\pard\f0\fs16 JGO. CABLES BUJ\'cdAS PALIO SIENA UNO 1.3 8V. 1 BOBINA SILICONA\par } </v>
      </c>
      <c r="AM2161" t="str">
        <f t="shared" si="1397"/>
        <v>-</v>
      </c>
    </row>
    <row r="2162" spans="1:39" x14ac:dyDescent="0.25">
      <c r="A2162" t="str">
        <f>"07-01774"</f>
        <v>07-01774</v>
      </c>
      <c r="B2162" t="str">
        <f>"JGO. CABLES BUJÍAS PEUGEOT 505 GAMMA "</f>
        <v xml:space="preserve">JGO. CABLES BUJÍAS PEUGEOT 505 GAMMA </v>
      </c>
      <c r="C2162" t="str">
        <f>"$ 20174,39"</f>
        <v>$ 20174,39</v>
      </c>
      <c r="D2162" t="str">
        <f>"$ 20174,39"</f>
        <v>$ 20174,39</v>
      </c>
      <c r="E2162" t="str">
        <f>"$ 20174,39"</f>
        <v>$ 20174,39</v>
      </c>
      <c r="F2162" t="str">
        <f>"$ 20174,39"</f>
        <v>$ 20174,39</v>
      </c>
      <c r="G2162" t="str">
        <f>"$ 20174,39"</f>
        <v>$ 20174,39</v>
      </c>
      <c r="H2162" t="str">
        <f t="shared" si="1366"/>
        <v>$ 0,00</v>
      </c>
      <c r="I2162" t="str">
        <f>"CABLES BUJÍAS SILICONA ANTIPARASITARIOS"</f>
        <v>CABLES BUJÍAS SILICONA ANTIPARASITARIOS</v>
      </c>
      <c r="J2162" t="str">
        <f t="shared" si="1367"/>
        <v>1</v>
      </c>
      <c r="K2162" t="str">
        <f t="shared" si="1391"/>
        <v>0</v>
      </c>
      <c r="L2162" t="str">
        <f>"0,000"</f>
        <v>0,000</v>
      </c>
      <c r="M2162" t="str">
        <f t="shared" si="1368"/>
        <v xml:space="preserve"> </v>
      </c>
      <c r="N2162" t="str">
        <f t="shared" si="1396"/>
        <v>FERRAZZI</v>
      </c>
      <c r="O2162" t="str">
        <f t="shared" si="1398"/>
        <v>CABLES</v>
      </c>
      <c r="P2162" t="str">
        <f t="shared" si="1393"/>
        <v>0</v>
      </c>
      <c r="Q2162" t="str">
        <f t="shared" si="1393"/>
        <v>0</v>
      </c>
      <c r="R2162" t="str">
        <f t="shared" si="1394"/>
        <v>0,00</v>
      </c>
      <c r="S2162" t="str">
        <f t="shared" si="1394"/>
        <v>0,00</v>
      </c>
      <c r="T2162" t="str">
        <f t="shared" si="1365"/>
        <v xml:space="preserve"> </v>
      </c>
      <c r="U2162" t="str">
        <f t="shared" si="1387"/>
        <v xml:space="preserve"> </v>
      </c>
      <c r="V2162" t="str">
        <f>"0,000"</f>
        <v>0,000</v>
      </c>
      <c r="W2162" t="str">
        <f t="shared" si="1369"/>
        <v>Lista 4</v>
      </c>
      <c r="X2162" t="str">
        <f t="shared" si="1370"/>
        <v>Lista 5</v>
      </c>
      <c r="Y2162" t="str">
        <f t="shared" si="1371"/>
        <v>Oferta Gral.</v>
      </c>
      <c r="Z2162" t="str">
        <f t="shared" si="1372"/>
        <v>Rubro</v>
      </c>
      <c r="AA2162" t="str">
        <f t="shared" si="1373"/>
        <v>Cantidad por Bulto</v>
      </c>
      <c r="AB2162" t="str">
        <f t="shared" si="1374"/>
        <v>INNER</v>
      </c>
      <c r="AC2162" t="str">
        <f t="shared" si="1375"/>
        <v>Stock en Bultos</v>
      </c>
      <c r="AD2162" t="str">
        <f t="shared" si="1376"/>
        <v>SubDepósito</v>
      </c>
      <c r="AE2162" t="str">
        <f t="shared" si="1377"/>
        <v>Marca</v>
      </c>
      <c r="AF2162" t="str">
        <f t="shared" si="1378"/>
        <v>Super Rubro</v>
      </c>
      <c r="AG2162" t="str">
        <f t="shared" si="1379"/>
        <v>ComercioExterior</v>
      </c>
      <c r="AH2162" t="str">
        <f t="shared" si="1380"/>
        <v>PrecioFOB</v>
      </c>
      <c r="AI2162" t="str">
        <f t="shared" si="1381"/>
        <v>Monto II</v>
      </c>
      <c r="AJ2162" t="str">
        <f t="shared" si="1382"/>
        <v>Porcentaje II</v>
      </c>
      <c r="AK2162" t="str">
        <f t="shared" si="1383"/>
        <v>Foto</v>
      </c>
      <c r="AL2162" t="str">
        <f>"{\rtf1\ansi\ansicpg1252\deff0\deflang2058{\fonttbl{\f0\fnil\fcharset0 MS Sans Serif}} \viewkind4\uc1\pard\f0\fs16 JGO. CABLES BUJ\'cdAS PEUGEOT 505 GAMMA \par } "</f>
        <v xml:space="preserve">{\rtf1\ansi\ansicpg1252\deff0\deflang2058{\fonttbl{\f0\fnil\fcharset0 MS Sans Serif}} \viewkind4\uc1\pard\f0\fs16 JGO. CABLES BUJ\'cdAS PEUGEOT 505 GAMMA \par } </v>
      </c>
      <c r="AM2162" t="str">
        <f>" "</f>
        <v xml:space="preserve"> </v>
      </c>
    </row>
    <row r="2163" spans="1:39" x14ac:dyDescent="0.25">
      <c r="A2163" t="str">
        <f>"02-33014"</f>
        <v>02-33014</v>
      </c>
      <c r="B2163" t="str">
        <f>"JGO. CABLES BUJÍAS PICK UP C/20  /  VERANEIO DIST. BOSCH"</f>
        <v>JGO. CABLES BUJÍAS PICK UP C/20  /  VERANEIO DIST. BOSCH</v>
      </c>
      <c r="C2163" t="str">
        <f>"$ 13905,65"</f>
        <v>$ 13905,65</v>
      </c>
      <c r="D2163" t="str">
        <f>"$ 13905,65"</f>
        <v>$ 13905,65</v>
      </c>
      <c r="E2163" t="str">
        <f>"$ 13905,65"</f>
        <v>$ 13905,65</v>
      </c>
      <c r="F2163" t="str">
        <f>"$ 13905,65"</f>
        <v>$ 13905,65</v>
      </c>
      <c r="G2163" t="str">
        <f>"$ 13905,65"</f>
        <v>$ 13905,65</v>
      </c>
      <c r="H2163" t="str">
        <f t="shared" si="1366"/>
        <v>$ 0,00</v>
      </c>
      <c r="I2163" t="str">
        <f>"CABLES BUJÍAS PVC ANTIPARASITARIOS"</f>
        <v>CABLES BUJÍAS PVC ANTIPARASITARIOS</v>
      </c>
      <c r="J2163" t="str">
        <f t="shared" si="1367"/>
        <v>1</v>
      </c>
      <c r="K2163" t="str">
        <f t="shared" si="1391"/>
        <v>0</v>
      </c>
      <c r="L2163" t="str">
        <f>"0,000"</f>
        <v>0,000</v>
      </c>
      <c r="M2163" t="str">
        <f t="shared" si="1368"/>
        <v xml:space="preserve"> </v>
      </c>
      <c r="N2163" t="str">
        <f t="shared" si="1396"/>
        <v>FERRAZZI</v>
      </c>
      <c r="O2163" t="str">
        <f t="shared" si="1398"/>
        <v>CABLES</v>
      </c>
      <c r="P2163" t="str">
        <f t="shared" ref="P2163:Q2182" si="1399">"0"</f>
        <v>0</v>
      </c>
      <c r="Q2163" t="str">
        <f t="shared" si="1399"/>
        <v>0</v>
      </c>
      <c r="R2163" t="str">
        <f t="shared" ref="R2163:S2182" si="1400">"0,00"</f>
        <v>0,00</v>
      </c>
      <c r="S2163" t="str">
        <f t="shared" si="1400"/>
        <v>0,00</v>
      </c>
      <c r="T2163" t="str">
        <f t="shared" si="1365"/>
        <v xml:space="preserve"> </v>
      </c>
      <c r="U2163" t="str">
        <f t="shared" si="1387"/>
        <v xml:space="preserve"> </v>
      </c>
      <c r="V2163" t="str">
        <f>"0,000"</f>
        <v>0,000</v>
      </c>
      <c r="W2163" t="str">
        <f t="shared" si="1369"/>
        <v>Lista 4</v>
      </c>
      <c r="X2163" t="str">
        <f t="shared" si="1370"/>
        <v>Lista 5</v>
      </c>
      <c r="Y2163" t="str">
        <f t="shared" si="1371"/>
        <v>Oferta Gral.</v>
      </c>
      <c r="Z2163" t="str">
        <f t="shared" si="1372"/>
        <v>Rubro</v>
      </c>
      <c r="AA2163" t="str">
        <f t="shared" si="1373"/>
        <v>Cantidad por Bulto</v>
      </c>
      <c r="AB2163" t="str">
        <f t="shared" si="1374"/>
        <v>INNER</v>
      </c>
      <c r="AC2163" t="str">
        <f t="shared" si="1375"/>
        <v>Stock en Bultos</v>
      </c>
      <c r="AD2163" t="str">
        <f t="shared" si="1376"/>
        <v>SubDepósito</v>
      </c>
      <c r="AE2163" t="str">
        <f t="shared" si="1377"/>
        <v>Marca</v>
      </c>
      <c r="AF2163" t="str">
        <f t="shared" si="1378"/>
        <v>Super Rubro</v>
      </c>
      <c r="AG2163" t="str">
        <f t="shared" si="1379"/>
        <v>ComercioExterior</v>
      </c>
      <c r="AH2163" t="str">
        <f t="shared" si="1380"/>
        <v>PrecioFOB</v>
      </c>
      <c r="AI2163" t="str">
        <f t="shared" si="1381"/>
        <v>Monto II</v>
      </c>
      <c r="AJ2163" t="str">
        <f t="shared" si="1382"/>
        <v>Porcentaje II</v>
      </c>
      <c r="AK2163" t="str">
        <f t="shared" si="1383"/>
        <v>Foto</v>
      </c>
      <c r="AL2163" t="str">
        <f>"{\rtf1\ansi\ansicpg1252\deff0\deflang11274{\fonttbl{\f0\fnil\fcharset0 MS Sans Serif}} \viewkind4\uc1\pard\f0\fs16 JGO. CABLES BUJ\'cdAS PICK UP C/20  /  VERANEIO DIST. BOSCH\par } "</f>
        <v xml:space="preserve">{\rtf1\ansi\ansicpg1252\deff0\deflang11274{\fonttbl{\f0\fnil\fcharset0 MS Sans Serif}} \viewkind4\uc1\pard\f0\fs16 JGO. CABLES BUJ\'cdAS PICK UP C/20  /  VERANEIO DIST. BOSCH\par } </v>
      </c>
      <c r="AM2163" t="str">
        <f t="shared" ref="AM2163:AM2171" si="1401">"-"</f>
        <v>-</v>
      </c>
    </row>
    <row r="2164" spans="1:39" x14ac:dyDescent="0.25">
      <c r="A2164" t="str">
        <f>"03-33051"</f>
        <v>03-33051</v>
      </c>
      <c r="B2164" t="str">
        <f>"JGO. CABLES BUJÍAS POINTER 1.6 - 1.8 -2.0"</f>
        <v>JGO. CABLES BUJÍAS POINTER 1.6 - 1.8 -2.0</v>
      </c>
      <c r="C2164" t="str">
        <f>"$ 18421,62"</f>
        <v>$ 18421,62</v>
      </c>
      <c r="D2164" t="str">
        <f>"$ 18421,62"</f>
        <v>$ 18421,62</v>
      </c>
      <c r="E2164" t="str">
        <f>"$ 18421,62"</f>
        <v>$ 18421,62</v>
      </c>
      <c r="F2164" t="str">
        <f>"$ 18421,62"</f>
        <v>$ 18421,62</v>
      </c>
      <c r="G2164" t="str">
        <f>"$ 18421,62"</f>
        <v>$ 18421,62</v>
      </c>
      <c r="H2164" t="str">
        <f t="shared" si="1366"/>
        <v>$ 0,00</v>
      </c>
      <c r="I2164" t="str">
        <f>"CABLES BUJÍAS PVC ANTIPARASITARIOS"</f>
        <v>CABLES BUJÍAS PVC ANTIPARASITARIOS</v>
      </c>
      <c r="J2164" t="str">
        <f t="shared" si="1367"/>
        <v>1</v>
      </c>
      <c r="K2164" t="str">
        <f t="shared" si="1391"/>
        <v>0</v>
      </c>
      <c r="L2164" t="str">
        <f>"13,000"</f>
        <v>13,000</v>
      </c>
      <c r="M2164" t="str">
        <f t="shared" si="1368"/>
        <v xml:space="preserve"> </v>
      </c>
      <c r="N2164" t="str">
        <f t="shared" si="1396"/>
        <v>FERRAZZI</v>
      </c>
      <c r="O2164" t="str">
        <f t="shared" si="1398"/>
        <v>CABLES</v>
      </c>
      <c r="P2164" t="str">
        <f t="shared" si="1399"/>
        <v>0</v>
      </c>
      <c r="Q2164" t="str">
        <f t="shared" si="1399"/>
        <v>0</v>
      </c>
      <c r="R2164" t="str">
        <f t="shared" si="1400"/>
        <v>0,00</v>
      </c>
      <c r="S2164" t="str">
        <f t="shared" si="1400"/>
        <v>0,00</v>
      </c>
      <c r="T2164" t="str">
        <f t="shared" si="1365"/>
        <v xml:space="preserve"> </v>
      </c>
      <c r="U2164" t="str">
        <f t="shared" si="1387"/>
        <v xml:space="preserve"> </v>
      </c>
      <c r="V2164" t="str">
        <f>"13,000"</f>
        <v>13,000</v>
      </c>
      <c r="W2164" t="str">
        <f t="shared" si="1369"/>
        <v>Lista 4</v>
      </c>
      <c r="X2164" t="str">
        <f t="shared" si="1370"/>
        <v>Lista 5</v>
      </c>
      <c r="Y2164" t="str">
        <f t="shared" si="1371"/>
        <v>Oferta Gral.</v>
      </c>
      <c r="Z2164" t="str">
        <f t="shared" si="1372"/>
        <v>Rubro</v>
      </c>
      <c r="AA2164" t="str">
        <f t="shared" si="1373"/>
        <v>Cantidad por Bulto</v>
      </c>
      <c r="AB2164" t="str">
        <f t="shared" si="1374"/>
        <v>INNER</v>
      </c>
      <c r="AC2164" t="str">
        <f t="shared" si="1375"/>
        <v>Stock en Bultos</v>
      </c>
      <c r="AD2164" t="str">
        <f t="shared" si="1376"/>
        <v>SubDepósito</v>
      </c>
      <c r="AE2164" t="str">
        <f t="shared" si="1377"/>
        <v>Marca</v>
      </c>
      <c r="AF2164" t="str">
        <f t="shared" si="1378"/>
        <v>Super Rubro</v>
      </c>
      <c r="AG2164" t="str">
        <f t="shared" si="1379"/>
        <v>ComercioExterior</v>
      </c>
      <c r="AH2164" t="str">
        <f t="shared" si="1380"/>
        <v>PrecioFOB</v>
      </c>
      <c r="AI2164" t="str">
        <f t="shared" si="1381"/>
        <v>Monto II</v>
      </c>
      <c r="AJ2164" t="str">
        <f t="shared" si="1382"/>
        <v>Porcentaje II</v>
      </c>
      <c r="AK2164" t="str">
        <f t="shared" si="1383"/>
        <v>Foto</v>
      </c>
      <c r="AL2164" t="str">
        <f>"{\rtf1\ansi\ansicpg1252\deff0\deflang11274{\fonttbl{\f0\fnil\fcharset0 MS Sans Serif}} \viewkind4\uc1\pard\f0\fs16 JGO. CABLES BUJ\'cdAS POINTER 1.6 - 1.8 -2.0\par } "</f>
        <v xml:space="preserve">{\rtf1\ansi\ansicpg1252\deff0\deflang11274{\fonttbl{\f0\fnil\fcharset0 MS Sans Serif}} \viewkind4\uc1\pard\f0\fs16 JGO. CABLES BUJ\'cdAS POINTER 1.6 - 1.8 -2.0\par } </v>
      </c>
      <c r="AM2164" t="str">
        <f t="shared" si="1401"/>
        <v>-</v>
      </c>
    </row>
    <row r="2165" spans="1:39" x14ac:dyDescent="0.25">
      <c r="A2165" t="str">
        <f>"03-33031"</f>
        <v>03-33031</v>
      </c>
      <c r="B2165" t="str">
        <f>"JGO. CABLES BUJÍAS POLO CLASIC MI 1.6 - 1.8"</f>
        <v>JGO. CABLES BUJÍAS POLO CLASIC MI 1.6 - 1.8</v>
      </c>
      <c r="C2165" t="str">
        <f>"$ 18159,92"</f>
        <v>$ 18159,92</v>
      </c>
      <c r="D2165" t="str">
        <f>"$ 18159,92"</f>
        <v>$ 18159,92</v>
      </c>
      <c r="E2165" t="str">
        <f>"$ 18159,92"</f>
        <v>$ 18159,92</v>
      </c>
      <c r="F2165" t="str">
        <f>"$ 18159,92"</f>
        <v>$ 18159,92</v>
      </c>
      <c r="G2165" t="str">
        <f>"$ 18159,92"</f>
        <v>$ 18159,92</v>
      </c>
      <c r="H2165" t="str">
        <f t="shared" si="1366"/>
        <v>$ 0,00</v>
      </c>
      <c r="I2165" t="str">
        <f>"CABLES BUJÍAS PVC ANTIPARASITARIOS"</f>
        <v>CABLES BUJÍAS PVC ANTIPARASITARIOS</v>
      </c>
      <c r="J2165" t="str">
        <f t="shared" si="1367"/>
        <v>1</v>
      </c>
      <c r="K2165" t="str">
        <f t="shared" si="1391"/>
        <v>0</v>
      </c>
      <c r="L2165" t="str">
        <f>"0,000"</f>
        <v>0,000</v>
      </c>
      <c r="M2165" t="str">
        <f t="shared" si="1368"/>
        <v xml:space="preserve"> </v>
      </c>
      <c r="N2165" t="str">
        <f t="shared" si="1396"/>
        <v>FERRAZZI</v>
      </c>
      <c r="O2165" t="str">
        <f t="shared" si="1398"/>
        <v>CABLES</v>
      </c>
      <c r="P2165" t="str">
        <f t="shared" si="1399"/>
        <v>0</v>
      </c>
      <c r="Q2165" t="str">
        <f t="shared" si="1399"/>
        <v>0</v>
      </c>
      <c r="R2165" t="str">
        <f t="shared" si="1400"/>
        <v>0,00</v>
      </c>
      <c r="S2165" t="str">
        <f t="shared" si="1400"/>
        <v>0,00</v>
      </c>
      <c r="T2165" t="str">
        <f t="shared" si="1365"/>
        <v xml:space="preserve"> </v>
      </c>
      <c r="U2165" t="str">
        <f t="shared" si="1387"/>
        <v xml:space="preserve"> </v>
      </c>
      <c r="V2165" t="str">
        <f>"0,000"</f>
        <v>0,000</v>
      </c>
      <c r="W2165" t="str">
        <f t="shared" si="1369"/>
        <v>Lista 4</v>
      </c>
      <c r="X2165" t="str">
        <f t="shared" si="1370"/>
        <v>Lista 5</v>
      </c>
      <c r="Y2165" t="str">
        <f t="shared" si="1371"/>
        <v>Oferta Gral.</v>
      </c>
      <c r="Z2165" t="str">
        <f t="shared" si="1372"/>
        <v>Rubro</v>
      </c>
      <c r="AA2165" t="str">
        <f t="shared" si="1373"/>
        <v>Cantidad por Bulto</v>
      </c>
      <c r="AB2165" t="str">
        <f t="shared" si="1374"/>
        <v>INNER</v>
      </c>
      <c r="AC2165" t="str">
        <f t="shared" si="1375"/>
        <v>Stock en Bultos</v>
      </c>
      <c r="AD2165" t="str">
        <f t="shared" si="1376"/>
        <v>SubDepósito</v>
      </c>
      <c r="AE2165" t="str">
        <f t="shared" si="1377"/>
        <v>Marca</v>
      </c>
      <c r="AF2165" t="str">
        <f t="shared" si="1378"/>
        <v>Super Rubro</v>
      </c>
      <c r="AG2165" t="str">
        <f t="shared" si="1379"/>
        <v>ComercioExterior</v>
      </c>
      <c r="AH2165" t="str">
        <f t="shared" si="1380"/>
        <v>PrecioFOB</v>
      </c>
      <c r="AI2165" t="str">
        <f t="shared" si="1381"/>
        <v>Monto II</v>
      </c>
      <c r="AJ2165" t="str">
        <f t="shared" si="1382"/>
        <v>Porcentaje II</v>
      </c>
      <c r="AK2165" t="str">
        <f t="shared" si="1383"/>
        <v>Foto</v>
      </c>
      <c r="AL2165" t="str">
        <f>"{\rtf1\ansi\ansicpg1252\deff0\deflang11274{\fonttbl{\f0\fnil\fcharset0 MS Sans Serif}} \viewkind4\uc1\pard\f0\fs16 JGO. CABLES BUJ\'cdAS POLO CLASIC MI 1.6 - 1.8\par } "</f>
        <v xml:space="preserve">{\rtf1\ansi\ansicpg1252\deff0\deflang11274{\fonttbl{\f0\fnil\fcharset0 MS Sans Serif}} \viewkind4\uc1\pard\f0\fs16 JGO. CABLES BUJ\'cdAS POLO CLASIC MI 1.6 - 1.8\par } </v>
      </c>
      <c r="AM2165" t="str">
        <f t="shared" si="1401"/>
        <v>-</v>
      </c>
    </row>
    <row r="2166" spans="1:39" x14ac:dyDescent="0.25">
      <c r="A2166" t="str">
        <f>"03-33037"</f>
        <v>03-33037</v>
      </c>
      <c r="B2166" t="str">
        <f>"JGO. CABLES BUJÍAS QUANTUM GLS MI 2000"</f>
        <v>JGO. CABLES BUJÍAS QUANTUM GLS MI 2000</v>
      </c>
      <c r="C2166" t="str">
        <f>"$ 17788,55"</f>
        <v>$ 17788,55</v>
      </c>
      <c r="D2166" t="str">
        <f>"$ 17788,55"</f>
        <v>$ 17788,55</v>
      </c>
      <c r="E2166" t="str">
        <f>"$ 17788,55"</f>
        <v>$ 17788,55</v>
      </c>
      <c r="F2166" t="str">
        <f>"$ 17788,55"</f>
        <v>$ 17788,55</v>
      </c>
      <c r="G2166" t="str">
        <f>"$ 17788,55"</f>
        <v>$ 17788,55</v>
      </c>
      <c r="H2166" t="str">
        <f t="shared" si="1366"/>
        <v>$ 0,00</v>
      </c>
      <c r="I2166" t="str">
        <f>"CABLES BUJÍAS PVC ANTIPARASITARIOS"</f>
        <v>CABLES BUJÍAS PVC ANTIPARASITARIOS</v>
      </c>
      <c r="J2166" t="str">
        <f t="shared" si="1367"/>
        <v>1</v>
      </c>
      <c r="K2166" t="str">
        <f t="shared" si="1391"/>
        <v>0</v>
      </c>
      <c r="L2166" t="str">
        <f>"5,000"</f>
        <v>5,000</v>
      </c>
      <c r="M2166" t="str">
        <f t="shared" si="1368"/>
        <v xml:space="preserve"> </v>
      </c>
      <c r="N2166" t="str">
        <f t="shared" si="1396"/>
        <v>FERRAZZI</v>
      </c>
      <c r="O2166" t="str">
        <f t="shared" si="1398"/>
        <v>CABLES</v>
      </c>
      <c r="P2166" t="str">
        <f t="shared" si="1399"/>
        <v>0</v>
      </c>
      <c r="Q2166" t="str">
        <f t="shared" si="1399"/>
        <v>0</v>
      </c>
      <c r="R2166" t="str">
        <f t="shared" si="1400"/>
        <v>0,00</v>
      </c>
      <c r="S2166" t="str">
        <f t="shared" si="1400"/>
        <v>0,00</v>
      </c>
      <c r="T2166" t="str">
        <f t="shared" si="1365"/>
        <v xml:space="preserve"> </v>
      </c>
      <c r="U2166" t="str">
        <f t="shared" si="1387"/>
        <v xml:space="preserve"> </v>
      </c>
      <c r="V2166" t="str">
        <f>"5,000"</f>
        <v>5,000</v>
      </c>
      <c r="W2166" t="str">
        <f t="shared" si="1369"/>
        <v>Lista 4</v>
      </c>
      <c r="X2166" t="str">
        <f t="shared" si="1370"/>
        <v>Lista 5</v>
      </c>
      <c r="Y2166" t="str">
        <f t="shared" si="1371"/>
        <v>Oferta Gral.</v>
      </c>
      <c r="Z2166" t="str">
        <f t="shared" si="1372"/>
        <v>Rubro</v>
      </c>
      <c r="AA2166" t="str">
        <f t="shared" si="1373"/>
        <v>Cantidad por Bulto</v>
      </c>
      <c r="AB2166" t="str">
        <f t="shared" si="1374"/>
        <v>INNER</v>
      </c>
      <c r="AC2166" t="str">
        <f t="shared" si="1375"/>
        <v>Stock en Bultos</v>
      </c>
      <c r="AD2166" t="str">
        <f t="shared" si="1376"/>
        <v>SubDepósito</v>
      </c>
      <c r="AE2166" t="str">
        <f t="shared" si="1377"/>
        <v>Marca</v>
      </c>
      <c r="AF2166" t="str">
        <f t="shared" si="1378"/>
        <v>Super Rubro</v>
      </c>
      <c r="AG2166" t="str">
        <f t="shared" si="1379"/>
        <v>ComercioExterior</v>
      </c>
      <c r="AH2166" t="str">
        <f t="shared" si="1380"/>
        <v>PrecioFOB</v>
      </c>
      <c r="AI2166" t="str">
        <f t="shared" si="1381"/>
        <v>Monto II</v>
      </c>
      <c r="AJ2166" t="str">
        <f t="shared" si="1382"/>
        <v>Porcentaje II</v>
      </c>
      <c r="AK2166" t="str">
        <f t="shared" si="1383"/>
        <v>Foto</v>
      </c>
      <c r="AL2166" t="str">
        <f>"{\rtf1\ansi\ansicpg1252\deff0\deflang11274{\fonttbl{\f0\fnil\fcharset0 MS Sans Serif}} \viewkind4\uc1\pard\f0\fs16 JGO. CABLES BUJ\'cdAS QUANTUM GLS MI 2000\par } "</f>
        <v xml:space="preserve">{\rtf1\ansi\ansicpg1252\deff0\deflang11274{\fonttbl{\f0\fnil\fcharset0 MS Sans Serif}} \viewkind4\uc1\pard\f0\fs16 JGO. CABLES BUJ\'cdAS QUANTUM GLS MI 2000\par } </v>
      </c>
      <c r="AM2166" t="str">
        <f t="shared" si="1401"/>
        <v>-</v>
      </c>
    </row>
    <row r="2167" spans="1:39" x14ac:dyDescent="0.25">
      <c r="A2167" t="str">
        <f>"04-01784"</f>
        <v>04-01784</v>
      </c>
      <c r="B2167" t="str">
        <f>"JGO. CABLES BUJÍAS RANGER XL AMERICANA 2.3 TWIN SPARK"</f>
        <v>JGO. CABLES BUJÍAS RANGER XL AMERICANA 2.3 TWIN SPARK</v>
      </c>
      <c r="C2167" t="str">
        <f>"$ 49253,98"</f>
        <v>$ 49253,98</v>
      </c>
      <c r="D2167" t="str">
        <f>"$ 49253,98"</f>
        <v>$ 49253,98</v>
      </c>
      <c r="E2167" t="str">
        <f>"$ 49253,98"</f>
        <v>$ 49253,98</v>
      </c>
      <c r="F2167" t="str">
        <f>"$ 49253,98"</f>
        <v>$ 49253,98</v>
      </c>
      <c r="G2167" t="str">
        <f>"$ 49253,98"</f>
        <v>$ 49253,98</v>
      </c>
      <c r="H2167" t="str">
        <f t="shared" si="1366"/>
        <v>$ 0,00</v>
      </c>
      <c r="I2167" t="str">
        <f>"CABLES BUJÍAS SILICONA ANTIPARASITARIOS"</f>
        <v>CABLES BUJÍAS SILICONA ANTIPARASITARIOS</v>
      </c>
      <c r="J2167" t="str">
        <f t="shared" si="1367"/>
        <v>1</v>
      </c>
      <c r="K2167" t="str">
        <f t="shared" si="1391"/>
        <v>0</v>
      </c>
      <c r="L2167" t="str">
        <f>"5,000"</f>
        <v>5,000</v>
      </c>
      <c r="M2167" t="str">
        <f t="shared" si="1368"/>
        <v xml:space="preserve"> </v>
      </c>
      <c r="N2167" t="str">
        <f t="shared" si="1396"/>
        <v>FERRAZZI</v>
      </c>
      <c r="O2167" t="str">
        <f t="shared" si="1398"/>
        <v>CABLES</v>
      </c>
      <c r="P2167" t="str">
        <f t="shared" si="1399"/>
        <v>0</v>
      </c>
      <c r="Q2167" t="str">
        <f t="shared" si="1399"/>
        <v>0</v>
      </c>
      <c r="R2167" t="str">
        <f t="shared" si="1400"/>
        <v>0,00</v>
      </c>
      <c r="S2167" t="str">
        <f t="shared" si="1400"/>
        <v>0,00</v>
      </c>
      <c r="T2167" t="str">
        <f t="shared" si="1365"/>
        <v xml:space="preserve"> </v>
      </c>
      <c r="U2167" t="str">
        <f t="shared" si="1387"/>
        <v xml:space="preserve"> </v>
      </c>
      <c r="V2167" t="str">
        <f>"5,000"</f>
        <v>5,000</v>
      </c>
      <c r="W2167" t="str">
        <f t="shared" si="1369"/>
        <v>Lista 4</v>
      </c>
      <c r="X2167" t="str">
        <f t="shared" si="1370"/>
        <v>Lista 5</v>
      </c>
      <c r="Y2167" t="str">
        <f t="shared" si="1371"/>
        <v>Oferta Gral.</v>
      </c>
      <c r="Z2167" t="str">
        <f t="shared" si="1372"/>
        <v>Rubro</v>
      </c>
      <c r="AA2167" t="str">
        <f t="shared" si="1373"/>
        <v>Cantidad por Bulto</v>
      </c>
      <c r="AB2167" t="str">
        <f t="shared" si="1374"/>
        <v>INNER</v>
      </c>
      <c r="AC2167" t="str">
        <f t="shared" si="1375"/>
        <v>Stock en Bultos</v>
      </c>
      <c r="AD2167" t="str">
        <f t="shared" si="1376"/>
        <v>SubDepósito</v>
      </c>
      <c r="AE2167" t="str">
        <f t="shared" si="1377"/>
        <v>Marca</v>
      </c>
      <c r="AF2167" t="str">
        <f t="shared" si="1378"/>
        <v>Super Rubro</v>
      </c>
      <c r="AG2167" t="str">
        <f t="shared" si="1379"/>
        <v>ComercioExterior</v>
      </c>
      <c r="AH2167" t="str">
        <f t="shared" si="1380"/>
        <v>PrecioFOB</v>
      </c>
      <c r="AI2167" t="str">
        <f t="shared" si="1381"/>
        <v>Monto II</v>
      </c>
      <c r="AJ2167" t="str">
        <f t="shared" si="1382"/>
        <v>Porcentaje II</v>
      </c>
      <c r="AK2167" t="str">
        <f t="shared" si="1383"/>
        <v>Foto</v>
      </c>
      <c r="AL2167" t="str">
        <f>"{\rtf1\ansi\ansicpg1252\deff0\deflang11274{\fonttbl{\f0\fnil\fcharset0 MS Sans Serif}} \viewkind4\uc1\pard\f0\fs16 JGO. CABLES BUJ\'cdAS RANGER XL AMERICANA 2.3 TWIN SPARK\par } "</f>
        <v xml:space="preserve">{\rtf1\ansi\ansicpg1252\deff0\deflang11274{\fonttbl{\f0\fnil\fcharset0 MS Sans Serif}} \viewkind4\uc1\pard\f0\fs16 JGO. CABLES BUJ\'cdAS RANGER XL AMERICANA 2.3 TWIN SPARK\par } </v>
      </c>
      <c r="AM2167" t="str">
        <f t="shared" si="1401"/>
        <v>-</v>
      </c>
    </row>
    <row r="2168" spans="1:39" x14ac:dyDescent="0.25">
      <c r="A2168" t="str">
        <f>"05-33096"</f>
        <v>05-33096</v>
      </c>
      <c r="B2168" t="str">
        <f>"JGO. CABLES BUJÍAS REGATTA 1.6"</f>
        <v>JGO. CABLES BUJÍAS REGATTA 1.6</v>
      </c>
      <c r="C2168" t="str">
        <f>"$ 11218,37"</f>
        <v>$ 11218,37</v>
      </c>
      <c r="D2168" t="str">
        <f>"$ 11218,37"</f>
        <v>$ 11218,37</v>
      </c>
      <c r="E2168" t="str">
        <f>"$ 11218,37"</f>
        <v>$ 11218,37</v>
      </c>
      <c r="F2168" t="str">
        <f>"$ 11218,37"</f>
        <v>$ 11218,37</v>
      </c>
      <c r="G2168" t="str">
        <f>"$ 11218,37"</f>
        <v>$ 11218,37</v>
      </c>
      <c r="H2168" t="str">
        <f t="shared" si="1366"/>
        <v>$ 0,00</v>
      </c>
      <c r="I2168" t="str">
        <f>"CABLES BUJÍAS PVC ANTIPARASITARIOS"</f>
        <v>CABLES BUJÍAS PVC ANTIPARASITARIOS</v>
      </c>
      <c r="J2168" t="str">
        <f t="shared" si="1367"/>
        <v>1</v>
      </c>
      <c r="K2168" t="str">
        <f t="shared" si="1391"/>
        <v>0</v>
      </c>
      <c r="L2168" t="str">
        <f>"0,000"</f>
        <v>0,000</v>
      </c>
      <c r="M2168" t="str">
        <f t="shared" si="1368"/>
        <v xml:space="preserve"> </v>
      </c>
      <c r="N2168" t="str">
        <f t="shared" si="1396"/>
        <v>FERRAZZI</v>
      </c>
      <c r="O2168" t="str">
        <f t="shared" si="1398"/>
        <v>CABLES</v>
      </c>
      <c r="P2168" t="str">
        <f t="shared" si="1399"/>
        <v>0</v>
      </c>
      <c r="Q2168" t="str">
        <f t="shared" si="1399"/>
        <v>0</v>
      </c>
      <c r="R2168" t="str">
        <f t="shared" si="1400"/>
        <v>0,00</v>
      </c>
      <c r="S2168" t="str">
        <f t="shared" si="1400"/>
        <v>0,00</v>
      </c>
      <c r="T2168" t="str">
        <f t="shared" si="1365"/>
        <v xml:space="preserve"> </v>
      </c>
      <c r="U2168" t="str">
        <f t="shared" si="1387"/>
        <v xml:space="preserve"> </v>
      </c>
      <c r="V2168" t="str">
        <f>"0,000"</f>
        <v>0,000</v>
      </c>
      <c r="W2168" t="str">
        <f t="shared" si="1369"/>
        <v>Lista 4</v>
      </c>
      <c r="X2168" t="str">
        <f t="shared" si="1370"/>
        <v>Lista 5</v>
      </c>
      <c r="Y2168" t="str">
        <f t="shared" si="1371"/>
        <v>Oferta Gral.</v>
      </c>
      <c r="Z2168" t="str">
        <f t="shared" si="1372"/>
        <v>Rubro</v>
      </c>
      <c r="AA2168" t="str">
        <f t="shared" si="1373"/>
        <v>Cantidad por Bulto</v>
      </c>
      <c r="AB2168" t="str">
        <f t="shared" si="1374"/>
        <v>INNER</v>
      </c>
      <c r="AC2168" t="str">
        <f t="shared" si="1375"/>
        <v>Stock en Bultos</v>
      </c>
      <c r="AD2168" t="str">
        <f t="shared" si="1376"/>
        <v>SubDepósito</v>
      </c>
      <c r="AE2168" t="str">
        <f t="shared" si="1377"/>
        <v>Marca</v>
      </c>
      <c r="AF2168" t="str">
        <f t="shared" si="1378"/>
        <v>Super Rubro</v>
      </c>
      <c r="AG2168" t="str">
        <f t="shared" si="1379"/>
        <v>ComercioExterior</v>
      </c>
      <c r="AH2168" t="str">
        <f t="shared" si="1380"/>
        <v>PrecioFOB</v>
      </c>
      <c r="AI2168" t="str">
        <f t="shared" si="1381"/>
        <v>Monto II</v>
      </c>
      <c r="AJ2168" t="str">
        <f t="shared" si="1382"/>
        <v>Porcentaje II</v>
      </c>
      <c r="AK2168" t="str">
        <f t="shared" si="1383"/>
        <v>Foto</v>
      </c>
      <c r="AL2168" t="str">
        <f>"{\rtf1\ansi\ansicpg1252\deff0\deflang11274{\fonttbl{\f0\fnil\fcharset0 MS Sans Serif}} \viewkind4\uc1\pard\f0\fs16 JGO. CABLES BUJ\'cdAS REGATTA 1.6\par } "</f>
        <v xml:space="preserve">{\rtf1\ansi\ansicpg1252\deff0\deflang11274{\fonttbl{\f0\fnil\fcharset0 MS Sans Serif}} \viewkind4\uc1\pard\f0\fs16 JGO. CABLES BUJ\'cdAS REGATTA 1.6\par } </v>
      </c>
      <c r="AM2168" t="str">
        <f t="shared" si="1401"/>
        <v>-</v>
      </c>
    </row>
    <row r="2169" spans="1:39" x14ac:dyDescent="0.25">
      <c r="A2169" t="str">
        <f>"05-33048"</f>
        <v>05-33048</v>
      </c>
      <c r="B2169" t="str">
        <f>"JGO. CABLES BUJÍAS REGATTA 100"</f>
        <v>JGO. CABLES BUJÍAS REGATTA 100</v>
      </c>
      <c r="C2169" t="str">
        <f>"$ 10122,73"</f>
        <v>$ 10122,73</v>
      </c>
      <c r="D2169" t="str">
        <f>"$ 10122,73"</f>
        <v>$ 10122,73</v>
      </c>
      <c r="E2169" t="str">
        <f>"$ 10122,73"</f>
        <v>$ 10122,73</v>
      </c>
      <c r="F2169" t="str">
        <f>"$ 10122,73"</f>
        <v>$ 10122,73</v>
      </c>
      <c r="G2169" t="str">
        <f>"$ 10122,73"</f>
        <v>$ 10122,73</v>
      </c>
      <c r="H2169" t="str">
        <f t="shared" si="1366"/>
        <v>$ 0,00</v>
      </c>
      <c r="I2169" t="str">
        <f>"CABLES BUJÍAS PVC ANTIPARASITARIOS"</f>
        <v>CABLES BUJÍAS PVC ANTIPARASITARIOS</v>
      </c>
      <c r="J2169" t="str">
        <f t="shared" si="1367"/>
        <v>1</v>
      </c>
      <c r="K2169" t="str">
        <f t="shared" si="1391"/>
        <v>0</v>
      </c>
      <c r="L2169" t="str">
        <f>"2,000"</f>
        <v>2,000</v>
      </c>
      <c r="M2169" t="str">
        <f t="shared" si="1368"/>
        <v xml:space="preserve"> </v>
      </c>
      <c r="N2169" t="str">
        <f t="shared" si="1396"/>
        <v>FERRAZZI</v>
      </c>
      <c r="O2169" t="str">
        <f t="shared" si="1398"/>
        <v>CABLES</v>
      </c>
      <c r="P2169" t="str">
        <f t="shared" si="1399"/>
        <v>0</v>
      </c>
      <c r="Q2169" t="str">
        <f t="shared" si="1399"/>
        <v>0</v>
      </c>
      <c r="R2169" t="str">
        <f t="shared" si="1400"/>
        <v>0,00</v>
      </c>
      <c r="S2169" t="str">
        <f t="shared" si="1400"/>
        <v>0,00</v>
      </c>
      <c r="T2169" t="str">
        <f t="shared" si="1365"/>
        <v xml:space="preserve"> </v>
      </c>
      <c r="U2169" t="str">
        <f t="shared" si="1387"/>
        <v xml:space="preserve"> </v>
      </c>
      <c r="V2169" t="str">
        <f>"2,000"</f>
        <v>2,000</v>
      </c>
      <c r="W2169" t="str">
        <f t="shared" si="1369"/>
        <v>Lista 4</v>
      </c>
      <c r="X2169" t="str">
        <f t="shared" si="1370"/>
        <v>Lista 5</v>
      </c>
      <c r="Y2169" t="str">
        <f t="shared" si="1371"/>
        <v>Oferta Gral.</v>
      </c>
      <c r="Z2169" t="str">
        <f t="shared" si="1372"/>
        <v>Rubro</v>
      </c>
      <c r="AA2169" t="str">
        <f t="shared" si="1373"/>
        <v>Cantidad por Bulto</v>
      </c>
      <c r="AB2169" t="str">
        <f t="shared" si="1374"/>
        <v>INNER</v>
      </c>
      <c r="AC2169" t="str">
        <f t="shared" si="1375"/>
        <v>Stock en Bultos</v>
      </c>
      <c r="AD2169" t="str">
        <f t="shared" si="1376"/>
        <v>SubDepósito</v>
      </c>
      <c r="AE2169" t="str">
        <f t="shared" si="1377"/>
        <v>Marca</v>
      </c>
      <c r="AF2169" t="str">
        <f t="shared" si="1378"/>
        <v>Super Rubro</v>
      </c>
      <c r="AG2169" t="str">
        <f t="shared" si="1379"/>
        <v>ComercioExterior</v>
      </c>
      <c r="AH2169" t="str">
        <f t="shared" si="1380"/>
        <v>PrecioFOB</v>
      </c>
      <c r="AI2169" t="str">
        <f t="shared" si="1381"/>
        <v>Monto II</v>
      </c>
      <c r="AJ2169" t="str">
        <f t="shared" si="1382"/>
        <v>Porcentaje II</v>
      </c>
      <c r="AK2169" t="str">
        <f t="shared" si="1383"/>
        <v>Foto</v>
      </c>
      <c r="AL2169" t="str">
        <f>"{\rtf1\ansi\ansicpg1252\deff0\deflang11274{\fonttbl{\f0\fnil\fcharset0 MS Sans Serif}} \viewkind4\uc1\pard\f0\fs16 JGO. CABLES BUJ\'cdAS REGATTA 100\par } "</f>
        <v xml:space="preserve">{\rtf1\ansi\ansicpg1252\deff0\deflang11274{\fonttbl{\f0\fnil\fcharset0 MS Sans Serif}} \viewkind4\uc1\pard\f0\fs16 JGO. CABLES BUJ\'cdAS REGATTA 100\par } </v>
      </c>
      <c r="AM2169" t="str">
        <f t="shared" si="1401"/>
        <v>-</v>
      </c>
    </row>
    <row r="2170" spans="1:39" x14ac:dyDescent="0.25">
      <c r="A2170" t="str">
        <f>"05-33053"</f>
        <v>05-33053</v>
      </c>
      <c r="B2170" t="str">
        <f>"JGO. CABLES BUJÍAS REGATTA 2000"</f>
        <v>JGO. CABLES BUJÍAS REGATTA 2000</v>
      </c>
      <c r="C2170" t="str">
        <f>"$ 12042,51"</f>
        <v>$ 12042,51</v>
      </c>
      <c r="D2170" t="str">
        <f>"$ 12042,51"</f>
        <v>$ 12042,51</v>
      </c>
      <c r="E2170" t="str">
        <f>"$ 12042,51"</f>
        <v>$ 12042,51</v>
      </c>
      <c r="F2170" t="str">
        <f>"$ 12042,51"</f>
        <v>$ 12042,51</v>
      </c>
      <c r="G2170" t="str">
        <f>"$ 12042,51"</f>
        <v>$ 12042,51</v>
      </c>
      <c r="H2170" t="str">
        <f t="shared" si="1366"/>
        <v>$ 0,00</v>
      </c>
      <c r="I2170" t="str">
        <f>"CABLES BUJÍAS PVC ANTIPARASITARIOS"</f>
        <v>CABLES BUJÍAS PVC ANTIPARASITARIOS</v>
      </c>
      <c r="J2170" t="str">
        <f t="shared" si="1367"/>
        <v>1</v>
      </c>
      <c r="K2170" t="str">
        <f t="shared" si="1391"/>
        <v>0</v>
      </c>
      <c r="L2170" t="str">
        <f>"1,000"</f>
        <v>1,000</v>
      </c>
      <c r="M2170" t="str">
        <f t="shared" si="1368"/>
        <v xml:space="preserve"> </v>
      </c>
      <c r="N2170" t="str">
        <f t="shared" si="1396"/>
        <v>FERRAZZI</v>
      </c>
      <c r="O2170" t="str">
        <f t="shared" si="1398"/>
        <v>CABLES</v>
      </c>
      <c r="P2170" t="str">
        <f t="shared" si="1399"/>
        <v>0</v>
      </c>
      <c r="Q2170" t="str">
        <f t="shared" si="1399"/>
        <v>0</v>
      </c>
      <c r="R2170" t="str">
        <f t="shared" si="1400"/>
        <v>0,00</v>
      </c>
      <c r="S2170" t="str">
        <f t="shared" si="1400"/>
        <v>0,00</v>
      </c>
      <c r="T2170" t="str">
        <f t="shared" si="1365"/>
        <v xml:space="preserve"> </v>
      </c>
      <c r="U2170" t="str">
        <f t="shared" si="1387"/>
        <v xml:space="preserve"> </v>
      </c>
      <c r="V2170" t="str">
        <f>"1,000"</f>
        <v>1,000</v>
      </c>
      <c r="W2170" t="str">
        <f t="shared" si="1369"/>
        <v>Lista 4</v>
      </c>
      <c r="X2170" t="str">
        <f t="shared" si="1370"/>
        <v>Lista 5</v>
      </c>
      <c r="Y2170" t="str">
        <f t="shared" si="1371"/>
        <v>Oferta Gral.</v>
      </c>
      <c r="Z2170" t="str">
        <f t="shared" si="1372"/>
        <v>Rubro</v>
      </c>
      <c r="AA2170" t="str">
        <f t="shared" si="1373"/>
        <v>Cantidad por Bulto</v>
      </c>
      <c r="AB2170" t="str">
        <f t="shared" si="1374"/>
        <v>INNER</v>
      </c>
      <c r="AC2170" t="str">
        <f t="shared" si="1375"/>
        <v>Stock en Bultos</v>
      </c>
      <c r="AD2170" t="str">
        <f t="shared" si="1376"/>
        <v>SubDepósito</v>
      </c>
      <c r="AE2170" t="str">
        <f t="shared" si="1377"/>
        <v>Marca</v>
      </c>
      <c r="AF2170" t="str">
        <f t="shared" si="1378"/>
        <v>Super Rubro</v>
      </c>
      <c r="AG2170" t="str">
        <f t="shared" si="1379"/>
        <v>ComercioExterior</v>
      </c>
      <c r="AH2170" t="str">
        <f t="shared" si="1380"/>
        <v>PrecioFOB</v>
      </c>
      <c r="AI2170" t="str">
        <f t="shared" si="1381"/>
        <v>Monto II</v>
      </c>
      <c r="AJ2170" t="str">
        <f t="shared" si="1382"/>
        <v>Porcentaje II</v>
      </c>
      <c r="AK2170" t="str">
        <f t="shared" si="1383"/>
        <v>Foto</v>
      </c>
      <c r="AL2170" t="str">
        <f>"{\rtf1\ansi\ansicpg1252\deff0\deflang11274{\fonttbl{\f0\fnil\fcharset0 MS Sans Serif}} \viewkind4\uc1\pard\f0\fs16 JGO. CABLES BUJ\'cdAS REGATTA 2000\par } "</f>
        <v xml:space="preserve">{\rtf1\ansi\ansicpg1252\deff0\deflang11274{\fonttbl{\f0\fnil\fcharset0 MS Sans Serif}} \viewkind4\uc1\pard\f0\fs16 JGO. CABLES BUJ\'cdAS REGATTA 2000\par } </v>
      </c>
      <c r="AM2170" t="str">
        <f t="shared" si="1401"/>
        <v>-</v>
      </c>
    </row>
    <row r="2171" spans="1:39" x14ac:dyDescent="0.25">
      <c r="A2171" t="str">
        <f>"316"</f>
        <v>316</v>
      </c>
      <c r="B2171" t="str">
        <f>"JGO. CABLES BUJÍAS RENAULT CLIO II 1.2 D7F 2008 EN ADELANTE"</f>
        <v>JGO. CABLES BUJÍAS RENAULT CLIO II 1.2 D7F 2008 EN ADELANTE</v>
      </c>
      <c r="C2171" t="str">
        <f>"$ 50689,80"</f>
        <v>$ 50689,80</v>
      </c>
      <c r="D2171" t="str">
        <f>"$ 50689,80"</f>
        <v>$ 50689,80</v>
      </c>
      <c r="E2171" t="str">
        <f>"$ 50689,80"</f>
        <v>$ 50689,80</v>
      </c>
      <c r="F2171" t="str">
        <f>"$ 51775,50"</f>
        <v>$ 51775,50</v>
      </c>
      <c r="G2171" t="str">
        <f>"$ 51775,50"</f>
        <v>$ 51775,50</v>
      </c>
      <c r="H2171" t="str">
        <f t="shared" si="1366"/>
        <v>$ 0,00</v>
      </c>
      <c r="I2171" t="str">
        <f>"CABLES BUJÍAS SILICONA ANTIPARASITARIOS"</f>
        <v>CABLES BUJÍAS SILICONA ANTIPARASITARIOS</v>
      </c>
      <c r="J2171" t="str">
        <f t="shared" si="1367"/>
        <v>1</v>
      </c>
      <c r="K2171" t="str">
        <f t="shared" si="1391"/>
        <v>0</v>
      </c>
      <c r="L2171" t="str">
        <f>"5,000"</f>
        <v>5,000</v>
      </c>
      <c r="M2171" t="str">
        <f t="shared" si="1368"/>
        <v xml:space="preserve"> </v>
      </c>
      <c r="N2171" t="str">
        <f>"BOUGICORD"</f>
        <v>BOUGICORD</v>
      </c>
      <c r="O2171" t="str">
        <f t="shared" si="1398"/>
        <v>CABLES</v>
      </c>
      <c r="P2171" t="str">
        <f t="shared" si="1399"/>
        <v>0</v>
      </c>
      <c r="Q2171" t="str">
        <f t="shared" si="1399"/>
        <v>0</v>
      </c>
      <c r="R2171" t="str">
        <f t="shared" si="1400"/>
        <v>0,00</v>
      </c>
      <c r="S2171" t="str">
        <f t="shared" si="1400"/>
        <v>0,00</v>
      </c>
      <c r="T2171" t="str">
        <f t="shared" si="1365"/>
        <v xml:space="preserve"> </v>
      </c>
      <c r="U2171" t="str">
        <f t="shared" si="1387"/>
        <v xml:space="preserve"> </v>
      </c>
      <c r="V2171" t="str">
        <f>"5,000"</f>
        <v>5,000</v>
      </c>
      <c r="W2171" t="str">
        <f t="shared" si="1369"/>
        <v>Lista 4</v>
      </c>
      <c r="X2171" t="str">
        <f t="shared" si="1370"/>
        <v>Lista 5</v>
      </c>
      <c r="Y2171" t="str">
        <f t="shared" si="1371"/>
        <v>Oferta Gral.</v>
      </c>
      <c r="Z2171" t="str">
        <f t="shared" si="1372"/>
        <v>Rubro</v>
      </c>
      <c r="AA2171" t="str">
        <f t="shared" si="1373"/>
        <v>Cantidad por Bulto</v>
      </c>
      <c r="AB2171" t="str">
        <f t="shared" si="1374"/>
        <v>INNER</v>
      </c>
      <c r="AC2171" t="str">
        <f t="shared" si="1375"/>
        <v>Stock en Bultos</v>
      </c>
      <c r="AD2171" t="str">
        <f t="shared" si="1376"/>
        <v>SubDepósito</v>
      </c>
      <c r="AE2171" t="str">
        <f t="shared" si="1377"/>
        <v>Marca</v>
      </c>
      <c r="AF2171" t="str">
        <f t="shared" si="1378"/>
        <v>Super Rubro</v>
      </c>
      <c r="AG2171" t="str">
        <f t="shared" si="1379"/>
        <v>ComercioExterior</v>
      </c>
      <c r="AH2171" t="str">
        <f t="shared" si="1380"/>
        <v>PrecioFOB</v>
      </c>
      <c r="AI2171" t="str">
        <f t="shared" si="1381"/>
        <v>Monto II</v>
      </c>
      <c r="AJ2171" t="str">
        <f t="shared" si="1382"/>
        <v>Porcentaje II</v>
      </c>
      <c r="AK2171" t="str">
        <f t="shared" si="1383"/>
        <v>Foto</v>
      </c>
      <c r="AL2171" t="str">
        <f>"{\rtf1\ansi\ansicpg1252\deff0\deflang11274{\fonttbl{\f0\fnil\fcharset0 MS Sans Serif}} \viewkind4\uc1\pard\f0\fs16 JGO. CABLES BUJ\'cdAS RENAULT CLIO II 1.2 D7F 2008 EN ADELANTE\par } "</f>
        <v xml:space="preserve">{\rtf1\ansi\ansicpg1252\deff0\deflang11274{\fonttbl{\f0\fnil\fcharset0 MS Sans Serif}} \viewkind4\uc1\pard\f0\fs16 JGO. CABLES BUJ\'cdAS RENAULT CLIO II 1.2 D7F 2008 EN ADELANTE\par } </v>
      </c>
      <c r="AM2171" t="str">
        <f t="shared" si="1401"/>
        <v>-</v>
      </c>
    </row>
    <row r="2172" spans="1:39" x14ac:dyDescent="0.25">
      <c r="A2172" t="str">
        <f>"06-01723"</f>
        <v>06-01723</v>
      </c>
      <c r="B2172" t="str">
        <f>"JGO. CABLES BUJÍAS RENAULT CLIO WILLIAMS 19 16S 1.8 16V "</f>
        <v xml:space="preserve">JGO. CABLES BUJÍAS RENAULT CLIO WILLIAMS 19 16S 1.8 16V </v>
      </c>
      <c r="C2172" t="str">
        <f>"$ 35648,51"</f>
        <v>$ 35648,51</v>
      </c>
      <c r="D2172" t="str">
        <f>"$ 35648,51"</f>
        <v>$ 35648,51</v>
      </c>
      <c r="E2172" t="str">
        <f>"$ 35648,51"</f>
        <v>$ 35648,51</v>
      </c>
      <c r="F2172" t="str">
        <f>"$ 35648,51"</f>
        <v>$ 35648,51</v>
      </c>
      <c r="G2172" t="str">
        <f>"$ 35648,51"</f>
        <v>$ 35648,51</v>
      </c>
      <c r="H2172" t="str">
        <f t="shared" si="1366"/>
        <v>$ 0,00</v>
      </c>
      <c r="I2172" t="str">
        <f>"CABLES BUJÍAS SILICONA ANTIPARASITARIOS"</f>
        <v>CABLES BUJÍAS SILICONA ANTIPARASITARIOS</v>
      </c>
      <c r="J2172" t="str">
        <f t="shared" si="1367"/>
        <v>1</v>
      </c>
      <c r="K2172" t="str">
        <f t="shared" si="1391"/>
        <v>0</v>
      </c>
      <c r="L2172" t="str">
        <f>"38,000"</f>
        <v>38,000</v>
      </c>
      <c r="M2172" t="str">
        <f t="shared" si="1368"/>
        <v xml:space="preserve"> </v>
      </c>
      <c r="N2172" t="str">
        <f>"FERRAZZI"</f>
        <v>FERRAZZI</v>
      </c>
      <c r="O2172" t="str">
        <f t="shared" si="1398"/>
        <v>CABLES</v>
      </c>
      <c r="P2172" t="str">
        <f t="shared" si="1399"/>
        <v>0</v>
      </c>
      <c r="Q2172" t="str">
        <f t="shared" si="1399"/>
        <v>0</v>
      </c>
      <c r="R2172" t="str">
        <f t="shared" si="1400"/>
        <v>0,00</v>
      </c>
      <c r="S2172" t="str">
        <f t="shared" si="1400"/>
        <v>0,00</v>
      </c>
      <c r="T2172" t="str">
        <f t="shared" si="1365"/>
        <v xml:space="preserve"> </v>
      </c>
      <c r="U2172" t="str">
        <f t="shared" si="1387"/>
        <v xml:space="preserve"> </v>
      </c>
      <c r="V2172" t="str">
        <f>"38,000"</f>
        <v>38,000</v>
      </c>
      <c r="W2172" t="str">
        <f t="shared" si="1369"/>
        <v>Lista 4</v>
      </c>
      <c r="X2172" t="str">
        <f t="shared" si="1370"/>
        <v>Lista 5</v>
      </c>
      <c r="Y2172" t="str">
        <f t="shared" si="1371"/>
        <v>Oferta Gral.</v>
      </c>
      <c r="Z2172" t="str">
        <f t="shared" si="1372"/>
        <v>Rubro</v>
      </c>
      <c r="AA2172" t="str">
        <f t="shared" si="1373"/>
        <v>Cantidad por Bulto</v>
      </c>
      <c r="AB2172" t="str">
        <f t="shared" si="1374"/>
        <v>INNER</v>
      </c>
      <c r="AC2172" t="str">
        <f t="shared" si="1375"/>
        <v>Stock en Bultos</v>
      </c>
      <c r="AD2172" t="str">
        <f t="shared" si="1376"/>
        <v>SubDepósito</v>
      </c>
      <c r="AE2172" t="str">
        <f t="shared" si="1377"/>
        <v>Marca</v>
      </c>
      <c r="AF2172" t="str">
        <f t="shared" si="1378"/>
        <v>Super Rubro</v>
      </c>
      <c r="AG2172" t="str">
        <f t="shared" si="1379"/>
        <v>ComercioExterior</v>
      </c>
      <c r="AH2172" t="str">
        <f t="shared" si="1380"/>
        <v>PrecioFOB</v>
      </c>
      <c r="AI2172" t="str">
        <f t="shared" si="1381"/>
        <v>Monto II</v>
      </c>
      <c r="AJ2172" t="str">
        <f t="shared" si="1382"/>
        <v>Porcentaje II</v>
      </c>
      <c r="AK2172" t="str">
        <f t="shared" si="1383"/>
        <v>Foto</v>
      </c>
      <c r="AL2172" t="str">
        <f>"{\rtf1\ansi\ansicpg1252\deff0\deflang2058{\fonttbl{\f0\fnil\fcharset0 MS Sans Serif}} \viewkind4\uc1\pard\f0\fs16 JGO. CABLES BUJ\'cdAS RENAULT CLIO WILLIAMS 19 16S 1.8 16V \par } "</f>
        <v xml:space="preserve">{\rtf1\ansi\ansicpg1252\deff0\deflang2058{\fonttbl{\f0\fnil\fcharset0 MS Sans Serif}} \viewkind4\uc1\pard\f0\fs16 JGO. CABLES BUJ\'cdAS RENAULT CLIO WILLIAMS 19 16S 1.8 16V \par } </v>
      </c>
      <c r="AM2172" t="str">
        <f>" "</f>
        <v xml:space="preserve"> </v>
      </c>
    </row>
    <row r="2173" spans="1:39" x14ac:dyDescent="0.25">
      <c r="A2173" t="str">
        <f>"275"</f>
        <v>275</v>
      </c>
      <c r="B2173" t="str">
        <f>"JGO. CABLES BUJÍAS RENAULT MEGANE RN 1.6 E DESDE 2000"</f>
        <v>JGO. CABLES BUJÍAS RENAULT MEGANE RN 1.6 E DESDE 2000</v>
      </c>
      <c r="C2173" t="str">
        <f>"$ 42844,95"</f>
        <v>$ 42844,95</v>
      </c>
      <c r="D2173" t="str">
        <f>"$ 42844,95"</f>
        <v>$ 42844,95</v>
      </c>
      <c r="E2173" t="str">
        <f>"$ 42844,95"</f>
        <v>$ 42844,95</v>
      </c>
      <c r="F2173" t="str">
        <f>"$ 43762,63"</f>
        <v>$ 43762,63</v>
      </c>
      <c r="G2173" t="str">
        <f>"$ 43762,63"</f>
        <v>$ 43762,63</v>
      </c>
      <c r="H2173" t="str">
        <f t="shared" si="1366"/>
        <v>$ 0,00</v>
      </c>
      <c r="I2173" t="str">
        <f>"CABLES BUJÍAS SILICONA ANTIPARASITARIOS"</f>
        <v>CABLES BUJÍAS SILICONA ANTIPARASITARIOS</v>
      </c>
      <c r="J2173" t="str">
        <f t="shared" si="1367"/>
        <v>1</v>
      </c>
      <c r="K2173" t="str">
        <f t="shared" si="1391"/>
        <v>0</v>
      </c>
      <c r="L2173" t="str">
        <f>"21,000"</f>
        <v>21,000</v>
      </c>
      <c r="M2173" t="str">
        <f t="shared" si="1368"/>
        <v xml:space="preserve"> </v>
      </c>
      <c r="N2173" t="str">
        <f>"BOUGICORD"</f>
        <v>BOUGICORD</v>
      </c>
      <c r="O2173" t="str">
        <f t="shared" si="1398"/>
        <v>CABLES</v>
      </c>
      <c r="P2173" t="str">
        <f t="shared" si="1399"/>
        <v>0</v>
      </c>
      <c r="Q2173" t="str">
        <f t="shared" si="1399"/>
        <v>0</v>
      </c>
      <c r="R2173" t="str">
        <f t="shared" si="1400"/>
        <v>0,00</v>
      </c>
      <c r="S2173" t="str">
        <f t="shared" si="1400"/>
        <v>0,00</v>
      </c>
      <c r="T2173" t="str">
        <f t="shared" si="1365"/>
        <v xml:space="preserve"> </v>
      </c>
      <c r="U2173" t="str">
        <f t="shared" si="1387"/>
        <v xml:space="preserve"> </v>
      </c>
      <c r="V2173" t="str">
        <f>"21,000"</f>
        <v>21,000</v>
      </c>
      <c r="W2173" t="str">
        <f t="shared" si="1369"/>
        <v>Lista 4</v>
      </c>
      <c r="X2173" t="str">
        <f t="shared" si="1370"/>
        <v>Lista 5</v>
      </c>
      <c r="Y2173" t="str">
        <f t="shared" si="1371"/>
        <v>Oferta Gral.</v>
      </c>
      <c r="Z2173" t="str">
        <f t="shared" si="1372"/>
        <v>Rubro</v>
      </c>
      <c r="AA2173" t="str">
        <f t="shared" si="1373"/>
        <v>Cantidad por Bulto</v>
      </c>
      <c r="AB2173" t="str">
        <f t="shared" si="1374"/>
        <v>INNER</v>
      </c>
      <c r="AC2173" t="str">
        <f t="shared" si="1375"/>
        <v>Stock en Bultos</v>
      </c>
      <c r="AD2173" t="str">
        <f t="shared" si="1376"/>
        <v>SubDepósito</v>
      </c>
      <c r="AE2173" t="str">
        <f t="shared" si="1377"/>
        <v>Marca</v>
      </c>
      <c r="AF2173" t="str">
        <f t="shared" si="1378"/>
        <v>Super Rubro</v>
      </c>
      <c r="AG2173" t="str">
        <f t="shared" si="1379"/>
        <v>ComercioExterior</v>
      </c>
      <c r="AH2173" t="str">
        <f t="shared" si="1380"/>
        <v>PrecioFOB</v>
      </c>
      <c r="AI2173" t="str">
        <f t="shared" si="1381"/>
        <v>Monto II</v>
      </c>
      <c r="AJ2173" t="str">
        <f t="shared" si="1382"/>
        <v>Porcentaje II</v>
      </c>
      <c r="AK2173" t="str">
        <f t="shared" si="1383"/>
        <v>Foto</v>
      </c>
      <c r="AL2173" t="str">
        <f>"{\rtf1\ansi\ansicpg1252\deff0\deflang11274{\fonttbl{\f0\fnil\fcharset0 MS Sans Serif}} \viewkind4\uc1\pard\f0\fs16 JGO. CABLES BUJ\'cdAS RENAULT MEGANE RN 1.6 E DESDE 2000\par } "</f>
        <v xml:space="preserve">{\rtf1\ansi\ansicpg1252\deff0\deflang11274{\fonttbl{\f0\fnil\fcharset0 MS Sans Serif}} \viewkind4\uc1\pard\f0\fs16 JGO. CABLES BUJ\'cdAS RENAULT MEGANE RN 1.6 E DESDE 2000\par } </v>
      </c>
      <c r="AM2173" t="str">
        <f t="shared" ref="AM2173:AM2204" si="1402">"-"</f>
        <v>-</v>
      </c>
    </row>
    <row r="2174" spans="1:39" x14ac:dyDescent="0.25">
      <c r="A2174" t="str">
        <f>"05-33060"</f>
        <v>05-33060</v>
      </c>
      <c r="B2174" t="str">
        <f>"JGO. CABLES BUJÍAS SIENA - PALIO MONOPUNTO"</f>
        <v>JGO. CABLES BUJÍAS SIENA - PALIO MONOPUNTO</v>
      </c>
      <c r="C2174" t="str">
        <f>"$ 9800,24"</f>
        <v>$ 9800,24</v>
      </c>
      <c r="D2174" t="str">
        <f>"$ 9800,24"</f>
        <v>$ 9800,24</v>
      </c>
      <c r="E2174" t="str">
        <f>"$ 9800,24"</f>
        <v>$ 9800,24</v>
      </c>
      <c r="F2174" t="str">
        <f>"$ 9800,24"</f>
        <v>$ 9800,24</v>
      </c>
      <c r="G2174" t="str">
        <f>"$ 9800,24"</f>
        <v>$ 9800,24</v>
      </c>
      <c r="H2174" t="str">
        <f t="shared" si="1366"/>
        <v>$ 0,00</v>
      </c>
      <c r="I2174" t="str">
        <f>"CABLES BUJÍAS PVC ANTIPARASITARIOS"</f>
        <v>CABLES BUJÍAS PVC ANTIPARASITARIOS</v>
      </c>
      <c r="J2174" t="str">
        <f t="shared" si="1367"/>
        <v>1</v>
      </c>
      <c r="K2174" t="str">
        <f t="shared" si="1391"/>
        <v>0</v>
      </c>
      <c r="L2174" t="str">
        <f>"9,000"</f>
        <v>9,000</v>
      </c>
      <c r="M2174" t="str">
        <f t="shared" si="1368"/>
        <v xml:space="preserve"> </v>
      </c>
      <c r="N2174" t="str">
        <f t="shared" ref="N2174:N2191" si="1403">"FERRAZZI"</f>
        <v>FERRAZZI</v>
      </c>
      <c r="O2174" t="str">
        <f t="shared" si="1398"/>
        <v>CABLES</v>
      </c>
      <c r="P2174" t="str">
        <f t="shared" si="1399"/>
        <v>0</v>
      </c>
      <c r="Q2174" t="str">
        <f t="shared" si="1399"/>
        <v>0</v>
      </c>
      <c r="R2174" t="str">
        <f t="shared" si="1400"/>
        <v>0,00</v>
      </c>
      <c r="S2174" t="str">
        <f t="shared" si="1400"/>
        <v>0,00</v>
      </c>
      <c r="T2174" t="str">
        <f t="shared" si="1365"/>
        <v xml:space="preserve"> </v>
      </c>
      <c r="U2174" t="str">
        <f t="shared" si="1387"/>
        <v xml:space="preserve"> </v>
      </c>
      <c r="V2174" t="str">
        <f>"9,000"</f>
        <v>9,000</v>
      </c>
      <c r="W2174" t="str">
        <f t="shared" si="1369"/>
        <v>Lista 4</v>
      </c>
      <c r="X2174" t="str">
        <f t="shared" si="1370"/>
        <v>Lista 5</v>
      </c>
      <c r="Y2174" t="str">
        <f t="shared" si="1371"/>
        <v>Oferta Gral.</v>
      </c>
      <c r="Z2174" t="str">
        <f t="shared" si="1372"/>
        <v>Rubro</v>
      </c>
      <c r="AA2174" t="str">
        <f t="shared" si="1373"/>
        <v>Cantidad por Bulto</v>
      </c>
      <c r="AB2174" t="str">
        <f t="shared" si="1374"/>
        <v>INNER</v>
      </c>
      <c r="AC2174" t="str">
        <f t="shared" si="1375"/>
        <v>Stock en Bultos</v>
      </c>
      <c r="AD2174" t="str">
        <f t="shared" si="1376"/>
        <v>SubDepósito</v>
      </c>
      <c r="AE2174" t="str">
        <f t="shared" si="1377"/>
        <v>Marca</v>
      </c>
      <c r="AF2174" t="str">
        <f t="shared" si="1378"/>
        <v>Super Rubro</v>
      </c>
      <c r="AG2174" t="str">
        <f t="shared" si="1379"/>
        <v>ComercioExterior</v>
      </c>
      <c r="AH2174" t="str">
        <f t="shared" si="1380"/>
        <v>PrecioFOB</v>
      </c>
      <c r="AI2174" t="str">
        <f t="shared" si="1381"/>
        <v>Monto II</v>
      </c>
      <c r="AJ2174" t="str">
        <f t="shared" si="1382"/>
        <v>Porcentaje II</v>
      </c>
      <c r="AK2174" t="str">
        <f t="shared" si="1383"/>
        <v>Foto</v>
      </c>
      <c r="AL2174" t="str">
        <f>"{\rtf1\ansi\ansicpg1252\deff0\deflang11274{\fonttbl{\f0\fnil\fcharset0 MS Sans Serif}} \viewkind4\uc1\pard\f0\fs16 JGO. CABLES BUJ\'cdAS SIENA - PALIO MONOPUNTO\par } "</f>
        <v xml:space="preserve">{\rtf1\ansi\ansicpg1252\deff0\deflang11274{\fonttbl{\f0\fnil\fcharset0 MS Sans Serif}} \viewkind4\uc1\pard\f0\fs16 JGO. CABLES BUJ\'cdAS SIENA - PALIO MONOPUNTO\par } </v>
      </c>
      <c r="AM2174" t="str">
        <f t="shared" si="1402"/>
        <v>-</v>
      </c>
    </row>
    <row r="2175" spans="1:39" x14ac:dyDescent="0.25">
      <c r="A2175" t="str">
        <f>"05-01771"</f>
        <v>05-01771</v>
      </c>
      <c r="B2175" t="str">
        <f>"JGO. CABLES BUJÍAS SILICONADO FIAT MOBI 1.0"</f>
        <v>JGO. CABLES BUJÍAS SILICONADO FIAT MOBI 1.0</v>
      </c>
      <c r="C2175" t="str">
        <f>"$ 20513,32"</f>
        <v>$ 20513,32</v>
      </c>
      <c r="D2175" t="str">
        <f>"$ 20513,32"</f>
        <v>$ 20513,32</v>
      </c>
      <c r="E2175" t="str">
        <f>"$ 20513,32"</f>
        <v>$ 20513,32</v>
      </c>
      <c r="F2175" t="str">
        <f>"$ 20513,32"</f>
        <v>$ 20513,32</v>
      </c>
      <c r="G2175" t="str">
        <f>"$ 20513,32"</f>
        <v>$ 20513,32</v>
      </c>
      <c r="H2175" t="str">
        <f t="shared" si="1366"/>
        <v>$ 0,00</v>
      </c>
      <c r="I2175" t="str">
        <f>"CABLES BUJÍAS SILICONA ANTIPARASITARIOS"</f>
        <v>CABLES BUJÍAS SILICONA ANTIPARASITARIOS</v>
      </c>
      <c r="J2175" t="str">
        <f t="shared" si="1367"/>
        <v>1</v>
      </c>
      <c r="K2175" t="str">
        <f t="shared" si="1391"/>
        <v>0</v>
      </c>
      <c r="L2175" t="str">
        <f>"7,000"</f>
        <v>7,000</v>
      </c>
      <c r="M2175" t="str">
        <f t="shared" si="1368"/>
        <v xml:space="preserve"> </v>
      </c>
      <c r="N2175" t="str">
        <f t="shared" si="1403"/>
        <v>FERRAZZI</v>
      </c>
      <c r="O2175" t="str">
        <f t="shared" si="1398"/>
        <v>CABLES</v>
      </c>
      <c r="P2175" t="str">
        <f t="shared" si="1399"/>
        <v>0</v>
      </c>
      <c r="Q2175" t="str">
        <f t="shared" si="1399"/>
        <v>0</v>
      </c>
      <c r="R2175" t="str">
        <f t="shared" si="1400"/>
        <v>0,00</v>
      </c>
      <c r="S2175" t="str">
        <f t="shared" si="1400"/>
        <v>0,00</v>
      </c>
      <c r="T2175" t="str">
        <f t="shared" si="1365"/>
        <v xml:space="preserve"> </v>
      </c>
      <c r="U2175" t="str">
        <f t="shared" si="1387"/>
        <v xml:space="preserve"> </v>
      </c>
      <c r="V2175" t="str">
        <f>"7,000"</f>
        <v>7,000</v>
      </c>
      <c r="W2175" t="str">
        <f t="shared" si="1369"/>
        <v>Lista 4</v>
      </c>
      <c r="X2175" t="str">
        <f t="shared" si="1370"/>
        <v>Lista 5</v>
      </c>
      <c r="Y2175" t="str">
        <f t="shared" si="1371"/>
        <v>Oferta Gral.</v>
      </c>
      <c r="Z2175" t="str">
        <f t="shared" si="1372"/>
        <v>Rubro</v>
      </c>
      <c r="AA2175" t="str">
        <f t="shared" si="1373"/>
        <v>Cantidad por Bulto</v>
      </c>
      <c r="AB2175" t="str">
        <f t="shared" si="1374"/>
        <v>INNER</v>
      </c>
      <c r="AC2175" t="str">
        <f t="shared" si="1375"/>
        <v>Stock en Bultos</v>
      </c>
      <c r="AD2175" t="str">
        <f t="shared" si="1376"/>
        <v>SubDepósito</v>
      </c>
      <c r="AE2175" t="str">
        <f t="shared" si="1377"/>
        <v>Marca</v>
      </c>
      <c r="AF2175" t="str">
        <f t="shared" si="1378"/>
        <v>Super Rubro</v>
      </c>
      <c r="AG2175" t="str">
        <f t="shared" si="1379"/>
        <v>ComercioExterior</v>
      </c>
      <c r="AH2175" t="str">
        <f t="shared" si="1380"/>
        <v>PrecioFOB</v>
      </c>
      <c r="AI2175" t="str">
        <f t="shared" si="1381"/>
        <v>Monto II</v>
      </c>
      <c r="AJ2175" t="str">
        <f t="shared" si="1382"/>
        <v>Porcentaje II</v>
      </c>
      <c r="AK2175" t="str">
        <f t="shared" si="1383"/>
        <v>Foto</v>
      </c>
      <c r="AL2175" t="str">
        <f>"{\rtf1\ansi\ansicpg1252\deff0\deflang11274{\fonttbl{\f0\fnil\fcharset0 MS Sans Serif}} \viewkind4\uc1\pard\f0\fs16 JGO. CABLES BUJ\'cdAS CORSA 1.4 EFI  DIST BOSCH\par } "</f>
        <v xml:space="preserve">{\rtf1\ansi\ansicpg1252\deff0\deflang11274{\fonttbl{\f0\fnil\fcharset0 MS Sans Serif}} \viewkind4\uc1\pard\f0\fs16 JGO. CABLES BUJ\'cdAS CORSA 1.4 EFI  DIST BOSCH\par } </v>
      </c>
      <c r="AM2175" t="str">
        <f t="shared" si="1402"/>
        <v>-</v>
      </c>
    </row>
    <row r="2176" spans="1:39" x14ac:dyDescent="0.25">
      <c r="A2176" t="str">
        <f>"03-01722"</f>
        <v>03-01722</v>
      </c>
      <c r="B2176" t="str">
        <f>"JGO. CABLES BUJÍAS SILICONADOS DODGE GTX V8"</f>
        <v>JGO. CABLES BUJÍAS SILICONADOS DODGE GTX V8</v>
      </c>
      <c r="C2176" t="str">
        <f>"$ 28998,55"</f>
        <v>$ 28998,55</v>
      </c>
      <c r="D2176" t="str">
        <f>"$ 28998,55"</f>
        <v>$ 28998,55</v>
      </c>
      <c r="E2176" t="str">
        <f>"$ 28998,55"</f>
        <v>$ 28998,55</v>
      </c>
      <c r="F2176" t="str">
        <f>"$ 28998,55"</f>
        <v>$ 28998,55</v>
      </c>
      <c r="G2176" t="str">
        <f>"$ 28998,55"</f>
        <v>$ 28998,55</v>
      </c>
      <c r="H2176" t="str">
        <f t="shared" si="1366"/>
        <v>$ 0,00</v>
      </c>
      <c r="I2176" t="str">
        <f>"CABLES BUJÍAS SILICONA ANTIPARASITARIOS"</f>
        <v>CABLES BUJÍAS SILICONA ANTIPARASITARIOS</v>
      </c>
      <c r="J2176" t="str">
        <f t="shared" si="1367"/>
        <v>1</v>
      </c>
      <c r="K2176" t="str">
        <f t="shared" si="1391"/>
        <v>0</v>
      </c>
      <c r="L2176" t="str">
        <f>"18,000"</f>
        <v>18,000</v>
      </c>
      <c r="M2176" t="str">
        <f t="shared" si="1368"/>
        <v xml:space="preserve"> </v>
      </c>
      <c r="N2176" t="str">
        <f t="shared" si="1403"/>
        <v>FERRAZZI</v>
      </c>
      <c r="O2176" t="str">
        <f t="shared" si="1398"/>
        <v>CABLES</v>
      </c>
      <c r="P2176" t="str">
        <f t="shared" si="1399"/>
        <v>0</v>
      </c>
      <c r="Q2176" t="str">
        <f t="shared" si="1399"/>
        <v>0</v>
      </c>
      <c r="R2176" t="str">
        <f t="shared" si="1400"/>
        <v>0,00</v>
      </c>
      <c r="S2176" t="str">
        <f t="shared" si="1400"/>
        <v>0,00</v>
      </c>
      <c r="T2176" t="str">
        <f t="shared" ref="T2176:T2239" si="1404">" "</f>
        <v xml:space="preserve"> </v>
      </c>
      <c r="U2176" t="str">
        <f t="shared" si="1387"/>
        <v xml:space="preserve"> </v>
      </c>
      <c r="V2176" t="str">
        <f>"18,000"</f>
        <v>18,000</v>
      </c>
      <c r="W2176" t="str">
        <f t="shared" si="1369"/>
        <v>Lista 4</v>
      </c>
      <c r="X2176" t="str">
        <f t="shared" si="1370"/>
        <v>Lista 5</v>
      </c>
      <c r="Y2176" t="str">
        <f t="shared" si="1371"/>
        <v>Oferta Gral.</v>
      </c>
      <c r="Z2176" t="str">
        <f t="shared" si="1372"/>
        <v>Rubro</v>
      </c>
      <c r="AA2176" t="str">
        <f t="shared" si="1373"/>
        <v>Cantidad por Bulto</v>
      </c>
      <c r="AB2176" t="str">
        <f t="shared" si="1374"/>
        <v>INNER</v>
      </c>
      <c r="AC2176" t="str">
        <f t="shared" si="1375"/>
        <v>Stock en Bultos</v>
      </c>
      <c r="AD2176" t="str">
        <f t="shared" si="1376"/>
        <v>SubDepósito</v>
      </c>
      <c r="AE2176" t="str">
        <f t="shared" si="1377"/>
        <v>Marca</v>
      </c>
      <c r="AF2176" t="str">
        <f t="shared" si="1378"/>
        <v>Super Rubro</v>
      </c>
      <c r="AG2176" t="str">
        <f t="shared" si="1379"/>
        <v>ComercioExterior</v>
      </c>
      <c r="AH2176" t="str">
        <f t="shared" si="1380"/>
        <v>PrecioFOB</v>
      </c>
      <c r="AI2176" t="str">
        <f t="shared" si="1381"/>
        <v>Monto II</v>
      </c>
      <c r="AJ2176" t="str">
        <f t="shared" si="1382"/>
        <v>Porcentaje II</v>
      </c>
      <c r="AK2176" t="str">
        <f t="shared" si="1383"/>
        <v>Foto</v>
      </c>
      <c r="AL2176" t="str">
        <f>"{\rtf1\ansi\ansicpg1252\deff0\deflang11274{\fonttbl{\f0\fnil\fcharset0 MS Sans Serif}} \viewkind4\uc1\pard\f0\fs16 JGO. CABLES BUJ\'cdAS SILICONADOS DODGE GTX V8\par } "</f>
        <v xml:space="preserve">{\rtf1\ansi\ansicpg1252\deff0\deflang11274{\fonttbl{\f0\fnil\fcharset0 MS Sans Serif}} \viewkind4\uc1\pard\f0\fs16 JGO. CABLES BUJ\'cdAS SILICONADOS DODGE GTX V8\par } </v>
      </c>
      <c r="AM2176" t="str">
        <f t="shared" si="1402"/>
        <v>-</v>
      </c>
    </row>
    <row r="2177" spans="1:39" x14ac:dyDescent="0.25">
      <c r="A2177" t="str">
        <f>"03-01791"</f>
        <v>03-01791</v>
      </c>
      <c r="B2177" t="str">
        <f>"JGO. CABLES BUJÍAS SILICONADOS DODGE POLARA  VALIANT"</f>
        <v>JGO. CABLES BUJÍAS SILICONADOS DODGE POLARA  VALIANT</v>
      </c>
      <c r="C2177" t="str">
        <f>"$ 19532,34"</f>
        <v>$ 19532,34</v>
      </c>
      <c r="D2177" t="str">
        <f>"$ 19532,34"</f>
        <v>$ 19532,34</v>
      </c>
      <c r="E2177" t="str">
        <f>"$ 19532,34"</f>
        <v>$ 19532,34</v>
      </c>
      <c r="F2177" t="str">
        <f>"$ 19532,34"</f>
        <v>$ 19532,34</v>
      </c>
      <c r="G2177" t="str">
        <f>"$ 19532,34"</f>
        <v>$ 19532,34</v>
      </c>
      <c r="H2177" t="str">
        <f t="shared" si="1366"/>
        <v>$ 0,00</v>
      </c>
      <c r="I2177" t="str">
        <f>"CABLES BUJÍAS SILICONA ANTIPARASITARIOS"</f>
        <v>CABLES BUJÍAS SILICONA ANTIPARASITARIOS</v>
      </c>
      <c r="J2177" t="str">
        <f t="shared" si="1367"/>
        <v>1</v>
      </c>
      <c r="K2177" t="str">
        <f t="shared" si="1391"/>
        <v>0</v>
      </c>
      <c r="L2177" t="str">
        <f>"22,000"</f>
        <v>22,000</v>
      </c>
      <c r="M2177" t="str">
        <f t="shared" si="1368"/>
        <v xml:space="preserve"> </v>
      </c>
      <c r="N2177" t="str">
        <f t="shared" si="1403"/>
        <v>FERRAZZI</v>
      </c>
      <c r="O2177" t="str">
        <f t="shared" si="1398"/>
        <v>CABLES</v>
      </c>
      <c r="P2177" t="str">
        <f t="shared" si="1399"/>
        <v>0</v>
      </c>
      <c r="Q2177" t="str">
        <f t="shared" si="1399"/>
        <v>0</v>
      </c>
      <c r="R2177" t="str">
        <f t="shared" si="1400"/>
        <v>0,00</v>
      </c>
      <c r="S2177" t="str">
        <f t="shared" si="1400"/>
        <v>0,00</v>
      </c>
      <c r="T2177" t="str">
        <f t="shared" si="1404"/>
        <v xml:space="preserve"> </v>
      </c>
      <c r="U2177" t="str">
        <f t="shared" si="1387"/>
        <v xml:space="preserve"> </v>
      </c>
      <c r="V2177" t="str">
        <f>"22,000"</f>
        <v>22,000</v>
      </c>
      <c r="W2177" t="str">
        <f t="shared" si="1369"/>
        <v>Lista 4</v>
      </c>
      <c r="X2177" t="str">
        <f t="shared" si="1370"/>
        <v>Lista 5</v>
      </c>
      <c r="Y2177" t="str">
        <f t="shared" si="1371"/>
        <v>Oferta Gral.</v>
      </c>
      <c r="Z2177" t="str">
        <f t="shared" si="1372"/>
        <v>Rubro</v>
      </c>
      <c r="AA2177" t="str">
        <f t="shared" si="1373"/>
        <v>Cantidad por Bulto</v>
      </c>
      <c r="AB2177" t="str">
        <f t="shared" si="1374"/>
        <v>INNER</v>
      </c>
      <c r="AC2177" t="str">
        <f t="shared" si="1375"/>
        <v>Stock en Bultos</v>
      </c>
      <c r="AD2177" t="str">
        <f t="shared" si="1376"/>
        <v>SubDepósito</v>
      </c>
      <c r="AE2177" t="str">
        <f t="shared" si="1377"/>
        <v>Marca</v>
      </c>
      <c r="AF2177" t="str">
        <f t="shared" si="1378"/>
        <v>Super Rubro</v>
      </c>
      <c r="AG2177" t="str">
        <f t="shared" si="1379"/>
        <v>ComercioExterior</v>
      </c>
      <c r="AH2177" t="str">
        <f t="shared" si="1380"/>
        <v>PrecioFOB</v>
      </c>
      <c r="AI2177" t="str">
        <f t="shared" si="1381"/>
        <v>Monto II</v>
      </c>
      <c r="AJ2177" t="str">
        <f t="shared" si="1382"/>
        <v>Porcentaje II</v>
      </c>
      <c r="AK2177" t="str">
        <f t="shared" si="1383"/>
        <v>Foto</v>
      </c>
      <c r="AL2177" t="str">
        <f>"{\rtf1\ansi\ansicpg1252\deff0\deflang11274{\fonttbl{\f0\fnil\fcharset0 MS Sans Serif}} \viewkind4\uc1\pard\f0\fs16 JGO. CABLES BUJ\'cdAS SILICONADOS DODGE POLARA  VALIANT\par } "</f>
        <v xml:space="preserve">{\rtf1\ansi\ansicpg1252\deff0\deflang11274{\fonttbl{\f0\fnil\fcharset0 MS Sans Serif}} \viewkind4\uc1\pard\f0\fs16 JGO. CABLES BUJ\'cdAS SILICONADOS DODGE POLARA  VALIANT\par } </v>
      </c>
      <c r="AM2177" t="str">
        <f t="shared" si="1402"/>
        <v>-</v>
      </c>
    </row>
    <row r="2178" spans="1:39" x14ac:dyDescent="0.25">
      <c r="A2178" t="str">
        <f>"06-01725"</f>
        <v>06-01725</v>
      </c>
      <c r="B2178" t="str">
        <f>"JGO. CABLES BUJÍAS SILICONADOS RENAULT 19 1.8/RTI/CLIO 1.8 RSI F3P"</f>
        <v>JGO. CABLES BUJÍAS SILICONADOS RENAULT 19 1.8/RTI/CLIO 1.8 RSI F3P</v>
      </c>
      <c r="C2178" t="str">
        <f>"$ 26281,51"</f>
        <v>$ 26281,51</v>
      </c>
      <c r="D2178" t="str">
        <f>"$ 26281,51"</f>
        <v>$ 26281,51</v>
      </c>
      <c r="E2178" t="str">
        <f>"$ 26281,51"</f>
        <v>$ 26281,51</v>
      </c>
      <c r="F2178" t="str">
        <f>"$ 26281,51"</f>
        <v>$ 26281,51</v>
      </c>
      <c r="G2178" t="str">
        <f>"$ 26281,51"</f>
        <v>$ 26281,51</v>
      </c>
      <c r="H2178" t="str">
        <f t="shared" si="1366"/>
        <v>$ 0,00</v>
      </c>
      <c r="I2178" t="str">
        <f>"CABLES BUJÍAS SILICONA ANTIPARASITARIOS"</f>
        <v>CABLES BUJÍAS SILICONA ANTIPARASITARIOS</v>
      </c>
      <c r="J2178" t="str">
        <f t="shared" si="1367"/>
        <v>1</v>
      </c>
      <c r="K2178" t="str">
        <f t="shared" si="1391"/>
        <v>0</v>
      </c>
      <c r="L2178" t="str">
        <f>"21,000"</f>
        <v>21,000</v>
      </c>
      <c r="M2178" t="str">
        <f t="shared" si="1368"/>
        <v xml:space="preserve"> </v>
      </c>
      <c r="N2178" t="str">
        <f t="shared" si="1403"/>
        <v>FERRAZZI</v>
      </c>
      <c r="O2178" t="str">
        <f t="shared" si="1398"/>
        <v>CABLES</v>
      </c>
      <c r="P2178" t="str">
        <f t="shared" si="1399"/>
        <v>0</v>
      </c>
      <c r="Q2178" t="str">
        <f t="shared" si="1399"/>
        <v>0</v>
      </c>
      <c r="R2178" t="str">
        <f t="shared" si="1400"/>
        <v>0,00</v>
      </c>
      <c r="S2178" t="str">
        <f t="shared" si="1400"/>
        <v>0,00</v>
      </c>
      <c r="T2178" t="str">
        <f t="shared" si="1404"/>
        <v xml:space="preserve"> </v>
      </c>
      <c r="U2178" t="str">
        <f t="shared" si="1387"/>
        <v xml:space="preserve"> </v>
      </c>
      <c r="V2178" t="str">
        <f>"21,000"</f>
        <v>21,000</v>
      </c>
      <c r="W2178" t="str">
        <f t="shared" si="1369"/>
        <v>Lista 4</v>
      </c>
      <c r="X2178" t="str">
        <f t="shared" si="1370"/>
        <v>Lista 5</v>
      </c>
      <c r="Y2178" t="str">
        <f t="shared" si="1371"/>
        <v>Oferta Gral.</v>
      </c>
      <c r="Z2178" t="str">
        <f t="shared" si="1372"/>
        <v>Rubro</v>
      </c>
      <c r="AA2178" t="str">
        <f t="shared" si="1373"/>
        <v>Cantidad por Bulto</v>
      </c>
      <c r="AB2178" t="str">
        <f t="shared" si="1374"/>
        <v>INNER</v>
      </c>
      <c r="AC2178" t="str">
        <f t="shared" si="1375"/>
        <v>Stock en Bultos</v>
      </c>
      <c r="AD2178" t="str">
        <f t="shared" si="1376"/>
        <v>SubDepósito</v>
      </c>
      <c r="AE2178" t="str">
        <f t="shared" si="1377"/>
        <v>Marca</v>
      </c>
      <c r="AF2178" t="str">
        <f t="shared" si="1378"/>
        <v>Super Rubro</v>
      </c>
      <c r="AG2178" t="str">
        <f t="shared" si="1379"/>
        <v>ComercioExterior</v>
      </c>
      <c r="AH2178" t="str">
        <f t="shared" si="1380"/>
        <v>PrecioFOB</v>
      </c>
      <c r="AI2178" t="str">
        <f t="shared" si="1381"/>
        <v>Monto II</v>
      </c>
      <c r="AJ2178" t="str">
        <f t="shared" si="1382"/>
        <v>Porcentaje II</v>
      </c>
      <c r="AK2178" t="str">
        <f t="shared" si="1383"/>
        <v>Foto</v>
      </c>
      <c r="AL2178" t="str">
        <f>"{\rtf1\ansi\ansicpg1252\deff0\deflang11274{\fonttbl{\f0\fnil\fcharset0 MS Sans Serif}} \viewkind4\uc1\pard\f0\fs16 JGO. CABLES BUJ\'cdAS SILICONADOS RENAULT 19 1.8/RTI/CLIO 1.8 RSI F3P\par } "</f>
        <v xml:space="preserve">{\rtf1\ansi\ansicpg1252\deff0\deflang11274{\fonttbl{\f0\fnil\fcharset0 MS Sans Serif}} \viewkind4\uc1\pard\f0\fs16 JGO. CABLES BUJ\'cdAS SILICONADOS RENAULT 19 1.8/RTI/CLIO 1.8 RSI F3P\par } </v>
      </c>
      <c r="AM2178" t="str">
        <f t="shared" si="1402"/>
        <v>-</v>
      </c>
    </row>
    <row r="2179" spans="1:39" x14ac:dyDescent="0.25">
      <c r="A2179" t="str">
        <f>"06-01795"</f>
        <v>06-01795</v>
      </c>
      <c r="B2179" t="str">
        <f>"JGO. CABLES BUJÍAS SILICONADOS TWINGO 1.2 D7F"</f>
        <v>JGO. CABLES BUJÍAS SILICONADOS TWINGO 1.2 D7F</v>
      </c>
      <c r="C2179" t="str">
        <f>"$ 34331,73"</f>
        <v>$ 34331,73</v>
      </c>
      <c r="D2179" t="str">
        <f>"$ 34331,73"</f>
        <v>$ 34331,73</v>
      </c>
      <c r="E2179" t="str">
        <f>"$ 34331,73"</f>
        <v>$ 34331,73</v>
      </c>
      <c r="F2179" t="str">
        <f>"$ 34331,73"</f>
        <v>$ 34331,73</v>
      </c>
      <c r="G2179" t="str">
        <f>"$ 34331,73"</f>
        <v>$ 34331,73</v>
      </c>
      <c r="H2179" t="str">
        <f t="shared" ref="H2179:H2242" si="1405">"$ 0,00"</f>
        <v>$ 0,00</v>
      </c>
      <c r="I2179" t="str">
        <f>"CABLES BUJÍAS SILICONA ANTIPARASITARIOS"</f>
        <v>CABLES BUJÍAS SILICONA ANTIPARASITARIOS</v>
      </c>
      <c r="J2179" t="str">
        <f t="shared" ref="J2179:J2242" si="1406">"1"</f>
        <v>1</v>
      </c>
      <c r="K2179" t="str">
        <f t="shared" si="1391"/>
        <v>0</v>
      </c>
      <c r="L2179" t="str">
        <f>"14,000"</f>
        <v>14,000</v>
      </c>
      <c r="M2179" t="str">
        <f t="shared" ref="M2179:M2242" si="1407">" "</f>
        <v xml:space="preserve"> </v>
      </c>
      <c r="N2179" t="str">
        <f t="shared" si="1403"/>
        <v>FERRAZZI</v>
      </c>
      <c r="O2179" t="str">
        <f t="shared" si="1398"/>
        <v>CABLES</v>
      </c>
      <c r="P2179" t="str">
        <f t="shared" si="1399"/>
        <v>0</v>
      </c>
      <c r="Q2179" t="str">
        <f t="shared" si="1399"/>
        <v>0</v>
      </c>
      <c r="R2179" t="str">
        <f t="shared" si="1400"/>
        <v>0,00</v>
      </c>
      <c r="S2179" t="str">
        <f t="shared" si="1400"/>
        <v>0,00</v>
      </c>
      <c r="T2179" t="str">
        <f t="shared" si="1404"/>
        <v xml:space="preserve"> </v>
      </c>
      <c r="U2179" t="str">
        <f t="shared" si="1387"/>
        <v xml:space="preserve"> </v>
      </c>
      <c r="V2179" t="str">
        <f>"14,000"</f>
        <v>14,000</v>
      </c>
      <c r="W2179" t="str">
        <f t="shared" ref="W2179:W2242" si="1408">"Lista 4"</f>
        <v>Lista 4</v>
      </c>
      <c r="X2179" t="str">
        <f t="shared" ref="X2179:X2242" si="1409">"Lista 5"</f>
        <v>Lista 5</v>
      </c>
      <c r="Y2179" t="str">
        <f t="shared" ref="Y2179:Y2242" si="1410">"Oferta Gral."</f>
        <v>Oferta Gral.</v>
      </c>
      <c r="Z2179" t="str">
        <f t="shared" ref="Z2179:Z2242" si="1411">"Rubro"</f>
        <v>Rubro</v>
      </c>
      <c r="AA2179" t="str">
        <f t="shared" ref="AA2179:AA2242" si="1412">"Cantidad por Bulto"</f>
        <v>Cantidad por Bulto</v>
      </c>
      <c r="AB2179" t="str">
        <f t="shared" ref="AB2179:AB2242" si="1413">"INNER"</f>
        <v>INNER</v>
      </c>
      <c r="AC2179" t="str">
        <f t="shared" ref="AC2179:AC2242" si="1414">"Stock en Bultos"</f>
        <v>Stock en Bultos</v>
      </c>
      <c r="AD2179" t="str">
        <f t="shared" ref="AD2179:AD2242" si="1415">"SubDepósito"</f>
        <v>SubDepósito</v>
      </c>
      <c r="AE2179" t="str">
        <f t="shared" ref="AE2179:AE2242" si="1416">"Marca"</f>
        <v>Marca</v>
      </c>
      <c r="AF2179" t="str">
        <f t="shared" ref="AF2179:AF2242" si="1417">"Super Rubro"</f>
        <v>Super Rubro</v>
      </c>
      <c r="AG2179" t="str">
        <f t="shared" ref="AG2179:AG2242" si="1418">"ComercioExterior"</f>
        <v>ComercioExterior</v>
      </c>
      <c r="AH2179" t="str">
        <f t="shared" ref="AH2179:AH2242" si="1419">"PrecioFOB"</f>
        <v>PrecioFOB</v>
      </c>
      <c r="AI2179" t="str">
        <f t="shared" ref="AI2179:AI2242" si="1420">"Monto II"</f>
        <v>Monto II</v>
      </c>
      <c r="AJ2179" t="str">
        <f t="shared" ref="AJ2179:AJ2242" si="1421">"Porcentaje II"</f>
        <v>Porcentaje II</v>
      </c>
      <c r="AK2179" t="str">
        <f t="shared" ref="AK2179:AK2242" si="1422">"Foto"</f>
        <v>Foto</v>
      </c>
      <c r="AL2179" t="str">
        <f>"{\rtf1\ansi\ansicpg1252\deff0\deflang11274{\fonttbl{\f0\fnil\fcharset0 MS Sans Serif}} \viewkind4\uc1\pard\f0\fs16 JGO. CABLES BUJ\'cdAS SILICONADOS TWINGO 1.2 D7F\par } "</f>
        <v xml:space="preserve">{\rtf1\ansi\ansicpg1252\deff0\deflang11274{\fonttbl{\f0\fnil\fcharset0 MS Sans Serif}} \viewkind4\uc1\pard\f0\fs16 JGO. CABLES BUJ\'cdAS SILICONADOS TWINGO 1.2 D7F\par } </v>
      </c>
      <c r="AM2179" t="str">
        <f t="shared" si="1402"/>
        <v>-</v>
      </c>
    </row>
    <row r="2180" spans="1:39" x14ac:dyDescent="0.25">
      <c r="A2180" t="str">
        <f>"05-33046"</f>
        <v>05-33046</v>
      </c>
      <c r="B2180" t="str">
        <f>"JGO. CABLES BUJÍAS SPAZIO 147 - GL FIORINO"</f>
        <v>JGO. CABLES BUJÍAS SPAZIO 147 - GL FIORINO</v>
      </c>
      <c r="C2180" t="str">
        <f>"$ 9572,57"</f>
        <v>$ 9572,57</v>
      </c>
      <c r="D2180" t="str">
        <f>"$ 9572,57"</f>
        <v>$ 9572,57</v>
      </c>
      <c r="E2180" t="str">
        <f>"$ 9572,57"</f>
        <v>$ 9572,57</v>
      </c>
      <c r="F2180" t="str">
        <f>"$ 9572,57"</f>
        <v>$ 9572,57</v>
      </c>
      <c r="G2180" t="str">
        <f>"$ 9572,57"</f>
        <v>$ 9572,57</v>
      </c>
      <c r="H2180" t="str">
        <f t="shared" si="1405"/>
        <v>$ 0,00</v>
      </c>
      <c r="I2180" t="str">
        <f t="shared" ref="I2180:I2191" si="1423">"CABLES BUJÍAS PVC ANTIPARASITARIOS"</f>
        <v>CABLES BUJÍAS PVC ANTIPARASITARIOS</v>
      </c>
      <c r="J2180" t="str">
        <f t="shared" si="1406"/>
        <v>1</v>
      </c>
      <c r="K2180" t="str">
        <f t="shared" si="1391"/>
        <v>0</v>
      </c>
      <c r="L2180" t="str">
        <f>"21,000"</f>
        <v>21,000</v>
      </c>
      <c r="M2180" t="str">
        <f t="shared" si="1407"/>
        <v xml:space="preserve"> </v>
      </c>
      <c r="N2180" t="str">
        <f t="shared" si="1403"/>
        <v>FERRAZZI</v>
      </c>
      <c r="O2180" t="str">
        <f t="shared" si="1398"/>
        <v>CABLES</v>
      </c>
      <c r="P2180" t="str">
        <f t="shared" si="1399"/>
        <v>0</v>
      </c>
      <c r="Q2180" t="str">
        <f t="shared" si="1399"/>
        <v>0</v>
      </c>
      <c r="R2180" t="str">
        <f t="shared" si="1400"/>
        <v>0,00</v>
      </c>
      <c r="S2180" t="str">
        <f t="shared" si="1400"/>
        <v>0,00</v>
      </c>
      <c r="T2180" t="str">
        <f t="shared" si="1404"/>
        <v xml:space="preserve"> </v>
      </c>
      <c r="U2180" t="str">
        <f t="shared" si="1387"/>
        <v xml:space="preserve"> </v>
      </c>
      <c r="V2180" t="str">
        <f>"21,000"</f>
        <v>21,000</v>
      </c>
      <c r="W2180" t="str">
        <f t="shared" si="1408"/>
        <v>Lista 4</v>
      </c>
      <c r="X2180" t="str">
        <f t="shared" si="1409"/>
        <v>Lista 5</v>
      </c>
      <c r="Y2180" t="str">
        <f t="shared" si="1410"/>
        <v>Oferta Gral.</v>
      </c>
      <c r="Z2180" t="str">
        <f t="shared" si="1411"/>
        <v>Rubro</v>
      </c>
      <c r="AA2180" t="str">
        <f t="shared" si="1412"/>
        <v>Cantidad por Bulto</v>
      </c>
      <c r="AB2180" t="str">
        <f t="shared" si="1413"/>
        <v>INNER</v>
      </c>
      <c r="AC2180" t="str">
        <f t="shared" si="1414"/>
        <v>Stock en Bultos</v>
      </c>
      <c r="AD2180" t="str">
        <f t="shared" si="1415"/>
        <v>SubDepósito</v>
      </c>
      <c r="AE2180" t="str">
        <f t="shared" si="1416"/>
        <v>Marca</v>
      </c>
      <c r="AF2180" t="str">
        <f t="shared" si="1417"/>
        <v>Super Rubro</v>
      </c>
      <c r="AG2180" t="str">
        <f t="shared" si="1418"/>
        <v>ComercioExterior</v>
      </c>
      <c r="AH2180" t="str">
        <f t="shared" si="1419"/>
        <v>PrecioFOB</v>
      </c>
      <c r="AI2180" t="str">
        <f t="shared" si="1420"/>
        <v>Monto II</v>
      </c>
      <c r="AJ2180" t="str">
        <f t="shared" si="1421"/>
        <v>Porcentaje II</v>
      </c>
      <c r="AK2180" t="str">
        <f t="shared" si="1422"/>
        <v>Foto</v>
      </c>
      <c r="AL2180" t="str">
        <f>"{\rtf1\ansi\ansicpg1252\deff0\deflang11274{\fonttbl{\f0\fnil\fcharset0 MS Sans Serif}} \viewkind4\uc1\pard\f0\fs16 JGO. CABLES BUJ\'cdAS SPAZIO 147 - GL FIORINO\par } "</f>
        <v xml:space="preserve">{\rtf1\ansi\ansicpg1252\deff0\deflang11274{\fonttbl{\f0\fnil\fcharset0 MS Sans Serif}} \viewkind4\uc1\pard\f0\fs16 JGO. CABLES BUJ\'cdAS SPAZIO 147 - GL FIORINO\par } </v>
      </c>
      <c r="AM2180" t="str">
        <f t="shared" si="1402"/>
        <v>-</v>
      </c>
    </row>
    <row r="2181" spans="1:39" x14ac:dyDescent="0.25">
      <c r="A2181" t="str">
        <f>"05-33092"</f>
        <v>05-33092</v>
      </c>
      <c r="B2181" t="str">
        <f>"JGO. CABLES BUJÍAS TEMPRA"</f>
        <v>JGO. CABLES BUJÍAS TEMPRA</v>
      </c>
      <c r="C2181" t="str">
        <f>"$ 10741,68"</f>
        <v>$ 10741,68</v>
      </c>
      <c r="D2181" t="str">
        <f>"$ 10741,68"</f>
        <v>$ 10741,68</v>
      </c>
      <c r="E2181" t="str">
        <f>"$ 10741,68"</f>
        <v>$ 10741,68</v>
      </c>
      <c r="F2181" t="str">
        <f>"$ 10741,68"</f>
        <v>$ 10741,68</v>
      </c>
      <c r="G2181" t="str">
        <f>"$ 10741,68"</f>
        <v>$ 10741,68</v>
      </c>
      <c r="H2181" t="str">
        <f t="shared" si="1405"/>
        <v>$ 0,00</v>
      </c>
      <c r="I2181" t="str">
        <f t="shared" si="1423"/>
        <v>CABLES BUJÍAS PVC ANTIPARASITARIOS</v>
      </c>
      <c r="J2181" t="str">
        <f t="shared" si="1406"/>
        <v>1</v>
      </c>
      <c r="K2181" t="str">
        <f t="shared" si="1391"/>
        <v>0</v>
      </c>
      <c r="L2181" t="str">
        <f>"9,000"</f>
        <v>9,000</v>
      </c>
      <c r="M2181" t="str">
        <f t="shared" si="1407"/>
        <v xml:space="preserve"> </v>
      </c>
      <c r="N2181" t="str">
        <f t="shared" si="1403"/>
        <v>FERRAZZI</v>
      </c>
      <c r="O2181" t="str">
        <f t="shared" si="1398"/>
        <v>CABLES</v>
      </c>
      <c r="P2181" t="str">
        <f t="shared" si="1399"/>
        <v>0</v>
      </c>
      <c r="Q2181" t="str">
        <f t="shared" si="1399"/>
        <v>0</v>
      </c>
      <c r="R2181" t="str">
        <f t="shared" si="1400"/>
        <v>0,00</v>
      </c>
      <c r="S2181" t="str">
        <f t="shared" si="1400"/>
        <v>0,00</v>
      </c>
      <c r="T2181" t="str">
        <f t="shared" si="1404"/>
        <v xml:space="preserve"> </v>
      </c>
      <c r="U2181" t="str">
        <f t="shared" si="1387"/>
        <v xml:space="preserve"> </v>
      </c>
      <c r="V2181" t="str">
        <f>"9,000"</f>
        <v>9,000</v>
      </c>
      <c r="W2181" t="str">
        <f t="shared" si="1408"/>
        <v>Lista 4</v>
      </c>
      <c r="X2181" t="str">
        <f t="shared" si="1409"/>
        <v>Lista 5</v>
      </c>
      <c r="Y2181" t="str">
        <f t="shared" si="1410"/>
        <v>Oferta Gral.</v>
      </c>
      <c r="Z2181" t="str">
        <f t="shared" si="1411"/>
        <v>Rubro</v>
      </c>
      <c r="AA2181" t="str">
        <f t="shared" si="1412"/>
        <v>Cantidad por Bulto</v>
      </c>
      <c r="AB2181" t="str">
        <f t="shared" si="1413"/>
        <v>INNER</v>
      </c>
      <c r="AC2181" t="str">
        <f t="shared" si="1414"/>
        <v>Stock en Bultos</v>
      </c>
      <c r="AD2181" t="str">
        <f t="shared" si="1415"/>
        <v>SubDepósito</v>
      </c>
      <c r="AE2181" t="str">
        <f t="shared" si="1416"/>
        <v>Marca</v>
      </c>
      <c r="AF2181" t="str">
        <f t="shared" si="1417"/>
        <v>Super Rubro</v>
      </c>
      <c r="AG2181" t="str">
        <f t="shared" si="1418"/>
        <v>ComercioExterior</v>
      </c>
      <c r="AH2181" t="str">
        <f t="shared" si="1419"/>
        <v>PrecioFOB</v>
      </c>
      <c r="AI2181" t="str">
        <f t="shared" si="1420"/>
        <v>Monto II</v>
      </c>
      <c r="AJ2181" t="str">
        <f t="shared" si="1421"/>
        <v>Porcentaje II</v>
      </c>
      <c r="AK2181" t="str">
        <f t="shared" si="1422"/>
        <v>Foto</v>
      </c>
      <c r="AL2181" t="str">
        <f>"{\rtf1\ansi\ansicpg1252\deff0\deflang11274{\fonttbl{\f0\fnil\fcharset0 MS Sans Serif}} \viewkind4\uc1\pard\f0\fs16 JGO. CABLES BUJ\'cdAS TEMPRA\par } "</f>
        <v xml:space="preserve">{\rtf1\ansi\ansicpg1252\deff0\deflang11274{\fonttbl{\f0\fnil\fcharset0 MS Sans Serif}} \viewkind4\uc1\pard\f0\fs16 JGO. CABLES BUJ\'cdAS TEMPRA\par } </v>
      </c>
      <c r="AM2181" t="str">
        <f t="shared" si="1402"/>
        <v>-</v>
      </c>
    </row>
    <row r="2182" spans="1:39" x14ac:dyDescent="0.25">
      <c r="A2182" t="str">
        <f>"05-33093"</f>
        <v>05-33093</v>
      </c>
      <c r="B2182" t="str">
        <f>"JGO. CABLES BUJÍAS TIPO IE 1,6 MPI"</f>
        <v>JGO. CABLES BUJÍAS TIPO IE 1,6 MPI</v>
      </c>
      <c r="C2182" t="str">
        <f>"$ 15473,88"</f>
        <v>$ 15473,88</v>
      </c>
      <c r="D2182" t="str">
        <f>"$ 15473,88"</f>
        <v>$ 15473,88</v>
      </c>
      <c r="E2182" t="str">
        <f>"$ 15473,88"</f>
        <v>$ 15473,88</v>
      </c>
      <c r="F2182" t="str">
        <f>"$ 15473,88"</f>
        <v>$ 15473,88</v>
      </c>
      <c r="G2182" t="str">
        <f>"$ 15473,88"</f>
        <v>$ 15473,88</v>
      </c>
      <c r="H2182" t="str">
        <f t="shared" si="1405"/>
        <v>$ 0,00</v>
      </c>
      <c r="I2182" t="str">
        <f t="shared" si="1423"/>
        <v>CABLES BUJÍAS PVC ANTIPARASITARIOS</v>
      </c>
      <c r="J2182" t="str">
        <f t="shared" si="1406"/>
        <v>1</v>
      </c>
      <c r="K2182" t="str">
        <f t="shared" si="1391"/>
        <v>0</v>
      </c>
      <c r="L2182" t="str">
        <f>"7,000"</f>
        <v>7,000</v>
      </c>
      <c r="M2182" t="str">
        <f t="shared" si="1407"/>
        <v xml:space="preserve"> </v>
      </c>
      <c r="N2182" t="str">
        <f t="shared" si="1403"/>
        <v>FERRAZZI</v>
      </c>
      <c r="O2182" t="str">
        <f t="shared" si="1398"/>
        <v>CABLES</v>
      </c>
      <c r="P2182" t="str">
        <f t="shared" si="1399"/>
        <v>0</v>
      </c>
      <c r="Q2182" t="str">
        <f t="shared" si="1399"/>
        <v>0</v>
      </c>
      <c r="R2182" t="str">
        <f t="shared" si="1400"/>
        <v>0,00</v>
      </c>
      <c r="S2182" t="str">
        <f t="shared" si="1400"/>
        <v>0,00</v>
      </c>
      <c r="T2182" t="str">
        <f t="shared" si="1404"/>
        <v xml:space="preserve"> </v>
      </c>
      <c r="U2182" t="str">
        <f t="shared" si="1387"/>
        <v xml:space="preserve"> </v>
      </c>
      <c r="V2182" t="str">
        <f>"7,000"</f>
        <v>7,000</v>
      </c>
      <c r="W2182" t="str">
        <f t="shared" si="1408"/>
        <v>Lista 4</v>
      </c>
      <c r="X2182" t="str">
        <f t="shared" si="1409"/>
        <v>Lista 5</v>
      </c>
      <c r="Y2182" t="str">
        <f t="shared" si="1410"/>
        <v>Oferta Gral.</v>
      </c>
      <c r="Z2182" t="str">
        <f t="shared" si="1411"/>
        <v>Rubro</v>
      </c>
      <c r="AA2182" t="str">
        <f t="shared" si="1412"/>
        <v>Cantidad por Bulto</v>
      </c>
      <c r="AB2182" t="str">
        <f t="shared" si="1413"/>
        <v>INNER</v>
      </c>
      <c r="AC2182" t="str">
        <f t="shared" si="1414"/>
        <v>Stock en Bultos</v>
      </c>
      <c r="AD2182" t="str">
        <f t="shared" si="1415"/>
        <v>SubDepósito</v>
      </c>
      <c r="AE2182" t="str">
        <f t="shared" si="1416"/>
        <v>Marca</v>
      </c>
      <c r="AF2182" t="str">
        <f t="shared" si="1417"/>
        <v>Super Rubro</v>
      </c>
      <c r="AG2182" t="str">
        <f t="shared" si="1418"/>
        <v>ComercioExterior</v>
      </c>
      <c r="AH2182" t="str">
        <f t="shared" si="1419"/>
        <v>PrecioFOB</v>
      </c>
      <c r="AI2182" t="str">
        <f t="shared" si="1420"/>
        <v>Monto II</v>
      </c>
      <c r="AJ2182" t="str">
        <f t="shared" si="1421"/>
        <v>Porcentaje II</v>
      </c>
      <c r="AK2182" t="str">
        <f t="shared" si="1422"/>
        <v>Foto</v>
      </c>
      <c r="AL2182" t="str">
        <f>"{\rtf1\ansi\ansicpg1252\deff0\deflang11274{\fonttbl{\f0\fnil\fcharset0 MS Sans Serif}} \viewkind4\uc1\pard\f0\fs16 JGO. CABLES BUJ\'cdAS TIPO IE 1,6 MPI\par } "</f>
        <v xml:space="preserve">{\rtf1\ansi\ansicpg1252\deff0\deflang11274{\fonttbl{\f0\fnil\fcharset0 MS Sans Serif}} \viewkind4\uc1\pard\f0\fs16 JGO. CABLES BUJ\'cdAS TIPO IE 1,6 MPI\par } </v>
      </c>
      <c r="AM2182" t="str">
        <f t="shared" si="1402"/>
        <v>-</v>
      </c>
    </row>
    <row r="2183" spans="1:39" x14ac:dyDescent="0.25">
      <c r="A2183" t="str">
        <f>"05-33094"</f>
        <v>05-33094</v>
      </c>
      <c r="B2183" t="str">
        <f>"JGO. CABLES BUJÍAS TIPO SX 1600"</f>
        <v>JGO. CABLES BUJÍAS TIPO SX 1600</v>
      </c>
      <c r="C2183" t="str">
        <f>"$ 10196,21"</f>
        <v>$ 10196,21</v>
      </c>
      <c r="D2183" t="str">
        <f>"$ 10196,21"</f>
        <v>$ 10196,21</v>
      </c>
      <c r="E2183" t="str">
        <f>"$ 10196,21"</f>
        <v>$ 10196,21</v>
      </c>
      <c r="F2183" t="str">
        <f>"$ 10196,21"</f>
        <v>$ 10196,21</v>
      </c>
      <c r="G2183" t="str">
        <f>"$ 10196,21"</f>
        <v>$ 10196,21</v>
      </c>
      <c r="H2183" t="str">
        <f t="shared" si="1405"/>
        <v>$ 0,00</v>
      </c>
      <c r="I2183" t="str">
        <f t="shared" si="1423"/>
        <v>CABLES BUJÍAS PVC ANTIPARASITARIOS</v>
      </c>
      <c r="J2183" t="str">
        <f t="shared" si="1406"/>
        <v>1</v>
      </c>
      <c r="K2183" t="str">
        <f t="shared" si="1391"/>
        <v>0</v>
      </c>
      <c r="L2183" t="str">
        <f>"4,000"</f>
        <v>4,000</v>
      </c>
      <c r="M2183" t="str">
        <f t="shared" si="1407"/>
        <v xml:space="preserve"> </v>
      </c>
      <c r="N2183" t="str">
        <f t="shared" si="1403"/>
        <v>FERRAZZI</v>
      </c>
      <c r="O2183" t="str">
        <f t="shared" si="1398"/>
        <v>CABLES</v>
      </c>
      <c r="P2183" t="str">
        <f t="shared" ref="P2183:Q2202" si="1424">"0"</f>
        <v>0</v>
      </c>
      <c r="Q2183" t="str">
        <f t="shared" si="1424"/>
        <v>0</v>
      </c>
      <c r="R2183" t="str">
        <f t="shared" ref="R2183:S2202" si="1425">"0,00"</f>
        <v>0,00</v>
      </c>
      <c r="S2183" t="str">
        <f t="shared" si="1425"/>
        <v>0,00</v>
      </c>
      <c r="T2183" t="str">
        <f t="shared" si="1404"/>
        <v xml:space="preserve"> </v>
      </c>
      <c r="U2183" t="str">
        <f t="shared" si="1387"/>
        <v xml:space="preserve"> </v>
      </c>
      <c r="V2183" t="str">
        <f>"4,000"</f>
        <v>4,000</v>
      </c>
      <c r="W2183" t="str">
        <f t="shared" si="1408"/>
        <v>Lista 4</v>
      </c>
      <c r="X2183" t="str">
        <f t="shared" si="1409"/>
        <v>Lista 5</v>
      </c>
      <c r="Y2183" t="str">
        <f t="shared" si="1410"/>
        <v>Oferta Gral.</v>
      </c>
      <c r="Z2183" t="str">
        <f t="shared" si="1411"/>
        <v>Rubro</v>
      </c>
      <c r="AA2183" t="str">
        <f t="shared" si="1412"/>
        <v>Cantidad por Bulto</v>
      </c>
      <c r="AB2183" t="str">
        <f t="shared" si="1413"/>
        <v>INNER</v>
      </c>
      <c r="AC2183" t="str">
        <f t="shared" si="1414"/>
        <v>Stock en Bultos</v>
      </c>
      <c r="AD2183" t="str">
        <f t="shared" si="1415"/>
        <v>SubDepósito</v>
      </c>
      <c r="AE2183" t="str">
        <f t="shared" si="1416"/>
        <v>Marca</v>
      </c>
      <c r="AF2183" t="str">
        <f t="shared" si="1417"/>
        <v>Super Rubro</v>
      </c>
      <c r="AG2183" t="str">
        <f t="shared" si="1418"/>
        <v>ComercioExterior</v>
      </c>
      <c r="AH2183" t="str">
        <f t="shared" si="1419"/>
        <v>PrecioFOB</v>
      </c>
      <c r="AI2183" t="str">
        <f t="shared" si="1420"/>
        <v>Monto II</v>
      </c>
      <c r="AJ2183" t="str">
        <f t="shared" si="1421"/>
        <v>Porcentaje II</v>
      </c>
      <c r="AK2183" t="str">
        <f t="shared" si="1422"/>
        <v>Foto</v>
      </c>
      <c r="AL2183" t="str">
        <f>"{\rtf1\ansi\ansicpg1252\deff0\deflang11274{\fonttbl{\f0\fnil\fcharset0 MS Sans Serif}} \viewkind4\uc1\pard\f0\fs16 JGO. CABLES BUJ\'cdAS TIPO SX 1600\par } "</f>
        <v xml:space="preserve">{\rtf1\ansi\ansicpg1252\deff0\deflang11274{\fonttbl{\f0\fnil\fcharset0 MS Sans Serif}} \viewkind4\uc1\pard\f0\fs16 JGO. CABLES BUJ\'cdAS TIPO SX 1600\par } </v>
      </c>
      <c r="AM2183" t="str">
        <f t="shared" si="1402"/>
        <v>-</v>
      </c>
    </row>
    <row r="2184" spans="1:39" x14ac:dyDescent="0.25">
      <c r="A2184" t="str">
        <f>"06-33051"</f>
        <v>06-33051</v>
      </c>
      <c r="B2184" t="str">
        <f>"JGO. CABLES BUJÍAS TORINO MOTOR TORNADO"</f>
        <v>JGO. CABLES BUJÍAS TORINO MOTOR TORNADO</v>
      </c>
      <c r="C2184" t="str">
        <f>"$ 16659,22"</f>
        <v>$ 16659,22</v>
      </c>
      <c r="D2184" t="str">
        <f>"$ 16659,22"</f>
        <v>$ 16659,22</v>
      </c>
      <c r="E2184" t="str">
        <f>"$ 16659,22"</f>
        <v>$ 16659,22</v>
      </c>
      <c r="F2184" t="str">
        <f>"$ 16659,22"</f>
        <v>$ 16659,22</v>
      </c>
      <c r="G2184" t="str">
        <f>"$ 16659,22"</f>
        <v>$ 16659,22</v>
      </c>
      <c r="H2184" t="str">
        <f t="shared" si="1405"/>
        <v>$ 0,00</v>
      </c>
      <c r="I2184" t="str">
        <f t="shared" si="1423"/>
        <v>CABLES BUJÍAS PVC ANTIPARASITARIOS</v>
      </c>
      <c r="J2184" t="str">
        <f t="shared" si="1406"/>
        <v>1</v>
      </c>
      <c r="K2184" t="str">
        <f t="shared" si="1391"/>
        <v>0</v>
      </c>
      <c r="L2184" t="str">
        <f>"22,000"</f>
        <v>22,000</v>
      </c>
      <c r="M2184" t="str">
        <f t="shared" si="1407"/>
        <v xml:space="preserve"> </v>
      </c>
      <c r="N2184" t="str">
        <f t="shared" si="1403"/>
        <v>FERRAZZI</v>
      </c>
      <c r="O2184" t="str">
        <f t="shared" si="1398"/>
        <v>CABLES</v>
      </c>
      <c r="P2184" t="str">
        <f t="shared" si="1424"/>
        <v>0</v>
      </c>
      <c r="Q2184" t="str">
        <f t="shared" si="1424"/>
        <v>0</v>
      </c>
      <c r="R2184" t="str">
        <f t="shared" si="1425"/>
        <v>0,00</v>
      </c>
      <c r="S2184" t="str">
        <f t="shared" si="1425"/>
        <v>0,00</v>
      </c>
      <c r="T2184" t="str">
        <f t="shared" si="1404"/>
        <v xml:space="preserve"> </v>
      </c>
      <c r="U2184" t="str">
        <f t="shared" si="1387"/>
        <v xml:space="preserve"> </v>
      </c>
      <c r="V2184" t="str">
        <f>"22,000"</f>
        <v>22,000</v>
      </c>
      <c r="W2184" t="str">
        <f t="shared" si="1408"/>
        <v>Lista 4</v>
      </c>
      <c r="X2184" t="str">
        <f t="shared" si="1409"/>
        <v>Lista 5</v>
      </c>
      <c r="Y2184" t="str">
        <f t="shared" si="1410"/>
        <v>Oferta Gral.</v>
      </c>
      <c r="Z2184" t="str">
        <f t="shared" si="1411"/>
        <v>Rubro</v>
      </c>
      <c r="AA2184" t="str">
        <f t="shared" si="1412"/>
        <v>Cantidad por Bulto</v>
      </c>
      <c r="AB2184" t="str">
        <f t="shared" si="1413"/>
        <v>INNER</v>
      </c>
      <c r="AC2184" t="str">
        <f t="shared" si="1414"/>
        <v>Stock en Bultos</v>
      </c>
      <c r="AD2184" t="str">
        <f t="shared" si="1415"/>
        <v>SubDepósito</v>
      </c>
      <c r="AE2184" t="str">
        <f t="shared" si="1416"/>
        <v>Marca</v>
      </c>
      <c r="AF2184" t="str">
        <f t="shared" si="1417"/>
        <v>Super Rubro</v>
      </c>
      <c r="AG2184" t="str">
        <f t="shared" si="1418"/>
        <v>ComercioExterior</v>
      </c>
      <c r="AH2184" t="str">
        <f t="shared" si="1419"/>
        <v>PrecioFOB</v>
      </c>
      <c r="AI2184" t="str">
        <f t="shared" si="1420"/>
        <v>Monto II</v>
      </c>
      <c r="AJ2184" t="str">
        <f t="shared" si="1421"/>
        <v>Porcentaje II</v>
      </c>
      <c r="AK2184" t="str">
        <f t="shared" si="1422"/>
        <v>Foto</v>
      </c>
      <c r="AL2184" t="str">
        <f>"{\rtf1\ansi\ansicpg1252\deff0\deflang11274{\fonttbl{\f0\fnil\fcharset0 MS Sans Serif}} \viewkind4\uc1\pard\f0\fs16 JGO. CABLES BUJ\'cdAS TORINO MOTOR TORNADO\par } "</f>
        <v xml:space="preserve">{\rtf1\ansi\ansicpg1252\deff0\deflang11274{\fonttbl{\f0\fnil\fcharset0 MS Sans Serif}} \viewkind4\uc1\pard\f0\fs16 JGO. CABLES BUJ\'cdAS TORINO MOTOR TORNADO\par } </v>
      </c>
      <c r="AM2184" t="str">
        <f t="shared" si="1402"/>
        <v>-</v>
      </c>
    </row>
    <row r="2185" spans="1:39" x14ac:dyDescent="0.25">
      <c r="A2185" t="str">
        <f>"06-33087"</f>
        <v>06-33087</v>
      </c>
      <c r="B2185" t="str">
        <f>"JGO. CABLES BUJÍAS TRAFIC 1.4 BOBINA DIN"</f>
        <v>JGO. CABLES BUJÍAS TRAFIC 1.4 BOBINA DIN</v>
      </c>
      <c r="C2185" t="str">
        <f>"$ 8678,54"</f>
        <v>$ 8678,54</v>
      </c>
      <c r="D2185" t="str">
        <f>"$ 8678,54"</f>
        <v>$ 8678,54</v>
      </c>
      <c r="E2185" t="str">
        <f>"$ 8678,54"</f>
        <v>$ 8678,54</v>
      </c>
      <c r="F2185" t="str">
        <f>"$ 8678,54"</f>
        <v>$ 8678,54</v>
      </c>
      <c r="G2185" t="str">
        <f>"$ 8678,54"</f>
        <v>$ 8678,54</v>
      </c>
      <c r="H2185" t="str">
        <f t="shared" si="1405"/>
        <v>$ 0,00</v>
      </c>
      <c r="I2185" t="str">
        <f t="shared" si="1423"/>
        <v>CABLES BUJÍAS PVC ANTIPARASITARIOS</v>
      </c>
      <c r="J2185" t="str">
        <f t="shared" si="1406"/>
        <v>1</v>
      </c>
      <c r="K2185" t="str">
        <f t="shared" si="1391"/>
        <v>0</v>
      </c>
      <c r="L2185" t="str">
        <f>"6,000"</f>
        <v>6,000</v>
      </c>
      <c r="M2185" t="str">
        <f t="shared" si="1407"/>
        <v xml:space="preserve"> </v>
      </c>
      <c r="N2185" t="str">
        <f t="shared" si="1403"/>
        <v>FERRAZZI</v>
      </c>
      <c r="O2185" t="str">
        <f t="shared" si="1398"/>
        <v>CABLES</v>
      </c>
      <c r="P2185" t="str">
        <f t="shared" si="1424"/>
        <v>0</v>
      </c>
      <c r="Q2185" t="str">
        <f t="shared" si="1424"/>
        <v>0</v>
      </c>
      <c r="R2185" t="str">
        <f t="shared" si="1425"/>
        <v>0,00</v>
      </c>
      <c r="S2185" t="str">
        <f t="shared" si="1425"/>
        <v>0,00</v>
      </c>
      <c r="T2185" t="str">
        <f t="shared" si="1404"/>
        <v xml:space="preserve"> </v>
      </c>
      <c r="U2185" t="str">
        <f t="shared" si="1387"/>
        <v xml:space="preserve"> </v>
      </c>
      <c r="V2185" t="str">
        <f>"6,000"</f>
        <v>6,000</v>
      </c>
      <c r="W2185" t="str">
        <f t="shared" si="1408"/>
        <v>Lista 4</v>
      </c>
      <c r="X2185" t="str">
        <f t="shared" si="1409"/>
        <v>Lista 5</v>
      </c>
      <c r="Y2185" t="str">
        <f t="shared" si="1410"/>
        <v>Oferta Gral.</v>
      </c>
      <c r="Z2185" t="str">
        <f t="shared" si="1411"/>
        <v>Rubro</v>
      </c>
      <c r="AA2185" t="str">
        <f t="shared" si="1412"/>
        <v>Cantidad por Bulto</v>
      </c>
      <c r="AB2185" t="str">
        <f t="shared" si="1413"/>
        <v>INNER</v>
      </c>
      <c r="AC2185" t="str">
        <f t="shared" si="1414"/>
        <v>Stock en Bultos</v>
      </c>
      <c r="AD2185" t="str">
        <f t="shared" si="1415"/>
        <v>SubDepósito</v>
      </c>
      <c r="AE2185" t="str">
        <f t="shared" si="1416"/>
        <v>Marca</v>
      </c>
      <c r="AF2185" t="str">
        <f t="shared" si="1417"/>
        <v>Super Rubro</v>
      </c>
      <c r="AG2185" t="str">
        <f t="shared" si="1418"/>
        <v>ComercioExterior</v>
      </c>
      <c r="AH2185" t="str">
        <f t="shared" si="1419"/>
        <v>PrecioFOB</v>
      </c>
      <c r="AI2185" t="str">
        <f t="shared" si="1420"/>
        <v>Monto II</v>
      </c>
      <c r="AJ2185" t="str">
        <f t="shared" si="1421"/>
        <v>Porcentaje II</v>
      </c>
      <c r="AK2185" t="str">
        <f t="shared" si="1422"/>
        <v>Foto</v>
      </c>
      <c r="AL2185" t="str">
        <f>"{\rtf1\ansi\ansicpg1252\deff0\deflang11274{\fonttbl{\f0\fnil\fcharset0 MS Sans Serif}} \viewkind4\uc1\pard\f0\fs16 JGO. CABLES BUJ\'cdAS TRAFIC 1.4 BOBINA DIN\par } "</f>
        <v xml:space="preserve">{\rtf1\ansi\ansicpg1252\deff0\deflang11274{\fonttbl{\f0\fnil\fcharset0 MS Sans Serif}} \viewkind4\uc1\pard\f0\fs16 JGO. CABLES BUJ\'cdAS TRAFIC 1.4 BOBINA DIN\par } </v>
      </c>
      <c r="AM2185" t="str">
        <f t="shared" si="1402"/>
        <v>-</v>
      </c>
    </row>
    <row r="2186" spans="1:39" x14ac:dyDescent="0.25">
      <c r="A2186" t="str">
        <f>"06-33090"</f>
        <v>06-33090</v>
      </c>
      <c r="B2186" t="str">
        <f>"JGO. CABLES BUJÍAS TRAFIC 1.4 BOBINA SECA"</f>
        <v>JGO. CABLES BUJÍAS TRAFIC 1.4 BOBINA SECA</v>
      </c>
      <c r="C2186" t="str">
        <f>"$ 9368,06"</f>
        <v>$ 9368,06</v>
      </c>
      <c r="D2186" t="str">
        <f>"$ 9368,06"</f>
        <v>$ 9368,06</v>
      </c>
      <c r="E2186" t="str">
        <f>"$ 9368,06"</f>
        <v>$ 9368,06</v>
      </c>
      <c r="F2186" t="str">
        <f>"$ 9368,06"</f>
        <v>$ 9368,06</v>
      </c>
      <c r="G2186" t="str">
        <f>"$ 9368,06"</f>
        <v>$ 9368,06</v>
      </c>
      <c r="H2186" t="str">
        <f t="shared" si="1405"/>
        <v>$ 0,00</v>
      </c>
      <c r="I2186" t="str">
        <f t="shared" si="1423"/>
        <v>CABLES BUJÍAS PVC ANTIPARASITARIOS</v>
      </c>
      <c r="J2186" t="str">
        <f t="shared" si="1406"/>
        <v>1</v>
      </c>
      <c r="K2186" t="str">
        <f t="shared" si="1391"/>
        <v>0</v>
      </c>
      <c r="L2186" t="str">
        <f>"11,000"</f>
        <v>11,000</v>
      </c>
      <c r="M2186" t="str">
        <f t="shared" si="1407"/>
        <v xml:space="preserve"> </v>
      </c>
      <c r="N2186" t="str">
        <f t="shared" si="1403"/>
        <v>FERRAZZI</v>
      </c>
      <c r="O2186" t="str">
        <f t="shared" ref="O2186:O2191" si="1426">"CABLES"</f>
        <v>CABLES</v>
      </c>
      <c r="P2186" t="str">
        <f t="shared" si="1424"/>
        <v>0</v>
      </c>
      <c r="Q2186" t="str">
        <f t="shared" si="1424"/>
        <v>0</v>
      </c>
      <c r="R2186" t="str">
        <f t="shared" si="1425"/>
        <v>0,00</v>
      </c>
      <c r="S2186" t="str">
        <f t="shared" si="1425"/>
        <v>0,00</v>
      </c>
      <c r="T2186" t="str">
        <f t="shared" si="1404"/>
        <v xml:space="preserve"> </v>
      </c>
      <c r="U2186" t="str">
        <f t="shared" si="1387"/>
        <v xml:space="preserve"> </v>
      </c>
      <c r="V2186" t="str">
        <f>"11,000"</f>
        <v>11,000</v>
      </c>
      <c r="W2186" t="str">
        <f t="shared" si="1408"/>
        <v>Lista 4</v>
      </c>
      <c r="X2186" t="str">
        <f t="shared" si="1409"/>
        <v>Lista 5</v>
      </c>
      <c r="Y2186" t="str">
        <f t="shared" si="1410"/>
        <v>Oferta Gral.</v>
      </c>
      <c r="Z2186" t="str">
        <f t="shared" si="1411"/>
        <v>Rubro</v>
      </c>
      <c r="AA2186" t="str">
        <f t="shared" si="1412"/>
        <v>Cantidad por Bulto</v>
      </c>
      <c r="AB2186" t="str">
        <f t="shared" si="1413"/>
        <v>INNER</v>
      </c>
      <c r="AC2186" t="str">
        <f t="shared" si="1414"/>
        <v>Stock en Bultos</v>
      </c>
      <c r="AD2186" t="str">
        <f t="shared" si="1415"/>
        <v>SubDepósito</v>
      </c>
      <c r="AE2186" t="str">
        <f t="shared" si="1416"/>
        <v>Marca</v>
      </c>
      <c r="AF2186" t="str">
        <f t="shared" si="1417"/>
        <v>Super Rubro</v>
      </c>
      <c r="AG2186" t="str">
        <f t="shared" si="1418"/>
        <v>ComercioExterior</v>
      </c>
      <c r="AH2186" t="str">
        <f t="shared" si="1419"/>
        <v>PrecioFOB</v>
      </c>
      <c r="AI2186" t="str">
        <f t="shared" si="1420"/>
        <v>Monto II</v>
      </c>
      <c r="AJ2186" t="str">
        <f t="shared" si="1421"/>
        <v>Porcentaje II</v>
      </c>
      <c r="AK2186" t="str">
        <f t="shared" si="1422"/>
        <v>Foto</v>
      </c>
      <c r="AL2186" t="str">
        <f>"{\rtf1\ansi\ansicpg1252\deff0\deflang11274{\fonttbl{\f0\fnil\fcharset0 MS Sans Serif}} \viewkind4\uc1\pard\f0\fs16 JGO. CABLES BUJ\'cdAS TRAFIC 1.4 BOBINA SECA\par } "</f>
        <v xml:space="preserve">{\rtf1\ansi\ansicpg1252\deff0\deflang11274{\fonttbl{\f0\fnil\fcharset0 MS Sans Serif}} \viewkind4\uc1\pard\f0\fs16 JGO. CABLES BUJ\'cdAS TRAFIC 1.4 BOBINA SECA\par } </v>
      </c>
      <c r="AM2186" t="str">
        <f t="shared" si="1402"/>
        <v>-</v>
      </c>
    </row>
    <row r="2187" spans="1:39" x14ac:dyDescent="0.25">
      <c r="A2187" t="str">
        <f>"06-33088"</f>
        <v>06-33088</v>
      </c>
      <c r="B2187" t="str">
        <f>"JGO. CABLES BUJÍAS TRAFIC 2.0 - 2.2 BOBINA DIN"</f>
        <v>JGO. CABLES BUJÍAS TRAFIC 2.0 - 2.2 BOBINA DIN</v>
      </c>
      <c r="C2187" t="str">
        <f>"$ 13308,17"</f>
        <v>$ 13308,17</v>
      </c>
      <c r="D2187" t="str">
        <f>"$ 13308,17"</f>
        <v>$ 13308,17</v>
      </c>
      <c r="E2187" t="str">
        <f>"$ 13308,17"</f>
        <v>$ 13308,17</v>
      </c>
      <c r="F2187" t="str">
        <f>"$ 13308,17"</f>
        <v>$ 13308,17</v>
      </c>
      <c r="G2187" t="str">
        <f>"$ 13308,17"</f>
        <v>$ 13308,17</v>
      </c>
      <c r="H2187" t="str">
        <f t="shared" si="1405"/>
        <v>$ 0,00</v>
      </c>
      <c r="I2187" t="str">
        <f t="shared" si="1423"/>
        <v>CABLES BUJÍAS PVC ANTIPARASITARIOS</v>
      </c>
      <c r="J2187" t="str">
        <f t="shared" si="1406"/>
        <v>1</v>
      </c>
      <c r="K2187" t="str">
        <f t="shared" si="1391"/>
        <v>0</v>
      </c>
      <c r="L2187" t="str">
        <f>"45,000"</f>
        <v>45,000</v>
      </c>
      <c r="M2187" t="str">
        <f t="shared" si="1407"/>
        <v xml:space="preserve"> </v>
      </c>
      <c r="N2187" t="str">
        <f t="shared" si="1403"/>
        <v>FERRAZZI</v>
      </c>
      <c r="O2187" t="str">
        <f t="shared" si="1426"/>
        <v>CABLES</v>
      </c>
      <c r="P2187" t="str">
        <f t="shared" si="1424"/>
        <v>0</v>
      </c>
      <c r="Q2187" t="str">
        <f t="shared" si="1424"/>
        <v>0</v>
      </c>
      <c r="R2187" t="str">
        <f t="shared" si="1425"/>
        <v>0,00</v>
      </c>
      <c r="S2187" t="str">
        <f t="shared" si="1425"/>
        <v>0,00</v>
      </c>
      <c r="T2187" t="str">
        <f t="shared" si="1404"/>
        <v xml:space="preserve"> </v>
      </c>
      <c r="U2187" t="str">
        <f t="shared" si="1387"/>
        <v xml:space="preserve"> </v>
      </c>
      <c r="V2187" t="str">
        <f>"45,000"</f>
        <v>45,000</v>
      </c>
      <c r="W2187" t="str">
        <f t="shared" si="1408"/>
        <v>Lista 4</v>
      </c>
      <c r="X2187" t="str">
        <f t="shared" si="1409"/>
        <v>Lista 5</v>
      </c>
      <c r="Y2187" t="str">
        <f t="shared" si="1410"/>
        <v>Oferta Gral.</v>
      </c>
      <c r="Z2187" t="str">
        <f t="shared" si="1411"/>
        <v>Rubro</v>
      </c>
      <c r="AA2187" t="str">
        <f t="shared" si="1412"/>
        <v>Cantidad por Bulto</v>
      </c>
      <c r="AB2187" t="str">
        <f t="shared" si="1413"/>
        <v>INNER</v>
      </c>
      <c r="AC2187" t="str">
        <f t="shared" si="1414"/>
        <v>Stock en Bultos</v>
      </c>
      <c r="AD2187" t="str">
        <f t="shared" si="1415"/>
        <v>SubDepósito</v>
      </c>
      <c r="AE2187" t="str">
        <f t="shared" si="1416"/>
        <v>Marca</v>
      </c>
      <c r="AF2187" t="str">
        <f t="shared" si="1417"/>
        <v>Super Rubro</v>
      </c>
      <c r="AG2187" t="str">
        <f t="shared" si="1418"/>
        <v>ComercioExterior</v>
      </c>
      <c r="AH2187" t="str">
        <f t="shared" si="1419"/>
        <v>PrecioFOB</v>
      </c>
      <c r="AI2187" t="str">
        <f t="shared" si="1420"/>
        <v>Monto II</v>
      </c>
      <c r="AJ2187" t="str">
        <f t="shared" si="1421"/>
        <v>Porcentaje II</v>
      </c>
      <c r="AK2187" t="str">
        <f t="shared" si="1422"/>
        <v>Foto</v>
      </c>
      <c r="AL2187" t="str">
        <f>"{\rtf1\ansi\ansicpg1252\deff0\deflang11274{\fonttbl{\f0\fnil\fcharset0 MS Sans Serif}} \viewkind4\uc1\pard\f0\fs16 JGO. CABLES BUJ\'cdAS TRAFIC 2.0 - 2.2 BOBINA DIN\par } "</f>
        <v xml:space="preserve">{\rtf1\ansi\ansicpg1252\deff0\deflang11274{\fonttbl{\f0\fnil\fcharset0 MS Sans Serif}} \viewkind4\uc1\pard\f0\fs16 JGO. CABLES BUJ\'cdAS TRAFIC 2.0 - 2.2 BOBINA DIN\par } </v>
      </c>
      <c r="AM2187" t="str">
        <f t="shared" si="1402"/>
        <v>-</v>
      </c>
    </row>
    <row r="2188" spans="1:39" x14ac:dyDescent="0.25">
      <c r="A2188" t="str">
        <f>"06-33091"</f>
        <v>06-33091</v>
      </c>
      <c r="B2188" t="str">
        <f>"JGO. CABLES BUJÍAS TRAFIC 2.0 - 2.2 BOBINA SECA"</f>
        <v>JGO. CABLES BUJÍAS TRAFIC 2.0 - 2.2 BOBINA SECA</v>
      </c>
      <c r="C2188" t="str">
        <f>"$ 13997,72"</f>
        <v>$ 13997,72</v>
      </c>
      <c r="D2188" t="str">
        <f>"$ 13997,72"</f>
        <v>$ 13997,72</v>
      </c>
      <c r="E2188" t="str">
        <f>"$ 13997,72"</f>
        <v>$ 13997,72</v>
      </c>
      <c r="F2188" t="str">
        <f>"$ 13997,72"</f>
        <v>$ 13997,72</v>
      </c>
      <c r="G2188" t="str">
        <f>"$ 13997,72"</f>
        <v>$ 13997,72</v>
      </c>
      <c r="H2188" t="str">
        <f t="shared" si="1405"/>
        <v>$ 0,00</v>
      </c>
      <c r="I2188" t="str">
        <f t="shared" si="1423"/>
        <v>CABLES BUJÍAS PVC ANTIPARASITARIOS</v>
      </c>
      <c r="J2188" t="str">
        <f t="shared" si="1406"/>
        <v>1</v>
      </c>
      <c r="K2188" t="str">
        <f t="shared" si="1391"/>
        <v>0</v>
      </c>
      <c r="L2188" t="str">
        <f>"6,000"</f>
        <v>6,000</v>
      </c>
      <c r="M2188" t="str">
        <f t="shared" si="1407"/>
        <v xml:space="preserve"> </v>
      </c>
      <c r="N2188" t="str">
        <f t="shared" si="1403"/>
        <v>FERRAZZI</v>
      </c>
      <c r="O2188" t="str">
        <f t="shared" si="1426"/>
        <v>CABLES</v>
      </c>
      <c r="P2188" t="str">
        <f t="shared" si="1424"/>
        <v>0</v>
      </c>
      <c r="Q2188" t="str">
        <f t="shared" si="1424"/>
        <v>0</v>
      </c>
      <c r="R2188" t="str">
        <f t="shared" si="1425"/>
        <v>0,00</v>
      </c>
      <c r="S2188" t="str">
        <f t="shared" si="1425"/>
        <v>0,00</v>
      </c>
      <c r="T2188" t="str">
        <f t="shared" si="1404"/>
        <v xml:space="preserve"> </v>
      </c>
      <c r="U2188" t="str">
        <f t="shared" ref="U2188:U2251" si="1427">" "</f>
        <v xml:space="preserve"> </v>
      </c>
      <c r="V2188" t="str">
        <f>"6,000"</f>
        <v>6,000</v>
      </c>
      <c r="W2188" t="str">
        <f t="shared" si="1408"/>
        <v>Lista 4</v>
      </c>
      <c r="X2188" t="str">
        <f t="shared" si="1409"/>
        <v>Lista 5</v>
      </c>
      <c r="Y2188" t="str">
        <f t="shared" si="1410"/>
        <v>Oferta Gral.</v>
      </c>
      <c r="Z2188" t="str">
        <f t="shared" si="1411"/>
        <v>Rubro</v>
      </c>
      <c r="AA2188" t="str">
        <f t="shared" si="1412"/>
        <v>Cantidad por Bulto</v>
      </c>
      <c r="AB2188" t="str">
        <f t="shared" si="1413"/>
        <v>INNER</v>
      </c>
      <c r="AC2188" t="str">
        <f t="shared" si="1414"/>
        <v>Stock en Bultos</v>
      </c>
      <c r="AD2188" t="str">
        <f t="shared" si="1415"/>
        <v>SubDepósito</v>
      </c>
      <c r="AE2188" t="str">
        <f t="shared" si="1416"/>
        <v>Marca</v>
      </c>
      <c r="AF2188" t="str">
        <f t="shared" si="1417"/>
        <v>Super Rubro</v>
      </c>
      <c r="AG2188" t="str">
        <f t="shared" si="1418"/>
        <v>ComercioExterior</v>
      </c>
      <c r="AH2188" t="str">
        <f t="shared" si="1419"/>
        <v>PrecioFOB</v>
      </c>
      <c r="AI2188" t="str">
        <f t="shared" si="1420"/>
        <v>Monto II</v>
      </c>
      <c r="AJ2188" t="str">
        <f t="shared" si="1421"/>
        <v>Porcentaje II</v>
      </c>
      <c r="AK2188" t="str">
        <f t="shared" si="1422"/>
        <v>Foto</v>
      </c>
      <c r="AL2188" t="str">
        <f>"{\rtf1\ansi\ansicpg1252\deff0\deflang11274{\fonttbl{\f0\fnil\fcharset0 MS Sans Serif}} \viewkind4\uc1\pard\f0\fs16 JGO. CABLES BUJ\'cdAS TRAFIC 2.0 - 2.2 BOBINA SECA\par } "</f>
        <v xml:space="preserve">{\rtf1\ansi\ansicpg1252\deff0\deflang11274{\fonttbl{\f0\fnil\fcharset0 MS Sans Serif}} \viewkind4\uc1\pard\f0\fs16 JGO. CABLES BUJ\'cdAS TRAFIC 2.0 - 2.2 BOBINA SECA\par } </v>
      </c>
      <c r="AM2188" t="str">
        <f t="shared" si="1402"/>
        <v>-</v>
      </c>
    </row>
    <row r="2189" spans="1:39" x14ac:dyDescent="0.25">
      <c r="A2189" t="str">
        <f>"06-33013"</f>
        <v>06-33013</v>
      </c>
      <c r="B2189" t="str">
        <f>"JGO. CABLES BUJÍAS TWINGO BOB. SECA"</f>
        <v>JGO. CABLES BUJÍAS TWINGO BOB. SECA</v>
      </c>
      <c r="C2189" t="str">
        <f>"$ 9299,28"</f>
        <v>$ 9299,28</v>
      </c>
      <c r="D2189" t="str">
        <f>"$ 9299,28"</f>
        <v>$ 9299,28</v>
      </c>
      <c r="E2189" t="str">
        <f>"$ 9299,28"</f>
        <v>$ 9299,28</v>
      </c>
      <c r="F2189" t="str">
        <f>"$ 9299,28"</f>
        <v>$ 9299,28</v>
      </c>
      <c r="G2189" t="str">
        <f>"$ 9299,28"</f>
        <v>$ 9299,28</v>
      </c>
      <c r="H2189" t="str">
        <f t="shared" si="1405"/>
        <v>$ 0,00</v>
      </c>
      <c r="I2189" t="str">
        <f t="shared" si="1423"/>
        <v>CABLES BUJÍAS PVC ANTIPARASITARIOS</v>
      </c>
      <c r="J2189" t="str">
        <f t="shared" si="1406"/>
        <v>1</v>
      </c>
      <c r="K2189" t="str">
        <f t="shared" si="1391"/>
        <v>0</v>
      </c>
      <c r="L2189" t="str">
        <f>"5,000"</f>
        <v>5,000</v>
      </c>
      <c r="M2189" t="str">
        <f t="shared" si="1407"/>
        <v xml:space="preserve"> </v>
      </c>
      <c r="N2189" t="str">
        <f t="shared" si="1403"/>
        <v>FERRAZZI</v>
      </c>
      <c r="O2189" t="str">
        <f t="shared" si="1426"/>
        <v>CABLES</v>
      </c>
      <c r="P2189" t="str">
        <f t="shared" si="1424"/>
        <v>0</v>
      </c>
      <c r="Q2189" t="str">
        <f t="shared" si="1424"/>
        <v>0</v>
      </c>
      <c r="R2189" t="str">
        <f t="shared" si="1425"/>
        <v>0,00</v>
      </c>
      <c r="S2189" t="str">
        <f t="shared" si="1425"/>
        <v>0,00</v>
      </c>
      <c r="T2189" t="str">
        <f t="shared" si="1404"/>
        <v xml:space="preserve"> </v>
      </c>
      <c r="U2189" t="str">
        <f t="shared" si="1427"/>
        <v xml:space="preserve"> </v>
      </c>
      <c r="V2189" t="str">
        <f>"5,000"</f>
        <v>5,000</v>
      </c>
      <c r="W2189" t="str">
        <f t="shared" si="1408"/>
        <v>Lista 4</v>
      </c>
      <c r="X2189" t="str">
        <f t="shared" si="1409"/>
        <v>Lista 5</v>
      </c>
      <c r="Y2189" t="str">
        <f t="shared" si="1410"/>
        <v>Oferta Gral.</v>
      </c>
      <c r="Z2189" t="str">
        <f t="shared" si="1411"/>
        <v>Rubro</v>
      </c>
      <c r="AA2189" t="str">
        <f t="shared" si="1412"/>
        <v>Cantidad por Bulto</v>
      </c>
      <c r="AB2189" t="str">
        <f t="shared" si="1413"/>
        <v>INNER</v>
      </c>
      <c r="AC2189" t="str">
        <f t="shared" si="1414"/>
        <v>Stock en Bultos</v>
      </c>
      <c r="AD2189" t="str">
        <f t="shared" si="1415"/>
        <v>SubDepósito</v>
      </c>
      <c r="AE2189" t="str">
        <f t="shared" si="1416"/>
        <v>Marca</v>
      </c>
      <c r="AF2189" t="str">
        <f t="shared" si="1417"/>
        <v>Super Rubro</v>
      </c>
      <c r="AG2189" t="str">
        <f t="shared" si="1418"/>
        <v>ComercioExterior</v>
      </c>
      <c r="AH2189" t="str">
        <f t="shared" si="1419"/>
        <v>PrecioFOB</v>
      </c>
      <c r="AI2189" t="str">
        <f t="shared" si="1420"/>
        <v>Monto II</v>
      </c>
      <c r="AJ2189" t="str">
        <f t="shared" si="1421"/>
        <v>Porcentaje II</v>
      </c>
      <c r="AK2189" t="str">
        <f t="shared" si="1422"/>
        <v>Foto</v>
      </c>
      <c r="AL2189" t="str">
        <f>"{\rtf1\ansi\ansicpg1252\deff0\deflang11274{\fonttbl{\f0\fnil\fcharset0 MS Sans Serif}} \viewkind4\uc1\pard\f0\fs16 JGO. CABLES BUJ\'cdAS TWINGO BOB. SECA\par } "</f>
        <v xml:space="preserve">{\rtf1\ansi\ansicpg1252\deff0\deflang11274{\fonttbl{\f0\fnil\fcharset0 MS Sans Serif}} \viewkind4\uc1\pard\f0\fs16 JGO. CABLES BUJ\'cdAS TWINGO BOB. SECA\par } </v>
      </c>
      <c r="AM2189" t="str">
        <f t="shared" si="1402"/>
        <v>-</v>
      </c>
    </row>
    <row r="2190" spans="1:39" x14ac:dyDescent="0.25">
      <c r="A2190" t="str">
        <f>"05-33052"</f>
        <v>05-33052</v>
      </c>
      <c r="B2190" t="str">
        <f>"JGO. CABLES BUJÍAS UNO / DUNA / PALIO / SIENA (BASE) 1.3 MPI"</f>
        <v>JGO. CABLES BUJÍAS UNO / DUNA / PALIO / SIENA (BASE) 1.3 MPI</v>
      </c>
      <c r="C2190" t="str">
        <f>"$ 7293,36"</f>
        <v>$ 7293,36</v>
      </c>
      <c r="D2190" t="str">
        <f>"$ 7293,36"</f>
        <v>$ 7293,36</v>
      </c>
      <c r="E2190" t="str">
        <f>"$ 7293,36"</f>
        <v>$ 7293,36</v>
      </c>
      <c r="F2190" t="str">
        <f>"$ 7293,36"</f>
        <v>$ 7293,36</v>
      </c>
      <c r="G2190" t="str">
        <f>"$ 7293,36"</f>
        <v>$ 7293,36</v>
      </c>
      <c r="H2190" t="str">
        <f t="shared" si="1405"/>
        <v>$ 0,00</v>
      </c>
      <c r="I2190" t="str">
        <f t="shared" si="1423"/>
        <v>CABLES BUJÍAS PVC ANTIPARASITARIOS</v>
      </c>
      <c r="J2190" t="str">
        <f t="shared" si="1406"/>
        <v>1</v>
      </c>
      <c r="K2190" t="str">
        <f t="shared" si="1391"/>
        <v>0</v>
      </c>
      <c r="L2190" t="str">
        <f>"13,000"</f>
        <v>13,000</v>
      </c>
      <c r="M2190" t="str">
        <f t="shared" si="1407"/>
        <v xml:space="preserve"> </v>
      </c>
      <c r="N2190" t="str">
        <f t="shared" si="1403"/>
        <v>FERRAZZI</v>
      </c>
      <c r="O2190" t="str">
        <f t="shared" si="1426"/>
        <v>CABLES</v>
      </c>
      <c r="P2190" t="str">
        <f t="shared" si="1424"/>
        <v>0</v>
      </c>
      <c r="Q2190" t="str">
        <f t="shared" si="1424"/>
        <v>0</v>
      </c>
      <c r="R2190" t="str">
        <f t="shared" si="1425"/>
        <v>0,00</v>
      </c>
      <c r="S2190" t="str">
        <f t="shared" si="1425"/>
        <v>0,00</v>
      </c>
      <c r="T2190" t="str">
        <f t="shared" si="1404"/>
        <v xml:space="preserve"> </v>
      </c>
      <c r="U2190" t="str">
        <f t="shared" si="1427"/>
        <v xml:space="preserve"> </v>
      </c>
      <c r="V2190" t="str">
        <f>"13,000"</f>
        <v>13,000</v>
      </c>
      <c r="W2190" t="str">
        <f t="shared" si="1408"/>
        <v>Lista 4</v>
      </c>
      <c r="X2190" t="str">
        <f t="shared" si="1409"/>
        <v>Lista 5</v>
      </c>
      <c r="Y2190" t="str">
        <f t="shared" si="1410"/>
        <v>Oferta Gral.</v>
      </c>
      <c r="Z2190" t="str">
        <f t="shared" si="1411"/>
        <v>Rubro</v>
      </c>
      <c r="AA2190" t="str">
        <f t="shared" si="1412"/>
        <v>Cantidad por Bulto</v>
      </c>
      <c r="AB2190" t="str">
        <f t="shared" si="1413"/>
        <v>INNER</v>
      </c>
      <c r="AC2190" t="str">
        <f t="shared" si="1414"/>
        <v>Stock en Bultos</v>
      </c>
      <c r="AD2190" t="str">
        <f t="shared" si="1415"/>
        <v>SubDepósito</v>
      </c>
      <c r="AE2190" t="str">
        <f t="shared" si="1416"/>
        <v>Marca</v>
      </c>
      <c r="AF2190" t="str">
        <f t="shared" si="1417"/>
        <v>Super Rubro</v>
      </c>
      <c r="AG2190" t="str">
        <f t="shared" si="1418"/>
        <v>ComercioExterior</v>
      </c>
      <c r="AH2190" t="str">
        <f t="shared" si="1419"/>
        <v>PrecioFOB</v>
      </c>
      <c r="AI2190" t="str">
        <f t="shared" si="1420"/>
        <v>Monto II</v>
      </c>
      <c r="AJ2190" t="str">
        <f t="shared" si="1421"/>
        <v>Porcentaje II</v>
      </c>
      <c r="AK2190" t="str">
        <f t="shared" si="1422"/>
        <v>Foto</v>
      </c>
      <c r="AL2190" t="str">
        <f>"{\rtf1\ansi\ansicpg1252\deff0\deflang11274{\fonttbl{\f0\fnil\fcharset0 MS Sans Serif}} \viewkind4\uc1\pard\f0\fs16 JGO. CABLES BUJ\'cdAS UNO / DUNA / PALIO / SIENA (BASE) 1.3 MPI\par } "</f>
        <v xml:space="preserve">{\rtf1\ansi\ansicpg1252\deff0\deflang11274{\fonttbl{\f0\fnil\fcharset0 MS Sans Serif}} \viewkind4\uc1\pard\f0\fs16 JGO. CABLES BUJ\'cdAS UNO / DUNA / PALIO / SIENA (BASE) 1.3 MPI\par } </v>
      </c>
      <c r="AM2190" t="str">
        <f t="shared" si="1402"/>
        <v>-</v>
      </c>
    </row>
    <row r="2191" spans="1:39" x14ac:dyDescent="0.25">
      <c r="A2191" t="str">
        <f>"05-33065"</f>
        <v>05-33065</v>
      </c>
      <c r="B2191" t="str">
        <f>"JGO. CABLES BUJÍAS UNO 70S"</f>
        <v>JGO. CABLES BUJÍAS UNO 70S</v>
      </c>
      <c r="C2191" t="str">
        <f>"$ 11594,97"</f>
        <v>$ 11594,97</v>
      </c>
      <c r="D2191" t="str">
        <f>"$ 11594,97"</f>
        <v>$ 11594,97</v>
      </c>
      <c r="E2191" t="str">
        <f>"$ 11594,97"</f>
        <v>$ 11594,97</v>
      </c>
      <c r="F2191" t="str">
        <f>"$ 11594,97"</f>
        <v>$ 11594,97</v>
      </c>
      <c r="G2191" t="str">
        <f>"$ 11594,97"</f>
        <v>$ 11594,97</v>
      </c>
      <c r="H2191" t="str">
        <f t="shared" si="1405"/>
        <v>$ 0,00</v>
      </c>
      <c r="I2191" t="str">
        <f t="shared" si="1423"/>
        <v>CABLES BUJÍAS PVC ANTIPARASITARIOS</v>
      </c>
      <c r="J2191" t="str">
        <f t="shared" si="1406"/>
        <v>1</v>
      </c>
      <c r="K2191" t="str">
        <f t="shared" si="1391"/>
        <v>0</v>
      </c>
      <c r="L2191" t="str">
        <f>"0,000"</f>
        <v>0,000</v>
      </c>
      <c r="M2191" t="str">
        <f t="shared" si="1407"/>
        <v xml:space="preserve"> </v>
      </c>
      <c r="N2191" t="str">
        <f t="shared" si="1403"/>
        <v>FERRAZZI</v>
      </c>
      <c r="O2191" t="str">
        <f t="shared" si="1426"/>
        <v>CABLES</v>
      </c>
      <c r="P2191" t="str">
        <f t="shared" si="1424"/>
        <v>0</v>
      </c>
      <c r="Q2191" t="str">
        <f t="shared" si="1424"/>
        <v>0</v>
      </c>
      <c r="R2191" t="str">
        <f t="shared" si="1425"/>
        <v>0,00</v>
      </c>
      <c r="S2191" t="str">
        <f t="shared" si="1425"/>
        <v>0,00</v>
      </c>
      <c r="T2191" t="str">
        <f t="shared" si="1404"/>
        <v xml:space="preserve"> </v>
      </c>
      <c r="U2191" t="str">
        <f t="shared" si="1427"/>
        <v xml:space="preserve"> </v>
      </c>
      <c r="V2191" t="str">
        <f>"0,000"</f>
        <v>0,000</v>
      </c>
      <c r="W2191" t="str">
        <f t="shared" si="1408"/>
        <v>Lista 4</v>
      </c>
      <c r="X2191" t="str">
        <f t="shared" si="1409"/>
        <v>Lista 5</v>
      </c>
      <c r="Y2191" t="str">
        <f t="shared" si="1410"/>
        <v>Oferta Gral.</v>
      </c>
      <c r="Z2191" t="str">
        <f t="shared" si="1411"/>
        <v>Rubro</v>
      </c>
      <c r="AA2191" t="str">
        <f t="shared" si="1412"/>
        <v>Cantidad por Bulto</v>
      </c>
      <c r="AB2191" t="str">
        <f t="shared" si="1413"/>
        <v>INNER</v>
      </c>
      <c r="AC2191" t="str">
        <f t="shared" si="1414"/>
        <v>Stock en Bultos</v>
      </c>
      <c r="AD2191" t="str">
        <f t="shared" si="1415"/>
        <v>SubDepósito</v>
      </c>
      <c r="AE2191" t="str">
        <f t="shared" si="1416"/>
        <v>Marca</v>
      </c>
      <c r="AF2191" t="str">
        <f t="shared" si="1417"/>
        <v>Super Rubro</v>
      </c>
      <c r="AG2191" t="str">
        <f t="shared" si="1418"/>
        <v>ComercioExterior</v>
      </c>
      <c r="AH2191" t="str">
        <f t="shared" si="1419"/>
        <v>PrecioFOB</v>
      </c>
      <c r="AI2191" t="str">
        <f t="shared" si="1420"/>
        <v>Monto II</v>
      </c>
      <c r="AJ2191" t="str">
        <f t="shared" si="1421"/>
        <v>Porcentaje II</v>
      </c>
      <c r="AK2191" t="str">
        <f t="shared" si="1422"/>
        <v>Foto</v>
      </c>
      <c r="AL2191" t="str">
        <f>"{\rtf1\ansi\ansicpg1252\deff0\deflang11274{\fonttbl{\f0\fnil\fcharset0 MS Sans Serif}} \viewkind4\uc1\pard\f0\fs16 JGO. CABLES BUJ\'cdAS UNO 70S\par } "</f>
        <v xml:space="preserve">{\rtf1\ansi\ansicpg1252\deff0\deflang11274{\fonttbl{\f0\fnil\fcharset0 MS Sans Serif}} \viewkind4\uc1\pard\f0\fs16 JGO. CABLES BUJ\'cdAS UNO 70S\par } </v>
      </c>
      <c r="AM2191" t="str">
        <f t="shared" si="1402"/>
        <v>-</v>
      </c>
    </row>
    <row r="2192" spans="1:39" x14ac:dyDescent="0.25">
      <c r="A2192" t="str">
        <f>"PL761"</f>
        <v>PL761</v>
      </c>
      <c r="B2192" t="str">
        <f>"JGO. PLATINOS AUDI, VOLKSWAGEN, GACEL, GOL"</f>
        <v>JGO. PLATINOS AUDI, VOLKSWAGEN, GACEL, GOL</v>
      </c>
      <c r="C2192" t="str">
        <f>"$ 5656,07"</f>
        <v>$ 5656,07</v>
      </c>
      <c r="D2192" t="str">
        <f>"$ 5656,07"</f>
        <v>$ 5656,07</v>
      </c>
      <c r="E2192" t="str">
        <f>"$ 5656,07"</f>
        <v>$ 5656,07</v>
      </c>
      <c r="F2192" t="str">
        <f>"$ 5656,07"</f>
        <v>$ 5656,07</v>
      </c>
      <c r="G2192" t="str">
        <f>"$ 5656,07"</f>
        <v>$ 5656,07</v>
      </c>
      <c r="H2192" t="str">
        <f t="shared" si="1405"/>
        <v>$ 0,00</v>
      </c>
      <c r="I2192" t="str">
        <f t="shared" ref="I2192:I2203" si="1428">"PLATINO"</f>
        <v>PLATINO</v>
      </c>
      <c r="J2192" t="str">
        <f t="shared" si="1406"/>
        <v>1</v>
      </c>
      <c r="K2192" t="str">
        <f t="shared" si="1391"/>
        <v>0</v>
      </c>
      <c r="L2192" t="str">
        <f>"-5,000"</f>
        <v>-5,000</v>
      </c>
      <c r="M2192" t="str">
        <f t="shared" si="1407"/>
        <v xml:space="preserve"> </v>
      </c>
      <c r="N2192" t="str">
        <f t="shared" ref="N2192:N2203" si="1429">"DODUCO"</f>
        <v>DODUCO</v>
      </c>
      <c r="O2192" t="str">
        <f t="shared" ref="O2192:O2203" si="1430">"PLATINO CONDENSADOR"</f>
        <v>PLATINO CONDENSADOR</v>
      </c>
      <c r="P2192" t="str">
        <f t="shared" si="1424"/>
        <v>0</v>
      </c>
      <c r="Q2192" t="str">
        <f t="shared" si="1424"/>
        <v>0</v>
      </c>
      <c r="R2192" t="str">
        <f t="shared" si="1425"/>
        <v>0,00</v>
      </c>
      <c r="S2192" t="str">
        <f t="shared" si="1425"/>
        <v>0,00</v>
      </c>
      <c r="T2192" t="str">
        <f t="shared" si="1404"/>
        <v xml:space="preserve"> </v>
      </c>
      <c r="U2192" t="str">
        <f t="shared" si="1427"/>
        <v xml:space="preserve"> </v>
      </c>
      <c r="V2192" t="str">
        <f>"-5,000"</f>
        <v>-5,000</v>
      </c>
      <c r="W2192" t="str">
        <f t="shared" si="1408"/>
        <v>Lista 4</v>
      </c>
      <c r="X2192" t="str">
        <f t="shared" si="1409"/>
        <v>Lista 5</v>
      </c>
      <c r="Y2192" t="str">
        <f t="shared" si="1410"/>
        <v>Oferta Gral.</v>
      </c>
      <c r="Z2192" t="str">
        <f t="shared" si="1411"/>
        <v>Rubro</v>
      </c>
      <c r="AA2192" t="str">
        <f t="shared" si="1412"/>
        <v>Cantidad por Bulto</v>
      </c>
      <c r="AB2192" t="str">
        <f t="shared" si="1413"/>
        <v>INNER</v>
      </c>
      <c r="AC2192" t="str">
        <f t="shared" si="1414"/>
        <v>Stock en Bultos</v>
      </c>
      <c r="AD2192" t="str">
        <f t="shared" si="1415"/>
        <v>SubDepósito</v>
      </c>
      <c r="AE2192" t="str">
        <f t="shared" si="1416"/>
        <v>Marca</v>
      </c>
      <c r="AF2192" t="str">
        <f t="shared" si="1417"/>
        <v>Super Rubro</v>
      </c>
      <c r="AG2192" t="str">
        <f t="shared" si="1418"/>
        <v>ComercioExterior</v>
      </c>
      <c r="AH2192" t="str">
        <f t="shared" si="1419"/>
        <v>PrecioFOB</v>
      </c>
      <c r="AI2192" t="str">
        <f t="shared" si="1420"/>
        <v>Monto II</v>
      </c>
      <c r="AJ2192" t="str">
        <f t="shared" si="1421"/>
        <v>Porcentaje II</v>
      </c>
      <c r="AK2192" t="str">
        <f t="shared" si="1422"/>
        <v>Foto</v>
      </c>
      <c r="AL2192" t="str">
        <f>"{\rtf1\ansi\ansicpg1252\deff0\deflang11274{\fonttbl{\f0\fnil\fcharset0 MS Sans Serif}} \viewkind4\uc1\pard\f0\fs16 JGO. PLATINOS AUDI, VOLKSWAGEN, GACEL, GOL\par } "</f>
        <v xml:space="preserve">{\rtf1\ansi\ansicpg1252\deff0\deflang11274{\fonttbl{\f0\fnil\fcharset0 MS Sans Serif}} \viewkind4\uc1\pard\f0\fs16 JGO. PLATINOS AUDI, VOLKSWAGEN, GACEL, GOL\par } </v>
      </c>
      <c r="AM2192" t="str">
        <f t="shared" si="1402"/>
        <v>-</v>
      </c>
    </row>
    <row r="2193" spans="1:39" x14ac:dyDescent="0.25">
      <c r="A2193" t="str">
        <f>"PL737"</f>
        <v>PL737</v>
      </c>
      <c r="B2193" t="str">
        <f>"JGO. PLATINOS CHRYSLER, DODGE 1500, VW 1500 1,8"</f>
        <v>JGO. PLATINOS CHRYSLER, DODGE 1500, VW 1500 1,8</v>
      </c>
      <c r="C2193" t="str">
        <f t="shared" ref="C2193:G2194" si="1431">"$ 5821,97"</f>
        <v>$ 5821,97</v>
      </c>
      <c r="D2193" t="str">
        <f t="shared" si="1431"/>
        <v>$ 5821,97</v>
      </c>
      <c r="E2193" t="str">
        <f t="shared" si="1431"/>
        <v>$ 5821,97</v>
      </c>
      <c r="F2193" t="str">
        <f t="shared" si="1431"/>
        <v>$ 5821,97</v>
      </c>
      <c r="G2193" t="str">
        <f t="shared" si="1431"/>
        <v>$ 5821,97</v>
      </c>
      <c r="H2193" t="str">
        <f t="shared" si="1405"/>
        <v>$ 0,00</v>
      </c>
      <c r="I2193" t="str">
        <f t="shared" si="1428"/>
        <v>PLATINO</v>
      </c>
      <c r="J2193" t="str">
        <f t="shared" si="1406"/>
        <v>1</v>
      </c>
      <c r="K2193" t="str">
        <f t="shared" si="1391"/>
        <v>0</v>
      </c>
      <c r="L2193" t="str">
        <f>"6,000"</f>
        <v>6,000</v>
      </c>
      <c r="M2193" t="str">
        <f t="shared" si="1407"/>
        <v xml:space="preserve"> </v>
      </c>
      <c r="N2193" t="str">
        <f t="shared" si="1429"/>
        <v>DODUCO</v>
      </c>
      <c r="O2193" t="str">
        <f t="shared" si="1430"/>
        <v>PLATINO CONDENSADOR</v>
      </c>
      <c r="P2193" t="str">
        <f t="shared" si="1424"/>
        <v>0</v>
      </c>
      <c r="Q2193" t="str">
        <f t="shared" si="1424"/>
        <v>0</v>
      </c>
      <c r="R2193" t="str">
        <f t="shared" si="1425"/>
        <v>0,00</v>
      </c>
      <c r="S2193" t="str">
        <f t="shared" si="1425"/>
        <v>0,00</v>
      </c>
      <c r="T2193" t="str">
        <f t="shared" si="1404"/>
        <v xml:space="preserve"> </v>
      </c>
      <c r="U2193" t="str">
        <f t="shared" si="1427"/>
        <v xml:space="preserve"> </v>
      </c>
      <c r="V2193" t="str">
        <f>"6,000"</f>
        <v>6,000</v>
      </c>
      <c r="W2193" t="str">
        <f t="shared" si="1408"/>
        <v>Lista 4</v>
      </c>
      <c r="X2193" t="str">
        <f t="shared" si="1409"/>
        <v>Lista 5</v>
      </c>
      <c r="Y2193" t="str">
        <f t="shared" si="1410"/>
        <v>Oferta Gral.</v>
      </c>
      <c r="Z2193" t="str">
        <f t="shared" si="1411"/>
        <v>Rubro</v>
      </c>
      <c r="AA2193" t="str">
        <f t="shared" si="1412"/>
        <v>Cantidad por Bulto</v>
      </c>
      <c r="AB2193" t="str">
        <f t="shared" si="1413"/>
        <v>INNER</v>
      </c>
      <c r="AC2193" t="str">
        <f t="shared" si="1414"/>
        <v>Stock en Bultos</v>
      </c>
      <c r="AD2193" t="str">
        <f t="shared" si="1415"/>
        <v>SubDepósito</v>
      </c>
      <c r="AE2193" t="str">
        <f t="shared" si="1416"/>
        <v>Marca</v>
      </c>
      <c r="AF2193" t="str">
        <f t="shared" si="1417"/>
        <v>Super Rubro</v>
      </c>
      <c r="AG2193" t="str">
        <f t="shared" si="1418"/>
        <v>ComercioExterior</v>
      </c>
      <c r="AH2193" t="str">
        <f t="shared" si="1419"/>
        <v>PrecioFOB</v>
      </c>
      <c r="AI2193" t="str">
        <f t="shared" si="1420"/>
        <v>Monto II</v>
      </c>
      <c r="AJ2193" t="str">
        <f t="shared" si="1421"/>
        <v>Porcentaje II</v>
      </c>
      <c r="AK2193" t="str">
        <f t="shared" si="1422"/>
        <v>Foto</v>
      </c>
      <c r="AL2193" t="str">
        <f>"{\rtf1\ansi\ansicpg1252\deff0\deflang11274{\fonttbl{\f0\fnil\fcharset0 MS Sans Serif}} \viewkind4\uc1\pard\f0\fs16 JGO. PLATINOS CHRYSLER, DODGE 1500, VW 1500 1,8\par } "</f>
        <v xml:space="preserve">{\rtf1\ansi\ansicpg1252\deff0\deflang11274{\fonttbl{\f0\fnil\fcharset0 MS Sans Serif}} \viewkind4\uc1\pard\f0\fs16 JGO. PLATINOS CHRYSLER, DODGE 1500, VW 1500 1,8\par } </v>
      </c>
      <c r="AM2193" t="str">
        <f t="shared" si="1402"/>
        <v>-</v>
      </c>
    </row>
    <row r="2194" spans="1:39" x14ac:dyDescent="0.25">
      <c r="A2194" t="str">
        <f>"PL711"</f>
        <v>PL711</v>
      </c>
      <c r="B2194" t="str">
        <f>"JGO. PLATINOS FALCON, F-100 DESDE 1980, F100 V8"</f>
        <v>JGO. PLATINOS FALCON, F-100 DESDE 1980, F100 V8</v>
      </c>
      <c r="C2194" t="str">
        <f t="shared" si="1431"/>
        <v>$ 5821,97</v>
      </c>
      <c r="D2194" t="str">
        <f t="shared" si="1431"/>
        <v>$ 5821,97</v>
      </c>
      <c r="E2194" t="str">
        <f t="shared" si="1431"/>
        <v>$ 5821,97</v>
      </c>
      <c r="F2194" t="str">
        <f t="shared" si="1431"/>
        <v>$ 5821,97</v>
      </c>
      <c r="G2194" t="str">
        <f t="shared" si="1431"/>
        <v>$ 5821,97</v>
      </c>
      <c r="H2194" t="str">
        <f t="shared" si="1405"/>
        <v>$ 0,00</v>
      </c>
      <c r="I2194" t="str">
        <f t="shared" si="1428"/>
        <v>PLATINO</v>
      </c>
      <c r="J2194" t="str">
        <f t="shared" si="1406"/>
        <v>1</v>
      </c>
      <c r="K2194" t="str">
        <f t="shared" si="1391"/>
        <v>0</v>
      </c>
      <c r="L2194" t="str">
        <f>"25,000"</f>
        <v>25,000</v>
      </c>
      <c r="M2194" t="str">
        <f t="shared" si="1407"/>
        <v xml:space="preserve"> </v>
      </c>
      <c r="N2194" t="str">
        <f t="shared" si="1429"/>
        <v>DODUCO</v>
      </c>
      <c r="O2194" t="str">
        <f t="shared" si="1430"/>
        <v>PLATINO CONDENSADOR</v>
      </c>
      <c r="P2194" t="str">
        <f t="shared" si="1424"/>
        <v>0</v>
      </c>
      <c r="Q2194" t="str">
        <f t="shared" si="1424"/>
        <v>0</v>
      </c>
      <c r="R2194" t="str">
        <f t="shared" si="1425"/>
        <v>0,00</v>
      </c>
      <c r="S2194" t="str">
        <f t="shared" si="1425"/>
        <v>0,00</v>
      </c>
      <c r="T2194" t="str">
        <f t="shared" si="1404"/>
        <v xml:space="preserve"> </v>
      </c>
      <c r="U2194" t="str">
        <f t="shared" si="1427"/>
        <v xml:space="preserve"> </v>
      </c>
      <c r="V2194" t="str">
        <f>"25,000"</f>
        <v>25,000</v>
      </c>
      <c r="W2194" t="str">
        <f t="shared" si="1408"/>
        <v>Lista 4</v>
      </c>
      <c r="X2194" t="str">
        <f t="shared" si="1409"/>
        <v>Lista 5</v>
      </c>
      <c r="Y2194" t="str">
        <f t="shared" si="1410"/>
        <v>Oferta Gral.</v>
      </c>
      <c r="Z2194" t="str">
        <f t="shared" si="1411"/>
        <v>Rubro</v>
      </c>
      <c r="AA2194" t="str">
        <f t="shared" si="1412"/>
        <v>Cantidad por Bulto</v>
      </c>
      <c r="AB2194" t="str">
        <f t="shared" si="1413"/>
        <v>INNER</v>
      </c>
      <c r="AC2194" t="str">
        <f t="shared" si="1414"/>
        <v>Stock en Bultos</v>
      </c>
      <c r="AD2194" t="str">
        <f t="shared" si="1415"/>
        <v>SubDepósito</v>
      </c>
      <c r="AE2194" t="str">
        <f t="shared" si="1416"/>
        <v>Marca</v>
      </c>
      <c r="AF2194" t="str">
        <f t="shared" si="1417"/>
        <v>Super Rubro</v>
      </c>
      <c r="AG2194" t="str">
        <f t="shared" si="1418"/>
        <v>ComercioExterior</v>
      </c>
      <c r="AH2194" t="str">
        <f t="shared" si="1419"/>
        <v>PrecioFOB</v>
      </c>
      <c r="AI2194" t="str">
        <f t="shared" si="1420"/>
        <v>Monto II</v>
      </c>
      <c r="AJ2194" t="str">
        <f t="shared" si="1421"/>
        <v>Porcentaje II</v>
      </c>
      <c r="AK2194" t="str">
        <f t="shared" si="1422"/>
        <v>Foto</v>
      </c>
      <c r="AL2194" t="str">
        <f>"{\rtf1\ansi\ansicpg1252\deff0\deflang11274{\fonttbl{\f0\fnil\fcharset0 MS Sans Serif}} \viewkind4\uc1\pard\f0\fs16 JGO. PLATINOS FALCON, F-100 DESDE 1980, F100 V8\par } "</f>
        <v xml:space="preserve">{\rtf1\ansi\ansicpg1252\deff0\deflang11274{\fonttbl{\f0\fnil\fcharset0 MS Sans Serif}} \viewkind4\uc1\pard\f0\fs16 JGO. PLATINOS FALCON, F-100 DESDE 1980, F100 V8\par } </v>
      </c>
      <c r="AM2194" t="str">
        <f t="shared" si="1402"/>
        <v>-</v>
      </c>
    </row>
    <row r="2195" spans="1:39" x14ac:dyDescent="0.25">
      <c r="A2195" t="str">
        <f>"PL717"</f>
        <v>PL717</v>
      </c>
      <c r="B2195" t="str">
        <f>"JGO. PLATINOS FALCON, F-100, CHEVROLET 400, CHEVY 6C"</f>
        <v>JGO. PLATINOS FALCON, F-100, CHEVROLET 400, CHEVY 6C</v>
      </c>
      <c r="C2195" t="str">
        <f>"$ 5656,07"</f>
        <v>$ 5656,07</v>
      </c>
      <c r="D2195" t="str">
        <f>"$ 5656,07"</f>
        <v>$ 5656,07</v>
      </c>
      <c r="E2195" t="str">
        <f>"$ 5656,07"</f>
        <v>$ 5656,07</v>
      </c>
      <c r="F2195" t="str">
        <f>"$ 5656,07"</f>
        <v>$ 5656,07</v>
      </c>
      <c r="G2195" t="str">
        <f>"$ 5656,07"</f>
        <v>$ 5656,07</v>
      </c>
      <c r="H2195" t="str">
        <f t="shared" si="1405"/>
        <v>$ 0,00</v>
      </c>
      <c r="I2195" t="str">
        <f t="shared" si="1428"/>
        <v>PLATINO</v>
      </c>
      <c r="J2195" t="str">
        <f t="shared" si="1406"/>
        <v>1</v>
      </c>
      <c r="K2195" t="str">
        <f t="shared" si="1391"/>
        <v>0</v>
      </c>
      <c r="L2195" t="str">
        <f>"211,000"</f>
        <v>211,000</v>
      </c>
      <c r="M2195" t="str">
        <f t="shared" si="1407"/>
        <v xml:space="preserve"> </v>
      </c>
      <c r="N2195" t="str">
        <f t="shared" si="1429"/>
        <v>DODUCO</v>
      </c>
      <c r="O2195" t="str">
        <f t="shared" si="1430"/>
        <v>PLATINO CONDENSADOR</v>
      </c>
      <c r="P2195" t="str">
        <f t="shared" si="1424"/>
        <v>0</v>
      </c>
      <c r="Q2195" t="str">
        <f t="shared" si="1424"/>
        <v>0</v>
      </c>
      <c r="R2195" t="str">
        <f t="shared" si="1425"/>
        <v>0,00</v>
      </c>
      <c r="S2195" t="str">
        <f t="shared" si="1425"/>
        <v>0,00</v>
      </c>
      <c r="T2195" t="str">
        <f t="shared" si="1404"/>
        <v xml:space="preserve"> </v>
      </c>
      <c r="U2195" t="str">
        <f t="shared" si="1427"/>
        <v xml:space="preserve"> </v>
      </c>
      <c r="V2195" t="str">
        <f>"211,000"</f>
        <v>211,000</v>
      </c>
      <c r="W2195" t="str">
        <f t="shared" si="1408"/>
        <v>Lista 4</v>
      </c>
      <c r="X2195" t="str">
        <f t="shared" si="1409"/>
        <v>Lista 5</v>
      </c>
      <c r="Y2195" t="str">
        <f t="shared" si="1410"/>
        <v>Oferta Gral.</v>
      </c>
      <c r="Z2195" t="str">
        <f t="shared" si="1411"/>
        <v>Rubro</v>
      </c>
      <c r="AA2195" t="str">
        <f t="shared" si="1412"/>
        <v>Cantidad por Bulto</v>
      </c>
      <c r="AB2195" t="str">
        <f t="shared" si="1413"/>
        <v>INNER</v>
      </c>
      <c r="AC2195" t="str">
        <f t="shared" si="1414"/>
        <v>Stock en Bultos</v>
      </c>
      <c r="AD2195" t="str">
        <f t="shared" si="1415"/>
        <v>SubDepósito</v>
      </c>
      <c r="AE2195" t="str">
        <f t="shared" si="1416"/>
        <v>Marca</v>
      </c>
      <c r="AF2195" t="str">
        <f t="shared" si="1417"/>
        <v>Super Rubro</v>
      </c>
      <c r="AG2195" t="str">
        <f t="shared" si="1418"/>
        <v>ComercioExterior</v>
      </c>
      <c r="AH2195" t="str">
        <f t="shared" si="1419"/>
        <v>PrecioFOB</v>
      </c>
      <c r="AI2195" t="str">
        <f t="shared" si="1420"/>
        <v>Monto II</v>
      </c>
      <c r="AJ2195" t="str">
        <f t="shared" si="1421"/>
        <v>Porcentaje II</v>
      </c>
      <c r="AK2195" t="str">
        <f t="shared" si="1422"/>
        <v>Foto</v>
      </c>
      <c r="AL2195" t="str">
        <f>"{\rtf1\ansi\ansicpg1252\deff0\deflang11274{\fonttbl{\f0\fnil\fcharset0 MS Sans Serif}} \viewkind4\uc1\pard\f0\fs16 JGO. PLATINOS FALCON, F-100, CHEVROLET 400, CHEVY 6C\par } "</f>
        <v xml:space="preserve">{\rtf1\ansi\ansicpg1252\deff0\deflang11274{\fonttbl{\f0\fnil\fcharset0 MS Sans Serif}} \viewkind4\uc1\pard\f0\fs16 JGO. PLATINOS FALCON, F-100, CHEVROLET 400, CHEVY 6C\par } </v>
      </c>
      <c r="AM2195" t="str">
        <f t="shared" si="1402"/>
        <v>-</v>
      </c>
    </row>
    <row r="2196" spans="1:39" x14ac:dyDescent="0.25">
      <c r="A2196" t="str">
        <f>"PL752"</f>
        <v>PL752</v>
      </c>
      <c r="B2196" t="str">
        <f>"JGO. PLATINOS FIAT 128 HASTA 1978"</f>
        <v>JGO. PLATINOS FIAT 128 HASTA 1978</v>
      </c>
      <c r="C2196" t="str">
        <f>"$ 5203,59"</f>
        <v>$ 5203,59</v>
      </c>
      <c r="D2196" t="str">
        <f>"$ 5203,59"</f>
        <v>$ 5203,59</v>
      </c>
      <c r="E2196" t="str">
        <f>"$ 5203,59"</f>
        <v>$ 5203,59</v>
      </c>
      <c r="F2196" t="str">
        <f>"$ 5203,59"</f>
        <v>$ 5203,59</v>
      </c>
      <c r="G2196" t="str">
        <f>"$ 5203,59"</f>
        <v>$ 5203,59</v>
      </c>
      <c r="H2196" t="str">
        <f t="shared" si="1405"/>
        <v>$ 0,00</v>
      </c>
      <c r="I2196" t="str">
        <f t="shared" si="1428"/>
        <v>PLATINO</v>
      </c>
      <c r="J2196" t="str">
        <f t="shared" si="1406"/>
        <v>1</v>
      </c>
      <c r="K2196" t="str">
        <f t="shared" si="1391"/>
        <v>0</v>
      </c>
      <c r="L2196" t="str">
        <f>"0,000"</f>
        <v>0,000</v>
      </c>
      <c r="M2196" t="str">
        <f t="shared" si="1407"/>
        <v xml:space="preserve"> </v>
      </c>
      <c r="N2196" t="str">
        <f t="shared" si="1429"/>
        <v>DODUCO</v>
      </c>
      <c r="O2196" t="str">
        <f t="shared" si="1430"/>
        <v>PLATINO CONDENSADOR</v>
      </c>
      <c r="P2196" t="str">
        <f t="shared" si="1424"/>
        <v>0</v>
      </c>
      <c r="Q2196" t="str">
        <f t="shared" si="1424"/>
        <v>0</v>
      </c>
      <c r="R2196" t="str">
        <f t="shared" si="1425"/>
        <v>0,00</v>
      </c>
      <c r="S2196" t="str">
        <f t="shared" si="1425"/>
        <v>0,00</v>
      </c>
      <c r="T2196" t="str">
        <f t="shared" si="1404"/>
        <v xml:space="preserve"> </v>
      </c>
      <c r="U2196" t="str">
        <f t="shared" si="1427"/>
        <v xml:space="preserve"> </v>
      </c>
      <c r="V2196" t="str">
        <f>"0,000"</f>
        <v>0,000</v>
      </c>
      <c r="W2196" t="str">
        <f t="shared" si="1408"/>
        <v>Lista 4</v>
      </c>
      <c r="X2196" t="str">
        <f t="shared" si="1409"/>
        <v>Lista 5</v>
      </c>
      <c r="Y2196" t="str">
        <f t="shared" si="1410"/>
        <v>Oferta Gral.</v>
      </c>
      <c r="Z2196" t="str">
        <f t="shared" si="1411"/>
        <v>Rubro</v>
      </c>
      <c r="AA2196" t="str">
        <f t="shared" si="1412"/>
        <v>Cantidad por Bulto</v>
      </c>
      <c r="AB2196" t="str">
        <f t="shared" si="1413"/>
        <v>INNER</v>
      </c>
      <c r="AC2196" t="str">
        <f t="shared" si="1414"/>
        <v>Stock en Bultos</v>
      </c>
      <c r="AD2196" t="str">
        <f t="shared" si="1415"/>
        <v>SubDepósito</v>
      </c>
      <c r="AE2196" t="str">
        <f t="shared" si="1416"/>
        <v>Marca</v>
      </c>
      <c r="AF2196" t="str">
        <f t="shared" si="1417"/>
        <v>Super Rubro</v>
      </c>
      <c r="AG2196" t="str">
        <f t="shared" si="1418"/>
        <v>ComercioExterior</v>
      </c>
      <c r="AH2196" t="str">
        <f t="shared" si="1419"/>
        <v>PrecioFOB</v>
      </c>
      <c r="AI2196" t="str">
        <f t="shared" si="1420"/>
        <v>Monto II</v>
      </c>
      <c r="AJ2196" t="str">
        <f t="shared" si="1421"/>
        <v>Porcentaje II</v>
      </c>
      <c r="AK2196" t="str">
        <f t="shared" si="1422"/>
        <v>Foto</v>
      </c>
      <c r="AL2196" t="str">
        <f>"{\rtf1\ansi\ansicpg1252\deff0\deflang11274{\fonttbl{\f0\fnil\fcharset0 MS Sans Serif}} \viewkind4\uc1\pard\f0\fs16 JGO. PLATINOS FIAT 128 HASTA 1978\par } "</f>
        <v xml:space="preserve">{\rtf1\ansi\ansicpg1252\deff0\deflang11274{\fonttbl{\f0\fnil\fcharset0 MS Sans Serif}} \viewkind4\uc1\pard\f0\fs16 JGO. PLATINOS FIAT 128 HASTA 1978\par } </v>
      </c>
      <c r="AM2196" t="str">
        <f t="shared" si="1402"/>
        <v>-</v>
      </c>
    </row>
    <row r="2197" spans="1:39" x14ac:dyDescent="0.25">
      <c r="A2197" t="str">
        <f>"PL751"</f>
        <v>PL751</v>
      </c>
      <c r="B2197" t="str">
        <f>"JGO. PLATINOS FIAT 128, EUROPA, 125, 147, 133, PEU 504/5"</f>
        <v>JGO. PLATINOS FIAT 128, EUROPA, 125, 147, 133, PEU 504/5</v>
      </c>
      <c r="C2197" t="str">
        <f>"$ 5821,97"</f>
        <v>$ 5821,97</v>
      </c>
      <c r="D2197" t="str">
        <f>"$ 5821,97"</f>
        <v>$ 5821,97</v>
      </c>
      <c r="E2197" t="str">
        <f>"$ 5821,97"</f>
        <v>$ 5821,97</v>
      </c>
      <c r="F2197" t="str">
        <f>"$ 5821,97"</f>
        <v>$ 5821,97</v>
      </c>
      <c r="G2197" t="str">
        <f>"$ 5821,97"</f>
        <v>$ 5821,97</v>
      </c>
      <c r="H2197" t="str">
        <f t="shared" si="1405"/>
        <v>$ 0,00</v>
      </c>
      <c r="I2197" t="str">
        <f t="shared" si="1428"/>
        <v>PLATINO</v>
      </c>
      <c r="J2197" t="str">
        <f t="shared" si="1406"/>
        <v>1</v>
      </c>
      <c r="K2197" t="str">
        <f t="shared" ref="K2197:K2260" si="1432">"0"</f>
        <v>0</v>
      </c>
      <c r="L2197" t="str">
        <f>"-1,000"</f>
        <v>-1,000</v>
      </c>
      <c r="M2197" t="str">
        <f t="shared" si="1407"/>
        <v xml:space="preserve"> </v>
      </c>
      <c r="N2197" t="str">
        <f t="shared" si="1429"/>
        <v>DODUCO</v>
      </c>
      <c r="O2197" t="str">
        <f t="shared" si="1430"/>
        <v>PLATINO CONDENSADOR</v>
      </c>
      <c r="P2197" t="str">
        <f t="shared" si="1424"/>
        <v>0</v>
      </c>
      <c r="Q2197" t="str">
        <f t="shared" si="1424"/>
        <v>0</v>
      </c>
      <c r="R2197" t="str">
        <f t="shared" si="1425"/>
        <v>0,00</v>
      </c>
      <c r="S2197" t="str">
        <f t="shared" si="1425"/>
        <v>0,00</v>
      </c>
      <c r="T2197" t="str">
        <f t="shared" si="1404"/>
        <v xml:space="preserve"> </v>
      </c>
      <c r="U2197" t="str">
        <f t="shared" si="1427"/>
        <v xml:space="preserve"> </v>
      </c>
      <c r="V2197" t="str">
        <f>"-1,000"</f>
        <v>-1,000</v>
      </c>
      <c r="W2197" t="str">
        <f t="shared" si="1408"/>
        <v>Lista 4</v>
      </c>
      <c r="X2197" t="str">
        <f t="shared" si="1409"/>
        <v>Lista 5</v>
      </c>
      <c r="Y2197" t="str">
        <f t="shared" si="1410"/>
        <v>Oferta Gral.</v>
      </c>
      <c r="Z2197" t="str">
        <f t="shared" si="1411"/>
        <v>Rubro</v>
      </c>
      <c r="AA2197" t="str">
        <f t="shared" si="1412"/>
        <v>Cantidad por Bulto</v>
      </c>
      <c r="AB2197" t="str">
        <f t="shared" si="1413"/>
        <v>INNER</v>
      </c>
      <c r="AC2197" t="str">
        <f t="shared" si="1414"/>
        <v>Stock en Bultos</v>
      </c>
      <c r="AD2197" t="str">
        <f t="shared" si="1415"/>
        <v>SubDepósito</v>
      </c>
      <c r="AE2197" t="str">
        <f t="shared" si="1416"/>
        <v>Marca</v>
      </c>
      <c r="AF2197" t="str">
        <f t="shared" si="1417"/>
        <v>Super Rubro</v>
      </c>
      <c r="AG2197" t="str">
        <f t="shared" si="1418"/>
        <v>ComercioExterior</v>
      </c>
      <c r="AH2197" t="str">
        <f t="shared" si="1419"/>
        <v>PrecioFOB</v>
      </c>
      <c r="AI2197" t="str">
        <f t="shared" si="1420"/>
        <v>Monto II</v>
      </c>
      <c r="AJ2197" t="str">
        <f t="shared" si="1421"/>
        <v>Porcentaje II</v>
      </c>
      <c r="AK2197" t="str">
        <f t="shared" si="1422"/>
        <v>Foto</v>
      </c>
      <c r="AL2197" t="str">
        <f>"{\rtf1\ansi\ansicpg1252\deff0\deflang11274{\fonttbl{\f0\fnil\fcharset0 MS Sans Serif}} \viewkind4\uc1\pard\f0\fs16 JGO. PLATINOS FIAT 128, EUROPA, 125, 147, 133, PEU 504/5\par } "</f>
        <v xml:space="preserve">{\rtf1\ansi\ansicpg1252\deff0\deflang11274{\fonttbl{\f0\fnil\fcharset0 MS Sans Serif}} \viewkind4\uc1\pard\f0\fs16 JGO. PLATINOS FIAT 128, EUROPA, 125, 147, 133, PEU 504/5\par } </v>
      </c>
      <c r="AM2197" t="str">
        <f t="shared" si="1402"/>
        <v>-</v>
      </c>
    </row>
    <row r="2198" spans="1:39" x14ac:dyDescent="0.25">
      <c r="A2198" t="str">
        <f>"PL735"</f>
        <v>PL735</v>
      </c>
      <c r="B2198" t="str">
        <f>"JGO. PLATINOS FIAT 1500 Y 1600"</f>
        <v>JGO. PLATINOS FIAT 1500 Y 1600</v>
      </c>
      <c r="C2198" t="str">
        <f>"$ 5218,66"</f>
        <v>$ 5218,66</v>
      </c>
      <c r="D2198" t="str">
        <f>"$ 5218,66"</f>
        <v>$ 5218,66</v>
      </c>
      <c r="E2198" t="str">
        <f>"$ 5218,66"</f>
        <v>$ 5218,66</v>
      </c>
      <c r="F2198" t="str">
        <f>"$ 5218,66"</f>
        <v>$ 5218,66</v>
      </c>
      <c r="G2198" t="str">
        <f>"$ 5218,66"</f>
        <v>$ 5218,66</v>
      </c>
      <c r="H2198" t="str">
        <f t="shared" si="1405"/>
        <v>$ 0,00</v>
      </c>
      <c r="I2198" t="str">
        <f t="shared" si="1428"/>
        <v>PLATINO</v>
      </c>
      <c r="J2198" t="str">
        <f t="shared" si="1406"/>
        <v>1</v>
      </c>
      <c r="K2198" t="str">
        <f t="shared" si="1432"/>
        <v>0</v>
      </c>
      <c r="L2198" t="str">
        <f>"9,000"</f>
        <v>9,000</v>
      </c>
      <c r="M2198" t="str">
        <f t="shared" si="1407"/>
        <v xml:space="preserve"> </v>
      </c>
      <c r="N2198" t="str">
        <f t="shared" si="1429"/>
        <v>DODUCO</v>
      </c>
      <c r="O2198" t="str">
        <f t="shared" si="1430"/>
        <v>PLATINO CONDENSADOR</v>
      </c>
      <c r="P2198" t="str">
        <f t="shared" si="1424"/>
        <v>0</v>
      </c>
      <c r="Q2198" t="str">
        <f t="shared" si="1424"/>
        <v>0</v>
      </c>
      <c r="R2198" t="str">
        <f t="shared" si="1425"/>
        <v>0,00</v>
      </c>
      <c r="S2198" t="str">
        <f t="shared" si="1425"/>
        <v>0,00</v>
      </c>
      <c r="T2198" t="str">
        <f t="shared" si="1404"/>
        <v xml:space="preserve"> </v>
      </c>
      <c r="U2198" t="str">
        <f t="shared" si="1427"/>
        <v xml:space="preserve"> </v>
      </c>
      <c r="V2198" t="str">
        <f>"9,000"</f>
        <v>9,000</v>
      </c>
      <c r="W2198" t="str">
        <f t="shared" si="1408"/>
        <v>Lista 4</v>
      </c>
      <c r="X2198" t="str">
        <f t="shared" si="1409"/>
        <v>Lista 5</v>
      </c>
      <c r="Y2198" t="str">
        <f t="shared" si="1410"/>
        <v>Oferta Gral.</v>
      </c>
      <c r="Z2198" t="str">
        <f t="shared" si="1411"/>
        <v>Rubro</v>
      </c>
      <c r="AA2198" t="str">
        <f t="shared" si="1412"/>
        <v>Cantidad por Bulto</v>
      </c>
      <c r="AB2198" t="str">
        <f t="shared" si="1413"/>
        <v>INNER</v>
      </c>
      <c r="AC2198" t="str">
        <f t="shared" si="1414"/>
        <v>Stock en Bultos</v>
      </c>
      <c r="AD2198" t="str">
        <f t="shared" si="1415"/>
        <v>SubDepósito</v>
      </c>
      <c r="AE2198" t="str">
        <f t="shared" si="1416"/>
        <v>Marca</v>
      </c>
      <c r="AF2198" t="str">
        <f t="shared" si="1417"/>
        <v>Super Rubro</v>
      </c>
      <c r="AG2198" t="str">
        <f t="shared" si="1418"/>
        <v>ComercioExterior</v>
      </c>
      <c r="AH2198" t="str">
        <f t="shared" si="1419"/>
        <v>PrecioFOB</v>
      </c>
      <c r="AI2198" t="str">
        <f t="shared" si="1420"/>
        <v>Monto II</v>
      </c>
      <c r="AJ2198" t="str">
        <f t="shared" si="1421"/>
        <v>Porcentaje II</v>
      </c>
      <c r="AK2198" t="str">
        <f t="shared" si="1422"/>
        <v>Foto</v>
      </c>
      <c r="AL2198" t="str">
        <f>"{\rtf1\ansi\ansicpg1252\deff0\deflang11274{\fonttbl{\f0\fnil\fcharset0 MS Sans Serif}} \viewkind4\uc1\pard\f0\fs16 JGO. PLATINOS FIAT 1500 Y 1600\par } "</f>
        <v xml:space="preserve">{\rtf1\ansi\ansicpg1252\deff0\deflang11274{\fonttbl{\f0\fnil\fcharset0 MS Sans Serif}} \viewkind4\uc1\pard\f0\fs16 JGO. PLATINOS FIAT 1500 Y 1600\par } </v>
      </c>
      <c r="AM2198" t="str">
        <f t="shared" si="1402"/>
        <v>-</v>
      </c>
    </row>
    <row r="2199" spans="1:39" x14ac:dyDescent="0.25">
      <c r="A2199" t="str">
        <f>"PL738"</f>
        <v>PL738</v>
      </c>
      <c r="B2199" t="str">
        <f>"JGO. PLATINOS FIAT 600, 750 Y 850"</f>
        <v>JGO. PLATINOS FIAT 600, 750 Y 850</v>
      </c>
      <c r="C2199" t="str">
        <f t="shared" ref="C2199:G2200" si="1433">"$ 4841,59"</f>
        <v>$ 4841,59</v>
      </c>
      <c r="D2199" t="str">
        <f t="shared" si="1433"/>
        <v>$ 4841,59</v>
      </c>
      <c r="E2199" t="str">
        <f t="shared" si="1433"/>
        <v>$ 4841,59</v>
      </c>
      <c r="F2199" t="str">
        <f t="shared" si="1433"/>
        <v>$ 4841,59</v>
      </c>
      <c r="G2199" t="str">
        <f t="shared" si="1433"/>
        <v>$ 4841,59</v>
      </c>
      <c r="H2199" t="str">
        <f t="shared" si="1405"/>
        <v>$ 0,00</v>
      </c>
      <c r="I2199" t="str">
        <f t="shared" si="1428"/>
        <v>PLATINO</v>
      </c>
      <c r="J2199" t="str">
        <f t="shared" si="1406"/>
        <v>1</v>
      </c>
      <c r="K2199" t="str">
        <f t="shared" si="1432"/>
        <v>0</v>
      </c>
      <c r="L2199" t="str">
        <f>"18,000"</f>
        <v>18,000</v>
      </c>
      <c r="M2199" t="str">
        <f t="shared" si="1407"/>
        <v xml:space="preserve"> </v>
      </c>
      <c r="N2199" t="str">
        <f t="shared" si="1429"/>
        <v>DODUCO</v>
      </c>
      <c r="O2199" t="str">
        <f t="shared" si="1430"/>
        <v>PLATINO CONDENSADOR</v>
      </c>
      <c r="P2199" t="str">
        <f t="shared" si="1424"/>
        <v>0</v>
      </c>
      <c r="Q2199" t="str">
        <f t="shared" si="1424"/>
        <v>0</v>
      </c>
      <c r="R2199" t="str">
        <f t="shared" si="1425"/>
        <v>0,00</v>
      </c>
      <c r="S2199" t="str">
        <f t="shared" si="1425"/>
        <v>0,00</v>
      </c>
      <c r="T2199" t="str">
        <f t="shared" si="1404"/>
        <v xml:space="preserve"> </v>
      </c>
      <c r="U2199" t="str">
        <f t="shared" si="1427"/>
        <v xml:space="preserve"> </v>
      </c>
      <c r="V2199" t="str">
        <f>"18,000"</f>
        <v>18,000</v>
      </c>
      <c r="W2199" t="str">
        <f t="shared" si="1408"/>
        <v>Lista 4</v>
      </c>
      <c r="X2199" t="str">
        <f t="shared" si="1409"/>
        <v>Lista 5</v>
      </c>
      <c r="Y2199" t="str">
        <f t="shared" si="1410"/>
        <v>Oferta Gral.</v>
      </c>
      <c r="Z2199" t="str">
        <f t="shared" si="1411"/>
        <v>Rubro</v>
      </c>
      <c r="AA2199" t="str">
        <f t="shared" si="1412"/>
        <v>Cantidad por Bulto</v>
      </c>
      <c r="AB2199" t="str">
        <f t="shared" si="1413"/>
        <v>INNER</v>
      </c>
      <c r="AC2199" t="str">
        <f t="shared" si="1414"/>
        <v>Stock en Bultos</v>
      </c>
      <c r="AD2199" t="str">
        <f t="shared" si="1415"/>
        <v>SubDepósito</v>
      </c>
      <c r="AE2199" t="str">
        <f t="shared" si="1416"/>
        <v>Marca</v>
      </c>
      <c r="AF2199" t="str">
        <f t="shared" si="1417"/>
        <v>Super Rubro</v>
      </c>
      <c r="AG2199" t="str">
        <f t="shared" si="1418"/>
        <v>ComercioExterior</v>
      </c>
      <c r="AH2199" t="str">
        <f t="shared" si="1419"/>
        <v>PrecioFOB</v>
      </c>
      <c r="AI2199" t="str">
        <f t="shared" si="1420"/>
        <v>Monto II</v>
      </c>
      <c r="AJ2199" t="str">
        <f t="shared" si="1421"/>
        <v>Porcentaje II</v>
      </c>
      <c r="AK2199" t="str">
        <f t="shared" si="1422"/>
        <v>Foto</v>
      </c>
      <c r="AL2199" t="str">
        <f>"{\rtf1\ansi\ansicpg1252\deff0\deflang11274{\fonttbl{\f0\fnil\fcharset0 MS Sans Serif}} \viewkind4\uc1\pard\f0\fs16 JGO. PLATINOS FIAT 600, 750 Y 850\par } "</f>
        <v xml:space="preserve">{\rtf1\ansi\ansicpg1252\deff0\deflang11274{\fonttbl{\f0\fnil\fcharset0 MS Sans Serif}} \viewkind4\uc1\pard\f0\fs16 JGO. PLATINOS FIAT 600, 750 Y 850\par } </v>
      </c>
      <c r="AM2199" t="str">
        <f t="shared" si="1402"/>
        <v>-</v>
      </c>
    </row>
    <row r="2200" spans="1:39" x14ac:dyDescent="0.25">
      <c r="A2200" t="str">
        <f>"PL716"</f>
        <v>PL716</v>
      </c>
      <c r="B2200" t="str">
        <f>"JGO. PLATINOS IKA, STUDEBAKER, TORINO, WILLYS"</f>
        <v>JGO. PLATINOS IKA, STUDEBAKER, TORINO, WILLYS</v>
      </c>
      <c r="C2200" t="str">
        <f t="shared" si="1433"/>
        <v>$ 4841,59</v>
      </c>
      <c r="D2200" t="str">
        <f t="shared" si="1433"/>
        <v>$ 4841,59</v>
      </c>
      <c r="E2200" t="str">
        <f t="shared" si="1433"/>
        <v>$ 4841,59</v>
      </c>
      <c r="F2200" t="str">
        <f t="shared" si="1433"/>
        <v>$ 4841,59</v>
      </c>
      <c r="G2200" t="str">
        <f t="shared" si="1433"/>
        <v>$ 4841,59</v>
      </c>
      <c r="H2200" t="str">
        <f t="shared" si="1405"/>
        <v>$ 0,00</v>
      </c>
      <c r="I2200" t="str">
        <f t="shared" si="1428"/>
        <v>PLATINO</v>
      </c>
      <c r="J2200" t="str">
        <f t="shared" si="1406"/>
        <v>1</v>
      </c>
      <c r="K2200" t="str">
        <f t="shared" si="1432"/>
        <v>0</v>
      </c>
      <c r="L2200" t="str">
        <f>"5,000"</f>
        <v>5,000</v>
      </c>
      <c r="M2200" t="str">
        <f t="shared" si="1407"/>
        <v xml:space="preserve"> </v>
      </c>
      <c r="N2200" t="str">
        <f t="shared" si="1429"/>
        <v>DODUCO</v>
      </c>
      <c r="O2200" t="str">
        <f t="shared" si="1430"/>
        <v>PLATINO CONDENSADOR</v>
      </c>
      <c r="P2200" t="str">
        <f t="shared" si="1424"/>
        <v>0</v>
      </c>
      <c r="Q2200" t="str">
        <f t="shared" si="1424"/>
        <v>0</v>
      </c>
      <c r="R2200" t="str">
        <f t="shared" si="1425"/>
        <v>0,00</v>
      </c>
      <c r="S2200" t="str">
        <f t="shared" si="1425"/>
        <v>0,00</v>
      </c>
      <c r="T2200" t="str">
        <f t="shared" si="1404"/>
        <v xml:space="preserve"> </v>
      </c>
      <c r="U2200" t="str">
        <f t="shared" si="1427"/>
        <v xml:space="preserve"> </v>
      </c>
      <c r="V2200" t="str">
        <f>"5,000"</f>
        <v>5,000</v>
      </c>
      <c r="W2200" t="str">
        <f t="shared" si="1408"/>
        <v>Lista 4</v>
      </c>
      <c r="X2200" t="str">
        <f t="shared" si="1409"/>
        <v>Lista 5</v>
      </c>
      <c r="Y2200" t="str">
        <f t="shared" si="1410"/>
        <v>Oferta Gral.</v>
      </c>
      <c r="Z2200" t="str">
        <f t="shared" si="1411"/>
        <v>Rubro</v>
      </c>
      <c r="AA2200" t="str">
        <f t="shared" si="1412"/>
        <v>Cantidad por Bulto</v>
      </c>
      <c r="AB2200" t="str">
        <f t="shared" si="1413"/>
        <v>INNER</v>
      </c>
      <c r="AC2200" t="str">
        <f t="shared" si="1414"/>
        <v>Stock en Bultos</v>
      </c>
      <c r="AD2200" t="str">
        <f t="shared" si="1415"/>
        <v>SubDepósito</v>
      </c>
      <c r="AE2200" t="str">
        <f t="shared" si="1416"/>
        <v>Marca</v>
      </c>
      <c r="AF2200" t="str">
        <f t="shared" si="1417"/>
        <v>Super Rubro</v>
      </c>
      <c r="AG2200" t="str">
        <f t="shared" si="1418"/>
        <v>ComercioExterior</v>
      </c>
      <c r="AH2200" t="str">
        <f t="shared" si="1419"/>
        <v>PrecioFOB</v>
      </c>
      <c r="AI2200" t="str">
        <f t="shared" si="1420"/>
        <v>Monto II</v>
      </c>
      <c r="AJ2200" t="str">
        <f t="shared" si="1421"/>
        <v>Porcentaje II</v>
      </c>
      <c r="AK2200" t="str">
        <f t="shared" si="1422"/>
        <v>Foto</v>
      </c>
      <c r="AL2200" t="str">
        <f>"{\rtf1\ansi\ansicpg1252\deff0\deflang11274{\fonttbl{\f0\fnil\fcharset0 MS Sans Serif}} \viewkind4\uc1\pard\f0\fs16 JGO. PLATINOS IKA, STUDEBAKER, TORINO, WILLYS\par } "</f>
        <v xml:space="preserve">{\rtf1\ansi\ansicpg1252\deff0\deflang11274{\fonttbl{\f0\fnil\fcharset0 MS Sans Serif}} \viewkind4\uc1\pard\f0\fs16 JGO. PLATINOS IKA, STUDEBAKER, TORINO, WILLYS\par } </v>
      </c>
      <c r="AM2200" t="str">
        <f t="shared" si="1402"/>
        <v>-</v>
      </c>
    </row>
    <row r="2201" spans="1:39" x14ac:dyDescent="0.25">
      <c r="A2201" t="str">
        <f>"PL748"</f>
        <v>PL748</v>
      </c>
      <c r="B2201" t="str">
        <f>"JGO. PLATINOS PEUGEOT 505"</f>
        <v>JGO. PLATINOS PEUGEOT 505</v>
      </c>
      <c r="C2201" t="str">
        <f>"$ 5761,66"</f>
        <v>$ 5761,66</v>
      </c>
      <c r="D2201" t="str">
        <f>"$ 5761,66"</f>
        <v>$ 5761,66</v>
      </c>
      <c r="E2201" t="str">
        <f>"$ 5761,66"</f>
        <v>$ 5761,66</v>
      </c>
      <c r="F2201" t="str">
        <f>"$ 5761,66"</f>
        <v>$ 5761,66</v>
      </c>
      <c r="G2201" t="str">
        <f>"$ 5761,66"</f>
        <v>$ 5761,66</v>
      </c>
      <c r="H2201" t="str">
        <f t="shared" si="1405"/>
        <v>$ 0,00</v>
      </c>
      <c r="I2201" t="str">
        <f t="shared" si="1428"/>
        <v>PLATINO</v>
      </c>
      <c r="J2201" t="str">
        <f t="shared" si="1406"/>
        <v>1</v>
      </c>
      <c r="K2201" t="str">
        <f t="shared" si="1432"/>
        <v>0</v>
      </c>
      <c r="L2201" t="str">
        <f>"15,000"</f>
        <v>15,000</v>
      </c>
      <c r="M2201" t="str">
        <f t="shared" si="1407"/>
        <v xml:space="preserve"> </v>
      </c>
      <c r="N2201" t="str">
        <f t="shared" si="1429"/>
        <v>DODUCO</v>
      </c>
      <c r="O2201" t="str">
        <f t="shared" si="1430"/>
        <v>PLATINO CONDENSADOR</v>
      </c>
      <c r="P2201" t="str">
        <f t="shared" si="1424"/>
        <v>0</v>
      </c>
      <c r="Q2201" t="str">
        <f t="shared" si="1424"/>
        <v>0</v>
      </c>
      <c r="R2201" t="str">
        <f t="shared" si="1425"/>
        <v>0,00</v>
      </c>
      <c r="S2201" t="str">
        <f t="shared" si="1425"/>
        <v>0,00</v>
      </c>
      <c r="T2201" t="str">
        <f t="shared" si="1404"/>
        <v xml:space="preserve"> </v>
      </c>
      <c r="U2201" t="str">
        <f t="shared" si="1427"/>
        <v xml:space="preserve"> </v>
      </c>
      <c r="V2201" t="str">
        <f>"15,000"</f>
        <v>15,000</v>
      </c>
      <c r="W2201" t="str">
        <f t="shared" si="1408"/>
        <v>Lista 4</v>
      </c>
      <c r="X2201" t="str">
        <f t="shared" si="1409"/>
        <v>Lista 5</v>
      </c>
      <c r="Y2201" t="str">
        <f t="shared" si="1410"/>
        <v>Oferta Gral.</v>
      </c>
      <c r="Z2201" t="str">
        <f t="shared" si="1411"/>
        <v>Rubro</v>
      </c>
      <c r="AA2201" t="str">
        <f t="shared" si="1412"/>
        <v>Cantidad por Bulto</v>
      </c>
      <c r="AB2201" t="str">
        <f t="shared" si="1413"/>
        <v>INNER</v>
      </c>
      <c r="AC2201" t="str">
        <f t="shared" si="1414"/>
        <v>Stock en Bultos</v>
      </c>
      <c r="AD2201" t="str">
        <f t="shared" si="1415"/>
        <v>SubDepósito</v>
      </c>
      <c r="AE2201" t="str">
        <f t="shared" si="1416"/>
        <v>Marca</v>
      </c>
      <c r="AF2201" t="str">
        <f t="shared" si="1417"/>
        <v>Super Rubro</v>
      </c>
      <c r="AG2201" t="str">
        <f t="shared" si="1418"/>
        <v>ComercioExterior</v>
      </c>
      <c r="AH2201" t="str">
        <f t="shared" si="1419"/>
        <v>PrecioFOB</v>
      </c>
      <c r="AI2201" t="str">
        <f t="shared" si="1420"/>
        <v>Monto II</v>
      </c>
      <c r="AJ2201" t="str">
        <f t="shared" si="1421"/>
        <v>Porcentaje II</v>
      </c>
      <c r="AK2201" t="str">
        <f t="shared" si="1422"/>
        <v>Foto</v>
      </c>
      <c r="AL2201" t="str">
        <f>"{\rtf1\ansi\ansicpg1252\deff0\deflang11274{\fonttbl{\f0\fnil\fcharset0 MS Sans Serif}} \viewkind4\uc1\pard\f0\fs16 JGO. PLATINOS PEUGEOT 505\par } "</f>
        <v xml:space="preserve">{\rtf1\ansi\ansicpg1252\deff0\deflang11274{\fonttbl{\f0\fnil\fcharset0 MS Sans Serif}} \viewkind4\uc1\pard\f0\fs16 JGO. PLATINOS PEUGEOT 505\par } </v>
      </c>
      <c r="AM2201" t="str">
        <f t="shared" si="1402"/>
        <v>-</v>
      </c>
    </row>
    <row r="2202" spans="1:39" x14ac:dyDescent="0.25">
      <c r="A2202" t="str">
        <f>"PL779"</f>
        <v>PL779</v>
      </c>
      <c r="B2202" t="str">
        <f>"JGO. PLATINOS RENAULT 4,6,12,18,TRAFIC, PEU 404,504,505"</f>
        <v>JGO. PLATINOS RENAULT 4,6,12,18,TRAFIC, PEU 404,504,505</v>
      </c>
      <c r="C2202" t="str">
        <f>"$ 4807,57"</f>
        <v>$ 4807,57</v>
      </c>
      <c r="D2202" t="str">
        <f>"$ 4807,57"</f>
        <v>$ 4807,57</v>
      </c>
      <c r="E2202" t="str">
        <f>"$ 4807,57"</f>
        <v>$ 4807,57</v>
      </c>
      <c r="F2202" t="str">
        <f>"$ 5656,07"</f>
        <v>$ 5656,07</v>
      </c>
      <c r="G2202" t="str">
        <f>"$ 5656,07"</f>
        <v>$ 5656,07</v>
      </c>
      <c r="H2202" t="str">
        <f t="shared" si="1405"/>
        <v>$ 0,00</v>
      </c>
      <c r="I2202" t="str">
        <f t="shared" si="1428"/>
        <v>PLATINO</v>
      </c>
      <c r="J2202" t="str">
        <f t="shared" si="1406"/>
        <v>1</v>
      </c>
      <c r="K2202" t="str">
        <f t="shared" si="1432"/>
        <v>0</v>
      </c>
      <c r="L2202" t="str">
        <f>"312,000"</f>
        <v>312,000</v>
      </c>
      <c r="M2202" t="str">
        <f t="shared" si="1407"/>
        <v xml:space="preserve"> </v>
      </c>
      <c r="N2202" t="str">
        <f t="shared" si="1429"/>
        <v>DODUCO</v>
      </c>
      <c r="O2202" t="str">
        <f t="shared" si="1430"/>
        <v>PLATINO CONDENSADOR</v>
      </c>
      <c r="P2202" t="str">
        <f t="shared" si="1424"/>
        <v>0</v>
      </c>
      <c r="Q2202" t="str">
        <f t="shared" si="1424"/>
        <v>0</v>
      </c>
      <c r="R2202" t="str">
        <f t="shared" si="1425"/>
        <v>0,00</v>
      </c>
      <c r="S2202" t="str">
        <f t="shared" si="1425"/>
        <v>0,00</v>
      </c>
      <c r="T2202" t="str">
        <f t="shared" si="1404"/>
        <v xml:space="preserve"> </v>
      </c>
      <c r="U2202" t="str">
        <f t="shared" si="1427"/>
        <v xml:space="preserve"> </v>
      </c>
      <c r="V2202" t="str">
        <f>"312,000"</f>
        <v>312,000</v>
      </c>
      <c r="W2202" t="str">
        <f t="shared" si="1408"/>
        <v>Lista 4</v>
      </c>
      <c r="X2202" t="str">
        <f t="shared" si="1409"/>
        <v>Lista 5</v>
      </c>
      <c r="Y2202" t="str">
        <f t="shared" si="1410"/>
        <v>Oferta Gral.</v>
      </c>
      <c r="Z2202" t="str">
        <f t="shared" si="1411"/>
        <v>Rubro</v>
      </c>
      <c r="AA2202" t="str">
        <f t="shared" si="1412"/>
        <v>Cantidad por Bulto</v>
      </c>
      <c r="AB2202" t="str">
        <f t="shared" si="1413"/>
        <v>INNER</v>
      </c>
      <c r="AC2202" t="str">
        <f t="shared" si="1414"/>
        <v>Stock en Bultos</v>
      </c>
      <c r="AD2202" t="str">
        <f t="shared" si="1415"/>
        <v>SubDepósito</v>
      </c>
      <c r="AE2202" t="str">
        <f t="shared" si="1416"/>
        <v>Marca</v>
      </c>
      <c r="AF2202" t="str">
        <f t="shared" si="1417"/>
        <v>Super Rubro</v>
      </c>
      <c r="AG2202" t="str">
        <f t="shared" si="1418"/>
        <v>ComercioExterior</v>
      </c>
      <c r="AH2202" t="str">
        <f t="shared" si="1419"/>
        <v>PrecioFOB</v>
      </c>
      <c r="AI2202" t="str">
        <f t="shared" si="1420"/>
        <v>Monto II</v>
      </c>
      <c r="AJ2202" t="str">
        <f t="shared" si="1421"/>
        <v>Porcentaje II</v>
      </c>
      <c r="AK2202" t="str">
        <f t="shared" si="1422"/>
        <v>Foto</v>
      </c>
      <c r="AL2202" t="str">
        <f>"{\rtf1\ansi\ansicpg1252\deff0\deflang11274{\fonttbl{\f0\fnil\fcharset0 MS Sans Serif}} \viewkind4\uc1\pard\f0\fs16 JGO. PLATINOS RENAULT 4,6,12,18,TRAFIC, PEU 404,504,505\par } "</f>
        <v xml:space="preserve">{\rtf1\ansi\ansicpg1252\deff0\deflang11274{\fonttbl{\f0\fnil\fcharset0 MS Sans Serif}} \viewkind4\uc1\pard\f0\fs16 JGO. PLATINOS RENAULT 4,6,12,18,TRAFIC, PEU 404,504,505\par } </v>
      </c>
      <c r="AM2202" t="str">
        <f t="shared" si="1402"/>
        <v>-</v>
      </c>
    </row>
    <row r="2203" spans="1:39" x14ac:dyDescent="0.25">
      <c r="A2203" t="str">
        <f>"PL764"</f>
        <v>PL764</v>
      </c>
      <c r="B2203" t="str">
        <f>"JGO. PLATINOS VOLKSWAGEN 1500"</f>
        <v>JGO. PLATINOS VOLKSWAGEN 1500</v>
      </c>
      <c r="C2203" t="str">
        <f>"$ 5761,66"</f>
        <v>$ 5761,66</v>
      </c>
      <c r="D2203" t="str">
        <f>"$ 5761,66"</f>
        <v>$ 5761,66</v>
      </c>
      <c r="E2203" t="str">
        <f>"$ 5761,66"</f>
        <v>$ 5761,66</v>
      </c>
      <c r="F2203" t="str">
        <f>"$ 5761,66"</f>
        <v>$ 5761,66</v>
      </c>
      <c r="G2203" t="str">
        <f>"$ 5761,66"</f>
        <v>$ 5761,66</v>
      </c>
      <c r="H2203" t="str">
        <f t="shared" si="1405"/>
        <v>$ 0,00</v>
      </c>
      <c r="I2203" t="str">
        <f t="shared" si="1428"/>
        <v>PLATINO</v>
      </c>
      <c r="J2203" t="str">
        <f t="shared" si="1406"/>
        <v>1</v>
      </c>
      <c r="K2203" t="str">
        <f t="shared" si="1432"/>
        <v>0</v>
      </c>
      <c r="L2203" t="str">
        <f>"35,000"</f>
        <v>35,000</v>
      </c>
      <c r="M2203" t="str">
        <f t="shared" si="1407"/>
        <v xml:space="preserve"> </v>
      </c>
      <c r="N2203" t="str">
        <f t="shared" si="1429"/>
        <v>DODUCO</v>
      </c>
      <c r="O2203" t="str">
        <f t="shared" si="1430"/>
        <v>PLATINO CONDENSADOR</v>
      </c>
      <c r="P2203" t="str">
        <f t="shared" ref="P2203:Q2222" si="1434">"0"</f>
        <v>0</v>
      </c>
      <c r="Q2203" t="str">
        <f t="shared" si="1434"/>
        <v>0</v>
      </c>
      <c r="R2203" t="str">
        <f t="shared" ref="R2203:S2222" si="1435">"0,00"</f>
        <v>0,00</v>
      </c>
      <c r="S2203" t="str">
        <f t="shared" si="1435"/>
        <v>0,00</v>
      </c>
      <c r="T2203" t="str">
        <f t="shared" si="1404"/>
        <v xml:space="preserve"> </v>
      </c>
      <c r="U2203" t="str">
        <f t="shared" si="1427"/>
        <v xml:space="preserve"> </v>
      </c>
      <c r="V2203" t="str">
        <f>"35,000"</f>
        <v>35,000</v>
      </c>
      <c r="W2203" t="str">
        <f t="shared" si="1408"/>
        <v>Lista 4</v>
      </c>
      <c r="X2203" t="str">
        <f t="shared" si="1409"/>
        <v>Lista 5</v>
      </c>
      <c r="Y2203" t="str">
        <f t="shared" si="1410"/>
        <v>Oferta Gral.</v>
      </c>
      <c r="Z2203" t="str">
        <f t="shared" si="1411"/>
        <v>Rubro</v>
      </c>
      <c r="AA2203" t="str">
        <f t="shared" si="1412"/>
        <v>Cantidad por Bulto</v>
      </c>
      <c r="AB2203" t="str">
        <f t="shared" si="1413"/>
        <v>INNER</v>
      </c>
      <c r="AC2203" t="str">
        <f t="shared" si="1414"/>
        <v>Stock en Bultos</v>
      </c>
      <c r="AD2203" t="str">
        <f t="shared" si="1415"/>
        <v>SubDepósito</v>
      </c>
      <c r="AE2203" t="str">
        <f t="shared" si="1416"/>
        <v>Marca</v>
      </c>
      <c r="AF2203" t="str">
        <f t="shared" si="1417"/>
        <v>Super Rubro</v>
      </c>
      <c r="AG2203" t="str">
        <f t="shared" si="1418"/>
        <v>ComercioExterior</v>
      </c>
      <c r="AH2203" t="str">
        <f t="shared" si="1419"/>
        <v>PrecioFOB</v>
      </c>
      <c r="AI2203" t="str">
        <f t="shared" si="1420"/>
        <v>Monto II</v>
      </c>
      <c r="AJ2203" t="str">
        <f t="shared" si="1421"/>
        <v>Porcentaje II</v>
      </c>
      <c r="AK2203" t="str">
        <f t="shared" si="1422"/>
        <v>Foto</v>
      </c>
      <c r="AL2203" t="str">
        <f>"{\rtf1\ansi\ansicpg1252\deff0\deflang11274{\fonttbl{\f0\fnil\fcharset0 MS Sans Serif}} \viewkind4\uc1\pard\f0\fs16 JGO. PLATINOS VOLKSWAGEN 1500\par } "</f>
        <v xml:space="preserve">{\rtf1\ansi\ansicpg1252\deff0\deflang11274{\fonttbl{\f0\fnil\fcharset0 MS Sans Serif}} \viewkind4\uc1\pard\f0\fs16 JGO. PLATINOS VOLKSWAGEN 1500\par } </v>
      </c>
      <c r="AM2203" t="str">
        <f t="shared" si="1402"/>
        <v>-</v>
      </c>
    </row>
    <row r="2204" spans="1:39" x14ac:dyDescent="0.25">
      <c r="A2204" t="str">
        <f>"PMSH0625-1"</f>
        <v>PMSH0625-1</v>
      </c>
      <c r="B2204" t="str">
        <f>"JUEGO AROS 0,5 FORD FIESTA ZETEC 1.4 16V DIAM 76MM SEMIHIDRÁULICO"</f>
        <v>JUEGO AROS 0,5 FORD FIESTA ZETEC 1.4 16V DIAM 76MM SEMIHIDRÁULICO</v>
      </c>
      <c r="C2204" t="str">
        <f>"$ 52907,12"</f>
        <v>$ 52907,12</v>
      </c>
      <c r="D2204" t="str">
        <f>"$ 52907,12"</f>
        <v>$ 52907,12</v>
      </c>
      <c r="E2204" t="str">
        <f>"$ 52907,12"</f>
        <v>$ 52907,12</v>
      </c>
      <c r="F2204" t="str">
        <f>"$ 52907,12"</f>
        <v>$ 52907,12</v>
      </c>
      <c r="G2204" t="str">
        <f>"$ 52907,12"</f>
        <v>$ 52907,12</v>
      </c>
      <c r="H2204" t="str">
        <f t="shared" si="1405"/>
        <v>$ 0,00</v>
      </c>
      <c r="I2204" t="str">
        <f>"JUEGO AROS SEMIHIDRAULICOS"</f>
        <v>JUEGO AROS SEMIHIDRAULICOS</v>
      </c>
      <c r="J2204" t="str">
        <f t="shared" si="1406"/>
        <v>1</v>
      </c>
      <c r="K2204" t="str">
        <f t="shared" si="1432"/>
        <v>0</v>
      </c>
      <c r="L2204" t="str">
        <f>"1,000"</f>
        <v>1,000</v>
      </c>
      <c r="M2204" t="str">
        <f t="shared" si="1407"/>
        <v xml:space="preserve"> </v>
      </c>
      <c r="N2204" t="str">
        <f t="shared" ref="N2204:N2235" si="1436">"PROMETAL"</f>
        <v>PROMETAL</v>
      </c>
      <c r="O2204" t="str">
        <f t="shared" ref="O2204:O2235" si="1437">"AROS DE MOTOR"</f>
        <v>AROS DE MOTOR</v>
      </c>
      <c r="P2204" t="str">
        <f t="shared" si="1434"/>
        <v>0</v>
      </c>
      <c r="Q2204" t="str">
        <f t="shared" si="1434"/>
        <v>0</v>
      </c>
      <c r="R2204" t="str">
        <f t="shared" si="1435"/>
        <v>0,00</v>
      </c>
      <c r="S2204" t="str">
        <f t="shared" si="1435"/>
        <v>0,00</v>
      </c>
      <c r="T2204" t="str">
        <f t="shared" si="1404"/>
        <v xml:space="preserve"> </v>
      </c>
      <c r="U2204" t="str">
        <f t="shared" si="1427"/>
        <v xml:space="preserve"> </v>
      </c>
      <c r="V2204" t="str">
        <f>"1,000"</f>
        <v>1,000</v>
      </c>
      <c r="W2204" t="str">
        <f t="shared" si="1408"/>
        <v>Lista 4</v>
      </c>
      <c r="X2204" t="str">
        <f t="shared" si="1409"/>
        <v>Lista 5</v>
      </c>
      <c r="Y2204" t="str">
        <f t="shared" si="1410"/>
        <v>Oferta Gral.</v>
      </c>
      <c r="Z2204" t="str">
        <f t="shared" si="1411"/>
        <v>Rubro</v>
      </c>
      <c r="AA2204" t="str">
        <f t="shared" si="1412"/>
        <v>Cantidad por Bulto</v>
      </c>
      <c r="AB2204" t="str">
        <f t="shared" si="1413"/>
        <v>INNER</v>
      </c>
      <c r="AC2204" t="str">
        <f t="shared" si="1414"/>
        <v>Stock en Bultos</v>
      </c>
      <c r="AD2204" t="str">
        <f t="shared" si="1415"/>
        <v>SubDepósito</v>
      </c>
      <c r="AE2204" t="str">
        <f t="shared" si="1416"/>
        <v>Marca</v>
      </c>
      <c r="AF2204" t="str">
        <f t="shared" si="1417"/>
        <v>Super Rubro</v>
      </c>
      <c r="AG2204" t="str">
        <f t="shared" si="1418"/>
        <v>ComercioExterior</v>
      </c>
      <c r="AH2204" t="str">
        <f t="shared" si="1419"/>
        <v>PrecioFOB</v>
      </c>
      <c r="AI2204" t="str">
        <f t="shared" si="1420"/>
        <v>Monto II</v>
      </c>
      <c r="AJ2204" t="str">
        <f t="shared" si="1421"/>
        <v>Porcentaje II</v>
      </c>
      <c r="AK2204" t="str">
        <f t="shared" si="1422"/>
        <v>Foto</v>
      </c>
      <c r="AL2204" t="str">
        <f>"{\rtf1\ansi\ansicpg1252\deff0\deflang11274{\fonttbl{\f0\fnil\fcharset0 MS Sans Serif}} \viewkind4\uc1\pard\f0\fs16 JUEGO AROS 0,5 FORD FIESTA ZETEC 1.4 16V DIAM 76MM SEMIHIDR\'c1ULICO\par } "</f>
        <v xml:space="preserve">{\rtf1\ansi\ansicpg1252\deff0\deflang11274{\fonttbl{\f0\fnil\fcharset0 MS Sans Serif}} \viewkind4\uc1\pard\f0\fs16 JUEGO AROS 0,5 FORD FIESTA ZETEC 1.4 16V DIAM 76MM SEMIHIDR\'c1ULICO\par } </v>
      </c>
      <c r="AM2204" t="str">
        <f t="shared" si="1402"/>
        <v>-</v>
      </c>
    </row>
    <row r="2205" spans="1:39" x14ac:dyDescent="0.25">
      <c r="A2205" t="str">
        <f>"PMR1510-1"</f>
        <v>PMR1510-1</v>
      </c>
      <c r="B2205" t="str">
        <f>"JUEGO AROS 0,50 CORSA MERIVA 1.7D FAD NHS1950"</f>
        <v>JUEGO AROS 0,50 CORSA MERIVA 1.7D FAD NHS1950</v>
      </c>
      <c r="C2205" t="str">
        <f>"$ 37462,51"</f>
        <v>$ 37462,51</v>
      </c>
      <c r="D2205" t="str">
        <f>"$ 37462,51"</f>
        <v>$ 37462,51</v>
      </c>
      <c r="E2205" t="str">
        <f>"$ 37462,51"</f>
        <v>$ 37462,51</v>
      </c>
      <c r="F2205" t="str">
        <f>"$ 37462,51"</f>
        <v>$ 37462,51</v>
      </c>
      <c r="G2205" t="str">
        <f>"$ 37462,51"</f>
        <v>$ 37462,51</v>
      </c>
      <c r="H2205" t="str">
        <f t="shared" si="1405"/>
        <v>$ 0,00</v>
      </c>
      <c r="I2205" t="str">
        <f t="shared" ref="I2205:I2212" si="1438">"JUEGO AROS DE RECAMBIO"</f>
        <v>JUEGO AROS DE RECAMBIO</v>
      </c>
      <c r="J2205" t="str">
        <f t="shared" si="1406"/>
        <v>1</v>
      </c>
      <c r="K2205" t="str">
        <f t="shared" si="1432"/>
        <v>0</v>
      </c>
      <c r="L2205" t="str">
        <f>"0,000"</f>
        <v>0,000</v>
      </c>
      <c r="M2205" t="str">
        <f t="shared" si="1407"/>
        <v xml:space="preserve"> </v>
      </c>
      <c r="N2205" t="str">
        <f t="shared" si="1436"/>
        <v>PROMETAL</v>
      </c>
      <c r="O2205" t="str">
        <f t="shared" si="1437"/>
        <v>AROS DE MOTOR</v>
      </c>
      <c r="P2205" t="str">
        <f t="shared" si="1434"/>
        <v>0</v>
      </c>
      <c r="Q2205" t="str">
        <f t="shared" si="1434"/>
        <v>0</v>
      </c>
      <c r="R2205" t="str">
        <f t="shared" si="1435"/>
        <v>0,00</v>
      </c>
      <c r="S2205" t="str">
        <f t="shared" si="1435"/>
        <v>0,00</v>
      </c>
      <c r="T2205" t="str">
        <f t="shared" si="1404"/>
        <v xml:space="preserve"> </v>
      </c>
      <c r="U2205" t="str">
        <f t="shared" si="1427"/>
        <v xml:space="preserve"> </v>
      </c>
      <c r="V2205" t="str">
        <f>"0,000"</f>
        <v>0,000</v>
      </c>
      <c r="W2205" t="str">
        <f t="shared" si="1408"/>
        <v>Lista 4</v>
      </c>
      <c r="X2205" t="str">
        <f t="shared" si="1409"/>
        <v>Lista 5</v>
      </c>
      <c r="Y2205" t="str">
        <f t="shared" si="1410"/>
        <v>Oferta Gral.</v>
      </c>
      <c r="Z2205" t="str">
        <f t="shared" si="1411"/>
        <v>Rubro</v>
      </c>
      <c r="AA2205" t="str">
        <f t="shared" si="1412"/>
        <v>Cantidad por Bulto</v>
      </c>
      <c r="AB2205" t="str">
        <f t="shared" si="1413"/>
        <v>INNER</v>
      </c>
      <c r="AC2205" t="str">
        <f t="shared" si="1414"/>
        <v>Stock en Bultos</v>
      </c>
      <c r="AD2205" t="str">
        <f t="shared" si="1415"/>
        <v>SubDepósito</v>
      </c>
      <c r="AE2205" t="str">
        <f t="shared" si="1416"/>
        <v>Marca</v>
      </c>
      <c r="AF2205" t="str">
        <f t="shared" si="1417"/>
        <v>Super Rubro</v>
      </c>
      <c r="AG2205" t="str">
        <f t="shared" si="1418"/>
        <v>ComercioExterior</v>
      </c>
      <c r="AH2205" t="str">
        <f t="shared" si="1419"/>
        <v>PrecioFOB</v>
      </c>
      <c r="AI2205" t="str">
        <f t="shared" si="1420"/>
        <v>Monto II</v>
      </c>
      <c r="AJ2205" t="str">
        <f t="shared" si="1421"/>
        <v>Porcentaje II</v>
      </c>
      <c r="AK2205" t="str">
        <f t="shared" si="1422"/>
        <v>Foto</v>
      </c>
      <c r="AL2205" t="str">
        <f>"{\rtf1\ansi\ansicpg1252\deff0\deflang11274{\fonttbl{\f0\fnil\fcharset0 MS Sans Serif}} \viewkind4\uc1\pard\f0\fs16 MODULO PEUGEOT \par } "</f>
        <v xml:space="preserve">{\rtf1\ansi\ansicpg1252\deff0\deflang11274{\fonttbl{\f0\fnil\fcharset0 MS Sans Serif}} \viewkind4\uc1\pard\f0\fs16 MODULO PEUGEOT \par } </v>
      </c>
      <c r="AM2205" t="str">
        <f>" "</f>
        <v xml:space="preserve"> </v>
      </c>
    </row>
    <row r="2206" spans="1:39" x14ac:dyDescent="0.25">
      <c r="A2206" t="str">
        <f>"PMR1609-1"</f>
        <v>PMR1609-1</v>
      </c>
      <c r="B2206" t="str">
        <f>"JUEGO AROS 0,50 PEUGEOT 306 1.9D MOTOR DW8 DIAM 82.2MM RECAMBIO"</f>
        <v>JUEGO AROS 0,50 PEUGEOT 306 1.9D MOTOR DW8 DIAM 82.2MM RECAMBIO</v>
      </c>
      <c r="C2206" t="str">
        <f>"$ 44089,26"</f>
        <v>$ 44089,26</v>
      </c>
      <c r="D2206" t="str">
        <f>"$ 44089,26"</f>
        <v>$ 44089,26</v>
      </c>
      <c r="E2206" t="str">
        <f>"$ 44089,26"</f>
        <v>$ 44089,26</v>
      </c>
      <c r="F2206" t="str">
        <f>"$ 44089,26"</f>
        <v>$ 44089,26</v>
      </c>
      <c r="G2206" t="str">
        <f>"$ 44089,26"</f>
        <v>$ 44089,26</v>
      </c>
      <c r="H2206" t="str">
        <f t="shared" si="1405"/>
        <v>$ 0,00</v>
      </c>
      <c r="I2206" t="str">
        <f t="shared" si="1438"/>
        <v>JUEGO AROS DE RECAMBIO</v>
      </c>
      <c r="J2206" t="str">
        <f t="shared" si="1406"/>
        <v>1</v>
      </c>
      <c r="K2206" t="str">
        <f t="shared" si="1432"/>
        <v>0</v>
      </c>
      <c r="L2206" t="str">
        <f>"3,000"</f>
        <v>3,000</v>
      </c>
      <c r="M2206" t="str">
        <f t="shared" si="1407"/>
        <v xml:space="preserve"> </v>
      </c>
      <c r="N2206" t="str">
        <f t="shared" si="1436"/>
        <v>PROMETAL</v>
      </c>
      <c r="O2206" t="str">
        <f t="shared" si="1437"/>
        <v>AROS DE MOTOR</v>
      </c>
      <c r="P2206" t="str">
        <f t="shared" si="1434"/>
        <v>0</v>
      </c>
      <c r="Q2206" t="str">
        <f t="shared" si="1434"/>
        <v>0</v>
      </c>
      <c r="R2206" t="str">
        <f t="shared" si="1435"/>
        <v>0,00</v>
      </c>
      <c r="S2206" t="str">
        <f t="shared" si="1435"/>
        <v>0,00</v>
      </c>
      <c r="T2206" t="str">
        <f t="shared" si="1404"/>
        <v xml:space="preserve"> </v>
      </c>
      <c r="U2206" t="str">
        <f t="shared" si="1427"/>
        <v xml:space="preserve"> </v>
      </c>
      <c r="V2206" t="str">
        <f>"3,000"</f>
        <v>3,000</v>
      </c>
      <c r="W2206" t="str">
        <f t="shared" si="1408"/>
        <v>Lista 4</v>
      </c>
      <c r="X2206" t="str">
        <f t="shared" si="1409"/>
        <v>Lista 5</v>
      </c>
      <c r="Y2206" t="str">
        <f t="shared" si="1410"/>
        <v>Oferta Gral.</v>
      </c>
      <c r="Z2206" t="str">
        <f t="shared" si="1411"/>
        <v>Rubro</v>
      </c>
      <c r="AA2206" t="str">
        <f t="shared" si="1412"/>
        <v>Cantidad por Bulto</v>
      </c>
      <c r="AB2206" t="str">
        <f t="shared" si="1413"/>
        <v>INNER</v>
      </c>
      <c r="AC2206" t="str">
        <f t="shared" si="1414"/>
        <v>Stock en Bultos</v>
      </c>
      <c r="AD2206" t="str">
        <f t="shared" si="1415"/>
        <v>SubDepósito</v>
      </c>
      <c r="AE2206" t="str">
        <f t="shared" si="1416"/>
        <v>Marca</v>
      </c>
      <c r="AF2206" t="str">
        <f t="shared" si="1417"/>
        <v>Super Rubro</v>
      </c>
      <c r="AG2206" t="str">
        <f t="shared" si="1418"/>
        <v>ComercioExterior</v>
      </c>
      <c r="AH2206" t="str">
        <f t="shared" si="1419"/>
        <v>PrecioFOB</v>
      </c>
      <c r="AI2206" t="str">
        <f t="shared" si="1420"/>
        <v>Monto II</v>
      </c>
      <c r="AJ2206" t="str">
        <f t="shared" si="1421"/>
        <v>Porcentaje II</v>
      </c>
      <c r="AK2206" t="str">
        <f t="shared" si="1422"/>
        <v>Foto</v>
      </c>
      <c r="AL2206" t="str">
        <f>"{\rtf1\ansi\ansicpg1252\deff0\deflang11274{\fonttbl{\f0\fnil\fcharset0 MS Sans Serif}} \viewkind4\uc1\pard\f0\fs16 SENSOR POSICION MARIPOSA VW POLO/FIAT PF1C - PF5C\par } "</f>
        <v xml:space="preserve">{\rtf1\ansi\ansicpg1252\deff0\deflang11274{\fonttbl{\f0\fnil\fcharset0 MS Sans Serif}} \viewkind4\uc1\pard\f0\fs16 SENSOR POSICION MARIPOSA VW POLO/FIAT PF1C - PF5C\par } </v>
      </c>
      <c r="AM2206" t="str">
        <f>" "</f>
        <v xml:space="preserve"> </v>
      </c>
    </row>
    <row r="2207" spans="1:39" x14ac:dyDescent="0.25">
      <c r="A2207" t="str">
        <f>"PMR1605-1"</f>
        <v>PMR1605-1</v>
      </c>
      <c r="B2207" t="str">
        <f>"JUEGO AROS 0,50 PEUGEOT 405D MOTOR XUD9 DIAM 83MM RECAMBIO"</f>
        <v>JUEGO AROS 0,50 PEUGEOT 405D MOTOR XUD9 DIAM 83MM RECAMBIO</v>
      </c>
      <c r="C2207" t="str">
        <f>"$ 50769,46"</f>
        <v>$ 50769,46</v>
      </c>
      <c r="D2207" t="str">
        <f>"$ 50769,46"</f>
        <v>$ 50769,46</v>
      </c>
      <c r="E2207" t="str">
        <f>"$ 50769,46"</f>
        <v>$ 50769,46</v>
      </c>
      <c r="F2207" t="str">
        <f>"$ 50769,46"</f>
        <v>$ 50769,46</v>
      </c>
      <c r="G2207" t="str">
        <f>"$ 50769,46"</f>
        <v>$ 50769,46</v>
      </c>
      <c r="H2207" t="str">
        <f t="shared" si="1405"/>
        <v>$ 0,00</v>
      </c>
      <c r="I2207" t="str">
        <f t="shared" si="1438"/>
        <v>JUEGO AROS DE RECAMBIO</v>
      </c>
      <c r="J2207" t="str">
        <f t="shared" si="1406"/>
        <v>1</v>
      </c>
      <c r="K2207" t="str">
        <f t="shared" si="1432"/>
        <v>0</v>
      </c>
      <c r="L2207" t="str">
        <f>"3,000"</f>
        <v>3,000</v>
      </c>
      <c r="M2207" t="str">
        <f t="shared" si="1407"/>
        <v xml:space="preserve"> </v>
      </c>
      <c r="N2207" t="str">
        <f t="shared" si="1436"/>
        <v>PROMETAL</v>
      </c>
      <c r="O2207" t="str">
        <f t="shared" si="1437"/>
        <v>AROS DE MOTOR</v>
      </c>
      <c r="P2207" t="str">
        <f t="shared" si="1434"/>
        <v>0</v>
      </c>
      <c r="Q2207" t="str">
        <f t="shared" si="1434"/>
        <v>0</v>
      </c>
      <c r="R2207" t="str">
        <f t="shared" si="1435"/>
        <v>0,00</v>
      </c>
      <c r="S2207" t="str">
        <f t="shared" si="1435"/>
        <v>0,00</v>
      </c>
      <c r="T2207" t="str">
        <f t="shared" si="1404"/>
        <v xml:space="preserve"> </v>
      </c>
      <c r="U2207" t="str">
        <f t="shared" si="1427"/>
        <v xml:space="preserve"> </v>
      </c>
      <c r="V2207" t="str">
        <f>"3,000"</f>
        <v>3,000</v>
      </c>
      <c r="W2207" t="str">
        <f t="shared" si="1408"/>
        <v>Lista 4</v>
      </c>
      <c r="X2207" t="str">
        <f t="shared" si="1409"/>
        <v>Lista 5</v>
      </c>
      <c r="Y2207" t="str">
        <f t="shared" si="1410"/>
        <v>Oferta Gral.</v>
      </c>
      <c r="Z2207" t="str">
        <f t="shared" si="1411"/>
        <v>Rubro</v>
      </c>
      <c r="AA2207" t="str">
        <f t="shared" si="1412"/>
        <v>Cantidad por Bulto</v>
      </c>
      <c r="AB2207" t="str">
        <f t="shared" si="1413"/>
        <v>INNER</v>
      </c>
      <c r="AC2207" t="str">
        <f t="shared" si="1414"/>
        <v>Stock en Bultos</v>
      </c>
      <c r="AD2207" t="str">
        <f t="shared" si="1415"/>
        <v>SubDepósito</v>
      </c>
      <c r="AE2207" t="str">
        <f t="shared" si="1416"/>
        <v>Marca</v>
      </c>
      <c r="AF2207" t="str">
        <f t="shared" si="1417"/>
        <v>Super Rubro</v>
      </c>
      <c r="AG2207" t="str">
        <f t="shared" si="1418"/>
        <v>ComercioExterior</v>
      </c>
      <c r="AH2207" t="str">
        <f t="shared" si="1419"/>
        <v>PrecioFOB</v>
      </c>
      <c r="AI2207" t="str">
        <f t="shared" si="1420"/>
        <v>Monto II</v>
      </c>
      <c r="AJ2207" t="str">
        <f t="shared" si="1421"/>
        <v>Porcentaje II</v>
      </c>
      <c r="AK2207" t="str">
        <f t="shared" si="1422"/>
        <v>Foto</v>
      </c>
      <c r="AL2207" t="str">
        <f>"{\rtf1\ansi\ansicpg1252\deff0\deflang11274{\fonttbl{\f0\fnil\fcharset0 MS Sans Serif}} \viewkind4\uc1\pard\f0\fs16 JUEGO AROS 0,50 PEUGEOT 405D MOTOR XUD9 DIAM 83MM RECAMBIO\par } "</f>
        <v xml:space="preserve">{\rtf1\ansi\ansicpg1252\deff0\deflang11274{\fonttbl{\f0\fnil\fcharset0 MS Sans Serif}} \viewkind4\uc1\pard\f0\fs16 JUEGO AROS 0,50 PEUGEOT 405D MOTOR XUD9 DIAM 83MM RECAMBIO\par } </v>
      </c>
      <c r="AM2207" t="str">
        <f>"-"</f>
        <v>-</v>
      </c>
    </row>
    <row r="2208" spans="1:39" x14ac:dyDescent="0.25">
      <c r="A2208" t="str">
        <f>"PMR1903-1"</f>
        <v>PMR1903-1</v>
      </c>
      <c r="B2208" t="str">
        <f>"JUEGO AROS 0,50 VW SENDA DIESEL 1.6D DIAM 76.5MM RECAMBIO "</f>
        <v xml:space="preserve">JUEGO AROS 0,50 VW SENDA DIESEL 1.6D DIAM 76.5MM RECAMBIO </v>
      </c>
      <c r="C2208" t="str">
        <f>"$ 24315,90"</f>
        <v>$ 24315,90</v>
      </c>
      <c r="D2208" t="str">
        <f>"$ 24315,90"</f>
        <v>$ 24315,90</v>
      </c>
      <c r="E2208" t="str">
        <f>"$ 24315,90"</f>
        <v>$ 24315,90</v>
      </c>
      <c r="F2208" t="str">
        <f>"$ 24315,90"</f>
        <v>$ 24315,90</v>
      </c>
      <c r="G2208" t="str">
        <f>"$ 24315,90"</f>
        <v>$ 24315,90</v>
      </c>
      <c r="H2208" t="str">
        <f t="shared" si="1405"/>
        <v>$ 0,00</v>
      </c>
      <c r="I2208" t="str">
        <f t="shared" si="1438"/>
        <v>JUEGO AROS DE RECAMBIO</v>
      </c>
      <c r="J2208" t="str">
        <f t="shared" si="1406"/>
        <v>1</v>
      </c>
      <c r="K2208" t="str">
        <f t="shared" si="1432"/>
        <v>0</v>
      </c>
      <c r="L2208" t="str">
        <f>"0,000"</f>
        <v>0,000</v>
      </c>
      <c r="M2208" t="str">
        <f t="shared" si="1407"/>
        <v xml:space="preserve"> </v>
      </c>
      <c r="N2208" t="str">
        <f t="shared" si="1436"/>
        <v>PROMETAL</v>
      </c>
      <c r="O2208" t="str">
        <f t="shared" si="1437"/>
        <v>AROS DE MOTOR</v>
      </c>
      <c r="P2208" t="str">
        <f t="shared" si="1434"/>
        <v>0</v>
      </c>
      <c r="Q2208" t="str">
        <f t="shared" si="1434"/>
        <v>0</v>
      </c>
      <c r="R2208" t="str">
        <f t="shared" si="1435"/>
        <v>0,00</v>
      </c>
      <c r="S2208" t="str">
        <f t="shared" si="1435"/>
        <v>0,00</v>
      </c>
      <c r="T2208" t="str">
        <f t="shared" si="1404"/>
        <v xml:space="preserve"> </v>
      </c>
      <c r="U2208" t="str">
        <f t="shared" si="1427"/>
        <v xml:space="preserve"> </v>
      </c>
      <c r="V2208" t="str">
        <f>"0,000"</f>
        <v>0,000</v>
      </c>
      <c r="W2208" t="str">
        <f t="shared" si="1408"/>
        <v>Lista 4</v>
      </c>
      <c r="X2208" t="str">
        <f t="shared" si="1409"/>
        <v>Lista 5</v>
      </c>
      <c r="Y2208" t="str">
        <f t="shared" si="1410"/>
        <v>Oferta Gral.</v>
      </c>
      <c r="Z2208" t="str">
        <f t="shared" si="1411"/>
        <v>Rubro</v>
      </c>
      <c r="AA2208" t="str">
        <f t="shared" si="1412"/>
        <v>Cantidad por Bulto</v>
      </c>
      <c r="AB2208" t="str">
        <f t="shared" si="1413"/>
        <v>INNER</v>
      </c>
      <c r="AC2208" t="str">
        <f t="shared" si="1414"/>
        <v>Stock en Bultos</v>
      </c>
      <c r="AD2208" t="str">
        <f t="shared" si="1415"/>
        <v>SubDepósito</v>
      </c>
      <c r="AE2208" t="str">
        <f t="shared" si="1416"/>
        <v>Marca</v>
      </c>
      <c r="AF2208" t="str">
        <f t="shared" si="1417"/>
        <v>Super Rubro</v>
      </c>
      <c r="AG2208" t="str">
        <f t="shared" si="1418"/>
        <v>ComercioExterior</v>
      </c>
      <c r="AH2208" t="str">
        <f t="shared" si="1419"/>
        <v>PrecioFOB</v>
      </c>
      <c r="AI2208" t="str">
        <f t="shared" si="1420"/>
        <v>Monto II</v>
      </c>
      <c r="AJ2208" t="str">
        <f t="shared" si="1421"/>
        <v>Porcentaje II</v>
      </c>
      <c r="AK2208" t="str">
        <f t="shared" si="1422"/>
        <v>Foto</v>
      </c>
      <c r="AL2208" t="str">
        <f>"{\rtf1\ansi\ansicpg1252\deff0\deflang11274{\fonttbl{\f0\fnil\fcharset0 MS Sans Serif}} \viewkind4\uc1\pard\f0\fs16 JUEGO AROS 0,50 VW SENDA DIESEL 1.6D DIAM 76.5MM RECAMBIO \par } "</f>
        <v xml:space="preserve">{\rtf1\ansi\ansicpg1252\deff0\deflang11274{\fonttbl{\f0\fnil\fcharset0 MS Sans Serif}} \viewkind4\uc1\pard\f0\fs16 JUEGO AROS 0,50 VW SENDA DIESEL 1.6D DIAM 76.5MM RECAMBIO \par } </v>
      </c>
      <c r="AM2208" t="str">
        <f>"-"</f>
        <v>-</v>
      </c>
    </row>
    <row r="2209" spans="1:39" x14ac:dyDescent="0.25">
      <c r="A2209" t="str">
        <f>"PMR2405-1"</f>
        <v>PMR2405-1</v>
      </c>
      <c r="B2209" t="str">
        <f>"JUEGO AROS 0,60 FIAT 147 1.3D DIAM 76MM RECAMBIO"</f>
        <v>JUEGO AROS 0,60 FIAT 147 1.3D DIAM 76MM RECAMBIO</v>
      </c>
      <c r="C2209" t="str">
        <f>"$ 37462,51"</f>
        <v>$ 37462,51</v>
      </c>
      <c r="D2209" t="str">
        <f>"$ 37462,51"</f>
        <v>$ 37462,51</v>
      </c>
      <c r="E2209" t="str">
        <f>"$ 37462,51"</f>
        <v>$ 37462,51</v>
      </c>
      <c r="F2209" t="str">
        <f>"$ 37462,51"</f>
        <v>$ 37462,51</v>
      </c>
      <c r="G2209" t="str">
        <f>"$ 37462,51"</f>
        <v>$ 37462,51</v>
      </c>
      <c r="H2209" t="str">
        <f t="shared" si="1405"/>
        <v>$ 0,00</v>
      </c>
      <c r="I2209" t="str">
        <f t="shared" si="1438"/>
        <v>JUEGO AROS DE RECAMBIO</v>
      </c>
      <c r="J2209" t="str">
        <f t="shared" si="1406"/>
        <v>1</v>
      </c>
      <c r="K2209" t="str">
        <f t="shared" si="1432"/>
        <v>0</v>
      </c>
      <c r="L2209" t="str">
        <f>"7,000"</f>
        <v>7,000</v>
      </c>
      <c r="M2209" t="str">
        <f t="shared" si="1407"/>
        <v xml:space="preserve"> </v>
      </c>
      <c r="N2209" t="str">
        <f t="shared" si="1436"/>
        <v>PROMETAL</v>
      </c>
      <c r="O2209" t="str">
        <f t="shared" si="1437"/>
        <v>AROS DE MOTOR</v>
      </c>
      <c r="P2209" t="str">
        <f t="shared" si="1434"/>
        <v>0</v>
      </c>
      <c r="Q2209" t="str">
        <f t="shared" si="1434"/>
        <v>0</v>
      </c>
      <c r="R2209" t="str">
        <f t="shared" si="1435"/>
        <v>0,00</v>
      </c>
      <c r="S2209" t="str">
        <f t="shared" si="1435"/>
        <v>0,00</v>
      </c>
      <c r="T2209" t="str">
        <f t="shared" si="1404"/>
        <v xml:space="preserve"> </v>
      </c>
      <c r="U2209" t="str">
        <f t="shared" si="1427"/>
        <v xml:space="preserve"> </v>
      </c>
      <c r="V2209" t="str">
        <f>"7,000"</f>
        <v>7,000</v>
      </c>
      <c r="W2209" t="str">
        <f t="shared" si="1408"/>
        <v>Lista 4</v>
      </c>
      <c r="X2209" t="str">
        <f t="shared" si="1409"/>
        <v>Lista 5</v>
      </c>
      <c r="Y2209" t="str">
        <f t="shared" si="1410"/>
        <v>Oferta Gral.</v>
      </c>
      <c r="Z2209" t="str">
        <f t="shared" si="1411"/>
        <v>Rubro</v>
      </c>
      <c r="AA2209" t="str">
        <f t="shared" si="1412"/>
        <v>Cantidad por Bulto</v>
      </c>
      <c r="AB2209" t="str">
        <f t="shared" si="1413"/>
        <v>INNER</v>
      </c>
      <c r="AC2209" t="str">
        <f t="shared" si="1414"/>
        <v>Stock en Bultos</v>
      </c>
      <c r="AD2209" t="str">
        <f t="shared" si="1415"/>
        <v>SubDepósito</v>
      </c>
      <c r="AE2209" t="str">
        <f t="shared" si="1416"/>
        <v>Marca</v>
      </c>
      <c r="AF2209" t="str">
        <f t="shared" si="1417"/>
        <v>Super Rubro</v>
      </c>
      <c r="AG2209" t="str">
        <f t="shared" si="1418"/>
        <v>ComercioExterior</v>
      </c>
      <c r="AH2209" t="str">
        <f t="shared" si="1419"/>
        <v>PrecioFOB</v>
      </c>
      <c r="AI2209" t="str">
        <f t="shared" si="1420"/>
        <v>Monto II</v>
      </c>
      <c r="AJ2209" t="str">
        <f t="shared" si="1421"/>
        <v>Porcentaje II</v>
      </c>
      <c r="AK2209" t="str">
        <f t="shared" si="1422"/>
        <v>Foto</v>
      </c>
      <c r="AL2209" t="str">
        <f>"{\rtf1\ansi\ansicpg1252\deff0\deflang11274{\fonttbl{\f0\fnil\fcharset0 MS Sans Serif}} \viewkind4\uc1\pard\f0\fs16 MOTOR PASO A PASO FIAT/RENAULT 19-CLIO \par } "</f>
        <v xml:space="preserve">{\rtf1\ansi\ansicpg1252\deff0\deflang11274{\fonttbl{\f0\fnil\fcharset0 MS Sans Serif}} \viewkind4\uc1\pard\f0\fs16 MOTOR PASO A PASO FIAT/RENAULT 19-CLIO \par } </v>
      </c>
      <c r="AM2209" t="str">
        <f>" "</f>
        <v xml:space="preserve"> </v>
      </c>
    </row>
    <row r="2210" spans="1:39" x14ac:dyDescent="0.25">
      <c r="A2210" t="str">
        <f>"PMR2415-1"</f>
        <v>PMR2415-1</v>
      </c>
      <c r="B2210" t="str">
        <f>"JUEGO AROS 0,60 FIAT DUNA 1.7D DIAM 82.6MM RECAMBIO"</f>
        <v>JUEGO AROS 0,60 FIAT DUNA 1.7D DIAM 82.6MM RECAMBIO</v>
      </c>
      <c r="C2210" t="str">
        <f>"$ 39707,06"</f>
        <v>$ 39707,06</v>
      </c>
      <c r="D2210" t="str">
        <f>"$ 39707,06"</f>
        <v>$ 39707,06</v>
      </c>
      <c r="E2210" t="str">
        <f>"$ 39707,06"</f>
        <v>$ 39707,06</v>
      </c>
      <c r="F2210" t="str">
        <f>"$ 39707,06"</f>
        <v>$ 39707,06</v>
      </c>
      <c r="G2210" t="str">
        <f>"$ 39707,06"</f>
        <v>$ 39707,06</v>
      </c>
      <c r="H2210" t="str">
        <f t="shared" si="1405"/>
        <v>$ 0,00</v>
      </c>
      <c r="I2210" t="str">
        <f t="shared" si="1438"/>
        <v>JUEGO AROS DE RECAMBIO</v>
      </c>
      <c r="J2210" t="str">
        <f t="shared" si="1406"/>
        <v>1</v>
      </c>
      <c r="K2210" t="str">
        <f t="shared" si="1432"/>
        <v>0</v>
      </c>
      <c r="L2210" t="str">
        <f>"9,000"</f>
        <v>9,000</v>
      </c>
      <c r="M2210" t="str">
        <f t="shared" si="1407"/>
        <v xml:space="preserve"> </v>
      </c>
      <c r="N2210" t="str">
        <f t="shared" si="1436"/>
        <v>PROMETAL</v>
      </c>
      <c r="O2210" t="str">
        <f t="shared" si="1437"/>
        <v>AROS DE MOTOR</v>
      </c>
      <c r="P2210" t="str">
        <f t="shared" si="1434"/>
        <v>0</v>
      </c>
      <c r="Q2210" t="str">
        <f t="shared" si="1434"/>
        <v>0</v>
      </c>
      <c r="R2210" t="str">
        <f t="shared" si="1435"/>
        <v>0,00</v>
      </c>
      <c r="S2210" t="str">
        <f t="shared" si="1435"/>
        <v>0,00</v>
      </c>
      <c r="T2210" t="str">
        <f t="shared" si="1404"/>
        <v xml:space="preserve"> </v>
      </c>
      <c r="U2210" t="str">
        <f t="shared" si="1427"/>
        <v xml:space="preserve"> </v>
      </c>
      <c r="V2210" t="str">
        <f>"9,000"</f>
        <v>9,000</v>
      </c>
      <c r="W2210" t="str">
        <f t="shared" si="1408"/>
        <v>Lista 4</v>
      </c>
      <c r="X2210" t="str">
        <f t="shared" si="1409"/>
        <v>Lista 5</v>
      </c>
      <c r="Y2210" t="str">
        <f t="shared" si="1410"/>
        <v>Oferta Gral.</v>
      </c>
      <c r="Z2210" t="str">
        <f t="shared" si="1411"/>
        <v>Rubro</v>
      </c>
      <c r="AA2210" t="str">
        <f t="shared" si="1412"/>
        <v>Cantidad por Bulto</v>
      </c>
      <c r="AB2210" t="str">
        <f t="shared" si="1413"/>
        <v>INNER</v>
      </c>
      <c r="AC2210" t="str">
        <f t="shared" si="1414"/>
        <v>Stock en Bultos</v>
      </c>
      <c r="AD2210" t="str">
        <f t="shared" si="1415"/>
        <v>SubDepósito</v>
      </c>
      <c r="AE2210" t="str">
        <f t="shared" si="1416"/>
        <v>Marca</v>
      </c>
      <c r="AF2210" t="str">
        <f t="shared" si="1417"/>
        <v>Super Rubro</v>
      </c>
      <c r="AG2210" t="str">
        <f t="shared" si="1418"/>
        <v>ComercioExterior</v>
      </c>
      <c r="AH2210" t="str">
        <f t="shared" si="1419"/>
        <v>PrecioFOB</v>
      </c>
      <c r="AI2210" t="str">
        <f t="shared" si="1420"/>
        <v>Monto II</v>
      </c>
      <c r="AJ2210" t="str">
        <f t="shared" si="1421"/>
        <v>Porcentaje II</v>
      </c>
      <c r="AK2210" t="str">
        <f t="shared" si="1422"/>
        <v>Foto</v>
      </c>
      <c r="AL2210" t="str">
        <f>"{\rtf1\ansi\ansicpg1252\deff0\deflang11274{\fonttbl{\f0\fnil\fcharset0 MS Sans Serif}} \viewkind4\uc1\pard\f0\fs16 MOTOR PASO A PASO CHEVROLET CORSA 1.6 ICD00125\par } "</f>
        <v xml:space="preserve">{\rtf1\ansi\ansicpg1252\deff0\deflang11274{\fonttbl{\f0\fnil\fcharset0 MS Sans Serif}} \viewkind4\uc1\pard\f0\fs16 MOTOR PASO A PASO CHEVROLET CORSA 1.6 ICD00125\par } </v>
      </c>
      <c r="AM2210" t="str">
        <f>" "</f>
        <v xml:space="preserve"> </v>
      </c>
    </row>
    <row r="2211" spans="1:39" x14ac:dyDescent="0.25">
      <c r="A2211" t="str">
        <f>"PMR2524-1"</f>
        <v>PMR2524-1</v>
      </c>
      <c r="B2211" t="str">
        <f>"JUEGO AROS 0.30 JEEP IKA 4 CONTINENTAL DIAM 84,14MM RECAMBIO HIDRÁULICO"</f>
        <v>JUEGO AROS 0.30 JEEP IKA 4 CONTINENTAL DIAM 84,14MM RECAMBIO HIDRÁULICO</v>
      </c>
      <c r="C2211" t="str">
        <f>"$ 35271,41"</f>
        <v>$ 35271,41</v>
      </c>
      <c r="D2211" t="str">
        <f>"$ 35271,41"</f>
        <v>$ 35271,41</v>
      </c>
      <c r="E2211" t="str">
        <f>"$ 35271,41"</f>
        <v>$ 35271,41</v>
      </c>
      <c r="F2211" t="str">
        <f>"$ 35271,41"</f>
        <v>$ 35271,41</v>
      </c>
      <c r="G2211" t="str">
        <f>"$ 35271,41"</f>
        <v>$ 35271,41</v>
      </c>
      <c r="H2211" t="str">
        <f t="shared" si="1405"/>
        <v>$ 0,00</v>
      </c>
      <c r="I2211" t="str">
        <f t="shared" si="1438"/>
        <v>JUEGO AROS DE RECAMBIO</v>
      </c>
      <c r="J2211" t="str">
        <f t="shared" si="1406"/>
        <v>1</v>
      </c>
      <c r="K2211" t="str">
        <f t="shared" si="1432"/>
        <v>0</v>
      </c>
      <c r="L2211" t="str">
        <f>"3,000"</f>
        <v>3,000</v>
      </c>
      <c r="M2211" t="str">
        <f t="shared" si="1407"/>
        <v xml:space="preserve"> </v>
      </c>
      <c r="N2211" t="str">
        <f t="shared" si="1436"/>
        <v>PROMETAL</v>
      </c>
      <c r="O2211" t="str">
        <f t="shared" si="1437"/>
        <v>AROS DE MOTOR</v>
      </c>
      <c r="P2211" t="str">
        <f t="shared" si="1434"/>
        <v>0</v>
      </c>
      <c r="Q2211" t="str">
        <f t="shared" si="1434"/>
        <v>0</v>
      </c>
      <c r="R2211" t="str">
        <f t="shared" si="1435"/>
        <v>0,00</v>
      </c>
      <c r="S2211" t="str">
        <f t="shared" si="1435"/>
        <v>0,00</v>
      </c>
      <c r="T2211" t="str">
        <f t="shared" si="1404"/>
        <v xml:space="preserve"> </v>
      </c>
      <c r="U2211" t="str">
        <f t="shared" si="1427"/>
        <v xml:space="preserve"> </v>
      </c>
      <c r="V2211" t="str">
        <f>"3,000"</f>
        <v>3,000</v>
      </c>
      <c r="W2211" t="str">
        <f t="shared" si="1408"/>
        <v>Lista 4</v>
      </c>
      <c r="X2211" t="str">
        <f t="shared" si="1409"/>
        <v>Lista 5</v>
      </c>
      <c r="Y2211" t="str">
        <f t="shared" si="1410"/>
        <v>Oferta Gral.</v>
      </c>
      <c r="Z2211" t="str">
        <f t="shared" si="1411"/>
        <v>Rubro</v>
      </c>
      <c r="AA2211" t="str">
        <f t="shared" si="1412"/>
        <v>Cantidad por Bulto</v>
      </c>
      <c r="AB2211" t="str">
        <f t="shared" si="1413"/>
        <v>INNER</v>
      </c>
      <c r="AC2211" t="str">
        <f t="shared" si="1414"/>
        <v>Stock en Bultos</v>
      </c>
      <c r="AD2211" t="str">
        <f t="shared" si="1415"/>
        <v>SubDepósito</v>
      </c>
      <c r="AE2211" t="str">
        <f t="shared" si="1416"/>
        <v>Marca</v>
      </c>
      <c r="AF2211" t="str">
        <f t="shared" si="1417"/>
        <v>Super Rubro</v>
      </c>
      <c r="AG2211" t="str">
        <f t="shared" si="1418"/>
        <v>ComercioExterior</v>
      </c>
      <c r="AH2211" t="str">
        <f t="shared" si="1419"/>
        <v>PrecioFOB</v>
      </c>
      <c r="AI2211" t="str">
        <f t="shared" si="1420"/>
        <v>Monto II</v>
      </c>
      <c r="AJ2211" t="str">
        <f t="shared" si="1421"/>
        <v>Porcentaje II</v>
      </c>
      <c r="AK2211" t="str">
        <f t="shared" si="1422"/>
        <v>Foto</v>
      </c>
      <c r="AL2211" t="str">
        <f>"{\rtf1\ansi\ansicpg1252\deff0\deflang11274{\fonttbl{\f0\fnil\fcharset0 MS Sans Serif}} \viewkind4\uc1\pard\f0\fs16 JUEGO AROS 0.30 JEEP IKA 4 CONTINENTAL DIAM 84,14MM RECAMBIO HIDR\'c1ULICO\par } "</f>
        <v xml:space="preserve">{\rtf1\ansi\ansicpg1252\deff0\deflang11274{\fonttbl{\f0\fnil\fcharset0 MS Sans Serif}} \viewkind4\uc1\pard\f0\fs16 JUEGO AROS 0.30 JEEP IKA 4 CONTINENTAL DIAM 84,14MM RECAMBIO HIDR\'c1ULICO\par } </v>
      </c>
      <c r="AM2211" t="str">
        <f>"-"</f>
        <v>-</v>
      </c>
    </row>
    <row r="2212" spans="1:39" x14ac:dyDescent="0.25">
      <c r="A2212" t="str">
        <f>"PMR2310-1"</f>
        <v>PMR2310-1</v>
      </c>
      <c r="B2212" t="str">
        <f>"JUEGO AROS 0.30 TORINO MOTOR TORNADO DIAM 84,93MM RECAMBIO HIDRÁULICO"</f>
        <v>JUEGO AROS 0.30 TORINO MOTOR TORNADO DIAM 84,93MM RECAMBIO HIDRÁULICO</v>
      </c>
      <c r="C2212" t="str">
        <f>"$ 48524,91"</f>
        <v>$ 48524,91</v>
      </c>
      <c r="D2212" t="str">
        <f>"$ 48524,91"</f>
        <v>$ 48524,91</v>
      </c>
      <c r="E2212" t="str">
        <f>"$ 48524,91"</f>
        <v>$ 48524,91</v>
      </c>
      <c r="F2212" t="str">
        <f>"$ 48524,91"</f>
        <v>$ 48524,91</v>
      </c>
      <c r="G2212" t="str">
        <f>"$ 48524,91"</f>
        <v>$ 48524,91</v>
      </c>
      <c r="H2212" t="str">
        <f t="shared" si="1405"/>
        <v>$ 0,00</v>
      </c>
      <c r="I2212" t="str">
        <f t="shared" si="1438"/>
        <v>JUEGO AROS DE RECAMBIO</v>
      </c>
      <c r="J2212" t="str">
        <f t="shared" si="1406"/>
        <v>1</v>
      </c>
      <c r="K2212" t="str">
        <f t="shared" si="1432"/>
        <v>0</v>
      </c>
      <c r="L2212" t="str">
        <f>"3,000"</f>
        <v>3,000</v>
      </c>
      <c r="M2212" t="str">
        <f t="shared" si="1407"/>
        <v xml:space="preserve"> </v>
      </c>
      <c r="N2212" t="str">
        <f t="shared" si="1436"/>
        <v>PROMETAL</v>
      </c>
      <c r="O2212" t="str">
        <f t="shared" si="1437"/>
        <v>AROS DE MOTOR</v>
      </c>
      <c r="P2212" t="str">
        <f t="shared" si="1434"/>
        <v>0</v>
      </c>
      <c r="Q2212" t="str">
        <f t="shared" si="1434"/>
        <v>0</v>
      </c>
      <c r="R2212" t="str">
        <f t="shared" si="1435"/>
        <v>0,00</v>
      </c>
      <c r="S2212" t="str">
        <f t="shared" si="1435"/>
        <v>0,00</v>
      </c>
      <c r="T2212" t="str">
        <f t="shared" si="1404"/>
        <v xml:space="preserve"> </v>
      </c>
      <c r="U2212" t="str">
        <f t="shared" si="1427"/>
        <v xml:space="preserve"> </v>
      </c>
      <c r="V2212" t="str">
        <f>"3,000"</f>
        <v>3,000</v>
      </c>
      <c r="W2212" t="str">
        <f t="shared" si="1408"/>
        <v>Lista 4</v>
      </c>
      <c r="X2212" t="str">
        <f t="shared" si="1409"/>
        <v>Lista 5</v>
      </c>
      <c r="Y2212" t="str">
        <f t="shared" si="1410"/>
        <v>Oferta Gral.</v>
      </c>
      <c r="Z2212" t="str">
        <f t="shared" si="1411"/>
        <v>Rubro</v>
      </c>
      <c r="AA2212" t="str">
        <f t="shared" si="1412"/>
        <v>Cantidad por Bulto</v>
      </c>
      <c r="AB2212" t="str">
        <f t="shared" si="1413"/>
        <v>INNER</v>
      </c>
      <c r="AC2212" t="str">
        <f t="shared" si="1414"/>
        <v>Stock en Bultos</v>
      </c>
      <c r="AD2212" t="str">
        <f t="shared" si="1415"/>
        <v>SubDepósito</v>
      </c>
      <c r="AE2212" t="str">
        <f t="shared" si="1416"/>
        <v>Marca</v>
      </c>
      <c r="AF2212" t="str">
        <f t="shared" si="1417"/>
        <v>Super Rubro</v>
      </c>
      <c r="AG2212" t="str">
        <f t="shared" si="1418"/>
        <v>ComercioExterior</v>
      </c>
      <c r="AH2212" t="str">
        <f t="shared" si="1419"/>
        <v>PrecioFOB</v>
      </c>
      <c r="AI2212" t="str">
        <f t="shared" si="1420"/>
        <v>Monto II</v>
      </c>
      <c r="AJ2212" t="str">
        <f t="shared" si="1421"/>
        <v>Porcentaje II</v>
      </c>
      <c r="AK2212" t="str">
        <f t="shared" si="1422"/>
        <v>Foto</v>
      </c>
      <c r="AL2212" t="str">
        <f>"{\rtf1\ansi\ansicpg1252\deff0\deflang11274{\fonttbl{\f0\fnil\fcharset0 MS Sans Serif}} \viewkind4\uc1\pard\f0\fs16 JUEGO AROS 0.30 TORINO MOTOR TORNADO DIAM 84,93MM RECAMBIO HIDR\'c1ULICO\par } "</f>
        <v xml:space="preserve">{\rtf1\ansi\ansicpg1252\deff0\deflang11274{\fonttbl{\f0\fnil\fcharset0 MS Sans Serif}} \viewkind4\uc1\pard\f0\fs16 JUEGO AROS 0.30 TORINO MOTOR TORNADO DIAM 84,93MM RECAMBIO HIDR\'c1ULICO\par } </v>
      </c>
      <c r="AM2212" t="str">
        <f>"-"</f>
        <v>-</v>
      </c>
    </row>
    <row r="2213" spans="1:39" x14ac:dyDescent="0.25">
      <c r="A2213" t="str">
        <f>"PMSH2403-1"</f>
        <v>PMSH2403-1</v>
      </c>
      <c r="B2213" t="str">
        <f>"JUEGO AROS 0.4 MM FIAT PALIO SIENA FIRE 1.3 DIAM 70.80 MM RECAMBIO SEMI HIDRÁULICO"</f>
        <v>JUEGO AROS 0.4 MM FIAT PALIO SIENA FIRE 1.3 DIAM 70.80 MM RECAMBIO SEMI HIDRÁULICO</v>
      </c>
      <c r="C2213" t="str">
        <f>"$ 33026,87"</f>
        <v>$ 33026,87</v>
      </c>
      <c r="D2213" t="str">
        <f>"$ 33026,87"</f>
        <v>$ 33026,87</v>
      </c>
      <c r="E2213" t="str">
        <f>"$ 33026,87"</f>
        <v>$ 33026,87</v>
      </c>
      <c r="F2213" t="str">
        <f>"$ 33026,87"</f>
        <v>$ 33026,87</v>
      </c>
      <c r="G2213" t="str">
        <f>"$ 33026,87"</f>
        <v>$ 33026,87</v>
      </c>
      <c r="H2213" t="str">
        <f t="shared" si="1405"/>
        <v>$ 0,00</v>
      </c>
      <c r="I2213" t="str">
        <f>"JUEGO AROS SEMIHIDRAULICOS"</f>
        <v>JUEGO AROS SEMIHIDRAULICOS</v>
      </c>
      <c r="J2213" t="str">
        <f t="shared" si="1406"/>
        <v>1</v>
      </c>
      <c r="K2213" t="str">
        <f t="shared" si="1432"/>
        <v>0</v>
      </c>
      <c r="L2213" t="str">
        <f>"2,000"</f>
        <v>2,000</v>
      </c>
      <c r="M2213" t="str">
        <f t="shared" si="1407"/>
        <v xml:space="preserve"> </v>
      </c>
      <c r="N2213" t="str">
        <f t="shared" si="1436"/>
        <v>PROMETAL</v>
      </c>
      <c r="O2213" t="str">
        <f t="shared" si="1437"/>
        <v>AROS DE MOTOR</v>
      </c>
      <c r="P2213" t="str">
        <f t="shared" si="1434"/>
        <v>0</v>
      </c>
      <c r="Q2213" t="str">
        <f t="shared" si="1434"/>
        <v>0</v>
      </c>
      <c r="R2213" t="str">
        <f t="shared" si="1435"/>
        <v>0,00</v>
      </c>
      <c r="S2213" t="str">
        <f t="shared" si="1435"/>
        <v>0,00</v>
      </c>
      <c r="T2213" t="str">
        <f t="shared" si="1404"/>
        <v xml:space="preserve"> </v>
      </c>
      <c r="U2213" t="str">
        <f t="shared" si="1427"/>
        <v xml:space="preserve"> </v>
      </c>
      <c r="V2213" t="str">
        <f>"2,000"</f>
        <v>2,000</v>
      </c>
      <c r="W2213" t="str">
        <f t="shared" si="1408"/>
        <v>Lista 4</v>
      </c>
      <c r="X2213" t="str">
        <f t="shared" si="1409"/>
        <v>Lista 5</v>
      </c>
      <c r="Y2213" t="str">
        <f t="shared" si="1410"/>
        <v>Oferta Gral.</v>
      </c>
      <c r="Z2213" t="str">
        <f t="shared" si="1411"/>
        <v>Rubro</v>
      </c>
      <c r="AA2213" t="str">
        <f t="shared" si="1412"/>
        <v>Cantidad por Bulto</v>
      </c>
      <c r="AB2213" t="str">
        <f t="shared" si="1413"/>
        <v>INNER</v>
      </c>
      <c r="AC2213" t="str">
        <f t="shared" si="1414"/>
        <v>Stock en Bultos</v>
      </c>
      <c r="AD2213" t="str">
        <f t="shared" si="1415"/>
        <v>SubDepósito</v>
      </c>
      <c r="AE2213" t="str">
        <f t="shared" si="1416"/>
        <v>Marca</v>
      </c>
      <c r="AF2213" t="str">
        <f t="shared" si="1417"/>
        <v>Super Rubro</v>
      </c>
      <c r="AG2213" t="str">
        <f t="shared" si="1418"/>
        <v>ComercioExterior</v>
      </c>
      <c r="AH2213" t="str">
        <f t="shared" si="1419"/>
        <v>PrecioFOB</v>
      </c>
      <c r="AI2213" t="str">
        <f t="shared" si="1420"/>
        <v>Monto II</v>
      </c>
      <c r="AJ2213" t="str">
        <f t="shared" si="1421"/>
        <v>Porcentaje II</v>
      </c>
      <c r="AK2213" t="str">
        <f t="shared" si="1422"/>
        <v>Foto</v>
      </c>
      <c r="AL2213" t="str">
        <f>"{\rtf1\ansi\ansicpg1252\deff0\deflang11274{\fonttbl{\f0\fnil\fcharset0 MS Sans Serif}} \viewkind4\uc1\pard\f0\fs16 JUEGO AROS 0.4 MM FIAT PALIO SIENA FIRE 1.3 DIAM 70.80 MM RECAMBIO SEMI HIDR\'c1ULICO\par } "</f>
        <v xml:space="preserve">{\rtf1\ansi\ansicpg1252\deff0\deflang11274{\fonttbl{\f0\fnil\fcharset0 MS Sans Serif}} \viewkind4\uc1\pard\f0\fs16 JUEGO AROS 0.4 MM FIAT PALIO SIENA FIRE 1.3 DIAM 70.80 MM RECAMBIO SEMI HIDR\'c1ULICO\par } </v>
      </c>
      <c r="AM2213" t="str">
        <f>"-"</f>
        <v>-</v>
      </c>
    </row>
    <row r="2214" spans="1:39" x14ac:dyDescent="0.25">
      <c r="A2214" t="str">
        <f>"PMR2310-2"</f>
        <v>PMR2310-2</v>
      </c>
      <c r="B2214" t="str">
        <f>"JUEGO AROS 0.40 TORINO MOTOR TORNADO DIAM 84,93MM RECAMBIO HIDRÁULICO"</f>
        <v>JUEGO AROS 0.40 TORINO MOTOR TORNADO DIAM 84,93MM RECAMBIO HIDRÁULICO</v>
      </c>
      <c r="C2214" t="str">
        <f>"$ 48524,91"</f>
        <v>$ 48524,91</v>
      </c>
      <c r="D2214" t="str">
        <f>"$ 48524,91"</f>
        <v>$ 48524,91</v>
      </c>
      <c r="E2214" t="str">
        <f>"$ 48524,91"</f>
        <v>$ 48524,91</v>
      </c>
      <c r="F2214" t="str">
        <f>"$ 48524,91"</f>
        <v>$ 48524,91</v>
      </c>
      <c r="G2214" t="str">
        <f>"$ 48524,91"</f>
        <v>$ 48524,91</v>
      </c>
      <c r="H2214" t="str">
        <f t="shared" si="1405"/>
        <v>$ 0,00</v>
      </c>
      <c r="I2214" t="str">
        <f>"JUEGO AROS DE RECAMBIO"</f>
        <v>JUEGO AROS DE RECAMBIO</v>
      </c>
      <c r="J2214" t="str">
        <f t="shared" si="1406"/>
        <v>1</v>
      </c>
      <c r="K2214" t="str">
        <f t="shared" si="1432"/>
        <v>0</v>
      </c>
      <c r="L2214" t="str">
        <f>"2,000"</f>
        <v>2,000</v>
      </c>
      <c r="M2214" t="str">
        <f t="shared" si="1407"/>
        <v xml:space="preserve"> </v>
      </c>
      <c r="N2214" t="str">
        <f t="shared" si="1436"/>
        <v>PROMETAL</v>
      </c>
      <c r="O2214" t="str">
        <f t="shared" si="1437"/>
        <v>AROS DE MOTOR</v>
      </c>
      <c r="P2214" t="str">
        <f t="shared" si="1434"/>
        <v>0</v>
      </c>
      <c r="Q2214" t="str">
        <f t="shared" si="1434"/>
        <v>0</v>
      </c>
      <c r="R2214" t="str">
        <f t="shared" si="1435"/>
        <v>0,00</v>
      </c>
      <c r="S2214" t="str">
        <f t="shared" si="1435"/>
        <v>0,00</v>
      </c>
      <c r="T2214" t="str">
        <f t="shared" si="1404"/>
        <v xml:space="preserve"> </v>
      </c>
      <c r="U2214" t="str">
        <f t="shared" si="1427"/>
        <v xml:space="preserve"> </v>
      </c>
      <c r="V2214" t="str">
        <f>"2,000"</f>
        <v>2,000</v>
      </c>
      <c r="W2214" t="str">
        <f t="shared" si="1408"/>
        <v>Lista 4</v>
      </c>
      <c r="X2214" t="str">
        <f t="shared" si="1409"/>
        <v>Lista 5</v>
      </c>
      <c r="Y2214" t="str">
        <f t="shared" si="1410"/>
        <v>Oferta Gral.</v>
      </c>
      <c r="Z2214" t="str">
        <f t="shared" si="1411"/>
        <v>Rubro</v>
      </c>
      <c r="AA2214" t="str">
        <f t="shared" si="1412"/>
        <v>Cantidad por Bulto</v>
      </c>
      <c r="AB2214" t="str">
        <f t="shared" si="1413"/>
        <v>INNER</v>
      </c>
      <c r="AC2214" t="str">
        <f t="shared" si="1414"/>
        <v>Stock en Bultos</v>
      </c>
      <c r="AD2214" t="str">
        <f t="shared" si="1415"/>
        <v>SubDepósito</v>
      </c>
      <c r="AE2214" t="str">
        <f t="shared" si="1416"/>
        <v>Marca</v>
      </c>
      <c r="AF2214" t="str">
        <f t="shared" si="1417"/>
        <v>Super Rubro</v>
      </c>
      <c r="AG2214" t="str">
        <f t="shared" si="1418"/>
        <v>ComercioExterior</v>
      </c>
      <c r="AH2214" t="str">
        <f t="shared" si="1419"/>
        <v>PrecioFOB</v>
      </c>
      <c r="AI2214" t="str">
        <f t="shared" si="1420"/>
        <v>Monto II</v>
      </c>
      <c r="AJ2214" t="str">
        <f t="shared" si="1421"/>
        <v>Porcentaje II</v>
      </c>
      <c r="AK2214" t="str">
        <f t="shared" si="1422"/>
        <v>Foto</v>
      </c>
      <c r="AL2214" t="str">
        <f>"{\rtf1\ansi\ansicpg1252\deff0\deflang11274{\fonttbl{\f0\fnil\fcharset0 MS Sans Serif}} \viewkind4\uc1\pard\f0\fs16 JUEGO AROS 0.40 TORINO MOTOR TORNADO DIAM 84,93MM RECAMBIO HIDR\'c1ULICO\par } "</f>
        <v xml:space="preserve">{\rtf1\ansi\ansicpg1252\deff0\deflang11274{\fonttbl{\f0\fnil\fcharset0 MS Sans Serif}} \viewkind4\uc1\pard\f0\fs16 JUEGO AROS 0.40 TORINO MOTOR TORNADO DIAM 84,93MM RECAMBIO HIDR\'c1ULICO\par } </v>
      </c>
      <c r="AM2214" t="str">
        <f>"-"</f>
        <v>-</v>
      </c>
    </row>
    <row r="2215" spans="1:39" x14ac:dyDescent="0.25">
      <c r="A2215" t="str">
        <f>"PMSH1506-1"</f>
        <v>PMSH1506-1</v>
      </c>
      <c r="B2215" t="str">
        <f>"JUEGO AROS 0.5 CHEVROLET CORSA 1.6 DIAMETRO 79 MM SEMIHIDRÁULICO"</f>
        <v>JUEGO AROS 0.5 CHEVROLET CORSA 1.6 DIAMETRO 79 MM SEMIHIDRÁULICO</v>
      </c>
      <c r="C2215" t="str">
        <f t="shared" ref="C2215:G2216" si="1439">"$ 35271,41"</f>
        <v>$ 35271,41</v>
      </c>
      <c r="D2215" t="str">
        <f t="shared" si="1439"/>
        <v>$ 35271,41</v>
      </c>
      <c r="E2215" t="str">
        <f t="shared" si="1439"/>
        <v>$ 35271,41</v>
      </c>
      <c r="F2215" t="str">
        <f t="shared" si="1439"/>
        <v>$ 35271,41</v>
      </c>
      <c r="G2215" t="str">
        <f t="shared" si="1439"/>
        <v>$ 35271,41</v>
      </c>
      <c r="H2215" t="str">
        <f t="shared" si="1405"/>
        <v>$ 0,00</v>
      </c>
      <c r="I2215" t="str">
        <f>"JUEGO AROS SEMIHIDRAULICOS"</f>
        <v>JUEGO AROS SEMIHIDRAULICOS</v>
      </c>
      <c r="J2215" t="str">
        <f t="shared" si="1406"/>
        <v>1</v>
      </c>
      <c r="K2215" t="str">
        <f t="shared" si="1432"/>
        <v>0</v>
      </c>
      <c r="L2215" t="str">
        <f>"0,000"</f>
        <v>0,000</v>
      </c>
      <c r="M2215" t="str">
        <f t="shared" si="1407"/>
        <v xml:space="preserve"> </v>
      </c>
      <c r="N2215" t="str">
        <f t="shared" si="1436"/>
        <v>PROMETAL</v>
      </c>
      <c r="O2215" t="str">
        <f t="shared" si="1437"/>
        <v>AROS DE MOTOR</v>
      </c>
      <c r="P2215" t="str">
        <f t="shared" si="1434"/>
        <v>0</v>
      </c>
      <c r="Q2215" t="str">
        <f t="shared" si="1434"/>
        <v>0</v>
      </c>
      <c r="R2215" t="str">
        <f t="shared" si="1435"/>
        <v>0,00</v>
      </c>
      <c r="S2215" t="str">
        <f t="shared" si="1435"/>
        <v>0,00</v>
      </c>
      <c r="T2215" t="str">
        <f t="shared" si="1404"/>
        <v xml:space="preserve"> </v>
      </c>
      <c r="U2215" t="str">
        <f t="shared" si="1427"/>
        <v xml:space="preserve"> </v>
      </c>
      <c r="V2215" t="str">
        <f>"0,000"</f>
        <v>0,000</v>
      </c>
      <c r="W2215" t="str">
        <f t="shared" si="1408"/>
        <v>Lista 4</v>
      </c>
      <c r="X2215" t="str">
        <f t="shared" si="1409"/>
        <v>Lista 5</v>
      </c>
      <c r="Y2215" t="str">
        <f t="shared" si="1410"/>
        <v>Oferta Gral.</v>
      </c>
      <c r="Z2215" t="str">
        <f t="shared" si="1411"/>
        <v>Rubro</v>
      </c>
      <c r="AA2215" t="str">
        <f t="shared" si="1412"/>
        <v>Cantidad por Bulto</v>
      </c>
      <c r="AB2215" t="str">
        <f t="shared" si="1413"/>
        <v>INNER</v>
      </c>
      <c r="AC2215" t="str">
        <f t="shared" si="1414"/>
        <v>Stock en Bultos</v>
      </c>
      <c r="AD2215" t="str">
        <f t="shared" si="1415"/>
        <v>SubDepósito</v>
      </c>
      <c r="AE2215" t="str">
        <f t="shared" si="1416"/>
        <v>Marca</v>
      </c>
      <c r="AF2215" t="str">
        <f t="shared" si="1417"/>
        <v>Super Rubro</v>
      </c>
      <c r="AG2215" t="str">
        <f t="shared" si="1418"/>
        <v>ComercioExterior</v>
      </c>
      <c r="AH2215" t="str">
        <f t="shared" si="1419"/>
        <v>PrecioFOB</v>
      </c>
      <c r="AI2215" t="str">
        <f t="shared" si="1420"/>
        <v>Monto II</v>
      </c>
      <c r="AJ2215" t="str">
        <f t="shared" si="1421"/>
        <v>Porcentaje II</v>
      </c>
      <c r="AK2215" t="str">
        <f t="shared" si="1422"/>
        <v>Foto</v>
      </c>
      <c r="AL2215" t="str">
        <f>"{\rtf1\ansi\ansicpg1252\deff0\deflang11274{\fonttbl{\f0\fnil\fcharset0 MS Sans Serif}} \viewkind4\uc1\pard\f0\fs16 JUEGO AROS 0.5 CHEVROLET CORSA 1.6 DIAMETRO 79 MM SEMIHIDR\'c1ULICO\par } "</f>
        <v xml:space="preserve">{\rtf1\ansi\ansicpg1252\deff0\deflang11274{\fonttbl{\f0\fnil\fcharset0 MS Sans Serif}} \viewkind4\uc1\pard\f0\fs16 JUEGO AROS 0.5 CHEVROLET CORSA 1.6 DIAMETRO 79 MM SEMIHIDR\'c1ULICO\par } </v>
      </c>
      <c r="AM2215" t="str">
        <f>" "</f>
        <v xml:space="preserve"> </v>
      </c>
    </row>
    <row r="2216" spans="1:39" x14ac:dyDescent="0.25">
      <c r="A2216" t="str">
        <f>"PMSH0727-1"</f>
        <v>PMSH0727-1</v>
      </c>
      <c r="B2216" t="str">
        <f>"JUEGO AROS 0.5 CHEVROLET MERIVA 1.8 DIAM 80.50MM SEMIHIDRAULICO"</f>
        <v>JUEGO AROS 0.5 CHEVROLET MERIVA 1.8 DIAM 80.50MM SEMIHIDRAULICO</v>
      </c>
      <c r="C2216" t="str">
        <f t="shared" si="1439"/>
        <v>$ 35271,41</v>
      </c>
      <c r="D2216" t="str">
        <f t="shared" si="1439"/>
        <v>$ 35271,41</v>
      </c>
      <c r="E2216" t="str">
        <f t="shared" si="1439"/>
        <v>$ 35271,41</v>
      </c>
      <c r="F2216" t="str">
        <f t="shared" si="1439"/>
        <v>$ 35271,41</v>
      </c>
      <c r="G2216" t="str">
        <f t="shared" si="1439"/>
        <v>$ 35271,41</v>
      </c>
      <c r="H2216" t="str">
        <f t="shared" si="1405"/>
        <v>$ 0,00</v>
      </c>
      <c r="I2216" t="str">
        <f>"JUEGO AROS SEMIHIDRAULICOS"</f>
        <v>JUEGO AROS SEMIHIDRAULICOS</v>
      </c>
      <c r="J2216" t="str">
        <f t="shared" si="1406"/>
        <v>1</v>
      </c>
      <c r="K2216" t="str">
        <f t="shared" si="1432"/>
        <v>0</v>
      </c>
      <c r="L2216" t="str">
        <f>"0,000"</f>
        <v>0,000</v>
      </c>
      <c r="M2216" t="str">
        <f t="shared" si="1407"/>
        <v xml:space="preserve"> </v>
      </c>
      <c r="N2216" t="str">
        <f t="shared" si="1436"/>
        <v>PROMETAL</v>
      </c>
      <c r="O2216" t="str">
        <f t="shared" si="1437"/>
        <v>AROS DE MOTOR</v>
      </c>
      <c r="P2216" t="str">
        <f t="shared" si="1434"/>
        <v>0</v>
      </c>
      <c r="Q2216" t="str">
        <f t="shared" si="1434"/>
        <v>0</v>
      </c>
      <c r="R2216" t="str">
        <f t="shared" si="1435"/>
        <v>0,00</v>
      </c>
      <c r="S2216" t="str">
        <f t="shared" si="1435"/>
        <v>0,00</v>
      </c>
      <c r="T2216" t="str">
        <f t="shared" si="1404"/>
        <v xml:space="preserve"> </v>
      </c>
      <c r="U2216" t="str">
        <f t="shared" si="1427"/>
        <v xml:space="preserve"> </v>
      </c>
      <c r="V2216" t="str">
        <f>"0,000"</f>
        <v>0,000</v>
      </c>
      <c r="W2216" t="str">
        <f t="shared" si="1408"/>
        <v>Lista 4</v>
      </c>
      <c r="X2216" t="str">
        <f t="shared" si="1409"/>
        <v>Lista 5</v>
      </c>
      <c r="Y2216" t="str">
        <f t="shared" si="1410"/>
        <v>Oferta Gral.</v>
      </c>
      <c r="Z2216" t="str">
        <f t="shared" si="1411"/>
        <v>Rubro</v>
      </c>
      <c r="AA2216" t="str">
        <f t="shared" si="1412"/>
        <v>Cantidad por Bulto</v>
      </c>
      <c r="AB2216" t="str">
        <f t="shared" si="1413"/>
        <v>INNER</v>
      </c>
      <c r="AC2216" t="str">
        <f t="shared" si="1414"/>
        <v>Stock en Bultos</v>
      </c>
      <c r="AD2216" t="str">
        <f t="shared" si="1415"/>
        <v>SubDepósito</v>
      </c>
      <c r="AE2216" t="str">
        <f t="shared" si="1416"/>
        <v>Marca</v>
      </c>
      <c r="AF2216" t="str">
        <f t="shared" si="1417"/>
        <v>Super Rubro</v>
      </c>
      <c r="AG2216" t="str">
        <f t="shared" si="1418"/>
        <v>ComercioExterior</v>
      </c>
      <c r="AH2216" t="str">
        <f t="shared" si="1419"/>
        <v>PrecioFOB</v>
      </c>
      <c r="AI2216" t="str">
        <f t="shared" si="1420"/>
        <v>Monto II</v>
      </c>
      <c r="AJ2216" t="str">
        <f t="shared" si="1421"/>
        <v>Porcentaje II</v>
      </c>
      <c r="AK2216" t="str">
        <f t="shared" si="1422"/>
        <v>Foto</v>
      </c>
      <c r="AL2216" t="str">
        <f>"{\rtf1\ansi\ansicpg1252\deff0\deflang11274{\fonttbl{\f0\fnil\fcharset0 MS Sans Serif}} \viewkind4\uc1\pard\f0\fs16 JUEGO AROS 0.5 CHEVROLET MERIVA 1.8 DIAM 80.50MM SEMIHIDRAULICO\par } "</f>
        <v xml:space="preserve">{\rtf1\ansi\ansicpg1252\deff0\deflang11274{\fonttbl{\f0\fnil\fcharset0 MS Sans Serif}} \viewkind4\uc1\pard\f0\fs16 JUEGO AROS 0.5 CHEVROLET MERIVA 1.8 DIAM 80.50MM SEMIHIDRAULICO\par } </v>
      </c>
      <c r="AM2216" t="str">
        <f>"-"</f>
        <v>-</v>
      </c>
    </row>
    <row r="2217" spans="1:39" x14ac:dyDescent="0.25">
      <c r="A2217" t="str">
        <f>"PMR1508-1"</f>
        <v>PMR1508-1</v>
      </c>
      <c r="B2217" t="str">
        <f>"JUEGO AROS 0.5 CHEVROLET ONIX PRISMA 1.4 DIAM 77,6MM RECAMBIO HIDRÁULICO"</f>
        <v>JUEGO AROS 0.5 CHEVROLET ONIX PRISMA 1.4 DIAM 77,6MM RECAMBIO HIDRÁULICO</v>
      </c>
      <c r="C2217" t="str">
        <f>"$ 39707,06"</f>
        <v>$ 39707,06</v>
      </c>
      <c r="D2217" t="str">
        <f>"$ 39707,06"</f>
        <v>$ 39707,06</v>
      </c>
      <c r="E2217" t="str">
        <f>"$ 39707,06"</f>
        <v>$ 39707,06</v>
      </c>
      <c r="F2217" t="str">
        <f>"$ 39707,06"</f>
        <v>$ 39707,06</v>
      </c>
      <c r="G2217" t="str">
        <f>"$ 39707,06"</f>
        <v>$ 39707,06</v>
      </c>
      <c r="H2217" t="str">
        <f t="shared" si="1405"/>
        <v>$ 0,00</v>
      </c>
      <c r="I2217" t="str">
        <f>"JUEGO AROS DE RECAMBIO"</f>
        <v>JUEGO AROS DE RECAMBIO</v>
      </c>
      <c r="J2217" t="str">
        <f t="shared" si="1406"/>
        <v>1</v>
      </c>
      <c r="K2217" t="str">
        <f t="shared" si="1432"/>
        <v>0</v>
      </c>
      <c r="L2217" t="str">
        <f>"1,000"</f>
        <v>1,000</v>
      </c>
      <c r="M2217" t="str">
        <f t="shared" si="1407"/>
        <v xml:space="preserve"> </v>
      </c>
      <c r="N2217" t="str">
        <f t="shared" si="1436"/>
        <v>PROMETAL</v>
      </c>
      <c r="O2217" t="str">
        <f t="shared" si="1437"/>
        <v>AROS DE MOTOR</v>
      </c>
      <c r="P2217" t="str">
        <f t="shared" si="1434"/>
        <v>0</v>
      </c>
      <c r="Q2217" t="str">
        <f t="shared" si="1434"/>
        <v>0</v>
      </c>
      <c r="R2217" t="str">
        <f t="shared" si="1435"/>
        <v>0,00</v>
      </c>
      <c r="S2217" t="str">
        <f t="shared" si="1435"/>
        <v>0,00</v>
      </c>
      <c r="T2217" t="str">
        <f t="shared" si="1404"/>
        <v xml:space="preserve"> </v>
      </c>
      <c r="U2217" t="str">
        <f t="shared" si="1427"/>
        <v xml:space="preserve"> </v>
      </c>
      <c r="V2217" t="str">
        <f>"1,000"</f>
        <v>1,000</v>
      </c>
      <c r="W2217" t="str">
        <f t="shared" si="1408"/>
        <v>Lista 4</v>
      </c>
      <c r="X2217" t="str">
        <f t="shared" si="1409"/>
        <v>Lista 5</v>
      </c>
      <c r="Y2217" t="str">
        <f t="shared" si="1410"/>
        <v>Oferta Gral.</v>
      </c>
      <c r="Z2217" t="str">
        <f t="shared" si="1411"/>
        <v>Rubro</v>
      </c>
      <c r="AA2217" t="str">
        <f t="shared" si="1412"/>
        <v>Cantidad por Bulto</v>
      </c>
      <c r="AB2217" t="str">
        <f t="shared" si="1413"/>
        <v>INNER</v>
      </c>
      <c r="AC2217" t="str">
        <f t="shared" si="1414"/>
        <v>Stock en Bultos</v>
      </c>
      <c r="AD2217" t="str">
        <f t="shared" si="1415"/>
        <v>SubDepósito</v>
      </c>
      <c r="AE2217" t="str">
        <f t="shared" si="1416"/>
        <v>Marca</v>
      </c>
      <c r="AF2217" t="str">
        <f t="shared" si="1417"/>
        <v>Super Rubro</v>
      </c>
      <c r="AG2217" t="str">
        <f t="shared" si="1418"/>
        <v>ComercioExterior</v>
      </c>
      <c r="AH2217" t="str">
        <f t="shared" si="1419"/>
        <v>PrecioFOB</v>
      </c>
      <c r="AI2217" t="str">
        <f t="shared" si="1420"/>
        <v>Monto II</v>
      </c>
      <c r="AJ2217" t="str">
        <f t="shared" si="1421"/>
        <v>Porcentaje II</v>
      </c>
      <c r="AK2217" t="str">
        <f t="shared" si="1422"/>
        <v>Foto</v>
      </c>
      <c r="AL2217" t="str">
        <f>"{\rtf1\ansi\ansicpg1252\deff0\deflang11274{\fonttbl{\f0\fnil\fcharset0 MS Sans Serif}} \viewkind4\uc1\pard\f0\fs16 JUEGO AROS 0.5 CHEVROLET ONIX PRISMA 1.4 DIAM 77,6MM RECAMBIO HIDR\'c1ULICO\par } "</f>
        <v xml:space="preserve">{\rtf1\ansi\ansicpg1252\deff0\deflang11274{\fonttbl{\f0\fnil\fcharset0 MS Sans Serif}} \viewkind4\uc1\pard\f0\fs16 JUEGO AROS 0.5 CHEVROLET ONIX PRISMA 1.4 DIAM 77,6MM RECAMBIO HIDR\'c1ULICO\par } </v>
      </c>
      <c r="AM2217" t="str">
        <f>"-"</f>
        <v>-</v>
      </c>
    </row>
    <row r="2218" spans="1:39" x14ac:dyDescent="0.25">
      <c r="A2218" t="str">
        <f>"PMSH3102-1"</f>
        <v>PMSH3102-1</v>
      </c>
      <c r="B2218" t="str">
        <f>"JUEGO AROS 0.5 FORD RANGER 2.5 MAXION DIAM 90.74MM SEMIHIDRAULICO"</f>
        <v>JUEGO AROS 0.5 FORD RANGER 2.5 MAXION DIAM 90.74MM SEMIHIDRAULICO</v>
      </c>
      <c r="C2218" t="str">
        <f t="shared" ref="C2218:G2219" si="1440">"$ 71718,54"</f>
        <v>$ 71718,54</v>
      </c>
      <c r="D2218" t="str">
        <f t="shared" si="1440"/>
        <v>$ 71718,54</v>
      </c>
      <c r="E2218" t="str">
        <f t="shared" si="1440"/>
        <v>$ 71718,54</v>
      </c>
      <c r="F2218" t="str">
        <f t="shared" si="1440"/>
        <v>$ 71718,54</v>
      </c>
      <c r="G2218" t="str">
        <f t="shared" si="1440"/>
        <v>$ 71718,54</v>
      </c>
      <c r="H2218" t="str">
        <f t="shared" si="1405"/>
        <v>$ 0,00</v>
      </c>
      <c r="I2218" t="str">
        <f>"JUEGO AROS SEMIHIDRAULICOS"</f>
        <v>JUEGO AROS SEMIHIDRAULICOS</v>
      </c>
      <c r="J2218" t="str">
        <f t="shared" si="1406"/>
        <v>1</v>
      </c>
      <c r="K2218" t="str">
        <f t="shared" si="1432"/>
        <v>0</v>
      </c>
      <c r="L2218" t="str">
        <f>"0,000"</f>
        <v>0,000</v>
      </c>
      <c r="M2218" t="str">
        <f t="shared" si="1407"/>
        <v xml:space="preserve"> </v>
      </c>
      <c r="N2218" t="str">
        <f t="shared" si="1436"/>
        <v>PROMETAL</v>
      </c>
      <c r="O2218" t="str">
        <f t="shared" si="1437"/>
        <v>AROS DE MOTOR</v>
      </c>
      <c r="P2218" t="str">
        <f t="shared" si="1434"/>
        <v>0</v>
      </c>
      <c r="Q2218" t="str">
        <f t="shared" si="1434"/>
        <v>0</v>
      </c>
      <c r="R2218" t="str">
        <f t="shared" si="1435"/>
        <v>0,00</v>
      </c>
      <c r="S2218" t="str">
        <f t="shared" si="1435"/>
        <v>0,00</v>
      </c>
      <c r="T2218" t="str">
        <f t="shared" si="1404"/>
        <v xml:space="preserve"> </v>
      </c>
      <c r="U2218" t="str">
        <f t="shared" si="1427"/>
        <v xml:space="preserve"> </v>
      </c>
      <c r="V2218" t="str">
        <f>"0,000"</f>
        <v>0,000</v>
      </c>
      <c r="W2218" t="str">
        <f t="shared" si="1408"/>
        <v>Lista 4</v>
      </c>
      <c r="X2218" t="str">
        <f t="shared" si="1409"/>
        <v>Lista 5</v>
      </c>
      <c r="Y2218" t="str">
        <f t="shared" si="1410"/>
        <v>Oferta Gral.</v>
      </c>
      <c r="Z2218" t="str">
        <f t="shared" si="1411"/>
        <v>Rubro</v>
      </c>
      <c r="AA2218" t="str">
        <f t="shared" si="1412"/>
        <v>Cantidad por Bulto</v>
      </c>
      <c r="AB2218" t="str">
        <f t="shared" si="1413"/>
        <v>INNER</v>
      </c>
      <c r="AC2218" t="str">
        <f t="shared" si="1414"/>
        <v>Stock en Bultos</v>
      </c>
      <c r="AD2218" t="str">
        <f t="shared" si="1415"/>
        <v>SubDepósito</v>
      </c>
      <c r="AE2218" t="str">
        <f t="shared" si="1416"/>
        <v>Marca</v>
      </c>
      <c r="AF2218" t="str">
        <f t="shared" si="1417"/>
        <v>Super Rubro</v>
      </c>
      <c r="AG2218" t="str">
        <f t="shared" si="1418"/>
        <v>ComercioExterior</v>
      </c>
      <c r="AH2218" t="str">
        <f t="shared" si="1419"/>
        <v>PrecioFOB</v>
      </c>
      <c r="AI2218" t="str">
        <f t="shared" si="1420"/>
        <v>Monto II</v>
      </c>
      <c r="AJ2218" t="str">
        <f t="shared" si="1421"/>
        <v>Porcentaje II</v>
      </c>
      <c r="AK2218" t="str">
        <f t="shared" si="1422"/>
        <v>Foto</v>
      </c>
      <c r="AL2218" t="str">
        <f>"{\rtf1\ansi\ansicpg1252\deff0\deflang11274{\fonttbl{\f0\fnil\fcharset0 MS Sans Serif}} \viewkind4\uc1\pard\f0\fs16 JUEGO AROS 0.5 FORD RANGER 2.5 MAXION DIAM 90.74MM SEMIHIDRAULICO\par } "</f>
        <v xml:space="preserve">{\rtf1\ansi\ansicpg1252\deff0\deflang11274{\fonttbl{\f0\fnil\fcharset0 MS Sans Serif}} \viewkind4\uc1\pard\f0\fs16 JUEGO AROS 0.5 FORD RANGER 2.5 MAXION DIAM 90.74MM SEMIHIDRAULICO\par } </v>
      </c>
      <c r="AM2218" t="str">
        <f>"-"</f>
        <v>-</v>
      </c>
    </row>
    <row r="2219" spans="1:39" x14ac:dyDescent="0.25">
      <c r="A2219" t="str">
        <f>"PMSH3108-1"</f>
        <v>PMSH3108-1</v>
      </c>
      <c r="B2219" t="str">
        <f>"JUEGO AROS 0.5 MERCEDES SPRINTER MAXION 2.5 DIAM 90.49 MM SEMIHIDRÁLICO"</f>
        <v>JUEGO AROS 0.5 MERCEDES SPRINTER MAXION 2.5 DIAM 90.49 MM SEMIHIDRÁLICO</v>
      </c>
      <c r="C2219" t="str">
        <f t="shared" si="1440"/>
        <v>$ 71718,54</v>
      </c>
      <c r="D2219" t="str">
        <f t="shared" si="1440"/>
        <v>$ 71718,54</v>
      </c>
      <c r="E2219" t="str">
        <f t="shared" si="1440"/>
        <v>$ 71718,54</v>
      </c>
      <c r="F2219" t="str">
        <f t="shared" si="1440"/>
        <v>$ 71718,54</v>
      </c>
      <c r="G2219" t="str">
        <f t="shared" si="1440"/>
        <v>$ 71718,54</v>
      </c>
      <c r="H2219" t="str">
        <f t="shared" si="1405"/>
        <v>$ 0,00</v>
      </c>
      <c r="I2219" t="str">
        <f>"JUEGO AROS SEMIHIDRAULICOS"</f>
        <v>JUEGO AROS SEMIHIDRAULICOS</v>
      </c>
      <c r="J2219" t="str">
        <f t="shared" si="1406"/>
        <v>1</v>
      </c>
      <c r="K2219" t="str">
        <f t="shared" si="1432"/>
        <v>0</v>
      </c>
      <c r="L2219" t="str">
        <f>"0,000"</f>
        <v>0,000</v>
      </c>
      <c r="M2219" t="str">
        <f t="shared" si="1407"/>
        <v xml:space="preserve"> </v>
      </c>
      <c r="N2219" t="str">
        <f t="shared" si="1436"/>
        <v>PROMETAL</v>
      </c>
      <c r="O2219" t="str">
        <f t="shared" si="1437"/>
        <v>AROS DE MOTOR</v>
      </c>
      <c r="P2219" t="str">
        <f t="shared" si="1434"/>
        <v>0</v>
      </c>
      <c r="Q2219" t="str">
        <f t="shared" si="1434"/>
        <v>0</v>
      </c>
      <c r="R2219" t="str">
        <f t="shared" si="1435"/>
        <v>0,00</v>
      </c>
      <c r="S2219" t="str">
        <f t="shared" si="1435"/>
        <v>0,00</v>
      </c>
      <c r="T2219" t="str">
        <f t="shared" si="1404"/>
        <v xml:space="preserve"> </v>
      </c>
      <c r="U2219" t="str">
        <f t="shared" si="1427"/>
        <v xml:space="preserve"> </v>
      </c>
      <c r="V2219" t="str">
        <f>"0,000"</f>
        <v>0,000</v>
      </c>
      <c r="W2219" t="str">
        <f t="shared" si="1408"/>
        <v>Lista 4</v>
      </c>
      <c r="X2219" t="str">
        <f t="shared" si="1409"/>
        <v>Lista 5</v>
      </c>
      <c r="Y2219" t="str">
        <f t="shared" si="1410"/>
        <v>Oferta Gral.</v>
      </c>
      <c r="Z2219" t="str">
        <f t="shared" si="1411"/>
        <v>Rubro</v>
      </c>
      <c r="AA2219" t="str">
        <f t="shared" si="1412"/>
        <v>Cantidad por Bulto</v>
      </c>
      <c r="AB2219" t="str">
        <f t="shared" si="1413"/>
        <v>INNER</v>
      </c>
      <c r="AC2219" t="str">
        <f t="shared" si="1414"/>
        <v>Stock en Bultos</v>
      </c>
      <c r="AD2219" t="str">
        <f t="shared" si="1415"/>
        <v>SubDepósito</v>
      </c>
      <c r="AE2219" t="str">
        <f t="shared" si="1416"/>
        <v>Marca</v>
      </c>
      <c r="AF2219" t="str">
        <f t="shared" si="1417"/>
        <v>Super Rubro</v>
      </c>
      <c r="AG2219" t="str">
        <f t="shared" si="1418"/>
        <v>ComercioExterior</v>
      </c>
      <c r="AH2219" t="str">
        <f t="shared" si="1419"/>
        <v>PrecioFOB</v>
      </c>
      <c r="AI2219" t="str">
        <f t="shared" si="1420"/>
        <v>Monto II</v>
      </c>
      <c r="AJ2219" t="str">
        <f t="shared" si="1421"/>
        <v>Porcentaje II</v>
      </c>
      <c r="AK2219" t="str">
        <f t="shared" si="1422"/>
        <v>Foto</v>
      </c>
      <c r="AL2219" t="str">
        <f>"{\rtf1\ansi\ansicpg1252\deff0\deflang11274{\fonttbl{\f0\fnil\fcharset0 MS Sans Serif}} \viewkind4\uc1\pard\f0\fs16 JUEGO AROS 0.5 MERCEDES SPRINTER MAXION 2.5 DIAM 90.49 MM SEMIHIDR\'c1LICO\par } "</f>
        <v xml:space="preserve">{\rtf1\ansi\ansicpg1252\deff0\deflang11274{\fonttbl{\f0\fnil\fcharset0 MS Sans Serif}} \viewkind4\uc1\pard\f0\fs16 JUEGO AROS 0.5 MERCEDES SPRINTER MAXION 2.5 DIAM 90.49 MM SEMIHIDR\'c1LICO\par } </v>
      </c>
      <c r="AM2219" t="str">
        <f>"-"</f>
        <v>-</v>
      </c>
    </row>
    <row r="2220" spans="1:39" x14ac:dyDescent="0.25">
      <c r="A2220" t="str">
        <f>"PMSH1906-1"</f>
        <v>PMSH1906-1</v>
      </c>
      <c r="B2220" t="str">
        <f>"JUEGO AROS 0.5 MM VW GOL GACEL SAVEIRO 1.6 1.8 DIAM 81MM SEMIHIDRAULICO "</f>
        <v xml:space="preserve">JUEGO AROS 0.5 MM VW GOL GACEL SAVEIRO 1.6 1.8 DIAM 81MM SEMIHIDRAULICO </v>
      </c>
      <c r="C2220" t="str">
        <f>"$ 44089,26"</f>
        <v>$ 44089,26</v>
      </c>
      <c r="D2220" t="str">
        <f>"$ 44089,26"</f>
        <v>$ 44089,26</v>
      </c>
      <c r="E2220" t="str">
        <f>"$ 44089,26"</f>
        <v>$ 44089,26</v>
      </c>
      <c r="F2220" t="str">
        <f>"$ 44089,26"</f>
        <v>$ 44089,26</v>
      </c>
      <c r="G2220" t="str">
        <f>"$ 44089,26"</f>
        <v>$ 44089,26</v>
      </c>
      <c r="H2220" t="str">
        <f t="shared" si="1405"/>
        <v>$ 0,00</v>
      </c>
      <c r="I2220" t="str">
        <f>"JUEGO AROS SEMIHIDRAULICOS"</f>
        <v>JUEGO AROS SEMIHIDRAULICOS</v>
      </c>
      <c r="J2220" t="str">
        <f t="shared" si="1406"/>
        <v>1</v>
      </c>
      <c r="K2220" t="str">
        <f t="shared" si="1432"/>
        <v>0</v>
      </c>
      <c r="L2220" t="str">
        <f>"3,000"</f>
        <v>3,000</v>
      </c>
      <c r="M2220" t="str">
        <f t="shared" si="1407"/>
        <v xml:space="preserve"> </v>
      </c>
      <c r="N2220" t="str">
        <f t="shared" si="1436"/>
        <v>PROMETAL</v>
      </c>
      <c r="O2220" t="str">
        <f t="shared" si="1437"/>
        <v>AROS DE MOTOR</v>
      </c>
      <c r="P2220" t="str">
        <f t="shared" si="1434"/>
        <v>0</v>
      </c>
      <c r="Q2220" t="str">
        <f t="shared" si="1434"/>
        <v>0</v>
      </c>
      <c r="R2220" t="str">
        <f t="shared" si="1435"/>
        <v>0,00</v>
      </c>
      <c r="S2220" t="str">
        <f t="shared" si="1435"/>
        <v>0,00</v>
      </c>
      <c r="T2220" t="str">
        <f t="shared" si="1404"/>
        <v xml:space="preserve"> </v>
      </c>
      <c r="U2220" t="str">
        <f t="shared" si="1427"/>
        <v xml:space="preserve"> </v>
      </c>
      <c r="V2220" t="str">
        <f>"3,000"</f>
        <v>3,000</v>
      </c>
      <c r="W2220" t="str">
        <f t="shared" si="1408"/>
        <v>Lista 4</v>
      </c>
      <c r="X2220" t="str">
        <f t="shared" si="1409"/>
        <v>Lista 5</v>
      </c>
      <c r="Y2220" t="str">
        <f t="shared" si="1410"/>
        <v>Oferta Gral.</v>
      </c>
      <c r="Z2220" t="str">
        <f t="shared" si="1411"/>
        <v>Rubro</v>
      </c>
      <c r="AA2220" t="str">
        <f t="shared" si="1412"/>
        <v>Cantidad por Bulto</v>
      </c>
      <c r="AB2220" t="str">
        <f t="shared" si="1413"/>
        <v>INNER</v>
      </c>
      <c r="AC2220" t="str">
        <f t="shared" si="1414"/>
        <v>Stock en Bultos</v>
      </c>
      <c r="AD2220" t="str">
        <f t="shared" si="1415"/>
        <v>SubDepósito</v>
      </c>
      <c r="AE2220" t="str">
        <f t="shared" si="1416"/>
        <v>Marca</v>
      </c>
      <c r="AF2220" t="str">
        <f t="shared" si="1417"/>
        <v>Super Rubro</v>
      </c>
      <c r="AG2220" t="str">
        <f t="shared" si="1418"/>
        <v>ComercioExterior</v>
      </c>
      <c r="AH2220" t="str">
        <f t="shared" si="1419"/>
        <v>PrecioFOB</v>
      </c>
      <c r="AI2220" t="str">
        <f t="shared" si="1420"/>
        <v>Monto II</v>
      </c>
      <c r="AJ2220" t="str">
        <f t="shared" si="1421"/>
        <v>Porcentaje II</v>
      </c>
      <c r="AK2220" t="str">
        <f t="shared" si="1422"/>
        <v>Foto</v>
      </c>
      <c r="AL222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20" t="str">
        <f>" "</f>
        <v xml:space="preserve"> </v>
      </c>
    </row>
    <row r="2221" spans="1:39" x14ac:dyDescent="0.25">
      <c r="A2221" t="str">
        <f>"PMSH2518-1"</f>
        <v>PMSH2518-1</v>
      </c>
      <c r="B2221" t="str">
        <f>"JUEGO AROS 0.5 RENAULT CLIO KANGOO 1.5 K9K DIAM 76MM SEMIHIDRAULICO"</f>
        <v>JUEGO AROS 0.5 RENAULT CLIO KANGOO 1.5 K9K DIAM 76MM SEMIHIDRAULICO</v>
      </c>
      <c r="C2221" t="str">
        <f>"$ 33026,87"</f>
        <v>$ 33026,87</v>
      </c>
      <c r="D2221" t="str">
        <f>"$ 33026,87"</f>
        <v>$ 33026,87</v>
      </c>
      <c r="E2221" t="str">
        <f>"$ 33026,87"</f>
        <v>$ 33026,87</v>
      </c>
      <c r="F2221" t="str">
        <f>"$ 33026,87"</f>
        <v>$ 33026,87</v>
      </c>
      <c r="G2221" t="str">
        <f>"$ 33026,87"</f>
        <v>$ 33026,87</v>
      </c>
      <c r="H2221" t="str">
        <f t="shared" si="1405"/>
        <v>$ 0,00</v>
      </c>
      <c r="I2221" t="str">
        <f>"JUEGO AROS SEMIHIDRAULICOS"</f>
        <v>JUEGO AROS SEMIHIDRAULICOS</v>
      </c>
      <c r="J2221" t="str">
        <f t="shared" si="1406"/>
        <v>1</v>
      </c>
      <c r="K2221" t="str">
        <f t="shared" si="1432"/>
        <v>0</v>
      </c>
      <c r="L2221" t="str">
        <f>"1,000"</f>
        <v>1,000</v>
      </c>
      <c r="M2221" t="str">
        <f t="shared" si="1407"/>
        <v xml:space="preserve"> </v>
      </c>
      <c r="N2221" t="str">
        <f t="shared" si="1436"/>
        <v>PROMETAL</v>
      </c>
      <c r="O2221" t="str">
        <f t="shared" si="1437"/>
        <v>AROS DE MOTOR</v>
      </c>
      <c r="P2221" t="str">
        <f t="shared" si="1434"/>
        <v>0</v>
      </c>
      <c r="Q2221" t="str">
        <f t="shared" si="1434"/>
        <v>0</v>
      </c>
      <c r="R2221" t="str">
        <f t="shared" si="1435"/>
        <v>0,00</v>
      </c>
      <c r="S2221" t="str">
        <f t="shared" si="1435"/>
        <v>0,00</v>
      </c>
      <c r="T2221" t="str">
        <f t="shared" si="1404"/>
        <v xml:space="preserve"> </v>
      </c>
      <c r="U2221" t="str">
        <f t="shared" si="1427"/>
        <v xml:space="preserve"> </v>
      </c>
      <c r="V2221" t="str">
        <f>"1,000"</f>
        <v>1,000</v>
      </c>
      <c r="W2221" t="str">
        <f t="shared" si="1408"/>
        <v>Lista 4</v>
      </c>
      <c r="X2221" t="str">
        <f t="shared" si="1409"/>
        <v>Lista 5</v>
      </c>
      <c r="Y2221" t="str">
        <f t="shared" si="1410"/>
        <v>Oferta Gral.</v>
      </c>
      <c r="Z2221" t="str">
        <f t="shared" si="1411"/>
        <v>Rubro</v>
      </c>
      <c r="AA2221" t="str">
        <f t="shared" si="1412"/>
        <v>Cantidad por Bulto</v>
      </c>
      <c r="AB2221" t="str">
        <f t="shared" si="1413"/>
        <v>INNER</v>
      </c>
      <c r="AC2221" t="str">
        <f t="shared" si="1414"/>
        <v>Stock en Bultos</v>
      </c>
      <c r="AD2221" t="str">
        <f t="shared" si="1415"/>
        <v>SubDepósito</v>
      </c>
      <c r="AE2221" t="str">
        <f t="shared" si="1416"/>
        <v>Marca</v>
      </c>
      <c r="AF2221" t="str">
        <f t="shared" si="1417"/>
        <v>Super Rubro</v>
      </c>
      <c r="AG2221" t="str">
        <f t="shared" si="1418"/>
        <v>ComercioExterior</v>
      </c>
      <c r="AH2221" t="str">
        <f t="shared" si="1419"/>
        <v>PrecioFOB</v>
      </c>
      <c r="AI2221" t="str">
        <f t="shared" si="1420"/>
        <v>Monto II</v>
      </c>
      <c r="AJ2221" t="str">
        <f t="shared" si="1421"/>
        <v>Porcentaje II</v>
      </c>
      <c r="AK2221" t="str">
        <f t="shared" si="1422"/>
        <v>Foto</v>
      </c>
      <c r="AL2221" t="str">
        <f>"{\rtf1\ansi\ansicpg1252\deff0\deflang11274{\fonttbl{\f0\fnil\fcharset0 MS Sans Serif}} \viewkind4\uc1\pard\f0\fs16 JUEGO AROS 0.5 RENAULT CLIO KANGOO 1.5 K9K DIAM 76MM SEMIHIDRAULICO\par } "</f>
        <v xml:space="preserve">{\rtf1\ansi\ansicpg1252\deff0\deflang11274{\fonttbl{\f0\fnil\fcharset0 MS Sans Serif}} \viewkind4\uc1\pard\f0\fs16 JUEGO AROS 0.5 RENAULT CLIO KANGOO 1.5 K9K DIAM 76MM SEMIHIDRAULICO\par } </v>
      </c>
      <c r="AM2221" t="str">
        <f>"-"</f>
        <v>-</v>
      </c>
    </row>
    <row r="2222" spans="1:39" x14ac:dyDescent="0.25">
      <c r="A2222" t="str">
        <f>"PMSH2515-1"</f>
        <v>PMSH2515-1</v>
      </c>
      <c r="B2222" t="str">
        <f>"JUEGO AROS 0.5 RENAULT EXPRESS F8Q DIAM 80MM SEMIHIDRAULICO"</f>
        <v>JUEGO AROS 0.5 RENAULT EXPRESS F8Q DIAM 80MM SEMIHIDRAULICO</v>
      </c>
      <c r="C2222" t="str">
        <f>"$ 50769,46"</f>
        <v>$ 50769,46</v>
      </c>
      <c r="D2222" t="str">
        <f>"$ 50769,46"</f>
        <v>$ 50769,46</v>
      </c>
      <c r="E2222" t="str">
        <f>"$ 50769,46"</f>
        <v>$ 50769,46</v>
      </c>
      <c r="F2222" t="str">
        <f>"$ 50769,46"</f>
        <v>$ 50769,46</v>
      </c>
      <c r="G2222" t="str">
        <f>"$ 50769,46"</f>
        <v>$ 50769,46</v>
      </c>
      <c r="H2222" t="str">
        <f t="shared" si="1405"/>
        <v>$ 0,00</v>
      </c>
      <c r="I2222" t="str">
        <f>"JUEGO AROS SEMIHIDRAULICOS"</f>
        <v>JUEGO AROS SEMIHIDRAULICOS</v>
      </c>
      <c r="J2222" t="str">
        <f t="shared" si="1406"/>
        <v>1</v>
      </c>
      <c r="K2222" t="str">
        <f t="shared" si="1432"/>
        <v>0</v>
      </c>
      <c r="L2222" t="str">
        <f>"0,000"</f>
        <v>0,000</v>
      </c>
      <c r="M2222" t="str">
        <f t="shared" si="1407"/>
        <v xml:space="preserve"> </v>
      </c>
      <c r="N2222" t="str">
        <f t="shared" si="1436"/>
        <v>PROMETAL</v>
      </c>
      <c r="O2222" t="str">
        <f t="shared" si="1437"/>
        <v>AROS DE MOTOR</v>
      </c>
      <c r="P2222" t="str">
        <f t="shared" si="1434"/>
        <v>0</v>
      </c>
      <c r="Q2222" t="str">
        <f t="shared" si="1434"/>
        <v>0</v>
      </c>
      <c r="R2222" t="str">
        <f t="shared" si="1435"/>
        <v>0,00</v>
      </c>
      <c r="S2222" t="str">
        <f t="shared" si="1435"/>
        <v>0,00</v>
      </c>
      <c r="T2222" t="str">
        <f t="shared" si="1404"/>
        <v xml:space="preserve"> </v>
      </c>
      <c r="U2222" t="str">
        <f t="shared" si="1427"/>
        <v xml:space="preserve"> </v>
      </c>
      <c r="V2222" t="str">
        <f>"0,000"</f>
        <v>0,000</v>
      </c>
      <c r="W2222" t="str">
        <f t="shared" si="1408"/>
        <v>Lista 4</v>
      </c>
      <c r="X2222" t="str">
        <f t="shared" si="1409"/>
        <v>Lista 5</v>
      </c>
      <c r="Y2222" t="str">
        <f t="shared" si="1410"/>
        <v>Oferta Gral.</v>
      </c>
      <c r="Z2222" t="str">
        <f t="shared" si="1411"/>
        <v>Rubro</v>
      </c>
      <c r="AA2222" t="str">
        <f t="shared" si="1412"/>
        <v>Cantidad por Bulto</v>
      </c>
      <c r="AB2222" t="str">
        <f t="shared" si="1413"/>
        <v>INNER</v>
      </c>
      <c r="AC2222" t="str">
        <f t="shared" si="1414"/>
        <v>Stock en Bultos</v>
      </c>
      <c r="AD2222" t="str">
        <f t="shared" si="1415"/>
        <v>SubDepósito</v>
      </c>
      <c r="AE2222" t="str">
        <f t="shared" si="1416"/>
        <v>Marca</v>
      </c>
      <c r="AF2222" t="str">
        <f t="shared" si="1417"/>
        <v>Super Rubro</v>
      </c>
      <c r="AG2222" t="str">
        <f t="shared" si="1418"/>
        <v>ComercioExterior</v>
      </c>
      <c r="AH2222" t="str">
        <f t="shared" si="1419"/>
        <v>PrecioFOB</v>
      </c>
      <c r="AI2222" t="str">
        <f t="shared" si="1420"/>
        <v>Monto II</v>
      </c>
      <c r="AJ2222" t="str">
        <f t="shared" si="1421"/>
        <v>Porcentaje II</v>
      </c>
      <c r="AK2222" t="str">
        <f t="shared" si="1422"/>
        <v>Foto</v>
      </c>
      <c r="AL2222" t="str">
        <f>"{\rtf1\ansi\ansicpg1252\deff0\deflang11274{\fonttbl{\f0\fnil\fcharset0 MS Sans Serif}} \viewkind4\uc1\pard\f0\fs16 JUEGO AROS 0.5 RENAULT EXPRESS F8Q DIAM 80MM SEMIHIDRAULICO\par } "</f>
        <v xml:space="preserve">{\rtf1\ansi\ansicpg1252\deff0\deflang11274{\fonttbl{\f0\fnil\fcharset0 MS Sans Serif}} \viewkind4\uc1\pard\f0\fs16 JUEGO AROS 0.5 RENAULT EXPRESS F8Q DIAM 80MM SEMIHIDRAULICO\par } </v>
      </c>
      <c r="AM2222" t="str">
        <f>"-"</f>
        <v>-</v>
      </c>
    </row>
    <row r="2223" spans="1:39" x14ac:dyDescent="0.25">
      <c r="A2223" t="str">
        <f>"PMR0638-1"</f>
        <v>PMR0638-1</v>
      </c>
      <c r="B2223" t="str">
        <f>"JUEGO AROS 0.50 FORD FIESTA KA 1.3 ZETEC DIAM 73,94MM RECAMBIO HIDRÁULICO"</f>
        <v>JUEGO AROS 0.50 FORD FIESTA KA 1.3 ZETEC DIAM 73,94MM RECAMBIO HIDRÁULICO</v>
      </c>
      <c r="C2223" t="str">
        <f t="shared" ref="C2223:G2224" si="1441">"$ 33026,87"</f>
        <v>$ 33026,87</v>
      </c>
      <c r="D2223" t="str">
        <f t="shared" si="1441"/>
        <v>$ 33026,87</v>
      </c>
      <c r="E2223" t="str">
        <f t="shared" si="1441"/>
        <v>$ 33026,87</v>
      </c>
      <c r="F2223" t="str">
        <f t="shared" si="1441"/>
        <v>$ 33026,87</v>
      </c>
      <c r="G2223" t="str">
        <f t="shared" si="1441"/>
        <v>$ 33026,87</v>
      </c>
      <c r="H2223" t="str">
        <f t="shared" si="1405"/>
        <v>$ 0,00</v>
      </c>
      <c r="I2223" t="str">
        <f>"JUEGO AROS DE RECAMBIO"</f>
        <v>JUEGO AROS DE RECAMBIO</v>
      </c>
      <c r="J2223" t="str">
        <f t="shared" si="1406"/>
        <v>1</v>
      </c>
      <c r="K2223" t="str">
        <f t="shared" si="1432"/>
        <v>0</v>
      </c>
      <c r="L2223" t="str">
        <f>"0,000"</f>
        <v>0,000</v>
      </c>
      <c r="M2223" t="str">
        <f t="shared" si="1407"/>
        <v xml:space="preserve"> </v>
      </c>
      <c r="N2223" t="str">
        <f t="shared" si="1436"/>
        <v>PROMETAL</v>
      </c>
      <c r="O2223" t="str">
        <f t="shared" si="1437"/>
        <v>AROS DE MOTOR</v>
      </c>
      <c r="P2223" t="str">
        <f t="shared" ref="P2223:Q2242" si="1442">"0"</f>
        <v>0</v>
      </c>
      <c r="Q2223" t="str">
        <f t="shared" si="1442"/>
        <v>0</v>
      </c>
      <c r="R2223" t="str">
        <f t="shared" ref="R2223:S2242" si="1443">"0,00"</f>
        <v>0,00</v>
      </c>
      <c r="S2223" t="str">
        <f t="shared" si="1443"/>
        <v>0,00</v>
      </c>
      <c r="T2223" t="str">
        <f t="shared" si="1404"/>
        <v xml:space="preserve"> </v>
      </c>
      <c r="U2223" t="str">
        <f t="shared" si="1427"/>
        <v xml:space="preserve"> </v>
      </c>
      <c r="V2223" t="str">
        <f>"0,000"</f>
        <v>0,000</v>
      </c>
      <c r="W2223" t="str">
        <f t="shared" si="1408"/>
        <v>Lista 4</v>
      </c>
      <c r="X2223" t="str">
        <f t="shared" si="1409"/>
        <v>Lista 5</v>
      </c>
      <c r="Y2223" t="str">
        <f t="shared" si="1410"/>
        <v>Oferta Gral.</v>
      </c>
      <c r="Z2223" t="str">
        <f t="shared" si="1411"/>
        <v>Rubro</v>
      </c>
      <c r="AA2223" t="str">
        <f t="shared" si="1412"/>
        <v>Cantidad por Bulto</v>
      </c>
      <c r="AB2223" t="str">
        <f t="shared" si="1413"/>
        <v>INNER</v>
      </c>
      <c r="AC2223" t="str">
        <f t="shared" si="1414"/>
        <v>Stock en Bultos</v>
      </c>
      <c r="AD2223" t="str">
        <f t="shared" si="1415"/>
        <v>SubDepósito</v>
      </c>
      <c r="AE2223" t="str">
        <f t="shared" si="1416"/>
        <v>Marca</v>
      </c>
      <c r="AF2223" t="str">
        <f t="shared" si="1417"/>
        <v>Super Rubro</v>
      </c>
      <c r="AG2223" t="str">
        <f t="shared" si="1418"/>
        <v>ComercioExterior</v>
      </c>
      <c r="AH2223" t="str">
        <f t="shared" si="1419"/>
        <v>PrecioFOB</v>
      </c>
      <c r="AI2223" t="str">
        <f t="shared" si="1420"/>
        <v>Monto II</v>
      </c>
      <c r="AJ2223" t="str">
        <f t="shared" si="1421"/>
        <v>Porcentaje II</v>
      </c>
      <c r="AK2223" t="str">
        <f t="shared" si="1422"/>
        <v>Foto</v>
      </c>
      <c r="AL2223" t="str">
        <f>"{\rtf1\ansi\ansicpg1252\deff0\deflang11274{\fonttbl{\f0\fnil\fcharset0 MS Sans Serif}} \viewkind4\uc1\pard\f0\fs16 JUEGO AROS 0.50 FORD FIESTA KA 1.3 ZETEC DIAM 73,94MM RECAMBIO HIDR\'c1ULICO\par } "</f>
        <v xml:space="preserve">{\rtf1\ansi\ansicpg1252\deff0\deflang11274{\fonttbl{\f0\fnil\fcharset0 MS Sans Serif}} \viewkind4\uc1\pard\f0\fs16 JUEGO AROS 0.50 FORD FIESTA KA 1.3 ZETEC DIAM 73,94MM RECAMBIO HIDR\'c1ULICO\par } </v>
      </c>
      <c r="AM2223" t="str">
        <f>"-"</f>
        <v>-</v>
      </c>
    </row>
    <row r="2224" spans="1:39" x14ac:dyDescent="0.25">
      <c r="A2224" t="str">
        <f>"PMR0607-1"</f>
        <v>PMR0607-1</v>
      </c>
      <c r="B2224" t="str">
        <f>"JUEGO AROS 0.50 FORD SIERRA 1600 DIAM 81.30 MM RECAMBIO HIDRÁULICO "</f>
        <v xml:space="preserve">JUEGO AROS 0.50 FORD SIERRA 1600 DIAM 81.30 MM RECAMBIO HIDRÁULICO </v>
      </c>
      <c r="C2224" t="str">
        <f t="shared" si="1441"/>
        <v>$ 33026,87</v>
      </c>
      <c r="D2224" t="str">
        <f t="shared" si="1441"/>
        <v>$ 33026,87</v>
      </c>
      <c r="E2224" t="str">
        <f t="shared" si="1441"/>
        <v>$ 33026,87</v>
      </c>
      <c r="F2224" t="str">
        <f t="shared" si="1441"/>
        <v>$ 33026,87</v>
      </c>
      <c r="G2224" t="str">
        <f t="shared" si="1441"/>
        <v>$ 33026,87</v>
      </c>
      <c r="H2224" t="str">
        <f t="shared" si="1405"/>
        <v>$ 0,00</v>
      </c>
      <c r="I2224" t="str">
        <f>"JUEGO AROS DE RECAMBIO"</f>
        <v>JUEGO AROS DE RECAMBIO</v>
      </c>
      <c r="J2224" t="str">
        <f t="shared" si="1406"/>
        <v>1</v>
      </c>
      <c r="K2224" t="str">
        <f t="shared" si="1432"/>
        <v>0</v>
      </c>
      <c r="L2224" t="str">
        <f>"2,000"</f>
        <v>2,000</v>
      </c>
      <c r="M2224" t="str">
        <f t="shared" si="1407"/>
        <v xml:space="preserve"> </v>
      </c>
      <c r="N2224" t="str">
        <f t="shared" si="1436"/>
        <v>PROMETAL</v>
      </c>
      <c r="O2224" t="str">
        <f t="shared" si="1437"/>
        <v>AROS DE MOTOR</v>
      </c>
      <c r="P2224" t="str">
        <f t="shared" si="1442"/>
        <v>0</v>
      </c>
      <c r="Q2224" t="str">
        <f t="shared" si="1442"/>
        <v>0</v>
      </c>
      <c r="R2224" t="str">
        <f t="shared" si="1443"/>
        <v>0,00</v>
      </c>
      <c r="S2224" t="str">
        <f t="shared" si="1443"/>
        <v>0,00</v>
      </c>
      <c r="T2224" t="str">
        <f t="shared" si="1404"/>
        <v xml:space="preserve"> </v>
      </c>
      <c r="U2224" t="str">
        <f t="shared" si="1427"/>
        <v xml:space="preserve"> </v>
      </c>
      <c r="V2224" t="str">
        <f>"2,000"</f>
        <v>2,000</v>
      </c>
      <c r="W2224" t="str">
        <f t="shared" si="1408"/>
        <v>Lista 4</v>
      </c>
      <c r="X2224" t="str">
        <f t="shared" si="1409"/>
        <v>Lista 5</v>
      </c>
      <c r="Y2224" t="str">
        <f t="shared" si="1410"/>
        <v>Oferta Gral.</v>
      </c>
      <c r="Z2224" t="str">
        <f t="shared" si="1411"/>
        <v>Rubro</v>
      </c>
      <c r="AA2224" t="str">
        <f t="shared" si="1412"/>
        <v>Cantidad por Bulto</v>
      </c>
      <c r="AB2224" t="str">
        <f t="shared" si="1413"/>
        <v>INNER</v>
      </c>
      <c r="AC2224" t="str">
        <f t="shared" si="1414"/>
        <v>Stock en Bultos</v>
      </c>
      <c r="AD2224" t="str">
        <f t="shared" si="1415"/>
        <v>SubDepósito</v>
      </c>
      <c r="AE2224" t="str">
        <f t="shared" si="1416"/>
        <v>Marca</v>
      </c>
      <c r="AF2224" t="str">
        <f t="shared" si="1417"/>
        <v>Super Rubro</v>
      </c>
      <c r="AG2224" t="str">
        <f t="shared" si="1418"/>
        <v>ComercioExterior</v>
      </c>
      <c r="AH2224" t="str">
        <f t="shared" si="1419"/>
        <v>PrecioFOB</v>
      </c>
      <c r="AI2224" t="str">
        <f t="shared" si="1420"/>
        <v>Monto II</v>
      </c>
      <c r="AJ2224" t="str">
        <f t="shared" si="1421"/>
        <v>Porcentaje II</v>
      </c>
      <c r="AK2224" t="str">
        <f t="shared" si="1422"/>
        <v>Foto</v>
      </c>
      <c r="AL2224" t="str">
        <f>"{\rtf1\ansi\ansicpg1252\deff0\deflang11274{\fonttbl{\f0\fnil\fcharset0 MS Sans Serif}} \viewkind4\uc1\pard\f0\fs16 JUEGO AROS 0.50 FORD SIERRA 1600 DIAM 81.30 MM RECAMBIO HIDR\'c1ULICO \par } "</f>
        <v xml:space="preserve">{\rtf1\ansi\ansicpg1252\deff0\deflang11274{\fonttbl{\f0\fnil\fcharset0 MS Sans Serif}} \viewkind4\uc1\pard\f0\fs16 JUEGO AROS 0.50 FORD SIERRA 1600 DIAM 81.30 MM RECAMBIO HIDR\'c1ULICO \par } </v>
      </c>
      <c r="AM2224" t="str">
        <f>" "</f>
        <v xml:space="preserve"> </v>
      </c>
    </row>
    <row r="2225" spans="1:39" x14ac:dyDescent="0.25">
      <c r="A2225" t="str">
        <f>"PMSH2537-1"</f>
        <v>PMSH2537-1</v>
      </c>
      <c r="B2225" t="str">
        <f>"JUEGO AROS 0.50 RENAULT LOGAN K7M SEMIHIDRAULICO"</f>
        <v>JUEGO AROS 0.50 RENAULT LOGAN K7M SEMIHIDRAULICO</v>
      </c>
      <c r="C2225" t="str">
        <f>"$ 39707,06"</f>
        <v>$ 39707,06</v>
      </c>
      <c r="D2225" t="str">
        <f>"$ 39707,06"</f>
        <v>$ 39707,06</v>
      </c>
      <c r="E2225" t="str">
        <f>"$ 39707,06"</f>
        <v>$ 39707,06</v>
      </c>
      <c r="F2225" t="str">
        <f>"$ 39707,06"</f>
        <v>$ 39707,06</v>
      </c>
      <c r="G2225" t="str">
        <f>"$ 39707,06"</f>
        <v>$ 39707,06</v>
      </c>
      <c r="H2225" t="str">
        <f t="shared" si="1405"/>
        <v>$ 0,00</v>
      </c>
      <c r="I2225" t="str">
        <f>"JUEGO AROS SEMIHIDRAULICOS"</f>
        <v>JUEGO AROS SEMIHIDRAULICOS</v>
      </c>
      <c r="J2225" t="str">
        <f t="shared" si="1406"/>
        <v>1</v>
      </c>
      <c r="K2225" t="str">
        <f t="shared" si="1432"/>
        <v>0</v>
      </c>
      <c r="L2225" t="str">
        <f>"6,000"</f>
        <v>6,000</v>
      </c>
      <c r="M2225" t="str">
        <f t="shared" si="1407"/>
        <v xml:space="preserve"> </v>
      </c>
      <c r="N2225" t="str">
        <f t="shared" si="1436"/>
        <v>PROMETAL</v>
      </c>
      <c r="O2225" t="str">
        <f t="shared" si="1437"/>
        <v>AROS DE MOTOR</v>
      </c>
      <c r="P2225" t="str">
        <f t="shared" si="1442"/>
        <v>0</v>
      </c>
      <c r="Q2225" t="str">
        <f t="shared" si="1442"/>
        <v>0</v>
      </c>
      <c r="R2225" t="str">
        <f t="shared" si="1443"/>
        <v>0,00</v>
      </c>
      <c r="S2225" t="str">
        <f t="shared" si="1443"/>
        <v>0,00</v>
      </c>
      <c r="T2225" t="str">
        <f t="shared" si="1404"/>
        <v xml:space="preserve"> </v>
      </c>
      <c r="U2225" t="str">
        <f t="shared" si="1427"/>
        <v xml:space="preserve"> </v>
      </c>
      <c r="V2225" t="str">
        <f>"6,000"</f>
        <v>6,000</v>
      </c>
      <c r="W2225" t="str">
        <f t="shared" si="1408"/>
        <v>Lista 4</v>
      </c>
      <c r="X2225" t="str">
        <f t="shared" si="1409"/>
        <v>Lista 5</v>
      </c>
      <c r="Y2225" t="str">
        <f t="shared" si="1410"/>
        <v>Oferta Gral.</v>
      </c>
      <c r="Z2225" t="str">
        <f t="shared" si="1411"/>
        <v>Rubro</v>
      </c>
      <c r="AA2225" t="str">
        <f t="shared" si="1412"/>
        <v>Cantidad por Bulto</v>
      </c>
      <c r="AB2225" t="str">
        <f t="shared" si="1413"/>
        <v>INNER</v>
      </c>
      <c r="AC2225" t="str">
        <f t="shared" si="1414"/>
        <v>Stock en Bultos</v>
      </c>
      <c r="AD2225" t="str">
        <f t="shared" si="1415"/>
        <v>SubDepósito</v>
      </c>
      <c r="AE2225" t="str">
        <f t="shared" si="1416"/>
        <v>Marca</v>
      </c>
      <c r="AF2225" t="str">
        <f t="shared" si="1417"/>
        <v>Super Rubro</v>
      </c>
      <c r="AG2225" t="str">
        <f t="shared" si="1418"/>
        <v>ComercioExterior</v>
      </c>
      <c r="AH2225" t="str">
        <f t="shared" si="1419"/>
        <v>PrecioFOB</v>
      </c>
      <c r="AI2225" t="str">
        <f t="shared" si="1420"/>
        <v>Monto II</v>
      </c>
      <c r="AJ2225" t="str">
        <f t="shared" si="1421"/>
        <v>Porcentaje II</v>
      </c>
      <c r="AK2225" t="str">
        <f t="shared" si="1422"/>
        <v>Foto</v>
      </c>
      <c r="AL2225" t="str">
        <f>"{\rtf1\ansi\ansicpg1252\deff0\deflang11274{\fonttbl{\f0\fnil\fcharset0 MS Sans Serif}} \viewkind4\uc1\pard\f0\fs16 JUEGO AROS 0.50 RENAULT LOGAN K7M SEMIHIDRAULICO\par } "</f>
        <v xml:space="preserve">{\rtf1\ansi\ansicpg1252\deff0\deflang11274{\fonttbl{\f0\fnil\fcharset0 MS Sans Serif}} \viewkind4\uc1\pard\f0\fs16 JUEGO AROS 0.50 RENAULT LOGAN K7M SEMIHIDRAULICO\par } </v>
      </c>
      <c r="AM2225" t="str">
        <f t="shared" ref="AM2225:AM2231" si="1444">"-"</f>
        <v>-</v>
      </c>
    </row>
    <row r="2226" spans="1:39" x14ac:dyDescent="0.25">
      <c r="A2226" t="str">
        <f>"PMSH1919-1"</f>
        <v>PMSH1919-1</v>
      </c>
      <c r="B2226" t="str">
        <f>"JUEGO AROS 0.50 VW POLO DIESEL 1.9 DIAM 79.50 MM RECAMBIO SEMIHIDRÁULICO"</f>
        <v>JUEGO AROS 0.50 VW POLO DIESEL 1.9 DIAM 79.50 MM RECAMBIO SEMIHIDRÁULICO</v>
      </c>
      <c r="C2226" t="str">
        <f>"$ 52907,12"</f>
        <v>$ 52907,12</v>
      </c>
      <c r="D2226" t="str">
        <f>"$ 52907,12"</f>
        <v>$ 52907,12</v>
      </c>
      <c r="E2226" t="str">
        <f>"$ 52907,12"</f>
        <v>$ 52907,12</v>
      </c>
      <c r="F2226" t="str">
        <f>"$ 52907,12"</f>
        <v>$ 52907,12</v>
      </c>
      <c r="G2226" t="str">
        <f>"$ 52907,12"</f>
        <v>$ 52907,12</v>
      </c>
      <c r="H2226" t="str">
        <f t="shared" si="1405"/>
        <v>$ 0,00</v>
      </c>
      <c r="I2226" t="str">
        <f>"JUEGO AROS SEMIHIDRAULICOS"</f>
        <v>JUEGO AROS SEMIHIDRAULICOS</v>
      </c>
      <c r="J2226" t="str">
        <f t="shared" si="1406"/>
        <v>1</v>
      </c>
      <c r="K2226" t="str">
        <f t="shared" si="1432"/>
        <v>0</v>
      </c>
      <c r="L2226" t="str">
        <f>"0,000"</f>
        <v>0,000</v>
      </c>
      <c r="M2226" t="str">
        <f t="shared" si="1407"/>
        <v xml:space="preserve"> </v>
      </c>
      <c r="N2226" t="str">
        <f t="shared" si="1436"/>
        <v>PROMETAL</v>
      </c>
      <c r="O2226" t="str">
        <f t="shared" si="1437"/>
        <v>AROS DE MOTOR</v>
      </c>
      <c r="P2226" t="str">
        <f t="shared" si="1442"/>
        <v>0</v>
      </c>
      <c r="Q2226" t="str">
        <f t="shared" si="1442"/>
        <v>0</v>
      </c>
      <c r="R2226" t="str">
        <f t="shared" si="1443"/>
        <v>0,00</v>
      </c>
      <c r="S2226" t="str">
        <f t="shared" si="1443"/>
        <v>0,00</v>
      </c>
      <c r="T2226" t="str">
        <f t="shared" si="1404"/>
        <v xml:space="preserve"> </v>
      </c>
      <c r="U2226" t="str">
        <f t="shared" si="1427"/>
        <v xml:space="preserve"> </v>
      </c>
      <c r="V2226" t="str">
        <f>"0,000"</f>
        <v>0,000</v>
      </c>
      <c r="W2226" t="str">
        <f t="shared" si="1408"/>
        <v>Lista 4</v>
      </c>
      <c r="X2226" t="str">
        <f t="shared" si="1409"/>
        <v>Lista 5</v>
      </c>
      <c r="Y2226" t="str">
        <f t="shared" si="1410"/>
        <v>Oferta Gral.</v>
      </c>
      <c r="Z2226" t="str">
        <f t="shared" si="1411"/>
        <v>Rubro</v>
      </c>
      <c r="AA2226" t="str">
        <f t="shared" si="1412"/>
        <v>Cantidad por Bulto</v>
      </c>
      <c r="AB2226" t="str">
        <f t="shared" si="1413"/>
        <v>INNER</v>
      </c>
      <c r="AC2226" t="str">
        <f t="shared" si="1414"/>
        <v>Stock en Bultos</v>
      </c>
      <c r="AD2226" t="str">
        <f t="shared" si="1415"/>
        <v>SubDepósito</v>
      </c>
      <c r="AE2226" t="str">
        <f t="shared" si="1416"/>
        <v>Marca</v>
      </c>
      <c r="AF2226" t="str">
        <f t="shared" si="1417"/>
        <v>Super Rubro</v>
      </c>
      <c r="AG2226" t="str">
        <f t="shared" si="1418"/>
        <v>ComercioExterior</v>
      </c>
      <c r="AH2226" t="str">
        <f t="shared" si="1419"/>
        <v>PrecioFOB</v>
      </c>
      <c r="AI2226" t="str">
        <f t="shared" si="1420"/>
        <v>Monto II</v>
      </c>
      <c r="AJ2226" t="str">
        <f t="shared" si="1421"/>
        <v>Porcentaje II</v>
      </c>
      <c r="AK2226" t="str">
        <f t="shared" si="1422"/>
        <v>Foto</v>
      </c>
      <c r="AL2226" t="str">
        <f>"{\rtf1\ansi\ansicpg1252\deff0\deflang11274{\fonttbl{\f0\fnil\fcharset0 MS Sans Serif}} \viewkind4\uc1\pard\f0\fs16 JUEGO AROS 0.50 VW POLO DIESEL 1.9 DIAM 79.50 MM RECAMBIO SEMIHIDR\'c1ULICO\par } "</f>
        <v xml:space="preserve">{\rtf1\ansi\ansicpg1252\deff0\deflang11274{\fonttbl{\f0\fnil\fcharset0 MS Sans Serif}} \viewkind4\uc1\pard\f0\fs16 JUEGO AROS 0.50 VW POLO DIESEL 1.9 DIAM 79.50 MM RECAMBIO SEMIHIDR\'c1ULICO\par } </v>
      </c>
      <c r="AM2226" t="str">
        <f t="shared" si="1444"/>
        <v>-</v>
      </c>
    </row>
    <row r="2227" spans="1:39" x14ac:dyDescent="0.25">
      <c r="A2227" t="str">
        <f>"PMSH2403-2"</f>
        <v>PMSH2403-2</v>
      </c>
      <c r="B2227" t="str">
        <f>"JUEGO AROS 0.6 FIAT PALIO SIENA 1.3 FIRE DIAMETRO 70,8MM  SEMIHIDRAULICOS"</f>
        <v>JUEGO AROS 0.6 FIAT PALIO SIENA 1.3 FIRE DIAMETRO 70,8MM  SEMIHIDRAULICOS</v>
      </c>
      <c r="C2227" t="str">
        <f>"$ 33026,87"</f>
        <v>$ 33026,87</v>
      </c>
      <c r="D2227" t="str">
        <f>"$ 33026,87"</f>
        <v>$ 33026,87</v>
      </c>
      <c r="E2227" t="str">
        <f>"$ 33026,87"</f>
        <v>$ 33026,87</v>
      </c>
      <c r="F2227" t="str">
        <f>"$ 33026,87"</f>
        <v>$ 33026,87</v>
      </c>
      <c r="G2227" t="str">
        <f>"$ 33026,87"</f>
        <v>$ 33026,87</v>
      </c>
      <c r="H2227" t="str">
        <f t="shared" si="1405"/>
        <v>$ 0,00</v>
      </c>
      <c r="I2227" t="str">
        <f>"JUEGO AROS SEMIHIDRAULICOS"</f>
        <v>JUEGO AROS SEMIHIDRAULICOS</v>
      </c>
      <c r="J2227" t="str">
        <f t="shared" si="1406"/>
        <v>1</v>
      </c>
      <c r="K2227" t="str">
        <f t="shared" si="1432"/>
        <v>0</v>
      </c>
      <c r="L2227" t="str">
        <f>"3,000"</f>
        <v>3,000</v>
      </c>
      <c r="M2227" t="str">
        <f t="shared" si="1407"/>
        <v xml:space="preserve"> </v>
      </c>
      <c r="N2227" t="str">
        <f t="shared" si="1436"/>
        <v>PROMETAL</v>
      </c>
      <c r="O2227" t="str">
        <f t="shared" si="1437"/>
        <v>AROS DE MOTOR</v>
      </c>
      <c r="P2227" t="str">
        <f t="shared" si="1442"/>
        <v>0</v>
      </c>
      <c r="Q2227" t="str">
        <f t="shared" si="1442"/>
        <v>0</v>
      </c>
      <c r="R2227" t="str">
        <f t="shared" si="1443"/>
        <v>0,00</v>
      </c>
      <c r="S2227" t="str">
        <f t="shared" si="1443"/>
        <v>0,00</v>
      </c>
      <c r="T2227" t="str">
        <f t="shared" si="1404"/>
        <v xml:space="preserve"> </v>
      </c>
      <c r="U2227" t="str">
        <f t="shared" si="1427"/>
        <v xml:space="preserve"> </v>
      </c>
      <c r="V2227" t="str">
        <f>"3,000"</f>
        <v>3,000</v>
      </c>
      <c r="W2227" t="str">
        <f t="shared" si="1408"/>
        <v>Lista 4</v>
      </c>
      <c r="X2227" t="str">
        <f t="shared" si="1409"/>
        <v>Lista 5</v>
      </c>
      <c r="Y2227" t="str">
        <f t="shared" si="1410"/>
        <v>Oferta Gral.</v>
      </c>
      <c r="Z2227" t="str">
        <f t="shared" si="1411"/>
        <v>Rubro</v>
      </c>
      <c r="AA2227" t="str">
        <f t="shared" si="1412"/>
        <v>Cantidad por Bulto</v>
      </c>
      <c r="AB2227" t="str">
        <f t="shared" si="1413"/>
        <v>INNER</v>
      </c>
      <c r="AC2227" t="str">
        <f t="shared" si="1414"/>
        <v>Stock en Bultos</v>
      </c>
      <c r="AD2227" t="str">
        <f t="shared" si="1415"/>
        <v>SubDepósito</v>
      </c>
      <c r="AE2227" t="str">
        <f t="shared" si="1416"/>
        <v>Marca</v>
      </c>
      <c r="AF2227" t="str">
        <f t="shared" si="1417"/>
        <v>Super Rubro</v>
      </c>
      <c r="AG2227" t="str">
        <f t="shared" si="1418"/>
        <v>ComercioExterior</v>
      </c>
      <c r="AH2227" t="str">
        <f t="shared" si="1419"/>
        <v>PrecioFOB</v>
      </c>
      <c r="AI2227" t="str">
        <f t="shared" si="1420"/>
        <v>Monto II</v>
      </c>
      <c r="AJ2227" t="str">
        <f t="shared" si="1421"/>
        <v>Porcentaje II</v>
      </c>
      <c r="AK2227" t="str">
        <f t="shared" si="1422"/>
        <v>Foto</v>
      </c>
      <c r="AL2227" t="str">
        <f>"{\rtf1\ansi\ansicpg1252\deff0\deflang11274{\fonttbl{\f0\fnil\fcharset0 MS Sans Serif}} \viewkind4\uc1\pard\f0\fs16 JUEGO AROS 0.6 FIAT PALIO SIENA 1.3 FIRE DIAMETRO 70,8MM  SEMIHIDRAULICOS\par } "</f>
        <v xml:space="preserve">{\rtf1\ansi\ansicpg1252\deff0\deflang11274{\fonttbl{\f0\fnil\fcharset0 MS Sans Serif}} \viewkind4\uc1\pard\f0\fs16 JUEGO AROS 0.6 FIAT PALIO SIENA 1.3 FIRE DIAMETRO 70,8MM  SEMIHIDRAULICOS\par } </v>
      </c>
      <c r="AM2227" t="str">
        <f t="shared" si="1444"/>
        <v>-</v>
      </c>
    </row>
    <row r="2228" spans="1:39" x14ac:dyDescent="0.25">
      <c r="A2228" t="str">
        <f>"PMR2407-1"</f>
        <v>PMR2407-1</v>
      </c>
      <c r="B2228" t="str">
        <f>"JUEGO AROS 0.60 FIAT DUNA UNO MOTOR TIPO 1.6 DIAM 86.4MM RECAMBIO HIDRAULICO"</f>
        <v>JUEGO AROS 0.60 FIAT DUNA UNO MOTOR TIPO 1.6 DIAM 86.4MM RECAMBIO HIDRAULICO</v>
      </c>
      <c r="C2228" t="str">
        <f>"$ 28751,54"</f>
        <v>$ 28751,54</v>
      </c>
      <c r="D2228" t="str">
        <f>"$ 28751,54"</f>
        <v>$ 28751,54</v>
      </c>
      <c r="E2228" t="str">
        <f>"$ 28751,54"</f>
        <v>$ 28751,54</v>
      </c>
      <c r="F2228" t="str">
        <f>"$ 28751,54"</f>
        <v>$ 28751,54</v>
      </c>
      <c r="G2228" t="str">
        <f>"$ 28751,54"</f>
        <v>$ 28751,54</v>
      </c>
      <c r="H2228" t="str">
        <f t="shared" si="1405"/>
        <v>$ 0,00</v>
      </c>
      <c r="I2228" t="str">
        <f>"JUEGO AROS DE RECAMBIO"</f>
        <v>JUEGO AROS DE RECAMBIO</v>
      </c>
      <c r="J2228" t="str">
        <f t="shared" si="1406"/>
        <v>1</v>
      </c>
      <c r="K2228" t="str">
        <f t="shared" si="1432"/>
        <v>0</v>
      </c>
      <c r="L2228" t="str">
        <f>"1,000"</f>
        <v>1,000</v>
      </c>
      <c r="M2228" t="str">
        <f t="shared" si="1407"/>
        <v xml:space="preserve"> </v>
      </c>
      <c r="N2228" t="str">
        <f t="shared" si="1436"/>
        <v>PROMETAL</v>
      </c>
      <c r="O2228" t="str">
        <f t="shared" si="1437"/>
        <v>AROS DE MOTOR</v>
      </c>
      <c r="P2228" t="str">
        <f t="shared" si="1442"/>
        <v>0</v>
      </c>
      <c r="Q2228" t="str">
        <f t="shared" si="1442"/>
        <v>0</v>
      </c>
      <c r="R2228" t="str">
        <f t="shared" si="1443"/>
        <v>0,00</v>
      </c>
      <c r="S2228" t="str">
        <f t="shared" si="1443"/>
        <v>0,00</v>
      </c>
      <c r="T2228" t="str">
        <f t="shared" si="1404"/>
        <v xml:space="preserve"> </v>
      </c>
      <c r="U2228" t="str">
        <f t="shared" si="1427"/>
        <v xml:space="preserve"> </v>
      </c>
      <c r="V2228" t="str">
        <f>"1,000"</f>
        <v>1,000</v>
      </c>
      <c r="W2228" t="str">
        <f t="shared" si="1408"/>
        <v>Lista 4</v>
      </c>
      <c r="X2228" t="str">
        <f t="shared" si="1409"/>
        <v>Lista 5</v>
      </c>
      <c r="Y2228" t="str">
        <f t="shared" si="1410"/>
        <v>Oferta Gral.</v>
      </c>
      <c r="Z2228" t="str">
        <f t="shared" si="1411"/>
        <v>Rubro</v>
      </c>
      <c r="AA2228" t="str">
        <f t="shared" si="1412"/>
        <v>Cantidad por Bulto</v>
      </c>
      <c r="AB2228" t="str">
        <f t="shared" si="1413"/>
        <v>INNER</v>
      </c>
      <c r="AC2228" t="str">
        <f t="shared" si="1414"/>
        <v>Stock en Bultos</v>
      </c>
      <c r="AD2228" t="str">
        <f t="shared" si="1415"/>
        <v>SubDepósito</v>
      </c>
      <c r="AE2228" t="str">
        <f t="shared" si="1416"/>
        <v>Marca</v>
      </c>
      <c r="AF2228" t="str">
        <f t="shared" si="1417"/>
        <v>Super Rubro</v>
      </c>
      <c r="AG2228" t="str">
        <f t="shared" si="1418"/>
        <v>ComercioExterior</v>
      </c>
      <c r="AH2228" t="str">
        <f t="shared" si="1419"/>
        <v>PrecioFOB</v>
      </c>
      <c r="AI2228" t="str">
        <f t="shared" si="1420"/>
        <v>Monto II</v>
      </c>
      <c r="AJ2228" t="str">
        <f t="shared" si="1421"/>
        <v>Porcentaje II</v>
      </c>
      <c r="AK2228" t="str">
        <f t="shared" si="1422"/>
        <v>Foto</v>
      </c>
      <c r="AL2228" t="str">
        <f>"{\rtf1\ansi\ansicpg1252\deff0\deflang11274{\fonttbl{\f0\fnil\fcharset0 MS Sans Serif}} \viewkind4\uc1\pard\f0\fs16 BBA. NAFTA ELECTR. CHEVROLET ASTRA G TODOS - CORSA B TODOS - VECTRA B TODOS - ZAFIRA\par } "</f>
        <v xml:space="preserve">{\rtf1\ansi\ansicpg1252\deff0\deflang11274{\fonttbl{\f0\fnil\fcharset0 MS Sans Serif}} \viewkind4\uc1\pard\f0\fs16 BBA. NAFTA ELECTR. CHEVROLET ASTRA G TODOS - CORSA B TODOS - VECTRA B TODOS - ZAFIRA\par } </v>
      </c>
      <c r="AM2228" t="str">
        <f t="shared" si="1444"/>
        <v>-</v>
      </c>
    </row>
    <row r="2229" spans="1:39" x14ac:dyDescent="0.25">
      <c r="A2229" t="str">
        <f>"PMR0610-2"</f>
        <v>PMR0610-2</v>
      </c>
      <c r="B2229" t="str">
        <f>"JUEGO AROS 0.60 FORD TAUNUS 2.3 DIAM 96 MM RECAMBIO HIDRAULICO "</f>
        <v xml:space="preserve">JUEGO AROS 0.60 FORD TAUNUS 2.3 DIAM 96 MM RECAMBIO HIDRAULICO </v>
      </c>
      <c r="C2229" t="str">
        <f>"$ 24315,90"</f>
        <v>$ 24315,90</v>
      </c>
      <c r="D2229" t="str">
        <f>"$ 24315,90"</f>
        <v>$ 24315,90</v>
      </c>
      <c r="E2229" t="str">
        <f>"$ 24315,90"</f>
        <v>$ 24315,90</v>
      </c>
      <c r="F2229" t="str">
        <f>"$ 24315,90"</f>
        <v>$ 24315,90</v>
      </c>
      <c r="G2229" t="str">
        <f>"$ 24315,90"</f>
        <v>$ 24315,90</v>
      </c>
      <c r="H2229" t="str">
        <f t="shared" si="1405"/>
        <v>$ 0,00</v>
      </c>
      <c r="I2229" t="str">
        <f>"JUEGO AROS DE RECAMBIO"</f>
        <v>JUEGO AROS DE RECAMBIO</v>
      </c>
      <c r="J2229" t="str">
        <f t="shared" si="1406"/>
        <v>1</v>
      </c>
      <c r="K2229" t="str">
        <f t="shared" si="1432"/>
        <v>0</v>
      </c>
      <c r="L2229" t="str">
        <f>"2,000"</f>
        <v>2,000</v>
      </c>
      <c r="M2229" t="str">
        <f t="shared" si="1407"/>
        <v xml:space="preserve"> </v>
      </c>
      <c r="N2229" t="str">
        <f t="shared" si="1436"/>
        <v>PROMETAL</v>
      </c>
      <c r="O2229" t="str">
        <f t="shared" si="1437"/>
        <v>AROS DE MOTOR</v>
      </c>
      <c r="P2229" t="str">
        <f t="shared" si="1442"/>
        <v>0</v>
      </c>
      <c r="Q2229" t="str">
        <f t="shared" si="1442"/>
        <v>0</v>
      </c>
      <c r="R2229" t="str">
        <f t="shared" si="1443"/>
        <v>0,00</v>
      </c>
      <c r="S2229" t="str">
        <f t="shared" si="1443"/>
        <v>0,00</v>
      </c>
      <c r="T2229" t="str">
        <f t="shared" si="1404"/>
        <v xml:space="preserve"> </v>
      </c>
      <c r="U2229" t="str">
        <f t="shared" si="1427"/>
        <v xml:space="preserve"> </v>
      </c>
      <c r="V2229" t="str">
        <f>"2,000"</f>
        <v>2,000</v>
      </c>
      <c r="W2229" t="str">
        <f t="shared" si="1408"/>
        <v>Lista 4</v>
      </c>
      <c r="X2229" t="str">
        <f t="shared" si="1409"/>
        <v>Lista 5</v>
      </c>
      <c r="Y2229" t="str">
        <f t="shared" si="1410"/>
        <v>Oferta Gral.</v>
      </c>
      <c r="Z2229" t="str">
        <f t="shared" si="1411"/>
        <v>Rubro</v>
      </c>
      <c r="AA2229" t="str">
        <f t="shared" si="1412"/>
        <v>Cantidad por Bulto</v>
      </c>
      <c r="AB2229" t="str">
        <f t="shared" si="1413"/>
        <v>INNER</v>
      </c>
      <c r="AC2229" t="str">
        <f t="shared" si="1414"/>
        <v>Stock en Bultos</v>
      </c>
      <c r="AD2229" t="str">
        <f t="shared" si="1415"/>
        <v>SubDepósito</v>
      </c>
      <c r="AE2229" t="str">
        <f t="shared" si="1416"/>
        <v>Marca</v>
      </c>
      <c r="AF2229" t="str">
        <f t="shared" si="1417"/>
        <v>Super Rubro</v>
      </c>
      <c r="AG2229" t="str">
        <f t="shared" si="1418"/>
        <v>ComercioExterior</v>
      </c>
      <c r="AH2229" t="str">
        <f t="shared" si="1419"/>
        <v>PrecioFOB</v>
      </c>
      <c r="AI2229" t="str">
        <f t="shared" si="1420"/>
        <v>Monto II</v>
      </c>
      <c r="AJ2229" t="str">
        <f t="shared" si="1421"/>
        <v>Porcentaje II</v>
      </c>
      <c r="AK2229" t="str">
        <f t="shared" si="1422"/>
        <v>Foto</v>
      </c>
      <c r="AL2229" t="str">
        <f>"{\rtf1\ansi\ansicpg1252\deff0\deflang11274{\fonttbl{\f0\fnil\fcharset0 MS Sans Serif}} \viewkind4\uc1\pard\f0\fs16 BBA. NAFTA ELECTR. MERCEDES BENZ CLASSE C W202 / CLK C208 / CLASSE E W124, W210, W129\par } "</f>
        <v xml:space="preserve">{\rtf1\ansi\ansicpg1252\deff0\deflang11274{\fonttbl{\f0\fnil\fcharset0 MS Sans Serif}} \viewkind4\uc1\pard\f0\fs16 BBA. NAFTA ELECTR. MERCEDES BENZ CLASSE C W202 / CLK C208 / CLASSE E W124, W210, W129\par } </v>
      </c>
      <c r="AM2229" t="str">
        <f t="shared" si="1444"/>
        <v>-</v>
      </c>
    </row>
    <row r="2230" spans="1:39" x14ac:dyDescent="0.25">
      <c r="A2230" t="str">
        <f>"PMSH1506-2"</f>
        <v>PMSH1506-2</v>
      </c>
      <c r="B2230" t="str">
        <f>"JUEGO AROS 1.0 CHEVROLET CORSA 1,6 DIAMETRO 79MM SEMIHIDRÁULICO"</f>
        <v>JUEGO AROS 1.0 CHEVROLET CORSA 1,6 DIAMETRO 79MM SEMIHIDRÁULICO</v>
      </c>
      <c r="C2230" t="str">
        <f>"$ 35271,41"</f>
        <v>$ 35271,41</v>
      </c>
      <c r="D2230" t="str">
        <f>"$ 35271,41"</f>
        <v>$ 35271,41</v>
      </c>
      <c r="E2230" t="str">
        <f>"$ 35271,41"</f>
        <v>$ 35271,41</v>
      </c>
      <c r="F2230" t="str">
        <f>"$ 35271,41"</f>
        <v>$ 35271,41</v>
      </c>
      <c r="G2230" t="str">
        <f>"$ 35271,41"</f>
        <v>$ 35271,41</v>
      </c>
      <c r="H2230" t="str">
        <f t="shared" si="1405"/>
        <v>$ 0,00</v>
      </c>
      <c r="I2230" t="str">
        <f>"JUEGO AROS SEMIHIDRAULICOS"</f>
        <v>JUEGO AROS SEMIHIDRAULICOS</v>
      </c>
      <c r="J2230" t="str">
        <f t="shared" si="1406"/>
        <v>1</v>
      </c>
      <c r="K2230" t="str">
        <f t="shared" si="1432"/>
        <v>0</v>
      </c>
      <c r="L2230" t="str">
        <f>"0,000"</f>
        <v>0,000</v>
      </c>
      <c r="M2230" t="str">
        <f t="shared" si="1407"/>
        <v xml:space="preserve"> </v>
      </c>
      <c r="N2230" t="str">
        <f t="shared" si="1436"/>
        <v>PROMETAL</v>
      </c>
      <c r="O2230" t="str">
        <f t="shared" si="1437"/>
        <v>AROS DE MOTOR</v>
      </c>
      <c r="P2230" t="str">
        <f t="shared" si="1442"/>
        <v>0</v>
      </c>
      <c r="Q2230" t="str">
        <f t="shared" si="1442"/>
        <v>0</v>
      </c>
      <c r="R2230" t="str">
        <f t="shared" si="1443"/>
        <v>0,00</v>
      </c>
      <c r="S2230" t="str">
        <f t="shared" si="1443"/>
        <v>0,00</v>
      </c>
      <c r="T2230" t="str">
        <f t="shared" si="1404"/>
        <v xml:space="preserve"> </v>
      </c>
      <c r="U2230" t="str">
        <f t="shared" si="1427"/>
        <v xml:space="preserve"> </v>
      </c>
      <c r="V2230" t="str">
        <f>"0,000"</f>
        <v>0,000</v>
      </c>
      <c r="W2230" t="str">
        <f t="shared" si="1408"/>
        <v>Lista 4</v>
      </c>
      <c r="X2230" t="str">
        <f t="shared" si="1409"/>
        <v>Lista 5</v>
      </c>
      <c r="Y2230" t="str">
        <f t="shared" si="1410"/>
        <v>Oferta Gral.</v>
      </c>
      <c r="Z2230" t="str">
        <f t="shared" si="1411"/>
        <v>Rubro</v>
      </c>
      <c r="AA2230" t="str">
        <f t="shared" si="1412"/>
        <v>Cantidad por Bulto</v>
      </c>
      <c r="AB2230" t="str">
        <f t="shared" si="1413"/>
        <v>INNER</v>
      </c>
      <c r="AC2230" t="str">
        <f t="shared" si="1414"/>
        <v>Stock en Bultos</v>
      </c>
      <c r="AD2230" t="str">
        <f t="shared" si="1415"/>
        <v>SubDepósito</v>
      </c>
      <c r="AE2230" t="str">
        <f t="shared" si="1416"/>
        <v>Marca</v>
      </c>
      <c r="AF2230" t="str">
        <f t="shared" si="1417"/>
        <v>Super Rubro</v>
      </c>
      <c r="AG2230" t="str">
        <f t="shared" si="1418"/>
        <v>ComercioExterior</v>
      </c>
      <c r="AH2230" t="str">
        <f t="shared" si="1419"/>
        <v>PrecioFOB</v>
      </c>
      <c r="AI2230" t="str">
        <f t="shared" si="1420"/>
        <v>Monto II</v>
      </c>
      <c r="AJ2230" t="str">
        <f t="shared" si="1421"/>
        <v>Porcentaje II</v>
      </c>
      <c r="AK2230" t="str">
        <f t="shared" si="1422"/>
        <v>Foto</v>
      </c>
      <c r="AL2230" t="str">
        <f>"{\rtf1\ansi\ansicpg1252\deff0\deflang11274{\fonttbl{\f0\fnil\fcharset0 MS Sans Serif}} \viewkind4\uc1\pard\f0\fs16 JUEGO AROS 1.0 CHEVROLET CORSA 1,6 DIAMETRO 79MM SEMIHIDR\'c1ULICO\par } "</f>
        <v xml:space="preserve">{\rtf1\ansi\ansicpg1252\deff0\deflang11274{\fonttbl{\f0\fnil\fcharset0 MS Sans Serif}} \viewkind4\uc1\pard\f0\fs16 JUEGO AROS 1.0 CHEVROLET CORSA 1,6 DIAMETRO 79MM SEMIHIDR\'c1ULICO\par } </v>
      </c>
      <c r="AM2230" t="str">
        <f t="shared" si="1444"/>
        <v>-</v>
      </c>
    </row>
    <row r="2231" spans="1:39" x14ac:dyDescent="0.25">
      <c r="A2231" t="str">
        <f>"PMSH3108-2"</f>
        <v>PMSH3108-2</v>
      </c>
      <c r="B2231" t="str">
        <f>"JUEGO AROS 1.0 MERCEDES SPRINTER 2.5 MAXION DIAM 90.49MM SEMIHIDRAULICO"</f>
        <v>JUEGO AROS 1.0 MERCEDES SPRINTER 2.5 MAXION DIAM 90.49MM SEMIHIDRAULICO</v>
      </c>
      <c r="C2231" t="str">
        <f>"$ 71718,54"</f>
        <v>$ 71718,54</v>
      </c>
      <c r="D2231" t="str">
        <f>"$ 71718,54"</f>
        <v>$ 71718,54</v>
      </c>
      <c r="E2231" t="str">
        <f>"$ 71718,54"</f>
        <v>$ 71718,54</v>
      </c>
      <c r="F2231" t="str">
        <f>"$ 71718,54"</f>
        <v>$ 71718,54</v>
      </c>
      <c r="G2231" t="str">
        <f>"$ 71718,54"</f>
        <v>$ 71718,54</v>
      </c>
      <c r="H2231" t="str">
        <f t="shared" si="1405"/>
        <v>$ 0,00</v>
      </c>
      <c r="I2231" t="str">
        <f>"JUEGO AROS SEMIHIDRAULICOS"</f>
        <v>JUEGO AROS SEMIHIDRAULICOS</v>
      </c>
      <c r="J2231" t="str">
        <f t="shared" si="1406"/>
        <v>1</v>
      </c>
      <c r="K2231" t="str">
        <f t="shared" si="1432"/>
        <v>0</v>
      </c>
      <c r="L2231" t="str">
        <f>"0,000"</f>
        <v>0,000</v>
      </c>
      <c r="M2231" t="str">
        <f t="shared" si="1407"/>
        <v xml:space="preserve"> </v>
      </c>
      <c r="N2231" t="str">
        <f t="shared" si="1436"/>
        <v>PROMETAL</v>
      </c>
      <c r="O2231" t="str">
        <f t="shared" si="1437"/>
        <v>AROS DE MOTOR</v>
      </c>
      <c r="P2231" t="str">
        <f t="shared" si="1442"/>
        <v>0</v>
      </c>
      <c r="Q2231" t="str">
        <f t="shared" si="1442"/>
        <v>0</v>
      </c>
      <c r="R2231" t="str">
        <f t="shared" si="1443"/>
        <v>0,00</v>
      </c>
      <c r="S2231" t="str">
        <f t="shared" si="1443"/>
        <v>0,00</v>
      </c>
      <c r="T2231" t="str">
        <f t="shared" si="1404"/>
        <v xml:space="preserve"> </v>
      </c>
      <c r="U2231" t="str">
        <f t="shared" si="1427"/>
        <v xml:space="preserve"> </v>
      </c>
      <c r="V2231" t="str">
        <f>"0,000"</f>
        <v>0,000</v>
      </c>
      <c r="W2231" t="str">
        <f t="shared" si="1408"/>
        <v>Lista 4</v>
      </c>
      <c r="X2231" t="str">
        <f t="shared" si="1409"/>
        <v>Lista 5</v>
      </c>
      <c r="Y2231" t="str">
        <f t="shared" si="1410"/>
        <v>Oferta Gral.</v>
      </c>
      <c r="Z2231" t="str">
        <f t="shared" si="1411"/>
        <v>Rubro</v>
      </c>
      <c r="AA2231" t="str">
        <f t="shared" si="1412"/>
        <v>Cantidad por Bulto</v>
      </c>
      <c r="AB2231" t="str">
        <f t="shared" si="1413"/>
        <v>INNER</v>
      </c>
      <c r="AC2231" t="str">
        <f t="shared" si="1414"/>
        <v>Stock en Bultos</v>
      </c>
      <c r="AD2231" t="str">
        <f t="shared" si="1415"/>
        <v>SubDepósito</v>
      </c>
      <c r="AE2231" t="str">
        <f t="shared" si="1416"/>
        <v>Marca</v>
      </c>
      <c r="AF2231" t="str">
        <f t="shared" si="1417"/>
        <v>Super Rubro</v>
      </c>
      <c r="AG2231" t="str">
        <f t="shared" si="1418"/>
        <v>ComercioExterior</v>
      </c>
      <c r="AH2231" t="str">
        <f t="shared" si="1419"/>
        <v>PrecioFOB</v>
      </c>
      <c r="AI2231" t="str">
        <f t="shared" si="1420"/>
        <v>Monto II</v>
      </c>
      <c r="AJ2231" t="str">
        <f t="shared" si="1421"/>
        <v>Porcentaje II</v>
      </c>
      <c r="AK2231" t="str">
        <f t="shared" si="1422"/>
        <v>Foto</v>
      </c>
      <c r="AL2231" t="str">
        <f>"{\rtf1\ansi\ansicpg1252\deff0\deflang11274{\fonttbl{\f0\fnil\fcharset0 MS Sans Serif}} \viewkind4\uc1\pard\f0\fs16 JUEGO AROS 1.0 MERCEDES SPRINTER 2.5 MAXION DIAM 90.49MM SEMIHIDRAULICO\par } "</f>
        <v xml:space="preserve">{\rtf1\ansi\ansicpg1252\deff0\deflang11274{\fonttbl{\f0\fnil\fcharset0 MS Sans Serif}} \viewkind4\uc1\pard\f0\fs16 JUEGO AROS 1.0 MERCEDES SPRINTER 2.5 MAXION DIAM 90.49MM SEMIHIDRAULICO\par } </v>
      </c>
      <c r="AM2231" t="str">
        <f t="shared" si="1444"/>
        <v>-</v>
      </c>
    </row>
    <row r="2232" spans="1:39" x14ac:dyDescent="0.25">
      <c r="A2232" t="str">
        <f>"PMR1906-2"</f>
        <v>PMR1906-2</v>
      </c>
      <c r="B2232" t="str">
        <f>"JUEGO AROS 1.0 MM VW GOL GACEL SAVEIRO 1.6 1.8 DIÁMETRO 81MM"</f>
        <v>JUEGO AROS 1.0 MM VW GOL GACEL SAVEIRO 1.6 1.8 DIÁMETRO 81MM</v>
      </c>
      <c r="C2232" t="str">
        <f>"$ 23172,48"</f>
        <v>$ 23172,48</v>
      </c>
      <c r="D2232" t="str">
        <f>"$ 23172,48"</f>
        <v>$ 23172,48</v>
      </c>
      <c r="E2232" t="str">
        <f>"$ 23172,48"</f>
        <v>$ 23172,48</v>
      </c>
      <c r="F2232" t="str">
        <f>"$ 23172,48"</f>
        <v>$ 23172,48</v>
      </c>
      <c r="G2232" t="str">
        <f>"$ 23172,48"</f>
        <v>$ 23172,48</v>
      </c>
      <c r="H2232" t="str">
        <f t="shared" si="1405"/>
        <v>$ 0,00</v>
      </c>
      <c r="I2232" t="str">
        <f>"JUEGO AROS DE RECAMBIO"</f>
        <v>JUEGO AROS DE RECAMBIO</v>
      </c>
      <c r="J2232" t="str">
        <f t="shared" si="1406"/>
        <v>1</v>
      </c>
      <c r="K2232" t="str">
        <f t="shared" si="1432"/>
        <v>0</v>
      </c>
      <c r="L2232" t="str">
        <f>"3,000"</f>
        <v>3,000</v>
      </c>
      <c r="M2232" t="str">
        <f t="shared" si="1407"/>
        <v xml:space="preserve"> </v>
      </c>
      <c r="N2232" t="str">
        <f t="shared" si="1436"/>
        <v>PROMETAL</v>
      </c>
      <c r="O2232" t="str">
        <f t="shared" si="1437"/>
        <v>AROS DE MOTOR</v>
      </c>
      <c r="P2232" t="str">
        <f t="shared" si="1442"/>
        <v>0</v>
      </c>
      <c r="Q2232" t="str">
        <f t="shared" si="1442"/>
        <v>0</v>
      </c>
      <c r="R2232" t="str">
        <f t="shared" si="1443"/>
        <v>0,00</v>
      </c>
      <c r="S2232" t="str">
        <f t="shared" si="1443"/>
        <v>0,00</v>
      </c>
      <c r="T2232" t="str">
        <f t="shared" si="1404"/>
        <v xml:space="preserve"> </v>
      </c>
      <c r="U2232" t="str">
        <f t="shared" si="1427"/>
        <v xml:space="preserve"> </v>
      </c>
      <c r="V2232" t="str">
        <f>"3,000"</f>
        <v>3,000</v>
      </c>
      <c r="W2232" t="str">
        <f t="shared" si="1408"/>
        <v>Lista 4</v>
      </c>
      <c r="X2232" t="str">
        <f t="shared" si="1409"/>
        <v>Lista 5</v>
      </c>
      <c r="Y2232" t="str">
        <f t="shared" si="1410"/>
        <v>Oferta Gral.</v>
      </c>
      <c r="Z2232" t="str">
        <f t="shared" si="1411"/>
        <v>Rubro</v>
      </c>
      <c r="AA2232" t="str">
        <f t="shared" si="1412"/>
        <v>Cantidad por Bulto</v>
      </c>
      <c r="AB2232" t="str">
        <f t="shared" si="1413"/>
        <v>INNER</v>
      </c>
      <c r="AC2232" t="str">
        <f t="shared" si="1414"/>
        <v>Stock en Bultos</v>
      </c>
      <c r="AD2232" t="str">
        <f t="shared" si="1415"/>
        <v>SubDepósito</v>
      </c>
      <c r="AE2232" t="str">
        <f t="shared" si="1416"/>
        <v>Marca</v>
      </c>
      <c r="AF2232" t="str">
        <f t="shared" si="1417"/>
        <v>Super Rubro</v>
      </c>
      <c r="AG2232" t="str">
        <f t="shared" si="1418"/>
        <v>ComercioExterior</v>
      </c>
      <c r="AH2232" t="str">
        <f t="shared" si="1419"/>
        <v>PrecioFOB</v>
      </c>
      <c r="AI2232" t="str">
        <f t="shared" si="1420"/>
        <v>Monto II</v>
      </c>
      <c r="AJ2232" t="str">
        <f t="shared" si="1421"/>
        <v>Porcentaje II</v>
      </c>
      <c r="AK2232" t="str">
        <f t="shared" si="1422"/>
        <v>Foto</v>
      </c>
      <c r="AL2232" t="str">
        <f>"{\rtf1\ansi\ansicpg1252\deff0\deflang11274{\fonttbl{\f0\fnil\fcharset0 MS Sans Serif}} \viewkind4\uc1\pard\f0\fs16 JUEGO AROS 1.0 MM VW GOL GACEL SAVEIRO 1.6 1.8 DI\'c1METRO 81MM\par } "</f>
        <v xml:space="preserve">{\rtf1\ansi\ansicpg1252\deff0\deflang11274{\fonttbl{\f0\fnil\fcharset0 MS Sans Serif}} \viewkind4\uc1\pard\f0\fs16 JUEGO AROS 1.0 MM VW GOL GACEL SAVEIRO 1.6 1.8 DI\'c1METRO 81MM\par } </v>
      </c>
      <c r="AM2232" t="str">
        <f>" "</f>
        <v xml:space="preserve"> </v>
      </c>
    </row>
    <row r="2233" spans="1:39" x14ac:dyDescent="0.25">
      <c r="A2233" t="str">
        <f>"PMR1919-2"</f>
        <v>PMR1919-2</v>
      </c>
      <c r="B2233" t="str">
        <f>"JUEGO AROS 1.0 MM VW POLO DIESEL DIAM 79,5 MM RECAMBIO HIDRÁULICO"</f>
        <v>JUEGO AROS 1.0 MM VW POLO DIESEL DIAM 79,5 MM RECAMBIO HIDRÁULICO</v>
      </c>
      <c r="C2233" t="str">
        <f>"$ 63328,22"</f>
        <v>$ 63328,22</v>
      </c>
      <c r="D2233" t="str">
        <f>"$ 63328,22"</f>
        <v>$ 63328,22</v>
      </c>
      <c r="E2233" t="str">
        <f>"$ 63328,22"</f>
        <v>$ 63328,22</v>
      </c>
      <c r="F2233" t="str">
        <f>"$ 63328,22"</f>
        <v>$ 63328,22</v>
      </c>
      <c r="G2233" t="str">
        <f>"$ 63328,22"</f>
        <v>$ 63328,22</v>
      </c>
      <c r="H2233" t="str">
        <f t="shared" si="1405"/>
        <v>$ 0,00</v>
      </c>
      <c r="I2233" t="str">
        <f>"JUEGO AROS DE RECAMBIO"</f>
        <v>JUEGO AROS DE RECAMBIO</v>
      </c>
      <c r="J2233" t="str">
        <f t="shared" si="1406"/>
        <v>1</v>
      </c>
      <c r="K2233" t="str">
        <f t="shared" si="1432"/>
        <v>0</v>
      </c>
      <c r="L2233" t="str">
        <f>"0,000"</f>
        <v>0,000</v>
      </c>
      <c r="M2233" t="str">
        <f t="shared" si="1407"/>
        <v xml:space="preserve"> </v>
      </c>
      <c r="N2233" t="str">
        <f t="shared" si="1436"/>
        <v>PROMETAL</v>
      </c>
      <c r="O2233" t="str">
        <f t="shared" si="1437"/>
        <v>AROS DE MOTOR</v>
      </c>
      <c r="P2233" t="str">
        <f t="shared" si="1442"/>
        <v>0</v>
      </c>
      <c r="Q2233" t="str">
        <f t="shared" si="1442"/>
        <v>0</v>
      </c>
      <c r="R2233" t="str">
        <f t="shared" si="1443"/>
        <v>0,00</v>
      </c>
      <c r="S2233" t="str">
        <f t="shared" si="1443"/>
        <v>0,00</v>
      </c>
      <c r="T2233" t="str">
        <f t="shared" si="1404"/>
        <v xml:space="preserve"> </v>
      </c>
      <c r="U2233" t="str">
        <f t="shared" si="1427"/>
        <v xml:space="preserve"> </v>
      </c>
      <c r="V2233" t="str">
        <f>"0,000"</f>
        <v>0,000</v>
      </c>
      <c r="W2233" t="str">
        <f t="shared" si="1408"/>
        <v>Lista 4</v>
      </c>
      <c r="X2233" t="str">
        <f t="shared" si="1409"/>
        <v>Lista 5</v>
      </c>
      <c r="Y2233" t="str">
        <f t="shared" si="1410"/>
        <v>Oferta Gral.</v>
      </c>
      <c r="Z2233" t="str">
        <f t="shared" si="1411"/>
        <v>Rubro</v>
      </c>
      <c r="AA2233" t="str">
        <f t="shared" si="1412"/>
        <v>Cantidad por Bulto</v>
      </c>
      <c r="AB2233" t="str">
        <f t="shared" si="1413"/>
        <v>INNER</v>
      </c>
      <c r="AC2233" t="str">
        <f t="shared" si="1414"/>
        <v>Stock en Bultos</v>
      </c>
      <c r="AD2233" t="str">
        <f t="shared" si="1415"/>
        <v>SubDepósito</v>
      </c>
      <c r="AE2233" t="str">
        <f t="shared" si="1416"/>
        <v>Marca</v>
      </c>
      <c r="AF2233" t="str">
        <f t="shared" si="1417"/>
        <v>Super Rubro</v>
      </c>
      <c r="AG2233" t="str">
        <f t="shared" si="1418"/>
        <v>ComercioExterior</v>
      </c>
      <c r="AH2233" t="str">
        <f t="shared" si="1419"/>
        <v>PrecioFOB</v>
      </c>
      <c r="AI2233" t="str">
        <f t="shared" si="1420"/>
        <v>Monto II</v>
      </c>
      <c r="AJ2233" t="str">
        <f t="shared" si="1421"/>
        <v>Porcentaje II</v>
      </c>
      <c r="AK2233" t="str">
        <f t="shared" si="1422"/>
        <v>Foto</v>
      </c>
      <c r="AL2233" t="str">
        <f>"{\rtf1\ansi\ansicpg1252\deff0\deflang11274{\fonttbl{\f0\fnil\fcharset0 MS Sans Serif}} \viewkind4\uc1\pard\f0\fs16 JUEGO AROS 1.0 MM VW POLO DIESEL DIAM 79,5 MM RECAMBIO HIDR\'c1ULICO\par } "</f>
        <v xml:space="preserve">{\rtf1\ansi\ansicpg1252\deff0\deflang11274{\fonttbl{\f0\fnil\fcharset0 MS Sans Serif}} \viewkind4\uc1\pard\f0\fs16 JUEGO AROS 1.0 MM VW POLO DIESEL DIAM 79,5 MM RECAMBIO HIDR\'c1ULICO\par } </v>
      </c>
      <c r="AM2233" t="str">
        <f>"-"</f>
        <v>-</v>
      </c>
    </row>
    <row r="2234" spans="1:39" x14ac:dyDescent="0.25">
      <c r="A2234" t="str">
        <f>"PMSH3108"</f>
        <v>PMSH3108</v>
      </c>
      <c r="B2234" t="str">
        <f>"JUEGO AROS MAXION 2.5 STD SEMIHIDRAULICO DIAM 90.49 MM"</f>
        <v>JUEGO AROS MAXION 2.5 STD SEMIHIDRAULICO DIAM 90.49 MM</v>
      </c>
      <c r="C2234" t="str">
        <f>"$ 71718,54"</f>
        <v>$ 71718,54</v>
      </c>
      <c r="D2234" t="str">
        <f>"$ 71718,54"</f>
        <v>$ 71718,54</v>
      </c>
      <c r="E2234" t="str">
        <f>"$ 71718,54"</f>
        <v>$ 71718,54</v>
      </c>
      <c r="F2234" t="str">
        <f>"$ 71718,54"</f>
        <v>$ 71718,54</v>
      </c>
      <c r="G2234" t="str">
        <f>"$ 71718,54"</f>
        <v>$ 71718,54</v>
      </c>
      <c r="H2234" t="str">
        <f t="shared" si="1405"/>
        <v>$ 0,00</v>
      </c>
      <c r="I2234" t="str">
        <f>"JUEGO AROS SEMIHIDRAULICOS"</f>
        <v>JUEGO AROS SEMIHIDRAULICOS</v>
      </c>
      <c r="J2234" t="str">
        <f t="shared" si="1406"/>
        <v>1</v>
      </c>
      <c r="K2234" t="str">
        <f t="shared" si="1432"/>
        <v>0</v>
      </c>
      <c r="L2234" t="str">
        <f>"0,000"</f>
        <v>0,000</v>
      </c>
      <c r="M2234" t="str">
        <f t="shared" si="1407"/>
        <v xml:space="preserve"> </v>
      </c>
      <c r="N2234" t="str">
        <f t="shared" si="1436"/>
        <v>PROMETAL</v>
      </c>
      <c r="O2234" t="str">
        <f t="shared" si="1437"/>
        <v>AROS DE MOTOR</v>
      </c>
      <c r="P2234" t="str">
        <f t="shared" si="1442"/>
        <v>0</v>
      </c>
      <c r="Q2234" t="str">
        <f t="shared" si="1442"/>
        <v>0</v>
      </c>
      <c r="R2234" t="str">
        <f t="shared" si="1443"/>
        <v>0,00</v>
      </c>
      <c r="S2234" t="str">
        <f t="shared" si="1443"/>
        <v>0,00</v>
      </c>
      <c r="T2234" t="str">
        <f t="shared" si="1404"/>
        <v xml:space="preserve"> </v>
      </c>
      <c r="U2234" t="str">
        <f t="shared" si="1427"/>
        <v xml:space="preserve"> </v>
      </c>
      <c r="V2234" t="str">
        <f>"0,000"</f>
        <v>0,000</v>
      </c>
      <c r="W2234" t="str">
        <f t="shared" si="1408"/>
        <v>Lista 4</v>
      </c>
      <c r="X2234" t="str">
        <f t="shared" si="1409"/>
        <v>Lista 5</v>
      </c>
      <c r="Y2234" t="str">
        <f t="shared" si="1410"/>
        <v>Oferta Gral.</v>
      </c>
      <c r="Z2234" t="str">
        <f t="shared" si="1411"/>
        <v>Rubro</v>
      </c>
      <c r="AA2234" t="str">
        <f t="shared" si="1412"/>
        <v>Cantidad por Bulto</v>
      </c>
      <c r="AB2234" t="str">
        <f t="shared" si="1413"/>
        <v>INNER</v>
      </c>
      <c r="AC2234" t="str">
        <f t="shared" si="1414"/>
        <v>Stock en Bultos</v>
      </c>
      <c r="AD2234" t="str">
        <f t="shared" si="1415"/>
        <v>SubDepósito</v>
      </c>
      <c r="AE2234" t="str">
        <f t="shared" si="1416"/>
        <v>Marca</v>
      </c>
      <c r="AF2234" t="str">
        <f t="shared" si="1417"/>
        <v>Super Rubro</v>
      </c>
      <c r="AG2234" t="str">
        <f t="shared" si="1418"/>
        <v>ComercioExterior</v>
      </c>
      <c r="AH2234" t="str">
        <f t="shared" si="1419"/>
        <v>PrecioFOB</v>
      </c>
      <c r="AI2234" t="str">
        <f t="shared" si="1420"/>
        <v>Monto II</v>
      </c>
      <c r="AJ2234" t="str">
        <f t="shared" si="1421"/>
        <v>Porcentaje II</v>
      </c>
      <c r="AK2234" t="str">
        <f t="shared" si="1422"/>
        <v>Foto</v>
      </c>
      <c r="AL2234" t="str">
        <f>"{\rtf1\ansi\ansicpg1252\deff0\deflang11274{\fonttbl{\f0\fnil\fcharset0 MS Sans Serif}} \viewkind4\uc1\pard\f0\fs16 JUEGO AROS MAXION 2.5 STD SEMIHIDRAULICO DIAM 90.49 MM\par } "</f>
        <v xml:space="preserve">{\rtf1\ansi\ansicpg1252\deff0\deflang11274{\fonttbl{\f0\fnil\fcharset0 MS Sans Serif}} \viewkind4\uc1\pard\f0\fs16 JUEGO AROS MAXION 2.5 STD SEMIHIDRAULICO DIAM 90.49 MM\par } </v>
      </c>
      <c r="AM2234" t="str">
        <f>"-"</f>
        <v>-</v>
      </c>
    </row>
    <row r="2235" spans="1:39" x14ac:dyDescent="0.25">
      <c r="A2235" t="str">
        <f>"PMR1506"</f>
        <v>PMR1506</v>
      </c>
      <c r="B2235" t="str">
        <f>"JUEGO AROS RECAMBIO HIDRAULICO STD CHEVROLET CORSA 1.6 79,00MM "</f>
        <v xml:space="preserve">JUEGO AROS RECAMBIO HIDRAULICO STD CHEVROLET CORSA 1.6 79,00MM </v>
      </c>
      <c r="C2235" t="str">
        <f t="shared" ref="C2235:G2236" si="1445">"$ 33026,87"</f>
        <v>$ 33026,87</v>
      </c>
      <c r="D2235" t="str">
        <f t="shared" si="1445"/>
        <v>$ 33026,87</v>
      </c>
      <c r="E2235" t="str">
        <f t="shared" si="1445"/>
        <v>$ 33026,87</v>
      </c>
      <c r="F2235" t="str">
        <f t="shared" si="1445"/>
        <v>$ 33026,87</v>
      </c>
      <c r="G2235" t="str">
        <f t="shared" si="1445"/>
        <v>$ 33026,87</v>
      </c>
      <c r="H2235" t="str">
        <f t="shared" si="1405"/>
        <v>$ 0,00</v>
      </c>
      <c r="I2235" t="str">
        <f>"JUEGO AROS DE RECAMBIO"</f>
        <v>JUEGO AROS DE RECAMBIO</v>
      </c>
      <c r="J2235" t="str">
        <f t="shared" si="1406"/>
        <v>1</v>
      </c>
      <c r="K2235" t="str">
        <f t="shared" si="1432"/>
        <v>0</v>
      </c>
      <c r="L2235" t="str">
        <f>"-1,000"</f>
        <v>-1,000</v>
      </c>
      <c r="M2235" t="str">
        <f t="shared" si="1407"/>
        <v xml:space="preserve"> </v>
      </c>
      <c r="N2235" t="str">
        <f t="shared" si="1436"/>
        <v>PROMETAL</v>
      </c>
      <c r="O2235" t="str">
        <f t="shared" si="1437"/>
        <v>AROS DE MOTOR</v>
      </c>
      <c r="P2235" t="str">
        <f t="shared" si="1442"/>
        <v>0</v>
      </c>
      <c r="Q2235" t="str">
        <f t="shared" si="1442"/>
        <v>0</v>
      </c>
      <c r="R2235" t="str">
        <f t="shared" si="1443"/>
        <v>0,00</v>
      </c>
      <c r="S2235" t="str">
        <f t="shared" si="1443"/>
        <v>0,00</v>
      </c>
      <c r="T2235" t="str">
        <f t="shared" si="1404"/>
        <v xml:space="preserve"> </v>
      </c>
      <c r="U2235" t="str">
        <f t="shared" si="1427"/>
        <v xml:space="preserve"> </v>
      </c>
      <c r="V2235" t="str">
        <f>"-1,000"</f>
        <v>-1,000</v>
      </c>
      <c r="W2235" t="str">
        <f t="shared" si="1408"/>
        <v>Lista 4</v>
      </c>
      <c r="X2235" t="str">
        <f t="shared" si="1409"/>
        <v>Lista 5</v>
      </c>
      <c r="Y2235" t="str">
        <f t="shared" si="1410"/>
        <v>Oferta Gral.</v>
      </c>
      <c r="Z2235" t="str">
        <f t="shared" si="1411"/>
        <v>Rubro</v>
      </c>
      <c r="AA2235" t="str">
        <f t="shared" si="1412"/>
        <v>Cantidad por Bulto</v>
      </c>
      <c r="AB2235" t="str">
        <f t="shared" si="1413"/>
        <v>INNER</v>
      </c>
      <c r="AC2235" t="str">
        <f t="shared" si="1414"/>
        <v>Stock en Bultos</v>
      </c>
      <c r="AD2235" t="str">
        <f t="shared" si="1415"/>
        <v>SubDepósito</v>
      </c>
      <c r="AE2235" t="str">
        <f t="shared" si="1416"/>
        <v>Marca</v>
      </c>
      <c r="AF2235" t="str">
        <f t="shared" si="1417"/>
        <v>Super Rubro</v>
      </c>
      <c r="AG2235" t="str">
        <f t="shared" si="1418"/>
        <v>ComercioExterior</v>
      </c>
      <c r="AH2235" t="str">
        <f t="shared" si="1419"/>
        <v>PrecioFOB</v>
      </c>
      <c r="AI2235" t="str">
        <f t="shared" si="1420"/>
        <v>Monto II</v>
      </c>
      <c r="AJ2235" t="str">
        <f t="shared" si="1421"/>
        <v>Porcentaje II</v>
      </c>
      <c r="AK2235" t="str">
        <f t="shared" si="1422"/>
        <v>Foto</v>
      </c>
      <c r="AL2235" t="str">
        <f>"{\rtf1\ansi\ansicpg1252\deff0\deflang11274{\fonttbl{\f0\fnil\fcharset0 MS Sans Serif}} \viewkind4\uc1\pard\f0\fs16 JUEGO AROS RECAMBIO HIDRAULICO STD CHEVROLET CORSA 1.6 79,00MM \par } "</f>
        <v xml:space="preserve">{\rtf1\ansi\ansicpg1252\deff0\deflang11274{\fonttbl{\f0\fnil\fcharset0 MS Sans Serif}} \viewkind4\uc1\pard\f0\fs16 JUEGO AROS RECAMBIO HIDRAULICO STD CHEVROLET CORSA 1.6 79,00MM \par } </v>
      </c>
      <c r="AM2235" t="str">
        <f>"-"</f>
        <v>-</v>
      </c>
    </row>
    <row r="2236" spans="1:39" x14ac:dyDescent="0.25">
      <c r="A2236" t="str">
        <f>"PMR1506-1"</f>
        <v>PMR1506-1</v>
      </c>
      <c r="B2236" t="str">
        <f>"JUEGO AROS RECAMBIO HIDRÁULIUCO 0,5 CORSA 1600 79MM   FAD. NHK1950"</f>
        <v>JUEGO AROS RECAMBIO HIDRÁULIUCO 0,5 CORSA 1600 79MM   FAD. NHK1950</v>
      </c>
      <c r="C2236" t="str">
        <f t="shared" si="1445"/>
        <v>$ 33026,87</v>
      </c>
      <c r="D2236" t="str">
        <f t="shared" si="1445"/>
        <v>$ 33026,87</v>
      </c>
      <c r="E2236" t="str">
        <f t="shared" si="1445"/>
        <v>$ 33026,87</v>
      </c>
      <c r="F2236" t="str">
        <f t="shared" si="1445"/>
        <v>$ 33026,87</v>
      </c>
      <c r="G2236" t="str">
        <f t="shared" si="1445"/>
        <v>$ 33026,87</v>
      </c>
      <c r="H2236" t="str">
        <f t="shared" si="1405"/>
        <v>$ 0,00</v>
      </c>
      <c r="I2236" t="str">
        <f>"JUEGO AROS DE RECAMBIO"</f>
        <v>JUEGO AROS DE RECAMBIO</v>
      </c>
      <c r="J2236" t="str">
        <f t="shared" si="1406"/>
        <v>1</v>
      </c>
      <c r="K2236" t="str">
        <f t="shared" si="1432"/>
        <v>0</v>
      </c>
      <c r="L2236" t="str">
        <f>"0,000"</f>
        <v>0,000</v>
      </c>
      <c r="M2236" t="str">
        <f t="shared" si="1407"/>
        <v xml:space="preserve"> </v>
      </c>
      <c r="N2236" t="str">
        <f t="shared" ref="N2236:N2272" si="1446">"PROMETAL"</f>
        <v>PROMETAL</v>
      </c>
      <c r="O2236" t="str">
        <f t="shared" ref="O2236:O2272" si="1447">"AROS DE MOTOR"</f>
        <v>AROS DE MOTOR</v>
      </c>
      <c r="P2236" t="str">
        <f t="shared" si="1442"/>
        <v>0</v>
      </c>
      <c r="Q2236" t="str">
        <f t="shared" si="1442"/>
        <v>0</v>
      </c>
      <c r="R2236" t="str">
        <f t="shared" si="1443"/>
        <v>0,00</v>
      </c>
      <c r="S2236" t="str">
        <f t="shared" si="1443"/>
        <v>0,00</v>
      </c>
      <c r="T2236" t="str">
        <f t="shared" si="1404"/>
        <v xml:space="preserve"> </v>
      </c>
      <c r="U2236" t="str">
        <f t="shared" si="1427"/>
        <v xml:space="preserve"> </v>
      </c>
      <c r="V2236" t="str">
        <f>"0,000"</f>
        <v>0,000</v>
      </c>
      <c r="W2236" t="str">
        <f t="shared" si="1408"/>
        <v>Lista 4</v>
      </c>
      <c r="X2236" t="str">
        <f t="shared" si="1409"/>
        <v>Lista 5</v>
      </c>
      <c r="Y2236" t="str">
        <f t="shared" si="1410"/>
        <v>Oferta Gral.</v>
      </c>
      <c r="Z2236" t="str">
        <f t="shared" si="1411"/>
        <v>Rubro</v>
      </c>
      <c r="AA2236" t="str">
        <f t="shared" si="1412"/>
        <v>Cantidad por Bulto</v>
      </c>
      <c r="AB2236" t="str">
        <f t="shared" si="1413"/>
        <v>INNER</v>
      </c>
      <c r="AC2236" t="str">
        <f t="shared" si="1414"/>
        <v>Stock en Bultos</v>
      </c>
      <c r="AD2236" t="str">
        <f t="shared" si="1415"/>
        <v>SubDepósito</v>
      </c>
      <c r="AE2236" t="str">
        <f t="shared" si="1416"/>
        <v>Marca</v>
      </c>
      <c r="AF2236" t="str">
        <f t="shared" si="1417"/>
        <v>Super Rubro</v>
      </c>
      <c r="AG2236" t="str">
        <f t="shared" si="1418"/>
        <v>ComercioExterior</v>
      </c>
      <c r="AH2236" t="str">
        <f t="shared" si="1419"/>
        <v>PrecioFOB</v>
      </c>
      <c r="AI2236" t="str">
        <f t="shared" si="1420"/>
        <v>Monto II</v>
      </c>
      <c r="AJ2236" t="str">
        <f t="shared" si="1421"/>
        <v>Porcentaje II</v>
      </c>
      <c r="AK2236" t="str">
        <f t="shared" si="1422"/>
        <v>Foto</v>
      </c>
      <c r="AL2236" t="str">
        <f>"{\rtf1\ansi\ansicpg1252\deff0\deflang11274{\fonttbl{\f0\fnil\fcharset0 MS Sans Serif}} \viewkind4\uc1\pard\f0\fs16 JUEGO AROS RECAMBIO HIDR\'c1ULIUCO 0,5 CORSA 1600 79MM   FAD. NHK1950\par } "</f>
        <v xml:space="preserve">{\rtf1\ansi\ansicpg1252\deff0\deflang11274{\fonttbl{\f0\fnil\fcharset0 MS Sans Serif}} \viewkind4\uc1\pard\f0\fs16 JUEGO AROS RECAMBIO HIDR\'c1ULIUCO 0,5 CORSA 1600 79MM   FAD. NHK1950\par } </v>
      </c>
      <c r="AM2236" t="str">
        <f>"-"</f>
        <v>-</v>
      </c>
    </row>
    <row r="2237" spans="1:39" x14ac:dyDescent="0.25">
      <c r="A2237" t="str">
        <f>"PMSH1510"</f>
        <v>PMSH1510</v>
      </c>
      <c r="B2237" t="str">
        <f>"JUEGO AROS STD CHEVROLET CORSA 1.7D DIAM 79MM SEMIHIDRÁULICOS"</f>
        <v>JUEGO AROS STD CHEVROLET CORSA 1.7D DIAM 79MM SEMIHIDRÁULICOS</v>
      </c>
      <c r="C2237" t="str">
        <f>"$ 25466,21"</f>
        <v>$ 25466,21</v>
      </c>
      <c r="D2237" t="str">
        <f>"$ 25466,21"</f>
        <v>$ 25466,21</v>
      </c>
      <c r="E2237" t="str">
        <f>"$ 25466,21"</f>
        <v>$ 25466,21</v>
      </c>
      <c r="F2237" t="str">
        <f>"$ 25466,21"</f>
        <v>$ 25466,21</v>
      </c>
      <c r="G2237" t="str">
        <f>"$ 25466,21"</f>
        <v>$ 25466,21</v>
      </c>
      <c r="H2237" t="str">
        <f t="shared" si="1405"/>
        <v>$ 0,00</v>
      </c>
      <c r="I2237" t="str">
        <f>"JUEGO AROS SEMIHIDRAULICOS"</f>
        <v>JUEGO AROS SEMIHIDRAULICOS</v>
      </c>
      <c r="J2237" t="str">
        <f t="shared" si="1406"/>
        <v>1</v>
      </c>
      <c r="K2237" t="str">
        <f t="shared" si="1432"/>
        <v>0</v>
      </c>
      <c r="L2237" t="str">
        <f>"2,000"</f>
        <v>2,000</v>
      </c>
      <c r="M2237" t="str">
        <f t="shared" si="1407"/>
        <v xml:space="preserve"> </v>
      </c>
      <c r="N2237" t="str">
        <f t="shared" si="1446"/>
        <v>PROMETAL</v>
      </c>
      <c r="O2237" t="str">
        <f t="shared" si="1447"/>
        <v>AROS DE MOTOR</v>
      </c>
      <c r="P2237" t="str">
        <f t="shared" si="1442"/>
        <v>0</v>
      </c>
      <c r="Q2237" t="str">
        <f t="shared" si="1442"/>
        <v>0</v>
      </c>
      <c r="R2237" t="str">
        <f t="shared" si="1443"/>
        <v>0,00</v>
      </c>
      <c r="S2237" t="str">
        <f t="shared" si="1443"/>
        <v>0,00</v>
      </c>
      <c r="T2237" t="str">
        <f t="shared" si="1404"/>
        <v xml:space="preserve"> </v>
      </c>
      <c r="U2237" t="str">
        <f t="shared" si="1427"/>
        <v xml:space="preserve"> </v>
      </c>
      <c r="V2237" t="str">
        <f>"2,000"</f>
        <v>2,000</v>
      </c>
      <c r="W2237" t="str">
        <f t="shared" si="1408"/>
        <v>Lista 4</v>
      </c>
      <c r="X2237" t="str">
        <f t="shared" si="1409"/>
        <v>Lista 5</v>
      </c>
      <c r="Y2237" t="str">
        <f t="shared" si="1410"/>
        <v>Oferta Gral.</v>
      </c>
      <c r="Z2237" t="str">
        <f t="shared" si="1411"/>
        <v>Rubro</v>
      </c>
      <c r="AA2237" t="str">
        <f t="shared" si="1412"/>
        <v>Cantidad por Bulto</v>
      </c>
      <c r="AB2237" t="str">
        <f t="shared" si="1413"/>
        <v>INNER</v>
      </c>
      <c r="AC2237" t="str">
        <f t="shared" si="1414"/>
        <v>Stock en Bultos</v>
      </c>
      <c r="AD2237" t="str">
        <f t="shared" si="1415"/>
        <v>SubDepósito</v>
      </c>
      <c r="AE2237" t="str">
        <f t="shared" si="1416"/>
        <v>Marca</v>
      </c>
      <c r="AF2237" t="str">
        <f t="shared" si="1417"/>
        <v>Super Rubro</v>
      </c>
      <c r="AG2237" t="str">
        <f t="shared" si="1418"/>
        <v>ComercioExterior</v>
      </c>
      <c r="AH2237" t="str">
        <f t="shared" si="1419"/>
        <v>PrecioFOB</v>
      </c>
      <c r="AI2237" t="str">
        <f t="shared" si="1420"/>
        <v>Monto II</v>
      </c>
      <c r="AJ2237" t="str">
        <f t="shared" si="1421"/>
        <v>Porcentaje II</v>
      </c>
      <c r="AK2237" t="str">
        <f t="shared" si="1422"/>
        <v>Foto</v>
      </c>
      <c r="AL223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37" t="str">
        <f>" "</f>
        <v xml:space="preserve"> </v>
      </c>
    </row>
    <row r="2238" spans="1:39" x14ac:dyDescent="0.25">
      <c r="A2238" t="str">
        <f>"PMSH1508"</f>
        <v>PMSH1508</v>
      </c>
      <c r="B2238" t="str">
        <f>"JUEGO AROS STD CHEVROLET CORSA ONIX 1.4 DIAM 77.60 MM RECAMBIO SEMIHIDRÁULICO"</f>
        <v>JUEGO AROS STD CHEVROLET CORSA ONIX 1.4 DIAM 77.60 MM RECAMBIO SEMIHIDRÁULICO</v>
      </c>
      <c r="C2238" t="str">
        <f>"$ 39707,06"</f>
        <v>$ 39707,06</v>
      </c>
      <c r="D2238" t="str">
        <f>"$ 39707,06"</f>
        <v>$ 39707,06</v>
      </c>
      <c r="E2238" t="str">
        <f>"$ 39707,06"</f>
        <v>$ 39707,06</v>
      </c>
      <c r="F2238" t="str">
        <f>"$ 39707,06"</f>
        <v>$ 39707,06</v>
      </c>
      <c r="G2238" t="str">
        <f>"$ 39707,06"</f>
        <v>$ 39707,06</v>
      </c>
      <c r="H2238" t="str">
        <f t="shared" si="1405"/>
        <v>$ 0,00</v>
      </c>
      <c r="I2238" t="str">
        <f>"JUEGO AROS SEMIHIDRAULICOS"</f>
        <v>JUEGO AROS SEMIHIDRAULICOS</v>
      </c>
      <c r="J2238" t="str">
        <f t="shared" si="1406"/>
        <v>1</v>
      </c>
      <c r="K2238" t="str">
        <f t="shared" si="1432"/>
        <v>0</v>
      </c>
      <c r="L2238" t="str">
        <f>"0,000"</f>
        <v>0,000</v>
      </c>
      <c r="M2238" t="str">
        <f t="shared" si="1407"/>
        <v xml:space="preserve"> </v>
      </c>
      <c r="N2238" t="str">
        <f t="shared" si="1446"/>
        <v>PROMETAL</v>
      </c>
      <c r="O2238" t="str">
        <f t="shared" si="1447"/>
        <v>AROS DE MOTOR</v>
      </c>
      <c r="P2238" t="str">
        <f t="shared" si="1442"/>
        <v>0</v>
      </c>
      <c r="Q2238" t="str">
        <f t="shared" si="1442"/>
        <v>0</v>
      </c>
      <c r="R2238" t="str">
        <f t="shared" si="1443"/>
        <v>0,00</v>
      </c>
      <c r="S2238" t="str">
        <f t="shared" si="1443"/>
        <v>0,00</v>
      </c>
      <c r="T2238" t="str">
        <f t="shared" si="1404"/>
        <v xml:space="preserve"> </v>
      </c>
      <c r="U2238" t="str">
        <f t="shared" si="1427"/>
        <v xml:space="preserve"> </v>
      </c>
      <c r="V2238" t="str">
        <f>"0,000"</f>
        <v>0,000</v>
      </c>
      <c r="W2238" t="str">
        <f t="shared" si="1408"/>
        <v>Lista 4</v>
      </c>
      <c r="X2238" t="str">
        <f t="shared" si="1409"/>
        <v>Lista 5</v>
      </c>
      <c r="Y2238" t="str">
        <f t="shared" si="1410"/>
        <v>Oferta Gral.</v>
      </c>
      <c r="Z2238" t="str">
        <f t="shared" si="1411"/>
        <v>Rubro</v>
      </c>
      <c r="AA2238" t="str">
        <f t="shared" si="1412"/>
        <v>Cantidad por Bulto</v>
      </c>
      <c r="AB2238" t="str">
        <f t="shared" si="1413"/>
        <v>INNER</v>
      </c>
      <c r="AC2238" t="str">
        <f t="shared" si="1414"/>
        <v>Stock en Bultos</v>
      </c>
      <c r="AD2238" t="str">
        <f t="shared" si="1415"/>
        <v>SubDepósito</v>
      </c>
      <c r="AE2238" t="str">
        <f t="shared" si="1416"/>
        <v>Marca</v>
      </c>
      <c r="AF2238" t="str">
        <f t="shared" si="1417"/>
        <v>Super Rubro</v>
      </c>
      <c r="AG2238" t="str">
        <f t="shared" si="1418"/>
        <v>ComercioExterior</v>
      </c>
      <c r="AH2238" t="str">
        <f t="shared" si="1419"/>
        <v>PrecioFOB</v>
      </c>
      <c r="AI2238" t="str">
        <f t="shared" si="1420"/>
        <v>Monto II</v>
      </c>
      <c r="AJ2238" t="str">
        <f t="shared" si="1421"/>
        <v>Porcentaje II</v>
      </c>
      <c r="AK2238" t="str">
        <f t="shared" si="1422"/>
        <v>Foto</v>
      </c>
      <c r="AL2238" t="str">
        <f>"{\rtf1\ansi\ansicpg1252\deff0\deflang11274{\fonttbl{\f0\fnil\fcharset0 MS Sans Serif}} \viewkind4\uc1\pard\f0\fs16 JUEGO AROS STD CHEVROLET CORSA ONIX 1.4 DIAM 77.60 MM RECAMBIO SEMIHIDR\'c1ULICO\par } "</f>
        <v xml:space="preserve">{\rtf1\ansi\ansicpg1252\deff0\deflang11274{\fonttbl{\f0\fnil\fcharset0 MS Sans Serif}} \viewkind4\uc1\pard\f0\fs16 JUEGO AROS STD CHEVROLET CORSA ONIX 1.4 DIAM 77.60 MM RECAMBIO SEMIHIDR\'c1ULICO\par } </v>
      </c>
      <c r="AM2238" t="str">
        <f>" "</f>
        <v xml:space="preserve"> </v>
      </c>
    </row>
    <row r="2239" spans="1:39" x14ac:dyDescent="0.25">
      <c r="A2239" t="str">
        <f>"PMSH0727"</f>
        <v>PMSH0727</v>
      </c>
      <c r="B2239" t="str">
        <f>"JUEGO AROS STD CHEVROLET MERIVA 1.8 DIAM 80.50MM SEMIHIDRAULICO "</f>
        <v xml:space="preserve">JUEGO AROS STD CHEVROLET MERIVA 1.8 DIAM 80.50MM SEMIHIDRAULICO </v>
      </c>
      <c r="C2239" t="str">
        <f>"$ 35271,41"</f>
        <v>$ 35271,41</v>
      </c>
      <c r="D2239" t="str">
        <f>"$ 35271,41"</f>
        <v>$ 35271,41</v>
      </c>
      <c r="E2239" t="str">
        <f>"$ 35271,41"</f>
        <v>$ 35271,41</v>
      </c>
      <c r="F2239" t="str">
        <f>"$ 35271,41"</f>
        <v>$ 35271,41</v>
      </c>
      <c r="G2239" t="str">
        <f>"$ 35271,41"</f>
        <v>$ 35271,41</v>
      </c>
      <c r="H2239" t="str">
        <f t="shared" si="1405"/>
        <v>$ 0,00</v>
      </c>
      <c r="I2239" t="str">
        <f>"JUEGO AROS SEMIHIDRAULICOS"</f>
        <v>JUEGO AROS SEMIHIDRAULICOS</v>
      </c>
      <c r="J2239" t="str">
        <f t="shared" si="1406"/>
        <v>1</v>
      </c>
      <c r="K2239" t="str">
        <f t="shared" si="1432"/>
        <v>0</v>
      </c>
      <c r="L2239" t="str">
        <f>"0,000"</f>
        <v>0,000</v>
      </c>
      <c r="M2239" t="str">
        <f t="shared" si="1407"/>
        <v xml:space="preserve"> </v>
      </c>
      <c r="N2239" t="str">
        <f t="shared" si="1446"/>
        <v>PROMETAL</v>
      </c>
      <c r="O2239" t="str">
        <f t="shared" si="1447"/>
        <v>AROS DE MOTOR</v>
      </c>
      <c r="P2239" t="str">
        <f t="shared" si="1442"/>
        <v>0</v>
      </c>
      <c r="Q2239" t="str">
        <f t="shared" si="1442"/>
        <v>0</v>
      </c>
      <c r="R2239" t="str">
        <f t="shared" si="1443"/>
        <v>0,00</v>
      </c>
      <c r="S2239" t="str">
        <f t="shared" si="1443"/>
        <v>0,00</v>
      </c>
      <c r="T2239" t="str">
        <f t="shared" si="1404"/>
        <v xml:space="preserve"> </v>
      </c>
      <c r="U2239" t="str">
        <f t="shared" si="1427"/>
        <v xml:space="preserve"> </v>
      </c>
      <c r="V2239" t="str">
        <f>"0,000"</f>
        <v>0,000</v>
      </c>
      <c r="W2239" t="str">
        <f t="shared" si="1408"/>
        <v>Lista 4</v>
      </c>
      <c r="X2239" t="str">
        <f t="shared" si="1409"/>
        <v>Lista 5</v>
      </c>
      <c r="Y2239" t="str">
        <f t="shared" si="1410"/>
        <v>Oferta Gral.</v>
      </c>
      <c r="Z2239" t="str">
        <f t="shared" si="1411"/>
        <v>Rubro</v>
      </c>
      <c r="AA2239" t="str">
        <f t="shared" si="1412"/>
        <v>Cantidad por Bulto</v>
      </c>
      <c r="AB2239" t="str">
        <f t="shared" si="1413"/>
        <v>INNER</v>
      </c>
      <c r="AC2239" t="str">
        <f t="shared" si="1414"/>
        <v>Stock en Bultos</v>
      </c>
      <c r="AD2239" t="str">
        <f t="shared" si="1415"/>
        <v>SubDepósito</v>
      </c>
      <c r="AE2239" t="str">
        <f t="shared" si="1416"/>
        <v>Marca</v>
      </c>
      <c r="AF2239" t="str">
        <f t="shared" si="1417"/>
        <v>Super Rubro</v>
      </c>
      <c r="AG2239" t="str">
        <f t="shared" si="1418"/>
        <v>ComercioExterior</v>
      </c>
      <c r="AH2239" t="str">
        <f t="shared" si="1419"/>
        <v>PrecioFOB</v>
      </c>
      <c r="AI2239" t="str">
        <f t="shared" si="1420"/>
        <v>Monto II</v>
      </c>
      <c r="AJ2239" t="str">
        <f t="shared" si="1421"/>
        <v>Porcentaje II</v>
      </c>
      <c r="AK2239" t="str">
        <f t="shared" si="1422"/>
        <v>Foto</v>
      </c>
      <c r="AL2239" t="str">
        <f>"{\rtf1\ansi\ansicpg1252\deff0\deflang11274{\fonttbl{\f0\fnil\fcharset0 MS Sans Serif}} \viewkind4\uc1\pard\f0\fs16 KIT LED SILICONA CANBUS 2821 X 2 UNIDADES\par } "</f>
        <v xml:space="preserve">{\rtf1\ansi\ansicpg1252\deff0\deflang11274{\fonttbl{\f0\fnil\fcharset0 MS Sans Serif}} \viewkind4\uc1\pard\f0\fs16 KIT LED SILICONA CANBUS 2821 X 2 UNIDADES\par } </v>
      </c>
      <c r="AM2239" t="str">
        <f>" "</f>
        <v xml:space="preserve"> </v>
      </c>
    </row>
    <row r="2240" spans="1:39" x14ac:dyDescent="0.25">
      <c r="A2240" t="str">
        <f>"PMR0101"</f>
        <v>PMR0101</v>
      </c>
      <c r="B2240" t="str">
        <f>"JUEGO AROS STD CITROEN 3CV DIAM 74 MM RECAMBIO HIDRÁULICO "</f>
        <v xml:space="preserve">JUEGO AROS STD CITROEN 3CV DIAM 74 MM RECAMBIO HIDRÁULICO </v>
      </c>
      <c r="C2240" t="str">
        <f>"$ 10207,33"</f>
        <v>$ 10207,33</v>
      </c>
      <c r="D2240" t="str">
        <f>"$ 10207,33"</f>
        <v>$ 10207,33</v>
      </c>
      <c r="E2240" t="str">
        <f>"$ 10207,33"</f>
        <v>$ 10207,33</v>
      </c>
      <c r="F2240" t="str">
        <f>"$ 10207,33"</f>
        <v>$ 10207,33</v>
      </c>
      <c r="G2240" t="str">
        <f>"$ 10207,33"</f>
        <v>$ 10207,33</v>
      </c>
      <c r="H2240" t="str">
        <f t="shared" si="1405"/>
        <v>$ 0,00</v>
      </c>
      <c r="I2240" t="str">
        <f>"JUEGO AROS DE RECAMBIO"</f>
        <v>JUEGO AROS DE RECAMBIO</v>
      </c>
      <c r="J2240" t="str">
        <f t="shared" si="1406"/>
        <v>1</v>
      </c>
      <c r="K2240" t="str">
        <f t="shared" si="1432"/>
        <v>0</v>
      </c>
      <c r="L2240" t="str">
        <f>"7,000"</f>
        <v>7,000</v>
      </c>
      <c r="M2240" t="str">
        <f t="shared" si="1407"/>
        <v xml:space="preserve"> </v>
      </c>
      <c r="N2240" t="str">
        <f t="shared" si="1446"/>
        <v>PROMETAL</v>
      </c>
      <c r="O2240" t="str">
        <f t="shared" si="1447"/>
        <v>AROS DE MOTOR</v>
      </c>
      <c r="P2240" t="str">
        <f t="shared" si="1442"/>
        <v>0</v>
      </c>
      <c r="Q2240" t="str">
        <f t="shared" si="1442"/>
        <v>0</v>
      </c>
      <c r="R2240" t="str">
        <f t="shared" si="1443"/>
        <v>0,00</v>
      </c>
      <c r="S2240" t="str">
        <f t="shared" si="1443"/>
        <v>0,00</v>
      </c>
      <c r="T2240" t="str">
        <f t="shared" ref="T2240:T2308" si="1448">" "</f>
        <v xml:space="preserve"> </v>
      </c>
      <c r="U2240" t="str">
        <f t="shared" si="1427"/>
        <v xml:space="preserve"> </v>
      </c>
      <c r="V2240" t="str">
        <f>"7,000"</f>
        <v>7,000</v>
      </c>
      <c r="W2240" t="str">
        <f t="shared" si="1408"/>
        <v>Lista 4</v>
      </c>
      <c r="X2240" t="str">
        <f t="shared" si="1409"/>
        <v>Lista 5</v>
      </c>
      <c r="Y2240" t="str">
        <f t="shared" si="1410"/>
        <v>Oferta Gral.</v>
      </c>
      <c r="Z2240" t="str">
        <f t="shared" si="1411"/>
        <v>Rubro</v>
      </c>
      <c r="AA2240" t="str">
        <f t="shared" si="1412"/>
        <v>Cantidad por Bulto</v>
      </c>
      <c r="AB2240" t="str">
        <f t="shared" si="1413"/>
        <v>INNER</v>
      </c>
      <c r="AC2240" t="str">
        <f t="shared" si="1414"/>
        <v>Stock en Bultos</v>
      </c>
      <c r="AD2240" t="str">
        <f t="shared" si="1415"/>
        <v>SubDepósito</v>
      </c>
      <c r="AE2240" t="str">
        <f t="shared" si="1416"/>
        <v>Marca</v>
      </c>
      <c r="AF2240" t="str">
        <f t="shared" si="1417"/>
        <v>Super Rubro</v>
      </c>
      <c r="AG2240" t="str">
        <f t="shared" si="1418"/>
        <v>ComercioExterior</v>
      </c>
      <c r="AH2240" t="str">
        <f t="shared" si="1419"/>
        <v>PrecioFOB</v>
      </c>
      <c r="AI2240" t="str">
        <f t="shared" si="1420"/>
        <v>Monto II</v>
      </c>
      <c r="AJ2240" t="str">
        <f t="shared" si="1421"/>
        <v>Porcentaje II</v>
      </c>
      <c r="AK2240" t="str">
        <f t="shared" si="1422"/>
        <v>Foto</v>
      </c>
      <c r="AL2240" t="str">
        <f>"{\rtf1\ansi\ansicpg1252\deff0\deflang11274{\fonttbl{\f0\fnil\fcharset0 MS Sans Serif}} \viewkind4\uc1\pard\f0\fs16 JUEGO AROS STD CITROEN 3CV DIAM 74 MM RECAMBIO HIDR\'c1ULICO \par } "</f>
        <v xml:space="preserve">{\rtf1\ansi\ansicpg1252\deff0\deflang11274{\fonttbl{\f0\fnil\fcharset0 MS Sans Serif}} \viewkind4\uc1\pard\f0\fs16 JUEGO AROS STD CITROEN 3CV DIAM 74 MM RECAMBIO HIDR\'c1ULICO \par } </v>
      </c>
      <c r="AM2240" t="str">
        <f>" "</f>
        <v xml:space="preserve"> </v>
      </c>
    </row>
    <row r="2241" spans="1:39" x14ac:dyDescent="0.25">
      <c r="A2241" t="str">
        <f>"PMR1508"</f>
        <v>PMR1508</v>
      </c>
      <c r="B2241" t="str">
        <f>"JUEGO AROS STD CORSA ONIX 1.4 DIAM 77.6 MM RECAMBIO HIDRÁULICO"</f>
        <v>JUEGO AROS STD CORSA ONIX 1.4 DIAM 77.6 MM RECAMBIO HIDRÁULICO</v>
      </c>
      <c r="C2241" t="str">
        <f>"$ 39707,06"</f>
        <v>$ 39707,06</v>
      </c>
      <c r="D2241" t="str">
        <f>"$ 39707,06"</f>
        <v>$ 39707,06</v>
      </c>
      <c r="E2241" t="str">
        <f>"$ 39707,06"</f>
        <v>$ 39707,06</v>
      </c>
      <c r="F2241" t="str">
        <f>"$ 39707,06"</f>
        <v>$ 39707,06</v>
      </c>
      <c r="G2241" t="str">
        <f>"$ 39707,06"</f>
        <v>$ 39707,06</v>
      </c>
      <c r="H2241" t="str">
        <f t="shared" si="1405"/>
        <v>$ 0,00</v>
      </c>
      <c r="I2241" t="str">
        <f>"JUEGO AROS DE RECAMBIO"</f>
        <v>JUEGO AROS DE RECAMBIO</v>
      </c>
      <c r="J2241" t="str">
        <f t="shared" si="1406"/>
        <v>1</v>
      </c>
      <c r="K2241" t="str">
        <f t="shared" si="1432"/>
        <v>0</v>
      </c>
      <c r="L2241" t="str">
        <f>"0,000"</f>
        <v>0,000</v>
      </c>
      <c r="M2241" t="str">
        <f t="shared" si="1407"/>
        <v xml:space="preserve"> </v>
      </c>
      <c r="N2241" t="str">
        <f t="shared" si="1446"/>
        <v>PROMETAL</v>
      </c>
      <c r="O2241" t="str">
        <f t="shared" si="1447"/>
        <v>AROS DE MOTOR</v>
      </c>
      <c r="P2241" t="str">
        <f t="shared" si="1442"/>
        <v>0</v>
      </c>
      <c r="Q2241" t="str">
        <f t="shared" si="1442"/>
        <v>0</v>
      </c>
      <c r="R2241" t="str">
        <f t="shared" si="1443"/>
        <v>0,00</v>
      </c>
      <c r="S2241" t="str">
        <f t="shared" si="1443"/>
        <v>0,00</v>
      </c>
      <c r="T2241" t="str">
        <f t="shared" si="1448"/>
        <v xml:space="preserve"> </v>
      </c>
      <c r="U2241" t="str">
        <f t="shared" si="1427"/>
        <v xml:space="preserve"> </v>
      </c>
      <c r="V2241" t="str">
        <f>"0,000"</f>
        <v>0,000</v>
      </c>
      <c r="W2241" t="str">
        <f t="shared" si="1408"/>
        <v>Lista 4</v>
      </c>
      <c r="X2241" t="str">
        <f t="shared" si="1409"/>
        <v>Lista 5</v>
      </c>
      <c r="Y2241" t="str">
        <f t="shared" si="1410"/>
        <v>Oferta Gral.</v>
      </c>
      <c r="Z2241" t="str">
        <f t="shared" si="1411"/>
        <v>Rubro</v>
      </c>
      <c r="AA2241" t="str">
        <f t="shared" si="1412"/>
        <v>Cantidad por Bulto</v>
      </c>
      <c r="AB2241" t="str">
        <f t="shared" si="1413"/>
        <v>INNER</v>
      </c>
      <c r="AC2241" t="str">
        <f t="shared" si="1414"/>
        <v>Stock en Bultos</v>
      </c>
      <c r="AD2241" t="str">
        <f t="shared" si="1415"/>
        <v>SubDepósito</v>
      </c>
      <c r="AE2241" t="str">
        <f t="shared" si="1416"/>
        <v>Marca</v>
      </c>
      <c r="AF2241" t="str">
        <f t="shared" si="1417"/>
        <v>Super Rubro</v>
      </c>
      <c r="AG2241" t="str">
        <f t="shared" si="1418"/>
        <v>ComercioExterior</v>
      </c>
      <c r="AH2241" t="str">
        <f t="shared" si="1419"/>
        <v>PrecioFOB</v>
      </c>
      <c r="AI2241" t="str">
        <f t="shared" si="1420"/>
        <v>Monto II</v>
      </c>
      <c r="AJ2241" t="str">
        <f t="shared" si="1421"/>
        <v>Porcentaje II</v>
      </c>
      <c r="AK2241" t="str">
        <f t="shared" si="1422"/>
        <v>Foto</v>
      </c>
      <c r="AL2241" t="str">
        <f>"{\rtf1\ansi\ansicpg1252\deff0\deflang11274{\fonttbl{\f0\fnil\fcharset0 MS Sans Serif}} \viewkind4\uc1\pard\f0\fs16 M`d3DULO IGNICI`d3N \par } "</f>
        <v xml:space="preserve">{\rtf1\ansi\ansicpg1252\deff0\deflang11274{\fonttbl{\f0\fnil\fcharset0 MS Sans Serif}} \viewkind4\uc1\pard\f0\fs16 M`d3DULO IGNICI`d3N \par } </v>
      </c>
      <c r="AM2241" t="str">
        <f>" "</f>
        <v xml:space="preserve"> </v>
      </c>
    </row>
    <row r="2242" spans="1:39" x14ac:dyDescent="0.25">
      <c r="A2242" t="str">
        <f>"PMSH2401"</f>
        <v>PMSH2401</v>
      </c>
      <c r="B2242" t="str">
        <f>"JUEGO AROS STD DUNA UNO MOTOR TIPO 1.4 DIAM 80.5MM SEMIHIDRÁULICO "</f>
        <v xml:space="preserve">JUEGO AROS STD DUNA UNO MOTOR TIPO 1.4 DIAM 80.5MM SEMIHIDRÁULICO </v>
      </c>
      <c r="C2242" t="str">
        <f>"$ 52907,12"</f>
        <v>$ 52907,12</v>
      </c>
      <c r="D2242" t="str">
        <f>"$ 52907,12"</f>
        <v>$ 52907,12</v>
      </c>
      <c r="E2242" t="str">
        <f>"$ 52907,12"</f>
        <v>$ 52907,12</v>
      </c>
      <c r="F2242" t="str">
        <f>"$ 52907,12"</f>
        <v>$ 52907,12</v>
      </c>
      <c r="G2242" t="str">
        <f>"$ 52907,12"</f>
        <v>$ 52907,12</v>
      </c>
      <c r="H2242" t="str">
        <f t="shared" si="1405"/>
        <v>$ 0,00</v>
      </c>
      <c r="I2242" t="str">
        <f>"JUEGO AROS SEMIHIDRAULICOS"</f>
        <v>JUEGO AROS SEMIHIDRAULICOS</v>
      </c>
      <c r="J2242" t="str">
        <f t="shared" si="1406"/>
        <v>1</v>
      </c>
      <c r="K2242" t="str">
        <f t="shared" si="1432"/>
        <v>0</v>
      </c>
      <c r="L2242" t="str">
        <f>"6,000"</f>
        <v>6,000</v>
      </c>
      <c r="M2242" t="str">
        <f t="shared" si="1407"/>
        <v xml:space="preserve"> </v>
      </c>
      <c r="N2242" t="str">
        <f t="shared" si="1446"/>
        <v>PROMETAL</v>
      </c>
      <c r="O2242" t="str">
        <f t="shared" si="1447"/>
        <v>AROS DE MOTOR</v>
      </c>
      <c r="P2242" t="str">
        <f t="shared" si="1442"/>
        <v>0</v>
      </c>
      <c r="Q2242" t="str">
        <f t="shared" si="1442"/>
        <v>0</v>
      </c>
      <c r="R2242" t="str">
        <f t="shared" si="1443"/>
        <v>0,00</v>
      </c>
      <c r="S2242" t="str">
        <f t="shared" si="1443"/>
        <v>0,00</v>
      </c>
      <c r="T2242" t="str">
        <f t="shared" si="1448"/>
        <v xml:space="preserve"> </v>
      </c>
      <c r="U2242" t="str">
        <f t="shared" si="1427"/>
        <v xml:space="preserve"> </v>
      </c>
      <c r="V2242" t="str">
        <f>"6,000"</f>
        <v>6,000</v>
      </c>
      <c r="W2242" t="str">
        <f t="shared" si="1408"/>
        <v>Lista 4</v>
      </c>
      <c r="X2242" t="str">
        <f t="shared" si="1409"/>
        <v>Lista 5</v>
      </c>
      <c r="Y2242" t="str">
        <f t="shared" si="1410"/>
        <v>Oferta Gral.</v>
      </c>
      <c r="Z2242" t="str">
        <f t="shared" si="1411"/>
        <v>Rubro</v>
      </c>
      <c r="AA2242" t="str">
        <f t="shared" si="1412"/>
        <v>Cantidad por Bulto</v>
      </c>
      <c r="AB2242" t="str">
        <f t="shared" si="1413"/>
        <v>INNER</v>
      </c>
      <c r="AC2242" t="str">
        <f t="shared" si="1414"/>
        <v>Stock en Bultos</v>
      </c>
      <c r="AD2242" t="str">
        <f t="shared" si="1415"/>
        <v>SubDepósito</v>
      </c>
      <c r="AE2242" t="str">
        <f t="shared" si="1416"/>
        <v>Marca</v>
      </c>
      <c r="AF2242" t="str">
        <f t="shared" si="1417"/>
        <v>Super Rubro</v>
      </c>
      <c r="AG2242" t="str">
        <f t="shared" si="1418"/>
        <v>ComercioExterior</v>
      </c>
      <c r="AH2242" t="str">
        <f t="shared" si="1419"/>
        <v>PrecioFOB</v>
      </c>
      <c r="AI2242" t="str">
        <f t="shared" si="1420"/>
        <v>Monto II</v>
      </c>
      <c r="AJ2242" t="str">
        <f t="shared" si="1421"/>
        <v>Porcentaje II</v>
      </c>
      <c r="AK2242" t="str">
        <f t="shared" si="1422"/>
        <v>Foto</v>
      </c>
      <c r="AL2242" t="str">
        <f>"{\rtf1\ansi\ansicpg1252\deff0\deflang2058{\fonttbl{\f0\fnil\fcharset0 MS Sans Serif}} \viewkind4\uc1\pard\f0\fs16 JUEGO AROS STD DUNA UNO MOTOR TIPO 1.4 DIAM 80.5MM SEMIHIDR\'c1ULICO \par } "</f>
        <v xml:space="preserve">{\rtf1\ansi\ansicpg1252\deff0\deflang2058{\fonttbl{\f0\fnil\fcharset0 MS Sans Serif}} \viewkind4\uc1\pard\f0\fs16 JUEGO AROS STD DUNA UNO MOTOR TIPO 1.4 DIAM 80.5MM SEMIHIDR\'c1ULICO \par } </v>
      </c>
      <c r="AM2242" t="str">
        <f>"-"</f>
        <v>-</v>
      </c>
    </row>
    <row r="2243" spans="1:39" x14ac:dyDescent="0.25">
      <c r="A2243" t="str">
        <f>"PMR2405"</f>
        <v>PMR2405</v>
      </c>
      <c r="B2243" t="str">
        <f>"JUEGO AROS STD FIAT 147 1.3D DIAM 76MM RECAMBIO  "</f>
        <v xml:space="preserve">JUEGO AROS STD FIAT 147 1.3D DIAM 76MM RECAMBIO  </v>
      </c>
      <c r="C2243" t="str">
        <f>"$ 37462,51"</f>
        <v>$ 37462,51</v>
      </c>
      <c r="D2243" t="str">
        <f>"$ 37462,51"</f>
        <v>$ 37462,51</v>
      </c>
      <c r="E2243" t="str">
        <f>"$ 37462,51"</f>
        <v>$ 37462,51</v>
      </c>
      <c r="F2243" t="str">
        <f>"$ 37462,51"</f>
        <v>$ 37462,51</v>
      </c>
      <c r="G2243" t="str">
        <f>"$ 37462,51"</f>
        <v>$ 37462,51</v>
      </c>
      <c r="H2243" t="str">
        <f t="shared" ref="H2243:H2306" si="1449">"$ 0,00"</f>
        <v>$ 0,00</v>
      </c>
      <c r="I2243" t="str">
        <f>"JUEGO AROS DE RECAMBIO"</f>
        <v>JUEGO AROS DE RECAMBIO</v>
      </c>
      <c r="J2243" t="str">
        <f t="shared" ref="J2243:J2306" si="1450">"1"</f>
        <v>1</v>
      </c>
      <c r="K2243" t="str">
        <f t="shared" si="1432"/>
        <v>0</v>
      </c>
      <c r="L2243" t="str">
        <f>"5,000"</f>
        <v>5,000</v>
      </c>
      <c r="M2243" t="str">
        <f t="shared" ref="M2243:M2306" si="1451">" "</f>
        <v xml:space="preserve"> </v>
      </c>
      <c r="N2243" t="str">
        <f t="shared" si="1446"/>
        <v>PROMETAL</v>
      </c>
      <c r="O2243" t="str">
        <f t="shared" si="1447"/>
        <v>AROS DE MOTOR</v>
      </c>
      <c r="P2243" t="str">
        <f t="shared" ref="P2243:Q2262" si="1452">"0"</f>
        <v>0</v>
      </c>
      <c r="Q2243" t="str">
        <f t="shared" si="1452"/>
        <v>0</v>
      </c>
      <c r="R2243" t="str">
        <f t="shared" ref="R2243:S2262" si="1453">"0,00"</f>
        <v>0,00</v>
      </c>
      <c r="S2243" t="str">
        <f t="shared" si="1453"/>
        <v>0,00</v>
      </c>
      <c r="T2243" t="str">
        <f t="shared" si="1448"/>
        <v xml:space="preserve"> </v>
      </c>
      <c r="U2243" t="str">
        <f t="shared" si="1427"/>
        <v xml:space="preserve"> </v>
      </c>
      <c r="V2243" t="str">
        <f>"5,000"</f>
        <v>5,000</v>
      </c>
      <c r="W2243" t="str">
        <f t="shared" ref="W2243:W2306" si="1454">"Lista 4"</f>
        <v>Lista 4</v>
      </c>
      <c r="X2243" t="str">
        <f t="shared" ref="X2243:X2306" si="1455">"Lista 5"</f>
        <v>Lista 5</v>
      </c>
      <c r="Y2243" t="str">
        <f t="shared" ref="Y2243:Y2306" si="1456">"Oferta Gral."</f>
        <v>Oferta Gral.</v>
      </c>
      <c r="Z2243" t="str">
        <f t="shared" ref="Z2243:Z2306" si="1457">"Rubro"</f>
        <v>Rubro</v>
      </c>
      <c r="AA2243" t="str">
        <f t="shared" ref="AA2243:AA2306" si="1458">"Cantidad por Bulto"</f>
        <v>Cantidad por Bulto</v>
      </c>
      <c r="AB2243" t="str">
        <f t="shared" ref="AB2243:AB2306" si="1459">"INNER"</f>
        <v>INNER</v>
      </c>
      <c r="AC2243" t="str">
        <f t="shared" ref="AC2243:AC2306" si="1460">"Stock en Bultos"</f>
        <v>Stock en Bultos</v>
      </c>
      <c r="AD2243" t="str">
        <f t="shared" ref="AD2243:AD2306" si="1461">"SubDepósito"</f>
        <v>SubDepósito</v>
      </c>
      <c r="AE2243" t="str">
        <f t="shared" ref="AE2243:AE2306" si="1462">"Marca"</f>
        <v>Marca</v>
      </c>
      <c r="AF2243" t="str">
        <f t="shared" ref="AF2243:AF2306" si="1463">"Super Rubro"</f>
        <v>Super Rubro</v>
      </c>
      <c r="AG2243" t="str">
        <f t="shared" ref="AG2243:AG2306" si="1464">"ComercioExterior"</f>
        <v>ComercioExterior</v>
      </c>
      <c r="AH2243" t="str">
        <f t="shared" ref="AH2243:AH2306" si="1465">"PrecioFOB"</f>
        <v>PrecioFOB</v>
      </c>
      <c r="AI2243" t="str">
        <f t="shared" ref="AI2243:AI2306" si="1466">"Monto II"</f>
        <v>Monto II</v>
      </c>
      <c r="AJ2243" t="str">
        <f t="shared" ref="AJ2243:AJ2306" si="1467">"Porcentaje II"</f>
        <v>Porcentaje II</v>
      </c>
      <c r="AK2243" t="str">
        <f t="shared" ref="AK2243:AK2306" si="1468">"Foto"</f>
        <v>Foto</v>
      </c>
      <c r="AL2243" t="str">
        <f>"{\rtf1\ansi\ansicpg1252\deff0\deflang11274{\fonttbl{\f0\fnil\fcharset0 MS Sans Serif}} \viewkind4\uc1\pard\f0\fs16 JUEGO AROS STD FIAT 147 1.3D DIAM 76MM RECAMBIO  \par } "</f>
        <v xml:space="preserve">{\rtf1\ansi\ansicpg1252\deff0\deflang11274{\fonttbl{\f0\fnil\fcharset0 MS Sans Serif}} \viewkind4\uc1\pard\f0\fs16 JUEGO AROS STD FIAT 147 1.3D DIAM 76MM RECAMBIO  \par } </v>
      </c>
      <c r="AM2243" t="str">
        <f>" "</f>
        <v xml:space="preserve"> </v>
      </c>
    </row>
    <row r="2244" spans="1:39" x14ac:dyDescent="0.25">
      <c r="A2244" t="str">
        <f>"PMR2415"</f>
        <v>PMR2415</v>
      </c>
      <c r="B2244" t="str">
        <f>"JUEGO AROS STD FIAT DUNA 1.7D DIAM 82.6MM RECAMBIO"</f>
        <v>JUEGO AROS STD FIAT DUNA 1.7D DIAM 82.6MM RECAMBIO</v>
      </c>
      <c r="C2244" t="str">
        <f>"$ 39707,06"</f>
        <v>$ 39707,06</v>
      </c>
      <c r="D2244" t="str">
        <f>"$ 39707,06"</f>
        <v>$ 39707,06</v>
      </c>
      <c r="E2244" t="str">
        <f>"$ 39707,06"</f>
        <v>$ 39707,06</v>
      </c>
      <c r="F2244" t="str">
        <f>"$ 39707,06"</f>
        <v>$ 39707,06</v>
      </c>
      <c r="G2244" t="str">
        <f>"$ 39707,06"</f>
        <v>$ 39707,06</v>
      </c>
      <c r="H2244" t="str">
        <f t="shared" si="1449"/>
        <v>$ 0,00</v>
      </c>
      <c r="I2244" t="str">
        <f>"JUEGO AROS DE RECAMBIO"</f>
        <v>JUEGO AROS DE RECAMBIO</v>
      </c>
      <c r="J2244" t="str">
        <f t="shared" si="1450"/>
        <v>1</v>
      </c>
      <c r="K2244" t="str">
        <f t="shared" si="1432"/>
        <v>0</v>
      </c>
      <c r="L2244" t="str">
        <f>"11,000"</f>
        <v>11,000</v>
      </c>
      <c r="M2244" t="str">
        <f t="shared" si="1451"/>
        <v xml:space="preserve"> </v>
      </c>
      <c r="N2244" t="str">
        <f t="shared" si="1446"/>
        <v>PROMETAL</v>
      </c>
      <c r="O2244" t="str">
        <f t="shared" si="1447"/>
        <v>AROS DE MOTOR</v>
      </c>
      <c r="P2244" t="str">
        <f t="shared" si="1452"/>
        <v>0</v>
      </c>
      <c r="Q2244" t="str">
        <f t="shared" si="1452"/>
        <v>0</v>
      </c>
      <c r="R2244" t="str">
        <f t="shared" si="1453"/>
        <v>0,00</v>
      </c>
      <c r="S2244" t="str">
        <f t="shared" si="1453"/>
        <v>0,00</v>
      </c>
      <c r="T2244" t="str">
        <f t="shared" si="1448"/>
        <v xml:space="preserve"> </v>
      </c>
      <c r="U2244" t="str">
        <f t="shared" si="1427"/>
        <v xml:space="preserve"> </v>
      </c>
      <c r="V2244" t="str">
        <f>"11,000"</f>
        <v>11,000</v>
      </c>
      <c r="W2244" t="str">
        <f t="shared" si="1454"/>
        <v>Lista 4</v>
      </c>
      <c r="X2244" t="str">
        <f t="shared" si="1455"/>
        <v>Lista 5</v>
      </c>
      <c r="Y2244" t="str">
        <f t="shared" si="1456"/>
        <v>Oferta Gral.</v>
      </c>
      <c r="Z2244" t="str">
        <f t="shared" si="1457"/>
        <v>Rubro</v>
      </c>
      <c r="AA2244" t="str">
        <f t="shared" si="1458"/>
        <v>Cantidad por Bulto</v>
      </c>
      <c r="AB2244" t="str">
        <f t="shared" si="1459"/>
        <v>INNER</v>
      </c>
      <c r="AC2244" t="str">
        <f t="shared" si="1460"/>
        <v>Stock en Bultos</v>
      </c>
      <c r="AD2244" t="str">
        <f t="shared" si="1461"/>
        <v>SubDepósito</v>
      </c>
      <c r="AE2244" t="str">
        <f t="shared" si="1462"/>
        <v>Marca</v>
      </c>
      <c r="AF2244" t="str">
        <f t="shared" si="1463"/>
        <v>Super Rubro</v>
      </c>
      <c r="AG2244" t="str">
        <f t="shared" si="1464"/>
        <v>ComercioExterior</v>
      </c>
      <c r="AH2244" t="str">
        <f t="shared" si="1465"/>
        <v>PrecioFOB</v>
      </c>
      <c r="AI2244" t="str">
        <f t="shared" si="1466"/>
        <v>Monto II</v>
      </c>
      <c r="AJ2244" t="str">
        <f t="shared" si="1467"/>
        <v>Porcentaje II</v>
      </c>
      <c r="AK2244" t="str">
        <f t="shared" si="1468"/>
        <v>Foto</v>
      </c>
      <c r="AL2244" t="str">
        <f>"{\rtf1\ansi\ansicpg1252\deff0\deflang11274{\fonttbl{\f0\fnil\fcharset0 MS Sans Serif}} \viewkind4\uc1\pard\f0\fs16 SENSOR DE VELOCIDAD VW GOL/SAVEIRO DESDE 1994\par } "</f>
        <v xml:space="preserve">{\rtf1\ansi\ansicpg1252\deff0\deflang11274{\fonttbl{\f0\fnil\fcharset0 MS Sans Serif}} \viewkind4\uc1\pard\f0\fs16 SENSOR DE VELOCIDAD VW GOL/SAVEIRO DESDE 1994\par } </v>
      </c>
      <c r="AM2244" t="str">
        <f>" "</f>
        <v xml:space="preserve"> </v>
      </c>
    </row>
    <row r="2245" spans="1:39" x14ac:dyDescent="0.25">
      <c r="A2245" t="str">
        <f>"PMR2407"</f>
        <v>PMR2407</v>
      </c>
      <c r="B2245" t="str">
        <f>"JUEGO AROS STD FIAT DUNA UNO MOTOR TIPO 1.6 DIAM 86,4MM RECAMBIO HIDRÁULICO"</f>
        <v>JUEGO AROS STD FIAT DUNA UNO MOTOR TIPO 1.6 DIAM 86,4MM RECAMBIO HIDRÁULICO</v>
      </c>
      <c r="C2245" t="str">
        <f>"$ 28751,54"</f>
        <v>$ 28751,54</v>
      </c>
      <c r="D2245" t="str">
        <f>"$ 28751,54"</f>
        <v>$ 28751,54</v>
      </c>
      <c r="E2245" t="str">
        <f>"$ 28751,54"</f>
        <v>$ 28751,54</v>
      </c>
      <c r="F2245" t="str">
        <f>"$ 28751,54"</f>
        <v>$ 28751,54</v>
      </c>
      <c r="G2245" t="str">
        <f>"$ 28751,54"</f>
        <v>$ 28751,54</v>
      </c>
      <c r="H2245" t="str">
        <f t="shared" si="1449"/>
        <v>$ 0,00</v>
      </c>
      <c r="I2245" t="str">
        <f>"JUEGO AROS DE RECAMBIO"</f>
        <v>JUEGO AROS DE RECAMBIO</v>
      </c>
      <c r="J2245" t="str">
        <f t="shared" si="1450"/>
        <v>1</v>
      </c>
      <c r="K2245" t="str">
        <f t="shared" si="1432"/>
        <v>0</v>
      </c>
      <c r="L2245" t="str">
        <f>"0,000"</f>
        <v>0,000</v>
      </c>
      <c r="M2245" t="str">
        <f t="shared" si="1451"/>
        <v xml:space="preserve"> </v>
      </c>
      <c r="N2245" t="str">
        <f t="shared" si="1446"/>
        <v>PROMETAL</v>
      </c>
      <c r="O2245" t="str">
        <f t="shared" si="1447"/>
        <v>AROS DE MOTOR</v>
      </c>
      <c r="P2245" t="str">
        <f t="shared" si="1452"/>
        <v>0</v>
      </c>
      <c r="Q2245" t="str">
        <f t="shared" si="1452"/>
        <v>0</v>
      </c>
      <c r="R2245" t="str">
        <f t="shared" si="1453"/>
        <v>0,00</v>
      </c>
      <c r="S2245" t="str">
        <f t="shared" si="1453"/>
        <v>0,00</v>
      </c>
      <c r="T2245" t="str">
        <f t="shared" si="1448"/>
        <v xml:space="preserve"> </v>
      </c>
      <c r="U2245" t="str">
        <f t="shared" si="1427"/>
        <v xml:space="preserve"> </v>
      </c>
      <c r="V2245" t="str">
        <f>"0,000"</f>
        <v>0,000</v>
      </c>
      <c r="W2245" t="str">
        <f t="shared" si="1454"/>
        <v>Lista 4</v>
      </c>
      <c r="X2245" t="str">
        <f t="shared" si="1455"/>
        <v>Lista 5</v>
      </c>
      <c r="Y2245" t="str">
        <f t="shared" si="1456"/>
        <v>Oferta Gral.</v>
      </c>
      <c r="Z2245" t="str">
        <f t="shared" si="1457"/>
        <v>Rubro</v>
      </c>
      <c r="AA2245" t="str">
        <f t="shared" si="1458"/>
        <v>Cantidad por Bulto</v>
      </c>
      <c r="AB2245" t="str">
        <f t="shared" si="1459"/>
        <v>INNER</v>
      </c>
      <c r="AC2245" t="str">
        <f t="shared" si="1460"/>
        <v>Stock en Bultos</v>
      </c>
      <c r="AD2245" t="str">
        <f t="shared" si="1461"/>
        <v>SubDepósito</v>
      </c>
      <c r="AE2245" t="str">
        <f t="shared" si="1462"/>
        <v>Marca</v>
      </c>
      <c r="AF2245" t="str">
        <f t="shared" si="1463"/>
        <v>Super Rubro</v>
      </c>
      <c r="AG2245" t="str">
        <f t="shared" si="1464"/>
        <v>ComercioExterior</v>
      </c>
      <c r="AH2245" t="str">
        <f t="shared" si="1465"/>
        <v>PrecioFOB</v>
      </c>
      <c r="AI2245" t="str">
        <f t="shared" si="1466"/>
        <v>Monto II</v>
      </c>
      <c r="AJ2245" t="str">
        <f t="shared" si="1467"/>
        <v>Porcentaje II</v>
      </c>
      <c r="AK2245" t="str">
        <f t="shared" si="1468"/>
        <v>Foto</v>
      </c>
      <c r="AL2245" t="str">
        <f>"{\rtf1\ansi\ansicpg1252\deff0\deflang11274{\fonttbl{\f0\fnil\fcharset0 MS Sans Serif}} \viewkind4\uc1\pard\f0\fs16 JUEGO AROS STD FIAT DUNA UNO MOTOR TIPO 1.6 DIAM 86,4MM RECAMBIO HIDR\'c1ULICO\par } "</f>
        <v xml:space="preserve">{\rtf1\ansi\ansicpg1252\deff0\deflang11274{\fonttbl{\f0\fnil\fcharset0 MS Sans Serif}} \viewkind4\uc1\pard\f0\fs16 JUEGO AROS STD FIAT DUNA UNO MOTOR TIPO 1.6 DIAM 86,4MM RECAMBIO HIDR\'c1ULICO\par } </v>
      </c>
      <c r="AM2245" t="str">
        <f>"-"</f>
        <v>-</v>
      </c>
    </row>
    <row r="2246" spans="1:39" x14ac:dyDescent="0.25">
      <c r="A2246" t="str">
        <f>"PMSH2407"</f>
        <v>PMSH2407</v>
      </c>
      <c r="B2246" t="str">
        <f>"JUEGO AROS STD FIAT MOTOR TIPO 1.6 DIAM 86.4MM SEMIHIDRAULICO"</f>
        <v>JUEGO AROS STD FIAT MOTOR TIPO 1.6 DIAM 86.4MM SEMIHIDRAULICO</v>
      </c>
      <c r="C2246" t="str">
        <f>"$ 44089,26"</f>
        <v>$ 44089,26</v>
      </c>
      <c r="D2246" t="str">
        <f>"$ 44089,26"</f>
        <v>$ 44089,26</v>
      </c>
      <c r="E2246" t="str">
        <f>"$ 44089,26"</f>
        <v>$ 44089,26</v>
      </c>
      <c r="F2246" t="str">
        <f>"$ 44089,26"</f>
        <v>$ 44089,26</v>
      </c>
      <c r="G2246" t="str">
        <f>"$ 44089,26"</f>
        <v>$ 44089,26</v>
      </c>
      <c r="H2246" t="str">
        <f t="shared" si="1449"/>
        <v>$ 0,00</v>
      </c>
      <c r="I2246" t="str">
        <f>"JUEGO AROS SEMIHIDRAULICOS"</f>
        <v>JUEGO AROS SEMIHIDRAULICOS</v>
      </c>
      <c r="J2246" t="str">
        <f t="shared" si="1450"/>
        <v>1</v>
      </c>
      <c r="K2246" t="str">
        <f t="shared" si="1432"/>
        <v>0</v>
      </c>
      <c r="L2246" t="str">
        <f>"0,000"</f>
        <v>0,000</v>
      </c>
      <c r="M2246" t="str">
        <f t="shared" si="1451"/>
        <v xml:space="preserve"> </v>
      </c>
      <c r="N2246" t="str">
        <f t="shared" si="1446"/>
        <v>PROMETAL</v>
      </c>
      <c r="O2246" t="str">
        <f t="shared" si="1447"/>
        <v>AROS DE MOTOR</v>
      </c>
      <c r="P2246" t="str">
        <f t="shared" si="1452"/>
        <v>0</v>
      </c>
      <c r="Q2246" t="str">
        <f t="shared" si="1452"/>
        <v>0</v>
      </c>
      <c r="R2246" t="str">
        <f t="shared" si="1453"/>
        <v>0,00</v>
      </c>
      <c r="S2246" t="str">
        <f t="shared" si="1453"/>
        <v>0,00</v>
      </c>
      <c r="T2246" t="str">
        <f t="shared" si="1448"/>
        <v xml:space="preserve"> </v>
      </c>
      <c r="U2246" t="str">
        <f t="shared" si="1427"/>
        <v xml:space="preserve"> </v>
      </c>
      <c r="V2246" t="str">
        <f>"0,000"</f>
        <v>0,000</v>
      </c>
      <c r="W2246" t="str">
        <f t="shared" si="1454"/>
        <v>Lista 4</v>
      </c>
      <c r="X2246" t="str">
        <f t="shared" si="1455"/>
        <v>Lista 5</v>
      </c>
      <c r="Y2246" t="str">
        <f t="shared" si="1456"/>
        <v>Oferta Gral.</v>
      </c>
      <c r="Z2246" t="str">
        <f t="shared" si="1457"/>
        <v>Rubro</v>
      </c>
      <c r="AA2246" t="str">
        <f t="shared" si="1458"/>
        <v>Cantidad por Bulto</v>
      </c>
      <c r="AB2246" t="str">
        <f t="shared" si="1459"/>
        <v>INNER</v>
      </c>
      <c r="AC2246" t="str">
        <f t="shared" si="1460"/>
        <v>Stock en Bultos</v>
      </c>
      <c r="AD2246" t="str">
        <f t="shared" si="1461"/>
        <v>SubDepósito</v>
      </c>
      <c r="AE2246" t="str">
        <f t="shared" si="1462"/>
        <v>Marca</v>
      </c>
      <c r="AF2246" t="str">
        <f t="shared" si="1463"/>
        <v>Super Rubro</v>
      </c>
      <c r="AG2246" t="str">
        <f t="shared" si="1464"/>
        <v>ComercioExterior</v>
      </c>
      <c r="AH2246" t="str">
        <f t="shared" si="1465"/>
        <v>PrecioFOB</v>
      </c>
      <c r="AI2246" t="str">
        <f t="shared" si="1466"/>
        <v>Monto II</v>
      </c>
      <c r="AJ2246" t="str">
        <f t="shared" si="1467"/>
        <v>Porcentaje II</v>
      </c>
      <c r="AK2246" t="str">
        <f t="shared" si="1468"/>
        <v>Foto</v>
      </c>
      <c r="AL2246" t="str">
        <f>"{\rtf1\ansi\ansicpg1252\deff0\deflang11274{\fonttbl{\f0\fnil\fcharset0 MS Sans Serif}} \viewkind4\uc1\pard\f0\fs16 JUEGO AROS STD FIAT MOTOR TIPO 1.6 DIAM 86.4MM SEMIHIDRAULICO\par } "</f>
        <v xml:space="preserve">{\rtf1\ansi\ansicpg1252\deff0\deflang11274{\fonttbl{\f0\fnil\fcharset0 MS Sans Serif}} \viewkind4\uc1\pard\f0\fs16 JUEGO AROS STD FIAT MOTOR TIPO 1.6 DIAM 86.4MM SEMIHIDRAULICO\par } </v>
      </c>
      <c r="AM2246" t="str">
        <f>"-"</f>
        <v>-</v>
      </c>
    </row>
    <row r="2247" spans="1:39" x14ac:dyDescent="0.25">
      <c r="A2247" t="str">
        <f>"PMSH2403"</f>
        <v>PMSH2403</v>
      </c>
      <c r="B2247" t="str">
        <f>"JUEGO AROS STD FIAT PALIO SIENA 1.3 FIRE DIAMETRO 70,8MM SEMIHIDRAULICOS"</f>
        <v>JUEGO AROS STD FIAT PALIO SIENA 1.3 FIRE DIAMETRO 70,8MM SEMIHIDRAULICOS</v>
      </c>
      <c r="C2247" t="str">
        <f>"$ 33026,87"</f>
        <v>$ 33026,87</v>
      </c>
      <c r="D2247" t="str">
        <f>"$ 33026,87"</f>
        <v>$ 33026,87</v>
      </c>
      <c r="E2247" t="str">
        <f>"$ 33026,87"</f>
        <v>$ 33026,87</v>
      </c>
      <c r="F2247" t="str">
        <f>"$ 33026,87"</f>
        <v>$ 33026,87</v>
      </c>
      <c r="G2247" t="str">
        <f>"$ 33026,87"</f>
        <v>$ 33026,87</v>
      </c>
      <c r="H2247" t="str">
        <f t="shared" si="1449"/>
        <v>$ 0,00</v>
      </c>
      <c r="I2247" t="str">
        <f>"JUEGO AROS SEMIHIDRAULICOS"</f>
        <v>JUEGO AROS SEMIHIDRAULICOS</v>
      </c>
      <c r="J2247" t="str">
        <f t="shared" si="1450"/>
        <v>1</v>
      </c>
      <c r="K2247" t="str">
        <f t="shared" si="1432"/>
        <v>0</v>
      </c>
      <c r="L2247" t="str">
        <f>"0,000"</f>
        <v>0,000</v>
      </c>
      <c r="M2247" t="str">
        <f t="shared" si="1451"/>
        <v xml:space="preserve"> </v>
      </c>
      <c r="N2247" t="str">
        <f t="shared" si="1446"/>
        <v>PROMETAL</v>
      </c>
      <c r="O2247" t="str">
        <f t="shared" si="1447"/>
        <v>AROS DE MOTOR</v>
      </c>
      <c r="P2247" t="str">
        <f t="shared" si="1452"/>
        <v>0</v>
      </c>
      <c r="Q2247" t="str">
        <f t="shared" si="1452"/>
        <v>0</v>
      </c>
      <c r="R2247" t="str">
        <f t="shared" si="1453"/>
        <v>0,00</v>
      </c>
      <c r="S2247" t="str">
        <f t="shared" si="1453"/>
        <v>0,00</v>
      </c>
      <c r="T2247" t="str">
        <f t="shared" si="1448"/>
        <v xml:space="preserve"> </v>
      </c>
      <c r="U2247" t="str">
        <f t="shared" si="1427"/>
        <v xml:space="preserve"> </v>
      </c>
      <c r="V2247" t="str">
        <f>"0,000"</f>
        <v>0,000</v>
      </c>
      <c r="W2247" t="str">
        <f t="shared" si="1454"/>
        <v>Lista 4</v>
      </c>
      <c r="X2247" t="str">
        <f t="shared" si="1455"/>
        <v>Lista 5</v>
      </c>
      <c r="Y2247" t="str">
        <f t="shared" si="1456"/>
        <v>Oferta Gral.</v>
      </c>
      <c r="Z2247" t="str">
        <f t="shared" si="1457"/>
        <v>Rubro</v>
      </c>
      <c r="AA2247" t="str">
        <f t="shared" si="1458"/>
        <v>Cantidad por Bulto</v>
      </c>
      <c r="AB2247" t="str">
        <f t="shared" si="1459"/>
        <v>INNER</v>
      </c>
      <c r="AC2247" t="str">
        <f t="shared" si="1460"/>
        <v>Stock en Bultos</v>
      </c>
      <c r="AD2247" t="str">
        <f t="shared" si="1461"/>
        <v>SubDepósito</v>
      </c>
      <c r="AE2247" t="str">
        <f t="shared" si="1462"/>
        <v>Marca</v>
      </c>
      <c r="AF2247" t="str">
        <f t="shared" si="1463"/>
        <v>Super Rubro</v>
      </c>
      <c r="AG2247" t="str">
        <f t="shared" si="1464"/>
        <v>ComercioExterior</v>
      </c>
      <c r="AH2247" t="str">
        <f t="shared" si="1465"/>
        <v>PrecioFOB</v>
      </c>
      <c r="AI2247" t="str">
        <f t="shared" si="1466"/>
        <v>Monto II</v>
      </c>
      <c r="AJ2247" t="str">
        <f t="shared" si="1467"/>
        <v>Porcentaje II</v>
      </c>
      <c r="AK2247" t="str">
        <f t="shared" si="1468"/>
        <v>Foto</v>
      </c>
      <c r="AL2247" t="str">
        <f>"{\rtf1\ansi\ansicpg1252\deff0\deflang11274{\fonttbl{\f0\fnil\fcharset0 MS Sans Serif}} \viewkind4\uc1\pard\f0\fs16 JUEGO AROS STD FIAT PALIO SIENA 1.3 FIRE DIAMETRO 70,8MM SEMIHIDRAULICOS\par } "</f>
        <v xml:space="preserve">{\rtf1\ansi\ansicpg1252\deff0\deflang11274{\fonttbl{\f0\fnil\fcharset0 MS Sans Serif}} \viewkind4\uc1\pard\f0\fs16 JUEGO AROS STD FIAT PALIO SIENA 1.3 FIRE DIAMETRO 70,8MM SEMIHIDRAULICOS\par } </v>
      </c>
      <c r="AM2247" t="str">
        <f>" "</f>
        <v xml:space="preserve"> </v>
      </c>
    </row>
    <row r="2248" spans="1:39" x14ac:dyDescent="0.25">
      <c r="A2248" t="str">
        <f>"PMSH2413"</f>
        <v>PMSH2413</v>
      </c>
      <c r="B2248" t="str">
        <f>"JUEGO AROS STD FIAT STRADA PUNTO 1.3 JTD 16V DIAM 69.6MM SEMIHIDRAULICO "</f>
        <v xml:space="preserve">JUEGO AROS STD FIAT STRADA PUNTO 1.3 JTD 16V DIAM 69.6MM SEMIHIDRAULICO </v>
      </c>
      <c r="C2248" t="str">
        <f>"$ 50769,46"</f>
        <v>$ 50769,46</v>
      </c>
      <c r="D2248" t="str">
        <f>"$ 50769,46"</f>
        <v>$ 50769,46</v>
      </c>
      <c r="E2248" t="str">
        <f>"$ 50769,46"</f>
        <v>$ 50769,46</v>
      </c>
      <c r="F2248" t="str">
        <f>"$ 50769,46"</f>
        <v>$ 50769,46</v>
      </c>
      <c r="G2248" t="str">
        <f>"$ 50769,46"</f>
        <v>$ 50769,46</v>
      </c>
      <c r="H2248" t="str">
        <f t="shared" si="1449"/>
        <v>$ 0,00</v>
      </c>
      <c r="I2248" t="str">
        <f>"JUEGO AROS SEMIHIDRAULICOS"</f>
        <v>JUEGO AROS SEMIHIDRAULICOS</v>
      </c>
      <c r="J2248" t="str">
        <f t="shared" si="1450"/>
        <v>1</v>
      </c>
      <c r="K2248" t="str">
        <f t="shared" si="1432"/>
        <v>0</v>
      </c>
      <c r="L2248" t="str">
        <f>"3,000"</f>
        <v>3,000</v>
      </c>
      <c r="M2248" t="str">
        <f t="shared" si="1451"/>
        <v xml:space="preserve"> </v>
      </c>
      <c r="N2248" t="str">
        <f t="shared" si="1446"/>
        <v>PROMETAL</v>
      </c>
      <c r="O2248" t="str">
        <f t="shared" si="1447"/>
        <v>AROS DE MOTOR</v>
      </c>
      <c r="P2248" t="str">
        <f t="shared" si="1452"/>
        <v>0</v>
      </c>
      <c r="Q2248" t="str">
        <f t="shared" si="1452"/>
        <v>0</v>
      </c>
      <c r="R2248" t="str">
        <f t="shared" si="1453"/>
        <v>0,00</v>
      </c>
      <c r="S2248" t="str">
        <f t="shared" si="1453"/>
        <v>0,00</v>
      </c>
      <c r="T2248" t="str">
        <f t="shared" si="1448"/>
        <v xml:space="preserve"> </v>
      </c>
      <c r="U2248" t="str">
        <f t="shared" si="1427"/>
        <v xml:space="preserve"> </v>
      </c>
      <c r="V2248" t="str">
        <f>"3,000"</f>
        <v>3,000</v>
      </c>
      <c r="W2248" t="str">
        <f t="shared" si="1454"/>
        <v>Lista 4</v>
      </c>
      <c r="X2248" t="str">
        <f t="shared" si="1455"/>
        <v>Lista 5</v>
      </c>
      <c r="Y2248" t="str">
        <f t="shared" si="1456"/>
        <v>Oferta Gral.</v>
      </c>
      <c r="Z2248" t="str">
        <f t="shared" si="1457"/>
        <v>Rubro</v>
      </c>
      <c r="AA2248" t="str">
        <f t="shared" si="1458"/>
        <v>Cantidad por Bulto</v>
      </c>
      <c r="AB2248" t="str">
        <f t="shared" si="1459"/>
        <v>INNER</v>
      </c>
      <c r="AC2248" t="str">
        <f t="shared" si="1460"/>
        <v>Stock en Bultos</v>
      </c>
      <c r="AD2248" t="str">
        <f t="shared" si="1461"/>
        <v>SubDepósito</v>
      </c>
      <c r="AE2248" t="str">
        <f t="shared" si="1462"/>
        <v>Marca</v>
      </c>
      <c r="AF2248" t="str">
        <f t="shared" si="1463"/>
        <v>Super Rubro</v>
      </c>
      <c r="AG2248" t="str">
        <f t="shared" si="1464"/>
        <v>ComercioExterior</v>
      </c>
      <c r="AH2248" t="str">
        <f t="shared" si="1465"/>
        <v>PrecioFOB</v>
      </c>
      <c r="AI2248" t="str">
        <f t="shared" si="1466"/>
        <v>Monto II</v>
      </c>
      <c r="AJ2248" t="str">
        <f t="shared" si="1467"/>
        <v>Porcentaje II</v>
      </c>
      <c r="AK2248" t="str">
        <f t="shared" si="1468"/>
        <v>Foto</v>
      </c>
      <c r="AL2248" t="str">
        <f>"{\rtf1\ansi\ansicpg1252\deff0\deflang11274{\fonttbl{\f0\fnil\fcharset0 MS Sans Serif}} \viewkind4\uc1\pard\f0\fs16 BBA. NAFTA ELECTR. GM - CORSA 1,3/1,4/1,6 - KADETTE E 1,3/1,4/1,6/1,8 --- 0,8 BAR\par } "</f>
        <v xml:space="preserve">{\rtf1\ansi\ansicpg1252\deff0\deflang11274{\fonttbl{\f0\fnil\fcharset0 MS Sans Serif}} \viewkind4\uc1\pard\f0\fs16 BBA. NAFTA ELECTR. GM - CORSA 1,3/1,4/1,6 - KADETTE E 1,3/1,4/1,6/1,8 --- 0,8 BAR\par } </v>
      </c>
      <c r="AM2248" t="str">
        <f t="shared" ref="AM2248:AM2266" si="1469">"-"</f>
        <v>-</v>
      </c>
    </row>
    <row r="2249" spans="1:39" x14ac:dyDescent="0.25">
      <c r="A2249" t="str">
        <f>"PMSH0649"</f>
        <v>PMSH0649</v>
      </c>
      <c r="B2249" t="str">
        <f>"JUEGO AROS STD FORD ECOSPORT 1.6 16V MOTOR SIGMA SEMIHIDRAULICO"</f>
        <v>JUEGO AROS STD FORD ECOSPORT 1.6 16V MOTOR SIGMA SEMIHIDRAULICO</v>
      </c>
      <c r="C2249" t="str">
        <f>"$ 33026,87"</f>
        <v>$ 33026,87</v>
      </c>
      <c r="D2249" t="str">
        <f>"$ 33026,87"</f>
        <v>$ 33026,87</v>
      </c>
      <c r="E2249" t="str">
        <f>"$ 33026,87"</f>
        <v>$ 33026,87</v>
      </c>
      <c r="F2249" t="str">
        <f>"$ 33026,87"</f>
        <v>$ 33026,87</v>
      </c>
      <c r="G2249" t="str">
        <f>"$ 33026,87"</f>
        <v>$ 33026,87</v>
      </c>
      <c r="H2249" t="str">
        <f t="shared" si="1449"/>
        <v>$ 0,00</v>
      </c>
      <c r="I2249" t="str">
        <f>"JUEGO AROS SEMIHIDRAULICOS"</f>
        <v>JUEGO AROS SEMIHIDRAULICOS</v>
      </c>
      <c r="J2249" t="str">
        <f t="shared" si="1450"/>
        <v>1</v>
      </c>
      <c r="K2249" t="str">
        <f t="shared" si="1432"/>
        <v>0</v>
      </c>
      <c r="L2249" t="str">
        <f>"7,000"</f>
        <v>7,000</v>
      </c>
      <c r="M2249" t="str">
        <f t="shared" si="1451"/>
        <v xml:space="preserve"> </v>
      </c>
      <c r="N2249" t="str">
        <f t="shared" si="1446"/>
        <v>PROMETAL</v>
      </c>
      <c r="O2249" t="str">
        <f t="shared" si="1447"/>
        <v>AROS DE MOTOR</v>
      </c>
      <c r="P2249" t="str">
        <f t="shared" si="1452"/>
        <v>0</v>
      </c>
      <c r="Q2249" t="str">
        <f t="shared" si="1452"/>
        <v>0</v>
      </c>
      <c r="R2249" t="str">
        <f t="shared" si="1453"/>
        <v>0,00</v>
      </c>
      <c r="S2249" t="str">
        <f t="shared" si="1453"/>
        <v>0,00</v>
      </c>
      <c r="T2249" t="str">
        <f t="shared" si="1448"/>
        <v xml:space="preserve"> </v>
      </c>
      <c r="U2249" t="str">
        <f t="shared" si="1427"/>
        <v xml:space="preserve"> </v>
      </c>
      <c r="V2249" t="str">
        <f>"7,000"</f>
        <v>7,000</v>
      </c>
      <c r="W2249" t="str">
        <f t="shared" si="1454"/>
        <v>Lista 4</v>
      </c>
      <c r="X2249" t="str">
        <f t="shared" si="1455"/>
        <v>Lista 5</v>
      </c>
      <c r="Y2249" t="str">
        <f t="shared" si="1456"/>
        <v>Oferta Gral.</v>
      </c>
      <c r="Z2249" t="str">
        <f t="shared" si="1457"/>
        <v>Rubro</v>
      </c>
      <c r="AA2249" t="str">
        <f t="shared" si="1458"/>
        <v>Cantidad por Bulto</v>
      </c>
      <c r="AB2249" t="str">
        <f t="shared" si="1459"/>
        <v>INNER</v>
      </c>
      <c r="AC2249" t="str">
        <f t="shared" si="1460"/>
        <v>Stock en Bultos</v>
      </c>
      <c r="AD2249" t="str">
        <f t="shared" si="1461"/>
        <v>SubDepósito</v>
      </c>
      <c r="AE2249" t="str">
        <f t="shared" si="1462"/>
        <v>Marca</v>
      </c>
      <c r="AF2249" t="str">
        <f t="shared" si="1463"/>
        <v>Super Rubro</v>
      </c>
      <c r="AG2249" t="str">
        <f t="shared" si="1464"/>
        <v>ComercioExterior</v>
      </c>
      <c r="AH2249" t="str">
        <f t="shared" si="1465"/>
        <v>PrecioFOB</v>
      </c>
      <c r="AI2249" t="str">
        <f t="shared" si="1466"/>
        <v>Monto II</v>
      </c>
      <c r="AJ2249" t="str">
        <f t="shared" si="1467"/>
        <v>Porcentaje II</v>
      </c>
      <c r="AK2249" t="str">
        <f t="shared" si="1468"/>
        <v>Foto</v>
      </c>
      <c r="AL2249" t="str">
        <f>"{\rtf1\ansi\ansicpg1252\deff0\deflang2058{\fonttbl{\f0\fnil\fcharset0 MS Sans Serif}} \viewkind4\uc1\pard\f0\fs16 JUEGO AROS STD FORD ECOSPORT 1.6 16V MOTOR SIGMA SEMIHIDRAULICO\par } "</f>
        <v xml:space="preserve">{\rtf1\ansi\ansicpg1252\deff0\deflang2058{\fonttbl{\f0\fnil\fcharset0 MS Sans Serif}} \viewkind4\uc1\pard\f0\fs16 JUEGO AROS STD FORD ECOSPORT 1.6 16V MOTOR SIGMA SEMIHIDRAULICO\par } </v>
      </c>
      <c r="AM2249" t="str">
        <f t="shared" si="1469"/>
        <v>-</v>
      </c>
    </row>
    <row r="2250" spans="1:39" x14ac:dyDescent="0.25">
      <c r="A2250" t="str">
        <f>"PMSH0652"</f>
        <v>PMSH0652</v>
      </c>
      <c r="B2250" t="str">
        <f>"JUEGO AROS STD FORD ESCORT MONDEO MOTOR ZETEC DIAM 80.6MM SEMIHIDRAULICO"</f>
        <v>JUEGO AROS STD FORD ESCORT MONDEO MOTOR ZETEC DIAM 80.6MM SEMIHIDRAULICO</v>
      </c>
      <c r="C2250" t="str">
        <f>"$ 48524,91"</f>
        <v>$ 48524,91</v>
      </c>
      <c r="D2250" t="str">
        <f>"$ 48524,91"</f>
        <v>$ 48524,91</v>
      </c>
      <c r="E2250" t="str">
        <f>"$ 48524,91"</f>
        <v>$ 48524,91</v>
      </c>
      <c r="F2250" t="str">
        <f>"$ 48524,91"</f>
        <v>$ 48524,91</v>
      </c>
      <c r="G2250" t="str">
        <f>"$ 48524,91"</f>
        <v>$ 48524,91</v>
      </c>
      <c r="H2250" t="str">
        <f t="shared" si="1449"/>
        <v>$ 0,00</v>
      </c>
      <c r="I2250" t="str">
        <f>"JUEGO AROS SEMIHIDRAULICOS"</f>
        <v>JUEGO AROS SEMIHIDRAULICOS</v>
      </c>
      <c r="J2250" t="str">
        <f t="shared" si="1450"/>
        <v>1</v>
      </c>
      <c r="K2250" t="str">
        <f t="shared" si="1432"/>
        <v>0</v>
      </c>
      <c r="L2250" t="str">
        <f>"0,000"</f>
        <v>0,000</v>
      </c>
      <c r="M2250" t="str">
        <f t="shared" si="1451"/>
        <v xml:space="preserve"> </v>
      </c>
      <c r="N2250" t="str">
        <f t="shared" si="1446"/>
        <v>PROMETAL</v>
      </c>
      <c r="O2250" t="str">
        <f t="shared" si="1447"/>
        <v>AROS DE MOTOR</v>
      </c>
      <c r="P2250" t="str">
        <f t="shared" si="1452"/>
        <v>0</v>
      </c>
      <c r="Q2250" t="str">
        <f t="shared" si="1452"/>
        <v>0</v>
      </c>
      <c r="R2250" t="str">
        <f t="shared" si="1453"/>
        <v>0,00</v>
      </c>
      <c r="S2250" t="str">
        <f t="shared" si="1453"/>
        <v>0,00</v>
      </c>
      <c r="T2250" t="str">
        <f t="shared" si="1448"/>
        <v xml:space="preserve"> </v>
      </c>
      <c r="U2250" t="str">
        <f t="shared" si="1427"/>
        <v xml:space="preserve"> </v>
      </c>
      <c r="V2250" t="str">
        <f>"0,000"</f>
        <v>0,000</v>
      </c>
      <c r="W2250" t="str">
        <f t="shared" si="1454"/>
        <v>Lista 4</v>
      </c>
      <c r="X2250" t="str">
        <f t="shared" si="1455"/>
        <v>Lista 5</v>
      </c>
      <c r="Y2250" t="str">
        <f t="shared" si="1456"/>
        <v>Oferta Gral.</v>
      </c>
      <c r="Z2250" t="str">
        <f t="shared" si="1457"/>
        <v>Rubro</v>
      </c>
      <c r="AA2250" t="str">
        <f t="shared" si="1458"/>
        <v>Cantidad por Bulto</v>
      </c>
      <c r="AB2250" t="str">
        <f t="shared" si="1459"/>
        <v>INNER</v>
      </c>
      <c r="AC2250" t="str">
        <f t="shared" si="1460"/>
        <v>Stock en Bultos</v>
      </c>
      <c r="AD2250" t="str">
        <f t="shared" si="1461"/>
        <v>SubDepósito</v>
      </c>
      <c r="AE2250" t="str">
        <f t="shared" si="1462"/>
        <v>Marca</v>
      </c>
      <c r="AF2250" t="str">
        <f t="shared" si="1463"/>
        <v>Super Rubro</v>
      </c>
      <c r="AG2250" t="str">
        <f t="shared" si="1464"/>
        <v>ComercioExterior</v>
      </c>
      <c r="AH2250" t="str">
        <f t="shared" si="1465"/>
        <v>PrecioFOB</v>
      </c>
      <c r="AI2250" t="str">
        <f t="shared" si="1466"/>
        <v>Monto II</v>
      </c>
      <c r="AJ2250" t="str">
        <f t="shared" si="1467"/>
        <v>Porcentaje II</v>
      </c>
      <c r="AK2250" t="str">
        <f t="shared" si="1468"/>
        <v>Foto</v>
      </c>
      <c r="AL2250" t="str">
        <f>"{\rtf1\ansi\ansicpg1252\deff0\deflang11274{\fonttbl{\f0\fnil\fcharset0 MS Sans Serif}} \viewkind4\uc1\pard\f0\fs16 JUEGO AROS STD FORD ESCORT MONDEO MOTOR ZETEC DIAM 80.6MM SEMIHIDRAULICO\par } "</f>
        <v xml:space="preserve">{\rtf1\ansi\ansicpg1252\deff0\deflang11274{\fonttbl{\f0\fnil\fcharset0 MS Sans Serif}} \viewkind4\uc1\pard\f0\fs16 JUEGO AROS STD FORD ESCORT MONDEO MOTOR ZETEC DIAM 80.6MM SEMIHIDRAULICO\par } </v>
      </c>
      <c r="AM2250" t="str">
        <f t="shared" si="1469"/>
        <v>-</v>
      </c>
    </row>
    <row r="2251" spans="1:39" x14ac:dyDescent="0.25">
      <c r="A2251" t="str">
        <f>"PMR0638"</f>
        <v>PMR0638</v>
      </c>
      <c r="B2251" t="str">
        <f>"JUEGO AROS STD FORD FIESTA KA 1.3 ZETEC DIAM 73,94MM RECAMBIO HIDRÁULICO"</f>
        <v>JUEGO AROS STD FORD FIESTA KA 1.3 ZETEC DIAM 73,94MM RECAMBIO HIDRÁULICO</v>
      </c>
      <c r="C2251" t="str">
        <f>"$ 33026,87"</f>
        <v>$ 33026,87</v>
      </c>
      <c r="D2251" t="str">
        <f>"$ 33026,87"</f>
        <v>$ 33026,87</v>
      </c>
      <c r="E2251" t="str">
        <f>"$ 33026,87"</f>
        <v>$ 33026,87</v>
      </c>
      <c r="F2251" t="str">
        <f>"$ 33026,87"</f>
        <v>$ 33026,87</v>
      </c>
      <c r="G2251" t="str">
        <f>"$ 33026,87"</f>
        <v>$ 33026,87</v>
      </c>
      <c r="H2251" t="str">
        <f t="shared" si="1449"/>
        <v>$ 0,00</v>
      </c>
      <c r="I2251" t="str">
        <f>"JUEGO AROS DE RECAMBIO"</f>
        <v>JUEGO AROS DE RECAMBIO</v>
      </c>
      <c r="J2251" t="str">
        <f t="shared" si="1450"/>
        <v>1</v>
      </c>
      <c r="K2251" t="str">
        <f t="shared" si="1432"/>
        <v>0</v>
      </c>
      <c r="L2251" t="str">
        <f>"2,000"</f>
        <v>2,000</v>
      </c>
      <c r="M2251" t="str">
        <f t="shared" si="1451"/>
        <v xml:space="preserve"> </v>
      </c>
      <c r="N2251" t="str">
        <f t="shared" si="1446"/>
        <v>PROMETAL</v>
      </c>
      <c r="O2251" t="str">
        <f t="shared" si="1447"/>
        <v>AROS DE MOTOR</v>
      </c>
      <c r="P2251" t="str">
        <f t="shared" si="1452"/>
        <v>0</v>
      </c>
      <c r="Q2251" t="str">
        <f t="shared" si="1452"/>
        <v>0</v>
      </c>
      <c r="R2251" t="str">
        <f t="shared" si="1453"/>
        <v>0,00</v>
      </c>
      <c r="S2251" t="str">
        <f t="shared" si="1453"/>
        <v>0,00</v>
      </c>
      <c r="T2251" t="str">
        <f t="shared" si="1448"/>
        <v xml:space="preserve"> </v>
      </c>
      <c r="U2251" t="str">
        <f t="shared" si="1427"/>
        <v xml:space="preserve"> </v>
      </c>
      <c r="V2251" t="str">
        <f>"2,000"</f>
        <v>2,000</v>
      </c>
      <c r="W2251" t="str">
        <f t="shared" si="1454"/>
        <v>Lista 4</v>
      </c>
      <c r="X2251" t="str">
        <f t="shared" si="1455"/>
        <v>Lista 5</v>
      </c>
      <c r="Y2251" t="str">
        <f t="shared" si="1456"/>
        <v>Oferta Gral.</v>
      </c>
      <c r="Z2251" t="str">
        <f t="shared" si="1457"/>
        <v>Rubro</v>
      </c>
      <c r="AA2251" t="str">
        <f t="shared" si="1458"/>
        <v>Cantidad por Bulto</v>
      </c>
      <c r="AB2251" t="str">
        <f t="shared" si="1459"/>
        <v>INNER</v>
      </c>
      <c r="AC2251" t="str">
        <f t="shared" si="1460"/>
        <v>Stock en Bultos</v>
      </c>
      <c r="AD2251" t="str">
        <f t="shared" si="1461"/>
        <v>SubDepósito</v>
      </c>
      <c r="AE2251" t="str">
        <f t="shared" si="1462"/>
        <v>Marca</v>
      </c>
      <c r="AF2251" t="str">
        <f t="shared" si="1463"/>
        <v>Super Rubro</v>
      </c>
      <c r="AG2251" t="str">
        <f t="shared" si="1464"/>
        <v>ComercioExterior</v>
      </c>
      <c r="AH2251" t="str">
        <f t="shared" si="1465"/>
        <v>PrecioFOB</v>
      </c>
      <c r="AI2251" t="str">
        <f t="shared" si="1466"/>
        <v>Monto II</v>
      </c>
      <c r="AJ2251" t="str">
        <f t="shared" si="1467"/>
        <v>Porcentaje II</v>
      </c>
      <c r="AK2251" t="str">
        <f t="shared" si="1468"/>
        <v>Foto</v>
      </c>
      <c r="AL2251" t="str">
        <f>"{\rtf1\ansi\ansicpg1252\deff0\deflang11274{\fonttbl{\f0\fnil\fcharset0 MS Sans Serif}} \viewkind4\uc1\pard\f0\fs16 JUEGO AROS STD FORD FIESTA KA 1.3 ZETEC DIAM 73,94MM RECAMBIO HIDR\'c1ULICO\par } "</f>
        <v xml:space="preserve">{\rtf1\ansi\ansicpg1252\deff0\deflang11274{\fonttbl{\f0\fnil\fcharset0 MS Sans Serif}} \viewkind4\uc1\pard\f0\fs16 JUEGO AROS STD FORD FIESTA KA 1.3 ZETEC DIAM 73,94MM RECAMBIO HIDR\'c1ULICO\par } </v>
      </c>
      <c r="AM2251" t="str">
        <f t="shared" si="1469"/>
        <v>-</v>
      </c>
    </row>
    <row r="2252" spans="1:39" x14ac:dyDescent="0.25">
      <c r="A2252" t="str">
        <f>"PMSH3102"</f>
        <v>PMSH3102</v>
      </c>
      <c r="B2252" t="str">
        <f>"JUEGO AROS STD FORD RANGER 2.5 MAXION DIAM 90.74 MM SEMIHIDRAULICO"</f>
        <v>JUEGO AROS STD FORD RANGER 2.5 MAXION DIAM 90.74 MM SEMIHIDRAULICO</v>
      </c>
      <c r="C2252" t="str">
        <f>"$ 71718,54"</f>
        <v>$ 71718,54</v>
      </c>
      <c r="D2252" t="str">
        <f>"$ 71718,54"</f>
        <v>$ 71718,54</v>
      </c>
      <c r="E2252" t="str">
        <f>"$ 71718,54"</f>
        <v>$ 71718,54</v>
      </c>
      <c r="F2252" t="str">
        <f>"$ 71718,54"</f>
        <v>$ 71718,54</v>
      </c>
      <c r="G2252" t="str">
        <f>"$ 71718,54"</f>
        <v>$ 71718,54</v>
      </c>
      <c r="H2252" t="str">
        <f t="shared" si="1449"/>
        <v>$ 0,00</v>
      </c>
      <c r="I2252" t="str">
        <f>"JUEGO AROS SEMIHIDRAULICOS"</f>
        <v>JUEGO AROS SEMIHIDRAULICOS</v>
      </c>
      <c r="J2252" t="str">
        <f t="shared" si="1450"/>
        <v>1</v>
      </c>
      <c r="K2252" t="str">
        <f t="shared" si="1432"/>
        <v>0</v>
      </c>
      <c r="L2252" t="str">
        <f>"0,000"</f>
        <v>0,000</v>
      </c>
      <c r="M2252" t="str">
        <f t="shared" si="1451"/>
        <v xml:space="preserve"> </v>
      </c>
      <c r="N2252" t="str">
        <f t="shared" si="1446"/>
        <v>PROMETAL</v>
      </c>
      <c r="O2252" t="str">
        <f t="shared" si="1447"/>
        <v>AROS DE MOTOR</v>
      </c>
      <c r="P2252" t="str">
        <f t="shared" si="1452"/>
        <v>0</v>
      </c>
      <c r="Q2252" t="str">
        <f t="shared" si="1452"/>
        <v>0</v>
      </c>
      <c r="R2252" t="str">
        <f t="shared" si="1453"/>
        <v>0,00</v>
      </c>
      <c r="S2252" t="str">
        <f t="shared" si="1453"/>
        <v>0,00</v>
      </c>
      <c r="T2252" t="str">
        <f t="shared" si="1448"/>
        <v xml:space="preserve"> </v>
      </c>
      <c r="U2252" t="str">
        <f t="shared" ref="U2252:U2308" si="1470">" "</f>
        <v xml:space="preserve"> </v>
      </c>
      <c r="V2252" t="str">
        <f>"0,000"</f>
        <v>0,000</v>
      </c>
      <c r="W2252" t="str">
        <f t="shared" si="1454"/>
        <v>Lista 4</v>
      </c>
      <c r="X2252" t="str">
        <f t="shared" si="1455"/>
        <v>Lista 5</v>
      </c>
      <c r="Y2252" t="str">
        <f t="shared" si="1456"/>
        <v>Oferta Gral.</v>
      </c>
      <c r="Z2252" t="str">
        <f t="shared" si="1457"/>
        <v>Rubro</v>
      </c>
      <c r="AA2252" t="str">
        <f t="shared" si="1458"/>
        <v>Cantidad por Bulto</v>
      </c>
      <c r="AB2252" t="str">
        <f t="shared" si="1459"/>
        <v>INNER</v>
      </c>
      <c r="AC2252" t="str">
        <f t="shared" si="1460"/>
        <v>Stock en Bultos</v>
      </c>
      <c r="AD2252" t="str">
        <f t="shared" si="1461"/>
        <v>SubDepósito</v>
      </c>
      <c r="AE2252" t="str">
        <f t="shared" si="1462"/>
        <v>Marca</v>
      </c>
      <c r="AF2252" t="str">
        <f t="shared" si="1463"/>
        <v>Super Rubro</v>
      </c>
      <c r="AG2252" t="str">
        <f t="shared" si="1464"/>
        <v>ComercioExterior</v>
      </c>
      <c r="AH2252" t="str">
        <f t="shared" si="1465"/>
        <v>PrecioFOB</v>
      </c>
      <c r="AI2252" t="str">
        <f t="shared" si="1466"/>
        <v>Monto II</v>
      </c>
      <c r="AJ2252" t="str">
        <f t="shared" si="1467"/>
        <v>Porcentaje II</v>
      </c>
      <c r="AK2252" t="str">
        <f t="shared" si="1468"/>
        <v>Foto</v>
      </c>
      <c r="AL2252" t="str">
        <f>"{\rtf1\ansi\ansicpg1252\deff0\deflang11274{\fonttbl{\f0\fnil\fcharset0 MS Sans Serif}} \viewkind4\uc1\pard\f0\fs16 JUEGO AROS STD FORD RANGER 2.5 MAXION DIAM 90.74 MM SEMIHIDRAULICO\par } "</f>
        <v xml:space="preserve">{\rtf1\ansi\ansicpg1252\deff0\deflang11274{\fonttbl{\f0\fnil\fcharset0 MS Sans Serif}} \viewkind4\uc1\pard\f0\fs16 JUEGO AROS STD FORD RANGER 2.5 MAXION DIAM 90.74 MM SEMIHIDRAULICO\par } </v>
      </c>
      <c r="AM2252" t="str">
        <f t="shared" si="1469"/>
        <v>-</v>
      </c>
    </row>
    <row r="2253" spans="1:39" x14ac:dyDescent="0.25">
      <c r="A2253" t="str">
        <f>"PMR0628"</f>
        <v>PMR0628</v>
      </c>
      <c r="B2253" t="str">
        <f>"JUEGO AROS STD FORD TAUNUS 2000 DIAMETRO 89,3MM RECAMBIO HIDRÁULICO"</f>
        <v>JUEGO AROS STD FORD TAUNUS 2000 DIAMETRO 89,3MM RECAMBIO HIDRÁULICO</v>
      </c>
      <c r="C2253" t="str">
        <f>"$ 37462,51"</f>
        <v>$ 37462,51</v>
      </c>
      <c r="D2253" t="str">
        <f>"$ 37462,51"</f>
        <v>$ 37462,51</v>
      </c>
      <c r="E2253" t="str">
        <f>"$ 37462,51"</f>
        <v>$ 37462,51</v>
      </c>
      <c r="F2253" t="str">
        <f>"$ 37462,51"</f>
        <v>$ 37462,51</v>
      </c>
      <c r="G2253" t="str">
        <f>"$ 37462,51"</f>
        <v>$ 37462,51</v>
      </c>
      <c r="H2253" t="str">
        <f t="shared" si="1449"/>
        <v>$ 0,00</v>
      </c>
      <c r="I2253" t="str">
        <f>"JUEGO AROS DE RECAMBIO"</f>
        <v>JUEGO AROS DE RECAMBIO</v>
      </c>
      <c r="J2253" t="str">
        <f t="shared" si="1450"/>
        <v>1</v>
      </c>
      <c r="K2253" t="str">
        <f t="shared" si="1432"/>
        <v>0</v>
      </c>
      <c r="L2253" t="str">
        <f>"2,000"</f>
        <v>2,000</v>
      </c>
      <c r="M2253" t="str">
        <f t="shared" si="1451"/>
        <v xml:space="preserve"> </v>
      </c>
      <c r="N2253" t="str">
        <f t="shared" si="1446"/>
        <v>PROMETAL</v>
      </c>
      <c r="O2253" t="str">
        <f t="shared" si="1447"/>
        <v>AROS DE MOTOR</v>
      </c>
      <c r="P2253" t="str">
        <f t="shared" si="1452"/>
        <v>0</v>
      </c>
      <c r="Q2253" t="str">
        <f t="shared" si="1452"/>
        <v>0</v>
      </c>
      <c r="R2253" t="str">
        <f t="shared" si="1453"/>
        <v>0,00</v>
      </c>
      <c r="S2253" t="str">
        <f t="shared" si="1453"/>
        <v>0,00</v>
      </c>
      <c r="T2253" t="str">
        <f t="shared" si="1448"/>
        <v xml:space="preserve"> </v>
      </c>
      <c r="U2253" t="str">
        <f t="shared" si="1470"/>
        <v xml:space="preserve"> </v>
      </c>
      <c r="V2253" t="str">
        <f>"2,000"</f>
        <v>2,000</v>
      </c>
      <c r="W2253" t="str">
        <f t="shared" si="1454"/>
        <v>Lista 4</v>
      </c>
      <c r="X2253" t="str">
        <f t="shared" si="1455"/>
        <v>Lista 5</v>
      </c>
      <c r="Y2253" t="str">
        <f t="shared" si="1456"/>
        <v>Oferta Gral.</v>
      </c>
      <c r="Z2253" t="str">
        <f t="shared" si="1457"/>
        <v>Rubro</v>
      </c>
      <c r="AA2253" t="str">
        <f t="shared" si="1458"/>
        <v>Cantidad por Bulto</v>
      </c>
      <c r="AB2253" t="str">
        <f t="shared" si="1459"/>
        <v>INNER</v>
      </c>
      <c r="AC2253" t="str">
        <f t="shared" si="1460"/>
        <v>Stock en Bultos</v>
      </c>
      <c r="AD2253" t="str">
        <f t="shared" si="1461"/>
        <v>SubDepósito</v>
      </c>
      <c r="AE2253" t="str">
        <f t="shared" si="1462"/>
        <v>Marca</v>
      </c>
      <c r="AF2253" t="str">
        <f t="shared" si="1463"/>
        <v>Super Rubro</v>
      </c>
      <c r="AG2253" t="str">
        <f t="shared" si="1464"/>
        <v>ComercioExterior</v>
      </c>
      <c r="AH2253" t="str">
        <f t="shared" si="1465"/>
        <v>PrecioFOB</v>
      </c>
      <c r="AI2253" t="str">
        <f t="shared" si="1466"/>
        <v>Monto II</v>
      </c>
      <c r="AJ2253" t="str">
        <f t="shared" si="1467"/>
        <v>Porcentaje II</v>
      </c>
      <c r="AK2253" t="str">
        <f t="shared" si="1468"/>
        <v>Foto</v>
      </c>
      <c r="AL2253" t="str">
        <f>"{\rtf1\ansi\ansicpg1252\deff0\deflang11274{\fonttbl{\f0\fnil\fcharset0 MS Sans Serif}} \viewkind4\uc1\pard\f0\fs16 JUEGO AROS STD FORD TAUNUS 2000 DIAMETRO 89,3MM RECAMBIO HIDR\'c1ULICO\par } "</f>
        <v xml:space="preserve">{\rtf1\ansi\ansicpg1252\deff0\deflang11274{\fonttbl{\f0\fnil\fcharset0 MS Sans Serif}} \viewkind4\uc1\pard\f0\fs16 JUEGO AROS STD FORD TAUNUS 2000 DIAMETRO 89,3MM RECAMBIO HIDR\'c1ULICO\par } </v>
      </c>
      <c r="AM2253" t="str">
        <f t="shared" si="1469"/>
        <v>-</v>
      </c>
    </row>
    <row r="2254" spans="1:39" x14ac:dyDescent="0.25">
      <c r="A2254" t="str">
        <f>"PMSH1609"</f>
        <v>PMSH1609</v>
      </c>
      <c r="B2254" t="str">
        <f>"JUEGO AROS STD PEUGEOT 206/306 1.9 MOTOR DW8 DIAM 82.20 MM RECAMBIO SEMIHIDRÁULICO"</f>
        <v>JUEGO AROS STD PEUGEOT 206/306 1.9 MOTOR DW8 DIAM 82.20 MM RECAMBIO SEMIHIDRÁULICO</v>
      </c>
      <c r="C2254" t="str">
        <f>"$ 44089,26"</f>
        <v>$ 44089,26</v>
      </c>
      <c r="D2254" t="str">
        <f>"$ 44089,26"</f>
        <v>$ 44089,26</v>
      </c>
      <c r="E2254" t="str">
        <f>"$ 44089,26"</f>
        <v>$ 44089,26</v>
      </c>
      <c r="F2254" t="str">
        <f>"$ 44089,26"</f>
        <v>$ 44089,26</v>
      </c>
      <c r="G2254" t="str">
        <f>"$ 44089,26"</f>
        <v>$ 44089,26</v>
      </c>
      <c r="H2254" t="str">
        <f t="shared" si="1449"/>
        <v>$ 0,00</v>
      </c>
      <c r="I2254" t="str">
        <f>"JUEGO AROS SEMIHIDRAULICOS"</f>
        <v>JUEGO AROS SEMIHIDRAULICOS</v>
      </c>
      <c r="J2254" t="str">
        <f t="shared" si="1450"/>
        <v>1</v>
      </c>
      <c r="K2254" t="str">
        <f t="shared" si="1432"/>
        <v>0</v>
      </c>
      <c r="L2254" t="str">
        <f>"5,000"</f>
        <v>5,000</v>
      </c>
      <c r="M2254" t="str">
        <f t="shared" si="1451"/>
        <v xml:space="preserve"> </v>
      </c>
      <c r="N2254" t="str">
        <f t="shared" si="1446"/>
        <v>PROMETAL</v>
      </c>
      <c r="O2254" t="str">
        <f t="shared" si="1447"/>
        <v>AROS DE MOTOR</v>
      </c>
      <c r="P2254" t="str">
        <f t="shared" si="1452"/>
        <v>0</v>
      </c>
      <c r="Q2254" t="str">
        <f t="shared" si="1452"/>
        <v>0</v>
      </c>
      <c r="R2254" t="str">
        <f t="shared" si="1453"/>
        <v>0,00</v>
      </c>
      <c r="S2254" t="str">
        <f t="shared" si="1453"/>
        <v>0,00</v>
      </c>
      <c r="T2254" t="str">
        <f t="shared" si="1448"/>
        <v xml:space="preserve"> </v>
      </c>
      <c r="U2254" t="str">
        <f t="shared" si="1470"/>
        <v xml:space="preserve"> </v>
      </c>
      <c r="V2254" t="str">
        <f>"5,000"</f>
        <v>5,000</v>
      </c>
      <c r="W2254" t="str">
        <f t="shared" si="1454"/>
        <v>Lista 4</v>
      </c>
      <c r="X2254" t="str">
        <f t="shared" si="1455"/>
        <v>Lista 5</v>
      </c>
      <c r="Y2254" t="str">
        <f t="shared" si="1456"/>
        <v>Oferta Gral.</v>
      </c>
      <c r="Z2254" t="str">
        <f t="shared" si="1457"/>
        <v>Rubro</v>
      </c>
      <c r="AA2254" t="str">
        <f t="shared" si="1458"/>
        <v>Cantidad por Bulto</v>
      </c>
      <c r="AB2254" t="str">
        <f t="shared" si="1459"/>
        <v>INNER</v>
      </c>
      <c r="AC2254" t="str">
        <f t="shared" si="1460"/>
        <v>Stock en Bultos</v>
      </c>
      <c r="AD2254" t="str">
        <f t="shared" si="1461"/>
        <v>SubDepósito</v>
      </c>
      <c r="AE2254" t="str">
        <f t="shared" si="1462"/>
        <v>Marca</v>
      </c>
      <c r="AF2254" t="str">
        <f t="shared" si="1463"/>
        <v>Super Rubro</v>
      </c>
      <c r="AG2254" t="str">
        <f t="shared" si="1464"/>
        <v>ComercioExterior</v>
      </c>
      <c r="AH2254" t="str">
        <f t="shared" si="1465"/>
        <v>PrecioFOB</v>
      </c>
      <c r="AI2254" t="str">
        <f t="shared" si="1466"/>
        <v>Monto II</v>
      </c>
      <c r="AJ2254" t="str">
        <f t="shared" si="1467"/>
        <v>Porcentaje II</v>
      </c>
      <c r="AK2254" t="str">
        <f t="shared" si="1468"/>
        <v>Foto</v>
      </c>
      <c r="AL2254" t="str">
        <f>"{\rtf1\ansi\ansicpg1252\deff0\deflang11274{\fonttbl{\f0\fnil\fcharset0 MS Sans Serif}} \viewkind4\uc1\pard\f0\fs16 JUEGO AROS STD PEUGEOT 206/306 1.9 MOTOR DW8 DIAM 82.20 MM RECAMBIO SEMIHIDR\'c1ULICO\par } "</f>
        <v xml:space="preserve">{\rtf1\ansi\ansicpg1252\deff0\deflang11274{\fonttbl{\f0\fnil\fcharset0 MS Sans Serif}} \viewkind4\uc1\pard\f0\fs16 JUEGO AROS STD PEUGEOT 206/306 1.9 MOTOR DW8 DIAM 82.20 MM RECAMBIO SEMIHIDR\'c1ULICO\par } </v>
      </c>
      <c r="AM2254" t="str">
        <f t="shared" si="1469"/>
        <v>-</v>
      </c>
    </row>
    <row r="2255" spans="1:39" x14ac:dyDescent="0.25">
      <c r="A2255" t="str">
        <f>"PMSH1617"</f>
        <v>PMSH1617</v>
      </c>
      <c r="B2255" t="str">
        <f>"JUEGO AROS STD PEUGEOT 404 RASTROJERO INDENOR 4.88 DIAM 94 MM RECAMBIO SEMIHIDRÁULICO "</f>
        <v xml:space="preserve">JUEGO AROS STD PEUGEOT 404 RASTROJERO INDENOR 4.88 DIAM 94 MM RECAMBIO SEMIHIDRÁULICO </v>
      </c>
      <c r="C2255" t="str">
        <f>"$ 37462,51"</f>
        <v>$ 37462,51</v>
      </c>
      <c r="D2255" t="str">
        <f>"$ 37462,51"</f>
        <v>$ 37462,51</v>
      </c>
      <c r="E2255" t="str">
        <f>"$ 37462,51"</f>
        <v>$ 37462,51</v>
      </c>
      <c r="F2255" t="str">
        <f>"$ 37462,51"</f>
        <v>$ 37462,51</v>
      </c>
      <c r="G2255" t="str">
        <f>"$ 37462,51"</f>
        <v>$ 37462,51</v>
      </c>
      <c r="H2255" t="str">
        <f t="shared" si="1449"/>
        <v>$ 0,00</v>
      </c>
      <c r="I2255" t="str">
        <f>"JUEGO AROS SEMIHIDRAULICOS"</f>
        <v>JUEGO AROS SEMIHIDRAULICOS</v>
      </c>
      <c r="J2255" t="str">
        <f t="shared" si="1450"/>
        <v>1</v>
      </c>
      <c r="K2255" t="str">
        <f t="shared" si="1432"/>
        <v>0</v>
      </c>
      <c r="L2255" t="str">
        <f>"3,000"</f>
        <v>3,000</v>
      </c>
      <c r="M2255" t="str">
        <f t="shared" si="1451"/>
        <v xml:space="preserve"> </v>
      </c>
      <c r="N2255" t="str">
        <f t="shared" si="1446"/>
        <v>PROMETAL</v>
      </c>
      <c r="O2255" t="str">
        <f t="shared" si="1447"/>
        <v>AROS DE MOTOR</v>
      </c>
      <c r="P2255" t="str">
        <f t="shared" si="1452"/>
        <v>0</v>
      </c>
      <c r="Q2255" t="str">
        <f t="shared" si="1452"/>
        <v>0</v>
      </c>
      <c r="R2255" t="str">
        <f t="shared" si="1453"/>
        <v>0,00</v>
      </c>
      <c r="S2255" t="str">
        <f t="shared" si="1453"/>
        <v>0,00</v>
      </c>
      <c r="T2255" t="str">
        <f t="shared" si="1448"/>
        <v xml:space="preserve"> </v>
      </c>
      <c r="U2255" t="str">
        <f t="shared" si="1470"/>
        <v xml:space="preserve"> </v>
      </c>
      <c r="V2255" t="str">
        <f>"3,000"</f>
        <v>3,000</v>
      </c>
      <c r="W2255" t="str">
        <f t="shared" si="1454"/>
        <v>Lista 4</v>
      </c>
      <c r="X2255" t="str">
        <f t="shared" si="1455"/>
        <v>Lista 5</v>
      </c>
      <c r="Y2255" t="str">
        <f t="shared" si="1456"/>
        <v>Oferta Gral.</v>
      </c>
      <c r="Z2255" t="str">
        <f t="shared" si="1457"/>
        <v>Rubro</v>
      </c>
      <c r="AA2255" t="str">
        <f t="shared" si="1458"/>
        <v>Cantidad por Bulto</v>
      </c>
      <c r="AB2255" t="str">
        <f t="shared" si="1459"/>
        <v>INNER</v>
      </c>
      <c r="AC2255" t="str">
        <f t="shared" si="1460"/>
        <v>Stock en Bultos</v>
      </c>
      <c r="AD2255" t="str">
        <f t="shared" si="1461"/>
        <v>SubDepósito</v>
      </c>
      <c r="AE2255" t="str">
        <f t="shared" si="1462"/>
        <v>Marca</v>
      </c>
      <c r="AF2255" t="str">
        <f t="shared" si="1463"/>
        <v>Super Rubro</v>
      </c>
      <c r="AG2255" t="str">
        <f t="shared" si="1464"/>
        <v>ComercioExterior</v>
      </c>
      <c r="AH2255" t="str">
        <f t="shared" si="1465"/>
        <v>PrecioFOB</v>
      </c>
      <c r="AI2255" t="str">
        <f t="shared" si="1466"/>
        <v>Monto II</v>
      </c>
      <c r="AJ2255" t="str">
        <f t="shared" si="1467"/>
        <v>Porcentaje II</v>
      </c>
      <c r="AK2255" t="str">
        <f t="shared" si="1468"/>
        <v>Foto</v>
      </c>
      <c r="AL2255" t="str">
        <f>"{\rtf1\ansi\ansicpg1252\deff0\deflang11274{\fonttbl{\f0\fnil\fcharset0 MS Sans Serif}} \viewkind4\uc1\pard\f0\fs16 JUEGO AROS STD PEUGEOT 404 RASTROJERO INDENOR 4.88 DIAM 94 MM RECAMBIO SEMIHIDR\'c1ULICO \par } "</f>
        <v xml:space="preserve">{\rtf1\ansi\ansicpg1252\deff0\deflang11274{\fonttbl{\f0\fnil\fcharset0 MS Sans Serif}} \viewkind4\uc1\pard\f0\fs16 JUEGO AROS STD PEUGEOT 404 RASTROJERO INDENOR 4.88 DIAM 94 MM RECAMBIO SEMIHIDR\'c1ULICO \par } </v>
      </c>
      <c r="AM2255" t="str">
        <f t="shared" si="1469"/>
        <v>-</v>
      </c>
    </row>
    <row r="2256" spans="1:39" x14ac:dyDescent="0.25">
      <c r="A2256" t="str">
        <f>"PMSH1605"</f>
        <v>PMSH1605</v>
      </c>
      <c r="B2256" t="str">
        <f>"JUEGO AROS STD PEUGEOT 405 DIESEL MOTOR XUD9 DIAM 83MM SEMIHIDRÁULICO"</f>
        <v>JUEGO AROS STD PEUGEOT 405 DIESEL MOTOR XUD9 DIAM 83MM SEMIHIDRÁULICO</v>
      </c>
      <c r="C2256" t="str">
        <f>"$ 50769,46"</f>
        <v>$ 50769,46</v>
      </c>
      <c r="D2256" t="str">
        <f>"$ 50769,46"</f>
        <v>$ 50769,46</v>
      </c>
      <c r="E2256" t="str">
        <f>"$ 50769,46"</f>
        <v>$ 50769,46</v>
      </c>
      <c r="F2256" t="str">
        <f>"$ 50769,46"</f>
        <v>$ 50769,46</v>
      </c>
      <c r="G2256" t="str">
        <f>"$ 50769,46"</f>
        <v>$ 50769,46</v>
      </c>
      <c r="H2256" t="str">
        <f t="shared" si="1449"/>
        <v>$ 0,00</v>
      </c>
      <c r="I2256" t="str">
        <f>"JUEGO AROS SEMIHIDRAULICOS"</f>
        <v>JUEGO AROS SEMIHIDRAULICOS</v>
      </c>
      <c r="J2256" t="str">
        <f t="shared" si="1450"/>
        <v>1</v>
      </c>
      <c r="K2256" t="str">
        <f t="shared" si="1432"/>
        <v>0</v>
      </c>
      <c r="L2256" t="str">
        <f>"6,000"</f>
        <v>6,000</v>
      </c>
      <c r="M2256" t="str">
        <f t="shared" si="1451"/>
        <v xml:space="preserve"> </v>
      </c>
      <c r="N2256" t="str">
        <f t="shared" si="1446"/>
        <v>PROMETAL</v>
      </c>
      <c r="O2256" t="str">
        <f t="shared" si="1447"/>
        <v>AROS DE MOTOR</v>
      </c>
      <c r="P2256" t="str">
        <f t="shared" si="1452"/>
        <v>0</v>
      </c>
      <c r="Q2256" t="str">
        <f t="shared" si="1452"/>
        <v>0</v>
      </c>
      <c r="R2256" t="str">
        <f t="shared" si="1453"/>
        <v>0,00</v>
      </c>
      <c r="S2256" t="str">
        <f t="shared" si="1453"/>
        <v>0,00</v>
      </c>
      <c r="T2256" t="str">
        <f t="shared" si="1448"/>
        <v xml:space="preserve"> </v>
      </c>
      <c r="U2256" t="str">
        <f t="shared" si="1470"/>
        <v xml:space="preserve"> </v>
      </c>
      <c r="V2256" t="str">
        <f>"6,000"</f>
        <v>6,000</v>
      </c>
      <c r="W2256" t="str">
        <f t="shared" si="1454"/>
        <v>Lista 4</v>
      </c>
      <c r="X2256" t="str">
        <f t="shared" si="1455"/>
        <v>Lista 5</v>
      </c>
      <c r="Y2256" t="str">
        <f t="shared" si="1456"/>
        <v>Oferta Gral.</v>
      </c>
      <c r="Z2256" t="str">
        <f t="shared" si="1457"/>
        <v>Rubro</v>
      </c>
      <c r="AA2256" t="str">
        <f t="shared" si="1458"/>
        <v>Cantidad por Bulto</v>
      </c>
      <c r="AB2256" t="str">
        <f t="shared" si="1459"/>
        <v>INNER</v>
      </c>
      <c r="AC2256" t="str">
        <f t="shared" si="1460"/>
        <v>Stock en Bultos</v>
      </c>
      <c r="AD2256" t="str">
        <f t="shared" si="1461"/>
        <v>SubDepósito</v>
      </c>
      <c r="AE2256" t="str">
        <f t="shared" si="1462"/>
        <v>Marca</v>
      </c>
      <c r="AF2256" t="str">
        <f t="shared" si="1463"/>
        <v>Super Rubro</v>
      </c>
      <c r="AG2256" t="str">
        <f t="shared" si="1464"/>
        <v>ComercioExterior</v>
      </c>
      <c r="AH2256" t="str">
        <f t="shared" si="1465"/>
        <v>PrecioFOB</v>
      </c>
      <c r="AI2256" t="str">
        <f t="shared" si="1466"/>
        <v>Monto II</v>
      </c>
      <c r="AJ2256" t="str">
        <f t="shared" si="1467"/>
        <v>Porcentaje II</v>
      </c>
      <c r="AK2256" t="str">
        <f t="shared" si="1468"/>
        <v>Foto</v>
      </c>
      <c r="AL2256" t="str">
        <f>"{\rtf1\ansi\ansicpg1252\deff0\deflang2058{\fonttbl{\f0\fnil\fcharset0 MS Sans Serif}} \viewkind4\uc1\pard\f0\fs16 JUEGO AROS STD PEUGEOT 405 DIESEL MOTOR XUD9 DIAM 83MM SEMIHIDR\'c1ULICO\par } "</f>
        <v xml:space="preserve">{\rtf1\ansi\ansicpg1252\deff0\deflang2058{\fonttbl{\f0\fnil\fcharset0 MS Sans Serif}} \viewkind4\uc1\pard\f0\fs16 JUEGO AROS STD PEUGEOT 405 DIESEL MOTOR XUD9 DIAM 83MM SEMIHIDR\'c1ULICO\par } </v>
      </c>
      <c r="AM2256" t="str">
        <f t="shared" si="1469"/>
        <v>-</v>
      </c>
    </row>
    <row r="2257" spans="1:39" x14ac:dyDescent="0.25">
      <c r="A2257" t="str">
        <f>"PMR1601"</f>
        <v>PMR1601</v>
      </c>
      <c r="B2257" t="str">
        <f>"JUEGO AROS STD PEUGEOT 405 NAFTA MOTOR XU9 DIAM 83MM RECAMBIO"</f>
        <v>JUEGO AROS STD PEUGEOT 405 NAFTA MOTOR XU9 DIAM 83MM RECAMBIO</v>
      </c>
      <c r="C2257" t="str">
        <f>"$ 35271,41"</f>
        <v>$ 35271,41</v>
      </c>
      <c r="D2257" t="str">
        <f>"$ 35271,41"</f>
        <v>$ 35271,41</v>
      </c>
      <c r="E2257" t="str">
        <f>"$ 35271,41"</f>
        <v>$ 35271,41</v>
      </c>
      <c r="F2257" t="str">
        <f>"$ 35271,41"</f>
        <v>$ 35271,41</v>
      </c>
      <c r="G2257" t="str">
        <f>"$ 35271,41"</f>
        <v>$ 35271,41</v>
      </c>
      <c r="H2257" t="str">
        <f t="shared" si="1449"/>
        <v>$ 0,00</v>
      </c>
      <c r="I2257" t="str">
        <f>"JUEGO AROS DE RECAMBIO"</f>
        <v>JUEGO AROS DE RECAMBIO</v>
      </c>
      <c r="J2257" t="str">
        <f t="shared" si="1450"/>
        <v>1</v>
      </c>
      <c r="K2257" t="str">
        <f t="shared" si="1432"/>
        <v>0</v>
      </c>
      <c r="L2257" t="str">
        <f>"0,000"</f>
        <v>0,000</v>
      </c>
      <c r="M2257" t="str">
        <f t="shared" si="1451"/>
        <v xml:space="preserve"> </v>
      </c>
      <c r="N2257" t="str">
        <f t="shared" si="1446"/>
        <v>PROMETAL</v>
      </c>
      <c r="O2257" t="str">
        <f t="shared" si="1447"/>
        <v>AROS DE MOTOR</v>
      </c>
      <c r="P2257" t="str">
        <f t="shared" si="1452"/>
        <v>0</v>
      </c>
      <c r="Q2257" t="str">
        <f t="shared" si="1452"/>
        <v>0</v>
      </c>
      <c r="R2257" t="str">
        <f t="shared" si="1453"/>
        <v>0,00</v>
      </c>
      <c r="S2257" t="str">
        <f t="shared" si="1453"/>
        <v>0,00</v>
      </c>
      <c r="T2257" t="str">
        <f t="shared" si="1448"/>
        <v xml:space="preserve"> </v>
      </c>
      <c r="U2257" t="str">
        <f t="shared" si="1470"/>
        <v xml:space="preserve"> </v>
      </c>
      <c r="V2257" t="str">
        <f>"0,000"</f>
        <v>0,000</v>
      </c>
      <c r="W2257" t="str">
        <f t="shared" si="1454"/>
        <v>Lista 4</v>
      </c>
      <c r="X2257" t="str">
        <f t="shared" si="1455"/>
        <v>Lista 5</v>
      </c>
      <c r="Y2257" t="str">
        <f t="shared" si="1456"/>
        <v>Oferta Gral.</v>
      </c>
      <c r="Z2257" t="str">
        <f t="shared" si="1457"/>
        <v>Rubro</v>
      </c>
      <c r="AA2257" t="str">
        <f t="shared" si="1458"/>
        <v>Cantidad por Bulto</v>
      </c>
      <c r="AB2257" t="str">
        <f t="shared" si="1459"/>
        <v>INNER</v>
      </c>
      <c r="AC2257" t="str">
        <f t="shared" si="1460"/>
        <v>Stock en Bultos</v>
      </c>
      <c r="AD2257" t="str">
        <f t="shared" si="1461"/>
        <v>SubDepósito</v>
      </c>
      <c r="AE2257" t="str">
        <f t="shared" si="1462"/>
        <v>Marca</v>
      </c>
      <c r="AF2257" t="str">
        <f t="shared" si="1463"/>
        <v>Super Rubro</v>
      </c>
      <c r="AG2257" t="str">
        <f t="shared" si="1464"/>
        <v>ComercioExterior</v>
      </c>
      <c r="AH2257" t="str">
        <f t="shared" si="1465"/>
        <v>PrecioFOB</v>
      </c>
      <c r="AI2257" t="str">
        <f t="shared" si="1466"/>
        <v>Monto II</v>
      </c>
      <c r="AJ2257" t="str">
        <f t="shared" si="1467"/>
        <v>Porcentaje II</v>
      </c>
      <c r="AK2257" t="str">
        <f t="shared" si="1468"/>
        <v>Foto</v>
      </c>
      <c r="AL2257" t="str">
        <f>"{\rtf1\ansi\ansicpg1252\deff0\deflang11274{\fonttbl{\f0\fnil\fcharset0 MS Sans Serif}} \viewkind4\uc1\pard\f0\fs16 JUEGO AROS STD PEUGEOT 405 NAFTA MOTOR XU9 DIAM 83MM RECAMBIO\par } "</f>
        <v xml:space="preserve">{\rtf1\ansi\ansicpg1252\deff0\deflang11274{\fonttbl{\f0\fnil\fcharset0 MS Sans Serif}} \viewkind4\uc1\pard\f0\fs16 JUEGO AROS STD PEUGEOT 405 NAFTA MOTOR XU9 DIAM 83MM RECAMBIO\par } </v>
      </c>
      <c r="AM2257" t="str">
        <f t="shared" si="1469"/>
        <v>-</v>
      </c>
    </row>
    <row r="2258" spans="1:39" x14ac:dyDescent="0.25">
      <c r="A2258" t="str">
        <f>"PMR1617"</f>
        <v>PMR1617</v>
      </c>
      <c r="B2258" t="str">
        <f>"JUEGO AROS STD PEUGEOT 504D MOTOR XD2 DIAM 94MM RECAMBIO"</f>
        <v>JUEGO AROS STD PEUGEOT 504D MOTOR XD2 DIAM 94MM RECAMBIO</v>
      </c>
      <c r="C2258" t="str">
        <f>"$ 37462,51"</f>
        <v>$ 37462,51</v>
      </c>
      <c r="D2258" t="str">
        <f>"$ 37462,51"</f>
        <v>$ 37462,51</v>
      </c>
      <c r="E2258" t="str">
        <f>"$ 37462,51"</f>
        <v>$ 37462,51</v>
      </c>
      <c r="F2258" t="str">
        <f>"$ 37462,51"</f>
        <v>$ 37462,51</v>
      </c>
      <c r="G2258" t="str">
        <f>"$ 37462,51"</f>
        <v>$ 37462,51</v>
      </c>
      <c r="H2258" t="str">
        <f t="shared" si="1449"/>
        <v>$ 0,00</v>
      </c>
      <c r="I2258" t="str">
        <f>"JUEGO AROS DE RECAMBIO"</f>
        <v>JUEGO AROS DE RECAMBIO</v>
      </c>
      <c r="J2258" t="str">
        <f t="shared" si="1450"/>
        <v>1</v>
      </c>
      <c r="K2258" t="str">
        <f t="shared" si="1432"/>
        <v>0</v>
      </c>
      <c r="L2258" t="str">
        <f>"0,000"</f>
        <v>0,000</v>
      </c>
      <c r="M2258" t="str">
        <f t="shared" si="1451"/>
        <v xml:space="preserve"> </v>
      </c>
      <c r="N2258" t="str">
        <f t="shared" si="1446"/>
        <v>PROMETAL</v>
      </c>
      <c r="O2258" t="str">
        <f t="shared" si="1447"/>
        <v>AROS DE MOTOR</v>
      </c>
      <c r="P2258" t="str">
        <f t="shared" si="1452"/>
        <v>0</v>
      </c>
      <c r="Q2258" t="str">
        <f t="shared" si="1452"/>
        <v>0</v>
      </c>
      <c r="R2258" t="str">
        <f t="shared" si="1453"/>
        <v>0,00</v>
      </c>
      <c r="S2258" t="str">
        <f t="shared" si="1453"/>
        <v>0,00</v>
      </c>
      <c r="T2258" t="str">
        <f t="shared" si="1448"/>
        <v xml:space="preserve"> </v>
      </c>
      <c r="U2258" t="str">
        <f t="shared" si="1470"/>
        <v xml:space="preserve"> </v>
      </c>
      <c r="V2258" t="str">
        <f>"0,000"</f>
        <v>0,000</v>
      </c>
      <c r="W2258" t="str">
        <f t="shared" si="1454"/>
        <v>Lista 4</v>
      </c>
      <c r="X2258" t="str">
        <f t="shared" si="1455"/>
        <v>Lista 5</v>
      </c>
      <c r="Y2258" t="str">
        <f t="shared" si="1456"/>
        <v>Oferta Gral.</v>
      </c>
      <c r="Z2258" t="str">
        <f t="shared" si="1457"/>
        <v>Rubro</v>
      </c>
      <c r="AA2258" t="str">
        <f t="shared" si="1458"/>
        <v>Cantidad por Bulto</v>
      </c>
      <c r="AB2258" t="str">
        <f t="shared" si="1459"/>
        <v>INNER</v>
      </c>
      <c r="AC2258" t="str">
        <f t="shared" si="1460"/>
        <v>Stock en Bultos</v>
      </c>
      <c r="AD2258" t="str">
        <f t="shared" si="1461"/>
        <v>SubDepósito</v>
      </c>
      <c r="AE2258" t="str">
        <f t="shared" si="1462"/>
        <v>Marca</v>
      </c>
      <c r="AF2258" t="str">
        <f t="shared" si="1463"/>
        <v>Super Rubro</v>
      </c>
      <c r="AG2258" t="str">
        <f t="shared" si="1464"/>
        <v>ComercioExterior</v>
      </c>
      <c r="AH2258" t="str">
        <f t="shared" si="1465"/>
        <v>PrecioFOB</v>
      </c>
      <c r="AI2258" t="str">
        <f t="shared" si="1466"/>
        <v>Monto II</v>
      </c>
      <c r="AJ2258" t="str">
        <f t="shared" si="1467"/>
        <v>Porcentaje II</v>
      </c>
      <c r="AK2258" t="str">
        <f t="shared" si="1468"/>
        <v>Foto</v>
      </c>
      <c r="AL2258" t="str">
        <f>"{\rtf1\ansi\ansicpg1252\deff0\deflang11274{\fonttbl{\f0\fnil\fcharset0 MS Sans Serif}} \viewkind4\uc1\pard\f0\fs16 JUEGO AROS STD PEUGEOT 504D MOTOR XD2 DIAM 94MM RECAMBIO\par } "</f>
        <v xml:space="preserve">{\rtf1\ansi\ansicpg1252\deff0\deflang11274{\fonttbl{\f0\fnil\fcharset0 MS Sans Serif}} \viewkind4\uc1\pard\f0\fs16 JUEGO AROS STD PEUGEOT 504D MOTOR XD2 DIAM 94MM RECAMBIO\par } </v>
      </c>
      <c r="AM2258" t="str">
        <f t="shared" si="1469"/>
        <v>-</v>
      </c>
    </row>
    <row r="2259" spans="1:39" x14ac:dyDescent="0.25">
      <c r="A2259" t="str">
        <f>"PMR1608"</f>
        <v>PMR1608</v>
      </c>
      <c r="B2259" t="str">
        <f>"JUEGO AROS STD PEUGEOT INDENOR 4.88 DIAM 88MM RECAMBIO HIDRÁULICO"</f>
        <v>JUEGO AROS STD PEUGEOT INDENOR 4.88 DIAM 88MM RECAMBIO HIDRÁULICO</v>
      </c>
      <c r="C2259" t="str">
        <f>"$ 26714,71"</f>
        <v>$ 26714,71</v>
      </c>
      <c r="D2259" t="str">
        <f>"$ 26714,71"</f>
        <v>$ 26714,71</v>
      </c>
      <c r="E2259" t="str">
        <f>"$ 26714,71"</f>
        <v>$ 26714,71</v>
      </c>
      <c r="F2259" t="str">
        <f>"$ 26714,71"</f>
        <v>$ 26714,71</v>
      </c>
      <c r="G2259" t="str">
        <f>"$ 26714,71"</f>
        <v>$ 26714,71</v>
      </c>
      <c r="H2259" t="str">
        <f t="shared" si="1449"/>
        <v>$ 0,00</v>
      </c>
      <c r="I2259" t="str">
        <f>"JUEGO AROS DE RECAMBIO"</f>
        <v>JUEGO AROS DE RECAMBIO</v>
      </c>
      <c r="J2259" t="str">
        <f t="shared" si="1450"/>
        <v>1</v>
      </c>
      <c r="K2259" t="str">
        <f t="shared" si="1432"/>
        <v>0</v>
      </c>
      <c r="L2259" t="str">
        <f>"0,000"</f>
        <v>0,000</v>
      </c>
      <c r="M2259" t="str">
        <f t="shared" si="1451"/>
        <v xml:space="preserve"> </v>
      </c>
      <c r="N2259" t="str">
        <f t="shared" si="1446"/>
        <v>PROMETAL</v>
      </c>
      <c r="O2259" t="str">
        <f t="shared" si="1447"/>
        <v>AROS DE MOTOR</v>
      </c>
      <c r="P2259" t="str">
        <f t="shared" si="1452"/>
        <v>0</v>
      </c>
      <c r="Q2259" t="str">
        <f t="shared" si="1452"/>
        <v>0</v>
      </c>
      <c r="R2259" t="str">
        <f t="shared" si="1453"/>
        <v>0,00</v>
      </c>
      <c r="S2259" t="str">
        <f t="shared" si="1453"/>
        <v>0,00</v>
      </c>
      <c r="T2259" t="str">
        <f t="shared" si="1448"/>
        <v xml:space="preserve"> </v>
      </c>
      <c r="U2259" t="str">
        <f t="shared" si="1470"/>
        <v xml:space="preserve"> </v>
      </c>
      <c r="V2259" t="str">
        <f>"0,000"</f>
        <v>0,000</v>
      </c>
      <c r="W2259" t="str">
        <f t="shared" si="1454"/>
        <v>Lista 4</v>
      </c>
      <c r="X2259" t="str">
        <f t="shared" si="1455"/>
        <v>Lista 5</v>
      </c>
      <c r="Y2259" t="str">
        <f t="shared" si="1456"/>
        <v>Oferta Gral.</v>
      </c>
      <c r="Z2259" t="str">
        <f t="shared" si="1457"/>
        <v>Rubro</v>
      </c>
      <c r="AA2259" t="str">
        <f t="shared" si="1458"/>
        <v>Cantidad por Bulto</v>
      </c>
      <c r="AB2259" t="str">
        <f t="shared" si="1459"/>
        <v>INNER</v>
      </c>
      <c r="AC2259" t="str">
        <f t="shared" si="1460"/>
        <v>Stock en Bultos</v>
      </c>
      <c r="AD2259" t="str">
        <f t="shared" si="1461"/>
        <v>SubDepósito</v>
      </c>
      <c r="AE2259" t="str">
        <f t="shared" si="1462"/>
        <v>Marca</v>
      </c>
      <c r="AF2259" t="str">
        <f t="shared" si="1463"/>
        <v>Super Rubro</v>
      </c>
      <c r="AG2259" t="str">
        <f t="shared" si="1464"/>
        <v>ComercioExterior</v>
      </c>
      <c r="AH2259" t="str">
        <f t="shared" si="1465"/>
        <v>PrecioFOB</v>
      </c>
      <c r="AI2259" t="str">
        <f t="shared" si="1466"/>
        <v>Monto II</v>
      </c>
      <c r="AJ2259" t="str">
        <f t="shared" si="1467"/>
        <v>Porcentaje II</v>
      </c>
      <c r="AK2259" t="str">
        <f t="shared" si="1468"/>
        <v>Foto</v>
      </c>
      <c r="AL225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59" t="str">
        <f t="shared" si="1469"/>
        <v>-</v>
      </c>
    </row>
    <row r="2260" spans="1:39" x14ac:dyDescent="0.25">
      <c r="A2260" t="str">
        <f>"PMSH1608"</f>
        <v>PMSH1608</v>
      </c>
      <c r="B2260" t="str">
        <f>"JUEGO AROS STD RASTROJERO PEUGEOT 404 XD488 DIAM 88MM SEMIHIDRAULICO "</f>
        <v xml:space="preserve">JUEGO AROS STD RASTROJERO PEUGEOT 404 XD488 DIAM 88MM SEMIHIDRAULICO </v>
      </c>
      <c r="C2260" t="str">
        <f>"$ 37462,51"</f>
        <v>$ 37462,51</v>
      </c>
      <c r="D2260" t="str">
        <f>"$ 37462,51"</f>
        <v>$ 37462,51</v>
      </c>
      <c r="E2260" t="str">
        <f>"$ 37462,51"</f>
        <v>$ 37462,51</v>
      </c>
      <c r="F2260" t="str">
        <f>"$ 37462,51"</f>
        <v>$ 37462,51</v>
      </c>
      <c r="G2260" t="str">
        <f>"$ 37462,51"</f>
        <v>$ 37462,51</v>
      </c>
      <c r="H2260" t="str">
        <f t="shared" si="1449"/>
        <v>$ 0,00</v>
      </c>
      <c r="I2260" t="str">
        <f>"JUEGO AROS SEMIHIDRAULICOS"</f>
        <v>JUEGO AROS SEMIHIDRAULICOS</v>
      </c>
      <c r="J2260" t="str">
        <f t="shared" si="1450"/>
        <v>1</v>
      </c>
      <c r="K2260" t="str">
        <f t="shared" si="1432"/>
        <v>0</v>
      </c>
      <c r="L2260" t="str">
        <f>"0,000"</f>
        <v>0,000</v>
      </c>
      <c r="M2260" t="str">
        <f t="shared" si="1451"/>
        <v xml:space="preserve"> </v>
      </c>
      <c r="N2260" t="str">
        <f t="shared" si="1446"/>
        <v>PROMETAL</v>
      </c>
      <c r="O2260" t="str">
        <f t="shared" si="1447"/>
        <v>AROS DE MOTOR</v>
      </c>
      <c r="P2260" t="str">
        <f t="shared" si="1452"/>
        <v>0</v>
      </c>
      <c r="Q2260" t="str">
        <f t="shared" si="1452"/>
        <v>0</v>
      </c>
      <c r="R2260" t="str">
        <f t="shared" si="1453"/>
        <v>0,00</v>
      </c>
      <c r="S2260" t="str">
        <f t="shared" si="1453"/>
        <v>0,00</v>
      </c>
      <c r="T2260" t="str">
        <f t="shared" si="1448"/>
        <v xml:space="preserve"> </v>
      </c>
      <c r="U2260" t="str">
        <f t="shared" si="1470"/>
        <v xml:space="preserve"> </v>
      </c>
      <c r="V2260" t="str">
        <f>"0,000"</f>
        <v>0,000</v>
      </c>
      <c r="W2260" t="str">
        <f t="shared" si="1454"/>
        <v>Lista 4</v>
      </c>
      <c r="X2260" t="str">
        <f t="shared" si="1455"/>
        <v>Lista 5</v>
      </c>
      <c r="Y2260" t="str">
        <f t="shared" si="1456"/>
        <v>Oferta Gral.</v>
      </c>
      <c r="Z2260" t="str">
        <f t="shared" si="1457"/>
        <v>Rubro</v>
      </c>
      <c r="AA2260" t="str">
        <f t="shared" si="1458"/>
        <v>Cantidad por Bulto</v>
      </c>
      <c r="AB2260" t="str">
        <f t="shared" si="1459"/>
        <v>INNER</v>
      </c>
      <c r="AC2260" t="str">
        <f t="shared" si="1460"/>
        <v>Stock en Bultos</v>
      </c>
      <c r="AD2260" t="str">
        <f t="shared" si="1461"/>
        <v>SubDepósito</v>
      </c>
      <c r="AE2260" t="str">
        <f t="shared" si="1462"/>
        <v>Marca</v>
      </c>
      <c r="AF2260" t="str">
        <f t="shared" si="1463"/>
        <v>Super Rubro</v>
      </c>
      <c r="AG2260" t="str">
        <f t="shared" si="1464"/>
        <v>ComercioExterior</v>
      </c>
      <c r="AH2260" t="str">
        <f t="shared" si="1465"/>
        <v>PrecioFOB</v>
      </c>
      <c r="AI2260" t="str">
        <f t="shared" si="1466"/>
        <v>Monto II</v>
      </c>
      <c r="AJ2260" t="str">
        <f t="shared" si="1467"/>
        <v>Porcentaje II</v>
      </c>
      <c r="AK2260" t="str">
        <f t="shared" si="1468"/>
        <v>Foto</v>
      </c>
      <c r="AL2260" t="str">
        <f>"{\rtf1\ansi\ansicpg1252\deff0\deflang11274{\fonttbl{\f0\fnil\fcharset0 MS Sans Serif}} \viewkind4\uc1\pard\f0\fs16 JUEGO AROS STD RASTROJERO PEUGEOT 404 XD488 DIAM 88MM SEMIHIDRAULICO \par } "</f>
        <v xml:space="preserve">{\rtf1\ansi\ansicpg1252\deff0\deflang11274{\fonttbl{\f0\fnil\fcharset0 MS Sans Serif}} \viewkind4\uc1\pard\f0\fs16 JUEGO AROS STD RASTROJERO PEUGEOT 404 XD488 DIAM 88MM SEMIHIDRAULICO \par } </v>
      </c>
      <c r="AM2260" t="str">
        <f t="shared" si="1469"/>
        <v>-</v>
      </c>
    </row>
    <row r="2261" spans="1:39" x14ac:dyDescent="0.25">
      <c r="A2261" t="str">
        <f>"PMSH2522"</f>
        <v>PMSH2522</v>
      </c>
      <c r="B2261" t="str">
        <f>"JUEGO AROS STD RENAULT 1.2 D7F 8V DIAM 69MM"</f>
        <v>JUEGO AROS STD RENAULT 1.2 D7F 8V DIAM 69MM</v>
      </c>
      <c r="C2261" t="str">
        <f>"$ 46333,81"</f>
        <v>$ 46333,81</v>
      </c>
      <c r="D2261" t="str">
        <f>"$ 46333,81"</f>
        <v>$ 46333,81</v>
      </c>
      <c r="E2261" t="str">
        <f>"$ 46333,81"</f>
        <v>$ 46333,81</v>
      </c>
      <c r="F2261" t="str">
        <f>"$ 46333,81"</f>
        <v>$ 46333,81</v>
      </c>
      <c r="G2261" t="str">
        <f>"$ 46333,81"</f>
        <v>$ 46333,81</v>
      </c>
      <c r="H2261" t="str">
        <f t="shared" si="1449"/>
        <v>$ 0,00</v>
      </c>
      <c r="I2261" t="str">
        <f>"JUEGO AROS SEMIHIDRAULICOS"</f>
        <v>JUEGO AROS SEMIHIDRAULICOS</v>
      </c>
      <c r="J2261" t="str">
        <f t="shared" si="1450"/>
        <v>1</v>
      </c>
      <c r="K2261" t="str">
        <f t="shared" ref="K2261:K2324" si="1471">"0"</f>
        <v>0</v>
      </c>
      <c r="L2261" t="str">
        <f>"3,000"</f>
        <v>3,000</v>
      </c>
      <c r="M2261" t="str">
        <f t="shared" si="1451"/>
        <v xml:space="preserve"> </v>
      </c>
      <c r="N2261" t="str">
        <f t="shared" si="1446"/>
        <v>PROMETAL</v>
      </c>
      <c r="O2261" t="str">
        <f t="shared" si="1447"/>
        <v>AROS DE MOTOR</v>
      </c>
      <c r="P2261" t="str">
        <f t="shared" si="1452"/>
        <v>0</v>
      </c>
      <c r="Q2261" t="str">
        <f t="shared" si="1452"/>
        <v>0</v>
      </c>
      <c r="R2261" t="str">
        <f t="shared" si="1453"/>
        <v>0,00</v>
      </c>
      <c r="S2261" t="str">
        <f t="shared" si="1453"/>
        <v>0,00</v>
      </c>
      <c r="T2261" t="str">
        <f t="shared" si="1448"/>
        <v xml:space="preserve"> </v>
      </c>
      <c r="U2261" t="str">
        <f t="shared" si="1470"/>
        <v xml:space="preserve"> </v>
      </c>
      <c r="V2261" t="str">
        <f>"3,000"</f>
        <v>3,000</v>
      </c>
      <c r="W2261" t="str">
        <f t="shared" si="1454"/>
        <v>Lista 4</v>
      </c>
      <c r="X2261" t="str">
        <f t="shared" si="1455"/>
        <v>Lista 5</v>
      </c>
      <c r="Y2261" t="str">
        <f t="shared" si="1456"/>
        <v>Oferta Gral.</v>
      </c>
      <c r="Z2261" t="str">
        <f t="shared" si="1457"/>
        <v>Rubro</v>
      </c>
      <c r="AA2261" t="str">
        <f t="shared" si="1458"/>
        <v>Cantidad por Bulto</v>
      </c>
      <c r="AB2261" t="str">
        <f t="shared" si="1459"/>
        <v>INNER</v>
      </c>
      <c r="AC2261" t="str">
        <f t="shared" si="1460"/>
        <v>Stock en Bultos</v>
      </c>
      <c r="AD2261" t="str">
        <f t="shared" si="1461"/>
        <v>SubDepósito</v>
      </c>
      <c r="AE2261" t="str">
        <f t="shared" si="1462"/>
        <v>Marca</v>
      </c>
      <c r="AF2261" t="str">
        <f t="shared" si="1463"/>
        <v>Super Rubro</v>
      </c>
      <c r="AG2261" t="str">
        <f t="shared" si="1464"/>
        <v>ComercioExterior</v>
      </c>
      <c r="AH2261" t="str">
        <f t="shared" si="1465"/>
        <v>PrecioFOB</v>
      </c>
      <c r="AI2261" t="str">
        <f t="shared" si="1466"/>
        <v>Monto II</v>
      </c>
      <c r="AJ2261" t="str">
        <f t="shared" si="1467"/>
        <v>Porcentaje II</v>
      </c>
      <c r="AK2261" t="str">
        <f t="shared" si="1468"/>
        <v>Foto</v>
      </c>
      <c r="AL2261" t="str">
        <f>"{\rtf1\ansi\ansicpg1252\deff0\deflang11274{\fonttbl{\f0\fnil\fcharset0 MS Sans Serif}} \viewkind4\uc1\pard\f0\fs16 JUEGO AROS STD RENAULT 1.2 D7F 8V DIAM 69MM\par } "</f>
        <v xml:space="preserve">{\rtf1\ansi\ansicpg1252\deff0\deflang11274{\fonttbl{\f0\fnil\fcharset0 MS Sans Serif}} \viewkind4\uc1\pard\f0\fs16 JUEGO AROS STD RENAULT 1.2 D7F 8V DIAM 69MM\par } </v>
      </c>
      <c r="AM2261" t="str">
        <f t="shared" si="1469"/>
        <v>-</v>
      </c>
    </row>
    <row r="2262" spans="1:39" x14ac:dyDescent="0.25">
      <c r="A2262" t="str">
        <f>"PMSH2512"</f>
        <v>PMSH2512</v>
      </c>
      <c r="B2262" t="str">
        <f>"JUEGO AROS STD RENAULT 12 DIAM 76MM SEMIHIDRAULICO"</f>
        <v>JUEGO AROS STD RENAULT 12 DIAM 76MM SEMIHIDRAULICO</v>
      </c>
      <c r="C2262" t="str">
        <f>"$ 35271,41"</f>
        <v>$ 35271,41</v>
      </c>
      <c r="D2262" t="str">
        <f>"$ 35271,41"</f>
        <v>$ 35271,41</v>
      </c>
      <c r="E2262" t="str">
        <f>"$ 35271,41"</f>
        <v>$ 35271,41</v>
      </c>
      <c r="F2262" t="str">
        <f>"$ 35271,41"</f>
        <v>$ 35271,41</v>
      </c>
      <c r="G2262" t="str">
        <f>"$ 35271,41"</f>
        <v>$ 35271,41</v>
      </c>
      <c r="H2262" t="str">
        <f t="shared" si="1449"/>
        <v>$ 0,00</v>
      </c>
      <c r="I2262" t="str">
        <f>"JUEGO AROS SEMIHIDRAULICOS"</f>
        <v>JUEGO AROS SEMIHIDRAULICOS</v>
      </c>
      <c r="J2262" t="str">
        <f t="shared" si="1450"/>
        <v>1</v>
      </c>
      <c r="K2262" t="str">
        <f t="shared" si="1471"/>
        <v>0</v>
      </c>
      <c r="L2262" t="str">
        <f>"5,000"</f>
        <v>5,000</v>
      </c>
      <c r="M2262" t="str">
        <f t="shared" si="1451"/>
        <v xml:space="preserve"> </v>
      </c>
      <c r="N2262" t="str">
        <f t="shared" si="1446"/>
        <v>PROMETAL</v>
      </c>
      <c r="O2262" t="str">
        <f t="shared" si="1447"/>
        <v>AROS DE MOTOR</v>
      </c>
      <c r="P2262" t="str">
        <f t="shared" si="1452"/>
        <v>0</v>
      </c>
      <c r="Q2262" t="str">
        <f t="shared" si="1452"/>
        <v>0</v>
      </c>
      <c r="R2262" t="str">
        <f t="shared" si="1453"/>
        <v>0,00</v>
      </c>
      <c r="S2262" t="str">
        <f t="shared" si="1453"/>
        <v>0,00</v>
      </c>
      <c r="T2262" t="str">
        <f t="shared" si="1448"/>
        <v xml:space="preserve"> </v>
      </c>
      <c r="U2262" t="str">
        <f t="shared" si="1470"/>
        <v xml:space="preserve"> </v>
      </c>
      <c r="V2262" t="str">
        <f>"5,000"</f>
        <v>5,000</v>
      </c>
      <c r="W2262" t="str">
        <f t="shared" si="1454"/>
        <v>Lista 4</v>
      </c>
      <c r="X2262" t="str">
        <f t="shared" si="1455"/>
        <v>Lista 5</v>
      </c>
      <c r="Y2262" t="str">
        <f t="shared" si="1456"/>
        <v>Oferta Gral.</v>
      </c>
      <c r="Z2262" t="str">
        <f t="shared" si="1457"/>
        <v>Rubro</v>
      </c>
      <c r="AA2262" t="str">
        <f t="shared" si="1458"/>
        <v>Cantidad por Bulto</v>
      </c>
      <c r="AB2262" t="str">
        <f t="shared" si="1459"/>
        <v>INNER</v>
      </c>
      <c r="AC2262" t="str">
        <f t="shared" si="1460"/>
        <v>Stock en Bultos</v>
      </c>
      <c r="AD2262" t="str">
        <f t="shared" si="1461"/>
        <v>SubDepósito</v>
      </c>
      <c r="AE2262" t="str">
        <f t="shared" si="1462"/>
        <v>Marca</v>
      </c>
      <c r="AF2262" t="str">
        <f t="shared" si="1463"/>
        <v>Super Rubro</v>
      </c>
      <c r="AG2262" t="str">
        <f t="shared" si="1464"/>
        <v>ComercioExterior</v>
      </c>
      <c r="AH2262" t="str">
        <f t="shared" si="1465"/>
        <v>PrecioFOB</v>
      </c>
      <c r="AI2262" t="str">
        <f t="shared" si="1466"/>
        <v>Monto II</v>
      </c>
      <c r="AJ2262" t="str">
        <f t="shared" si="1467"/>
        <v>Porcentaje II</v>
      </c>
      <c r="AK2262" t="str">
        <f t="shared" si="1468"/>
        <v>Foto</v>
      </c>
      <c r="AL2262" t="str">
        <f>"{\rtf1\ansi\ansicpg1252\deff0\deflang11274{\fonttbl{\f0\fnil\fcharset0 MS Sans Serif}} \viewkind4\uc1\pard\f0\fs16 JUEGO AROS STD RENAULT 12 DIAM 76MM SEMIHIDRAULICO\par } "</f>
        <v xml:space="preserve">{\rtf1\ansi\ansicpg1252\deff0\deflang11274{\fonttbl{\f0\fnil\fcharset0 MS Sans Serif}} \viewkind4\uc1\pard\f0\fs16 JUEGO AROS STD RENAULT 12 DIAM 76MM SEMIHIDRAULICO\par } </v>
      </c>
      <c r="AM2262" t="str">
        <f t="shared" si="1469"/>
        <v>-</v>
      </c>
    </row>
    <row r="2263" spans="1:39" x14ac:dyDescent="0.25">
      <c r="A2263" t="str">
        <f>"PMR2509"</f>
        <v>PMR2509</v>
      </c>
      <c r="B2263" t="str">
        <f>"JUEGO AROS STD RENAULT 18 FUEGO 2.0 2.2 DIAMETRO 88MM RECAMBIO HIDRÁULICO"</f>
        <v>JUEGO AROS STD RENAULT 18 FUEGO 2.0 2.2 DIAMETRO 88MM RECAMBIO HIDRÁULICO</v>
      </c>
      <c r="C2263" t="str">
        <f>"$ 24315,90"</f>
        <v>$ 24315,90</v>
      </c>
      <c r="D2263" t="str">
        <f>"$ 24315,90"</f>
        <v>$ 24315,90</v>
      </c>
      <c r="E2263" t="str">
        <f>"$ 24315,90"</f>
        <v>$ 24315,90</v>
      </c>
      <c r="F2263" t="str">
        <f>"$ 24315,90"</f>
        <v>$ 24315,90</v>
      </c>
      <c r="G2263" t="str">
        <f>"$ 24315,90"</f>
        <v>$ 24315,90</v>
      </c>
      <c r="H2263" t="str">
        <f t="shared" si="1449"/>
        <v>$ 0,00</v>
      </c>
      <c r="I2263" t="str">
        <f>"JUEGO AROS DE RECAMBIO"</f>
        <v>JUEGO AROS DE RECAMBIO</v>
      </c>
      <c r="J2263" t="str">
        <f t="shared" si="1450"/>
        <v>1</v>
      </c>
      <c r="K2263" t="str">
        <f t="shared" si="1471"/>
        <v>0</v>
      </c>
      <c r="L2263" t="str">
        <f>"4,000"</f>
        <v>4,000</v>
      </c>
      <c r="M2263" t="str">
        <f t="shared" si="1451"/>
        <v xml:space="preserve"> </v>
      </c>
      <c r="N2263" t="str">
        <f t="shared" si="1446"/>
        <v>PROMETAL</v>
      </c>
      <c r="O2263" t="str">
        <f t="shared" si="1447"/>
        <v>AROS DE MOTOR</v>
      </c>
      <c r="P2263" t="str">
        <f t="shared" ref="P2263:Q2282" si="1472">"0"</f>
        <v>0</v>
      </c>
      <c r="Q2263" t="str">
        <f t="shared" si="1472"/>
        <v>0</v>
      </c>
      <c r="R2263" t="str">
        <f t="shared" ref="R2263:S2282" si="1473">"0,00"</f>
        <v>0,00</v>
      </c>
      <c r="S2263" t="str">
        <f t="shared" si="1473"/>
        <v>0,00</v>
      </c>
      <c r="T2263" t="str">
        <f t="shared" si="1448"/>
        <v xml:space="preserve"> </v>
      </c>
      <c r="U2263" t="str">
        <f t="shared" si="1470"/>
        <v xml:space="preserve"> </v>
      </c>
      <c r="V2263" t="str">
        <f>"4,000"</f>
        <v>4,000</v>
      </c>
      <c r="W2263" t="str">
        <f t="shared" si="1454"/>
        <v>Lista 4</v>
      </c>
      <c r="X2263" t="str">
        <f t="shared" si="1455"/>
        <v>Lista 5</v>
      </c>
      <c r="Y2263" t="str">
        <f t="shared" si="1456"/>
        <v>Oferta Gral.</v>
      </c>
      <c r="Z2263" t="str">
        <f t="shared" si="1457"/>
        <v>Rubro</v>
      </c>
      <c r="AA2263" t="str">
        <f t="shared" si="1458"/>
        <v>Cantidad por Bulto</v>
      </c>
      <c r="AB2263" t="str">
        <f t="shared" si="1459"/>
        <v>INNER</v>
      </c>
      <c r="AC2263" t="str">
        <f t="shared" si="1460"/>
        <v>Stock en Bultos</v>
      </c>
      <c r="AD2263" t="str">
        <f t="shared" si="1461"/>
        <v>SubDepósito</v>
      </c>
      <c r="AE2263" t="str">
        <f t="shared" si="1462"/>
        <v>Marca</v>
      </c>
      <c r="AF2263" t="str">
        <f t="shared" si="1463"/>
        <v>Super Rubro</v>
      </c>
      <c r="AG2263" t="str">
        <f t="shared" si="1464"/>
        <v>ComercioExterior</v>
      </c>
      <c r="AH2263" t="str">
        <f t="shared" si="1465"/>
        <v>PrecioFOB</v>
      </c>
      <c r="AI2263" t="str">
        <f t="shared" si="1466"/>
        <v>Monto II</v>
      </c>
      <c r="AJ2263" t="str">
        <f t="shared" si="1467"/>
        <v>Porcentaje II</v>
      </c>
      <c r="AK2263" t="str">
        <f t="shared" si="1468"/>
        <v>Foto</v>
      </c>
      <c r="AL2263" t="str">
        <f>"{\rtf1\ansi\ansicpg1252\deff0\deflang11274{\fonttbl{\f0\fnil\fcharset0 MS Sans Serif}} \viewkind4\uc1\pard\f0\fs16 JUEGO AROS STD RENAULT 18 FUEGO 2.0 2.2 DIAMETRO 88MM RECAMBIO HIDR\'c1ULICO\par } "</f>
        <v xml:space="preserve">{\rtf1\ansi\ansicpg1252\deff0\deflang11274{\fonttbl{\f0\fnil\fcharset0 MS Sans Serif}} \viewkind4\uc1\pard\f0\fs16 JUEGO AROS STD RENAULT 18 FUEGO 2.0 2.2 DIAMETRO 88MM RECAMBIO HIDR\'c1ULICO\par } </v>
      </c>
      <c r="AM2263" t="str">
        <f t="shared" si="1469"/>
        <v>-</v>
      </c>
    </row>
    <row r="2264" spans="1:39" x14ac:dyDescent="0.25">
      <c r="A2264" t="str">
        <f>"PMSH2511"</f>
        <v>PMSH2511</v>
      </c>
      <c r="B2264" t="str">
        <f>"JUEGO AROS STD RENAULT 9 11 18 19 1600CC DIAM 77 MM RECAMBIO SEMI HIDRÁULICO"</f>
        <v>JUEGO AROS STD RENAULT 9 11 18 19 1600CC DIAM 77 MM RECAMBIO SEMI HIDRÁULICO</v>
      </c>
      <c r="C2264" t="str">
        <f>"$ 44409,91"</f>
        <v>$ 44409,91</v>
      </c>
      <c r="D2264" t="str">
        <f>"$ 44409,91"</f>
        <v>$ 44409,91</v>
      </c>
      <c r="E2264" t="str">
        <f>"$ 44409,91"</f>
        <v>$ 44409,91</v>
      </c>
      <c r="F2264" t="str">
        <f>"$ 44409,91"</f>
        <v>$ 44409,91</v>
      </c>
      <c r="G2264" t="str">
        <f>"$ 44409,91"</f>
        <v>$ 44409,91</v>
      </c>
      <c r="H2264" t="str">
        <f t="shared" si="1449"/>
        <v>$ 0,00</v>
      </c>
      <c r="I2264" t="str">
        <f>"JUEGO AROS SEMIHIDRAULICOS"</f>
        <v>JUEGO AROS SEMIHIDRAULICOS</v>
      </c>
      <c r="J2264" t="str">
        <f t="shared" si="1450"/>
        <v>1</v>
      </c>
      <c r="K2264" t="str">
        <f t="shared" si="1471"/>
        <v>0</v>
      </c>
      <c r="L2264" t="str">
        <f>"1,000"</f>
        <v>1,000</v>
      </c>
      <c r="M2264" t="str">
        <f t="shared" si="1451"/>
        <v xml:space="preserve"> </v>
      </c>
      <c r="N2264" t="str">
        <f t="shared" si="1446"/>
        <v>PROMETAL</v>
      </c>
      <c r="O2264" t="str">
        <f t="shared" si="1447"/>
        <v>AROS DE MOTOR</v>
      </c>
      <c r="P2264" t="str">
        <f t="shared" si="1472"/>
        <v>0</v>
      </c>
      <c r="Q2264" t="str">
        <f t="shared" si="1472"/>
        <v>0</v>
      </c>
      <c r="R2264" t="str">
        <f t="shared" si="1473"/>
        <v>0,00</v>
      </c>
      <c r="S2264" t="str">
        <f t="shared" si="1473"/>
        <v>0,00</v>
      </c>
      <c r="T2264" t="str">
        <f t="shared" si="1448"/>
        <v xml:space="preserve"> </v>
      </c>
      <c r="U2264" t="str">
        <f t="shared" si="1470"/>
        <v xml:space="preserve"> </v>
      </c>
      <c r="V2264" t="str">
        <f>"1,000"</f>
        <v>1,000</v>
      </c>
      <c r="W2264" t="str">
        <f t="shared" si="1454"/>
        <v>Lista 4</v>
      </c>
      <c r="X2264" t="str">
        <f t="shared" si="1455"/>
        <v>Lista 5</v>
      </c>
      <c r="Y2264" t="str">
        <f t="shared" si="1456"/>
        <v>Oferta Gral.</v>
      </c>
      <c r="Z2264" t="str">
        <f t="shared" si="1457"/>
        <v>Rubro</v>
      </c>
      <c r="AA2264" t="str">
        <f t="shared" si="1458"/>
        <v>Cantidad por Bulto</v>
      </c>
      <c r="AB2264" t="str">
        <f t="shared" si="1459"/>
        <v>INNER</v>
      </c>
      <c r="AC2264" t="str">
        <f t="shared" si="1460"/>
        <v>Stock en Bultos</v>
      </c>
      <c r="AD2264" t="str">
        <f t="shared" si="1461"/>
        <v>SubDepósito</v>
      </c>
      <c r="AE2264" t="str">
        <f t="shared" si="1462"/>
        <v>Marca</v>
      </c>
      <c r="AF2264" t="str">
        <f t="shared" si="1463"/>
        <v>Super Rubro</v>
      </c>
      <c r="AG2264" t="str">
        <f t="shared" si="1464"/>
        <v>ComercioExterior</v>
      </c>
      <c r="AH2264" t="str">
        <f t="shared" si="1465"/>
        <v>PrecioFOB</v>
      </c>
      <c r="AI2264" t="str">
        <f t="shared" si="1466"/>
        <v>Monto II</v>
      </c>
      <c r="AJ2264" t="str">
        <f t="shared" si="1467"/>
        <v>Porcentaje II</v>
      </c>
      <c r="AK2264" t="str">
        <f t="shared" si="1468"/>
        <v>Foto</v>
      </c>
      <c r="AL2264" t="str">
        <f>"{\rtf1\ansi\ansicpg1252\deff0\deflang11274{\fonttbl{\f0\fnil\fcharset0 MS Sans Serif}} \viewkind4\uc1\pard\f0\fs16 JUEGO AROS STD RENAULT 9 11 18 19 1600CC DIAM 77 MM RECAMBIO SEMI HIDR\'c1ULICO\par } "</f>
        <v xml:space="preserve">{\rtf1\ansi\ansicpg1252\deff0\deflang11274{\fonttbl{\f0\fnil\fcharset0 MS Sans Serif}} \viewkind4\uc1\pard\f0\fs16 JUEGO AROS STD RENAULT 9 11 18 19 1600CC DIAM 77 MM RECAMBIO SEMI HIDR\'c1ULICO\par } </v>
      </c>
      <c r="AM2264" t="str">
        <f t="shared" si="1469"/>
        <v>-</v>
      </c>
    </row>
    <row r="2265" spans="1:39" x14ac:dyDescent="0.25">
      <c r="A2265" t="str">
        <f>"PMSH2518"</f>
        <v>PMSH2518</v>
      </c>
      <c r="B2265" t="str">
        <f>"JUEGO AROS STD RENAULT CLIO 1.5D MOTOR K9K SEMIHIDRAULICO"</f>
        <v>JUEGO AROS STD RENAULT CLIO 1.5D MOTOR K9K SEMIHIDRAULICO</v>
      </c>
      <c r="C2265" t="str">
        <f>"$ 33026,87"</f>
        <v>$ 33026,87</v>
      </c>
      <c r="D2265" t="str">
        <f>"$ 33026,87"</f>
        <v>$ 33026,87</v>
      </c>
      <c r="E2265" t="str">
        <f>"$ 33026,87"</f>
        <v>$ 33026,87</v>
      </c>
      <c r="F2265" t="str">
        <f>"$ 33026,87"</f>
        <v>$ 33026,87</v>
      </c>
      <c r="G2265" t="str">
        <f>"$ 33026,87"</f>
        <v>$ 33026,87</v>
      </c>
      <c r="H2265" t="str">
        <f t="shared" si="1449"/>
        <v>$ 0,00</v>
      </c>
      <c r="I2265" t="str">
        <f>"JUEGO AROS SEMIHIDRAULICOS"</f>
        <v>JUEGO AROS SEMIHIDRAULICOS</v>
      </c>
      <c r="J2265" t="str">
        <f t="shared" si="1450"/>
        <v>1</v>
      </c>
      <c r="K2265" t="str">
        <f t="shared" si="1471"/>
        <v>0</v>
      </c>
      <c r="L2265" t="str">
        <f>"4,000"</f>
        <v>4,000</v>
      </c>
      <c r="M2265" t="str">
        <f t="shared" si="1451"/>
        <v xml:space="preserve"> </v>
      </c>
      <c r="N2265" t="str">
        <f t="shared" si="1446"/>
        <v>PROMETAL</v>
      </c>
      <c r="O2265" t="str">
        <f t="shared" si="1447"/>
        <v>AROS DE MOTOR</v>
      </c>
      <c r="P2265" t="str">
        <f t="shared" si="1472"/>
        <v>0</v>
      </c>
      <c r="Q2265" t="str">
        <f t="shared" si="1472"/>
        <v>0</v>
      </c>
      <c r="R2265" t="str">
        <f t="shared" si="1473"/>
        <v>0,00</v>
      </c>
      <c r="S2265" t="str">
        <f t="shared" si="1473"/>
        <v>0,00</v>
      </c>
      <c r="T2265" t="str">
        <f t="shared" si="1448"/>
        <v xml:space="preserve"> </v>
      </c>
      <c r="U2265" t="str">
        <f t="shared" si="1470"/>
        <v xml:space="preserve"> </v>
      </c>
      <c r="V2265" t="str">
        <f>"4,000"</f>
        <v>4,000</v>
      </c>
      <c r="W2265" t="str">
        <f t="shared" si="1454"/>
        <v>Lista 4</v>
      </c>
      <c r="X2265" t="str">
        <f t="shared" si="1455"/>
        <v>Lista 5</v>
      </c>
      <c r="Y2265" t="str">
        <f t="shared" si="1456"/>
        <v>Oferta Gral.</v>
      </c>
      <c r="Z2265" t="str">
        <f t="shared" si="1457"/>
        <v>Rubro</v>
      </c>
      <c r="AA2265" t="str">
        <f t="shared" si="1458"/>
        <v>Cantidad por Bulto</v>
      </c>
      <c r="AB2265" t="str">
        <f t="shared" si="1459"/>
        <v>INNER</v>
      </c>
      <c r="AC2265" t="str">
        <f t="shared" si="1460"/>
        <v>Stock en Bultos</v>
      </c>
      <c r="AD2265" t="str">
        <f t="shared" si="1461"/>
        <v>SubDepósito</v>
      </c>
      <c r="AE2265" t="str">
        <f t="shared" si="1462"/>
        <v>Marca</v>
      </c>
      <c r="AF2265" t="str">
        <f t="shared" si="1463"/>
        <v>Super Rubro</v>
      </c>
      <c r="AG2265" t="str">
        <f t="shared" si="1464"/>
        <v>ComercioExterior</v>
      </c>
      <c r="AH2265" t="str">
        <f t="shared" si="1465"/>
        <v>PrecioFOB</v>
      </c>
      <c r="AI2265" t="str">
        <f t="shared" si="1466"/>
        <v>Monto II</v>
      </c>
      <c r="AJ2265" t="str">
        <f t="shared" si="1467"/>
        <v>Porcentaje II</v>
      </c>
      <c r="AK2265" t="str">
        <f t="shared" si="1468"/>
        <v>Foto</v>
      </c>
      <c r="AL2265" t="str">
        <f>"{\rtf1\ansi\ansicpg1252\deff0\deflang11274{\fonttbl{\f0\fnil\fcharset0 MS Sans Serif}} \viewkind4\uc1\pard\f0\fs16 JUEGO AROS STD RENAULT CLIO 1.5D MOTOR K9K SEMIHIDRAULICO\par } "</f>
        <v xml:space="preserve">{\rtf1\ansi\ansicpg1252\deff0\deflang11274{\fonttbl{\f0\fnil\fcharset0 MS Sans Serif}} \viewkind4\uc1\pard\f0\fs16 JUEGO AROS STD RENAULT CLIO 1.5D MOTOR K9K SEMIHIDRAULICO\par } </v>
      </c>
      <c r="AM2265" t="str">
        <f t="shared" si="1469"/>
        <v>-</v>
      </c>
    </row>
    <row r="2266" spans="1:39" x14ac:dyDescent="0.25">
      <c r="A2266" t="str">
        <f>"PMR2508"</f>
        <v>PMR2508</v>
      </c>
      <c r="B2266" t="str">
        <f>"JUEGO AROS STD RENAULT TRAFIC DIESEL DIAM 86MM RECAMBIO"</f>
        <v>JUEGO AROS STD RENAULT TRAFIC DIESEL DIAM 86MM RECAMBIO</v>
      </c>
      <c r="C2266" t="str">
        <f>"$ 55044,78"</f>
        <v>$ 55044,78</v>
      </c>
      <c r="D2266" t="str">
        <f>"$ 55044,78"</f>
        <v>$ 55044,78</v>
      </c>
      <c r="E2266" t="str">
        <f>"$ 55044,78"</f>
        <v>$ 55044,78</v>
      </c>
      <c r="F2266" t="str">
        <f>"$ 55044,78"</f>
        <v>$ 55044,78</v>
      </c>
      <c r="G2266" t="str">
        <f>"$ 55044,78"</f>
        <v>$ 55044,78</v>
      </c>
      <c r="H2266" t="str">
        <f t="shared" si="1449"/>
        <v>$ 0,00</v>
      </c>
      <c r="I2266" t="str">
        <f>"JUEGO AROS DE RECAMBIO"</f>
        <v>JUEGO AROS DE RECAMBIO</v>
      </c>
      <c r="J2266" t="str">
        <f t="shared" si="1450"/>
        <v>1</v>
      </c>
      <c r="K2266" t="str">
        <f t="shared" si="1471"/>
        <v>0</v>
      </c>
      <c r="L2266" t="str">
        <f>"2,000"</f>
        <v>2,000</v>
      </c>
      <c r="M2266" t="str">
        <f t="shared" si="1451"/>
        <v xml:space="preserve"> </v>
      </c>
      <c r="N2266" t="str">
        <f t="shared" si="1446"/>
        <v>PROMETAL</v>
      </c>
      <c r="O2266" t="str">
        <f t="shared" si="1447"/>
        <v>AROS DE MOTOR</v>
      </c>
      <c r="P2266" t="str">
        <f t="shared" si="1472"/>
        <v>0</v>
      </c>
      <c r="Q2266" t="str">
        <f t="shared" si="1472"/>
        <v>0</v>
      </c>
      <c r="R2266" t="str">
        <f t="shared" si="1473"/>
        <v>0,00</v>
      </c>
      <c r="S2266" t="str">
        <f t="shared" si="1473"/>
        <v>0,00</v>
      </c>
      <c r="T2266" t="str">
        <f t="shared" si="1448"/>
        <v xml:space="preserve"> </v>
      </c>
      <c r="U2266" t="str">
        <f t="shared" si="1470"/>
        <v xml:space="preserve"> </v>
      </c>
      <c r="V2266" t="str">
        <f>"2,000"</f>
        <v>2,000</v>
      </c>
      <c r="W2266" t="str">
        <f t="shared" si="1454"/>
        <v>Lista 4</v>
      </c>
      <c r="X2266" t="str">
        <f t="shared" si="1455"/>
        <v>Lista 5</v>
      </c>
      <c r="Y2266" t="str">
        <f t="shared" si="1456"/>
        <v>Oferta Gral.</v>
      </c>
      <c r="Z2266" t="str">
        <f t="shared" si="1457"/>
        <v>Rubro</v>
      </c>
      <c r="AA2266" t="str">
        <f t="shared" si="1458"/>
        <v>Cantidad por Bulto</v>
      </c>
      <c r="AB2266" t="str">
        <f t="shared" si="1459"/>
        <v>INNER</v>
      </c>
      <c r="AC2266" t="str">
        <f t="shared" si="1460"/>
        <v>Stock en Bultos</v>
      </c>
      <c r="AD2266" t="str">
        <f t="shared" si="1461"/>
        <v>SubDepósito</v>
      </c>
      <c r="AE2266" t="str">
        <f t="shared" si="1462"/>
        <v>Marca</v>
      </c>
      <c r="AF2266" t="str">
        <f t="shared" si="1463"/>
        <v>Super Rubro</v>
      </c>
      <c r="AG2266" t="str">
        <f t="shared" si="1464"/>
        <v>ComercioExterior</v>
      </c>
      <c r="AH2266" t="str">
        <f t="shared" si="1465"/>
        <v>PrecioFOB</v>
      </c>
      <c r="AI2266" t="str">
        <f t="shared" si="1466"/>
        <v>Monto II</v>
      </c>
      <c r="AJ2266" t="str">
        <f t="shared" si="1467"/>
        <v>Porcentaje II</v>
      </c>
      <c r="AK2266" t="str">
        <f t="shared" si="1468"/>
        <v>Foto</v>
      </c>
      <c r="AL2266" t="str">
        <f>"{\rtf1\ansi\ansicpg1252\deff0\deflang11274{\fonttbl{\f0\fnil\fcharset0 MS Sans Serif}} \viewkind4\uc1\pard\f0\fs16 JUEGO AROS STD RENAULT TRAFIC DIESEL DIAM 86MM RECAMBIO\par } "</f>
        <v xml:space="preserve">{\rtf1\ansi\ansicpg1252\deff0\deflang11274{\fonttbl{\f0\fnil\fcharset0 MS Sans Serif}} \viewkind4\uc1\pard\f0\fs16 JUEGO AROS STD RENAULT TRAFIC DIESEL DIAM 86MM RECAMBIO\par } </v>
      </c>
      <c r="AM2266" t="str">
        <f t="shared" si="1469"/>
        <v>-</v>
      </c>
    </row>
    <row r="2267" spans="1:39" x14ac:dyDescent="0.25">
      <c r="A2267" t="str">
        <f>"PMSH1915"</f>
        <v>PMSH1915</v>
      </c>
      <c r="B2267" t="str">
        <f>"JUEGO AROS STD VW FOX SURAN DIAM 76.5 MM SEMIHIDRÁLICO"</f>
        <v>JUEGO AROS STD VW FOX SURAN DIAM 76.5 MM SEMIHIDRÁLICO</v>
      </c>
      <c r="C2267" t="str">
        <f>"$ 44089,26"</f>
        <v>$ 44089,26</v>
      </c>
      <c r="D2267" t="str">
        <f>"$ 44089,26"</f>
        <v>$ 44089,26</v>
      </c>
      <c r="E2267" t="str">
        <f>"$ 44089,26"</f>
        <v>$ 44089,26</v>
      </c>
      <c r="F2267" t="str">
        <f>"$ 44089,26"</f>
        <v>$ 44089,26</v>
      </c>
      <c r="G2267" t="str">
        <f>"$ 44089,26"</f>
        <v>$ 44089,26</v>
      </c>
      <c r="H2267" t="str">
        <f t="shared" si="1449"/>
        <v>$ 0,00</v>
      </c>
      <c r="I2267" t="str">
        <f t="shared" ref="I2267:I2272" si="1474">"JUEGO AROS SEMIHIDRAULICOS"</f>
        <v>JUEGO AROS SEMIHIDRAULICOS</v>
      </c>
      <c r="J2267" t="str">
        <f t="shared" si="1450"/>
        <v>1</v>
      </c>
      <c r="K2267" t="str">
        <f t="shared" si="1471"/>
        <v>0</v>
      </c>
      <c r="L2267" t="str">
        <f>"0,000"</f>
        <v>0,000</v>
      </c>
      <c r="M2267" t="str">
        <f t="shared" si="1451"/>
        <v xml:space="preserve"> </v>
      </c>
      <c r="N2267" t="str">
        <f t="shared" si="1446"/>
        <v>PROMETAL</v>
      </c>
      <c r="O2267" t="str">
        <f t="shared" si="1447"/>
        <v>AROS DE MOTOR</v>
      </c>
      <c r="P2267" t="str">
        <f t="shared" si="1472"/>
        <v>0</v>
      </c>
      <c r="Q2267" t="str">
        <f t="shared" si="1472"/>
        <v>0</v>
      </c>
      <c r="R2267" t="str">
        <f t="shared" si="1473"/>
        <v>0,00</v>
      </c>
      <c r="S2267" t="str">
        <f t="shared" si="1473"/>
        <v>0,00</v>
      </c>
      <c r="T2267" t="str">
        <f t="shared" si="1448"/>
        <v xml:space="preserve"> </v>
      </c>
      <c r="U2267" t="str">
        <f t="shared" si="1470"/>
        <v xml:space="preserve"> </v>
      </c>
      <c r="V2267" t="str">
        <f>"0,000"</f>
        <v>0,000</v>
      </c>
      <c r="W2267" t="str">
        <f t="shared" si="1454"/>
        <v>Lista 4</v>
      </c>
      <c r="X2267" t="str">
        <f t="shared" si="1455"/>
        <v>Lista 5</v>
      </c>
      <c r="Y2267" t="str">
        <f t="shared" si="1456"/>
        <v>Oferta Gral.</v>
      </c>
      <c r="Z2267" t="str">
        <f t="shared" si="1457"/>
        <v>Rubro</v>
      </c>
      <c r="AA2267" t="str">
        <f t="shared" si="1458"/>
        <v>Cantidad por Bulto</v>
      </c>
      <c r="AB2267" t="str">
        <f t="shared" si="1459"/>
        <v>INNER</v>
      </c>
      <c r="AC2267" t="str">
        <f t="shared" si="1460"/>
        <v>Stock en Bultos</v>
      </c>
      <c r="AD2267" t="str">
        <f t="shared" si="1461"/>
        <v>SubDepósito</v>
      </c>
      <c r="AE2267" t="str">
        <f t="shared" si="1462"/>
        <v>Marca</v>
      </c>
      <c r="AF2267" t="str">
        <f t="shared" si="1463"/>
        <v>Super Rubro</v>
      </c>
      <c r="AG2267" t="str">
        <f t="shared" si="1464"/>
        <v>ComercioExterior</v>
      </c>
      <c r="AH2267" t="str">
        <f t="shared" si="1465"/>
        <v>PrecioFOB</v>
      </c>
      <c r="AI2267" t="str">
        <f t="shared" si="1466"/>
        <v>Monto II</v>
      </c>
      <c r="AJ2267" t="str">
        <f t="shared" si="1467"/>
        <v>Porcentaje II</v>
      </c>
      <c r="AK2267" t="str">
        <f t="shared" si="1468"/>
        <v>Foto</v>
      </c>
      <c r="AL2267" t="str">
        <f>"{\rtf1\ansi\ansicpg1252\deff0\deflang11274{\fonttbl{\f0\fnil\fcharset0 MS Sans Serif}} \viewkind4\uc1\pard\f0\fs16 JUEGO AROS STD VW FOX SURAN DIAM 76.5 MM SEMIHIDR\'c1LICO\par } "</f>
        <v xml:space="preserve">{\rtf1\ansi\ansicpg1252\deff0\deflang11274{\fonttbl{\f0\fnil\fcharset0 MS Sans Serif}} \viewkind4\uc1\pard\f0\fs16 JUEGO AROS STD VW FOX SURAN DIAM 76.5 MM SEMIHIDR\'c1LICO\par } </v>
      </c>
      <c r="AM2267" t="str">
        <f>" "</f>
        <v xml:space="preserve"> </v>
      </c>
    </row>
    <row r="2268" spans="1:39" x14ac:dyDescent="0.25">
      <c r="A2268" t="str">
        <f>"PMSH1902"</f>
        <v>PMSH1902</v>
      </c>
      <c r="B2268" t="str">
        <f>"JUEGO AROS STD VW GACEL 1600 DIAM 79.5 MM RECAMBIO SEMI HIDRÁULICO"</f>
        <v>JUEGO AROS STD VW GACEL 1600 DIAM 79.5 MM RECAMBIO SEMI HIDRÁULICO</v>
      </c>
      <c r="C2268" t="str">
        <f>"$ 30889,21"</f>
        <v>$ 30889,21</v>
      </c>
      <c r="D2268" t="str">
        <f>"$ 30889,21"</f>
        <v>$ 30889,21</v>
      </c>
      <c r="E2268" t="str">
        <f>"$ 30889,21"</f>
        <v>$ 30889,21</v>
      </c>
      <c r="F2268" t="str">
        <f>"$ 30889,21"</f>
        <v>$ 30889,21</v>
      </c>
      <c r="G2268" t="str">
        <f>"$ 30889,21"</f>
        <v>$ 30889,21</v>
      </c>
      <c r="H2268" t="str">
        <f t="shared" si="1449"/>
        <v>$ 0,00</v>
      </c>
      <c r="I2268" t="str">
        <f t="shared" si="1474"/>
        <v>JUEGO AROS SEMIHIDRAULICOS</v>
      </c>
      <c r="J2268" t="str">
        <f t="shared" si="1450"/>
        <v>1</v>
      </c>
      <c r="K2268" t="str">
        <f t="shared" si="1471"/>
        <v>0</v>
      </c>
      <c r="L2268" t="str">
        <f>"2,000"</f>
        <v>2,000</v>
      </c>
      <c r="M2268" t="str">
        <f t="shared" si="1451"/>
        <v xml:space="preserve"> </v>
      </c>
      <c r="N2268" t="str">
        <f t="shared" si="1446"/>
        <v>PROMETAL</v>
      </c>
      <c r="O2268" t="str">
        <f t="shared" si="1447"/>
        <v>AROS DE MOTOR</v>
      </c>
      <c r="P2268" t="str">
        <f t="shared" si="1472"/>
        <v>0</v>
      </c>
      <c r="Q2268" t="str">
        <f t="shared" si="1472"/>
        <v>0</v>
      </c>
      <c r="R2268" t="str">
        <f t="shared" si="1473"/>
        <v>0,00</v>
      </c>
      <c r="S2268" t="str">
        <f t="shared" si="1473"/>
        <v>0,00</v>
      </c>
      <c r="T2268" t="str">
        <f t="shared" si="1448"/>
        <v xml:space="preserve"> </v>
      </c>
      <c r="U2268" t="str">
        <f t="shared" si="1470"/>
        <v xml:space="preserve"> </v>
      </c>
      <c r="V2268" t="str">
        <f>"2,000"</f>
        <v>2,000</v>
      </c>
      <c r="W2268" t="str">
        <f t="shared" si="1454"/>
        <v>Lista 4</v>
      </c>
      <c r="X2268" t="str">
        <f t="shared" si="1455"/>
        <v>Lista 5</v>
      </c>
      <c r="Y2268" t="str">
        <f t="shared" si="1456"/>
        <v>Oferta Gral.</v>
      </c>
      <c r="Z2268" t="str">
        <f t="shared" si="1457"/>
        <v>Rubro</v>
      </c>
      <c r="AA2268" t="str">
        <f t="shared" si="1458"/>
        <v>Cantidad por Bulto</v>
      </c>
      <c r="AB2268" t="str">
        <f t="shared" si="1459"/>
        <v>INNER</v>
      </c>
      <c r="AC2268" t="str">
        <f t="shared" si="1460"/>
        <v>Stock en Bultos</v>
      </c>
      <c r="AD2268" t="str">
        <f t="shared" si="1461"/>
        <v>SubDepósito</v>
      </c>
      <c r="AE2268" t="str">
        <f t="shared" si="1462"/>
        <v>Marca</v>
      </c>
      <c r="AF2268" t="str">
        <f t="shared" si="1463"/>
        <v>Super Rubro</v>
      </c>
      <c r="AG2268" t="str">
        <f t="shared" si="1464"/>
        <v>ComercioExterior</v>
      </c>
      <c r="AH2268" t="str">
        <f t="shared" si="1465"/>
        <v>PrecioFOB</v>
      </c>
      <c r="AI2268" t="str">
        <f t="shared" si="1466"/>
        <v>Monto II</v>
      </c>
      <c r="AJ2268" t="str">
        <f t="shared" si="1467"/>
        <v>Porcentaje II</v>
      </c>
      <c r="AK2268" t="str">
        <f t="shared" si="1468"/>
        <v>Foto</v>
      </c>
      <c r="AL2268" t="str">
        <f>"{\rtf1\ansi\ansicpg1252\deff0\deflang11274{\fonttbl{\f0\fnil\fcharset0 MS Sans Serif}} \viewkind4\uc1\pard\f0\fs16 JUEGO AROS STD VW GACEL 1600 DIAM 79.5 MM RECAMBIO SEMI HIDR\'c1ULICO\par } "</f>
        <v xml:space="preserve">{\rtf1\ansi\ansicpg1252\deff0\deflang11274{\fonttbl{\f0\fnil\fcharset0 MS Sans Serif}} \viewkind4\uc1\pard\f0\fs16 JUEGO AROS STD VW GACEL 1600 DIAM 79.5 MM RECAMBIO SEMI HIDR\'c1ULICO\par } </v>
      </c>
      <c r="AM2268" t="str">
        <f>"-"</f>
        <v>-</v>
      </c>
    </row>
    <row r="2269" spans="1:39" x14ac:dyDescent="0.25">
      <c r="A2269" t="str">
        <f>"PMSH1917"</f>
        <v>PMSH1917</v>
      </c>
      <c r="B2269" t="str">
        <f>"JUEGO AROS STD VW GOL 1000 DIAM 70.30MM SEMIHIDRAULICO"</f>
        <v>JUEGO AROS STD VW GOL 1000 DIAM 70.30MM SEMIHIDRAULICO</v>
      </c>
      <c r="C2269" t="str">
        <f>"$ 55044,78"</f>
        <v>$ 55044,78</v>
      </c>
      <c r="D2269" t="str">
        <f>"$ 55044,78"</f>
        <v>$ 55044,78</v>
      </c>
      <c r="E2269" t="str">
        <f>"$ 55044,78"</f>
        <v>$ 55044,78</v>
      </c>
      <c r="F2269" t="str">
        <f>"$ 55044,78"</f>
        <v>$ 55044,78</v>
      </c>
      <c r="G2269" t="str">
        <f>"$ 55044,78"</f>
        <v>$ 55044,78</v>
      </c>
      <c r="H2269" t="str">
        <f t="shared" si="1449"/>
        <v>$ 0,00</v>
      </c>
      <c r="I2269" t="str">
        <f t="shared" si="1474"/>
        <v>JUEGO AROS SEMIHIDRAULICOS</v>
      </c>
      <c r="J2269" t="str">
        <f t="shared" si="1450"/>
        <v>1</v>
      </c>
      <c r="K2269" t="str">
        <f t="shared" si="1471"/>
        <v>0</v>
      </c>
      <c r="L2269" t="str">
        <f>"3,000"</f>
        <v>3,000</v>
      </c>
      <c r="M2269" t="str">
        <f t="shared" si="1451"/>
        <v xml:space="preserve"> </v>
      </c>
      <c r="N2269" t="str">
        <f t="shared" si="1446"/>
        <v>PROMETAL</v>
      </c>
      <c r="O2269" t="str">
        <f t="shared" si="1447"/>
        <v>AROS DE MOTOR</v>
      </c>
      <c r="P2269" t="str">
        <f t="shared" si="1472"/>
        <v>0</v>
      </c>
      <c r="Q2269" t="str">
        <f t="shared" si="1472"/>
        <v>0</v>
      </c>
      <c r="R2269" t="str">
        <f t="shared" si="1473"/>
        <v>0,00</v>
      </c>
      <c r="S2269" t="str">
        <f t="shared" si="1473"/>
        <v>0,00</v>
      </c>
      <c r="T2269" t="str">
        <f t="shared" si="1448"/>
        <v xml:space="preserve"> </v>
      </c>
      <c r="U2269" t="str">
        <f t="shared" si="1470"/>
        <v xml:space="preserve"> </v>
      </c>
      <c r="V2269" t="str">
        <f>"3,000"</f>
        <v>3,000</v>
      </c>
      <c r="W2269" t="str">
        <f t="shared" si="1454"/>
        <v>Lista 4</v>
      </c>
      <c r="X2269" t="str">
        <f t="shared" si="1455"/>
        <v>Lista 5</v>
      </c>
      <c r="Y2269" t="str">
        <f t="shared" si="1456"/>
        <v>Oferta Gral.</v>
      </c>
      <c r="Z2269" t="str">
        <f t="shared" si="1457"/>
        <v>Rubro</v>
      </c>
      <c r="AA2269" t="str">
        <f t="shared" si="1458"/>
        <v>Cantidad por Bulto</v>
      </c>
      <c r="AB2269" t="str">
        <f t="shared" si="1459"/>
        <v>INNER</v>
      </c>
      <c r="AC2269" t="str">
        <f t="shared" si="1460"/>
        <v>Stock en Bultos</v>
      </c>
      <c r="AD2269" t="str">
        <f t="shared" si="1461"/>
        <v>SubDepósito</v>
      </c>
      <c r="AE2269" t="str">
        <f t="shared" si="1462"/>
        <v>Marca</v>
      </c>
      <c r="AF2269" t="str">
        <f t="shared" si="1463"/>
        <v>Super Rubro</v>
      </c>
      <c r="AG2269" t="str">
        <f t="shared" si="1464"/>
        <v>ComercioExterior</v>
      </c>
      <c r="AH2269" t="str">
        <f t="shared" si="1465"/>
        <v>PrecioFOB</v>
      </c>
      <c r="AI2269" t="str">
        <f t="shared" si="1466"/>
        <v>Monto II</v>
      </c>
      <c r="AJ2269" t="str">
        <f t="shared" si="1467"/>
        <v>Porcentaje II</v>
      </c>
      <c r="AK2269" t="str">
        <f t="shared" si="1468"/>
        <v>Foto</v>
      </c>
      <c r="AL2269" t="str">
        <f>"{\rtf1\ansi\ansicpg1252\deff0\deflang11274{\fonttbl{\f0\fnil\fcharset0 MS Sans Serif}} \viewkind4\uc1\pard\f0\fs16 JGO. CABLES BUJ\'cdAS 504 MOTOR 2000 CAP. ORIGINAL\par } "</f>
        <v xml:space="preserve">{\rtf1\ansi\ansicpg1252\deff0\deflang11274{\fonttbl{\f0\fnil\fcharset0 MS Sans Serif}} \viewkind4\uc1\pard\f0\fs16 JGO. CABLES BUJ\'cdAS 504 MOTOR 2000 CAP. ORIGINAL\par } </v>
      </c>
      <c r="AM2269" t="str">
        <f>"-"</f>
        <v>-</v>
      </c>
    </row>
    <row r="2270" spans="1:39" x14ac:dyDescent="0.25">
      <c r="A2270" t="str">
        <f>"PMSH1906"</f>
        <v>PMSH1906</v>
      </c>
      <c r="B2270" t="str">
        <f>"JUEGO AROS STD VW GOL GACEL SAVEIRO 1.6 1.8 DIAM 81MM SEMIHIDRAULICO"</f>
        <v>JUEGO AROS STD VW GOL GACEL SAVEIRO 1.6 1.8 DIAM 81MM SEMIHIDRAULICO</v>
      </c>
      <c r="C2270" t="str">
        <f>"$ 44089,26"</f>
        <v>$ 44089,26</v>
      </c>
      <c r="D2270" t="str">
        <f>"$ 44089,26"</f>
        <v>$ 44089,26</v>
      </c>
      <c r="E2270" t="str">
        <f>"$ 44089,26"</f>
        <v>$ 44089,26</v>
      </c>
      <c r="F2270" t="str">
        <f>"$ 44089,26"</f>
        <v>$ 44089,26</v>
      </c>
      <c r="G2270" t="str">
        <f>"$ 44089,26"</f>
        <v>$ 44089,26</v>
      </c>
      <c r="H2270" t="str">
        <f t="shared" si="1449"/>
        <v>$ 0,00</v>
      </c>
      <c r="I2270" t="str">
        <f t="shared" si="1474"/>
        <v>JUEGO AROS SEMIHIDRAULICOS</v>
      </c>
      <c r="J2270" t="str">
        <f t="shared" si="1450"/>
        <v>1</v>
      </c>
      <c r="K2270" t="str">
        <f t="shared" si="1471"/>
        <v>0</v>
      </c>
      <c r="L2270" t="str">
        <f>"0,000"</f>
        <v>0,000</v>
      </c>
      <c r="M2270" t="str">
        <f t="shared" si="1451"/>
        <v xml:space="preserve"> </v>
      </c>
      <c r="N2270" t="str">
        <f t="shared" si="1446"/>
        <v>PROMETAL</v>
      </c>
      <c r="O2270" t="str">
        <f t="shared" si="1447"/>
        <v>AROS DE MOTOR</v>
      </c>
      <c r="P2270" t="str">
        <f t="shared" si="1472"/>
        <v>0</v>
      </c>
      <c r="Q2270" t="str">
        <f t="shared" si="1472"/>
        <v>0</v>
      </c>
      <c r="R2270" t="str">
        <f t="shared" si="1473"/>
        <v>0,00</v>
      </c>
      <c r="S2270" t="str">
        <f t="shared" si="1473"/>
        <v>0,00</v>
      </c>
      <c r="T2270" t="str">
        <f t="shared" si="1448"/>
        <v xml:space="preserve"> </v>
      </c>
      <c r="U2270" t="str">
        <f t="shared" si="1470"/>
        <v xml:space="preserve"> </v>
      </c>
      <c r="V2270" t="str">
        <f>"0,000"</f>
        <v>0,000</v>
      </c>
      <c r="W2270" t="str">
        <f t="shared" si="1454"/>
        <v>Lista 4</v>
      </c>
      <c r="X2270" t="str">
        <f t="shared" si="1455"/>
        <v>Lista 5</v>
      </c>
      <c r="Y2270" t="str">
        <f t="shared" si="1456"/>
        <v>Oferta Gral.</v>
      </c>
      <c r="Z2270" t="str">
        <f t="shared" si="1457"/>
        <v>Rubro</v>
      </c>
      <c r="AA2270" t="str">
        <f t="shared" si="1458"/>
        <v>Cantidad por Bulto</v>
      </c>
      <c r="AB2270" t="str">
        <f t="shared" si="1459"/>
        <v>INNER</v>
      </c>
      <c r="AC2270" t="str">
        <f t="shared" si="1460"/>
        <v>Stock en Bultos</v>
      </c>
      <c r="AD2270" t="str">
        <f t="shared" si="1461"/>
        <v>SubDepósito</v>
      </c>
      <c r="AE2270" t="str">
        <f t="shared" si="1462"/>
        <v>Marca</v>
      </c>
      <c r="AF2270" t="str">
        <f t="shared" si="1463"/>
        <v>Super Rubro</v>
      </c>
      <c r="AG2270" t="str">
        <f t="shared" si="1464"/>
        <v>ComercioExterior</v>
      </c>
      <c r="AH2270" t="str">
        <f t="shared" si="1465"/>
        <v>PrecioFOB</v>
      </c>
      <c r="AI2270" t="str">
        <f t="shared" si="1466"/>
        <v>Monto II</v>
      </c>
      <c r="AJ2270" t="str">
        <f t="shared" si="1467"/>
        <v>Porcentaje II</v>
      </c>
      <c r="AK2270" t="str">
        <f t="shared" si="1468"/>
        <v>Foto</v>
      </c>
      <c r="AL2270" t="str">
        <f>"{\rtf1\ansi\ansicpg1252\deff0\deflang11274{\fonttbl{\f0\fnil\fcharset0 MS Sans Serif}} \viewkind4\uc1\pard\f0\fs16 JUEGO AROS STD VW GOL GACEL SAVEIRO 1.6 1.8 DIAM 81MM SEMIHIDRAULICO\par } "</f>
        <v xml:space="preserve">{\rtf1\ansi\ansicpg1252\deff0\deflang11274{\fonttbl{\f0\fnil\fcharset0 MS Sans Serif}} \viewkind4\uc1\pard\f0\fs16 JUEGO AROS STD VW GOL GACEL SAVEIRO 1.6 1.8 DIAM 81MM SEMIHIDRAULICO\par } </v>
      </c>
      <c r="AM2270" t="str">
        <f>"-"</f>
        <v>-</v>
      </c>
    </row>
    <row r="2271" spans="1:39" x14ac:dyDescent="0.25">
      <c r="A2271" t="str">
        <f>"PMSH1919"</f>
        <v>PMSH1919</v>
      </c>
      <c r="B2271" t="str">
        <f>"JUEGO AROS STD VW POLO DIESEL 1.9 DIÁMETRO 79.5 MM 1.75 - 2 - 3"</f>
        <v>JUEGO AROS STD VW POLO DIESEL 1.9 DIÁMETRO 79.5 MM 1.75 - 2 - 3</v>
      </c>
      <c r="C2271" t="str">
        <f>"$ 52907,12"</f>
        <v>$ 52907,12</v>
      </c>
      <c r="D2271" t="str">
        <f>"$ 52907,12"</f>
        <v>$ 52907,12</v>
      </c>
      <c r="E2271" t="str">
        <f>"$ 52907,12"</f>
        <v>$ 52907,12</v>
      </c>
      <c r="F2271" t="str">
        <f>"$ 52907,12"</f>
        <v>$ 52907,12</v>
      </c>
      <c r="G2271" t="str">
        <f>"$ 52907,12"</f>
        <v>$ 52907,12</v>
      </c>
      <c r="H2271" t="str">
        <f t="shared" si="1449"/>
        <v>$ 0,00</v>
      </c>
      <c r="I2271" t="str">
        <f t="shared" si="1474"/>
        <v>JUEGO AROS SEMIHIDRAULICOS</v>
      </c>
      <c r="J2271" t="str">
        <f t="shared" si="1450"/>
        <v>1</v>
      </c>
      <c r="K2271" t="str">
        <f t="shared" si="1471"/>
        <v>0</v>
      </c>
      <c r="L2271" t="str">
        <f>"2,000"</f>
        <v>2,000</v>
      </c>
      <c r="M2271" t="str">
        <f t="shared" si="1451"/>
        <v xml:space="preserve"> </v>
      </c>
      <c r="N2271" t="str">
        <f t="shared" si="1446"/>
        <v>PROMETAL</v>
      </c>
      <c r="O2271" t="str">
        <f t="shared" si="1447"/>
        <v>AROS DE MOTOR</v>
      </c>
      <c r="P2271" t="str">
        <f t="shared" si="1472"/>
        <v>0</v>
      </c>
      <c r="Q2271" t="str">
        <f t="shared" si="1472"/>
        <v>0</v>
      </c>
      <c r="R2271" t="str">
        <f t="shared" si="1473"/>
        <v>0,00</v>
      </c>
      <c r="S2271" t="str">
        <f t="shared" si="1473"/>
        <v>0,00</v>
      </c>
      <c r="T2271" t="str">
        <f t="shared" si="1448"/>
        <v xml:space="preserve"> </v>
      </c>
      <c r="U2271" t="str">
        <f t="shared" si="1470"/>
        <v xml:space="preserve"> </v>
      </c>
      <c r="V2271" t="str">
        <f>"2,000"</f>
        <v>2,000</v>
      </c>
      <c r="W2271" t="str">
        <f t="shared" si="1454"/>
        <v>Lista 4</v>
      </c>
      <c r="X2271" t="str">
        <f t="shared" si="1455"/>
        <v>Lista 5</v>
      </c>
      <c r="Y2271" t="str">
        <f t="shared" si="1456"/>
        <v>Oferta Gral.</v>
      </c>
      <c r="Z2271" t="str">
        <f t="shared" si="1457"/>
        <v>Rubro</v>
      </c>
      <c r="AA2271" t="str">
        <f t="shared" si="1458"/>
        <v>Cantidad por Bulto</v>
      </c>
      <c r="AB2271" t="str">
        <f t="shared" si="1459"/>
        <v>INNER</v>
      </c>
      <c r="AC2271" t="str">
        <f t="shared" si="1460"/>
        <v>Stock en Bultos</v>
      </c>
      <c r="AD2271" t="str">
        <f t="shared" si="1461"/>
        <v>SubDepósito</v>
      </c>
      <c r="AE2271" t="str">
        <f t="shared" si="1462"/>
        <v>Marca</v>
      </c>
      <c r="AF2271" t="str">
        <f t="shared" si="1463"/>
        <v>Super Rubro</v>
      </c>
      <c r="AG2271" t="str">
        <f t="shared" si="1464"/>
        <v>ComercioExterior</v>
      </c>
      <c r="AH2271" t="str">
        <f t="shared" si="1465"/>
        <v>PrecioFOB</v>
      </c>
      <c r="AI2271" t="str">
        <f t="shared" si="1466"/>
        <v>Monto II</v>
      </c>
      <c r="AJ2271" t="str">
        <f t="shared" si="1467"/>
        <v>Porcentaje II</v>
      </c>
      <c r="AK2271" t="str">
        <f t="shared" si="1468"/>
        <v>Foto</v>
      </c>
      <c r="AL227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71" t="str">
        <f>"-"</f>
        <v>-</v>
      </c>
    </row>
    <row r="2272" spans="1:39" x14ac:dyDescent="0.25">
      <c r="A2272" t="str">
        <f>"PMSH1903"</f>
        <v>PMSH1903</v>
      </c>
      <c r="B2272" t="str">
        <f>"JUEGO AROS STD VW SENDA GOL 1.6 DIESEL DIAM 76.5 MM RECAMBIO SEMI HIDRÁULICO"</f>
        <v>JUEGO AROS STD VW SENDA GOL 1.6 DIESEL DIAM 76.5 MM RECAMBIO SEMI HIDRÁULICO</v>
      </c>
      <c r="C2272" t="str">
        <f>"$ 24315,90"</f>
        <v>$ 24315,90</v>
      </c>
      <c r="D2272" t="str">
        <f>"$ 24315,90"</f>
        <v>$ 24315,90</v>
      </c>
      <c r="E2272" t="str">
        <f>"$ 24315,90"</f>
        <v>$ 24315,90</v>
      </c>
      <c r="F2272" t="str">
        <f>"$ 24315,90"</f>
        <v>$ 24315,90</v>
      </c>
      <c r="G2272" t="str">
        <f>"$ 24315,90"</f>
        <v>$ 24315,90</v>
      </c>
      <c r="H2272" t="str">
        <f t="shared" si="1449"/>
        <v>$ 0,00</v>
      </c>
      <c r="I2272" t="str">
        <f t="shared" si="1474"/>
        <v>JUEGO AROS SEMIHIDRAULICOS</v>
      </c>
      <c r="J2272" t="str">
        <f t="shared" si="1450"/>
        <v>1</v>
      </c>
      <c r="K2272" t="str">
        <f t="shared" si="1471"/>
        <v>0</v>
      </c>
      <c r="L2272" t="str">
        <f>"0,000"</f>
        <v>0,000</v>
      </c>
      <c r="M2272" t="str">
        <f t="shared" si="1451"/>
        <v xml:space="preserve"> </v>
      </c>
      <c r="N2272" t="str">
        <f t="shared" si="1446"/>
        <v>PROMETAL</v>
      </c>
      <c r="O2272" t="str">
        <f t="shared" si="1447"/>
        <v>AROS DE MOTOR</v>
      </c>
      <c r="P2272" t="str">
        <f t="shared" si="1472"/>
        <v>0</v>
      </c>
      <c r="Q2272" t="str">
        <f t="shared" si="1472"/>
        <v>0</v>
      </c>
      <c r="R2272" t="str">
        <f t="shared" si="1473"/>
        <v>0,00</v>
      </c>
      <c r="S2272" t="str">
        <f t="shared" si="1473"/>
        <v>0,00</v>
      </c>
      <c r="T2272" t="str">
        <f t="shared" si="1448"/>
        <v xml:space="preserve"> </v>
      </c>
      <c r="U2272" t="str">
        <f t="shared" si="1470"/>
        <v xml:space="preserve"> </v>
      </c>
      <c r="V2272" t="str">
        <f>"0,000"</f>
        <v>0,000</v>
      </c>
      <c r="W2272" t="str">
        <f t="shared" si="1454"/>
        <v>Lista 4</v>
      </c>
      <c r="X2272" t="str">
        <f t="shared" si="1455"/>
        <v>Lista 5</v>
      </c>
      <c r="Y2272" t="str">
        <f t="shared" si="1456"/>
        <v>Oferta Gral.</v>
      </c>
      <c r="Z2272" t="str">
        <f t="shared" si="1457"/>
        <v>Rubro</v>
      </c>
      <c r="AA2272" t="str">
        <f t="shared" si="1458"/>
        <v>Cantidad por Bulto</v>
      </c>
      <c r="AB2272" t="str">
        <f t="shared" si="1459"/>
        <v>INNER</v>
      </c>
      <c r="AC2272" t="str">
        <f t="shared" si="1460"/>
        <v>Stock en Bultos</v>
      </c>
      <c r="AD2272" t="str">
        <f t="shared" si="1461"/>
        <v>SubDepósito</v>
      </c>
      <c r="AE2272" t="str">
        <f t="shared" si="1462"/>
        <v>Marca</v>
      </c>
      <c r="AF2272" t="str">
        <f t="shared" si="1463"/>
        <v>Super Rubro</v>
      </c>
      <c r="AG2272" t="str">
        <f t="shared" si="1464"/>
        <v>ComercioExterior</v>
      </c>
      <c r="AH2272" t="str">
        <f t="shared" si="1465"/>
        <v>PrecioFOB</v>
      </c>
      <c r="AI2272" t="str">
        <f t="shared" si="1466"/>
        <v>Monto II</v>
      </c>
      <c r="AJ2272" t="str">
        <f t="shared" si="1467"/>
        <v>Porcentaje II</v>
      </c>
      <c r="AK2272" t="str">
        <f t="shared" si="1468"/>
        <v>Foto</v>
      </c>
      <c r="AL2272" t="str">
        <f>"{\rtf1\ansi\ansicpg1252\deff0\deflang11274{\fonttbl{\f0\fnil\fcharset0 MS Sans Serif}} \viewkind4\uc1\pard\f0\fs16 JUEGO AROS STD VW SENDA GOL 1.6 DIESEL DIAM 76.5 MM RECAMBIO SEMI HIDR\'c1ULICO\par } "</f>
        <v xml:space="preserve">{\rtf1\ansi\ansicpg1252\deff0\deflang11274{\fonttbl{\f0\fnil\fcharset0 MS Sans Serif}} \viewkind4\uc1\pard\f0\fs16 JUEGO AROS STD VW SENDA GOL 1.6 DIESEL DIAM 76.5 MM RECAMBIO SEMI HIDR\'c1ULICO\par } </v>
      </c>
      <c r="AM2272" t="str">
        <f>"-"</f>
        <v>-</v>
      </c>
    </row>
    <row r="2273" spans="1:39" x14ac:dyDescent="0.25">
      <c r="A2273" t="str">
        <f>"BOT001"</f>
        <v>BOT001</v>
      </c>
      <c r="B2273" t="str">
        <f>"JUEGO BOTADORES CHEVROLET CRUZE"</f>
        <v>JUEGO BOTADORES CHEVROLET CRUZE</v>
      </c>
      <c r="C2273" t="str">
        <f>"$ 55172,00"</f>
        <v>$ 55172,00</v>
      </c>
      <c r="D2273" t="str">
        <f>"$ 55172,00"</f>
        <v>$ 55172,00</v>
      </c>
      <c r="E2273" t="str">
        <f>"$ 55172,00"</f>
        <v>$ 55172,00</v>
      </c>
      <c r="F2273" t="str">
        <f>"$ 20000,00"</f>
        <v>$ 20000,00</v>
      </c>
      <c r="G2273" t="str">
        <f>"$ 20000,00"</f>
        <v>$ 20000,00</v>
      </c>
      <c r="H2273" t="str">
        <f t="shared" si="1449"/>
        <v>$ 0,00</v>
      </c>
      <c r="I2273" t="str">
        <f>"BOTADORES HIDRAULICOS"</f>
        <v>BOTADORES HIDRAULICOS</v>
      </c>
      <c r="J2273" t="str">
        <f t="shared" si="1450"/>
        <v>1</v>
      </c>
      <c r="K2273" t="str">
        <f t="shared" si="1471"/>
        <v>0</v>
      </c>
      <c r="L2273" t="str">
        <f>"10,000"</f>
        <v>10,000</v>
      </c>
      <c r="M2273" t="str">
        <f t="shared" si="1451"/>
        <v xml:space="preserve"> </v>
      </c>
      <c r="N2273" t="str">
        <f>"DELPHI"</f>
        <v>DELPHI</v>
      </c>
      <c r="O2273" t="str">
        <f>"BOTADORES"</f>
        <v>BOTADORES</v>
      </c>
      <c r="P2273" t="str">
        <f t="shared" si="1472"/>
        <v>0</v>
      </c>
      <c r="Q2273" t="str">
        <f t="shared" si="1472"/>
        <v>0</v>
      </c>
      <c r="R2273" t="str">
        <f t="shared" si="1473"/>
        <v>0,00</v>
      </c>
      <c r="S2273" t="str">
        <f t="shared" si="1473"/>
        <v>0,00</v>
      </c>
      <c r="T2273" t="str">
        <f t="shared" si="1448"/>
        <v xml:space="preserve"> </v>
      </c>
      <c r="U2273" t="str">
        <f t="shared" si="1470"/>
        <v xml:space="preserve"> </v>
      </c>
      <c r="V2273" t="str">
        <f>"10,000"</f>
        <v>10,000</v>
      </c>
      <c r="W2273" t="str">
        <f t="shared" si="1454"/>
        <v>Lista 4</v>
      </c>
      <c r="X2273" t="str">
        <f t="shared" si="1455"/>
        <v>Lista 5</v>
      </c>
      <c r="Y2273" t="str">
        <f t="shared" si="1456"/>
        <v>Oferta Gral.</v>
      </c>
      <c r="Z2273" t="str">
        <f t="shared" si="1457"/>
        <v>Rubro</v>
      </c>
      <c r="AA2273" t="str">
        <f t="shared" si="1458"/>
        <v>Cantidad por Bulto</v>
      </c>
      <c r="AB2273" t="str">
        <f t="shared" si="1459"/>
        <v>INNER</v>
      </c>
      <c r="AC2273" t="str">
        <f t="shared" si="1460"/>
        <v>Stock en Bultos</v>
      </c>
      <c r="AD2273" t="str">
        <f t="shared" si="1461"/>
        <v>SubDepósito</v>
      </c>
      <c r="AE2273" t="str">
        <f t="shared" si="1462"/>
        <v>Marca</v>
      </c>
      <c r="AF2273" t="str">
        <f t="shared" si="1463"/>
        <v>Super Rubro</v>
      </c>
      <c r="AG2273" t="str">
        <f t="shared" si="1464"/>
        <v>ComercioExterior</v>
      </c>
      <c r="AH2273" t="str">
        <f t="shared" si="1465"/>
        <v>PrecioFOB</v>
      </c>
      <c r="AI2273" t="str">
        <f t="shared" si="1466"/>
        <v>Monto II</v>
      </c>
      <c r="AJ2273" t="str">
        <f t="shared" si="1467"/>
        <v>Porcentaje II</v>
      </c>
      <c r="AK2273" t="str">
        <f t="shared" si="1468"/>
        <v>Foto</v>
      </c>
      <c r="AL227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273" t="str">
        <f>" "</f>
        <v xml:space="preserve"> </v>
      </c>
    </row>
    <row r="2274" spans="1:39" x14ac:dyDescent="0.25">
      <c r="A2274" t="str">
        <f>"CO457 10"</f>
        <v>CO457 10</v>
      </c>
      <c r="B2274" t="str">
        <f>"JUEGO COJINETES 0,25 MM COMPRESOR TENSA"</f>
        <v>JUEGO COJINETES 0,25 MM COMPRESOR TENSA</v>
      </c>
      <c r="C2274" t="str">
        <f t="shared" ref="C2274:G2275" si="1475">"$ 9524,69"</f>
        <v>$ 9524,69</v>
      </c>
      <c r="D2274" t="str">
        <f t="shared" si="1475"/>
        <v>$ 9524,69</v>
      </c>
      <c r="E2274" t="str">
        <f t="shared" si="1475"/>
        <v>$ 9524,69</v>
      </c>
      <c r="F2274" t="str">
        <f t="shared" si="1475"/>
        <v>$ 9524,69</v>
      </c>
      <c r="G2274" t="str">
        <f t="shared" si="1475"/>
        <v>$ 9524,69</v>
      </c>
      <c r="H2274" t="str">
        <f t="shared" si="1449"/>
        <v>$ 0,00</v>
      </c>
      <c r="I2274" t="str">
        <f>"COJINETES COMPRESOR"</f>
        <v>COJINETES COMPRESOR</v>
      </c>
      <c r="J2274" t="str">
        <f t="shared" si="1450"/>
        <v>1</v>
      </c>
      <c r="K2274" t="str">
        <f t="shared" si="1471"/>
        <v>0</v>
      </c>
      <c r="L2274" t="str">
        <f>"2,000"</f>
        <v>2,000</v>
      </c>
      <c r="M2274" t="str">
        <f t="shared" si="1451"/>
        <v xml:space="preserve"> </v>
      </c>
      <c r="N2274" t="str">
        <f>"MPSI"</f>
        <v>MPSI</v>
      </c>
      <c r="O2274" t="str">
        <f>"COJINETES"</f>
        <v>COJINETES</v>
      </c>
      <c r="P2274" t="str">
        <f t="shared" si="1472"/>
        <v>0</v>
      </c>
      <c r="Q2274" t="str">
        <f t="shared" si="1472"/>
        <v>0</v>
      </c>
      <c r="R2274" t="str">
        <f t="shared" si="1473"/>
        <v>0,00</v>
      </c>
      <c r="S2274" t="str">
        <f t="shared" si="1473"/>
        <v>0,00</v>
      </c>
      <c r="T2274" t="str">
        <f t="shared" si="1448"/>
        <v xml:space="preserve"> </v>
      </c>
      <c r="U2274" t="str">
        <f t="shared" si="1470"/>
        <v xml:space="preserve"> </v>
      </c>
      <c r="V2274" t="str">
        <f>"2,000"</f>
        <v>2,000</v>
      </c>
      <c r="W2274" t="str">
        <f t="shared" si="1454"/>
        <v>Lista 4</v>
      </c>
      <c r="X2274" t="str">
        <f t="shared" si="1455"/>
        <v>Lista 5</v>
      </c>
      <c r="Y2274" t="str">
        <f t="shared" si="1456"/>
        <v>Oferta Gral.</v>
      </c>
      <c r="Z2274" t="str">
        <f t="shared" si="1457"/>
        <v>Rubro</v>
      </c>
      <c r="AA2274" t="str">
        <f t="shared" si="1458"/>
        <v>Cantidad por Bulto</v>
      </c>
      <c r="AB2274" t="str">
        <f t="shared" si="1459"/>
        <v>INNER</v>
      </c>
      <c r="AC2274" t="str">
        <f t="shared" si="1460"/>
        <v>Stock en Bultos</v>
      </c>
      <c r="AD2274" t="str">
        <f t="shared" si="1461"/>
        <v>SubDepósito</v>
      </c>
      <c r="AE2274" t="str">
        <f t="shared" si="1462"/>
        <v>Marca</v>
      </c>
      <c r="AF2274" t="str">
        <f t="shared" si="1463"/>
        <v>Super Rubro</v>
      </c>
      <c r="AG2274" t="str">
        <f t="shared" si="1464"/>
        <v>ComercioExterior</v>
      </c>
      <c r="AH2274" t="str">
        <f t="shared" si="1465"/>
        <v>PrecioFOB</v>
      </c>
      <c r="AI2274" t="str">
        <f t="shared" si="1466"/>
        <v>Monto II</v>
      </c>
      <c r="AJ2274" t="str">
        <f t="shared" si="1467"/>
        <v>Porcentaje II</v>
      </c>
      <c r="AK2274" t="str">
        <f t="shared" si="1468"/>
        <v>Foto</v>
      </c>
      <c r="AL2274" t="str">
        <f>"{\rtf1\ansi\ansicpg1252\deff0\deflang11274{\fonttbl{\f0\fnil\fcharset0 MS Sans Serif}} \viewkind4\uc1\pard\f0\fs16 JUEGO COJINETES 0,25 MM COMPRESOR TENSA\par } "</f>
        <v xml:space="preserve">{\rtf1\ansi\ansicpg1252\deff0\deflang11274{\fonttbl{\f0\fnil\fcharset0 MS Sans Serif}} \viewkind4\uc1\pard\f0\fs16 JUEGO COJINETES 0,25 MM COMPRESOR TENSA\par } </v>
      </c>
      <c r="AM2274" t="str">
        <f>"-"</f>
        <v>-</v>
      </c>
    </row>
    <row r="2275" spans="1:39" x14ac:dyDescent="0.25">
      <c r="A2275" t="str">
        <f>"CO457 20"</f>
        <v>CO457 20</v>
      </c>
      <c r="B2275" t="str">
        <f>"JUEGO COJINETES 0,50 MM COMPRESOR TENSA"</f>
        <v>JUEGO COJINETES 0,50 MM COMPRESOR TENSA</v>
      </c>
      <c r="C2275" t="str">
        <f t="shared" si="1475"/>
        <v>$ 9524,69</v>
      </c>
      <c r="D2275" t="str">
        <f t="shared" si="1475"/>
        <v>$ 9524,69</v>
      </c>
      <c r="E2275" t="str">
        <f t="shared" si="1475"/>
        <v>$ 9524,69</v>
      </c>
      <c r="F2275" t="str">
        <f t="shared" si="1475"/>
        <v>$ 9524,69</v>
      </c>
      <c r="G2275" t="str">
        <f t="shared" si="1475"/>
        <v>$ 9524,69</v>
      </c>
      <c r="H2275" t="str">
        <f t="shared" si="1449"/>
        <v>$ 0,00</v>
      </c>
      <c r="I2275" t="str">
        <f>"COJINETES COMPRESOR"</f>
        <v>COJINETES COMPRESOR</v>
      </c>
      <c r="J2275" t="str">
        <f t="shared" si="1450"/>
        <v>1</v>
      </c>
      <c r="K2275" t="str">
        <f t="shared" si="1471"/>
        <v>0</v>
      </c>
      <c r="L2275" t="str">
        <f>"1,000"</f>
        <v>1,000</v>
      </c>
      <c r="M2275" t="str">
        <f t="shared" si="1451"/>
        <v xml:space="preserve"> </v>
      </c>
      <c r="N2275" t="str">
        <f>"MPSI"</f>
        <v>MPSI</v>
      </c>
      <c r="O2275" t="str">
        <f>"COJINETES"</f>
        <v>COJINETES</v>
      </c>
      <c r="P2275" t="str">
        <f t="shared" si="1472"/>
        <v>0</v>
      </c>
      <c r="Q2275" t="str">
        <f t="shared" si="1472"/>
        <v>0</v>
      </c>
      <c r="R2275" t="str">
        <f t="shared" si="1473"/>
        <v>0,00</v>
      </c>
      <c r="S2275" t="str">
        <f t="shared" si="1473"/>
        <v>0,00</v>
      </c>
      <c r="T2275" t="str">
        <f t="shared" si="1448"/>
        <v xml:space="preserve"> </v>
      </c>
      <c r="U2275" t="str">
        <f t="shared" si="1470"/>
        <v xml:space="preserve"> </v>
      </c>
      <c r="V2275" t="str">
        <f>"1,000"</f>
        <v>1,000</v>
      </c>
      <c r="W2275" t="str">
        <f t="shared" si="1454"/>
        <v>Lista 4</v>
      </c>
      <c r="X2275" t="str">
        <f t="shared" si="1455"/>
        <v>Lista 5</v>
      </c>
      <c r="Y2275" t="str">
        <f t="shared" si="1456"/>
        <v>Oferta Gral.</v>
      </c>
      <c r="Z2275" t="str">
        <f t="shared" si="1457"/>
        <v>Rubro</v>
      </c>
      <c r="AA2275" t="str">
        <f t="shared" si="1458"/>
        <v>Cantidad por Bulto</v>
      </c>
      <c r="AB2275" t="str">
        <f t="shared" si="1459"/>
        <v>INNER</v>
      </c>
      <c r="AC2275" t="str">
        <f t="shared" si="1460"/>
        <v>Stock en Bultos</v>
      </c>
      <c r="AD2275" t="str">
        <f t="shared" si="1461"/>
        <v>SubDepósito</v>
      </c>
      <c r="AE2275" t="str">
        <f t="shared" si="1462"/>
        <v>Marca</v>
      </c>
      <c r="AF2275" t="str">
        <f t="shared" si="1463"/>
        <v>Super Rubro</v>
      </c>
      <c r="AG2275" t="str">
        <f t="shared" si="1464"/>
        <v>ComercioExterior</v>
      </c>
      <c r="AH2275" t="str">
        <f t="shared" si="1465"/>
        <v>PrecioFOB</v>
      </c>
      <c r="AI2275" t="str">
        <f t="shared" si="1466"/>
        <v>Monto II</v>
      </c>
      <c r="AJ2275" t="str">
        <f t="shared" si="1467"/>
        <v>Porcentaje II</v>
      </c>
      <c r="AK2275" t="str">
        <f t="shared" si="1468"/>
        <v>Foto</v>
      </c>
      <c r="AL2275" t="str">
        <f>"{\rtf1\ansi\ansicpg1252\deff0\deflang11274{\fonttbl{\f0\fnil\fcharset0 MS Sans Serif}} \viewkind4\uc1\pard\f0\fs16 JUEGO COJINETES 0,50 MM COMPRESOR TENSA\par } "</f>
        <v xml:space="preserve">{\rtf1\ansi\ansicpg1252\deff0\deflang11274{\fonttbl{\f0\fnil\fcharset0 MS Sans Serif}} \viewkind4\uc1\pard\f0\fs16 JUEGO COJINETES 0,50 MM COMPRESOR TENSA\par } </v>
      </c>
      <c r="AM2275" t="str">
        <f>"-"</f>
        <v>-</v>
      </c>
    </row>
    <row r="2276" spans="1:39" x14ac:dyDescent="0.25">
      <c r="A2276" t="str">
        <f>"BI7137544 10"</f>
        <v>BI7137544 10</v>
      </c>
      <c r="B2276" t="str">
        <f>"JUEGO COJINETES BIELA 0,25 MM RENAULT LAGUNA 2,0 16V MOTOR N7Q"</f>
        <v>JUEGO COJINETES BIELA 0,25 MM RENAULT LAGUNA 2,0 16V MOTOR N7Q</v>
      </c>
      <c r="C2276" t="str">
        <f>"$ 95676,63"</f>
        <v>$ 95676,63</v>
      </c>
      <c r="D2276" t="str">
        <f>"$ 95676,63"</f>
        <v>$ 95676,63</v>
      </c>
      <c r="E2276" t="str">
        <f>"$ 95676,63"</f>
        <v>$ 95676,63</v>
      </c>
      <c r="F2276" t="str">
        <f>"$ 95676,63"</f>
        <v>$ 95676,63</v>
      </c>
      <c r="G2276" t="str">
        <f>"$ 95676,63"</f>
        <v>$ 95676,63</v>
      </c>
      <c r="H2276" t="str">
        <f t="shared" si="1449"/>
        <v>$ 0,00</v>
      </c>
      <c r="I2276" t="str">
        <f>"JUEGO COJINETES BIELA"</f>
        <v>JUEGO COJINETES BIELA</v>
      </c>
      <c r="J2276" t="str">
        <f t="shared" si="1450"/>
        <v>1</v>
      </c>
      <c r="K2276" t="str">
        <f t="shared" si="1471"/>
        <v>0</v>
      </c>
      <c r="L2276" t="str">
        <f>"1,000"</f>
        <v>1,000</v>
      </c>
      <c r="M2276" t="str">
        <f t="shared" si="1451"/>
        <v xml:space="preserve"> </v>
      </c>
      <c r="N2276" t="str">
        <f>"MPSI"</f>
        <v>MPSI</v>
      </c>
      <c r="O2276" t="str">
        <f>"COJINETES"</f>
        <v>COJINETES</v>
      </c>
      <c r="P2276" t="str">
        <f t="shared" si="1472"/>
        <v>0</v>
      </c>
      <c r="Q2276" t="str">
        <f t="shared" si="1472"/>
        <v>0</v>
      </c>
      <c r="R2276" t="str">
        <f t="shared" si="1473"/>
        <v>0,00</v>
      </c>
      <c r="S2276" t="str">
        <f t="shared" si="1473"/>
        <v>0,00</v>
      </c>
      <c r="T2276" t="str">
        <f t="shared" si="1448"/>
        <v xml:space="preserve"> </v>
      </c>
      <c r="U2276" t="str">
        <f t="shared" si="1470"/>
        <v xml:space="preserve"> </v>
      </c>
      <c r="V2276" t="str">
        <f>"1,000"</f>
        <v>1,000</v>
      </c>
      <c r="W2276" t="str">
        <f t="shared" si="1454"/>
        <v>Lista 4</v>
      </c>
      <c r="X2276" t="str">
        <f t="shared" si="1455"/>
        <v>Lista 5</v>
      </c>
      <c r="Y2276" t="str">
        <f t="shared" si="1456"/>
        <v>Oferta Gral.</v>
      </c>
      <c r="Z2276" t="str">
        <f t="shared" si="1457"/>
        <v>Rubro</v>
      </c>
      <c r="AA2276" t="str">
        <f t="shared" si="1458"/>
        <v>Cantidad por Bulto</v>
      </c>
      <c r="AB2276" t="str">
        <f t="shared" si="1459"/>
        <v>INNER</v>
      </c>
      <c r="AC2276" t="str">
        <f t="shared" si="1460"/>
        <v>Stock en Bultos</v>
      </c>
      <c r="AD2276" t="str">
        <f t="shared" si="1461"/>
        <v>SubDepósito</v>
      </c>
      <c r="AE2276" t="str">
        <f t="shared" si="1462"/>
        <v>Marca</v>
      </c>
      <c r="AF2276" t="str">
        <f t="shared" si="1463"/>
        <v>Super Rubro</v>
      </c>
      <c r="AG2276" t="str">
        <f t="shared" si="1464"/>
        <v>ComercioExterior</v>
      </c>
      <c r="AH2276" t="str">
        <f t="shared" si="1465"/>
        <v>PrecioFOB</v>
      </c>
      <c r="AI2276" t="str">
        <f t="shared" si="1466"/>
        <v>Monto II</v>
      </c>
      <c r="AJ2276" t="str">
        <f t="shared" si="1467"/>
        <v>Porcentaje II</v>
      </c>
      <c r="AK2276" t="str">
        <f t="shared" si="1468"/>
        <v>Foto</v>
      </c>
      <c r="AL2276" t="str">
        <f>"{\rtf1\ansi\ansicpg1252\deff0\deflang11274{\fonttbl{\f0\fnil\fcharset0 MS Sans Serif}} \viewkind4\uc1\pard\f0\fs16 JUEGO COJINETES BIELA 0,25 MM RENAULT LAGUNA 2,0 16V MOTOR N7Q\par } "</f>
        <v xml:space="preserve">{\rtf1\ansi\ansicpg1252\deff0\deflang11274{\fonttbl{\f0\fnil\fcharset0 MS Sans Serif}} \viewkind4\uc1\pard\f0\fs16 JUEGO COJINETES BIELA 0,25 MM RENAULT LAGUNA 2,0 16V MOTOR N7Q\par } </v>
      </c>
      <c r="AM2276" t="str">
        <f>"-"</f>
        <v>-</v>
      </c>
    </row>
    <row r="2277" spans="1:39" x14ac:dyDescent="0.25">
      <c r="A2277" t="str">
        <f>"CO457"</f>
        <v>CO457</v>
      </c>
      <c r="B2277" t="str">
        <f>"JUEGO COJINETES STD COMPRESOR TENSA"</f>
        <v>JUEGO COJINETES STD COMPRESOR TENSA</v>
      </c>
      <c r="C2277" t="str">
        <f>"$ 9524,69"</f>
        <v>$ 9524,69</v>
      </c>
      <c r="D2277" t="str">
        <f>"$ 9524,69"</f>
        <v>$ 9524,69</v>
      </c>
      <c r="E2277" t="str">
        <f>"$ 9524,69"</f>
        <v>$ 9524,69</v>
      </c>
      <c r="F2277" t="str">
        <f>"$ 9524,69"</f>
        <v>$ 9524,69</v>
      </c>
      <c r="G2277" t="str">
        <f>"$ 9524,69"</f>
        <v>$ 9524,69</v>
      </c>
      <c r="H2277" t="str">
        <f t="shared" si="1449"/>
        <v>$ 0,00</v>
      </c>
      <c r="I2277" t="str">
        <f>"COJINETES COMPRESOR"</f>
        <v>COJINETES COMPRESOR</v>
      </c>
      <c r="J2277" t="str">
        <f t="shared" si="1450"/>
        <v>1</v>
      </c>
      <c r="K2277" t="str">
        <f t="shared" si="1471"/>
        <v>0</v>
      </c>
      <c r="L2277" t="str">
        <f>"1,000"</f>
        <v>1,000</v>
      </c>
      <c r="M2277" t="str">
        <f t="shared" si="1451"/>
        <v xml:space="preserve"> </v>
      </c>
      <c r="N2277" t="str">
        <f>"MPSI"</f>
        <v>MPSI</v>
      </c>
      <c r="O2277" t="str">
        <f>"COJINETES"</f>
        <v>COJINETES</v>
      </c>
      <c r="P2277" t="str">
        <f t="shared" si="1472"/>
        <v>0</v>
      </c>
      <c r="Q2277" t="str">
        <f t="shared" si="1472"/>
        <v>0</v>
      </c>
      <c r="R2277" t="str">
        <f t="shared" si="1473"/>
        <v>0,00</v>
      </c>
      <c r="S2277" t="str">
        <f t="shared" si="1473"/>
        <v>0,00</v>
      </c>
      <c r="T2277" t="str">
        <f t="shared" si="1448"/>
        <v xml:space="preserve"> </v>
      </c>
      <c r="U2277" t="str">
        <f t="shared" si="1470"/>
        <v xml:space="preserve"> </v>
      </c>
      <c r="V2277" t="str">
        <f>"1,000"</f>
        <v>1,000</v>
      </c>
      <c r="W2277" t="str">
        <f t="shared" si="1454"/>
        <v>Lista 4</v>
      </c>
      <c r="X2277" t="str">
        <f t="shared" si="1455"/>
        <v>Lista 5</v>
      </c>
      <c r="Y2277" t="str">
        <f t="shared" si="1456"/>
        <v>Oferta Gral.</v>
      </c>
      <c r="Z2277" t="str">
        <f t="shared" si="1457"/>
        <v>Rubro</v>
      </c>
      <c r="AA2277" t="str">
        <f t="shared" si="1458"/>
        <v>Cantidad por Bulto</v>
      </c>
      <c r="AB2277" t="str">
        <f t="shared" si="1459"/>
        <v>INNER</v>
      </c>
      <c r="AC2277" t="str">
        <f t="shared" si="1460"/>
        <v>Stock en Bultos</v>
      </c>
      <c r="AD2277" t="str">
        <f t="shared" si="1461"/>
        <v>SubDepósito</v>
      </c>
      <c r="AE2277" t="str">
        <f t="shared" si="1462"/>
        <v>Marca</v>
      </c>
      <c r="AF2277" t="str">
        <f t="shared" si="1463"/>
        <v>Super Rubro</v>
      </c>
      <c r="AG2277" t="str">
        <f t="shared" si="1464"/>
        <v>ComercioExterior</v>
      </c>
      <c r="AH2277" t="str">
        <f t="shared" si="1465"/>
        <v>PrecioFOB</v>
      </c>
      <c r="AI2277" t="str">
        <f t="shared" si="1466"/>
        <v>Monto II</v>
      </c>
      <c r="AJ2277" t="str">
        <f t="shared" si="1467"/>
        <v>Porcentaje II</v>
      </c>
      <c r="AK2277" t="str">
        <f t="shared" si="1468"/>
        <v>Foto</v>
      </c>
      <c r="AL2277" t="str">
        <f>"{\rtf1\ansi\ansicpg1252\deff0\deflang11274{\fonttbl{\f0\fnil\fcharset0 MS Sans Serif}} \viewkind4\uc1\pard\f0\fs16 JUEGO COJINETES STD COMPRESOR TENSA\par } "</f>
        <v xml:space="preserve">{\rtf1\ansi\ansicpg1252\deff0\deflang11274{\fonttbl{\f0\fnil\fcharset0 MS Sans Serif}} \viewkind4\uc1\pard\f0\fs16 JUEGO COJINETES STD COMPRESOR TENSA\par } </v>
      </c>
      <c r="AM2277" t="str">
        <f>"-"</f>
        <v>-</v>
      </c>
    </row>
    <row r="2278" spans="1:39" x14ac:dyDescent="0.25">
      <c r="A2278" t="str">
        <f>"7700274026V"</f>
        <v>7700274026V</v>
      </c>
      <c r="B2278" t="str">
        <f>"JUEGO TAPONES DISTRIBUCION RENAULT MOTOR K4M"</f>
        <v>JUEGO TAPONES DISTRIBUCION RENAULT MOTOR K4M</v>
      </c>
      <c r="C2278" t="str">
        <f>"$ 4731,05"</f>
        <v>$ 4731,05</v>
      </c>
      <c r="D2278" t="str">
        <f>"$ 4731,05"</f>
        <v>$ 4731,05</v>
      </c>
      <c r="E2278" t="str">
        <f>"$ 4731,05"</f>
        <v>$ 4731,05</v>
      </c>
      <c r="F2278" t="str">
        <f>"$ 4731,05"</f>
        <v>$ 4731,05</v>
      </c>
      <c r="G2278" t="str">
        <f>"$ 4731,05"</f>
        <v>$ 4731,05</v>
      </c>
      <c r="H2278" t="str">
        <f t="shared" si="1449"/>
        <v>$ 0,00</v>
      </c>
      <c r="I2278" t="str">
        <f>"TAPA  DE DISTRIBUCION"</f>
        <v>TAPA  DE DISTRIBUCION</v>
      </c>
      <c r="J2278" t="str">
        <f t="shared" si="1450"/>
        <v>1</v>
      </c>
      <c r="K2278" t="str">
        <f t="shared" si="1471"/>
        <v>0</v>
      </c>
      <c r="L2278" t="str">
        <f>"101,000"</f>
        <v>101,000</v>
      </c>
      <c r="M2278" t="str">
        <f t="shared" si="1451"/>
        <v xml:space="preserve"> </v>
      </c>
      <c r="N2278" t="str">
        <f>"ACROM"</f>
        <v>ACROM</v>
      </c>
      <c r="O2278" t="str">
        <f>"DISTRIBUCION"</f>
        <v>DISTRIBUCION</v>
      </c>
      <c r="P2278" t="str">
        <f t="shared" si="1472"/>
        <v>0</v>
      </c>
      <c r="Q2278" t="str">
        <f t="shared" si="1472"/>
        <v>0</v>
      </c>
      <c r="R2278" t="str">
        <f t="shared" si="1473"/>
        <v>0,00</v>
      </c>
      <c r="S2278" t="str">
        <f t="shared" si="1473"/>
        <v>0,00</v>
      </c>
      <c r="T2278" t="str">
        <f t="shared" si="1448"/>
        <v xml:space="preserve"> </v>
      </c>
      <c r="U2278" t="str">
        <f t="shared" si="1470"/>
        <v xml:space="preserve"> </v>
      </c>
      <c r="V2278" t="str">
        <f>"101,000"</f>
        <v>101,000</v>
      </c>
      <c r="W2278" t="str">
        <f t="shared" si="1454"/>
        <v>Lista 4</v>
      </c>
      <c r="X2278" t="str">
        <f t="shared" si="1455"/>
        <v>Lista 5</v>
      </c>
      <c r="Y2278" t="str">
        <f t="shared" si="1456"/>
        <v>Oferta Gral.</v>
      </c>
      <c r="Z2278" t="str">
        <f t="shared" si="1457"/>
        <v>Rubro</v>
      </c>
      <c r="AA2278" t="str">
        <f t="shared" si="1458"/>
        <v>Cantidad por Bulto</v>
      </c>
      <c r="AB2278" t="str">
        <f t="shared" si="1459"/>
        <v>INNER</v>
      </c>
      <c r="AC2278" t="str">
        <f t="shared" si="1460"/>
        <v>Stock en Bultos</v>
      </c>
      <c r="AD2278" t="str">
        <f t="shared" si="1461"/>
        <v>SubDepósito</v>
      </c>
      <c r="AE2278" t="str">
        <f t="shared" si="1462"/>
        <v>Marca</v>
      </c>
      <c r="AF2278" t="str">
        <f t="shared" si="1463"/>
        <v>Super Rubro</v>
      </c>
      <c r="AG2278" t="str">
        <f t="shared" si="1464"/>
        <v>ComercioExterior</v>
      </c>
      <c r="AH2278" t="str">
        <f t="shared" si="1465"/>
        <v>PrecioFOB</v>
      </c>
      <c r="AI2278" t="str">
        <f t="shared" si="1466"/>
        <v>Monto II</v>
      </c>
      <c r="AJ2278" t="str">
        <f t="shared" si="1467"/>
        <v>Porcentaje II</v>
      </c>
      <c r="AK2278" t="str">
        <f t="shared" si="1468"/>
        <v>Foto</v>
      </c>
      <c r="AL2278" t="str">
        <f>"{\rtf1\ansi\ansicpg1252\deff0\deflang11274{\fonttbl{\f0\fnil\fcharset0 MS Sans Serif}} \viewkind4\uc1\pard\f0\fs16 JUEGO TAPONES DISTRIBUCION RENAULT MOTOR K4M\par } "</f>
        <v xml:space="preserve">{\rtf1\ansi\ansicpg1252\deff0\deflang11274{\fonttbl{\f0\fnil\fcharset0 MS Sans Serif}} \viewkind4\uc1\pard\f0\fs16 JUEGO TAPONES DISTRIBUCION RENAULT MOTOR K4M\par } </v>
      </c>
      <c r="AM2278" t="str">
        <f>" "</f>
        <v xml:space="preserve"> </v>
      </c>
    </row>
    <row r="2279" spans="1:39" x14ac:dyDescent="0.25">
      <c r="A2279" t="str">
        <f>"9004S6"</f>
        <v>9004S6</v>
      </c>
      <c r="B2279" t="str">
        <f>"KIT 9004 CREE LED 12V SEXTA GENERACION"</f>
        <v>KIT 9004 CREE LED 12V SEXTA GENERACION</v>
      </c>
      <c r="C2279" t="str">
        <f>"$ 20692,87"</f>
        <v>$ 20692,87</v>
      </c>
      <c r="D2279" t="str">
        <f>"$ 20692,87"</f>
        <v>$ 20692,87</v>
      </c>
      <c r="E2279" t="str">
        <f>"$ 20692,87"</f>
        <v>$ 20692,87</v>
      </c>
      <c r="F2279" t="str">
        <f>"$ 20692,87"</f>
        <v>$ 20692,87</v>
      </c>
      <c r="G2279" t="str">
        <f>"$ 20692,87"</f>
        <v>$ 20692,87</v>
      </c>
      <c r="H2279" t="str">
        <f t="shared" si="1449"/>
        <v>$ 0,00</v>
      </c>
      <c r="I2279" t="str">
        <f>"CREE LED "</f>
        <v xml:space="preserve">CREE LED </v>
      </c>
      <c r="J2279" t="str">
        <f t="shared" si="1450"/>
        <v>1</v>
      </c>
      <c r="K2279" t="str">
        <f t="shared" si="1471"/>
        <v>0</v>
      </c>
      <c r="L2279" t="str">
        <f>"10,000"</f>
        <v>10,000</v>
      </c>
      <c r="M2279" t="str">
        <f t="shared" si="1451"/>
        <v xml:space="preserve"> </v>
      </c>
      <c r="N2279" t="str">
        <f>"LUX LED"</f>
        <v>LUX LED</v>
      </c>
      <c r="O2279" t="str">
        <f>"LAMPARAS"</f>
        <v>LAMPARAS</v>
      </c>
      <c r="P2279" t="str">
        <f t="shared" si="1472"/>
        <v>0</v>
      </c>
      <c r="Q2279" t="str">
        <f t="shared" si="1472"/>
        <v>0</v>
      </c>
      <c r="R2279" t="str">
        <f t="shared" si="1473"/>
        <v>0,00</v>
      </c>
      <c r="S2279" t="str">
        <f t="shared" si="1473"/>
        <v>0,00</v>
      </c>
      <c r="T2279" t="str">
        <f t="shared" si="1448"/>
        <v xml:space="preserve"> </v>
      </c>
      <c r="U2279" t="str">
        <f t="shared" si="1470"/>
        <v xml:space="preserve"> </v>
      </c>
      <c r="V2279" t="str">
        <f>"10,000"</f>
        <v>10,000</v>
      </c>
      <c r="W2279" t="str">
        <f t="shared" si="1454"/>
        <v>Lista 4</v>
      </c>
      <c r="X2279" t="str">
        <f t="shared" si="1455"/>
        <v>Lista 5</v>
      </c>
      <c r="Y2279" t="str">
        <f t="shared" si="1456"/>
        <v>Oferta Gral.</v>
      </c>
      <c r="Z2279" t="str">
        <f t="shared" si="1457"/>
        <v>Rubro</v>
      </c>
      <c r="AA2279" t="str">
        <f t="shared" si="1458"/>
        <v>Cantidad por Bulto</v>
      </c>
      <c r="AB2279" t="str">
        <f t="shared" si="1459"/>
        <v>INNER</v>
      </c>
      <c r="AC2279" t="str">
        <f t="shared" si="1460"/>
        <v>Stock en Bultos</v>
      </c>
      <c r="AD2279" t="str">
        <f t="shared" si="1461"/>
        <v>SubDepósito</v>
      </c>
      <c r="AE2279" t="str">
        <f t="shared" si="1462"/>
        <v>Marca</v>
      </c>
      <c r="AF2279" t="str">
        <f t="shared" si="1463"/>
        <v>Super Rubro</v>
      </c>
      <c r="AG2279" t="str">
        <f t="shared" si="1464"/>
        <v>ComercioExterior</v>
      </c>
      <c r="AH2279" t="str">
        <f t="shared" si="1465"/>
        <v>PrecioFOB</v>
      </c>
      <c r="AI2279" t="str">
        <f t="shared" si="1466"/>
        <v>Monto II</v>
      </c>
      <c r="AJ2279" t="str">
        <f t="shared" si="1467"/>
        <v>Porcentaje II</v>
      </c>
      <c r="AK2279" t="str">
        <f t="shared" si="1468"/>
        <v>Foto</v>
      </c>
      <c r="AL2279" t="str">
        <f>"{\rtf1\ansi\ansicpg1252\deff0\deflang11274{\fonttbl{\f0\fnil\fcharset0 MS Sans Serif}} \viewkind4\uc1\pard\f0\fs16 KIT 9004 CREE LED 12V SEXTA GENERACION\par } "</f>
        <v xml:space="preserve">{\rtf1\ansi\ansicpg1252\deff0\deflang11274{\fonttbl{\f0\fnil\fcharset0 MS Sans Serif}} \viewkind4\uc1\pard\f0\fs16 KIT 9004 CREE LED 12V SEXTA GENERACION\par } </v>
      </c>
      <c r="AM2279" t="str">
        <f>" "</f>
        <v xml:space="preserve"> </v>
      </c>
    </row>
    <row r="2280" spans="1:39" x14ac:dyDescent="0.25">
      <c r="A2280" t="str">
        <f>"9005S6"</f>
        <v>9005S6</v>
      </c>
      <c r="B2280" t="str">
        <f>"KIT 9005 CREELED 12V 6TA GENERACION"</f>
        <v>KIT 9005 CREELED 12V 6TA GENERACION</v>
      </c>
      <c r="C2280" t="str">
        <f t="shared" ref="C2280:G2281" si="1476">"$ 19578,26"</f>
        <v>$ 19578,26</v>
      </c>
      <c r="D2280" t="str">
        <f t="shared" si="1476"/>
        <v>$ 19578,26</v>
      </c>
      <c r="E2280" t="str">
        <f t="shared" si="1476"/>
        <v>$ 19578,26</v>
      </c>
      <c r="F2280" t="str">
        <f t="shared" si="1476"/>
        <v>$ 19578,26</v>
      </c>
      <c r="G2280" t="str">
        <f t="shared" si="1476"/>
        <v>$ 19578,26</v>
      </c>
      <c r="H2280" t="str">
        <f t="shared" si="1449"/>
        <v>$ 0,00</v>
      </c>
      <c r="I2280" t="str">
        <f>"CREE LED "</f>
        <v xml:space="preserve">CREE LED </v>
      </c>
      <c r="J2280" t="str">
        <f t="shared" si="1450"/>
        <v>1</v>
      </c>
      <c r="K2280" t="str">
        <f t="shared" si="1471"/>
        <v>0</v>
      </c>
      <c r="L2280" t="str">
        <f>"4,000"</f>
        <v>4,000</v>
      </c>
      <c r="M2280" t="str">
        <f t="shared" si="1451"/>
        <v xml:space="preserve"> </v>
      </c>
      <c r="N2280" t="str">
        <f>"LUX LED"</f>
        <v>LUX LED</v>
      </c>
      <c r="O2280" t="str">
        <f>"LAMPARAS"</f>
        <v>LAMPARAS</v>
      </c>
      <c r="P2280" t="str">
        <f t="shared" si="1472"/>
        <v>0</v>
      </c>
      <c r="Q2280" t="str">
        <f t="shared" si="1472"/>
        <v>0</v>
      </c>
      <c r="R2280" t="str">
        <f t="shared" si="1473"/>
        <v>0,00</v>
      </c>
      <c r="S2280" t="str">
        <f t="shared" si="1473"/>
        <v>0,00</v>
      </c>
      <c r="T2280" t="str">
        <f t="shared" si="1448"/>
        <v xml:space="preserve"> </v>
      </c>
      <c r="U2280" t="str">
        <f t="shared" si="1470"/>
        <v xml:space="preserve"> </v>
      </c>
      <c r="V2280" t="str">
        <f>"4,000"</f>
        <v>4,000</v>
      </c>
      <c r="W2280" t="str">
        <f t="shared" si="1454"/>
        <v>Lista 4</v>
      </c>
      <c r="X2280" t="str">
        <f t="shared" si="1455"/>
        <v>Lista 5</v>
      </c>
      <c r="Y2280" t="str">
        <f t="shared" si="1456"/>
        <v>Oferta Gral.</v>
      </c>
      <c r="Z2280" t="str">
        <f t="shared" si="1457"/>
        <v>Rubro</v>
      </c>
      <c r="AA2280" t="str">
        <f t="shared" si="1458"/>
        <v>Cantidad por Bulto</v>
      </c>
      <c r="AB2280" t="str">
        <f t="shared" si="1459"/>
        <v>INNER</v>
      </c>
      <c r="AC2280" t="str">
        <f t="shared" si="1460"/>
        <v>Stock en Bultos</v>
      </c>
      <c r="AD2280" t="str">
        <f t="shared" si="1461"/>
        <v>SubDepósito</v>
      </c>
      <c r="AE2280" t="str">
        <f t="shared" si="1462"/>
        <v>Marca</v>
      </c>
      <c r="AF2280" t="str">
        <f t="shared" si="1463"/>
        <v>Super Rubro</v>
      </c>
      <c r="AG2280" t="str">
        <f t="shared" si="1464"/>
        <v>ComercioExterior</v>
      </c>
      <c r="AH2280" t="str">
        <f t="shared" si="1465"/>
        <v>PrecioFOB</v>
      </c>
      <c r="AI2280" t="str">
        <f t="shared" si="1466"/>
        <v>Monto II</v>
      </c>
      <c r="AJ2280" t="str">
        <f t="shared" si="1467"/>
        <v>Porcentaje II</v>
      </c>
      <c r="AK2280" t="str">
        <f t="shared" si="1468"/>
        <v>Foto</v>
      </c>
      <c r="AL2280" t="str">
        <f>"{\rtf1\ansi\ansicpg1252\deff0\deflang11274{\fonttbl{\f0\fnil\fcharset0 MS Sans Serif}} \viewkind4\uc1\pard\f0\fs16 KIT 9005 CREELED 12V 6TA GENERACION\par } "</f>
        <v xml:space="preserve">{\rtf1\ansi\ansicpg1252\deff0\deflang11274{\fonttbl{\f0\fnil\fcharset0 MS Sans Serif}} \viewkind4\uc1\pard\f0\fs16 KIT 9005 CREELED 12V 6TA GENERACION\par } </v>
      </c>
      <c r="AM2280" t="str">
        <f>" "</f>
        <v xml:space="preserve"> </v>
      </c>
    </row>
    <row r="2281" spans="1:39" x14ac:dyDescent="0.25">
      <c r="A2281" t="str">
        <f>"9006S6"</f>
        <v>9006S6</v>
      </c>
      <c r="B2281" t="str">
        <f>"KIT 9006 CREELED 12V 6TA GENERACION"</f>
        <v>KIT 9006 CREELED 12V 6TA GENERACION</v>
      </c>
      <c r="C2281" t="str">
        <f t="shared" si="1476"/>
        <v>$ 19578,26</v>
      </c>
      <c r="D2281" t="str">
        <f t="shared" si="1476"/>
        <v>$ 19578,26</v>
      </c>
      <c r="E2281" t="str">
        <f t="shared" si="1476"/>
        <v>$ 19578,26</v>
      </c>
      <c r="F2281" t="str">
        <f t="shared" si="1476"/>
        <v>$ 19578,26</v>
      </c>
      <c r="G2281" t="str">
        <f t="shared" si="1476"/>
        <v>$ 19578,26</v>
      </c>
      <c r="H2281" t="str">
        <f t="shared" si="1449"/>
        <v>$ 0,00</v>
      </c>
      <c r="I2281" t="str">
        <f>"CREE LED "</f>
        <v xml:space="preserve">CREE LED </v>
      </c>
      <c r="J2281" t="str">
        <f t="shared" si="1450"/>
        <v>1</v>
      </c>
      <c r="K2281" t="str">
        <f t="shared" si="1471"/>
        <v>0</v>
      </c>
      <c r="L2281" t="str">
        <f>"17,000"</f>
        <v>17,000</v>
      </c>
      <c r="M2281" t="str">
        <f t="shared" si="1451"/>
        <v xml:space="preserve"> </v>
      </c>
      <c r="N2281" t="str">
        <f>"LUX LED"</f>
        <v>LUX LED</v>
      </c>
      <c r="O2281" t="str">
        <f>"LAMPARAS"</f>
        <v>LAMPARAS</v>
      </c>
      <c r="P2281" t="str">
        <f t="shared" si="1472"/>
        <v>0</v>
      </c>
      <c r="Q2281" t="str">
        <f t="shared" si="1472"/>
        <v>0</v>
      </c>
      <c r="R2281" t="str">
        <f t="shared" si="1473"/>
        <v>0,00</v>
      </c>
      <c r="S2281" t="str">
        <f t="shared" si="1473"/>
        <v>0,00</v>
      </c>
      <c r="T2281" t="str">
        <f t="shared" si="1448"/>
        <v xml:space="preserve"> </v>
      </c>
      <c r="U2281" t="str">
        <f t="shared" si="1470"/>
        <v xml:space="preserve"> </v>
      </c>
      <c r="V2281" t="str">
        <f>"17,000"</f>
        <v>17,000</v>
      </c>
      <c r="W2281" t="str">
        <f t="shared" si="1454"/>
        <v>Lista 4</v>
      </c>
      <c r="X2281" t="str">
        <f t="shared" si="1455"/>
        <v>Lista 5</v>
      </c>
      <c r="Y2281" t="str">
        <f t="shared" si="1456"/>
        <v>Oferta Gral.</v>
      </c>
      <c r="Z2281" t="str">
        <f t="shared" si="1457"/>
        <v>Rubro</v>
      </c>
      <c r="AA2281" t="str">
        <f t="shared" si="1458"/>
        <v>Cantidad por Bulto</v>
      </c>
      <c r="AB2281" t="str">
        <f t="shared" si="1459"/>
        <v>INNER</v>
      </c>
      <c r="AC2281" t="str">
        <f t="shared" si="1460"/>
        <v>Stock en Bultos</v>
      </c>
      <c r="AD2281" t="str">
        <f t="shared" si="1461"/>
        <v>SubDepósito</v>
      </c>
      <c r="AE2281" t="str">
        <f t="shared" si="1462"/>
        <v>Marca</v>
      </c>
      <c r="AF2281" t="str">
        <f t="shared" si="1463"/>
        <v>Super Rubro</v>
      </c>
      <c r="AG2281" t="str">
        <f t="shared" si="1464"/>
        <v>ComercioExterior</v>
      </c>
      <c r="AH2281" t="str">
        <f t="shared" si="1465"/>
        <v>PrecioFOB</v>
      </c>
      <c r="AI2281" t="str">
        <f t="shared" si="1466"/>
        <v>Monto II</v>
      </c>
      <c r="AJ2281" t="str">
        <f t="shared" si="1467"/>
        <v>Porcentaje II</v>
      </c>
      <c r="AK2281" t="str">
        <f t="shared" si="1468"/>
        <v>Foto</v>
      </c>
      <c r="AL2281" t="str">
        <f>"{\rtf1\ansi\ansicpg1252\deff0\deflang11274{\fonttbl{\f0\fnil\fcharset0 MS Sans Serif}} \viewkind4\uc1\pard\f0\fs16 KIT 9006 CREELED 12V 6TA GENERACION\par } "</f>
        <v xml:space="preserve">{\rtf1\ansi\ansicpg1252\deff0\deflang11274{\fonttbl{\f0\fnil\fcharset0 MS Sans Serif}} \viewkind4\uc1\pard\f0\fs16 KIT 9006 CREELED 12V 6TA GENERACION\par } </v>
      </c>
      <c r="AM2281" t="str">
        <f>" "</f>
        <v xml:space="preserve"> </v>
      </c>
    </row>
    <row r="2282" spans="1:39" x14ac:dyDescent="0.25">
      <c r="A2282" t="str">
        <f>"9007S6"</f>
        <v>9007S6</v>
      </c>
      <c r="B2282" t="str">
        <f>"KIT 9007 CREELED 6TA GENERACION"</f>
        <v>KIT 9007 CREELED 6TA GENERACION</v>
      </c>
      <c r="C2282" t="str">
        <f>"$ 20692,87"</f>
        <v>$ 20692,87</v>
      </c>
      <c r="D2282" t="str">
        <f>"$ 20692,87"</f>
        <v>$ 20692,87</v>
      </c>
      <c r="E2282" t="str">
        <f>"$ 20692,87"</f>
        <v>$ 20692,87</v>
      </c>
      <c r="F2282" t="str">
        <f>"$ 20692,87"</f>
        <v>$ 20692,87</v>
      </c>
      <c r="G2282" t="str">
        <f>"$ 20692,87"</f>
        <v>$ 20692,87</v>
      </c>
      <c r="H2282" t="str">
        <f t="shared" si="1449"/>
        <v>$ 0,00</v>
      </c>
      <c r="I2282" t="str">
        <f>"CREE LED "</f>
        <v xml:space="preserve">CREE LED </v>
      </c>
      <c r="J2282" t="str">
        <f t="shared" si="1450"/>
        <v>1</v>
      </c>
      <c r="K2282" t="str">
        <f t="shared" si="1471"/>
        <v>0</v>
      </c>
      <c r="L2282" t="str">
        <f>"7,000"</f>
        <v>7,000</v>
      </c>
      <c r="M2282" t="str">
        <f t="shared" si="1451"/>
        <v xml:space="preserve"> </v>
      </c>
      <c r="N2282" t="str">
        <f>"LUX LED"</f>
        <v>LUX LED</v>
      </c>
      <c r="O2282" t="str">
        <f>"LAMPARAS"</f>
        <v>LAMPARAS</v>
      </c>
      <c r="P2282" t="str">
        <f t="shared" si="1472"/>
        <v>0</v>
      </c>
      <c r="Q2282" t="str">
        <f t="shared" si="1472"/>
        <v>0</v>
      </c>
      <c r="R2282" t="str">
        <f t="shared" si="1473"/>
        <v>0,00</v>
      </c>
      <c r="S2282" t="str">
        <f t="shared" si="1473"/>
        <v>0,00</v>
      </c>
      <c r="T2282" t="str">
        <f t="shared" si="1448"/>
        <v xml:space="preserve"> </v>
      </c>
      <c r="U2282" t="str">
        <f t="shared" si="1470"/>
        <v xml:space="preserve"> </v>
      </c>
      <c r="V2282" t="str">
        <f>"7,000"</f>
        <v>7,000</v>
      </c>
      <c r="W2282" t="str">
        <f t="shared" si="1454"/>
        <v>Lista 4</v>
      </c>
      <c r="X2282" t="str">
        <f t="shared" si="1455"/>
        <v>Lista 5</v>
      </c>
      <c r="Y2282" t="str">
        <f t="shared" si="1456"/>
        <v>Oferta Gral.</v>
      </c>
      <c r="Z2282" t="str">
        <f t="shared" si="1457"/>
        <v>Rubro</v>
      </c>
      <c r="AA2282" t="str">
        <f t="shared" si="1458"/>
        <v>Cantidad por Bulto</v>
      </c>
      <c r="AB2282" t="str">
        <f t="shared" si="1459"/>
        <v>INNER</v>
      </c>
      <c r="AC2282" t="str">
        <f t="shared" si="1460"/>
        <v>Stock en Bultos</v>
      </c>
      <c r="AD2282" t="str">
        <f t="shared" si="1461"/>
        <v>SubDepósito</v>
      </c>
      <c r="AE2282" t="str">
        <f t="shared" si="1462"/>
        <v>Marca</v>
      </c>
      <c r="AF2282" t="str">
        <f t="shared" si="1463"/>
        <v>Super Rubro</v>
      </c>
      <c r="AG2282" t="str">
        <f t="shared" si="1464"/>
        <v>ComercioExterior</v>
      </c>
      <c r="AH2282" t="str">
        <f t="shared" si="1465"/>
        <v>PrecioFOB</v>
      </c>
      <c r="AI2282" t="str">
        <f t="shared" si="1466"/>
        <v>Monto II</v>
      </c>
      <c r="AJ2282" t="str">
        <f t="shared" si="1467"/>
        <v>Porcentaje II</v>
      </c>
      <c r="AK2282" t="str">
        <f t="shared" si="1468"/>
        <v>Foto</v>
      </c>
      <c r="AL2282" t="str">
        <f>"{\rtf1\ansi\ansicpg1252\deff0\deflang11274{\fonttbl{\f0\fnil\fcharset0 MS Sans Serif}} \viewkind4\uc1\pard\f0\fs16 KIT 9007 CREELED 6TA GENERACION\par } "</f>
        <v xml:space="preserve">{\rtf1\ansi\ansicpg1252\deff0\deflang11274{\fonttbl{\f0\fnil\fcharset0 MS Sans Serif}} \viewkind4\uc1\pard\f0\fs16 KIT 9007 CREELED 6TA GENERACION\par } </v>
      </c>
      <c r="AM2282" t="str">
        <f>" "</f>
        <v xml:space="preserve"> </v>
      </c>
    </row>
    <row r="2283" spans="1:39" x14ac:dyDescent="0.25">
      <c r="A2283" t="str">
        <f>"KREB55"</f>
        <v>KREB55</v>
      </c>
      <c r="B2283" t="str">
        <f>"KIT BOBINA Y CABLE ROUSER CAPUCHON 90ª FERRAZZI EXTREME"</f>
        <v>KIT BOBINA Y CABLE ROUSER CAPUCHON 90ª FERRAZZI EXTREME</v>
      </c>
      <c r="C2283" t="str">
        <f t="shared" ref="C2283:G2284" si="1477">"$ 63595,32"</f>
        <v>$ 63595,32</v>
      </c>
      <c r="D2283" t="str">
        <f t="shared" si="1477"/>
        <v>$ 63595,32</v>
      </c>
      <c r="E2283" t="str">
        <f t="shared" si="1477"/>
        <v>$ 63595,32</v>
      </c>
      <c r="F2283" t="str">
        <f t="shared" si="1477"/>
        <v>$ 63595,32</v>
      </c>
      <c r="G2283" t="str">
        <f t="shared" si="1477"/>
        <v>$ 63595,32</v>
      </c>
      <c r="H2283" t="str">
        <f t="shared" si="1449"/>
        <v>$ 0,00</v>
      </c>
      <c r="I2283" t="str">
        <f>"BOBINAS DE ENCEND. COMPETICION"</f>
        <v>BOBINAS DE ENCEND. COMPETICION</v>
      </c>
      <c r="J2283" t="str">
        <f t="shared" si="1450"/>
        <v>1</v>
      </c>
      <c r="K2283" t="str">
        <f t="shared" si="1471"/>
        <v>0</v>
      </c>
      <c r="L2283" t="str">
        <f>"6,000"</f>
        <v>6,000</v>
      </c>
      <c r="M2283" t="str">
        <f t="shared" si="1451"/>
        <v xml:space="preserve"> </v>
      </c>
      <c r="N2283" t="str">
        <f t="shared" ref="N2283:N2301" si="1478">"FERRAZZI"</f>
        <v>FERRAZZI</v>
      </c>
      <c r="O2283" t="str">
        <f>"BOBINAS"</f>
        <v>BOBINAS</v>
      </c>
      <c r="P2283" t="str">
        <f t="shared" ref="P2283:Q2302" si="1479">"0"</f>
        <v>0</v>
      </c>
      <c r="Q2283" t="str">
        <f t="shared" si="1479"/>
        <v>0</v>
      </c>
      <c r="R2283" t="str">
        <f t="shared" ref="R2283:S2302" si="1480">"0,00"</f>
        <v>0,00</v>
      </c>
      <c r="S2283" t="str">
        <f t="shared" si="1480"/>
        <v>0,00</v>
      </c>
      <c r="T2283" t="str">
        <f t="shared" si="1448"/>
        <v xml:space="preserve"> </v>
      </c>
      <c r="U2283" t="str">
        <f t="shared" si="1470"/>
        <v xml:space="preserve"> </v>
      </c>
      <c r="V2283" t="str">
        <f>"6,000"</f>
        <v>6,000</v>
      </c>
      <c r="W2283" t="str">
        <f t="shared" si="1454"/>
        <v>Lista 4</v>
      </c>
      <c r="X2283" t="str">
        <f t="shared" si="1455"/>
        <v>Lista 5</v>
      </c>
      <c r="Y2283" t="str">
        <f t="shared" si="1456"/>
        <v>Oferta Gral.</v>
      </c>
      <c r="Z2283" t="str">
        <f t="shared" si="1457"/>
        <v>Rubro</v>
      </c>
      <c r="AA2283" t="str">
        <f t="shared" si="1458"/>
        <v>Cantidad por Bulto</v>
      </c>
      <c r="AB2283" t="str">
        <f t="shared" si="1459"/>
        <v>INNER</v>
      </c>
      <c r="AC2283" t="str">
        <f t="shared" si="1460"/>
        <v>Stock en Bultos</v>
      </c>
      <c r="AD2283" t="str">
        <f t="shared" si="1461"/>
        <v>SubDepósito</v>
      </c>
      <c r="AE2283" t="str">
        <f t="shared" si="1462"/>
        <v>Marca</v>
      </c>
      <c r="AF2283" t="str">
        <f t="shared" si="1463"/>
        <v>Super Rubro</v>
      </c>
      <c r="AG2283" t="str">
        <f t="shared" si="1464"/>
        <v>ComercioExterior</v>
      </c>
      <c r="AH2283" t="str">
        <f t="shared" si="1465"/>
        <v>PrecioFOB</v>
      </c>
      <c r="AI2283" t="str">
        <f t="shared" si="1466"/>
        <v>Monto II</v>
      </c>
      <c r="AJ2283" t="str">
        <f t="shared" si="1467"/>
        <v>Porcentaje II</v>
      </c>
      <c r="AK2283" t="str">
        <f t="shared" si="1468"/>
        <v>Foto</v>
      </c>
      <c r="AL2283" t="str">
        <f>"{\rtf1\ansi\ansicpg1252\deff0\deflang11274{\fonttbl{\f0\fnil\fcharset0 MS Sans Serif}} \viewkind4\uc1\pard\f0\fs16 KIT BOBINA Y CABLE ROUSER CAPUCHON 90\'aa FERRAZZI EXTREME\par } "</f>
        <v xml:space="preserve">{\rtf1\ansi\ansicpg1252\deff0\deflang11274{\fonttbl{\f0\fnil\fcharset0 MS Sans Serif}} \viewkind4\uc1\pard\f0\fs16 KIT BOBINA Y CABLE ROUSER CAPUCHON 90\'aa FERRAZZI EXTREME\par } </v>
      </c>
      <c r="AM2283" t="str">
        <f>"-"</f>
        <v>-</v>
      </c>
    </row>
    <row r="2284" spans="1:39" x14ac:dyDescent="0.25">
      <c r="A2284" t="str">
        <f>"KREA55"</f>
        <v>KREA55</v>
      </c>
      <c r="B2284" t="str">
        <f>"KIT BOBINA Y CABLE ROUSER CAPUCHÓN 180ª FERRAZZI EXTREME"</f>
        <v>KIT BOBINA Y CABLE ROUSER CAPUCHÓN 180ª FERRAZZI EXTREME</v>
      </c>
      <c r="C2284" t="str">
        <f t="shared" si="1477"/>
        <v>$ 63595,32</v>
      </c>
      <c r="D2284" t="str">
        <f t="shared" si="1477"/>
        <v>$ 63595,32</v>
      </c>
      <c r="E2284" t="str">
        <f t="shared" si="1477"/>
        <v>$ 63595,32</v>
      </c>
      <c r="F2284" t="str">
        <f t="shared" si="1477"/>
        <v>$ 63595,32</v>
      </c>
      <c r="G2284" t="str">
        <f t="shared" si="1477"/>
        <v>$ 63595,32</v>
      </c>
      <c r="H2284" t="str">
        <f t="shared" si="1449"/>
        <v>$ 0,00</v>
      </c>
      <c r="I2284" t="str">
        <f>"BOBINAS DE ENCEND. COMPETICION"</f>
        <v>BOBINAS DE ENCEND. COMPETICION</v>
      </c>
      <c r="J2284" t="str">
        <f t="shared" si="1450"/>
        <v>1</v>
      </c>
      <c r="K2284" t="str">
        <f t="shared" si="1471"/>
        <v>0</v>
      </c>
      <c r="L2284" t="str">
        <f>"0,000"</f>
        <v>0,000</v>
      </c>
      <c r="M2284" t="str">
        <f t="shared" si="1451"/>
        <v xml:space="preserve"> </v>
      </c>
      <c r="N2284" t="str">
        <f t="shared" si="1478"/>
        <v>FERRAZZI</v>
      </c>
      <c r="O2284" t="str">
        <f>"BOBINAS"</f>
        <v>BOBINAS</v>
      </c>
      <c r="P2284" t="str">
        <f t="shared" si="1479"/>
        <v>0</v>
      </c>
      <c r="Q2284" t="str">
        <f t="shared" si="1479"/>
        <v>0</v>
      </c>
      <c r="R2284" t="str">
        <f t="shared" si="1480"/>
        <v>0,00</v>
      </c>
      <c r="S2284" t="str">
        <f t="shared" si="1480"/>
        <v>0,00</v>
      </c>
      <c r="T2284" t="str">
        <f t="shared" si="1448"/>
        <v xml:space="preserve"> </v>
      </c>
      <c r="U2284" t="str">
        <f t="shared" si="1470"/>
        <v xml:space="preserve"> </v>
      </c>
      <c r="V2284" t="str">
        <f>"0,000"</f>
        <v>0,000</v>
      </c>
      <c r="W2284" t="str">
        <f t="shared" si="1454"/>
        <v>Lista 4</v>
      </c>
      <c r="X2284" t="str">
        <f t="shared" si="1455"/>
        <v>Lista 5</v>
      </c>
      <c r="Y2284" t="str">
        <f t="shared" si="1456"/>
        <v>Oferta Gral.</v>
      </c>
      <c r="Z2284" t="str">
        <f t="shared" si="1457"/>
        <v>Rubro</v>
      </c>
      <c r="AA2284" t="str">
        <f t="shared" si="1458"/>
        <v>Cantidad por Bulto</v>
      </c>
      <c r="AB2284" t="str">
        <f t="shared" si="1459"/>
        <v>INNER</v>
      </c>
      <c r="AC2284" t="str">
        <f t="shared" si="1460"/>
        <v>Stock en Bultos</v>
      </c>
      <c r="AD2284" t="str">
        <f t="shared" si="1461"/>
        <v>SubDepósito</v>
      </c>
      <c r="AE2284" t="str">
        <f t="shared" si="1462"/>
        <v>Marca</v>
      </c>
      <c r="AF2284" t="str">
        <f t="shared" si="1463"/>
        <v>Super Rubro</v>
      </c>
      <c r="AG2284" t="str">
        <f t="shared" si="1464"/>
        <v>ComercioExterior</v>
      </c>
      <c r="AH2284" t="str">
        <f t="shared" si="1465"/>
        <v>PrecioFOB</v>
      </c>
      <c r="AI2284" t="str">
        <f t="shared" si="1466"/>
        <v>Monto II</v>
      </c>
      <c r="AJ2284" t="str">
        <f t="shared" si="1467"/>
        <v>Porcentaje II</v>
      </c>
      <c r="AK2284" t="str">
        <f t="shared" si="1468"/>
        <v>Foto</v>
      </c>
      <c r="AL2284" t="str">
        <f>"{\rtf1\ansi\ansicpg1252\deff0\deflang11274{\fonttbl{\f0\fnil\fcharset0 MS Sans Serif}} \viewkind4\uc1\pard\f0\fs16 KIT BOBINA Y CABLE ROUSER CAPUCH\'d3N 180\'aa FERRAZZI EXTREME\par } "</f>
        <v xml:space="preserve">{\rtf1\ansi\ansicpg1252\deff0\deflang11274{\fonttbl{\f0\fnil\fcharset0 MS Sans Serif}} \viewkind4\uc1\pard\f0\fs16 KIT BOBINA Y CABLE ROUSER CAPUCH\'d3N 180\'aa FERRAZZI EXTREME\par } </v>
      </c>
      <c r="AM2284" t="str">
        <f>" "</f>
        <v xml:space="preserve"> </v>
      </c>
    </row>
    <row r="2285" spans="1:39" x14ac:dyDescent="0.25">
      <c r="A2285" t="str">
        <f>"KC0595S5"</f>
        <v>KC0595S5</v>
      </c>
      <c r="B2285" t="str">
        <f>"KIT CABLES BUJIAS COMP 9MM/BUJIAS SR5IP FIAT 147 MOTOR TIPO "</f>
        <v xml:space="preserve">KIT CABLES BUJIAS COMP 9MM/BUJIAS SR5IP FIAT 147 MOTOR TIPO </v>
      </c>
      <c r="C2285" t="str">
        <f>"$ 104470,71"</f>
        <v>$ 104470,71</v>
      </c>
      <c r="D2285" t="str">
        <f>"$ 104470,71"</f>
        <v>$ 104470,71</v>
      </c>
      <c r="E2285" t="str">
        <f>"$ 104470,71"</f>
        <v>$ 104470,71</v>
      </c>
      <c r="F2285" t="str">
        <f>"$ 104470,71"</f>
        <v>$ 104470,71</v>
      </c>
      <c r="G2285" t="str">
        <f>"$ 104470,71"</f>
        <v>$ 104470,71</v>
      </c>
      <c r="H2285" t="str">
        <f t="shared" si="1449"/>
        <v>$ 0,00</v>
      </c>
      <c r="I2285" t="str">
        <f t="shared" ref="I2285:I2294" si="1481">"KIT CABLES COMPETICIÓN Y  BUJIAS IRIDIO"</f>
        <v>KIT CABLES COMPETICIÓN Y  BUJIAS IRIDIO</v>
      </c>
      <c r="J2285" t="str">
        <f t="shared" si="1450"/>
        <v>1</v>
      </c>
      <c r="K2285" t="str">
        <f t="shared" si="1471"/>
        <v>0</v>
      </c>
      <c r="L2285" t="str">
        <f>"0,000"</f>
        <v>0,000</v>
      </c>
      <c r="M2285" t="str">
        <f t="shared" si="1451"/>
        <v xml:space="preserve"> </v>
      </c>
      <c r="N2285" t="str">
        <f t="shared" si="1478"/>
        <v>FERRAZZI</v>
      </c>
      <c r="O2285" t="str">
        <f t="shared" ref="O2285:O2302" si="1482">"CABLES"</f>
        <v>CABLES</v>
      </c>
      <c r="P2285" t="str">
        <f t="shared" si="1479"/>
        <v>0</v>
      </c>
      <c r="Q2285" t="str">
        <f t="shared" si="1479"/>
        <v>0</v>
      </c>
      <c r="R2285" t="str">
        <f t="shared" si="1480"/>
        <v>0,00</v>
      </c>
      <c r="S2285" t="str">
        <f t="shared" si="1480"/>
        <v>0,00</v>
      </c>
      <c r="T2285" t="str">
        <f t="shared" si="1448"/>
        <v xml:space="preserve"> </v>
      </c>
      <c r="U2285" t="str">
        <f t="shared" si="1470"/>
        <v xml:space="preserve"> </v>
      </c>
      <c r="V2285" t="str">
        <f>"0,000"</f>
        <v>0,000</v>
      </c>
      <c r="W2285" t="str">
        <f t="shared" si="1454"/>
        <v>Lista 4</v>
      </c>
      <c r="X2285" t="str">
        <f t="shared" si="1455"/>
        <v>Lista 5</v>
      </c>
      <c r="Y2285" t="str">
        <f t="shared" si="1456"/>
        <v>Oferta Gral.</v>
      </c>
      <c r="Z2285" t="str">
        <f t="shared" si="1457"/>
        <v>Rubro</v>
      </c>
      <c r="AA2285" t="str">
        <f t="shared" si="1458"/>
        <v>Cantidad por Bulto</v>
      </c>
      <c r="AB2285" t="str">
        <f t="shared" si="1459"/>
        <v>INNER</v>
      </c>
      <c r="AC2285" t="str">
        <f t="shared" si="1460"/>
        <v>Stock en Bultos</v>
      </c>
      <c r="AD2285" t="str">
        <f t="shared" si="1461"/>
        <v>SubDepósito</v>
      </c>
      <c r="AE2285" t="str">
        <f t="shared" si="1462"/>
        <v>Marca</v>
      </c>
      <c r="AF2285" t="str">
        <f t="shared" si="1463"/>
        <v>Super Rubro</v>
      </c>
      <c r="AG2285" t="str">
        <f t="shared" si="1464"/>
        <v>ComercioExterior</v>
      </c>
      <c r="AH2285" t="str">
        <f t="shared" si="1465"/>
        <v>PrecioFOB</v>
      </c>
      <c r="AI2285" t="str">
        <f t="shared" si="1466"/>
        <v>Monto II</v>
      </c>
      <c r="AJ2285" t="str">
        <f t="shared" si="1467"/>
        <v>Porcentaje II</v>
      </c>
      <c r="AK2285" t="str">
        <f t="shared" si="1468"/>
        <v>Foto</v>
      </c>
      <c r="AL2285" t="str">
        <f>"{\rtf1\ansi\ansicpg1252\deff0\deflang11274{\fonttbl{\f0\fnil\fcharset0 MS Sans Serif}} \viewkind4\uc1\pard\f0\fs16 KIT CABLES BUJIAS COMP 9MM/BUJIAS SR5IP FIAT 147 MOTOR TIPO \par } "</f>
        <v xml:space="preserve">{\rtf1\ansi\ansicpg1252\deff0\deflang11274{\fonttbl{\f0\fnil\fcharset0 MS Sans Serif}} \viewkind4\uc1\pard\f0\fs16 KIT CABLES BUJIAS COMP 9MM/BUJIAS SR5IP FIAT 147 MOTOR TIPO \par } </v>
      </c>
      <c r="AM2285" t="str">
        <f t="shared" ref="AM2285:AM2291" si="1483">"-"</f>
        <v>-</v>
      </c>
    </row>
    <row r="2286" spans="1:39" x14ac:dyDescent="0.25">
      <c r="A2286" t="str">
        <f>"KC0304S5"</f>
        <v>KC0304S5</v>
      </c>
      <c r="B2286" t="str">
        <f>"KIT CABLES BUJIAS COMP 9MM/BUJIAS SR5IP VW GOL INYECCION"</f>
        <v>KIT CABLES BUJIAS COMP 9MM/BUJIAS SR5IP VW GOL INYECCION</v>
      </c>
      <c r="C2286" t="str">
        <f>"$ 107760,95"</f>
        <v>$ 107760,95</v>
      </c>
      <c r="D2286" t="str">
        <f>"$ 107760,95"</f>
        <v>$ 107760,95</v>
      </c>
      <c r="E2286" t="str">
        <f>"$ 107760,95"</f>
        <v>$ 107760,95</v>
      </c>
      <c r="F2286" t="str">
        <f>"$ 107760,95"</f>
        <v>$ 107760,95</v>
      </c>
      <c r="G2286" t="str">
        <f>"$ 107760,95"</f>
        <v>$ 107760,95</v>
      </c>
      <c r="H2286" t="str">
        <f t="shared" si="1449"/>
        <v>$ 0,00</v>
      </c>
      <c r="I2286" t="str">
        <f t="shared" si="1481"/>
        <v>KIT CABLES COMPETICIÓN Y  BUJIAS IRIDIO</v>
      </c>
      <c r="J2286" t="str">
        <f t="shared" si="1450"/>
        <v>1</v>
      </c>
      <c r="K2286" t="str">
        <f t="shared" si="1471"/>
        <v>0</v>
      </c>
      <c r="L2286" t="str">
        <f>"0,000"</f>
        <v>0,000</v>
      </c>
      <c r="M2286" t="str">
        <f t="shared" si="1451"/>
        <v xml:space="preserve"> </v>
      </c>
      <c r="N2286" t="str">
        <f t="shared" si="1478"/>
        <v>FERRAZZI</v>
      </c>
      <c r="O2286" t="str">
        <f t="shared" si="1482"/>
        <v>CABLES</v>
      </c>
      <c r="P2286" t="str">
        <f t="shared" si="1479"/>
        <v>0</v>
      </c>
      <c r="Q2286" t="str">
        <f t="shared" si="1479"/>
        <v>0</v>
      </c>
      <c r="R2286" t="str">
        <f t="shared" si="1480"/>
        <v>0,00</v>
      </c>
      <c r="S2286" t="str">
        <f t="shared" si="1480"/>
        <v>0,00</v>
      </c>
      <c r="T2286" t="str">
        <f t="shared" si="1448"/>
        <v xml:space="preserve"> </v>
      </c>
      <c r="U2286" t="str">
        <f t="shared" si="1470"/>
        <v xml:space="preserve"> </v>
      </c>
      <c r="V2286" t="str">
        <f>"0,000"</f>
        <v>0,000</v>
      </c>
      <c r="W2286" t="str">
        <f t="shared" si="1454"/>
        <v>Lista 4</v>
      </c>
      <c r="X2286" t="str">
        <f t="shared" si="1455"/>
        <v>Lista 5</v>
      </c>
      <c r="Y2286" t="str">
        <f t="shared" si="1456"/>
        <v>Oferta Gral.</v>
      </c>
      <c r="Z2286" t="str">
        <f t="shared" si="1457"/>
        <v>Rubro</v>
      </c>
      <c r="AA2286" t="str">
        <f t="shared" si="1458"/>
        <v>Cantidad por Bulto</v>
      </c>
      <c r="AB2286" t="str">
        <f t="shared" si="1459"/>
        <v>INNER</v>
      </c>
      <c r="AC2286" t="str">
        <f t="shared" si="1460"/>
        <v>Stock en Bultos</v>
      </c>
      <c r="AD2286" t="str">
        <f t="shared" si="1461"/>
        <v>SubDepósito</v>
      </c>
      <c r="AE2286" t="str">
        <f t="shared" si="1462"/>
        <v>Marca</v>
      </c>
      <c r="AF2286" t="str">
        <f t="shared" si="1463"/>
        <v>Super Rubro</v>
      </c>
      <c r="AG2286" t="str">
        <f t="shared" si="1464"/>
        <v>ComercioExterior</v>
      </c>
      <c r="AH2286" t="str">
        <f t="shared" si="1465"/>
        <v>PrecioFOB</v>
      </c>
      <c r="AI2286" t="str">
        <f t="shared" si="1466"/>
        <v>Monto II</v>
      </c>
      <c r="AJ2286" t="str">
        <f t="shared" si="1467"/>
        <v>Porcentaje II</v>
      </c>
      <c r="AK2286" t="str">
        <f t="shared" si="1468"/>
        <v>Foto</v>
      </c>
      <c r="AL2286" t="str">
        <f>"{\rtf1\ansi\ansicpg1252\deff0\deflang11274{\fonttbl{\f0\fnil\fcharset0 MS Sans Serif}} \viewkind4\uc1\pard\f0\fs16 KIT CABLES BUJIAS COMP 9MM/BUJIAS SR5IP VW GOL INYECCION\par } "</f>
        <v xml:space="preserve">{\rtf1\ansi\ansicpg1252\deff0\deflang11274{\fonttbl{\f0\fnil\fcharset0 MS Sans Serif}} \viewkind4\uc1\pard\f0\fs16 KIT CABLES BUJIAS COMP 9MM/BUJIAS SR5IP VW GOL INYECCION\par } </v>
      </c>
      <c r="AM2286" t="str">
        <f t="shared" si="1483"/>
        <v>-</v>
      </c>
    </row>
    <row r="2287" spans="1:39" x14ac:dyDescent="0.25">
      <c r="A2287" t="str">
        <f>"KC0296S6"</f>
        <v>KC0296S6</v>
      </c>
      <c r="B2287" t="str">
        <f>"KIT CABLES BUJIAS COMP 9MM/BUJIAS SR6IP CHEVROLET CORSA/FIAT 1.8"</f>
        <v>KIT CABLES BUJIAS COMP 9MM/BUJIAS SR6IP CHEVROLET CORSA/FIAT 1.8</v>
      </c>
      <c r="C2287" t="str">
        <f>"$ 110142,76"</f>
        <v>$ 110142,76</v>
      </c>
      <c r="D2287" t="str">
        <f>"$ 110142,76"</f>
        <v>$ 110142,76</v>
      </c>
      <c r="E2287" t="str">
        <f>"$ 110142,76"</f>
        <v>$ 110142,76</v>
      </c>
      <c r="F2287" t="str">
        <f>"$ 110142,76"</f>
        <v>$ 110142,76</v>
      </c>
      <c r="G2287" t="str">
        <f>"$ 110142,76"</f>
        <v>$ 110142,76</v>
      </c>
      <c r="H2287" t="str">
        <f t="shared" si="1449"/>
        <v>$ 0,00</v>
      </c>
      <c r="I2287" t="str">
        <f t="shared" si="1481"/>
        <v>KIT CABLES COMPETICIÓN Y  BUJIAS IRIDIO</v>
      </c>
      <c r="J2287" t="str">
        <f t="shared" si="1450"/>
        <v>1</v>
      </c>
      <c r="K2287" t="str">
        <f t="shared" si="1471"/>
        <v>0</v>
      </c>
      <c r="L2287" t="str">
        <f>"11,000"</f>
        <v>11,000</v>
      </c>
      <c r="M2287" t="str">
        <f t="shared" si="1451"/>
        <v xml:space="preserve"> </v>
      </c>
      <c r="N2287" t="str">
        <f t="shared" si="1478"/>
        <v>FERRAZZI</v>
      </c>
      <c r="O2287" t="str">
        <f t="shared" si="1482"/>
        <v>CABLES</v>
      </c>
      <c r="P2287" t="str">
        <f t="shared" si="1479"/>
        <v>0</v>
      </c>
      <c r="Q2287" t="str">
        <f t="shared" si="1479"/>
        <v>0</v>
      </c>
      <c r="R2287" t="str">
        <f t="shared" si="1480"/>
        <v>0,00</v>
      </c>
      <c r="S2287" t="str">
        <f t="shared" si="1480"/>
        <v>0,00</v>
      </c>
      <c r="T2287" t="str">
        <f t="shared" si="1448"/>
        <v xml:space="preserve"> </v>
      </c>
      <c r="U2287" t="str">
        <f t="shared" si="1470"/>
        <v xml:space="preserve"> </v>
      </c>
      <c r="V2287" t="str">
        <f>"11,000"</f>
        <v>11,000</v>
      </c>
      <c r="W2287" t="str">
        <f t="shared" si="1454"/>
        <v>Lista 4</v>
      </c>
      <c r="X2287" t="str">
        <f t="shared" si="1455"/>
        <v>Lista 5</v>
      </c>
      <c r="Y2287" t="str">
        <f t="shared" si="1456"/>
        <v>Oferta Gral.</v>
      </c>
      <c r="Z2287" t="str">
        <f t="shared" si="1457"/>
        <v>Rubro</v>
      </c>
      <c r="AA2287" t="str">
        <f t="shared" si="1458"/>
        <v>Cantidad por Bulto</v>
      </c>
      <c r="AB2287" t="str">
        <f t="shared" si="1459"/>
        <v>INNER</v>
      </c>
      <c r="AC2287" t="str">
        <f t="shared" si="1460"/>
        <v>Stock en Bultos</v>
      </c>
      <c r="AD2287" t="str">
        <f t="shared" si="1461"/>
        <v>SubDepósito</v>
      </c>
      <c r="AE2287" t="str">
        <f t="shared" si="1462"/>
        <v>Marca</v>
      </c>
      <c r="AF2287" t="str">
        <f t="shared" si="1463"/>
        <v>Super Rubro</v>
      </c>
      <c r="AG2287" t="str">
        <f t="shared" si="1464"/>
        <v>ComercioExterior</v>
      </c>
      <c r="AH2287" t="str">
        <f t="shared" si="1465"/>
        <v>PrecioFOB</v>
      </c>
      <c r="AI2287" t="str">
        <f t="shared" si="1466"/>
        <v>Monto II</v>
      </c>
      <c r="AJ2287" t="str">
        <f t="shared" si="1467"/>
        <v>Porcentaje II</v>
      </c>
      <c r="AK2287" t="str">
        <f t="shared" si="1468"/>
        <v>Foto</v>
      </c>
      <c r="AL2287" t="str">
        <f>"{\rtf1\ansi\ansicpg1252\deff0\deflang11274{\fonttbl{\f0\fnil\fcharset0 MS Sans Serif}} \viewkind4\uc1\pard\f0\fs16 KIT CABLES BUJIAS COMP 9MM/BUJIAS SR6IP CHEVROLET CORSA/FIAT 1.8\par } "</f>
        <v xml:space="preserve">{\rtf1\ansi\ansicpg1252\deff0\deflang11274{\fonttbl{\f0\fnil\fcharset0 MS Sans Serif}} \viewkind4\uc1\pard\f0\fs16 KIT CABLES BUJIAS COMP 9MM/BUJIAS SR6IP CHEVROLET CORSA/FIAT 1.8\par } </v>
      </c>
      <c r="AM2287" t="str">
        <f t="shared" si="1483"/>
        <v>-</v>
      </c>
    </row>
    <row r="2288" spans="1:39" x14ac:dyDescent="0.25">
      <c r="A2288" t="str">
        <f>"KC0211S5"</f>
        <v>KC0211S5</v>
      </c>
      <c r="B2288" t="str">
        <f>"KIT CABLES COMP 9MM/BUJIAS COMP SR5IP CHEVR 400/CHEVY"</f>
        <v>KIT CABLES COMP 9MM/BUJIAS COMP SR5IP CHEVR 400/CHEVY</v>
      </c>
      <c r="C2288" t="str">
        <f>"$ 149018,70"</f>
        <v>$ 149018,70</v>
      </c>
      <c r="D2288" t="str">
        <f>"$ 149018,70"</f>
        <v>$ 149018,70</v>
      </c>
      <c r="E2288" t="str">
        <f>"$ 149018,70"</f>
        <v>$ 149018,70</v>
      </c>
      <c r="F2288" t="str">
        <f>"$ 149018,70"</f>
        <v>$ 149018,70</v>
      </c>
      <c r="G2288" t="str">
        <f>"$ 149018,70"</f>
        <v>$ 149018,70</v>
      </c>
      <c r="H2288" t="str">
        <f t="shared" si="1449"/>
        <v>$ 0,00</v>
      </c>
      <c r="I2288" t="str">
        <f t="shared" si="1481"/>
        <v>KIT CABLES COMPETICIÓN Y  BUJIAS IRIDIO</v>
      </c>
      <c r="J2288" t="str">
        <f t="shared" si="1450"/>
        <v>1</v>
      </c>
      <c r="K2288" t="str">
        <f t="shared" si="1471"/>
        <v>0</v>
      </c>
      <c r="L2288" t="str">
        <f>"0,000"</f>
        <v>0,000</v>
      </c>
      <c r="M2288" t="str">
        <f t="shared" si="1451"/>
        <v xml:space="preserve"> </v>
      </c>
      <c r="N2288" t="str">
        <f t="shared" si="1478"/>
        <v>FERRAZZI</v>
      </c>
      <c r="O2288" t="str">
        <f t="shared" si="1482"/>
        <v>CABLES</v>
      </c>
      <c r="P2288" t="str">
        <f t="shared" si="1479"/>
        <v>0</v>
      </c>
      <c r="Q2288" t="str">
        <f t="shared" si="1479"/>
        <v>0</v>
      </c>
      <c r="R2288" t="str">
        <f t="shared" si="1480"/>
        <v>0,00</v>
      </c>
      <c r="S2288" t="str">
        <f t="shared" si="1480"/>
        <v>0,00</v>
      </c>
      <c r="T2288" t="str">
        <f t="shared" si="1448"/>
        <v xml:space="preserve"> </v>
      </c>
      <c r="U2288" t="str">
        <f t="shared" si="1470"/>
        <v xml:space="preserve"> </v>
      </c>
      <c r="V2288" t="str">
        <f>"0,000"</f>
        <v>0,000</v>
      </c>
      <c r="W2288" t="str">
        <f t="shared" si="1454"/>
        <v>Lista 4</v>
      </c>
      <c r="X2288" t="str">
        <f t="shared" si="1455"/>
        <v>Lista 5</v>
      </c>
      <c r="Y2288" t="str">
        <f t="shared" si="1456"/>
        <v>Oferta Gral.</v>
      </c>
      <c r="Z2288" t="str">
        <f t="shared" si="1457"/>
        <v>Rubro</v>
      </c>
      <c r="AA2288" t="str">
        <f t="shared" si="1458"/>
        <v>Cantidad por Bulto</v>
      </c>
      <c r="AB2288" t="str">
        <f t="shared" si="1459"/>
        <v>INNER</v>
      </c>
      <c r="AC2288" t="str">
        <f t="shared" si="1460"/>
        <v>Stock en Bultos</v>
      </c>
      <c r="AD2288" t="str">
        <f t="shared" si="1461"/>
        <v>SubDepósito</v>
      </c>
      <c r="AE2288" t="str">
        <f t="shared" si="1462"/>
        <v>Marca</v>
      </c>
      <c r="AF2288" t="str">
        <f t="shared" si="1463"/>
        <v>Super Rubro</v>
      </c>
      <c r="AG2288" t="str">
        <f t="shared" si="1464"/>
        <v>ComercioExterior</v>
      </c>
      <c r="AH2288" t="str">
        <f t="shared" si="1465"/>
        <v>PrecioFOB</v>
      </c>
      <c r="AI2288" t="str">
        <f t="shared" si="1466"/>
        <v>Monto II</v>
      </c>
      <c r="AJ2288" t="str">
        <f t="shared" si="1467"/>
        <v>Porcentaje II</v>
      </c>
      <c r="AK2288" t="str">
        <f t="shared" si="1468"/>
        <v>Foto</v>
      </c>
      <c r="AL2288" t="str">
        <f>"{\rtf1\ansi\ansicpg1252\deff0\deflang11274{\fonttbl{\f0\fnil\fcharset0 MS Sans Serif}} \viewkind4\uc1\pard\f0\fs16 KIT CABLES COMP 9MM/BUJIAS COMP SR5IP CHEVR 400/CHEVY\par } "</f>
        <v xml:space="preserve">{\rtf1\ansi\ansicpg1252\deff0\deflang11274{\fonttbl{\f0\fnil\fcharset0 MS Sans Serif}} \viewkind4\uc1\pard\f0\fs16 KIT CABLES COMP 9MM/BUJIAS COMP SR5IP CHEVR 400/CHEVY\par } </v>
      </c>
      <c r="AM2288" t="str">
        <f t="shared" si="1483"/>
        <v>-</v>
      </c>
    </row>
    <row r="2289" spans="1:39" x14ac:dyDescent="0.25">
      <c r="A2289" t="str">
        <f>"KC0299S6"</f>
        <v>KC0299S6</v>
      </c>
      <c r="B2289" t="str">
        <f>"KIT CABLES COMP 9MM/BUJIAS SR6IP COMP CHEVR. ASTRA/VECTRA 8V"</f>
        <v>KIT CABLES COMP 9MM/BUJIAS SR6IP COMP CHEVR. ASTRA/VECTRA 8V</v>
      </c>
      <c r="C2289" t="str">
        <f>"$ 119549,24"</f>
        <v>$ 119549,24</v>
      </c>
      <c r="D2289" t="str">
        <f>"$ 119549,24"</f>
        <v>$ 119549,24</v>
      </c>
      <c r="E2289" t="str">
        <f>"$ 119549,24"</f>
        <v>$ 119549,24</v>
      </c>
      <c r="F2289" t="str">
        <f>"$ 119549,24"</f>
        <v>$ 119549,24</v>
      </c>
      <c r="G2289" t="str">
        <f>"$ 119549,24"</f>
        <v>$ 119549,24</v>
      </c>
      <c r="H2289" t="str">
        <f t="shared" si="1449"/>
        <v>$ 0,00</v>
      </c>
      <c r="I2289" t="str">
        <f t="shared" si="1481"/>
        <v>KIT CABLES COMPETICIÓN Y  BUJIAS IRIDIO</v>
      </c>
      <c r="J2289" t="str">
        <f t="shared" si="1450"/>
        <v>1</v>
      </c>
      <c r="K2289" t="str">
        <f t="shared" si="1471"/>
        <v>0</v>
      </c>
      <c r="L2289" t="str">
        <f>"0,000"</f>
        <v>0,000</v>
      </c>
      <c r="M2289" t="str">
        <f t="shared" si="1451"/>
        <v xml:space="preserve"> </v>
      </c>
      <c r="N2289" t="str">
        <f t="shared" si="1478"/>
        <v>FERRAZZI</v>
      </c>
      <c r="O2289" t="str">
        <f t="shared" si="1482"/>
        <v>CABLES</v>
      </c>
      <c r="P2289" t="str">
        <f t="shared" si="1479"/>
        <v>0</v>
      </c>
      <c r="Q2289" t="str">
        <f t="shared" si="1479"/>
        <v>0</v>
      </c>
      <c r="R2289" t="str">
        <f t="shared" si="1480"/>
        <v>0,00</v>
      </c>
      <c r="S2289" t="str">
        <f t="shared" si="1480"/>
        <v>0,00</v>
      </c>
      <c r="T2289" t="str">
        <f t="shared" si="1448"/>
        <v xml:space="preserve"> </v>
      </c>
      <c r="U2289" t="str">
        <f t="shared" si="1470"/>
        <v xml:space="preserve"> </v>
      </c>
      <c r="V2289" t="str">
        <f>"0,000"</f>
        <v>0,000</v>
      </c>
      <c r="W2289" t="str">
        <f t="shared" si="1454"/>
        <v>Lista 4</v>
      </c>
      <c r="X2289" t="str">
        <f t="shared" si="1455"/>
        <v>Lista 5</v>
      </c>
      <c r="Y2289" t="str">
        <f t="shared" si="1456"/>
        <v>Oferta Gral.</v>
      </c>
      <c r="Z2289" t="str">
        <f t="shared" si="1457"/>
        <v>Rubro</v>
      </c>
      <c r="AA2289" t="str">
        <f t="shared" si="1458"/>
        <v>Cantidad por Bulto</v>
      </c>
      <c r="AB2289" t="str">
        <f t="shared" si="1459"/>
        <v>INNER</v>
      </c>
      <c r="AC2289" t="str">
        <f t="shared" si="1460"/>
        <v>Stock en Bultos</v>
      </c>
      <c r="AD2289" t="str">
        <f t="shared" si="1461"/>
        <v>SubDepósito</v>
      </c>
      <c r="AE2289" t="str">
        <f t="shared" si="1462"/>
        <v>Marca</v>
      </c>
      <c r="AF2289" t="str">
        <f t="shared" si="1463"/>
        <v>Super Rubro</v>
      </c>
      <c r="AG2289" t="str">
        <f t="shared" si="1464"/>
        <v>ComercioExterior</v>
      </c>
      <c r="AH2289" t="str">
        <f t="shared" si="1465"/>
        <v>PrecioFOB</v>
      </c>
      <c r="AI2289" t="str">
        <f t="shared" si="1466"/>
        <v>Monto II</v>
      </c>
      <c r="AJ2289" t="str">
        <f t="shared" si="1467"/>
        <v>Porcentaje II</v>
      </c>
      <c r="AK2289" t="str">
        <f t="shared" si="1468"/>
        <v>Foto</v>
      </c>
      <c r="AL2289" t="str">
        <f>"{\rtf1\ansi\ansicpg1252\deff0\deflang11274{\fonttbl{\f0\fnil\fcharset0 MS Sans Serif}} \viewkind4\uc1\pard\f0\fs16 KIT CABLES COMP 9MM/BUJIAS SR6IP COMP CHEVR. ASTRA/VECTRA 8V\par } "</f>
        <v xml:space="preserve">{\rtf1\ansi\ansicpg1252\deff0\deflang11274{\fonttbl{\f0\fnil\fcharset0 MS Sans Serif}} \viewkind4\uc1\pard\f0\fs16 KIT CABLES COMP 9MM/BUJIAS SR6IP COMP CHEVR. ASTRA/VECTRA 8V\par } </v>
      </c>
      <c r="AM2289" t="str">
        <f t="shared" si="1483"/>
        <v>-</v>
      </c>
    </row>
    <row r="2290" spans="1:39" x14ac:dyDescent="0.25">
      <c r="A2290" t="str">
        <f>"KC0430H5"</f>
        <v>KC0430H5</v>
      </c>
      <c r="B2290" t="str">
        <f>"KIT CABLES COMPETICION Y BUJIAS COMP. IRIDIUM/PLATINO F100/FALCON"</f>
        <v>KIT CABLES COMPETICION Y BUJIAS COMP. IRIDIUM/PLATINO F100/FALCON</v>
      </c>
      <c r="C2290" t="str">
        <f>"$ 160359,38"</f>
        <v>$ 160359,38</v>
      </c>
      <c r="D2290" t="str">
        <f>"$ 160359,38"</f>
        <v>$ 160359,38</v>
      </c>
      <c r="E2290" t="str">
        <f>"$ 160359,38"</f>
        <v>$ 160359,38</v>
      </c>
      <c r="F2290" t="str">
        <f>"$ 160359,38"</f>
        <v>$ 160359,38</v>
      </c>
      <c r="G2290" t="str">
        <f>"$ 160359,38"</f>
        <v>$ 160359,38</v>
      </c>
      <c r="H2290" t="str">
        <f t="shared" si="1449"/>
        <v>$ 0,00</v>
      </c>
      <c r="I2290" t="str">
        <f t="shared" si="1481"/>
        <v>KIT CABLES COMPETICIÓN Y  BUJIAS IRIDIO</v>
      </c>
      <c r="J2290" t="str">
        <f t="shared" si="1450"/>
        <v>1</v>
      </c>
      <c r="K2290" t="str">
        <f t="shared" si="1471"/>
        <v>0</v>
      </c>
      <c r="L2290" t="str">
        <f>"16,000"</f>
        <v>16,000</v>
      </c>
      <c r="M2290" t="str">
        <f t="shared" si="1451"/>
        <v xml:space="preserve"> </v>
      </c>
      <c r="N2290" t="str">
        <f t="shared" si="1478"/>
        <v>FERRAZZI</v>
      </c>
      <c r="O2290" t="str">
        <f t="shared" si="1482"/>
        <v>CABLES</v>
      </c>
      <c r="P2290" t="str">
        <f t="shared" si="1479"/>
        <v>0</v>
      </c>
      <c r="Q2290" t="str">
        <f t="shared" si="1479"/>
        <v>0</v>
      </c>
      <c r="R2290" t="str">
        <f t="shared" si="1480"/>
        <v>0,00</v>
      </c>
      <c r="S2290" t="str">
        <f t="shared" si="1480"/>
        <v>0,00</v>
      </c>
      <c r="T2290" t="str">
        <f t="shared" si="1448"/>
        <v xml:space="preserve"> </v>
      </c>
      <c r="U2290" t="str">
        <f t="shared" si="1470"/>
        <v xml:space="preserve"> </v>
      </c>
      <c r="V2290" t="str">
        <f>"16,000"</f>
        <v>16,000</v>
      </c>
      <c r="W2290" t="str">
        <f t="shared" si="1454"/>
        <v>Lista 4</v>
      </c>
      <c r="X2290" t="str">
        <f t="shared" si="1455"/>
        <v>Lista 5</v>
      </c>
      <c r="Y2290" t="str">
        <f t="shared" si="1456"/>
        <v>Oferta Gral.</v>
      </c>
      <c r="Z2290" t="str">
        <f t="shared" si="1457"/>
        <v>Rubro</v>
      </c>
      <c r="AA2290" t="str">
        <f t="shared" si="1458"/>
        <v>Cantidad por Bulto</v>
      </c>
      <c r="AB2290" t="str">
        <f t="shared" si="1459"/>
        <v>INNER</v>
      </c>
      <c r="AC2290" t="str">
        <f t="shared" si="1460"/>
        <v>Stock en Bultos</v>
      </c>
      <c r="AD2290" t="str">
        <f t="shared" si="1461"/>
        <v>SubDepósito</v>
      </c>
      <c r="AE2290" t="str">
        <f t="shared" si="1462"/>
        <v>Marca</v>
      </c>
      <c r="AF2290" t="str">
        <f t="shared" si="1463"/>
        <v>Super Rubro</v>
      </c>
      <c r="AG2290" t="str">
        <f t="shared" si="1464"/>
        <v>ComercioExterior</v>
      </c>
      <c r="AH2290" t="str">
        <f t="shared" si="1465"/>
        <v>PrecioFOB</v>
      </c>
      <c r="AI2290" t="str">
        <f t="shared" si="1466"/>
        <v>Monto II</v>
      </c>
      <c r="AJ2290" t="str">
        <f t="shared" si="1467"/>
        <v>Porcentaje II</v>
      </c>
      <c r="AK2290" t="str">
        <f t="shared" si="1468"/>
        <v>Foto</v>
      </c>
      <c r="AL2290" t="str">
        <f>"{\rtf1\ansi\ansicpg1252\deff0\deflang11274{\fonttbl{\f0\fnil\fcharset0 MS Sans Serif}} \viewkind4\uc1\pard\f0\fs16 KIT CABLES COMPETICION Y BUJIAS COMP. IRIDIUM/PLATINO F100/FALCON\par } "</f>
        <v xml:space="preserve">{\rtf1\ansi\ansicpg1252\deff0\deflang11274{\fonttbl{\f0\fnil\fcharset0 MS Sans Serif}} \viewkind4\uc1\pard\f0\fs16 KIT CABLES COMPETICION Y BUJIAS COMP. IRIDIUM/PLATINO F100/FALCON\par } </v>
      </c>
      <c r="AM2290" t="str">
        <f t="shared" si="1483"/>
        <v>-</v>
      </c>
    </row>
    <row r="2291" spans="1:39" x14ac:dyDescent="0.25">
      <c r="A2291" t="str">
        <f>"KC0544S5"</f>
        <v>KC0544S5</v>
      </c>
      <c r="B2291" t="str">
        <f>"KIT CABLES COMPETICION Y BUJIAS COMP. IRIDIUM/PLATINO FIAT 128/DUNA/UNO"</f>
        <v>KIT CABLES COMPETICION Y BUJIAS COMP. IRIDIUM/PLATINO FIAT 128/DUNA/UNO</v>
      </c>
      <c r="C2291" t="str">
        <f>"$ 101322,37"</f>
        <v>$ 101322,37</v>
      </c>
      <c r="D2291" t="str">
        <f>"$ 101322,37"</f>
        <v>$ 101322,37</v>
      </c>
      <c r="E2291" t="str">
        <f>"$ 101322,37"</f>
        <v>$ 101322,37</v>
      </c>
      <c r="F2291" t="str">
        <f>"$ 101322,37"</f>
        <v>$ 101322,37</v>
      </c>
      <c r="G2291" t="str">
        <f>"$ 101322,37"</f>
        <v>$ 101322,37</v>
      </c>
      <c r="H2291" t="str">
        <f t="shared" si="1449"/>
        <v>$ 0,00</v>
      </c>
      <c r="I2291" t="str">
        <f t="shared" si="1481"/>
        <v>KIT CABLES COMPETICIÓN Y  BUJIAS IRIDIO</v>
      </c>
      <c r="J2291" t="str">
        <f t="shared" si="1450"/>
        <v>1</v>
      </c>
      <c r="K2291" t="str">
        <f t="shared" si="1471"/>
        <v>0</v>
      </c>
      <c r="L2291" t="str">
        <f>"0,000"</f>
        <v>0,000</v>
      </c>
      <c r="M2291" t="str">
        <f t="shared" si="1451"/>
        <v xml:space="preserve"> </v>
      </c>
      <c r="N2291" t="str">
        <f t="shared" si="1478"/>
        <v>FERRAZZI</v>
      </c>
      <c r="O2291" t="str">
        <f t="shared" si="1482"/>
        <v>CABLES</v>
      </c>
      <c r="P2291" t="str">
        <f t="shared" si="1479"/>
        <v>0</v>
      </c>
      <c r="Q2291" t="str">
        <f t="shared" si="1479"/>
        <v>0</v>
      </c>
      <c r="R2291" t="str">
        <f t="shared" si="1480"/>
        <v>0,00</v>
      </c>
      <c r="S2291" t="str">
        <f t="shared" si="1480"/>
        <v>0,00</v>
      </c>
      <c r="T2291" t="str">
        <f t="shared" si="1448"/>
        <v xml:space="preserve"> </v>
      </c>
      <c r="U2291" t="str">
        <f t="shared" si="1470"/>
        <v xml:space="preserve"> </v>
      </c>
      <c r="V2291" t="str">
        <f>"0,000"</f>
        <v>0,000</v>
      </c>
      <c r="W2291" t="str">
        <f t="shared" si="1454"/>
        <v>Lista 4</v>
      </c>
      <c r="X2291" t="str">
        <f t="shared" si="1455"/>
        <v>Lista 5</v>
      </c>
      <c r="Y2291" t="str">
        <f t="shared" si="1456"/>
        <v>Oferta Gral.</v>
      </c>
      <c r="Z2291" t="str">
        <f t="shared" si="1457"/>
        <v>Rubro</v>
      </c>
      <c r="AA2291" t="str">
        <f t="shared" si="1458"/>
        <v>Cantidad por Bulto</v>
      </c>
      <c r="AB2291" t="str">
        <f t="shared" si="1459"/>
        <v>INNER</v>
      </c>
      <c r="AC2291" t="str">
        <f t="shared" si="1460"/>
        <v>Stock en Bultos</v>
      </c>
      <c r="AD2291" t="str">
        <f t="shared" si="1461"/>
        <v>SubDepósito</v>
      </c>
      <c r="AE2291" t="str">
        <f t="shared" si="1462"/>
        <v>Marca</v>
      </c>
      <c r="AF2291" t="str">
        <f t="shared" si="1463"/>
        <v>Super Rubro</v>
      </c>
      <c r="AG2291" t="str">
        <f t="shared" si="1464"/>
        <v>ComercioExterior</v>
      </c>
      <c r="AH2291" t="str">
        <f t="shared" si="1465"/>
        <v>PrecioFOB</v>
      </c>
      <c r="AI2291" t="str">
        <f t="shared" si="1466"/>
        <v>Monto II</v>
      </c>
      <c r="AJ2291" t="str">
        <f t="shared" si="1467"/>
        <v>Porcentaje II</v>
      </c>
      <c r="AK2291" t="str">
        <f t="shared" si="1468"/>
        <v>Foto</v>
      </c>
      <c r="AL2291" t="str">
        <f>"{\rtf1\ansi\ansicpg1252\deff0\deflang11274{\fonttbl{\f0\fnil\fcharset0 MS Sans Serif}} \viewkind4\uc1\pard\f0\fs16 KIT CABLES COMPETICION Y BUJIAS COMP. IRIDIUM/PLATINO FIAT 128/DUNA/UNO\par } "</f>
        <v xml:space="preserve">{\rtf1\ansi\ansicpg1252\deff0\deflang11274{\fonttbl{\f0\fnil\fcharset0 MS Sans Serif}} \viewkind4\uc1\pard\f0\fs16 KIT CABLES COMPETICION Y BUJIAS COMP. IRIDIUM/PLATINO FIAT 128/DUNA/UNO\par } </v>
      </c>
      <c r="AM2291" t="str">
        <f t="shared" si="1483"/>
        <v>-</v>
      </c>
    </row>
    <row r="2292" spans="1:39" x14ac:dyDescent="0.25">
      <c r="A2292" t="str">
        <f>"KC0597S5"</f>
        <v>KC0597S5</v>
      </c>
      <c r="B2292" t="str">
        <f>"KIT CABLES COMPETICION Y BUJIAS COMP. IRIDIUM/PLATINO FIAT UNO DUNA 147 MOTOR TIPO "</f>
        <v xml:space="preserve">KIT CABLES COMPETICION Y BUJIAS COMP. IRIDIUM/PLATINO FIAT UNO DUNA 147 MOTOR TIPO </v>
      </c>
      <c r="C2292" t="str">
        <f>"$ 106038,47"</f>
        <v>$ 106038,47</v>
      </c>
      <c r="D2292" t="str">
        <f>"$ 106038,47"</f>
        <v>$ 106038,47</v>
      </c>
      <c r="E2292" t="str">
        <f>"$ 106038,47"</f>
        <v>$ 106038,47</v>
      </c>
      <c r="F2292" t="str">
        <f>"$ 106038,47"</f>
        <v>$ 106038,47</v>
      </c>
      <c r="G2292" t="str">
        <f>"$ 106038,47"</f>
        <v>$ 106038,47</v>
      </c>
      <c r="H2292" t="str">
        <f t="shared" si="1449"/>
        <v>$ 0,00</v>
      </c>
      <c r="I2292" t="str">
        <f t="shared" si="1481"/>
        <v>KIT CABLES COMPETICIÓN Y  BUJIAS IRIDIO</v>
      </c>
      <c r="J2292" t="str">
        <f t="shared" si="1450"/>
        <v>1</v>
      </c>
      <c r="K2292" t="str">
        <f t="shared" si="1471"/>
        <v>0</v>
      </c>
      <c r="L2292" t="str">
        <f>"9,000"</f>
        <v>9,000</v>
      </c>
      <c r="M2292" t="str">
        <f t="shared" si="1451"/>
        <v xml:space="preserve"> </v>
      </c>
      <c r="N2292" t="str">
        <f t="shared" si="1478"/>
        <v>FERRAZZI</v>
      </c>
      <c r="O2292" t="str">
        <f t="shared" si="1482"/>
        <v>CABLES</v>
      </c>
      <c r="P2292" t="str">
        <f t="shared" si="1479"/>
        <v>0</v>
      </c>
      <c r="Q2292" t="str">
        <f t="shared" si="1479"/>
        <v>0</v>
      </c>
      <c r="R2292" t="str">
        <f t="shared" si="1480"/>
        <v>0,00</v>
      </c>
      <c r="S2292" t="str">
        <f t="shared" si="1480"/>
        <v>0,00</v>
      </c>
      <c r="T2292" t="str">
        <f t="shared" si="1448"/>
        <v xml:space="preserve"> </v>
      </c>
      <c r="U2292" t="str">
        <f t="shared" si="1470"/>
        <v xml:space="preserve"> </v>
      </c>
      <c r="V2292" t="str">
        <f>"9,000"</f>
        <v>9,000</v>
      </c>
      <c r="W2292" t="str">
        <f t="shared" si="1454"/>
        <v>Lista 4</v>
      </c>
      <c r="X2292" t="str">
        <f t="shared" si="1455"/>
        <v>Lista 5</v>
      </c>
      <c r="Y2292" t="str">
        <f t="shared" si="1456"/>
        <v>Oferta Gral.</v>
      </c>
      <c r="Z2292" t="str">
        <f t="shared" si="1457"/>
        <v>Rubro</v>
      </c>
      <c r="AA2292" t="str">
        <f t="shared" si="1458"/>
        <v>Cantidad por Bulto</v>
      </c>
      <c r="AB2292" t="str">
        <f t="shared" si="1459"/>
        <v>INNER</v>
      </c>
      <c r="AC2292" t="str">
        <f t="shared" si="1460"/>
        <v>Stock en Bultos</v>
      </c>
      <c r="AD2292" t="str">
        <f t="shared" si="1461"/>
        <v>SubDepósito</v>
      </c>
      <c r="AE2292" t="str">
        <f t="shared" si="1462"/>
        <v>Marca</v>
      </c>
      <c r="AF2292" t="str">
        <f t="shared" si="1463"/>
        <v>Super Rubro</v>
      </c>
      <c r="AG2292" t="str">
        <f t="shared" si="1464"/>
        <v>ComercioExterior</v>
      </c>
      <c r="AH2292" t="str">
        <f t="shared" si="1465"/>
        <v>PrecioFOB</v>
      </c>
      <c r="AI2292" t="str">
        <f t="shared" si="1466"/>
        <v>Monto II</v>
      </c>
      <c r="AJ2292" t="str">
        <f t="shared" si="1467"/>
        <v>Porcentaje II</v>
      </c>
      <c r="AK2292" t="str">
        <f t="shared" si="1468"/>
        <v>Foto</v>
      </c>
      <c r="AL2292" t="str">
        <f>"{\rtf1\ansi\ansicpg1252\deff0\deflang2058{\fonttbl{\f0\fnil\fcharset0 MS Sans Serif}} \viewkind4\uc1\pard\f0\fs16 KIT CABLES COMPETICION Y BUJIAS COMP. IRIDIUM/PLATINO FIAT UNO DUNA 147 MOTOR TIPO \par } "</f>
        <v xml:space="preserve">{\rtf1\ansi\ansicpg1252\deff0\deflang2058{\fonttbl{\f0\fnil\fcharset0 MS Sans Serif}} \viewkind4\uc1\pard\f0\fs16 KIT CABLES COMPETICION Y BUJIAS COMP. IRIDIUM/PLATINO FIAT UNO DUNA 147 MOTOR TIPO \par } </v>
      </c>
      <c r="AM2292" t="str">
        <f>" "</f>
        <v xml:space="preserve"> </v>
      </c>
    </row>
    <row r="2293" spans="1:39" x14ac:dyDescent="0.25">
      <c r="A2293" t="str">
        <f>"KC0339Z5"</f>
        <v>KC0339Z5</v>
      </c>
      <c r="B2293" t="str">
        <f>"KIT CABLES COMPETICION Y BUJIAS COMP. IRIDIUM/PLATINO FOX/GOL TREND"</f>
        <v>KIT CABLES COMPETICION Y BUJIAS COMP. IRIDIUM/PLATINO FOX/GOL TREND</v>
      </c>
      <c r="C2293" t="str">
        <f>"$ 110212,44"</f>
        <v>$ 110212,44</v>
      </c>
      <c r="D2293" t="str">
        <f>"$ 110212,44"</f>
        <v>$ 110212,44</v>
      </c>
      <c r="E2293" t="str">
        <f>"$ 110212,44"</f>
        <v>$ 110212,44</v>
      </c>
      <c r="F2293" t="str">
        <f>"$ 110212,44"</f>
        <v>$ 110212,44</v>
      </c>
      <c r="G2293" t="str">
        <f>"$ 110212,44"</f>
        <v>$ 110212,44</v>
      </c>
      <c r="H2293" t="str">
        <f t="shared" si="1449"/>
        <v>$ 0,00</v>
      </c>
      <c r="I2293" t="str">
        <f t="shared" si="1481"/>
        <v>KIT CABLES COMPETICIÓN Y  BUJIAS IRIDIO</v>
      </c>
      <c r="J2293" t="str">
        <f t="shared" si="1450"/>
        <v>1</v>
      </c>
      <c r="K2293" t="str">
        <f t="shared" si="1471"/>
        <v>0</v>
      </c>
      <c r="L2293" t="str">
        <f>"10,000"</f>
        <v>10,000</v>
      </c>
      <c r="M2293" t="str">
        <f t="shared" si="1451"/>
        <v xml:space="preserve"> </v>
      </c>
      <c r="N2293" t="str">
        <f t="shared" si="1478"/>
        <v>FERRAZZI</v>
      </c>
      <c r="O2293" t="str">
        <f t="shared" si="1482"/>
        <v>CABLES</v>
      </c>
      <c r="P2293" t="str">
        <f t="shared" si="1479"/>
        <v>0</v>
      </c>
      <c r="Q2293" t="str">
        <f t="shared" si="1479"/>
        <v>0</v>
      </c>
      <c r="R2293" t="str">
        <f t="shared" si="1480"/>
        <v>0,00</v>
      </c>
      <c r="S2293" t="str">
        <f t="shared" si="1480"/>
        <v>0,00</v>
      </c>
      <c r="T2293" t="str">
        <f t="shared" si="1448"/>
        <v xml:space="preserve"> </v>
      </c>
      <c r="U2293" t="str">
        <f t="shared" si="1470"/>
        <v xml:space="preserve"> </v>
      </c>
      <c r="V2293" t="str">
        <f>"10,000"</f>
        <v>10,000</v>
      </c>
      <c r="W2293" t="str">
        <f t="shared" si="1454"/>
        <v>Lista 4</v>
      </c>
      <c r="X2293" t="str">
        <f t="shared" si="1455"/>
        <v>Lista 5</v>
      </c>
      <c r="Y2293" t="str">
        <f t="shared" si="1456"/>
        <v>Oferta Gral.</v>
      </c>
      <c r="Z2293" t="str">
        <f t="shared" si="1457"/>
        <v>Rubro</v>
      </c>
      <c r="AA2293" t="str">
        <f t="shared" si="1458"/>
        <v>Cantidad por Bulto</v>
      </c>
      <c r="AB2293" t="str">
        <f t="shared" si="1459"/>
        <v>INNER</v>
      </c>
      <c r="AC2293" t="str">
        <f t="shared" si="1460"/>
        <v>Stock en Bultos</v>
      </c>
      <c r="AD2293" t="str">
        <f t="shared" si="1461"/>
        <v>SubDepósito</v>
      </c>
      <c r="AE2293" t="str">
        <f t="shared" si="1462"/>
        <v>Marca</v>
      </c>
      <c r="AF2293" t="str">
        <f t="shared" si="1463"/>
        <v>Super Rubro</v>
      </c>
      <c r="AG2293" t="str">
        <f t="shared" si="1464"/>
        <v>ComercioExterior</v>
      </c>
      <c r="AH2293" t="str">
        <f t="shared" si="1465"/>
        <v>PrecioFOB</v>
      </c>
      <c r="AI2293" t="str">
        <f t="shared" si="1466"/>
        <v>Monto II</v>
      </c>
      <c r="AJ2293" t="str">
        <f t="shared" si="1467"/>
        <v>Porcentaje II</v>
      </c>
      <c r="AK2293" t="str">
        <f t="shared" si="1468"/>
        <v>Foto</v>
      </c>
      <c r="AL2293" t="str">
        <f>"{\rtf1\ansi\ansicpg1252\deff0\deflang11274{\fonttbl{\f0\fnil\fcharset0 MS Sans Serif}} \viewkind4\uc1\pard\f0\fs16 KIT CABLES COMPETICION Y BUJIAS COMP. IRIDIUM/PLATINO FOX/GOL TREND\par } "</f>
        <v xml:space="preserve">{\rtf1\ansi\ansicpg1252\deff0\deflang11274{\fonttbl{\f0\fnil\fcharset0 MS Sans Serif}} \viewkind4\uc1\pard\f0\fs16 KIT CABLES COMPETICION Y BUJIAS COMP. IRIDIUM/PLATINO FOX/GOL TREND\par } </v>
      </c>
      <c r="AM2293" t="str">
        <f>"-"</f>
        <v>-</v>
      </c>
    </row>
    <row r="2294" spans="1:39" x14ac:dyDescent="0.25">
      <c r="A2294" t="str">
        <f>"KC0300S5"</f>
        <v>KC0300S5</v>
      </c>
      <c r="B2294" t="str">
        <f>"KIT CABLES COMPETICION Y BUJIAS COMP. IRIDIUM/PLATINO VW GOL/SENDA"</f>
        <v>KIT CABLES COMPETICION Y BUJIAS COMP. IRIDIUM/PLATINO VW GOL/SENDA</v>
      </c>
      <c r="C2294" t="str">
        <f>"$ 107417,29"</f>
        <v>$ 107417,29</v>
      </c>
      <c r="D2294" t="str">
        <f>"$ 107417,29"</f>
        <v>$ 107417,29</v>
      </c>
      <c r="E2294" t="str">
        <f>"$ 107417,29"</f>
        <v>$ 107417,29</v>
      </c>
      <c r="F2294" t="str">
        <f>"$ 107417,29"</f>
        <v>$ 107417,29</v>
      </c>
      <c r="G2294" t="str">
        <f>"$ 107417,29"</f>
        <v>$ 107417,29</v>
      </c>
      <c r="H2294" t="str">
        <f t="shared" si="1449"/>
        <v>$ 0,00</v>
      </c>
      <c r="I2294" t="str">
        <f t="shared" si="1481"/>
        <v>KIT CABLES COMPETICIÓN Y  BUJIAS IRIDIO</v>
      </c>
      <c r="J2294" t="str">
        <f t="shared" si="1450"/>
        <v>1</v>
      </c>
      <c r="K2294" t="str">
        <f t="shared" si="1471"/>
        <v>0</v>
      </c>
      <c r="L2294" t="str">
        <f>"0,000"</f>
        <v>0,000</v>
      </c>
      <c r="M2294" t="str">
        <f t="shared" si="1451"/>
        <v xml:space="preserve"> </v>
      </c>
      <c r="N2294" t="str">
        <f t="shared" si="1478"/>
        <v>FERRAZZI</v>
      </c>
      <c r="O2294" t="str">
        <f t="shared" si="1482"/>
        <v>CABLES</v>
      </c>
      <c r="P2294" t="str">
        <f t="shared" si="1479"/>
        <v>0</v>
      </c>
      <c r="Q2294" t="str">
        <f t="shared" si="1479"/>
        <v>0</v>
      </c>
      <c r="R2294" t="str">
        <f t="shared" si="1480"/>
        <v>0,00</v>
      </c>
      <c r="S2294" t="str">
        <f t="shared" si="1480"/>
        <v>0,00</v>
      </c>
      <c r="T2294" t="str">
        <f t="shared" si="1448"/>
        <v xml:space="preserve"> </v>
      </c>
      <c r="U2294" t="str">
        <f t="shared" si="1470"/>
        <v xml:space="preserve"> </v>
      </c>
      <c r="V2294" t="str">
        <f>"0,000"</f>
        <v>0,000</v>
      </c>
      <c r="W2294" t="str">
        <f t="shared" si="1454"/>
        <v>Lista 4</v>
      </c>
      <c r="X2294" t="str">
        <f t="shared" si="1455"/>
        <v>Lista 5</v>
      </c>
      <c r="Y2294" t="str">
        <f t="shared" si="1456"/>
        <v>Oferta Gral.</v>
      </c>
      <c r="Z2294" t="str">
        <f t="shared" si="1457"/>
        <v>Rubro</v>
      </c>
      <c r="AA2294" t="str">
        <f t="shared" si="1458"/>
        <v>Cantidad por Bulto</v>
      </c>
      <c r="AB2294" t="str">
        <f t="shared" si="1459"/>
        <v>INNER</v>
      </c>
      <c r="AC2294" t="str">
        <f t="shared" si="1460"/>
        <v>Stock en Bultos</v>
      </c>
      <c r="AD2294" t="str">
        <f t="shared" si="1461"/>
        <v>SubDepósito</v>
      </c>
      <c r="AE2294" t="str">
        <f t="shared" si="1462"/>
        <v>Marca</v>
      </c>
      <c r="AF2294" t="str">
        <f t="shared" si="1463"/>
        <v>Super Rubro</v>
      </c>
      <c r="AG2294" t="str">
        <f t="shared" si="1464"/>
        <v>ComercioExterior</v>
      </c>
      <c r="AH2294" t="str">
        <f t="shared" si="1465"/>
        <v>PrecioFOB</v>
      </c>
      <c r="AI2294" t="str">
        <f t="shared" si="1466"/>
        <v>Monto II</v>
      </c>
      <c r="AJ2294" t="str">
        <f t="shared" si="1467"/>
        <v>Porcentaje II</v>
      </c>
      <c r="AK2294" t="str">
        <f t="shared" si="1468"/>
        <v>Foto</v>
      </c>
      <c r="AL2294" t="str">
        <f>"{\rtf1\ansi\ansicpg1252\deff0\deflang11274{\fonttbl{\f0\fnil\fcharset0 MS Sans Serif}} \viewkind4\uc1\pard\f0\fs16 KIT CABLES COMPETICION Y BUJIAS COMP. IRIDIUM/PLATINO VW GOL/SENDA\par } "</f>
        <v xml:space="preserve">{\rtf1\ansi\ansicpg1252\deff0\deflang11274{\fonttbl{\f0\fnil\fcharset0 MS Sans Serif}} \viewkind4\uc1\pard\f0\fs16 KIT CABLES COMPETICION Y BUJIAS COMP. IRIDIUM/PLATINO VW GOL/SENDA\par } </v>
      </c>
      <c r="AM2294" t="str">
        <f>"-"</f>
        <v>-</v>
      </c>
    </row>
    <row r="2295" spans="1:39" x14ac:dyDescent="0.25">
      <c r="A2295" t="str">
        <f>"KS0296S6"</f>
        <v>KS0296S6</v>
      </c>
      <c r="B2295" t="str">
        <f>"KIT CABLES FERRAZZI SILICONA Y BUJIAS COBRE CHEVROLET CORSA MERIVA FIAT PALIO SIENA 1.8 "</f>
        <v xml:space="preserve">KIT CABLES FERRAZZI SILICONA Y BUJIAS COBRE CHEVROLET CORSA MERIVA FIAT PALIO SIENA 1.8 </v>
      </c>
      <c r="C2295" t="str">
        <f>"$ 37282,63"</f>
        <v>$ 37282,63</v>
      </c>
      <c r="D2295" t="str">
        <f>"$ 37282,63"</f>
        <v>$ 37282,63</v>
      </c>
      <c r="E2295" t="str">
        <f>"$ 37282,63"</f>
        <v>$ 37282,63</v>
      </c>
      <c r="F2295" t="str">
        <f>"$ 37282,63"</f>
        <v>$ 37282,63</v>
      </c>
      <c r="G2295" t="str">
        <f>"$ 37282,63"</f>
        <v>$ 37282,63</v>
      </c>
      <c r="H2295" t="str">
        <f t="shared" si="1449"/>
        <v>$ 0,00</v>
      </c>
      <c r="I2295" t="str">
        <f>"KIT CABLES SILICONA Y BUJIAS COBRE"</f>
        <v>KIT CABLES SILICONA Y BUJIAS COBRE</v>
      </c>
      <c r="J2295" t="str">
        <f t="shared" si="1450"/>
        <v>1</v>
      </c>
      <c r="K2295" t="str">
        <f t="shared" si="1471"/>
        <v>0</v>
      </c>
      <c r="L2295" t="str">
        <f>"163,000"</f>
        <v>163,000</v>
      </c>
      <c r="M2295" t="str">
        <f t="shared" si="1451"/>
        <v xml:space="preserve"> </v>
      </c>
      <c r="N2295" t="str">
        <f t="shared" si="1478"/>
        <v>FERRAZZI</v>
      </c>
      <c r="O2295" t="str">
        <f t="shared" si="1482"/>
        <v>CABLES</v>
      </c>
      <c r="P2295" t="str">
        <f t="shared" si="1479"/>
        <v>0</v>
      </c>
      <c r="Q2295" t="str">
        <f t="shared" si="1479"/>
        <v>0</v>
      </c>
      <c r="R2295" t="str">
        <f t="shared" si="1480"/>
        <v>0,00</v>
      </c>
      <c r="S2295" t="str">
        <f t="shared" si="1480"/>
        <v>0,00</v>
      </c>
      <c r="T2295" t="str">
        <f t="shared" si="1448"/>
        <v xml:space="preserve"> </v>
      </c>
      <c r="U2295" t="str">
        <f t="shared" si="1470"/>
        <v xml:space="preserve"> </v>
      </c>
      <c r="V2295" t="str">
        <f>"163,000"</f>
        <v>163,000</v>
      </c>
      <c r="W2295" t="str">
        <f t="shared" si="1454"/>
        <v>Lista 4</v>
      </c>
      <c r="X2295" t="str">
        <f t="shared" si="1455"/>
        <v>Lista 5</v>
      </c>
      <c r="Y2295" t="str">
        <f t="shared" si="1456"/>
        <v>Oferta Gral.</v>
      </c>
      <c r="Z2295" t="str">
        <f t="shared" si="1457"/>
        <v>Rubro</v>
      </c>
      <c r="AA2295" t="str">
        <f t="shared" si="1458"/>
        <v>Cantidad por Bulto</v>
      </c>
      <c r="AB2295" t="str">
        <f t="shared" si="1459"/>
        <v>INNER</v>
      </c>
      <c r="AC2295" t="str">
        <f t="shared" si="1460"/>
        <v>Stock en Bultos</v>
      </c>
      <c r="AD2295" t="str">
        <f t="shared" si="1461"/>
        <v>SubDepósito</v>
      </c>
      <c r="AE2295" t="str">
        <f t="shared" si="1462"/>
        <v>Marca</v>
      </c>
      <c r="AF2295" t="str">
        <f t="shared" si="1463"/>
        <v>Super Rubro</v>
      </c>
      <c r="AG2295" t="str">
        <f t="shared" si="1464"/>
        <v>ComercioExterior</v>
      </c>
      <c r="AH2295" t="str">
        <f t="shared" si="1465"/>
        <v>PrecioFOB</v>
      </c>
      <c r="AI2295" t="str">
        <f t="shared" si="1466"/>
        <v>Monto II</v>
      </c>
      <c r="AJ2295" t="str">
        <f t="shared" si="1467"/>
        <v>Porcentaje II</v>
      </c>
      <c r="AK2295" t="str">
        <f t="shared" si="1468"/>
        <v>Foto</v>
      </c>
      <c r="AL229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95" t="str">
        <f>" "</f>
        <v xml:space="preserve"> </v>
      </c>
    </row>
    <row r="2296" spans="1:39" x14ac:dyDescent="0.25">
      <c r="A2296" t="str">
        <f>"KS0211S5"</f>
        <v>KS0211S5</v>
      </c>
      <c r="B2296" t="str">
        <f>"KIT CABLES FERRAZZI SILICONADOS 7MM Y BUJIAS COBRE CHEVROLET 230 400 CHEVY C10"</f>
        <v>KIT CABLES FERRAZZI SILICONADOS 7MM Y BUJIAS COBRE CHEVROLET 230 400 CHEVY C10</v>
      </c>
      <c r="C2296" t="str">
        <f>"$ 37527,51"</f>
        <v>$ 37527,51</v>
      </c>
      <c r="D2296" t="str">
        <f>"$ 37527,51"</f>
        <v>$ 37527,51</v>
      </c>
      <c r="E2296" t="str">
        <f>"$ 37527,51"</f>
        <v>$ 37527,51</v>
      </c>
      <c r="F2296" t="str">
        <f>"$ 17225,12"</f>
        <v>$ 17225,12</v>
      </c>
      <c r="G2296" t="str">
        <f>"$ 17225,12"</f>
        <v>$ 17225,12</v>
      </c>
      <c r="H2296" t="str">
        <f t="shared" si="1449"/>
        <v>$ 0,00</v>
      </c>
      <c r="I2296" t="str">
        <f>"KIT CABLES SILICONA Y BUJIAS COBRE"</f>
        <v>KIT CABLES SILICONA Y BUJIAS COBRE</v>
      </c>
      <c r="J2296" t="str">
        <f t="shared" si="1450"/>
        <v>1</v>
      </c>
      <c r="K2296" t="str">
        <f t="shared" si="1471"/>
        <v>0</v>
      </c>
      <c r="L2296" t="str">
        <f>"29,000"</f>
        <v>29,000</v>
      </c>
      <c r="M2296" t="str">
        <f t="shared" si="1451"/>
        <v xml:space="preserve"> </v>
      </c>
      <c r="N2296" t="str">
        <f t="shared" si="1478"/>
        <v>FERRAZZI</v>
      </c>
      <c r="O2296" t="str">
        <f t="shared" si="1482"/>
        <v>CABLES</v>
      </c>
      <c r="P2296" t="str">
        <f t="shared" si="1479"/>
        <v>0</v>
      </c>
      <c r="Q2296" t="str">
        <f t="shared" si="1479"/>
        <v>0</v>
      </c>
      <c r="R2296" t="str">
        <f t="shared" si="1480"/>
        <v>0,00</v>
      </c>
      <c r="S2296" t="str">
        <f t="shared" si="1480"/>
        <v>0,00</v>
      </c>
      <c r="T2296" t="str">
        <f t="shared" si="1448"/>
        <v xml:space="preserve"> </v>
      </c>
      <c r="U2296" t="str">
        <f t="shared" si="1470"/>
        <v xml:space="preserve"> </v>
      </c>
      <c r="V2296" t="str">
        <f>"29,000"</f>
        <v>29,000</v>
      </c>
      <c r="W2296" t="str">
        <f t="shared" si="1454"/>
        <v>Lista 4</v>
      </c>
      <c r="X2296" t="str">
        <f t="shared" si="1455"/>
        <v>Lista 5</v>
      </c>
      <c r="Y2296" t="str">
        <f t="shared" si="1456"/>
        <v>Oferta Gral.</v>
      </c>
      <c r="Z2296" t="str">
        <f t="shared" si="1457"/>
        <v>Rubro</v>
      </c>
      <c r="AA2296" t="str">
        <f t="shared" si="1458"/>
        <v>Cantidad por Bulto</v>
      </c>
      <c r="AB2296" t="str">
        <f t="shared" si="1459"/>
        <v>INNER</v>
      </c>
      <c r="AC2296" t="str">
        <f t="shared" si="1460"/>
        <v>Stock en Bultos</v>
      </c>
      <c r="AD2296" t="str">
        <f t="shared" si="1461"/>
        <v>SubDepósito</v>
      </c>
      <c r="AE2296" t="str">
        <f t="shared" si="1462"/>
        <v>Marca</v>
      </c>
      <c r="AF2296" t="str">
        <f t="shared" si="1463"/>
        <v>Super Rubro</v>
      </c>
      <c r="AG2296" t="str">
        <f t="shared" si="1464"/>
        <v>ComercioExterior</v>
      </c>
      <c r="AH2296" t="str">
        <f t="shared" si="1465"/>
        <v>PrecioFOB</v>
      </c>
      <c r="AI2296" t="str">
        <f t="shared" si="1466"/>
        <v>Monto II</v>
      </c>
      <c r="AJ2296" t="str">
        <f t="shared" si="1467"/>
        <v>Porcentaje II</v>
      </c>
      <c r="AK2296" t="str">
        <f t="shared" si="1468"/>
        <v>Foto</v>
      </c>
      <c r="AL2296" t="str">
        <f>"{\rtf1\ansi\ansicpg1252\deff0\deflang2058{\fonttbl{\f0\fnil\fcharset0 MS Sans Serif}} \viewkind4\uc1\pard\f0\fs16 KIT CABLES FERRAZZI SILICONADOS 7MM Y BUJIAS COBRE CHEVROLET 230 400 CHEVY C10\par } "</f>
        <v xml:space="preserve">{\rtf1\ansi\ansicpg1252\deff0\deflang2058{\fonttbl{\f0\fnil\fcharset0 MS Sans Serif}} \viewkind4\uc1\pard\f0\fs16 KIT CABLES FERRAZZI SILICONADOS 7MM Y BUJIAS COBRE CHEVROLET 230 400 CHEVY C10\par } </v>
      </c>
      <c r="AM2296" t="str">
        <f>" "</f>
        <v xml:space="preserve"> </v>
      </c>
    </row>
    <row r="2297" spans="1:39" x14ac:dyDescent="0.25">
      <c r="A2297" t="str">
        <f>"KS0566Z5"</f>
        <v>KS0566Z5</v>
      </c>
      <c r="B2297" t="str">
        <f>"KIT CABLES SUPERIOR Y BUJIAS COBRE FERRAZZI FIAT PALIO FIRE 1.4  PARA 1 BOBINA"</f>
        <v>KIT CABLES SUPERIOR Y BUJIAS COBRE FERRAZZI FIAT PALIO FIRE 1.4  PARA 1 BOBINA</v>
      </c>
      <c r="C2297" t="str">
        <f>"$ 32016,39"</f>
        <v>$ 32016,39</v>
      </c>
      <c r="D2297" t="str">
        <f>"$ 32016,39"</f>
        <v>$ 32016,39</v>
      </c>
      <c r="E2297" t="str">
        <f>"$ 32016,39"</f>
        <v>$ 32016,39</v>
      </c>
      <c r="F2297" t="str">
        <f>"$ 32016,39"</f>
        <v>$ 32016,39</v>
      </c>
      <c r="G2297" t="str">
        <f>"$ 32016,39"</f>
        <v>$ 32016,39</v>
      </c>
      <c r="H2297" t="str">
        <f t="shared" si="1449"/>
        <v>$ 0,00</v>
      </c>
      <c r="I2297" t="str">
        <f>"KIT CABLES SILICONA Y BUJIAS COBRE"</f>
        <v>KIT CABLES SILICONA Y BUJIAS COBRE</v>
      </c>
      <c r="J2297" t="str">
        <f t="shared" si="1450"/>
        <v>1</v>
      </c>
      <c r="K2297" t="str">
        <f t="shared" si="1471"/>
        <v>0</v>
      </c>
      <c r="L2297" t="str">
        <f>"77,000"</f>
        <v>77,000</v>
      </c>
      <c r="M2297" t="str">
        <f t="shared" si="1451"/>
        <v xml:space="preserve"> </v>
      </c>
      <c r="N2297" t="str">
        <f t="shared" si="1478"/>
        <v>FERRAZZI</v>
      </c>
      <c r="O2297" t="str">
        <f t="shared" si="1482"/>
        <v>CABLES</v>
      </c>
      <c r="P2297" t="str">
        <f t="shared" si="1479"/>
        <v>0</v>
      </c>
      <c r="Q2297" t="str">
        <f t="shared" si="1479"/>
        <v>0</v>
      </c>
      <c r="R2297" t="str">
        <f t="shared" si="1480"/>
        <v>0,00</v>
      </c>
      <c r="S2297" t="str">
        <f t="shared" si="1480"/>
        <v>0,00</v>
      </c>
      <c r="T2297" t="str">
        <f t="shared" si="1448"/>
        <v xml:space="preserve"> </v>
      </c>
      <c r="U2297" t="str">
        <f t="shared" si="1470"/>
        <v xml:space="preserve"> </v>
      </c>
      <c r="V2297" t="str">
        <f>"77,000"</f>
        <v>77,000</v>
      </c>
      <c r="W2297" t="str">
        <f t="shared" si="1454"/>
        <v>Lista 4</v>
      </c>
      <c r="X2297" t="str">
        <f t="shared" si="1455"/>
        <v>Lista 5</v>
      </c>
      <c r="Y2297" t="str">
        <f t="shared" si="1456"/>
        <v>Oferta Gral.</v>
      </c>
      <c r="Z2297" t="str">
        <f t="shared" si="1457"/>
        <v>Rubro</v>
      </c>
      <c r="AA2297" t="str">
        <f t="shared" si="1458"/>
        <v>Cantidad por Bulto</v>
      </c>
      <c r="AB2297" t="str">
        <f t="shared" si="1459"/>
        <v>INNER</v>
      </c>
      <c r="AC2297" t="str">
        <f t="shared" si="1460"/>
        <v>Stock en Bultos</v>
      </c>
      <c r="AD2297" t="str">
        <f t="shared" si="1461"/>
        <v>SubDepósito</v>
      </c>
      <c r="AE2297" t="str">
        <f t="shared" si="1462"/>
        <v>Marca</v>
      </c>
      <c r="AF2297" t="str">
        <f t="shared" si="1463"/>
        <v>Super Rubro</v>
      </c>
      <c r="AG2297" t="str">
        <f t="shared" si="1464"/>
        <v>ComercioExterior</v>
      </c>
      <c r="AH2297" t="str">
        <f t="shared" si="1465"/>
        <v>PrecioFOB</v>
      </c>
      <c r="AI2297" t="str">
        <f t="shared" si="1466"/>
        <v>Monto II</v>
      </c>
      <c r="AJ2297" t="str">
        <f t="shared" si="1467"/>
        <v>Porcentaje II</v>
      </c>
      <c r="AK2297" t="str">
        <f t="shared" si="1468"/>
        <v>Foto</v>
      </c>
      <c r="AL229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297" t="str">
        <f>" "</f>
        <v xml:space="preserve"> </v>
      </c>
    </row>
    <row r="2298" spans="1:39" x14ac:dyDescent="0.25">
      <c r="A2298" t="str">
        <f>"KS0489F6"</f>
        <v>KS0489F6</v>
      </c>
      <c r="B2298" t="str">
        <f>"KIT CABLES SUPERIOR Y BUJIAS COBRE FERRAZZI FORD FIESTA ECOSPORT FOCUS ROCAM 1.0 1.6 8 VALVULAS"</f>
        <v>KIT CABLES SUPERIOR Y BUJIAS COBRE FERRAZZI FORD FIESTA ECOSPORT FOCUS ROCAM 1.0 1.6 8 VALVULAS</v>
      </c>
      <c r="C2298" t="str">
        <f>"$ 36024,22"</f>
        <v>$ 36024,22</v>
      </c>
      <c r="D2298" t="str">
        <f>"$ 36024,22"</f>
        <v>$ 36024,22</v>
      </c>
      <c r="E2298" t="str">
        <f>"$ 36024,22"</f>
        <v>$ 36024,22</v>
      </c>
      <c r="F2298" t="str">
        <f>"$ 36024,22"</f>
        <v>$ 36024,22</v>
      </c>
      <c r="G2298" t="str">
        <f>"$ 36024,22"</f>
        <v>$ 36024,22</v>
      </c>
      <c r="H2298" t="str">
        <f t="shared" si="1449"/>
        <v>$ 0,00</v>
      </c>
      <c r="I2298" t="str">
        <f>"KIT CABLES SILICONA Y BUJIAS COBRE"</f>
        <v>KIT CABLES SILICONA Y BUJIAS COBRE</v>
      </c>
      <c r="J2298" t="str">
        <f t="shared" si="1450"/>
        <v>1</v>
      </c>
      <c r="K2298" t="str">
        <f t="shared" si="1471"/>
        <v>0</v>
      </c>
      <c r="L2298" t="str">
        <f>"92,000"</f>
        <v>92,000</v>
      </c>
      <c r="M2298" t="str">
        <f t="shared" si="1451"/>
        <v xml:space="preserve"> </v>
      </c>
      <c r="N2298" t="str">
        <f t="shared" si="1478"/>
        <v>FERRAZZI</v>
      </c>
      <c r="O2298" t="str">
        <f t="shared" si="1482"/>
        <v>CABLES</v>
      </c>
      <c r="P2298" t="str">
        <f t="shared" si="1479"/>
        <v>0</v>
      </c>
      <c r="Q2298" t="str">
        <f t="shared" si="1479"/>
        <v>0</v>
      </c>
      <c r="R2298" t="str">
        <f t="shared" si="1480"/>
        <v>0,00</v>
      </c>
      <c r="S2298" t="str">
        <f t="shared" si="1480"/>
        <v>0,00</v>
      </c>
      <c r="T2298" t="str">
        <f t="shared" si="1448"/>
        <v xml:space="preserve"> </v>
      </c>
      <c r="U2298" t="str">
        <f t="shared" si="1470"/>
        <v xml:space="preserve"> </v>
      </c>
      <c r="V2298" t="str">
        <f>"92,000"</f>
        <v>92,000</v>
      </c>
      <c r="W2298" t="str">
        <f t="shared" si="1454"/>
        <v>Lista 4</v>
      </c>
      <c r="X2298" t="str">
        <f t="shared" si="1455"/>
        <v>Lista 5</v>
      </c>
      <c r="Y2298" t="str">
        <f t="shared" si="1456"/>
        <v>Oferta Gral.</v>
      </c>
      <c r="Z2298" t="str">
        <f t="shared" si="1457"/>
        <v>Rubro</v>
      </c>
      <c r="AA2298" t="str">
        <f t="shared" si="1458"/>
        <v>Cantidad por Bulto</v>
      </c>
      <c r="AB2298" t="str">
        <f t="shared" si="1459"/>
        <v>INNER</v>
      </c>
      <c r="AC2298" t="str">
        <f t="shared" si="1460"/>
        <v>Stock en Bultos</v>
      </c>
      <c r="AD2298" t="str">
        <f t="shared" si="1461"/>
        <v>SubDepósito</v>
      </c>
      <c r="AE2298" t="str">
        <f t="shared" si="1462"/>
        <v>Marca</v>
      </c>
      <c r="AF2298" t="str">
        <f t="shared" si="1463"/>
        <v>Super Rubro</v>
      </c>
      <c r="AG2298" t="str">
        <f t="shared" si="1464"/>
        <v>ComercioExterior</v>
      </c>
      <c r="AH2298" t="str">
        <f t="shared" si="1465"/>
        <v>PrecioFOB</v>
      </c>
      <c r="AI2298" t="str">
        <f t="shared" si="1466"/>
        <v>Monto II</v>
      </c>
      <c r="AJ2298" t="str">
        <f t="shared" si="1467"/>
        <v>Porcentaje II</v>
      </c>
      <c r="AK2298" t="str">
        <f t="shared" si="1468"/>
        <v>Foto</v>
      </c>
      <c r="AL229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298" t="str">
        <f>" "</f>
        <v xml:space="preserve"> </v>
      </c>
    </row>
    <row r="2299" spans="1:39" x14ac:dyDescent="0.25">
      <c r="A2299" t="str">
        <f>"KS0630Z6"</f>
        <v>KS0630Z6</v>
      </c>
      <c r="B2299" t="str">
        <f>"KIT CABLES Y BUJIAS FERRAZZI 7MM SILICONADO RENAULT MEGANE LOGAN MOTOR K7M"</f>
        <v>KIT CABLES Y BUJIAS FERRAZZI 7MM SILICONADO RENAULT MEGANE LOGAN MOTOR K7M</v>
      </c>
      <c r="C2299" t="str">
        <f>"$ 31938,62"</f>
        <v>$ 31938,62</v>
      </c>
      <c r="D2299" t="str">
        <f>"$ 31938,62"</f>
        <v>$ 31938,62</v>
      </c>
      <c r="E2299" t="str">
        <f>"$ 31938,62"</f>
        <v>$ 31938,62</v>
      </c>
      <c r="F2299" t="str">
        <f>"$ 31938,62"</f>
        <v>$ 31938,62</v>
      </c>
      <c r="G2299" t="str">
        <f>"$ 31938,62"</f>
        <v>$ 31938,62</v>
      </c>
      <c r="H2299" t="str">
        <f t="shared" si="1449"/>
        <v>$ 0,00</v>
      </c>
      <c r="I2299" t="str">
        <f>"KIT CABLES SILICONA Y BUJIAS COBRE"</f>
        <v>KIT CABLES SILICONA Y BUJIAS COBRE</v>
      </c>
      <c r="J2299" t="str">
        <f t="shared" si="1450"/>
        <v>1</v>
      </c>
      <c r="K2299" t="str">
        <f t="shared" si="1471"/>
        <v>0</v>
      </c>
      <c r="L2299" t="str">
        <f>"5,000"</f>
        <v>5,000</v>
      </c>
      <c r="M2299" t="str">
        <f t="shared" si="1451"/>
        <v xml:space="preserve"> </v>
      </c>
      <c r="N2299" t="str">
        <f t="shared" si="1478"/>
        <v>FERRAZZI</v>
      </c>
      <c r="O2299" t="str">
        <f t="shared" si="1482"/>
        <v>CABLES</v>
      </c>
      <c r="P2299" t="str">
        <f t="shared" si="1479"/>
        <v>0</v>
      </c>
      <c r="Q2299" t="str">
        <f t="shared" si="1479"/>
        <v>0</v>
      </c>
      <c r="R2299" t="str">
        <f t="shared" si="1480"/>
        <v>0,00</v>
      </c>
      <c r="S2299" t="str">
        <f t="shared" si="1480"/>
        <v>0,00</v>
      </c>
      <c r="T2299" t="str">
        <f t="shared" si="1448"/>
        <v xml:space="preserve"> </v>
      </c>
      <c r="U2299" t="str">
        <f t="shared" si="1470"/>
        <v xml:space="preserve"> </v>
      </c>
      <c r="V2299" t="str">
        <f>"5,000"</f>
        <v>5,000</v>
      </c>
      <c r="W2299" t="str">
        <f t="shared" si="1454"/>
        <v>Lista 4</v>
      </c>
      <c r="X2299" t="str">
        <f t="shared" si="1455"/>
        <v>Lista 5</v>
      </c>
      <c r="Y2299" t="str">
        <f t="shared" si="1456"/>
        <v>Oferta Gral.</v>
      </c>
      <c r="Z2299" t="str">
        <f t="shared" si="1457"/>
        <v>Rubro</v>
      </c>
      <c r="AA2299" t="str">
        <f t="shared" si="1458"/>
        <v>Cantidad por Bulto</v>
      </c>
      <c r="AB2299" t="str">
        <f t="shared" si="1459"/>
        <v>INNER</v>
      </c>
      <c r="AC2299" t="str">
        <f t="shared" si="1460"/>
        <v>Stock en Bultos</v>
      </c>
      <c r="AD2299" t="str">
        <f t="shared" si="1461"/>
        <v>SubDepósito</v>
      </c>
      <c r="AE2299" t="str">
        <f t="shared" si="1462"/>
        <v>Marca</v>
      </c>
      <c r="AF2299" t="str">
        <f t="shared" si="1463"/>
        <v>Super Rubro</v>
      </c>
      <c r="AG2299" t="str">
        <f t="shared" si="1464"/>
        <v>ComercioExterior</v>
      </c>
      <c r="AH2299" t="str">
        <f t="shared" si="1465"/>
        <v>PrecioFOB</v>
      </c>
      <c r="AI2299" t="str">
        <f t="shared" si="1466"/>
        <v>Monto II</v>
      </c>
      <c r="AJ2299" t="str">
        <f t="shared" si="1467"/>
        <v>Porcentaje II</v>
      </c>
      <c r="AK2299" t="str">
        <f t="shared" si="1468"/>
        <v>Foto</v>
      </c>
      <c r="AL2299" t="str">
        <f>"{\rtf1\ansi\ansicpg1252\deff0\deflang11274{\fonttbl{\f0\fnil\fcharset0 MS Sans Serif}} \viewkind4\uc1\pard\f0\fs16 KIT CABLES Y BUJIAS FERRAZZI 7MM SILICONADO RENAULT MEGANE LOGAN MOTOR K7M\par } "</f>
        <v xml:space="preserve">{\rtf1\ansi\ansicpg1252\deff0\deflang11274{\fonttbl{\f0\fnil\fcharset0 MS Sans Serif}} \viewkind4\uc1\pard\f0\fs16 KIT CABLES Y BUJIAS FERRAZZI 7MM SILICONADO RENAULT MEGANE LOGAN MOTOR K7M\par } </v>
      </c>
      <c r="AM2299" t="str">
        <f>"-"</f>
        <v>-</v>
      </c>
    </row>
    <row r="2300" spans="1:39" x14ac:dyDescent="0.25">
      <c r="A2300" t="str">
        <f>"KC0566Z5"</f>
        <v>KC0566Z5</v>
      </c>
      <c r="B2300" t="str">
        <f>"KIT CABLES Y BUJIAS FERRAZZI COMPETICION FIAT PALIO SIENA FIRE 1.4 "</f>
        <v xml:space="preserve">KIT CABLES Y BUJIAS FERRAZZI COMPETICION FIAT PALIO SIENA FIRE 1.4 </v>
      </c>
      <c r="C2300" t="str">
        <f>"$ 106670,71"</f>
        <v>$ 106670,71</v>
      </c>
      <c r="D2300" t="str">
        <f>"$ 106670,71"</f>
        <v>$ 106670,71</v>
      </c>
      <c r="E2300" t="str">
        <f>"$ 106670,71"</f>
        <v>$ 106670,71</v>
      </c>
      <c r="F2300" t="str">
        <f>"$ 106670,71"</f>
        <v>$ 106670,71</v>
      </c>
      <c r="G2300" t="str">
        <f>"$ 106670,71"</f>
        <v>$ 106670,71</v>
      </c>
      <c r="H2300" t="str">
        <f t="shared" si="1449"/>
        <v>$ 0,00</v>
      </c>
      <c r="I2300" t="str">
        <f>"KIT CABLES COMPETICIÓN Y  BUJIAS IRIDIO"</f>
        <v>KIT CABLES COMPETICIÓN Y  BUJIAS IRIDIO</v>
      </c>
      <c r="J2300" t="str">
        <f t="shared" si="1450"/>
        <v>1</v>
      </c>
      <c r="K2300" t="str">
        <f t="shared" si="1471"/>
        <v>0</v>
      </c>
      <c r="L2300" t="str">
        <f>"1,000"</f>
        <v>1,000</v>
      </c>
      <c r="M2300" t="str">
        <f t="shared" si="1451"/>
        <v xml:space="preserve"> </v>
      </c>
      <c r="N2300" t="str">
        <f t="shared" si="1478"/>
        <v>FERRAZZI</v>
      </c>
      <c r="O2300" t="str">
        <f t="shared" si="1482"/>
        <v>CABLES</v>
      </c>
      <c r="P2300" t="str">
        <f t="shared" si="1479"/>
        <v>0</v>
      </c>
      <c r="Q2300" t="str">
        <f t="shared" si="1479"/>
        <v>0</v>
      </c>
      <c r="R2300" t="str">
        <f t="shared" si="1480"/>
        <v>0,00</v>
      </c>
      <c r="S2300" t="str">
        <f t="shared" si="1480"/>
        <v>0,00</v>
      </c>
      <c r="T2300" t="str">
        <f t="shared" si="1448"/>
        <v xml:space="preserve"> </v>
      </c>
      <c r="U2300" t="str">
        <f t="shared" si="1470"/>
        <v xml:space="preserve"> </v>
      </c>
      <c r="V2300" t="str">
        <f>"1,000"</f>
        <v>1,000</v>
      </c>
      <c r="W2300" t="str">
        <f t="shared" si="1454"/>
        <v>Lista 4</v>
      </c>
      <c r="X2300" t="str">
        <f t="shared" si="1455"/>
        <v>Lista 5</v>
      </c>
      <c r="Y2300" t="str">
        <f t="shared" si="1456"/>
        <v>Oferta Gral.</v>
      </c>
      <c r="Z2300" t="str">
        <f t="shared" si="1457"/>
        <v>Rubro</v>
      </c>
      <c r="AA2300" t="str">
        <f t="shared" si="1458"/>
        <v>Cantidad por Bulto</v>
      </c>
      <c r="AB2300" t="str">
        <f t="shared" si="1459"/>
        <v>INNER</v>
      </c>
      <c r="AC2300" t="str">
        <f t="shared" si="1460"/>
        <v>Stock en Bultos</v>
      </c>
      <c r="AD2300" t="str">
        <f t="shared" si="1461"/>
        <v>SubDepósito</v>
      </c>
      <c r="AE2300" t="str">
        <f t="shared" si="1462"/>
        <v>Marca</v>
      </c>
      <c r="AF2300" t="str">
        <f t="shared" si="1463"/>
        <v>Super Rubro</v>
      </c>
      <c r="AG2300" t="str">
        <f t="shared" si="1464"/>
        <v>ComercioExterior</v>
      </c>
      <c r="AH2300" t="str">
        <f t="shared" si="1465"/>
        <v>PrecioFOB</v>
      </c>
      <c r="AI2300" t="str">
        <f t="shared" si="1466"/>
        <v>Monto II</v>
      </c>
      <c r="AJ2300" t="str">
        <f t="shared" si="1467"/>
        <v>Porcentaje II</v>
      </c>
      <c r="AK2300" t="str">
        <f t="shared" si="1468"/>
        <v>Foto</v>
      </c>
      <c r="AL2300" t="str">
        <f>"{\rtf1\ansi\ansicpg1252\deff0\deflang11274{\fonttbl{\f0\fnil\fcharset0 MS Sans Serif}} \viewkind4\uc1\pard\f0\fs16 KIT CABLES Y BUJIAS FERRAZZI COMPETICION FIAT PALIO SIENA FIRE 1.4 \par } "</f>
        <v xml:space="preserve">{\rtf1\ansi\ansicpg1252\deff0\deflang11274{\fonttbl{\f0\fnil\fcharset0 MS Sans Serif}} \viewkind4\uc1\pard\f0\fs16 KIT CABLES Y BUJIAS FERRAZZI COMPETICION FIAT PALIO SIENA FIRE 1.4 \par } </v>
      </c>
      <c r="AM2300" t="str">
        <f>"-"</f>
        <v>-</v>
      </c>
    </row>
    <row r="2301" spans="1:39" x14ac:dyDescent="0.25">
      <c r="A2301" t="str">
        <f>"KS0339Z5"</f>
        <v>KS0339Z5</v>
      </c>
      <c r="B2301" t="str">
        <f>"KIT CABLES Y BUJIAS FERRAZZI SUPERIOR VW FOX SURAN GOL TREND GOLF 1.6"</f>
        <v>KIT CABLES Y BUJIAS FERRAZZI SUPERIOR VW FOX SURAN GOL TREND GOLF 1.6</v>
      </c>
      <c r="C2301" t="str">
        <f>"$ 49812,48"</f>
        <v>$ 49812,48</v>
      </c>
      <c r="D2301" t="str">
        <f>"$ 49812,48"</f>
        <v>$ 49812,48</v>
      </c>
      <c r="E2301" t="str">
        <f>"$ 49812,48"</f>
        <v>$ 49812,48</v>
      </c>
      <c r="F2301" t="str">
        <f>"$ 49812,48"</f>
        <v>$ 49812,48</v>
      </c>
      <c r="G2301" t="str">
        <f>"$ 49812,48"</f>
        <v>$ 49812,48</v>
      </c>
      <c r="H2301" t="str">
        <f t="shared" si="1449"/>
        <v>$ 0,00</v>
      </c>
      <c r="I2301" t="str">
        <f>"KIT CABLES SILICONA Y BUJIAS COBRE"</f>
        <v>KIT CABLES SILICONA Y BUJIAS COBRE</v>
      </c>
      <c r="J2301" t="str">
        <f t="shared" si="1450"/>
        <v>1</v>
      </c>
      <c r="K2301" t="str">
        <f t="shared" si="1471"/>
        <v>0</v>
      </c>
      <c r="L2301" t="str">
        <f>"60,000"</f>
        <v>60,000</v>
      </c>
      <c r="M2301" t="str">
        <f t="shared" si="1451"/>
        <v xml:space="preserve"> </v>
      </c>
      <c r="N2301" t="str">
        <f t="shared" si="1478"/>
        <v>FERRAZZI</v>
      </c>
      <c r="O2301" t="str">
        <f t="shared" si="1482"/>
        <v>CABLES</v>
      </c>
      <c r="P2301" t="str">
        <f t="shared" si="1479"/>
        <v>0</v>
      </c>
      <c r="Q2301" t="str">
        <f t="shared" si="1479"/>
        <v>0</v>
      </c>
      <c r="R2301" t="str">
        <f t="shared" si="1480"/>
        <v>0,00</v>
      </c>
      <c r="S2301" t="str">
        <f t="shared" si="1480"/>
        <v>0,00</v>
      </c>
      <c r="T2301" t="str">
        <f t="shared" si="1448"/>
        <v xml:space="preserve"> </v>
      </c>
      <c r="U2301" t="str">
        <f t="shared" si="1470"/>
        <v xml:space="preserve"> </v>
      </c>
      <c r="V2301" t="str">
        <f>"60,000"</f>
        <v>60,000</v>
      </c>
      <c r="W2301" t="str">
        <f t="shared" si="1454"/>
        <v>Lista 4</v>
      </c>
      <c r="X2301" t="str">
        <f t="shared" si="1455"/>
        <v>Lista 5</v>
      </c>
      <c r="Y2301" t="str">
        <f t="shared" si="1456"/>
        <v>Oferta Gral.</v>
      </c>
      <c r="Z2301" t="str">
        <f t="shared" si="1457"/>
        <v>Rubro</v>
      </c>
      <c r="AA2301" t="str">
        <f t="shared" si="1458"/>
        <v>Cantidad por Bulto</v>
      </c>
      <c r="AB2301" t="str">
        <f t="shared" si="1459"/>
        <v>INNER</v>
      </c>
      <c r="AC2301" t="str">
        <f t="shared" si="1460"/>
        <v>Stock en Bultos</v>
      </c>
      <c r="AD2301" t="str">
        <f t="shared" si="1461"/>
        <v>SubDepósito</v>
      </c>
      <c r="AE2301" t="str">
        <f t="shared" si="1462"/>
        <v>Marca</v>
      </c>
      <c r="AF2301" t="str">
        <f t="shared" si="1463"/>
        <v>Super Rubro</v>
      </c>
      <c r="AG2301" t="str">
        <f t="shared" si="1464"/>
        <v>ComercioExterior</v>
      </c>
      <c r="AH2301" t="str">
        <f t="shared" si="1465"/>
        <v>PrecioFOB</v>
      </c>
      <c r="AI2301" t="str">
        <f t="shared" si="1466"/>
        <v>Monto II</v>
      </c>
      <c r="AJ2301" t="str">
        <f t="shared" si="1467"/>
        <v>Porcentaje II</v>
      </c>
      <c r="AK2301" t="str">
        <f t="shared" si="1468"/>
        <v>Foto</v>
      </c>
      <c r="AL230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01" t="str">
        <f>" "</f>
        <v xml:space="preserve"> </v>
      </c>
    </row>
    <row r="2302" spans="1:39" x14ac:dyDescent="0.25">
      <c r="A2302" t="str">
        <f>"L207"</f>
        <v>L207</v>
      </c>
      <c r="B2302" t="str">
        <f>"KIT CABLES Y BUJIAS LUCAS RENAULT CLIO 1.2 16V D4F"</f>
        <v>KIT CABLES Y BUJIAS LUCAS RENAULT CLIO 1.2 16V D4F</v>
      </c>
      <c r="C2302" t="str">
        <f>"$ 48999,95"</f>
        <v>$ 48999,95</v>
      </c>
      <c r="D2302" t="str">
        <f>"$ 48999,95"</f>
        <v>$ 48999,95</v>
      </c>
      <c r="E2302" t="str">
        <f>"$ 48999,95"</f>
        <v>$ 48999,95</v>
      </c>
      <c r="F2302" t="str">
        <f>"$ 48999,95"</f>
        <v>$ 48999,95</v>
      </c>
      <c r="G2302" t="str">
        <f>"$ 48999,95"</f>
        <v>$ 48999,95</v>
      </c>
      <c r="H2302" t="str">
        <f t="shared" si="1449"/>
        <v>$ 0,00</v>
      </c>
      <c r="I2302" t="str">
        <f>"KIT CABLES SILICONA Y BUJIAS COBRE"</f>
        <v>KIT CABLES SILICONA Y BUJIAS COBRE</v>
      </c>
      <c r="J2302" t="str">
        <f t="shared" si="1450"/>
        <v>1</v>
      </c>
      <c r="K2302" t="str">
        <f t="shared" si="1471"/>
        <v>0</v>
      </c>
      <c r="L2302" t="str">
        <f>"0,000"</f>
        <v>0,000</v>
      </c>
      <c r="M2302" t="str">
        <f t="shared" si="1451"/>
        <v xml:space="preserve"> </v>
      </c>
      <c r="N2302" t="str">
        <f>"LUCAS"</f>
        <v>LUCAS</v>
      </c>
      <c r="O2302" t="str">
        <f t="shared" si="1482"/>
        <v>CABLES</v>
      </c>
      <c r="P2302" t="str">
        <f t="shared" si="1479"/>
        <v>0</v>
      </c>
      <c r="Q2302" t="str">
        <f t="shared" si="1479"/>
        <v>0</v>
      </c>
      <c r="R2302" t="str">
        <f t="shared" si="1480"/>
        <v>0,00</v>
      </c>
      <c r="S2302" t="str">
        <f t="shared" si="1480"/>
        <v>0,00</v>
      </c>
      <c r="T2302" t="str">
        <f t="shared" si="1448"/>
        <v xml:space="preserve"> </v>
      </c>
      <c r="U2302" t="str">
        <f t="shared" si="1470"/>
        <v xml:space="preserve"> </v>
      </c>
      <c r="V2302" t="str">
        <f>"0,000"</f>
        <v>0,000</v>
      </c>
      <c r="W2302" t="str">
        <f t="shared" si="1454"/>
        <v>Lista 4</v>
      </c>
      <c r="X2302" t="str">
        <f t="shared" si="1455"/>
        <v>Lista 5</v>
      </c>
      <c r="Y2302" t="str">
        <f t="shared" si="1456"/>
        <v>Oferta Gral.</v>
      </c>
      <c r="Z2302" t="str">
        <f t="shared" si="1457"/>
        <v>Rubro</v>
      </c>
      <c r="AA2302" t="str">
        <f t="shared" si="1458"/>
        <v>Cantidad por Bulto</v>
      </c>
      <c r="AB2302" t="str">
        <f t="shared" si="1459"/>
        <v>INNER</v>
      </c>
      <c r="AC2302" t="str">
        <f t="shared" si="1460"/>
        <v>Stock en Bultos</v>
      </c>
      <c r="AD2302" t="str">
        <f t="shared" si="1461"/>
        <v>SubDepósito</v>
      </c>
      <c r="AE2302" t="str">
        <f t="shared" si="1462"/>
        <v>Marca</v>
      </c>
      <c r="AF2302" t="str">
        <f t="shared" si="1463"/>
        <v>Super Rubro</v>
      </c>
      <c r="AG2302" t="str">
        <f t="shared" si="1464"/>
        <v>ComercioExterior</v>
      </c>
      <c r="AH2302" t="str">
        <f t="shared" si="1465"/>
        <v>PrecioFOB</v>
      </c>
      <c r="AI2302" t="str">
        <f t="shared" si="1466"/>
        <v>Monto II</v>
      </c>
      <c r="AJ2302" t="str">
        <f t="shared" si="1467"/>
        <v>Porcentaje II</v>
      </c>
      <c r="AK2302" t="str">
        <f t="shared" si="1468"/>
        <v>Foto</v>
      </c>
      <c r="AL230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02" t="str">
        <f>" "</f>
        <v xml:space="preserve"> </v>
      </c>
    </row>
    <row r="2303" spans="1:39" x14ac:dyDescent="0.25">
      <c r="A2303" t="str">
        <f>"KMED45"</f>
        <v>KMED45</v>
      </c>
      <c r="B2303" t="str">
        <f>"KIT COMPETICION MOTO BOBINA CABLE EXTREME 130 GRADOS LARGO"</f>
        <v>KIT COMPETICION MOTO BOBINA CABLE EXTREME 130 GRADOS LARGO</v>
      </c>
      <c r="C2303" t="str">
        <f t="shared" ref="C2303:G2305" si="1484">"$ 63595,32"</f>
        <v>$ 63595,32</v>
      </c>
      <c r="D2303" t="str">
        <f t="shared" si="1484"/>
        <v>$ 63595,32</v>
      </c>
      <c r="E2303" t="str">
        <f t="shared" si="1484"/>
        <v>$ 63595,32</v>
      </c>
      <c r="F2303" t="str">
        <f t="shared" si="1484"/>
        <v>$ 63595,32</v>
      </c>
      <c r="G2303" t="str">
        <f t="shared" si="1484"/>
        <v>$ 63595,32</v>
      </c>
      <c r="H2303" t="str">
        <f t="shared" si="1449"/>
        <v>$ 0,00</v>
      </c>
      <c r="I2303" t="str">
        <f>"BOBINAS DE ENCEND. COMPETICION"</f>
        <v>BOBINAS DE ENCEND. COMPETICION</v>
      </c>
      <c r="J2303" t="str">
        <f t="shared" si="1450"/>
        <v>1</v>
      </c>
      <c r="K2303" t="str">
        <f t="shared" si="1471"/>
        <v>0</v>
      </c>
      <c r="L2303" t="str">
        <f>"0,000"</f>
        <v>0,000</v>
      </c>
      <c r="M2303" t="str">
        <f t="shared" si="1451"/>
        <v xml:space="preserve"> </v>
      </c>
      <c r="N2303" t="str">
        <f>"FERRAZZI"</f>
        <v>FERRAZZI</v>
      </c>
      <c r="O2303" t="str">
        <f>"BOBINAS"</f>
        <v>BOBINAS</v>
      </c>
      <c r="P2303" t="str">
        <f t="shared" ref="P2303:Q2322" si="1485">"0"</f>
        <v>0</v>
      </c>
      <c r="Q2303" t="str">
        <f t="shared" si="1485"/>
        <v>0</v>
      </c>
      <c r="R2303" t="str">
        <f t="shared" ref="R2303:S2322" si="1486">"0,00"</f>
        <v>0,00</v>
      </c>
      <c r="S2303" t="str">
        <f t="shared" si="1486"/>
        <v>0,00</v>
      </c>
      <c r="T2303" t="str">
        <f t="shared" si="1448"/>
        <v xml:space="preserve"> </v>
      </c>
      <c r="U2303" t="str">
        <f t="shared" si="1470"/>
        <v xml:space="preserve"> </v>
      </c>
      <c r="V2303" t="str">
        <f>"0,000"</f>
        <v>0,000</v>
      </c>
      <c r="W2303" t="str">
        <f t="shared" si="1454"/>
        <v>Lista 4</v>
      </c>
      <c r="X2303" t="str">
        <f t="shared" si="1455"/>
        <v>Lista 5</v>
      </c>
      <c r="Y2303" t="str">
        <f t="shared" si="1456"/>
        <v>Oferta Gral.</v>
      </c>
      <c r="Z2303" t="str">
        <f t="shared" si="1457"/>
        <v>Rubro</v>
      </c>
      <c r="AA2303" t="str">
        <f t="shared" si="1458"/>
        <v>Cantidad por Bulto</v>
      </c>
      <c r="AB2303" t="str">
        <f t="shared" si="1459"/>
        <v>INNER</v>
      </c>
      <c r="AC2303" t="str">
        <f t="shared" si="1460"/>
        <v>Stock en Bultos</v>
      </c>
      <c r="AD2303" t="str">
        <f t="shared" si="1461"/>
        <v>SubDepósito</v>
      </c>
      <c r="AE2303" t="str">
        <f t="shared" si="1462"/>
        <v>Marca</v>
      </c>
      <c r="AF2303" t="str">
        <f t="shared" si="1463"/>
        <v>Super Rubro</v>
      </c>
      <c r="AG2303" t="str">
        <f t="shared" si="1464"/>
        <v>ComercioExterior</v>
      </c>
      <c r="AH2303" t="str">
        <f t="shared" si="1465"/>
        <v>PrecioFOB</v>
      </c>
      <c r="AI2303" t="str">
        <f t="shared" si="1466"/>
        <v>Monto II</v>
      </c>
      <c r="AJ2303" t="str">
        <f t="shared" si="1467"/>
        <v>Porcentaje II</v>
      </c>
      <c r="AK2303" t="str">
        <f t="shared" si="1468"/>
        <v>Foto</v>
      </c>
      <c r="AL2303" t="str">
        <f>"{\rtf1\ansi\ansicpg1252\deff0\deflang11274{\fonttbl{\f0\fnil\fcharset0 MS Sans Serif}} \viewkind4\uc1\pard\f0\fs16 KIT COMPETICION MOTO BOBINA CABLE EXTREME 130 GRADOS LARGO\par } "</f>
        <v xml:space="preserve">{\rtf1\ansi\ansicpg1252\deff0\deflang11274{\fonttbl{\f0\fnil\fcharset0 MS Sans Serif}} \viewkind4\uc1\pard\f0\fs16 KIT COMPETICION MOTO BOBINA CABLE EXTREME 130 GRADOS LARGO\par } </v>
      </c>
      <c r="AM2303" t="str">
        <f>"-"</f>
        <v>-</v>
      </c>
    </row>
    <row r="2304" spans="1:39" x14ac:dyDescent="0.25">
      <c r="A2304" t="str">
        <f>"KMEA45"</f>
        <v>KMEA45</v>
      </c>
      <c r="B2304" t="str">
        <f>"KIT COMPETICION MOTO BOBINA CABLE EXTREME 180 GRADOS"</f>
        <v>KIT COMPETICION MOTO BOBINA CABLE EXTREME 180 GRADOS</v>
      </c>
      <c r="C2304" t="str">
        <f t="shared" si="1484"/>
        <v>$ 63595,32</v>
      </c>
      <c r="D2304" t="str">
        <f t="shared" si="1484"/>
        <v>$ 63595,32</v>
      </c>
      <c r="E2304" t="str">
        <f t="shared" si="1484"/>
        <v>$ 63595,32</v>
      </c>
      <c r="F2304" t="str">
        <f t="shared" si="1484"/>
        <v>$ 63595,32</v>
      </c>
      <c r="G2304" t="str">
        <f t="shared" si="1484"/>
        <v>$ 63595,32</v>
      </c>
      <c r="H2304" t="str">
        <f t="shared" si="1449"/>
        <v>$ 0,00</v>
      </c>
      <c r="I2304" t="str">
        <f>"BOBINAS DE ENCEND. COMPETICION"</f>
        <v>BOBINAS DE ENCEND. COMPETICION</v>
      </c>
      <c r="J2304" t="str">
        <f t="shared" si="1450"/>
        <v>1</v>
      </c>
      <c r="K2304" t="str">
        <f t="shared" si="1471"/>
        <v>0</v>
      </c>
      <c r="L2304" t="str">
        <f>"54,000"</f>
        <v>54,000</v>
      </c>
      <c r="M2304" t="str">
        <f t="shared" si="1451"/>
        <v xml:space="preserve"> </v>
      </c>
      <c r="N2304" t="str">
        <f>"FERRAZZI"</f>
        <v>FERRAZZI</v>
      </c>
      <c r="O2304" t="str">
        <f>"BOBINAS"</f>
        <v>BOBINAS</v>
      </c>
      <c r="P2304" t="str">
        <f t="shared" si="1485"/>
        <v>0</v>
      </c>
      <c r="Q2304" t="str">
        <f t="shared" si="1485"/>
        <v>0</v>
      </c>
      <c r="R2304" t="str">
        <f t="shared" si="1486"/>
        <v>0,00</v>
      </c>
      <c r="S2304" t="str">
        <f t="shared" si="1486"/>
        <v>0,00</v>
      </c>
      <c r="T2304" t="str">
        <f t="shared" si="1448"/>
        <v xml:space="preserve"> </v>
      </c>
      <c r="U2304" t="str">
        <f t="shared" si="1470"/>
        <v xml:space="preserve"> </v>
      </c>
      <c r="V2304" t="str">
        <f>"54,000"</f>
        <v>54,000</v>
      </c>
      <c r="W2304" t="str">
        <f t="shared" si="1454"/>
        <v>Lista 4</v>
      </c>
      <c r="X2304" t="str">
        <f t="shared" si="1455"/>
        <v>Lista 5</v>
      </c>
      <c r="Y2304" t="str">
        <f t="shared" si="1456"/>
        <v>Oferta Gral.</v>
      </c>
      <c r="Z2304" t="str">
        <f t="shared" si="1457"/>
        <v>Rubro</v>
      </c>
      <c r="AA2304" t="str">
        <f t="shared" si="1458"/>
        <v>Cantidad por Bulto</v>
      </c>
      <c r="AB2304" t="str">
        <f t="shared" si="1459"/>
        <v>INNER</v>
      </c>
      <c r="AC2304" t="str">
        <f t="shared" si="1460"/>
        <v>Stock en Bultos</v>
      </c>
      <c r="AD2304" t="str">
        <f t="shared" si="1461"/>
        <v>SubDepósito</v>
      </c>
      <c r="AE2304" t="str">
        <f t="shared" si="1462"/>
        <v>Marca</v>
      </c>
      <c r="AF2304" t="str">
        <f t="shared" si="1463"/>
        <v>Super Rubro</v>
      </c>
      <c r="AG2304" t="str">
        <f t="shared" si="1464"/>
        <v>ComercioExterior</v>
      </c>
      <c r="AH2304" t="str">
        <f t="shared" si="1465"/>
        <v>PrecioFOB</v>
      </c>
      <c r="AI2304" t="str">
        <f t="shared" si="1466"/>
        <v>Monto II</v>
      </c>
      <c r="AJ2304" t="str">
        <f t="shared" si="1467"/>
        <v>Porcentaje II</v>
      </c>
      <c r="AK2304" t="str">
        <f t="shared" si="1468"/>
        <v>Foto</v>
      </c>
      <c r="AL2304" t="str">
        <f>"{\rtf1\ansi\ansicpg1252\deff0\deflang11274{\fonttbl{\f0\fnil\fcharset0 MS Sans Serif}} \viewkind4\uc1\pard\f0\fs16 KIT COMPETICION MOTO BOBINA CABLE EXTREME 180 GRADOS\par } "</f>
        <v xml:space="preserve">{\rtf1\ansi\ansicpg1252\deff0\deflang11274{\fonttbl{\f0\fnil\fcharset0 MS Sans Serif}} \viewkind4\uc1\pard\f0\fs16 KIT COMPETICION MOTO BOBINA CABLE EXTREME 180 GRADOS\par } </v>
      </c>
      <c r="AM2304" t="str">
        <f>" "</f>
        <v xml:space="preserve"> </v>
      </c>
    </row>
    <row r="2305" spans="1:39" x14ac:dyDescent="0.25">
      <c r="A2305" t="str">
        <f>"KMEB45"</f>
        <v>KMEB45</v>
      </c>
      <c r="B2305" t="str">
        <f>"KIT COMPETICION MOTO BOBINA CABLE EXTREME 90 GRADOS"</f>
        <v>KIT COMPETICION MOTO BOBINA CABLE EXTREME 90 GRADOS</v>
      </c>
      <c r="C2305" t="str">
        <f t="shared" si="1484"/>
        <v>$ 63595,32</v>
      </c>
      <c r="D2305" t="str">
        <f t="shared" si="1484"/>
        <v>$ 63595,32</v>
      </c>
      <c r="E2305" t="str">
        <f t="shared" si="1484"/>
        <v>$ 63595,32</v>
      </c>
      <c r="F2305" t="str">
        <f t="shared" si="1484"/>
        <v>$ 63595,32</v>
      </c>
      <c r="G2305" t="str">
        <f t="shared" si="1484"/>
        <v>$ 63595,32</v>
      </c>
      <c r="H2305" t="str">
        <f t="shared" si="1449"/>
        <v>$ 0,00</v>
      </c>
      <c r="I2305" t="str">
        <f>"BOBINAS DE ENCEND. COMPETICION"</f>
        <v>BOBINAS DE ENCEND. COMPETICION</v>
      </c>
      <c r="J2305" t="str">
        <f t="shared" si="1450"/>
        <v>1</v>
      </c>
      <c r="K2305" t="str">
        <f t="shared" si="1471"/>
        <v>0</v>
      </c>
      <c r="L2305" t="str">
        <f>"116,000"</f>
        <v>116,000</v>
      </c>
      <c r="M2305" t="str">
        <f t="shared" si="1451"/>
        <v xml:space="preserve"> </v>
      </c>
      <c r="N2305" t="str">
        <f>"FERRAZZI"</f>
        <v>FERRAZZI</v>
      </c>
      <c r="O2305" t="str">
        <f>"BOBINAS"</f>
        <v>BOBINAS</v>
      </c>
      <c r="P2305" t="str">
        <f t="shared" si="1485"/>
        <v>0</v>
      </c>
      <c r="Q2305" t="str">
        <f t="shared" si="1485"/>
        <v>0</v>
      </c>
      <c r="R2305" t="str">
        <f t="shared" si="1486"/>
        <v>0,00</v>
      </c>
      <c r="S2305" t="str">
        <f t="shared" si="1486"/>
        <v>0,00</v>
      </c>
      <c r="T2305" t="str">
        <f t="shared" si="1448"/>
        <v xml:space="preserve"> </v>
      </c>
      <c r="U2305" t="str">
        <f t="shared" si="1470"/>
        <v xml:space="preserve"> </v>
      </c>
      <c r="V2305" t="str">
        <f>"116,000"</f>
        <v>116,000</v>
      </c>
      <c r="W2305" t="str">
        <f t="shared" si="1454"/>
        <v>Lista 4</v>
      </c>
      <c r="X2305" t="str">
        <f t="shared" si="1455"/>
        <v>Lista 5</v>
      </c>
      <c r="Y2305" t="str">
        <f t="shared" si="1456"/>
        <v>Oferta Gral.</v>
      </c>
      <c r="Z2305" t="str">
        <f t="shared" si="1457"/>
        <v>Rubro</v>
      </c>
      <c r="AA2305" t="str">
        <f t="shared" si="1458"/>
        <v>Cantidad por Bulto</v>
      </c>
      <c r="AB2305" t="str">
        <f t="shared" si="1459"/>
        <v>INNER</v>
      </c>
      <c r="AC2305" t="str">
        <f t="shared" si="1460"/>
        <v>Stock en Bultos</v>
      </c>
      <c r="AD2305" t="str">
        <f t="shared" si="1461"/>
        <v>SubDepósito</v>
      </c>
      <c r="AE2305" t="str">
        <f t="shared" si="1462"/>
        <v>Marca</v>
      </c>
      <c r="AF2305" t="str">
        <f t="shared" si="1463"/>
        <v>Super Rubro</v>
      </c>
      <c r="AG2305" t="str">
        <f t="shared" si="1464"/>
        <v>ComercioExterior</v>
      </c>
      <c r="AH2305" t="str">
        <f t="shared" si="1465"/>
        <v>PrecioFOB</v>
      </c>
      <c r="AI2305" t="str">
        <f t="shared" si="1466"/>
        <v>Monto II</v>
      </c>
      <c r="AJ2305" t="str">
        <f t="shared" si="1467"/>
        <v>Porcentaje II</v>
      </c>
      <c r="AK2305" t="str">
        <f t="shared" si="1468"/>
        <v>Foto</v>
      </c>
      <c r="AL2305" t="str">
        <f>"{\rtf1\ansi\ansicpg1252\deff0\deflang11274{\fonttbl{\f0\fnil\fcharset0 MS Sans Serif}} \viewkind4\uc1\pard\f0\fs16 KIT COMPETICION MOTO BOBINA CABLE EXTREME 90 GRADOS\par } "</f>
        <v xml:space="preserve">{\rtf1\ansi\ansicpg1252\deff0\deflang11274{\fonttbl{\f0\fnil\fcharset0 MS Sans Serif}} \viewkind4\uc1\pard\f0\fs16 KIT COMPETICION MOTO BOBINA CABLE EXTREME 90 GRADOS\par } </v>
      </c>
      <c r="AM2305" t="str">
        <f>" "</f>
        <v xml:space="preserve"> </v>
      </c>
    </row>
    <row r="2306" spans="1:39" x14ac:dyDescent="0.25">
      <c r="A2306" t="str">
        <f>"H4S64D"</f>
        <v>H4S64D</v>
      </c>
      <c r="B2306" t="str">
        <f>"KIT CREELED H4 S6 4D REVOLUTION"</f>
        <v>KIT CREELED H4 S6 4D REVOLUTION</v>
      </c>
      <c r="C2306" t="str">
        <f>"$ 20692,87"</f>
        <v>$ 20692,87</v>
      </c>
      <c r="D2306" t="str">
        <f>"$ 20692,87"</f>
        <v>$ 20692,87</v>
      </c>
      <c r="E2306" t="str">
        <f>"$ 20692,87"</f>
        <v>$ 20692,87</v>
      </c>
      <c r="F2306" t="str">
        <f>"$ 20692,87"</f>
        <v>$ 20692,87</v>
      </c>
      <c r="G2306" t="str">
        <f>"$ 20692,87"</f>
        <v>$ 20692,87</v>
      </c>
      <c r="H2306" t="str">
        <f t="shared" si="1449"/>
        <v>$ 0,00</v>
      </c>
      <c r="I2306" t="str">
        <f>"CREE LED "</f>
        <v xml:space="preserve">CREE LED </v>
      </c>
      <c r="J2306" t="str">
        <f t="shared" si="1450"/>
        <v>1</v>
      </c>
      <c r="K2306" t="str">
        <f t="shared" si="1471"/>
        <v>0</v>
      </c>
      <c r="L2306" t="str">
        <f>"-2,000"</f>
        <v>-2,000</v>
      </c>
      <c r="M2306" t="str">
        <f t="shared" si="1451"/>
        <v xml:space="preserve"> </v>
      </c>
      <c r="N2306" t="str">
        <f>"LUX LED"</f>
        <v>LUX LED</v>
      </c>
      <c r="O2306" t="str">
        <f>"LAMPARAS"</f>
        <v>LAMPARAS</v>
      </c>
      <c r="P2306" t="str">
        <f t="shared" si="1485"/>
        <v>0</v>
      </c>
      <c r="Q2306" t="str">
        <f t="shared" si="1485"/>
        <v>0</v>
      </c>
      <c r="R2306" t="str">
        <f t="shared" si="1486"/>
        <v>0,00</v>
      </c>
      <c r="S2306" t="str">
        <f t="shared" si="1486"/>
        <v>0,00</v>
      </c>
      <c r="T2306" t="str">
        <f t="shared" si="1448"/>
        <v xml:space="preserve"> </v>
      </c>
      <c r="U2306" t="str">
        <f t="shared" si="1470"/>
        <v xml:space="preserve"> </v>
      </c>
      <c r="V2306" t="str">
        <f>"-2,000"</f>
        <v>-2,000</v>
      </c>
      <c r="W2306" t="str">
        <f t="shared" si="1454"/>
        <v>Lista 4</v>
      </c>
      <c r="X2306" t="str">
        <f t="shared" si="1455"/>
        <v>Lista 5</v>
      </c>
      <c r="Y2306" t="str">
        <f t="shared" si="1456"/>
        <v>Oferta Gral.</v>
      </c>
      <c r="Z2306" t="str">
        <f t="shared" si="1457"/>
        <v>Rubro</v>
      </c>
      <c r="AA2306" t="str">
        <f t="shared" si="1458"/>
        <v>Cantidad por Bulto</v>
      </c>
      <c r="AB2306" t="str">
        <f t="shared" si="1459"/>
        <v>INNER</v>
      </c>
      <c r="AC2306" t="str">
        <f t="shared" si="1460"/>
        <v>Stock en Bultos</v>
      </c>
      <c r="AD2306" t="str">
        <f t="shared" si="1461"/>
        <v>SubDepósito</v>
      </c>
      <c r="AE2306" t="str">
        <f t="shared" si="1462"/>
        <v>Marca</v>
      </c>
      <c r="AF2306" t="str">
        <f t="shared" si="1463"/>
        <v>Super Rubro</v>
      </c>
      <c r="AG2306" t="str">
        <f t="shared" si="1464"/>
        <v>ComercioExterior</v>
      </c>
      <c r="AH2306" t="str">
        <f t="shared" si="1465"/>
        <v>PrecioFOB</v>
      </c>
      <c r="AI2306" t="str">
        <f t="shared" si="1466"/>
        <v>Monto II</v>
      </c>
      <c r="AJ2306" t="str">
        <f t="shared" si="1467"/>
        <v>Porcentaje II</v>
      </c>
      <c r="AK2306" t="str">
        <f t="shared" si="1468"/>
        <v>Foto</v>
      </c>
      <c r="AL2306" t="str">
        <f>"{\rtf1\ansi\ansicpg1252\deff0\deflang11274{\fonttbl{\f0\fnil\fcharset0 MS Sans Serif}} \viewkind4\uc1\pard\f0\fs16 KIT CREELED H4 S6 HEAVY DUTY 12 Y 24V\par } "</f>
        <v xml:space="preserve">{\rtf1\ansi\ansicpg1252\deff0\deflang11274{\fonttbl{\f0\fnil\fcharset0 MS Sans Serif}} \viewkind4\uc1\pard\f0\fs16 KIT CREELED H4 S6 HEAVY DUTY 12 Y 24V\par } </v>
      </c>
      <c r="AM2306" t="str">
        <f>"Cree Led H4 Heavy Duty 24v"</f>
        <v>Cree Led H4 Heavy Duty 24v</v>
      </c>
    </row>
    <row r="2307" spans="1:39" x14ac:dyDescent="0.25">
      <c r="A2307" t="str">
        <f>"CREEM5"</f>
        <v>CREEM5</v>
      </c>
      <c r="B2307" t="str">
        <f>"KIT CREELED MOTO"</f>
        <v>KIT CREELED MOTO</v>
      </c>
      <c r="C2307" t="str">
        <f>"$ 7036,20"</f>
        <v>$ 7036,20</v>
      </c>
      <c r="D2307" t="str">
        <f>"$ 7036,20"</f>
        <v>$ 7036,20</v>
      </c>
      <c r="E2307" t="str">
        <f>"$ 7036,20"</f>
        <v>$ 7036,20</v>
      </c>
      <c r="F2307" t="str">
        <f>"$ 7036,20"</f>
        <v>$ 7036,20</v>
      </c>
      <c r="G2307" t="str">
        <f>"$ 7036,20"</f>
        <v>$ 7036,20</v>
      </c>
      <c r="H2307" t="str">
        <f t="shared" ref="H2307:H2370" si="1487">"$ 0,00"</f>
        <v>$ 0,00</v>
      </c>
      <c r="I2307" t="str">
        <f>"CREE LED "</f>
        <v xml:space="preserve">CREE LED </v>
      </c>
      <c r="J2307" t="str">
        <f t="shared" ref="J2307:J2370" si="1488">"1"</f>
        <v>1</v>
      </c>
      <c r="K2307" t="str">
        <f t="shared" si="1471"/>
        <v>0</v>
      </c>
      <c r="L2307" t="str">
        <f>"2,000"</f>
        <v>2,000</v>
      </c>
      <c r="M2307" t="str">
        <f t="shared" ref="M2307:M2370" si="1489">" "</f>
        <v xml:space="preserve"> </v>
      </c>
      <c r="N2307" t="str">
        <f>"LUX LED"</f>
        <v>LUX LED</v>
      </c>
      <c r="O2307" t="str">
        <f>"LAMPARAS"</f>
        <v>LAMPARAS</v>
      </c>
      <c r="P2307" t="str">
        <f t="shared" si="1485"/>
        <v>0</v>
      </c>
      <c r="Q2307" t="str">
        <f t="shared" si="1485"/>
        <v>0</v>
      </c>
      <c r="R2307" t="str">
        <f t="shared" si="1486"/>
        <v>0,00</v>
      </c>
      <c r="S2307" t="str">
        <f t="shared" si="1486"/>
        <v>0,00</v>
      </c>
      <c r="T2307" t="str">
        <f t="shared" si="1448"/>
        <v xml:space="preserve"> </v>
      </c>
      <c r="U2307" t="str">
        <f t="shared" si="1470"/>
        <v xml:space="preserve"> </v>
      </c>
      <c r="V2307" t="str">
        <f>"2,000"</f>
        <v>2,000</v>
      </c>
      <c r="W2307" t="str">
        <f t="shared" ref="W2307:W2370" si="1490">"Lista 4"</f>
        <v>Lista 4</v>
      </c>
      <c r="X2307" t="str">
        <f t="shared" ref="X2307:X2370" si="1491">"Lista 5"</f>
        <v>Lista 5</v>
      </c>
      <c r="Y2307" t="str">
        <f t="shared" ref="Y2307:Y2370" si="1492">"Oferta Gral."</f>
        <v>Oferta Gral.</v>
      </c>
      <c r="Z2307" t="str">
        <f t="shared" ref="Z2307:Z2370" si="1493">"Rubro"</f>
        <v>Rubro</v>
      </c>
      <c r="AA2307" t="str">
        <f t="shared" ref="AA2307:AA2370" si="1494">"Cantidad por Bulto"</f>
        <v>Cantidad por Bulto</v>
      </c>
      <c r="AB2307" t="str">
        <f t="shared" ref="AB2307:AB2370" si="1495">"INNER"</f>
        <v>INNER</v>
      </c>
      <c r="AC2307" t="str">
        <f t="shared" ref="AC2307:AC2370" si="1496">"Stock en Bultos"</f>
        <v>Stock en Bultos</v>
      </c>
      <c r="AD2307" t="str">
        <f t="shared" ref="AD2307:AD2370" si="1497">"SubDepósito"</f>
        <v>SubDepósito</v>
      </c>
      <c r="AE2307" t="str">
        <f t="shared" ref="AE2307:AE2370" si="1498">"Marca"</f>
        <v>Marca</v>
      </c>
      <c r="AF2307" t="str">
        <f t="shared" ref="AF2307:AF2370" si="1499">"Super Rubro"</f>
        <v>Super Rubro</v>
      </c>
      <c r="AG2307" t="str">
        <f t="shared" ref="AG2307:AG2370" si="1500">"ComercioExterior"</f>
        <v>ComercioExterior</v>
      </c>
      <c r="AH2307" t="str">
        <f t="shared" ref="AH2307:AH2370" si="1501">"PrecioFOB"</f>
        <v>PrecioFOB</v>
      </c>
      <c r="AI2307" t="str">
        <f t="shared" ref="AI2307:AI2370" si="1502">"Monto II"</f>
        <v>Monto II</v>
      </c>
      <c r="AJ2307" t="str">
        <f t="shared" ref="AJ2307:AJ2370" si="1503">"Porcentaje II"</f>
        <v>Porcentaje II</v>
      </c>
      <c r="AK2307" t="str">
        <f t="shared" ref="AK2307:AK2370" si="1504">"Foto"</f>
        <v>Foto</v>
      </c>
      <c r="AL2307" t="str">
        <f>"{\rtf1\ansi\ansicpg1252\deff0\deflang11274{\fonttbl{\f0\fnil\fcharset0 MS Sans Serif}} \viewkind4\uc1\pard\f0\fs16 KIT CREELED MOTO\par } "</f>
        <v xml:space="preserve">{\rtf1\ansi\ansicpg1252\deff0\deflang11274{\fonttbl{\f0\fnil\fcharset0 MS Sans Serif}} \viewkind4\uc1\pard\f0\fs16 KIT CREELED MOTO\par } </v>
      </c>
      <c r="AM2307" t="str">
        <f t="shared" ref="AM2307:AM2326" si="1505">" "</f>
        <v xml:space="preserve"> </v>
      </c>
    </row>
    <row r="2308" spans="1:39" x14ac:dyDescent="0.25">
      <c r="A2308" t="str">
        <f>"CCU"</f>
        <v>CCU</v>
      </c>
      <c r="B2308" t="str">
        <f>"KIT DE CIERRE CENTRALIZADO KUBE"</f>
        <v>KIT DE CIERRE CENTRALIZADO KUBE</v>
      </c>
      <c r="C2308" t="str">
        <f>"$ 34693,45"</f>
        <v>$ 34693,45</v>
      </c>
      <c r="D2308" t="str">
        <f>"$ 34693,45"</f>
        <v>$ 34693,45</v>
      </c>
      <c r="E2308" t="str">
        <f>"$ 34693,45"</f>
        <v>$ 34693,45</v>
      </c>
      <c r="F2308" t="str">
        <f>"$ 34693,45"</f>
        <v>$ 34693,45</v>
      </c>
      <c r="G2308" t="str">
        <f>"$ 34693,45"</f>
        <v>$ 34693,45</v>
      </c>
      <c r="H2308" t="str">
        <f t="shared" si="1487"/>
        <v>$ 0,00</v>
      </c>
      <c r="I2308" t="str">
        <f>"CIERRE CENTRALIZADO"</f>
        <v>CIERRE CENTRALIZADO</v>
      </c>
      <c r="J2308" t="str">
        <f t="shared" si="1488"/>
        <v>1</v>
      </c>
      <c r="K2308" t="str">
        <f t="shared" si="1471"/>
        <v>0</v>
      </c>
      <c r="L2308" t="str">
        <f>"0,000"</f>
        <v>0,000</v>
      </c>
      <c r="M2308" t="str">
        <f t="shared" si="1489"/>
        <v xml:space="preserve"> </v>
      </c>
      <c r="N2308" t="str">
        <f>"KUBE"</f>
        <v>KUBE</v>
      </c>
      <c r="O2308" t="str">
        <f>"ALARMAS Y CIERRES CENTRALIZADOS"</f>
        <v>ALARMAS Y CIERRES CENTRALIZADOS</v>
      </c>
      <c r="P2308" t="str">
        <f t="shared" si="1485"/>
        <v>0</v>
      </c>
      <c r="Q2308" t="str">
        <f t="shared" si="1485"/>
        <v>0</v>
      </c>
      <c r="R2308" t="str">
        <f t="shared" si="1486"/>
        <v>0,00</v>
      </c>
      <c r="S2308" t="str">
        <f t="shared" si="1486"/>
        <v>0,00</v>
      </c>
      <c r="T2308" t="str">
        <f t="shared" si="1448"/>
        <v xml:space="preserve"> </v>
      </c>
      <c r="U2308" t="str">
        <f t="shared" si="1470"/>
        <v xml:space="preserve"> </v>
      </c>
      <c r="V2308" t="str">
        <f>"0,000"</f>
        <v>0,000</v>
      </c>
      <c r="W2308" t="str">
        <f t="shared" si="1490"/>
        <v>Lista 4</v>
      </c>
      <c r="X2308" t="str">
        <f t="shared" si="1491"/>
        <v>Lista 5</v>
      </c>
      <c r="Y2308" t="str">
        <f t="shared" si="1492"/>
        <v>Oferta Gral.</v>
      </c>
      <c r="Z2308" t="str">
        <f t="shared" si="1493"/>
        <v>Rubro</v>
      </c>
      <c r="AA2308" t="str">
        <f t="shared" si="1494"/>
        <v>Cantidad por Bulto</v>
      </c>
      <c r="AB2308" t="str">
        <f t="shared" si="1495"/>
        <v>INNER</v>
      </c>
      <c r="AC2308" t="str">
        <f t="shared" si="1496"/>
        <v>Stock en Bultos</v>
      </c>
      <c r="AD2308" t="str">
        <f t="shared" si="1497"/>
        <v>SubDepósito</v>
      </c>
      <c r="AE2308" t="str">
        <f t="shared" si="1498"/>
        <v>Marca</v>
      </c>
      <c r="AF2308" t="str">
        <f t="shared" si="1499"/>
        <v>Super Rubro</v>
      </c>
      <c r="AG2308" t="str">
        <f t="shared" si="1500"/>
        <v>ComercioExterior</v>
      </c>
      <c r="AH2308" t="str">
        <f t="shared" si="1501"/>
        <v>PrecioFOB</v>
      </c>
      <c r="AI2308" t="str">
        <f t="shared" si="1502"/>
        <v>Monto II</v>
      </c>
      <c r="AJ2308" t="str">
        <f t="shared" si="1503"/>
        <v>Porcentaje II</v>
      </c>
      <c r="AK2308" t="str">
        <f t="shared" si="1504"/>
        <v>Foto</v>
      </c>
      <c r="AL2308" t="str">
        <f>"{\rtf1\ansi\ansicpg1252\deff0\deflang11274{\fonttbl{\f0\fnil\fcharset0 MS Sans Serif}} \viewkind4\uc1\pard\f0\fs16 KIT DE CIERRE CENTRALIZADO KUBE\par } "</f>
        <v xml:space="preserve">{\rtf1\ansi\ansicpg1252\deff0\deflang11274{\fonttbl{\f0\fnil\fcharset0 MS Sans Serif}} \viewkind4\uc1\pard\f0\fs16 KIT DE CIERRE CENTRALIZADO KUBE\par } </v>
      </c>
      <c r="AM2308" t="str">
        <f t="shared" si="1505"/>
        <v xml:space="preserve"> </v>
      </c>
    </row>
    <row r="2309" spans="1:39" x14ac:dyDescent="0.25">
      <c r="A2309" t="str">
        <f>"FM010367"</f>
        <v>FM010367</v>
      </c>
      <c r="B2309" t="str">
        <f>"KIT DE DISTRIBUCION ASTRA 2.0 8V 146 X 20 "</f>
        <v xml:space="preserve">KIT DE DISTRIBUCION ASTRA 2.0 8V 146 X 20 </v>
      </c>
      <c r="C2309" t="str">
        <f>"$ 77082,87"</f>
        <v>$ 77082,87</v>
      </c>
      <c r="D2309" t="str">
        <f>"$ 77082,87"</f>
        <v>$ 77082,87</v>
      </c>
      <c r="E2309" t="str">
        <f>"$ 77082,87"</f>
        <v>$ 77082,87</v>
      </c>
      <c r="F2309" t="str">
        <f>"$ 77082,87"</f>
        <v>$ 77082,87</v>
      </c>
      <c r="G2309" t="str">
        <f>"$ 77082,87"</f>
        <v>$ 77082,87</v>
      </c>
      <c r="H2309" t="str">
        <f t="shared" si="1487"/>
        <v>$ 0,00</v>
      </c>
      <c r="I2309" t="str">
        <f>"KIT DE DISTRIBUCION MICHELIN"</f>
        <v>KIT DE DISTRIBUCION MICHELIN</v>
      </c>
      <c r="J2309" t="str">
        <f t="shared" si="1488"/>
        <v>1</v>
      </c>
      <c r="K2309" t="str">
        <f t="shared" si="1471"/>
        <v>0</v>
      </c>
      <c r="L2309" t="str">
        <f>"10,000"</f>
        <v>10,000</v>
      </c>
      <c r="M2309" t="str">
        <f t="shared" si="1489"/>
        <v xml:space="preserve"> </v>
      </c>
      <c r="N2309" t="str">
        <f>"MICHELIN"</f>
        <v>MICHELIN</v>
      </c>
      <c r="O2309" t="str">
        <f t="shared" ref="O2309:O2340" si="1506">"DISTRIBUCION"</f>
        <v>DISTRIBUCION</v>
      </c>
      <c r="P2309" t="str">
        <f t="shared" si="1485"/>
        <v>0</v>
      </c>
      <c r="Q2309" t="str">
        <f t="shared" si="1485"/>
        <v>0</v>
      </c>
      <c r="R2309" t="str">
        <f t="shared" si="1486"/>
        <v>0,00</v>
      </c>
      <c r="S2309" t="str">
        <f t="shared" si="1486"/>
        <v>0,00</v>
      </c>
      <c r="T2309" t="str">
        <f t="shared" ref="T2309:U2311" si="1507">"-"</f>
        <v>-</v>
      </c>
      <c r="U2309" t="str">
        <f t="shared" si="1507"/>
        <v>-</v>
      </c>
      <c r="V2309" t="str">
        <f>"10,000"</f>
        <v>10,000</v>
      </c>
      <c r="W2309" t="str">
        <f t="shared" si="1490"/>
        <v>Lista 4</v>
      </c>
      <c r="X2309" t="str">
        <f t="shared" si="1491"/>
        <v>Lista 5</v>
      </c>
      <c r="Y2309" t="str">
        <f t="shared" si="1492"/>
        <v>Oferta Gral.</v>
      </c>
      <c r="Z2309" t="str">
        <f t="shared" si="1493"/>
        <v>Rubro</v>
      </c>
      <c r="AA2309" t="str">
        <f t="shared" si="1494"/>
        <v>Cantidad por Bulto</v>
      </c>
      <c r="AB2309" t="str">
        <f t="shared" si="1495"/>
        <v>INNER</v>
      </c>
      <c r="AC2309" t="str">
        <f t="shared" si="1496"/>
        <v>Stock en Bultos</v>
      </c>
      <c r="AD2309" t="str">
        <f t="shared" si="1497"/>
        <v>SubDepósito</v>
      </c>
      <c r="AE2309" t="str">
        <f t="shared" si="1498"/>
        <v>Marca</v>
      </c>
      <c r="AF2309" t="str">
        <f t="shared" si="1499"/>
        <v>Super Rubro</v>
      </c>
      <c r="AG2309" t="str">
        <f t="shared" si="1500"/>
        <v>ComercioExterior</v>
      </c>
      <c r="AH2309" t="str">
        <f t="shared" si="1501"/>
        <v>PrecioFOB</v>
      </c>
      <c r="AI2309" t="str">
        <f t="shared" si="1502"/>
        <v>Monto II</v>
      </c>
      <c r="AJ2309" t="str">
        <f t="shared" si="1503"/>
        <v>Porcentaje II</v>
      </c>
      <c r="AK2309" t="str">
        <f t="shared" si="1504"/>
        <v>Foto</v>
      </c>
      <c r="AL2309" t="str">
        <f>"{\rtf1\ansi\ansicpg1252\deff0\deflang2058{\fonttbl{\f0\fnil\fcharset0 MS Sans Serif}} \viewkind4\uc1\pard\f0\fs16 KIT DE DISTRIBUCION ASTRA 2.0 8V 146 X 20 \par } "</f>
        <v xml:space="preserve">{\rtf1\ansi\ansicpg1252\deff0\deflang2058{\fonttbl{\f0\fnil\fcharset0 MS Sans Serif}} \viewkind4\uc1\pard\f0\fs16 KIT DE DISTRIBUCION ASTRA 2.0 8V 146 X 20 \par } </v>
      </c>
      <c r="AM2309" t="str">
        <f t="shared" si="1505"/>
        <v xml:space="preserve"> </v>
      </c>
    </row>
    <row r="2310" spans="1:39" x14ac:dyDescent="0.25">
      <c r="A2310" t="str">
        <f>"FM010419"</f>
        <v>FM010419</v>
      </c>
      <c r="B2310" t="str">
        <f>"KIT DE DISTRIBUCION CHEVROLET AVEO 127 X 254"</f>
        <v>KIT DE DISTRIBUCION CHEVROLET AVEO 127 X 254</v>
      </c>
      <c r="C2310" t="str">
        <f>"$ 111318,83"</f>
        <v>$ 111318,83</v>
      </c>
      <c r="D2310" t="str">
        <f>"$ 111318,83"</f>
        <v>$ 111318,83</v>
      </c>
      <c r="E2310" t="str">
        <f>"$ 111318,83"</f>
        <v>$ 111318,83</v>
      </c>
      <c r="F2310" t="str">
        <f>"$ 111318,83"</f>
        <v>$ 111318,83</v>
      </c>
      <c r="G2310" t="str">
        <f>"$ 111318,83"</f>
        <v>$ 111318,83</v>
      </c>
      <c r="H2310" t="str">
        <f t="shared" si="1487"/>
        <v>$ 0,00</v>
      </c>
      <c r="I2310" t="str">
        <f>"KIT DE DISTRIBUCION MICHELIN"</f>
        <v>KIT DE DISTRIBUCION MICHELIN</v>
      </c>
      <c r="J2310" t="str">
        <f t="shared" si="1488"/>
        <v>1</v>
      </c>
      <c r="K2310" t="str">
        <f t="shared" si="1471"/>
        <v>0</v>
      </c>
      <c r="L2310" t="str">
        <f>"10,000"</f>
        <v>10,000</v>
      </c>
      <c r="M2310" t="str">
        <f t="shared" si="1489"/>
        <v xml:space="preserve"> </v>
      </c>
      <c r="N2310" t="str">
        <f>"MICHELIN"</f>
        <v>MICHELIN</v>
      </c>
      <c r="O2310" t="str">
        <f t="shared" si="1506"/>
        <v>DISTRIBUCION</v>
      </c>
      <c r="P2310" t="str">
        <f t="shared" si="1485"/>
        <v>0</v>
      </c>
      <c r="Q2310" t="str">
        <f t="shared" si="1485"/>
        <v>0</v>
      </c>
      <c r="R2310" t="str">
        <f t="shared" si="1486"/>
        <v>0,00</v>
      </c>
      <c r="S2310" t="str">
        <f t="shared" si="1486"/>
        <v>0,00</v>
      </c>
      <c r="T2310" t="str">
        <f t="shared" si="1507"/>
        <v>-</v>
      </c>
      <c r="U2310" t="str">
        <f t="shared" si="1507"/>
        <v>-</v>
      </c>
      <c r="V2310" t="str">
        <f>"10,000"</f>
        <v>10,000</v>
      </c>
      <c r="W2310" t="str">
        <f t="shared" si="1490"/>
        <v>Lista 4</v>
      </c>
      <c r="X2310" t="str">
        <f t="shared" si="1491"/>
        <v>Lista 5</v>
      </c>
      <c r="Y2310" t="str">
        <f t="shared" si="1492"/>
        <v>Oferta Gral.</v>
      </c>
      <c r="Z2310" t="str">
        <f t="shared" si="1493"/>
        <v>Rubro</v>
      </c>
      <c r="AA2310" t="str">
        <f t="shared" si="1494"/>
        <v>Cantidad por Bulto</v>
      </c>
      <c r="AB2310" t="str">
        <f t="shared" si="1495"/>
        <v>INNER</v>
      </c>
      <c r="AC2310" t="str">
        <f t="shared" si="1496"/>
        <v>Stock en Bultos</v>
      </c>
      <c r="AD2310" t="str">
        <f t="shared" si="1497"/>
        <v>SubDepósito</v>
      </c>
      <c r="AE2310" t="str">
        <f t="shared" si="1498"/>
        <v>Marca</v>
      </c>
      <c r="AF2310" t="str">
        <f t="shared" si="1499"/>
        <v>Super Rubro</v>
      </c>
      <c r="AG2310" t="str">
        <f t="shared" si="1500"/>
        <v>ComercioExterior</v>
      </c>
      <c r="AH2310" t="str">
        <f t="shared" si="1501"/>
        <v>PrecioFOB</v>
      </c>
      <c r="AI2310" t="str">
        <f t="shared" si="1502"/>
        <v>Monto II</v>
      </c>
      <c r="AJ2310" t="str">
        <f t="shared" si="1503"/>
        <v>Porcentaje II</v>
      </c>
      <c r="AK2310" t="str">
        <f t="shared" si="1504"/>
        <v>Foto</v>
      </c>
      <c r="AL2310" t="str">
        <f>"{\rtf1\ansi\ansicpg1252\deff0\deflang2058{\fonttbl{\f0\fnil\fcharset0 MS Sans Serif}} \viewkind4\uc1\pard\f0\fs16 KIT DE DISTRIBUCION CHEVROLET AVEO 127 X 254\par } "</f>
        <v xml:space="preserve">{\rtf1\ansi\ansicpg1252\deff0\deflang2058{\fonttbl{\f0\fnil\fcharset0 MS Sans Serif}} \viewkind4\uc1\pard\f0\fs16 KIT DE DISTRIBUCION CHEVROLET AVEO 127 X 254\par } </v>
      </c>
      <c r="AM2310" t="str">
        <f t="shared" si="1505"/>
        <v xml:space="preserve"> </v>
      </c>
    </row>
    <row r="2311" spans="1:39" x14ac:dyDescent="0.25">
      <c r="A2311" t="str">
        <f>"FM010310"</f>
        <v>FM010310</v>
      </c>
      <c r="B2311" t="str">
        <f>"KIT DE DISTRIBUCION CHEVROLET CORSA 1.6 8V 111 X17"</f>
        <v>KIT DE DISTRIBUCION CHEVROLET CORSA 1.6 8V 111 X17</v>
      </c>
      <c r="C2311" t="str">
        <f>"$ 50063,48"</f>
        <v>$ 50063,48</v>
      </c>
      <c r="D2311" t="str">
        <f>"$ 50063,48"</f>
        <v>$ 50063,48</v>
      </c>
      <c r="E2311" t="str">
        <f>"$ 50063,48"</f>
        <v>$ 50063,48</v>
      </c>
      <c r="F2311" t="str">
        <f>"$ 50063,48"</f>
        <v>$ 50063,48</v>
      </c>
      <c r="G2311" t="str">
        <f>"$ 50063,48"</f>
        <v>$ 50063,48</v>
      </c>
      <c r="H2311" t="str">
        <f t="shared" si="1487"/>
        <v>$ 0,00</v>
      </c>
      <c r="I2311" t="str">
        <f>"KIT DE DISTRIBUCION MICHELIN"</f>
        <v>KIT DE DISTRIBUCION MICHELIN</v>
      </c>
      <c r="J2311" t="str">
        <f t="shared" si="1488"/>
        <v>1</v>
      </c>
      <c r="K2311" t="str">
        <f t="shared" si="1471"/>
        <v>0</v>
      </c>
      <c r="L2311" t="str">
        <f>"16,000"</f>
        <v>16,000</v>
      </c>
      <c r="M2311" t="str">
        <f t="shared" si="1489"/>
        <v xml:space="preserve"> </v>
      </c>
      <c r="N2311" t="str">
        <f>"MICHELIN"</f>
        <v>MICHELIN</v>
      </c>
      <c r="O2311" t="str">
        <f t="shared" si="1506"/>
        <v>DISTRIBUCION</v>
      </c>
      <c r="P2311" t="str">
        <f t="shared" si="1485"/>
        <v>0</v>
      </c>
      <c r="Q2311" t="str">
        <f t="shared" si="1485"/>
        <v>0</v>
      </c>
      <c r="R2311" t="str">
        <f t="shared" si="1486"/>
        <v>0,00</v>
      </c>
      <c r="S2311" t="str">
        <f t="shared" si="1486"/>
        <v>0,00</v>
      </c>
      <c r="T2311" t="str">
        <f t="shared" si="1507"/>
        <v>-</v>
      </c>
      <c r="U2311" t="str">
        <f t="shared" si="1507"/>
        <v>-</v>
      </c>
      <c r="V2311" t="str">
        <f>"16,000"</f>
        <v>16,000</v>
      </c>
      <c r="W2311" t="str">
        <f t="shared" si="1490"/>
        <v>Lista 4</v>
      </c>
      <c r="X2311" t="str">
        <f t="shared" si="1491"/>
        <v>Lista 5</v>
      </c>
      <c r="Y2311" t="str">
        <f t="shared" si="1492"/>
        <v>Oferta Gral.</v>
      </c>
      <c r="Z2311" t="str">
        <f t="shared" si="1493"/>
        <v>Rubro</v>
      </c>
      <c r="AA2311" t="str">
        <f t="shared" si="1494"/>
        <v>Cantidad por Bulto</v>
      </c>
      <c r="AB2311" t="str">
        <f t="shared" si="1495"/>
        <v>INNER</v>
      </c>
      <c r="AC2311" t="str">
        <f t="shared" si="1496"/>
        <v>Stock en Bultos</v>
      </c>
      <c r="AD2311" t="str">
        <f t="shared" si="1497"/>
        <v>SubDepósito</v>
      </c>
      <c r="AE2311" t="str">
        <f t="shared" si="1498"/>
        <v>Marca</v>
      </c>
      <c r="AF2311" t="str">
        <f t="shared" si="1499"/>
        <v>Super Rubro</v>
      </c>
      <c r="AG2311" t="str">
        <f t="shared" si="1500"/>
        <v>ComercioExterior</v>
      </c>
      <c r="AH2311" t="str">
        <f t="shared" si="1501"/>
        <v>PrecioFOB</v>
      </c>
      <c r="AI2311" t="str">
        <f t="shared" si="1502"/>
        <v>Monto II</v>
      </c>
      <c r="AJ2311" t="str">
        <f t="shared" si="1503"/>
        <v>Porcentaje II</v>
      </c>
      <c r="AK2311" t="str">
        <f t="shared" si="1504"/>
        <v>Foto</v>
      </c>
      <c r="AL2311" t="str">
        <f>"{\rtf1\ansi\ansicpg1252\deff0\deflang2058{\fonttbl{\f0\fnil\fcharset0 MS Sans Serif}} \viewkind4\uc1\pard\f0\fs16 KIT DE DISTRIBUCION CHEVROLET CORSA 1.6 8V 111 X17\par } "</f>
        <v xml:space="preserve">{\rtf1\ansi\ansicpg1252\deff0\deflang2058{\fonttbl{\f0\fnil\fcharset0 MS Sans Serif}} \viewkind4\uc1\pard\f0\fs16 KIT DE DISTRIBUCION CHEVROLET CORSA 1.6 8V 111 X17\par } </v>
      </c>
      <c r="AM2311" t="str">
        <f t="shared" si="1505"/>
        <v xml:space="preserve"> </v>
      </c>
    </row>
    <row r="2312" spans="1:39" x14ac:dyDescent="0.25">
      <c r="A2312" t="str">
        <f>"LKTBN901"</f>
        <v>LKTBN901</v>
      </c>
      <c r="B2312" t="str">
        <f>"KIT DE DISTRIBUCION CHEVROLET CORSA FIAT PALIO SIENA 1.8 8V DIAMETRO TENSOR 59MM"</f>
        <v>KIT DE DISTRIBUCION CHEVROLET CORSA FIAT PALIO SIENA 1.8 8V DIAMETRO TENSOR 59MM</v>
      </c>
      <c r="C2312" t="str">
        <f>"$ 50934,84"</f>
        <v>$ 50934,84</v>
      </c>
      <c r="D2312" t="str">
        <f>"$ 50934,84"</f>
        <v>$ 50934,84</v>
      </c>
      <c r="E2312" t="str">
        <f>"$ 50934,84"</f>
        <v>$ 50934,84</v>
      </c>
      <c r="F2312" t="str">
        <f>"$ 50934,84"</f>
        <v>$ 50934,84</v>
      </c>
      <c r="G2312" t="str">
        <f>"$ 50934,84"</f>
        <v>$ 50934,84</v>
      </c>
      <c r="H2312" t="str">
        <f t="shared" si="1487"/>
        <v>$ 0,00</v>
      </c>
      <c r="I2312" t="str">
        <f>"KIT DE DISTRIBUCION LUCAS"</f>
        <v>KIT DE DISTRIBUCION LUCAS</v>
      </c>
      <c r="J2312" t="str">
        <f t="shared" si="1488"/>
        <v>1</v>
      </c>
      <c r="K2312" t="str">
        <f t="shared" si="1471"/>
        <v>0</v>
      </c>
      <c r="L2312" t="str">
        <f>"13,000"</f>
        <v>13,000</v>
      </c>
      <c r="M2312" t="str">
        <f t="shared" si="1489"/>
        <v xml:space="preserve"> </v>
      </c>
      <c r="N2312" t="str">
        <f t="shared" ref="N2312:N2322" si="1508">"LUCAS"</f>
        <v>LUCAS</v>
      </c>
      <c r="O2312" t="str">
        <f t="shared" si="1506"/>
        <v>DISTRIBUCION</v>
      </c>
      <c r="P2312" t="str">
        <f t="shared" si="1485"/>
        <v>0</v>
      </c>
      <c r="Q2312" t="str">
        <f t="shared" si="1485"/>
        <v>0</v>
      </c>
      <c r="R2312" t="str">
        <f t="shared" si="1486"/>
        <v>0,00</v>
      </c>
      <c r="S2312" t="str">
        <f t="shared" si="1486"/>
        <v>0,00</v>
      </c>
      <c r="T2312" t="str">
        <f>" "</f>
        <v xml:space="preserve"> </v>
      </c>
      <c r="U2312" t="str">
        <f>" "</f>
        <v xml:space="preserve"> </v>
      </c>
      <c r="V2312" t="str">
        <f>"13,000"</f>
        <v>13,000</v>
      </c>
      <c r="W2312" t="str">
        <f t="shared" si="1490"/>
        <v>Lista 4</v>
      </c>
      <c r="X2312" t="str">
        <f t="shared" si="1491"/>
        <v>Lista 5</v>
      </c>
      <c r="Y2312" t="str">
        <f t="shared" si="1492"/>
        <v>Oferta Gral.</v>
      </c>
      <c r="Z2312" t="str">
        <f t="shared" si="1493"/>
        <v>Rubro</v>
      </c>
      <c r="AA2312" t="str">
        <f t="shared" si="1494"/>
        <v>Cantidad por Bulto</v>
      </c>
      <c r="AB2312" t="str">
        <f t="shared" si="1495"/>
        <v>INNER</v>
      </c>
      <c r="AC2312" t="str">
        <f t="shared" si="1496"/>
        <v>Stock en Bultos</v>
      </c>
      <c r="AD2312" t="str">
        <f t="shared" si="1497"/>
        <v>SubDepósito</v>
      </c>
      <c r="AE2312" t="str">
        <f t="shared" si="1498"/>
        <v>Marca</v>
      </c>
      <c r="AF2312" t="str">
        <f t="shared" si="1499"/>
        <v>Super Rubro</v>
      </c>
      <c r="AG2312" t="str">
        <f t="shared" si="1500"/>
        <v>ComercioExterior</v>
      </c>
      <c r="AH2312" t="str">
        <f t="shared" si="1501"/>
        <v>PrecioFOB</v>
      </c>
      <c r="AI2312" t="str">
        <f t="shared" si="1502"/>
        <v>Monto II</v>
      </c>
      <c r="AJ2312" t="str">
        <f t="shared" si="1503"/>
        <v>Porcentaje II</v>
      </c>
      <c r="AK2312" t="str">
        <f t="shared" si="1504"/>
        <v>Foto</v>
      </c>
      <c r="AL2312" t="str">
        <f>"{\rtf1\ansi\ansicpg1252\deff0\deflang11274{\fonttbl{\f0\fnil\fcharset0 MS Sans Serif}} \viewkind4\uc1\pard\f0\fs16 KIT DE DISTRIBUCION CHEVROLET CORSA FIAT PALIO SIENA 1.8 8V DIAMETRO TENSOR 59MM\par } "</f>
        <v xml:space="preserve">{\rtf1\ansi\ansicpg1252\deff0\deflang11274{\fonttbl{\f0\fnil\fcharset0 MS Sans Serif}} \viewkind4\uc1\pard\f0\fs16 KIT DE DISTRIBUCION CHEVROLET CORSA FIAT PALIO SIENA 1.8 8V DIAMETRO TENSOR 59MM\par } </v>
      </c>
      <c r="AM2312" t="str">
        <f t="shared" si="1505"/>
        <v xml:space="preserve"> </v>
      </c>
    </row>
    <row r="2313" spans="1:39" x14ac:dyDescent="0.25">
      <c r="A2313" t="str">
        <f>"LKTCN6613"</f>
        <v>LKTCN6613</v>
      </c>
      <c r="B2313" t="str">
        <f>"KIT DE DISTRIBUCION CON CADENA FIAT CRONOS ARGO 1.6 1.8 16V E-TORQ"</f>
        <v>KIT DE DISTRIBUCION CON CADENA FIAT CRONOS ARGO 1.6 1.8 16V E-TORQ</v>
      </c>
      <c r="C2313" t="str">
        <f>"$ 97102,09"</f>
        <v>$ 97102,09</v>
      </c>
      <c r="D2313" t="str">
        <f>"$ 97102,09"</f>
        <v>$ 97102,09</v>
      </c>
      <c r="E2313" t="str">
        <f>"$ 97102,09"</f>
        <v>$ 97102,09</v>
      </c>
      <c r="F2313" t="str">
        <f>"$ 97102,09"</f>
        <v>$ 97102,09</v>
      </c>
      <c r="G2313" t="str">
        <f>"$ 97102,09"</f>
        <v>$ 97102,09</v>
      </c>
      <c r="H2313" t="str">
        <f t="shared" si="1487"/>
        <v>$ 0,00</v>
      </c>
      <c r="I2313" t="str">
        <f t="shared" ref="I2313:I2322" si="1509">"KIT DE DISTRIBUCION LUCAS CON CADENA"</f>
        <v>KIT DE DISTRIBUCION LUCAS CON CADENA</v>
      </c>
      <c r="J2313" t="str">
        <f t="shared" si="1488"/>
        <v>1</v>
      </c>
      <c r="K2313" t="str">
        <f t="shared" si="1471"/>
        <v>0</v>
      </c>
      <c r="L2313" t="str">
        <f>"4,000"</f>
        <v>4,000</v>
      </c>
      <c r="M2313" t="str">
        <f t="shared" si="1489"/>
        <v xml:space="preserve"> </v>
      </c>
      <c r="N2313" t="str">
        <f t="shared" si="1508"/>
        <v>LUCAS</v>
      </c>
      <c r="O2313" t="str">
        <f t="shared" si="1506"/>
        <v>DISTRIBUCION</v>
      </c>
      <c r="P2313" t="str">
        <f t="shared" si="1485"/>
        <v>0</v>
      </c>
      <c r="Q2313" t="str">
        <f t="shared" si="1485"/>
        <v>0</v>
      </c>
      <c r="R2313" t="str">
        <f t="shared" si="1486"/>
        <v>0,00</v>
      </c>
      <c r="S2313" t="str">
        <f t="shared" si="1486"/>
        <v>0,00</v>
      </c>
      <c r="T2313" t="str">
        <f t="shared" ref="T2313:T2322" si="1510">" "</f>
        <v xml:space="preserve"> </v>
      </c>
      <c r="U2313" t="str">
        <f t="shared" ref="U2313:U2324" si="1511">"-"</f>
        <v>-</v>
      </c>
      <c r="V2313" t="str">
        <f>"4,000"</f>
        <v>4,000</v>
      </c>
      <c r="W2313" t="str">
        <f t="shared" si="1490"/>
        <v>Lista 4</v>
      </c>
      <c r="X2313" t="str">
        <f t="shared" si="1491"/>
        <v>Lista 5</v>
      </c>
      <c r="Y2313" t="str">
        <f t="shared" si="1492"/>
        <v>Oferta Gral.</v>
      </c>
      <c r="Z2313" t="str">
        <f t="shared" si="1493"/>
        <v>Rubro</v>
      </c>
      <c r="AA2313" t="str">
        <f t="shared" si="1494"/>
        <v>Cantidad por Bulto</v>
      </c>
      <c r="AB2313" t="str">
        <f t="shared" si="1495"/>
        <v>INNER</v>
      </c>
      <c r="AC2313" t="str">
        <f t="shared" si="1496"/>
        <v>Stock en Bultos</v>
      </c>
      <c r="AD2313" t="str">
        <f t="shared" si="1497"/>
        <v>SubDepósito</v>
      </c>
      <c r="AE2313" t="str">
        <f t="shared" si="1498"/>
        <v>Marca</v>
      </c>
      <c r="AF2313" t="str">
        <f t="shared" si="1499"/>
        <v>Super Rubro</v>
      </c>
      <c r="AG2313" t="str">
        <f t="shared" si="1500"/>
        <v>ComercioExterior</v>
      </c>
      <c r="AH2313" t="str">
        <f t="shared" si="1501"/>
        <v>PrecioFOB</v>
      </c>
      <c r="AI2313" t="str">
        <f t="shared" si="1502"/>
        <v>Monto II</v>
      </c>
      <c r="AJ2313" t="str">
        <f t="shared" si="1503"/>
        <v>Porcentaje II</v>
      </c>
      <c r="AK2313" t="str">
        <f t="shared" si="1504"/>
        <v>Foto</v>
      </c>
      <c r="AL2313" t="str">
        <f t="shared" ref="AL2313:AL2322" si="1512">" "</f>
        <v xml:space="preserve"> </v>
      </c>
      <c r="AM2313" t="str">
        <f t="shared" si="1505"/>
        <v xml:space="preserve"> </v>
      </c>
    </row>
    <row r="2314" spans="1:39" x14ac:dyDescent="0.25">
      <c r="A2314" t="str">
        <f>"LKTCN1067"</f>
        <v>LKTCN1067</v>
      </c>
      <c r="B2314" t="str">
        <f>"KIT DE DISTRIBUCION CON CADENA FIAT PALIO SIENA 1.3 16V MULTIJET"</f>
        <v>KIT DE DISTRIBUCION CON CADENA FIAT PALIO SIENA 1.3 16V MULTIJET</v>
      </c>
      <c r="C2314" t="str">
        <f>"$ 87123,84"</f>
        <v>$ 87123,84</v>
      </c>
      <c r="D2314" t="str">
        <f>"$ 87123,84"</f>
        <v>$ 87123,84</v>
      </c>
      <c r="E2314" t="str">
        <f>"$ 87123,84"</f>
        <v>$ 87123,84</v>
      </c>
      <c r="F2314" t="str">
        <f>"$ 87123,84"</f>
        <v>$ 87123,84</v>
      </c>
      <c r="G2314" t="str">
        <f>"$ 87123,84"</f>
        <v>$ 87123,84</v>
      </c>
      <c r="H2314" t="str">
        <f t="shared" si="1487"/>
        <v>$ 0,00</v>
      </c>
      <c r="I2314" t="str">
        <f t="shared" si="1509"/>
        <v>KIT DE DISTRIBUCION LUCAS CON CADENA</v>
      </c>
      <c r="J2314" t="str">
        <f t="shared" si="1488"/>
        <v>1</v>
      </c>
      <c r="K2314" t="str">
        <f t="shared" si="1471"/>
        <v>0</v>
      </c>
      <c r="L2314" t="str">
        <f>"4,000"</f>
        <v>4,000</v>
      </c>
      <c r="M2314" t="str">
        <f t="shared" si="1489"/>
        <v xml:space="preserve"> </v>
      </c>
      <c r="N2314" t="str">
        <f t="shared" si="1508"/>
        <v>LUCAS</v>
      </c>
      <c r="O2314" t="str">
        <f t="shared" si="1506"/>
        <v>DISTRIBUCION</v>
      </c>
      <c r="P2314" t="str">
        <f t="shared" si="1485"/>
        <v>0</v>
      </c>
      <c r="Q2314" t="str">
        <f t="shared" si="1485"/>
        <v>0</v>
      </c>
      <c r="R2314" t="str">
        <f t="shared" si="1486"/>
        <v>0,00</v>
      </c>
      <c r="S2314" t="str">
        <f t="shared" si="1486"/>
        <v>0,00</v>
      </c>
      <c r="T2314" t="str">
        <f t="shared" si="1510"/>
        <v xml:space="preserve"> </v>
      </c>
      <c r="U2314" t="str">
        <f t="shared" si="1511"/>
        <v>-</v>
      </c>
      <c r="V2314" t="str">
        <f>"4,000"</f>
        <v>4,000</v>
      </c>
      <c r="W2314" t="str">
        <f t="shared" si="1490"/>
        <v>Lista 4</v>
      </c>
      <c r="X2314" t="str">
        <f t="shared" si="1491"/>
        <v>Lista 5</v>
      </c>
      <c r="Y2314" t="str">
        <f t="shared" si="1492"/>
        <v>Oferta Gral.</v>
      </c>
      <c r="Z2314" t="str">
        <f t="shared" si="1493"/>
        <v>Rubro</v>
      </c>
      <c r="AA2314" t="str">
        <f t="shared" si="1494"/>
        <v>Cantidad por Bulto</v>
      </c>
      <c r="AB2314" t="str">
        <f t="shared" si="1495"/>
        <v>INNER</v>
      </c>
      <c r="AC2314" t="str">
        <f t="shared" si="1496"/>
        <v>Stock en Bultos</v>
      </c>
      <c r="AD2314" t="str">
        <f t="shared" si="1497"/>
        <v>SubDepósito</v>
      </c>
      <c r="AE2314" t="str">
        <f t="shared" si="1498"/>
        <v>Marca</v>
      </c>
      <c r="AF2314" t="str">
        <f t="shared" si="1499"/>
        <v>Super Rubro</v>
      </c>
      <c r="AG2314" t="str">
        <f t="shared" si="1500"/>
        <v>ComercioExterior</v>
      </c>
      <c r="AH2314" t="str">
        <f t="shared" si="1501"/>
        <v>PrecioFOB</v>
      </c>
      <c r="AI2314" t="str">
        <f t="shared" si="1502"/>
        <v>Monto II</v>
      </c>
      <c r="AJ2314" t="str">
        <f t="shared" si="1503"/>
        <v>Porcentaje II</v>
      </c>
      <c r="AK2314" t="str">
        <f t="shared" si="1504"/>
        <v>Foto</v>
      </c>
      <c r="AL2314" t="str">
        <f t="shared" si="1512"/>
        <v xml:space="preserve"> </v>
      </c>
      <c r="AM2314" t="str">
        <f t="shared" si="1505"/>
        <v xml:space="preserve"> </v>
      </c>
    </row>
    <row r="2315" spans="1:39" x14ac:dyDescent="0.25">
      <c r="A2315" t="str">
        <f>"LKTCN4012"</f>
        <v>LKTCN4012</v>
      </c>
      <c r="B2315" t="str">
        <f>"KIT DE DISTRIBUCION CON CADENA FOR FIESTA FOCUS 1.6 8V ROCAM"</f>
        <v>KIT DE DISTRIBUCION CON CADENA FOR FIESTA FOCUS 1.6 8V ROCAM</v>
      </c>
      <c r="C2315" t="str">
        <f>"$ 80406,99"</f>
        <v>$ 80406,99</v>
      </c>
      <c r="D2315" t="str">
        <f>"$ 80406,99"</f>
        <v>$ 80406,99</v>
      </c>
      <c r="E2315" t="str">
        <f>"$ 80406,99"</f>
        <v>$ 80406,99</v>
      </c>
      <c r="F2315" t="str">
        <f>"$ 80406,99"</f>
        <v>$ 80406,99</v>
      </c>
      <c r="G2315" t="str">
        <f>"$ 80406,99"</f>
        <v>$ 80406,99</v>
      </c>
      <c r="H2315" t="str">
        <f t="shared" si="1487"/>
        <v>$ 0,00</v>
      </c>
      <c r="I2315" t="str">
        <f t="shared" si="1509"/>
        <v>KIT DE DISTRIBUCION LUCAS CON CADENA</v>
      </c>
      <c r="J2315" t="str">
        <f t="shared" si="1488"/>
        <v>1</v>
      </c>
      <c r="K2315" t="str">
        <f t="shared" si="1471"/>
        <v>0</v>
      </c>
      <c r="L2315" t="str">
        <f>"0,000"</f>
        <v>0,000</v>
      </c>
      <c r="M2315" t="str">
        <f t="shared" si="1489"/>
        <v xml:space="preserve"> </v>
      </c>
      <c r="N2315" t="str">
        <f t="shared" si="1508"/>
        <v>LUCAS</v>
      </c>
      <c r="O2315" t="str">
        <f t="shared" si="1506"/>
        <v>DISTRIBUCION</v>
      </c>
      <c r="P2315" t="str">
        <f t="shared" si="1485"/>
        <v>0</v>
      </c>
      <c r="Q2315" t="str">
        <f t="shared" si="1485"/>
        <v>0</v>
      </c>
      <c r="R2315" t="str">
        <f t="shared" si="1486"/>
        <v>0,00</v>
      </c>
      <c r="S2315" t="str">
        <f t="shared" si="1486"/>
        <v>0,00</v>
      </c>
      <c r="T2315" t="str">
        <f t="shared" si="1510"/>
        <v xml:space="preserve"> </v>
      </c>
      <c r="U2315" t="str">
        <f t="shared" si="1511"/>
        <v>-</v>
      </c>
      <c r="V2315" t="str">
        <f>"0,000"</f>
        <v>0,000</v>
      </c>
      <c r="W2315" t="str">
        <f t="shared" si="1490"/>
        <v>Lista 4</v>
      </c>
      <c r="X2315" t="str">
        <f t="shared" si="1491"/>
        <v>Lista 5</v>
      </c>
      <c r="Y2315" t="str">
        <f t="shared" si="1492"/>
        <v>Oferta Gral.</v>
      </c>
      <c r="Z2315" t="str">
        <f t="shared" si="1493"/>
        <v>Rubro</v>
      </c>
      <c r="AA2315" t="str">
        <f t="shared" si="1494"/>
        <v>Cantidad por Bulto</v>
      </c>
      <c r="AB2315" t="str">
        <f t="shared" si="1495"/>
        <v>INNER</v>
      </c>
      <c r="AC2315" t="str">
        <f t="shared" si="1496"/>
        <v>Stock en Bultos</v>
      </c>
      <c r="AD2315" t="str">
        <f t="shared" si="1497"/>
        <v>SubDepósito</v>
      </c>
      <c r="AE2315" t="str">
        <f t="shared" si="1498"/>
        <v>Marca</v>
      </c>
      <c r="AF2315" t="str">
        <f t="shared" si="1499"/>
        <v>Super Rubro</v>
      </c>
      <c r="AG2315" t="str">
        <f t="shared" si="1500"/>
        <v>ComercioExterior</v>
      </c>
      <c r="AH2315" t="str">
        <f t="shared" si="1501"/>
        <v>PrecioFOB</v>
      </c>
      <c r="AI2315" t="str">
        <f t="shared" si="1502"/>
        <v>Monto II</v>
      </c>
      <c r="AJ2315" t="str">
        <f t="shared" si="1503"/>
        <v>Porcentaje II</v>
      </c>
      <c r="AK2315" t="str">
        <f t="shared" si="1504"/>
        <v>Foto</v>
      </c>
      <c r="AL2315" t="str">
        <f t="shared" si="1512"/>
        <v xml:space="preserve"> </v>
      </c>
      <c r="AM2315" t="str">
        <f t="shared" si="1505"/>
        <v xml:space="preserve"> </v>
      </c>
    </row>
    <row r="2316" spans="1:39" x14ac:dyDescent="0.25">
      <c r="A2316" t="str">
        <f>"LKTCN1088"</f>
        <v>LKTCN1088</v>
      </c>
      <c r="B2316" t="str">
        <f>"KIT DE DISTRIBUCION CON CADENA FORD FOCUS 1.8 TDCI"</f>
        <v>KIT DE DISTRIBUCION CON CADENA FORD FOCUS 1.8 TDCI</v>
      </c>
      <c r="C2316" t="str">
        <f>"$ 216539,60"</f>
        <v>$ 216539,60</v>
      </c>
      <c r="D2316" t="str">
        <f>"$ 216539,60"</f>
        <v>$ 216539,60</v>
      </c>
      <c r="E2316" t="str">
        <f>"$ 216539,60"</f>
        <v>$ 216539,60</v>
      </c>
      <c r="F2316" t="str">
        <f>"$ 216539,60"</f>
        <v>$ 216539,60</v>
      </c>
      <c r="G2316" t="str">
        <f>"$ 216539,60"</f>
        <v>$ 216539,60</v>
      </c>
      <c r="H2316" t="str">
        <f t="shared" si="1487"/>
        <v>$ 0,00</v>
      </c>
      <c r="I2316" t="str">
        <f t="shared" si="1509"/>
        <v>KIT DE DISTRIBUCION LUCAS CON CADENA</v>
      </c>
      <c r="J2316" t="str">
        <f t="shared" si="1488"/>
        <v>1</v>
      </c>
      <c r="K2316" t="str">
        <f t="shared" si="1471"/>
        <v>0</v>
      </c>
      <c r="L2316" t="str">
        <f>"4,000"</f>
        <v>4,000</v>
      </c>
      <c r="M2316" t="str">
        <f t="shared" si="1489"/>
        <v xml:space="preserve"> </v>
      </c>
      <c r="N2316" t="str">
        <f t="shared" si="1508"/>
        <v>LUCAS</v>
      </c>
      <c r="O2316" t="str">
        <f t="shared" si="1506"/>
        <v>DISTRIBUCION</v>
      </c>
      <c r="P2316" t="str">
        <f t="shared" si="1485"/>
        <v>0</v>
      </c>
      <c r="Q2316" t="str">
        <f t="shared" si="1485"/>
        <v>0</v>
      </c>
      <c r="R2316" t="str">
        <f t="shared" si="1486"/>
        <v>0,00</v>
      </c>
      <c r="S2316" t="str">
        <f t="shared" si="1486"/>
        <v>0,00</v>
      </c>
      <c r="T2316" t="str">
        <f t="shared" si="1510"/>
        <v xml:space="preserve"> </v>
      </c>
      <c r="U2316" t="str">
        <f t="shared" si="1511"/>
        <v>-</v>
      </c>
      <c r="V2316" t="str">
        <f>"4,000"</f>
        <v>4,000</v>
      </c>
      <c r="W2316" t="str">
        <f t="shared" si="1490"/>
        <v>Lista 4</v>
      </c>
      <c r="X2316" t="str">
        <f t="shared" si="1491"/>
        <v>Lista 5</v>
      </c>
      <c r="Y2316" t="str">
        <f t="shared" si="1492"/>
        <v>Oferta Gral.</v>
      </c>
      <c r="Z2316" t="str">
        <f t="shared" si="1493"/>
        <v>Rubro</v>
      </c>
      <c r="AA2316" t="str">
        <f t="shared" si="1494"/>
        <v>Cantidad por Bulto</v>
      </c>
      <c r="AB2316" t="str">
        <f t="shared" si="1495"/>
        <v>INNER</v>
      </c>
      <c r="AC2316" t="str">
        <f t="shared" si="1496"/>
        <v>Stock en Bultos</v>
      </c>
      <c r="AD2316" t="str">
        <f t="shared" si="1497"/>
        <v>SubDepósito</v>
      </c>
      <c r="AE2316" t="str">
        <f t="shared" si="1498"/>
        <v>Marca</v>
      </c>
      <c r="AF2316" t="str">
        <f t="shared" si="1499"/>
        <v>Super Rubro</v>
      </c>
      <c r="AG2316" t="str">
        <f t="shared" si="1500"/>
        <v>ComercioExterior</v>
      </c>
      <c r="AH2316" t="str">
        <f t="shared" si="1501"/>
        <v>PrecioFOB</v>
      </c>
      <c r="AI2316" t="str">
        <f t="shared" si="1502"/>
        <v>Monto II</v>
      </c>
      <c r="AJ2316" t="str">
        <f t="shared" si="1503"/>
        <v>Porcentaje II</v>
      </c>
      <c r="AK2316" t="str">
        <f t="shared" si="1504"/>
        <v>Foto</v>
      </c>
      <c r="AL2316" t="str">
        <f t="shared" si="1512"/>
        <v xml:space="preserve"> </v>
      </c>
      <c r="AM2316" t="str">
        <f t="shared" si="1505"/>
        <v xml:space="preserve"> </v>
      </c>
    </row>
    <row r="2317" spans="1:39" x14ac:dyDescent="0.25">
      <c r="A2317" t="str">
        <f>"LKTCN1106"</f>
        <v>LKTCN1106</v>
      </c>
      <c r="B2317" t="str">
        <f>"KIT DE DISTRIBUCION CON CADENA FORD FOCUS ECOSPORT 2,0 16V"</f>
        <v>KIT DE DISTRIBUCION CON CADENA FORD FOCUS ECOSPORT 2,0 16V</v>
      </c>
      <c r="C2317" t="str">
        <f>"$ 240577,72"</f>
        <v>$ 240577,72</v>
      </c>
      <c r="D2317" t="str">
        <f>"$ 240577,72"</f>
        <v>$ 240577,72</v>
      </c>
      <c r="E2317" t="str">
        <f>"$ 240577,72"</f>
        <v>$ 240577,72</v>
      </c>
      <c r="F2317" t="str">
        <f>"$ 240577,72"</f>
        <v>$ 240577,72</v>
      </c>
      <c r="G2317" t="str">
        <f>"$ 240577,72"</f>
        <v>$ 240577,72</v>
      </c>
      <c r="H2317" t="str">
        <f t="shared" si="1487"/>
        <v>$ 0,00</v>
      </c>
      <c r="I2317" t="str">
        <f t="shared" si="1509"/>
        <v>KIT DE DISTRIBUCION LUCAS CON CADENA</v>
      </c>
      <c r="J2317" t="str">
        <f t="shared" si="1488"/>
        <v>1</v>
      </c>
      <c r="K2317" t="str">
        <f t="shared" si="1471"/>
        <v>0</v>
      </c>
      <c r="L2317" t="str">
        <f>"4,000"</f>
        <v>4,000</v>
      </c>
      <c r="M2317" t="str">
        <f t="shared" si="1489"/>
        <v xml:space="preserve"> </v>
      </c>
      <c r="N2317" t="str">
        <f t="shared" si="1508"/>
        <v>LUCAS</v>
      </c>
      <c r="O2317" t="str">
        <f t="shared" si="1506"/>
        <v>DISTRIBUCION</v>
      </c>
      <c r="P2317" t="str">
        <f t="shared" si="1485"/>
        <v>0</v>
      </c>
      <c r="Q2317" t="str">
        <f t="shared" si="1485"/>
        <v>0</v>
      </c>
      <c r="R2317" t="str">
        <f t="shared" si="1486"/>
        <v>0,00</v>
      </c>
      <c r="S2317" t="str">
        <f t="shared" si="1486"/>
        <v>0,00</v>
      </c>
      <c r="T2317" t="str">
        <f t="shared" si="1510"/>
        <v xml:space="preserve"> </v>
      </c>
      <c r="U2317" t="str">
        <f t="shared" si="1511"/>
        <v>-</v>
      </c>
      <c r="V2317" t="str">
        <f>"4,000"</f>
        <v>4,000</v>
      </c>
      <c r="W2317" t="str">
        <f t="shared" si="1490"/>
        <v>Lista 4</v>
      </c>
      <c r="X2317" t="str">
        <f t="shared" si="1491"/>
        <v>Lista 5</v>
      </c>
      <c r="Y2317" t="str">
        <f t="shared" si="1492"/>
        <v>Oferta Gral.</v>
      </c>
      <c r="Z2317" t="str">
        <f t="shared" si="1493"/>
        <v>Rubro</v>
      </c>
      <c r="AA2317" t="str">
        <f t="shared" si="1494"/>
        <v>Cantidad por Bulto</v>
      </c>
      <c r="AB2317" t="str">
        <f t="shared" si="1495"/>
        <v>INNER</v>
      </c>
      <c r="AC2317" t="str">
        <f t="shared" si="1496"/>
        <v>Stock en Bultos</v>
      </c>
      <c r="AD2317" t="str">
        <f t="shared" si="1497"/>
        <v>SubDepósito</v>
      </c>
      <c r="AE2317" t="str">
        <f t="shared" si="1498"/>
        <v>Marca</v>
      </c>
      <c r="AF2317" t="str">
        <f t="shared" si="1499"/>
        <v>Super Rubro</v>
      </c>
      <c r="AG2317" t="str">
        <f t="shared" si="1500"/>
        <v>ComercioExterior</v>
      </c>
      <c r="AH2317" t="str">
        <f t="shared" si="1501"/>
        <v>PrecioFOB</v>
      </c>
      <c r="AI2317" t="str">
        <f t="shared" si="1502"/>
        <v>Monto II</v>
      </c>
      <c r="AJ2317" t="str">
        <f t="shared" si="1503"/>
        <v>Porcentaje II</v>
      </c>
      <c r="AK2317" t="str">
        <f t="shared" si="1504"/>
        <v>Foto</v>
      </c>
      <c r="AL2317" t="str">
        <f t="shared" si="1512"/>
        <v xml:space="preserve"> </v>
      </c>
      <c r="AM2317" t="str">
        <f t="shared" si="1505"/>
        <v xml:space="preserve"> </v>
      </c>
    </row>
    <row r="2318" spans="1:39" x14ac:dyDescent="0.25">
      <c r="A2318" t="str">
        <f>"LKTCN4600"</f>
        <v>LKTCN4600</v>
      </c>
      <c r="B2318" t="str">
        <f>"KIT DE DISTRIBUCION CON CADENA FORD MONDEO TRANSIT 2.0 2.4 TDCI"</f>
        <v>KIT DE DISTRIBUCION CON CADENA FORD MONDEO TRANSIT 2.0 2.4 TDCI</v>
      </c>
      <c r="C2318" t="str">
        <f>"$ 338966,30"</f>
        <v>$ 338966,30</v>
      </c>
      <c r="D2318" t="str">
        <f>"$ 338966,30"</f>
        <v>$ 338966,30</v>
      </c>
      <c r="E2318" t="str">
        <f>"$ 338966,30"</f>
        <v>$ 338966,30</v>
      </c>
      <c r="F2318" t="str">
        <f>"$ 338966,30"</f>
        <v>$ 338966,30</v>
      </c>
      <c r="G2318" t="str">
        <f>"$ 338966,30"</f>
        <v>$ 338966,30</v>
      </c>
      <c r="H2318" t="str">
        <f t="shared" si="1487"/>
        <v>$ 0,00</v>
      </c>
      <c r="I2318" t="str">
        <f t="shared" si="1509"/>
        <v>KIT DE DISTRIBUCION LUCAS CON CADENA</v>
      </c>
      <c r="J2318" t="str">
        <f t="shared" si="1488"/>
        <v>1</v>
      </c>
      <c r="K2318" t="str">
        <f t="shared" si="1471"/>
        <v>0</v>
      </c>
      <c r="L2318" t="str">
        <f>"2,000"</f>
        <v>2,000</v>
      </c>
      <c r="M2318" t="str">
        <f t="shared" si="1489"/>
        <v xml:space="preserve"> </v>
      </c>
      <c r="N2318" t="str">
        <f t="shared" si="1508"/>
        <v>LUCAS</v>
      </c>
      <c r="O2318" t="str">
        <f t="shared" si="1506"/>
        <v>DISTRIBUCION</v>
      </c>
      <c r="P2318" t="str">
        <f t="shared" si="1485"/>
        <v>0</v>
      </c>
      <c r="Q2318" t="str">
        <f t="shared" si="1485"/>
        <v>0</v>
      </c>
      <c r="R2318" t="str">
        <f t="shared" si="1486"/>
        <v>0,00</v>
      </c>
      <c r="S2318" t="str">
        <f t="shared" si="1486"/>
        <v>0,00</v>
      </c>
      <c r="T2318" t="str">
        <f t="shared" si="1510"/>
        <v xml:space="preserve"> </v>
      </c>
      <c r="U2318" t="str">
        <f t="shared" si="1511"/>
        <v>-</v>
      </c>
      <c r="V2318" t="str">
        <f>"2,000"</f>
        <v>2,000</v>
      </c>
      <c r="W2318" t="str">
        <f t="shared" si="1490"/>
        <v>Lista 4</v>
      </c>
      <c r="X2318" t="str">
        <f t="shared" si="1491"/>
        <v>Lista 5</v>
      </c>
      <c r="Y2318" t="str">
        <f t="shared" si="1492"/>
        <v>Oferta Gral.</v>
      </c>
      <c r="Z2318" t="str">
        <f t="shared" si="1493"/>
        <v>Rubro</v>
      </c>
      <c r="AA2318" t="str">
        <f t="shared" si="1494"/>
        <v>Cantidad por Bulto</v>
      </c>
      <c r="AB2318" t="str">
        <f t="shared" si="1495"/>
        <v>INNER</v>
      </c>
      <c r="AC2318" t="str">
        <f t="shared" si="1496"/>
        <v>Stock en Bultos</v>
      </c>
      <c r="AD2318" t="str">
        <f t="shared" si="1497"/>
        <v>SubDepósito</v>
      </c>
      <c r="AE2318" t="str">
        <f t="shared" si="1498"/>
        <v>Marca</v>
      </c>
      <c r="AF2318" t="str">
        <f t="shared" si="1499"/>
        <v>Super Rubro</v>
      </c>
      <c r="AG2318" t="str">
        <f t="shared" si="1500"/>
        <v>ComercioExterior</v>
      </c>
      <c r="AH2318" t="str">
        <f t="shared" si="1501"/>
        <v>PrecioFOB</v>
      </c>
      <c r="AI2318" t="str">
        <f t="shared" si="1502"/>
        <v>Monto II</v>
      </c>
      <c r="AJ2318" t="str">
        <f t="shared" si="1503"/>
        <v>Porcentaje II</v>
      </c>
      <c r="AK2318" t="str">
        <f t="shared" si="1504"/>
        <v>Foto</v>
      </c>
      <c r="AL2318" t="str">
        <f t="shared" si="1512"/>
        <v xml:space="preserve"> </v>
      </c>
      <c r="AM2318" t="str">
        <f t="shared" si="1505"/>
        <v xml:space="preserve"> </v>
      </c>
    </row>
    <row r="2319" spans="1:39" x14ac:dyDescent="0.25">
      <c r="A2319" t="str">
        <f>"LKTCN4602"</f>
        <v>LKTCN4602</v>
      </c>
      <c r="B2319" t="str">
        <f>"KIT DE DISTRIBUCION CON CADENA FORD RANGER 2,2 TDCI PUMA 4 CIL"</f>
        <v>KIT DE DISTRIBUCION CON CADENA FORD RANGER 2,2 TDCI PUMA 4 CIL</v>
      </c>
      <c r="C2319" t="str">
        <f>"$ 189421,95"</f>
        <v>$ 189421,95</v>
      </c>
      <c r="D2319" t="str">
        <f>"$ 189421,95"</f>
        <v>$ 189421,95</v>
      </c>
      <c r="E2319" t="str">
        <f>"$ 189421,95"</f>
        <v>$ 189421,95</v>
      </c>
      <c r="F2319" t="str">
        <f>"$ 189421,95"</f>
        <v>$ 189421,95</v>
      </c>
      <c r="G2319" t="str">
        <f>"$ 189421,95"</f>
        <v>$ 189421,95</v>
      </c>
      <c r="H2319" t="str">
        <f t="shared" si="1487"/>
        <v>$ 0,00</v>
      </c>
      <c r="I2319" t="str">
        <f t="shared" si="1509"/>
        <v>KIT DE DISTRIBUCION LUCAS CON CADENA</v>
      </c>
      <c r="J2319" t="str">
        <f t="shared" si="1488"/>
        <v>1</v>
      </c>
      <c r="K2319" t="str">
        <f t="shared" si="1471"/>
        <v>0</v>
      </c>
      <c r="L2319" t="str">
        <f>"2,000"</f>
        <v>2,000</v>
      </c>
      <c r="M2319" t="str">
        <f t="shared" si="1489"/>
        <v xml:space="preserve"> </v>
      </c>
      <c r="N2319" t="str">
        <f t="shared" si="1508"/>
        <v>LUCAS</v>
      </c>
      <c r="O2319" t="str">
        <f t="shared" si="1506"/>
        <v>DISTRIBUCION</v>
      </c>
      <c r="P2319" t="str">
        <f t="shared" si="1485"/>
        <v>0</v>
      </c>
      <c r="Q2319" t="str">
        <f t="shared" si="1485"/>
        <v>0</v>
      </c>
      <c r="R2319" t="str">
        <f t="shared" si="1486"/>
        <v>0,00</v>
      </c>
      <c r="S2319" t="str">
        <f t="shared" si="1486"/>
        <v>0,00</v>
      </c>
      <c r="T2319" t="str">
        <f t="shared" si="1510"/>
        <v xml:space="preserve"> </v>
      </c>
      <c r="U2319" t="str">
        <f t="shared" si="1511"/>
        <v>-</v>
      </c>
      <c r="V2319" t="str">
        <f>"2,000"</f>
        <v>2,000</v>
      </c>
      <c r="W2319" t="str">
        <f t="shared" si="1490"/>
        <v>Lista 4</v>
      </c>
      <c r="X2319" t="str">
        <f t="shared" si="1491"/>
        <v>Lista 5</v>
      </c>
      <c r="Y2319" t="str">
        <f t="shared" si="1492"/>
        <v>Oferta Gral.</v>
      </c>
      <c r="Z2319" t="str">
        <f t="shared" si="1493"/>
        <v>Rubro</v>
      </c>
      <c r="AA2319" t="str">
        <f t="shared" si="1494"/>
        <v>Cantidad por Bulto</v>
      </c>
      <c r="AB2319" t="str">
        <f t="shared" si="1495"/>
        <v>INNER</v>
      </c>
      <c r="AC2319" t="str">
        <f t="shared" si="1496"/>
        <v>Stock en Bultos</v>
      </c>
      <c r="AD2319" t="str">
        <f t="shared" si="1497"/>
        <v>SubDepósito</v>
      </c>
      <c r="AE2319" t="str">
        <f t="shared" si="1498"/>
        <v>Marca</v>
      </c>
      <c r="AF2319" t="str">
        <f t="shared" si="1499"/>
        <v>Super Rubro</v>
      </c>
      <c r="AG2319" t="str">
        <f t="shared" si="1500"/>
        <v>ComercioExterior</v>
      </c>
      <c r="AH2319" t="str">
        <f t="shared" si="1501"/>
        <v>PrecioFOB</v>
      </c>
      <c r="AI2319" t="str">
        <f t="shared" si="1502"/>
        <v>Monto II</v>
      </c>
      <c r="AJ2319" t="str">
        <f t="shared" si="1503"/>
        <v>Porcentaje II</v>
      </c>
      <c r="AK2319" t="str">
        <f t="shared" si="1504"/>
        <v>Foto</v>
      </c>
      <c r="AL2319" t="str">
        <f t="shared" si="1512"/>
        <v xml:space="preserve"> </v>
      </c>
      <c r="AM2319" t="str">
        <f t="shared" si="1505"/>
        <v xml:space="preserve"> </v>
      </c>
    </row>
    <row r="2320" spans="1:39" x14ac:dyDescent="0.25">
      <c r="A2320" t="str">
        <f>"LKTCN4601"</f>
        <v>LKTCN4601</v>
      </c>
      <c r="B2320" t="str">
        <f>"KIT DE DISTRIBUCION CON CADENA FORD RANGER 3.2 TDCI PUMA 5 CIL"</f>
        <v>KIT DE DISTRIBUCION CON CADENA FORD RANGER 3.2 TDCI PUMA 5 CIL</v>
      </c>
      <c r="C2320" t="str">
        <f>"$ 314104,29"</f>
        <v>$ 314104,29</v>
      </c>
      <c r="D2320" t="str">
        <f>"$ 314104,29"</f>
        <v>$ 314104,29</v>
      </c>
      <c r="E2320" t="str">
        <f>"$ 314104,29"</f>
        <v>$ 314104,29</v>
      </c>
      <c r="F2320" t="str">
        <f>"$ 314104,29"</f>
        <v>$ 314104,29</v>
      </c>
      <c r="G2320" t="str">
        <f>"$ 314104,29"</f>
        <v>$ 314104,29</v>
      </c>
      <c r="H2320" t="str">
        <f t="shared" si="1487"/>
        <v>$ 0,00</v>
      </c>
      <c r="I2320" t="str">
        <f t="shared" si="1509"/>
        <v>KIT DE DISTRIBUCION LUCAS CON CADENA</v>
      </c>
      <c r="J2320" t="str">
        <f t="shared" si="1488"/>
        <v>1</v>
      </c>
      <c r="K2320" t="str">
        <f t="shared" si="1471"/>
        <v>0</v>
      </c>
      <c r="L2320" t="str">
        <f>"2,000"</f>
        <v>2,000</v>
      </c>
      <c r="M2320" t="str">
        <f t="shared" si="1489"/>
        <v xml:space="preserve"> </v>
      </c>
      <c r="N2320" t="str">
        <f t="shared" si="1508"/>
        <v>LUCAS</v>
      </c>
      <c r="O2320" t="str">
        <f t="shared" si="1506"/>
        <v>DISTRIBUCION</v>
      </c>
      <c r="P2320" t="str">
        <f t="shared" si="1485"/>
        <v>0</v>
      </c>
      <c r="Q2320" t="str">
        <f t="shared" si="1485"/>
        <v>0</v>
      </c>
      <c r="R2320" t="str">
        <f t="shared" si="1486"/>
        <v>0,00</v>
      </c>
      <c r="S2320" t="str">
        <f t="shared" si="1486"/>
        <v>0,00</v>
      </c>
      <c r="T2320" t="str">
        <f t="shared" si="1510"/>
        <v xml:space="preserve"> </v>
      </c>
      <c r="U2320" t="str">
        <f t="shared" si="1511"/>
        <v>-</v>
      </c>
      <c r="V2320" t="str">
        <f>"2,000"</f>
        <v>2,000</v>
      </c>
      <c r="W2320" t="str">
        <f t="shared" si="1490"/>
        <v>Lista 4</v>
      </c>
      <c r="X2320" t="str">
        <f t="shared" si="1491"/>
        <v>Lista 5</v>
      </c>
      <c r="Y2320" t="str">
        <f t="shared" si="1492"/>
        <v>Oferta Gral.</v>
      </c>
      <c r="Z2320" t="str">
        <f t="shared" si="1493"/>
        <v>Rubro</v>
      </c>
      <c r="AA2320" t="str">
        <f t="shared" si="1494"/>
        <v>Cantidad por Bulto</v>
      </c>
      <c r="AB2320" t="str">
        <f t="shared" si="1495"/>
        <v>INNER</v>
      </c>
      <c r="AC2320" t="str">
        <f t="shared" si="1496"/>
        <v>Stock en Bultos</v>
      </c>
      <c r="AD2320" t="str">
        <f t="shared" si="1497"/>
        <v>SubDepósito</v>
      </c>
      <c r="AE2320" t="str">
        <f t="shared" si="1498"/>
        <v>Marca</v>
      </c>
      <c r="AF2320" t="str">
        <f t="shared" si="1499"/>
        <v>Super Rubro</v>
      </c>
      <c r="AG2320" t="str">
        <f t="shared" si="1500"/>
        <v>ComercioExterior</v>
      </c>
      <c r="AH2320" t="str">
        <f t="shared" si="1501"/>
        <v>PrecioFOB</v>
      </c>
      <c r="AI2320" t="str">
        <f t="shared" si="1502"/>
        <v>Monto II</v>
      </c>
      <c r="AJ2320" t="str">
        <f t="shared" si="1503"/>
        <v>Porcentaje II</v>
      </c>
      <c r="AK2320" t="str">
        <f t="shared" si="1504"/>
        <v>Foto</v>
      </c>
      <c r="AL2320" t="str">
        <f t="shared" si="1512"/>
        <v xml:space="preserve"> </v>
      </c>
      <c r="AM2320" t="str">
        <f t="shared" si="1505"/>
        <v xml:space="preserve"> </v>
      </c>
    </row>
    <row r="2321" spans="1:39" x14ac:dyDescent="0.25">
      <c r="A2321" t="str">
        <f>"LKTCN1071"</f>
        <v>LKTCN1071</v>
      </c>
      <c r="B2321" t="str">
        <f>"KIT DE DISTRIBUCION CON CADENA PEUGEOT 308 CITROEN C4 1.6 16V THP"</f>
        <v>KIT DE DISTRIBUCION CON CADENA PEUGEOT 308 CITROEN C4 1.6 16V THP</v>
      </c>
      <c r="C2321" t="str">
        <f>"$ 180847,37"</f>
        <v>$ 180847,37</v>
      </c>
      <c r="D2321" t="str">
        <f>"$ 180847,37"</f>
        <v>$ 180847,37</v>
      </c>
      <c r="E2321" t="str">
        <f>"$ 180847,37"</f>
        <v>$ 180847,37</v>
      </c>
      <c r="F2321" t="str">
        <f>"$ 180847,37"</f>
        <v>$ 180847,37</v>
      </c>
      <c r="G2321" t="str">
        <f>"$ 180847,37"</f>
        <v>$ 180847,37</v>
      </c>
      <c r="H2321" t="str">
        <f t="shared" si="1487"/>
        <v>$ 0,00</v>
      </c>
      <c r="I2321" t="str">
        <f t="shared" si="1509"/>
        <v>KIT DE DISTRIBUCION LUCAS CON CADENA</v>
      </c>
      <c r="J2321" t="str">
        <f t="shared" si="1488"/>
        <v>1</v>
      </c>
      <c r="K2321" t="str">
        <f t="shared" si="1471"/>
        <v>0</v>
      </c>
      <c r="L2321" t="str">
        <f>"3,000"</f>
        <v>3,000</v>
      </c>
      <c r="M2321" t="str">
        <f t="shared" si="1489"/>
        <v xml:space="preserve"> </v>
      </c>
      <c r="N2321" t="str">
        <f t="shared" si="1508"/>
        <v>LUCAS</v>
      </c>
      <c r="O2321" t="str">
        <f t="shared" si="1506"/>
        <v>DISTRIBUCION</v>
      </c>
      <c r="P2321" t="str">
        <f t="shared" si="1485"/>
        <v>0</v>
      </c>
      <c r="Q2321" t="str">
        <f t="shared" si="1485"/>
        <v>0</v>
      </c>
      <c r="R2321" t="str">
        <f t="shared" si="1486"/>
        <v>0,00</v>
      </c>
      <c r="S2321" t="str">
        <f t="shared" si="1486"/>
        <v>0,00</v>
      </c>
      <c r="T2321" t="str">
        <f t="shared" si="1510"/>
        <v xml:space="preserve"> </v>
      </c>
      <c r="U2321" t="str">
        <f t="shared" si="1511"/>
        <v>-</v>
      </c>
      <c r="V2321" t="str">
        <f>"3,000"</f>
        <v>3,000</v>
      </c>
      <c r="W2321" t="str">
        <f t="shared" si="1490"/>
        <v>Lista 4</v>
      </c>
      <c r="X2321" t="str">
        <f t="shared" si="1491"/>
        <v>Lista 5</v>
      </c>
      <c r="Y2321" t="str">
        <f t="shared" si="1492"/>
        <v>Oferta Gral.</v>
      </c>
      <c r="Z2321" t="str">
        <f t="shared" si="1493"/>
        <v>Rubro</v>
      </c>
      <c r="AA2321" t="str">
        <f t="shared" si="1494"/>
        <v>Cantidad por Bulto</v>
      </c>
      <c r="AB2321" t="str">
        <f t="shared" si="1495"/>
        <v>INNER</v>
      </c>
      <c r="AC2321" t="str">
        <f t="shared" si="1496"/>
        <v>Stock en Bultos</v>
      </c>
      <c r="AD2321" t="str">
        <f t="shared" si="1497"/>
        <v>SubDepósito</v>
      </c>
      <c r="AE2321" t="str">
        <f t="shared" si="1498"/>
        <v>Marca</v>
      </c>
      <c r="AF2321" t="str">
        <f t="shared" si="1499"/>
        <v>Super Rubro</v>
      </c>
      <c r="AG2321" t="str">
        <f t="shared" si="1500"/>
        <v>ComercioExterior</v>
      </c>
      <c r="AH2321" t="str">
        <f t="shared" si="1501"/>
        <v>PrecioFOB</v>
      </c>
      <c r="AI2321" t="str">
        <f t="shared" si="1502"/>
        <v>Monto II</v>
      </c>
      <c r="AJ2321" t="str">
        <f t="shared" si="1503"/>
        <v>Porcentaje II</v>
      </c>
      <c r="AK2321" t="str">
        <f t="shared" si="1504"/>
        <v>Foto</v>
      </c>
      <c r="AL2321" t="str">
        <f t="shared" si="1512"/>
        <v xml:space="preserve"> </v>
      </c>
      <c r="AM2321" t="str">
        <f t="shared" si="1505"/>
        <v xml:space="preserve"> </v>
      </c>
    </row>
    <row r="2322" spans="1:39" x14ac:dyDescent="0.25">
      <c r="A2322" t="str">
        <f>"LKTCN1280"</f>
        <v>LKTCN1280</v>
      </c>
      <c r="B2322" t="str">
        <f>"KIT DE DISTRIBUCION CON CADENA VW GOLF PASSAT 1.8 2.0 TFSI"</f>
        <v>KIT DE DISTRIBUCION CON CADENA VW GOLF PASSAT 1.8 2.0 TFSI</v>
      </c>
      <c r="C2322" t="str">
        <f>"$ 277045,01"</f>
        <v>$ 277045,01</v>
      </c>
      <c r="D2322" t="str">
        <f>"$ 277045,01"</f>
        <v>$ 277045,01</v>
      </c>
      <c r="E2322" t="str">
        <f>"$ 277045,01"</f>
        <v>$ 277045,01</v>
      </c>
      <c r="F2322" t="str">
        <f>"$ 277045,01"</f>
        <v>$ 277045,01</v>
      </c>
      <c r="G2322" t="str">
        <f>"$ 277045,01"</f>
        <v>$ 277045,01</v>
      </c>
      <c r="H2322" t="str">
        <f t="shared" si="1487"/>
        <v>$ 0,00</v>
      </c>
      <c r="I2322" t="str">
        <f t="shared" si="1509"/>
        <v>KIT DE DISTRIBUCION LUCAS CON CADENA</v>
      </c>
      <c r="J2322" t="str">
        <f t="shared" si="1488"/>
        <v>1</v>
      </c>
      <c r="K2322" t="str">
        <f t="shared" si="1471"/>
        <v>0</v>
      </c>
      <c r="L2322" t="str">
        <f>"2,000"</f>
        <v>2,000</v>
      </c>
      <c r="M2322" t="str">
        <f t="shared" si="1489"/>
        <v xml:space="preserve"> </v>
      </c>
      <c r="N2322" t="str">
        <f t="shared" si="1508"/>
        <v>LUCAS</v>
      </c>
      <c r="O2322" t="str">
        <f t="shared" si="1506"/>
        <v>DISTRIBUCION</v>
      </c>
      <c r="P2322" t="str">
        <f t="shared" si="1485"/>
        <v>0</v>
      </c>
      <c r="Q2322" t="str">
        <f t="shared" si="1485"/>
        <v>0</v>
      </c>
      <c r="R2322" t="str">
        <f t="shared" si="1486"/>
        <v>0,00</v>
      </c>
      <c r="S2322" t="str">
        <f t="shared" si="1486"/>
        <v>0,00</v>
      </c>
      <c r="T2322" t="str">
        <f t="shared" si="1510"/>
        <v xml:space="preserve"> </v>
      </c>
      <c r="U2322" t="str">
        <f t="shared" si="1511"/>
        <v>-</v>
      </c>
      <c r="V2322" t="str">
        <f>"2,000"</f>
        <v>2,000</v>
      </c>
      <c r="W2322" t="str">
        <f t="shared" si="1490"/>
        <v>Lista 4</v>
      </c>
      <c r="X2322" t="str">
        <f t="shared" si="1491"/>
        <v>Lista 5</v>
      </c>
      <c r="Y2322" t="str">
        <f t="shared" si="1492"/>
        <v>Oferta Gral.</v>
      </c>
      <c r="Z2322" t="str">
        <f t="shared" si="1493"/>
        <v>Rubro</v>
      </c>
      <c r="AA2322" t="str">
        <f t="shared" si="1494"/>
        <v>Cantidad por Bulto</v>
      </c>
      <c r="AB2322" t="str">
        <f t="shared" si="1495"/>
        <v>INNER</v>
      </c>
      <c r="AC2322" t="str">
        <f t="shared" si="1496"/>
        <v>Stock en Bultos</v>
      </c>
      <c r="AD2322" t="str">
        <f t="shared" si="1497"/>
        <v>SubDepósito</v>
      </c>
      <c r="AE2322" t="str">
        <f t="shared" si="1498"/>
        <v>Marca</v>
      </c>
      <c r="AF2322" t="str">
        <f t="shared" si="1499"/>
        <v>Super Rubro</v>
      </c>
      <c r="AG2322" t="str">
        <f t="shared" si="1500"/>
        <v>ComercioExterior</v>
      </c>
      <c r="AH2322" t="str">
        <f t="shared" si="1501"/>
        <v>PrecioFOB</v>
      </c>
      <c r="AI2322" t="str">
        <f t="shared" si="1502"/>
        <v>Monto II</v>
      </c>
      <c r="AJ2322" t="str">
        <f t="shared" si="1503"/>
        <v>Porcentaje II</v>
      </c>
      <c r="AK2322" t="str">
        <f t="shared" si="1504"/>
        <v>Foto</v>
      </c>
      <c r="AL2322" t="str">
        <f t="shared" si="1512"/>
        <v xml:space="preserve"> </v>
      </c>
      <c r="AM2322" t="str">
        <f t="shared" si="1505"/>
        <v xml:space="preserve"> </v>
      </c>
    </row>
    <row r="2323" spans="1:39" x14ac:dyDescent="0.25">
      <c r="A2323" t="str">
        <f>"FM010495"</f>
        <v>FM010495</v>
      </c>
      <c r="B2323" t="str">
        <f>"KIT DE DISTRIBUCION DUCATO MASTER 2.8 DTI 154 X 300"</f>
        <v>KIT DE DISTRIBUCION DUCATO MASTER 2.8 DTI 154 X 300</v>
      </c>
      <c r="C2323" t="str">
        <f>"$ 121703,07"</f>
        <v>$ 121703,07</v>
      </c>
      <c r="D2323" t="str">
        <f>"$ 121703,07"</f>
        <v>$ 121703,07</v>
      </c>
      <c r="E2323" t="str">
        <f>"$ 121703,07"</f>
        <v>$ 121703,07</v>
      </c>
      <c r="F2323" t="str">
        <f>"$ 121703,07"</f>
        <v>$ 121703,07</v>
      </c>
      <c r="G2323" t="str">
        <f>"$ 121703,07"</f>
        <v>$ 121703,07</v>
      </c>
      <c r="H2323" t="str">
        <f t="shared" si="1487"/>
        <v>$ 0,00</v>
      </c>
      <c r="I2323" t="str">
        <f>"KIT DE DISTRIBUCION MICHELIN"</f>
        <v>KIT DE DISTRIBUCION MICHELIN</v>
      </c>
      <c r="J2323" t="str">
        <f t="shared" si="1488"/>
        <v>1</v>
      </c>
      <c r="K2323" t="str">
        <f t="shared" si="1471"/>
        <v>0</v>
      </c>
      <c r="L2323" t="str">
        <f>"10,000"</f>
        <v>10,000</v>
      </c>
      <c r="M2323" t="str">
        <f t="shared" si="1489"/>
        <v xml:space="preserve"> </v>
      </c>
      <c r="N2323" t="str">
        <f>"MICHELIN"</f>
        <v>MICHELIN</v>
      </c>
      <c r="O2323" t="str">
        <f t="shared" si="1506"/>
        <v>DISTRIBUCION</v>
      </c>
      <c r="P2323" t="str">
        <f t="shared" ref="P2323:Q2342" si="1513">"0"</f>
        <v>0</v>
      </c>
      <c r="Q2323" t="str">
        <f t="shared" si="1513"/>
        <v>0</v>
      </c>
      <c r="R2323" t="str">
        <f t="shared" ref="R2323:S2342" si="1514">"0,00"</f>
        <v>0,00</v>
      </c>
      <c r="S2323" t="str">
        <f t="shared" si="1514"/>
        <v>0,00</v>
      </c>
      <c r="T2323" t="str">
        <f>"-"</f>
        <v>-</v>
      </c>
      <c r="U2323" t="str">
        <f t="shared" si="1511"/>
        <v>-</v>
      </c>
      <c r="V2323" t="str">
        <f>"10,000"</f>
        <v>10,000</v>
      </c>
      <c r="W2323" t="str">
        <f t="shared" si="1490"/>
        <v>Lista 4</v>
      </c>
      <c r="X2323" t="str">
        <f t="shared" si="1491"/>
        <v>Lista 5</v>
      </c>
      <c r="Y2323" t="str">
        <f t="shared" si="1492"/>
        <v>Oferta Gral.</v>
      </c>
      <c r="Z2323" t="str">
        <f t="shared" si="1493"/>
        <v>Rubro</v>
      </c>
      <c r="AA2323" t="str">
        <f t="shared" si="1494"/>
        <v>Cantidad por Bulto</v>
      </c>
      <c r="AB2323" t="str">
        <f t="shared" si="1495"/>
        <v>INNER</v>
      </c>
      <c r="AC2323" t="str">
        <f t="shared" si="1496"/>
        <v>Stock en Bultos</v>
      </c>
      <c r="AD2323" t="str">
        <f t="shared" si="1497"/>
        <v>SubDepósito</v>
      </c>
      <c r="AE2323" t="str">
        <f t="shared" si="1498"/>
        <v>Marca</v>
      </c>
      <c r="AF2323" t="str">
        <f t="shared" si="1499"/>
        <v>Super Rubro</v>
      </c>
      <c r="AG2323" t="str">
        <f t="shared" si="1500"/>
        <v>ComercioExterior</v>
      </c>
      <c r="AH2323" t="str">
        <f t="shared" si="1501"/>
        <v>PrecioFOB</v>
      </c>
      <c r="AI2323" t="str">
        <f t="shared" si="1502"/>
        <v>Monto II</v>
      </c>
      <c r="AJ2323" t="str">
        <f t="shared" si="1503"/>
        <v>Porcentaje II</v>
      </c>
      <c r="AK2323" t="str">
        <f t="shared" si="1504"/>
        <v>Foto</v>
      </c>
      <c r="AL2323" t="str">
        <f>"{\rtf1\ansi\ansicpg1252\deff0\deflang2058{\fonttbl{\f0\fnil\fcharset0 MS Sans Serif}} \viewkind4\uc1\pard\f0\fs16 KIT DE DISTRIBUCION DUCATO MASTER 2.8 DTI 154 X 300\par } "</f>
        <v xml:space="preserve">{\rtf1\ansi\ansicpg1252\deff0\deflang2058{\fonttbl{\f0\fnil\fcharset0 MS Sans Serif}} \viewkind4\uc1\pard\f0\fs16 KIT DE DISTRIBUCION DUCATO MASTER 2.8 DTI 154 X 300\par } </v>
      </c>
      <c r="AM2323" t="str">
        <f t="shared" si="1505"/>
        <v xml:space="preserve"> </v>
      </c>
    </row>
    <row r="2324" spans="1:39" x14ac:dyDescent="0.25">
      <c r="A2324" t="str">
        <f>"FM010177"</f>
        <v>FM010177</v>
      </c>
      <c r="B2324" t="str">
        <f>"KIT DE DISTRIBUCION DUNA UNO MOTOR TIPO 1.4 1.6"</f>
        <v>KIT DE DISTRIBUCION DUNA UNO MOTOR TIPO 1.4 1.6</v>
      </c>
      <c r="C2324" t="str">
        <f>"$ 27946,09"</f>
        <v>$ 27946,09</v>
      </c>
      <c r="D2324" t="str">
        <f>"$ 27946,09"</f>
        <v>$ 27946,09</v>
      </c>
      <c r="E2324" t="str">
        <f>"$ 27946,09"</f>
        <v>$ 27946,09</v>
      </c>
      <c r="F2324" t="str">
        <f>"$ 27946,09"</f>
        <v>$ 27946,09</v>
      </c>
      <c r="G2324" t="str">
        <f>"$ 27946,09"</f>
        <v>$ 27946,09</v>
      </c>
      <c r="H2324" t="str">
        <f t="shared" si="1487"/>
        <v>$ 0,00</v>
      </c>
      <c r="I2324" t="str">
        <f>"KIT DE DISTRIBUCION MICHELIN"</f>
        <v>KIT DE DISTRIBUCION MICHELIN</v>
      </c>
      <c r="J2324" t="str">
        <f t="shared" si="1488"/>
        <v>1</v>
      </c>
      <c r="K2324" t="str">
        <f t="shared" si="1471"/>
        <v>0</v>
      </c>
      <c r="L2324" t="str">
        <f>"38,000"</f>
        <v>38,000</v>
      </c>
      <c r="M2324" t="str">
        <f t="shared" si="1489"/>
        <v xml:space="preserve"> </v>
      </c>
      <c r="N2324" t="str">
        <f>"MICHELIN"</f>
        <v>MICHELIN</v>
      </c>
      <c r="O2324" t="str">
        <f t="shared" si="1506"/>
        <v>DISTRIBUCION</v>
      </c>
      <c r="P2324" t="str">
        <f t="shared" si="1513"/>
        <v>0</v>
      </c>
      <c r="Q2324" t="str">
        <f t="shared" si="1513"/>
        <v>0</v>
      </c>
      <c r="R2324" t="str">
        <f t="shared" si="1514"/>
        <v>0,00</v>
      </c>
      <c r="S2324" t="str">
        <f t="shared" si="1514"/>
        <v>0,00</v>
      </c>
      <c r="T2324" t="str">
        <f>"-"</f>
        <v>-</v>
      </c>
      <c r="U2324" t="str">
        <f t="shared" si="1511"/>
        <v>-</v>
      </c>
      <c r="V2324" t="str">
        <f>"38,000"</f>
        <v>38,000</v>
      </c>
      <c r="W2324" t="str">
        <f t="shared" si="1490"/>
        <v>Lista 4</v>
      </c>
      <c r="X2324" t="str">
        <f t="shared" si="1491"/>
        <v>Lista 5</v>
      </c>
      <c r="Y2324" t="str">
        <f t="shared" si="1492"/>
        <v>Oferta Gral.</v>
      </c>
      <c r="Z2324" t="str">
        <f t="shared" si="1493"/>
        <v>Rubro</v>
      </c>
      <c r="AA2324" t="str">
        <f t="shared" si="1494"/>
        <v>Cantidad por Bulto</v>
      </c>
      <c r="AB2324" t="str">
        <f t="shared" si="1495"/>
        <v>INNER</v>
      </c>
      <c r="AC2324" t="str">
        <f t="shared" si="1496"/>
        <v>Stock en Bultos</v>
      </c>
      <c r="AD2324" t="str">
        <f t="shared" si="1497"/>
        <v>SubDepósito</v>
      </c>
      <c r="AE2324" t="str">
        <f t="shared" si="1498"/>
        <v>Marca</v>
      </c>
      <c r="AF2324" t="str">
        <f t="shared" si="1499"/>
        <v>Super Rubro</v>
      </c>
      <c r="AG2324" t="str">
        <f t="shared" si="1500"/>
        <v>ComercioExterior</v>
      </c>
      <c r="AH2324" t="str">
        <f t="shared" si="1501"/>
        <v>PrecioFOB</v>
      </c>
      <c r="AI2324" t="str">
        <f t="shared" si="1502"/>
        <v>Monto II</v>
      </c>
      <c r="AJ2324" t="str">
        <f t="shared" si="1503"/>
        <v>Porcentaje II</v>
      </c>
      <c r="AK2324" t="str">
        <f t="shared" si="1504"/>
        <v>Foto</v>
      </c>
      <c r="AL2324" t="str">
        <f>"{\rtf1\ansi\ansicpg1252\deff0\deflang2058{\fonttbl{\f0\fnil\fcharset0 MS Sans Serif}} \viewkind4\uc1\pard\f0\fs16 KIT DE DISTRIBUCION DUNA UNO MOTOR TIPO 1.4 1.6\par } "</f>
        <v xml:space="preserve">{\rtf1\ansi\ansicpg1252\deff0\deflang2058{\fonttbl{\f0\fnil\fcharset0 MS Sans Serif}} \viewkind4\uc1\pard\f0\fs16 KIT DE DISTRIBUCION DUNA UNO MOTOR TIPO 1.4 1.6\par } </v>
      </c>
      <c r="AM2324" t="str">
        <f t="shared" si="1505"/>
        <v xml:space="preserve"> </v>
      </c>
    </row>
    <row r="2325" spans="1:39" x14ac:dyDescent="0.25">
      <c r="A2325" t="str">
        <f>"LKTBN201"</f>
        <v>LKTBN201</v>
      </c>
      <c r="B2325" t="str">
        <f>"KIT DE DISTRIBUCION ESCORT GALAXY VW GOL POLO SENDA MOTOR AUDI 1.6 1.8 2.0 "</f>
        <v xml:space="preserve">KIT DE DISTRIBUCION ESCORT GALAXY VW GOL POLO SENDA MOTOR AUDI 1.6 1.8 2.0 </v>
      </c>
      <c r="C2325" t="str">
        <f>"$ 37321,70"</f>
        <v>$ 37321,70</v>
      </c>
      <c r="D2325" t="str">
        <f>"$ 37321,70"</f>
        <v>$ 37321,70</v>
      </c>
      <c r="E2325" t="str">
        <f>"$ 37321,70"</f>
        <v>$ 37321,70</v>
      </c>
      <c r="F2325" t="str">
        <f>"$ 37321,70"</f>
        <v>$ 37321,70</v>
      </c>
      <c r="G2325" t="str">
        <f>"$ 37321,70"</f>
        <v>$ 37321,70</v>
      </c>
      <c r="H2325" t="str">
        <f t="shared" si="1487"/>
        <v>$ 0,00</v>
      </c>
      <c r="I2325" t="str">
        <f>"KIT DE DISTRIBUCION LUCAS"</f>
        <v>KIT DE DISTRIBUCION LUCAS</v>
      </c>
      <c r="J2325" t="str">
        <f t="shared" si="1488"/>
        <v>1</v>
      </c>
      <c r="K2325" t="str">
        <f t="shared" ref="K2325:K2388" si="1515">"0"</f>
        <v>0</v>
      </c>
      <c r="L2325" t="str">
        <f>"13,000"</f>
        <v>13,000</v>
      </c>
      <c r="M2325" t="str">
        <f t="shared" si="1489"/>
        <v xml:space="preserve"> </v>
      </c>
      <c r="N2325" t="str">
        <f>"LUCAS"</f>
        <v>LUCAS</v>
      </c>
      <c r="O2325" t="str">
        <f t="shared" si="1506"/>
        <v>DISTRIBUCION</v>
      </c>
      <c r="P2325" t="str">
        <f t="shared" si="1513"/>
        <v>0</v>
      </c>
      <c r="Q2325" t="str">
        <f t="shared" si="1513"/>
        <v>0</v>
      </c>
      <c r="R2325" t="str">
        <f t="shared" si="1514"/>
        <v>0,00</v>
      </c>
      <c r="S2325" t="str">
        <f t="shared" si="1514"/>
        <v>0,00</v>
      </c>
      <c r="T2325" t="str">
        <f>" "</f>
        <v xml:space="preserve"> </v>
      </c>
      <c r="U2325" t="str">
        <f>" "</f>
        <v xml:space="preserve"> </v>
      </c>
      <c r="V2325" t="str">
        <f>"13,000"</f>
        <v>13,000</v>
      </c>
      <c r="W2325" t="str">
        <f t="shared" si="1490"/>
        <v>Lista 4</v>
      </c>
      <c r="X2325" t="str">
        <f t="shared" si="1491"/>
        <v>Lista 5</v>
      </c>
      <c r="Y2325" t="str">
        <f t="shared" si="1492"/>
        <v>Oferta Gral.</v>
      </c>
      <c r="Z2325" t="str">
        <f t="shared" si="1493"/>
        <v>Rubro</v>
      </c>
      <c r="AA2325" t="str">
        <f t="shared" si="1494"/>
        <v>Cantidad por Bulto</v>
      </c>
      <c r="AB2325" t="str">
        <f t="shared" si="1495"/>
        <v>INNER</v>
      </c>
      <c r="AC2325" t="str">
        <f t="shared" si="1496"/>
        <v>Stock en Bultos</v>
      </c>
      <c r="AD2325" t="str">
        <f t="shared" si="1497"/>
        <v>SubDepósito</v>
      </c>
      <c r="AE2325" t="str">
        <f t="shared" si="1498"/>
        <v>Marca</v>
      </c>
      <c r="AF2325" t="str">
        <f t="shared" si="1499"/>
        <v>Super Rubro</v>
      </c>
      <c r="AG2325" t="str">
        <f t="shared" si="1500"/>
        <v>ComercioExterior</v>
      </c>
      <c r="AH2325" t="str">
        <f t="shared" si="1501"/>
        <v>PrecioFOB</v>
      </c>
      <c r="AI2325" t="str">
        <f t="shared" si="1502"/>
        <v>Monto II</v>
      </c>
      <c r="AJ2325" t="str">
        <f t="shared" si="1503"/>
        <v>Porcentaje II</v>
      </c>
      <c r="AK2325" t="str">
        <f t="shared" si="1504"/>
        <v>Foto</v>
      </c>
      <c r="AL2325" t="str">
        <f>"{\rtf1\ansi\ansicpg1252\deff0\deflang11274{\fonttbl{\f0\fnil\fcharset0 MS Sans Serif}} \viewkind4\uc1\pard\f0\fs16 KIT DE DISTRIBUCION ESCORT GALAXY VW GOL POLO SENDA MOTOR AUDI 1.6 1.8 2.0 \par } "</f>
        <v xml:space="preserve">{\rtf1\ansi\ansicpg1252\deff0\deflang11274{\fonttbl{\f0\fnil\fcharset0 MS Sans Serif}} \viewkind4\uc1\pard\f0\fs16 KIT DE DISTRIBUCION ESCORT GALAXY VW GOL POLO SENDA MOTOR AUDI 1.6 1.8 2.0 \par } </v>
      </c>
      <c r="AM2325" t="str">
        <f t="shared" si="1505"/>
        <v xml:space="preserve"> </v>
      </c>
    </row>
    <row r="2326" spans="1:39" x14ac:dyDescent="0.25">
      <c r="A2326" t="str">
        <f>"FM010065"</f>
        <v>FM010065</v>
      </c>
      <c r="B2326" t="str">
        <f>"KIT DE DISTRIBUCION FIAT 147 UNO DUNA 1300 DIESEL"</f>
        <v>KIT DE DISTRIBUCION FIAT 147 UNO DUNA 1300 DIESEL</v>
      </c>
      <c r="C2326" t="str">
        <f>"$ 86688,73"</f>
        <v>$ 86688,73</v>
      </c>
      <c r="D2326" t="str">
        <f>"$ 86688,73"</f>
        <v>$ 86688,73</v>
      </c>
      <c r="E2326" t="str">
        <f>"$ 86688,73"</f>
        <v>$ 86688,73</v>
      </c>
      <c r="F2326" t="str">
        <f>"$ 86688,73"</f>
        <v>$ 86688,73</v>
      </c>
      <c r="G2326" t="str">
        <f>"$ 86688,73"</f>
        <v>$ 86688,73</v>
      </c>
      <c r="H2326" t="str">
        <f t="shared" si="1487"/>
        <v>$ 0,00</v>
      </c>
      <c r="I2326" t="str">
        <f>"KIT DE DISTRIBUCION MICHELIN"</f>
        <v>KIT DE DISTRIBUCION MICHELIN</v>
      </c>
      <c r="J2326" t="str">
        <f t="shared" si="1488"/>
        <v>1</v>
      </c>
      <c r="K2326" t="str">
        <f t="shared" si="1515"/>
        <v>0</v>
      </c>
      <c r="L2326" t="str">
        <f>"8,000"</f>
        <v>8,000</v>
      </c>
      <c r="M2326" t="str">
        <f t="shared" si="1489"/>
        <v xml:space="preserve"> </v>
      </c>
      <c r="N2326" t="str">
        <f>"MICHELIN"</f>
        <v>MICHELIN</v>
      </c>
      <c r="O2326" t="str">
        <f t="shared" si="1506"/>
        <v>DISTRIBUCION</v>
      </c>
      <c r="P2326" t="str">
        <f t="shared" si="1513"/>
        <v>0</v>
      </c>
      <c r="Q2326" t="str">
        <f t="shared" si="1513"/>
        <v>0</v>
      </c>
      <c r="R2326" t="str">
        <f t="shared" si="1514"/>
        <v>0,00</v>
      </c>
      <c r="S2326" t="str">
        <f t="shared" si="1514"/>
        <v>0,00</v>
      </c>
      <c r="T2326" t="str">
        <f>"-"</f>
        <v>-</v>
      </c>
      <c r="U2326" t="str">
        <f>"-"</f>
        <v>-</v>
      </c>
      <c r="V2326" t="str">
        <f>"8,000"</f>
        <v>8,000</v>
      </c>
      <c r="W2326" t="str">
        <f t="shared" si="1490"/>
        <v>Lista 4</v>
      </c>
      <c r="X2326" t="str">
        <f t="shared" si="1491"/>
        <v>Lista 5</v>
      </c>
      <c r="Y2326" t="str">
        <f t="shared" si="1492"/>
        <v>Oferta Gral.</v>
      </c>
      <c r="Z2326" t="str">
        <f t="shared" si="1493"/>
        <v>Rubro</v>
      </c>
      <c r="AA2326" t="str">
        <f t="shared" si="1494"/>
        <v>Cantidad por Bulto</v>
      </c>
      <c r="AB2326" t="str">
        <f t="shared" si="1495"/>
        <v>INNER</v>
      </c>
      <c r="AC2326" t="str">
        <f t="shared" si="1496"/>
        <v>Stock en Bultos</v>
      </c>
      <c r="AD2326" t="str">
        <f t="shared" si="1497"/>
        <v>SubDepósito</v>
      </c>
      <c r="AE2326" t="str">
        <f t="shared" si="1498"/>
        <v>Marca</v>
      </c>
      <c r="AF2326" t="str">
        <f t="shared" si="1499"/>
        <v>Super Rubro</v>
      </c>
      <c r="AG2326" t="str">
        <f t="shared" si="1500"/>
        <v>ComercioExterior</v>
      </c>
      <c r="AH2326" t="str">
        <f t="shared" si="1501"/>
        <v>PrecioFOB</v>
      </c>
      <c r="AI2326" t="str">
        <f t="shared" si="1502"/>
        <v>Monto II</v>
      </c>
      <c r="AJ2326" t="str">
        <f t="shared" si="1503"/>
        <v>Porcentaje II</v>
      </c>
      <c r="AK2326" t="str">
        <f t="shared" si="1504"/>
        <v>Foto</v>
      </c>
      <c r="AL2326" t="str">
        <f>"{\rtf1\ansi\ansicpg1252\deff0\deflang2058{\fonttbl{\f0\fnil\fcharset0 MS Sans Serif}} \viewkind4\uc1\pard\f0\fs16 KIT DE DISTRIBUCION FIAT 147 UNO DUNA 1300 DIESEL\par } "</f>
        <v xml:space="preserve">{\rtf1\ansi\ansicpg1252\deff0\deflang2058{\fonttbl{\f0\fnil\fcharset0 MS Sans Serif}} \viewkind4\uc1\pard\f0\fs16 KIT DE DISTRIBUCION FIAT 147 UNO DUNA 1300 DIESEL\par } </v>
      </c>
      <c r="AM2326" t="str">
        <f t="shared" si="1505"/>
        <v xml:space="preserve"> </v>
      </c>
    </row>
    <row r="2327" spans="1:39" x14ac:dyDescent="0.25">
      <c r="A2327" t="str">
        <f>"LKTBN135"</f>
        <v>LKTBN135</v>
      </c>
      <c r="B2327" t="str">
        <f>"KIT DE DISTRIBUCION FIAT DUNA UNO 147 MOTOR TIPO 1.4 Y 1.6"</f>
        <v>KIT DE DISTRIBUCION FIAT DUNA UNO 147 MOTOR TIPO 1.4 Y 1.6</v>
      </c>
      <c r="C2327" t="str">
        <f>"$ 33080,18"</f>
        <v>$ 33080,18</v>
      </c>
      <c r="D2327" t="str">
        <f>"$ 33080,18"</f>
        <v>$ 33080,18</v>
      </c>
      <c r="E2327" t="str">
        <f>"$ 33080,18"</f>
        <v>$ 33080,18</v>
      </c>
      <c r="F2327" t="str">
        <f>"$ 33080,18"</f>
        <v>$ 33080,18</v>
      </c>
      <c r="G2327" t="str">
        <f>"$ 33080,18"</f>
        <v>$ 33080,18</v>
      </c>
      <c r="H2327" t="str">
        <f t="shared" si="1487"/>
        <v>$ 0,00</v>
      </c>
      <c r="I2327" t="str">
        <f>"KIT DE DISTRIBUCION LUCAS"</f>
        <v>KIT DE DISTRIBUCION LUCAS</v>
      </c>
      <c r="J2327" t="str">
        <f t="shared" si="1488"/>
        <v>1</v>
      </c>
      <c r="K2327" t="str">
        <f t="shared" si="1515"/>
        <v>0</v>
      </c>
      <c r="L2327" t="str">
        <f>"23,000"</f>
        <v>23,000</v>
      </c>
      <c r="M2327" t="str">
        <f t="shared" si="1489"/>
        <v xml:space="preserve"> </v>
      </c>
      <c r="N2327" t="str">
        <f>"LUCAS"</f>
        <v>LUCAS</v>
      </c>
      <c r="O2327" t="str">
        <f t="shared" si="1506"/>
        <v>DISTRIBUCION</v>
      </c>
      <c r="P2327" t="str">
        <f t="shared" si="1513"/>
        <v>0</v>
      </c>
      <c r="Q2327" t="str">
        <f t="shared" si="1513"/>
        <v>0</v>
      </c>
      <c r="R2327" t="str">
        <f t="shared" si="1514"/>
        <v>0,00</v>
      </c>
      <c r="S2327" t="str">
        <f t="shared" si="1514"/>
        <v>0,00</v>
      </c>
      <c r="T2327" t="str">
        <f>" "</f>
        <v xml:space="preserve"> </v>
      </c>
      <c r="U2327" t="str">
        <f>" "</f>
        <v xml:space="preserve"> </v>
      </c>
      <c r="V2327" t="str">
        <f>"23,000"</f>
        <v>23,000</v>
      </c>
      <c r="W2327" t="str">
        <f t="shared" si="1490"/>
        <v>Lista 4</v>
      </c>
      <c r="X2327" t="str">
        <f t="shared" si="1491"/>
        <v>Lista 5</v>
      </c>
      <c r="Y2327" t="str">
        <f t="shared" si="1492"/>
        <v>Oferta Gral.</v>
      </c>
      <c r="Z2327" t="str">
        <f t="shared" si="1493"/>
        <v>Rubro</v>
      </c>
      <c r="AA2327" t="str">
        <f t="shared" si="1494"/>
        <v>Cantidad por Bulto</v>
      </c>
      <c r="AB2327" t="str">
        <f t="shared" si="1495"/>
        <v>INNER</v>
      </c>
      <c r="AC2327" t="str">
        <f t="shared" si="1496"/>
        <v>Stock en Bultos</v>
      </c>
      <c r="AD2327" t="str">
        <f t="shared" si="1497"/>
        <v>SubDepósito</v>
      </c>
      <c r="AE2327" t="str">
        <f t="shared" si="1498"/>
        <v>Marca</v>
      </c>
      <c r="AF2327" t="str">
        <f t="shared" si="1499"/>
        <v>Super Rubro</v>
      </c>
      <c r="AG2327" t="str">
        <f t="shared" si="1500"/>
        <v>ComercioExterior</v>
      </c>
      <c r="AH2327" t="str">
        <f t="shared" si="1501"/>
        <v>PrecioFOB</v>
      </c>
      <c r="AI2327" t="str">
        <f t="shared" si="1502"/>
        <v>Monto II</v>
      </c>
      <c r="AJ2327" t="str">
        <f t="shared" si="1503"/>
        <v>Porcentaje II</v>
      </c>
      <c r="AK2327" t="str">
        <f t="shared" si="1504"/>
        <v>Foto</v>
      </c>
      <c r="AL232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27" t="str">
        <f>"-"</f>
        <v>-</v>
      </c>
    </row>
    <row r="2328" spans="1:39" x14ac:dyDescent="0.25">
      <c r="A2328" t="str">
        <f>"FM010178"</f>
        <v>FM010178</v>
      </c>
      <c r="B2328" t="str">
        <f>"KIT DE DISTRIBUCION FIAT DUNA UNO PALIO SIENA 1.7 DIESEL Y TD"</f>
        <v>KIT DE DISTRIBUCION FIAT DUNA UNO PALIO SIENA 1.7 DIESEL Y TD</v>
      </c>
      <c r="C2328" t="str">
        <f>"$ 91453,22"</f>
        <v>$ 91453,22</v>
      </c>
      <c r="D2328" t="str">
        <f>"$ 91453,22"</f>
        <v>$ 91453,22</v>
      </c>
      <c r="E2328" t="str">
        <f>"$ 91453,22"</f>
        <v>$ 91453,22</v>
      </c>
      <c r="F2328" t="str">
        <f>"$ 91453,22"</f>
        <v>$ 91453,22</v>
      </c>
      <c r="G2328" t="str">
        <f>"$ 91453,22"</f>
        <v>$ 91453,22</v>
      </c>
      <c r="H2328" t="str">
        <f t="shared" si="1487"/>
        <v>$ 0,00</v>
      </c>
      <c r="I2328" t="str">
        <f>"KIT DE DISTRIBUCION MICHELIN"</f>
        <v>KIT DE DISTRIBUCION MICHELIN</v>
      </c>
      <c r="J2328" t="str">
        <f t="shared" si="1488"/>
        <v>1</v>
      </c>
      <c r="K2328" t="str">
        <f t="shared" si="1515"/>
        <v>0</v>
      </c>
      <c r="L2328" t="str">
        <f>"13,000"</f>
        <v>13,000</v>
      </c>
      <c r="M2328" t="str">
        <f t="shared" si="1489"/>
        <v xml:space="preserve"> </v>
      </c>
      <c r="N2328" t="str">
        <f>"MICHELIN"</f>
        <v>MICHELIN</v>
      </c>
      <c r="O2328" t="str">
        <f t="shared" si="1506"/>
        <v>DISTRIBUCION</v>
      </c>
      <c r="P2328" t="str">
        <f t="shared" si="1513"/>
        <v>0</v>
      </c>
      <c r="Q2328" t="str">
        <f t="shared" si="1513"/>
        <v>0</v>
      </c>
      <c r="R2328" t="str">
        <f t="shared" si="1514"/>
        <v>0,00</v>
      </c>
      <c r="S2328" t="str">
        <f t="shared" si="1514"/>
        <v>0,00</v>
      </c>
      <c r="T2328" t="str">
        <f>"-"</f>
        <v>-</v>
      </c>
      <c r="U2328" t="str">
        <f>"-"</f>
        <v>-</v>
      </c>
      <c r="V2328" t="str">
        <f>"13,000"</f>
        <v>13,000</v>
      </c>
      <c r="W2328" t="str">
        <f t="shared" si="1490"/>
        <v>Lista 4</v>
      </c>
      <c r="X2328" t="str">
        <f t="shared" si="1491"/>
        <v>Lista 5</v>
      </c>
      <c r="Y2328" t="str">
        <f t="shared" si="1492"/>
        <v>Oferta Gral.</v>
      </c>
      <c r="Z2328" t="str">
        <f t="shared" si="1493"/>
        <v>Rubro</v>
      </c>
      <c r="AA2328" t="str">
        <f t="shared" si="1494"/>
        <v>Cantidad por Bulto</v>
      </c>
      <c r="AB2328" t="str">
        <f t="shared" si="1495"/>
        <v>INNER</v>
      </c>
      <c r="AC2328" t="str">
        <f t="shared" si="1496"/>
        <v>Stock en Bultos</v>
      </c>
      <c r="AD2328" t="str">
        <f t="shared" si="1497"/>
        <v>SubDepósito</v>
      </c>
      <c r="AE2328" t="str">
        <f t="shared" si="1498"/>
        <v>Marca</v>
      </c>
      <c r="AF2328" t="str">
        <f t="shared" si="1499"/>
        <v>Super Rubro</v>
      </c>
      <c r="AG2328" t="str">
        <f t="shared" si="1500"/>
        <v>ComercioExterior</v>
      </c>
      <c r="AH2328" t="str">
        <f t="shared" si="1501"/>
        <v>PrecioFOB</v>
      </c>
      <c r="AI2328" t="str">
        <f t="shared" si="1502"/>
        <v>Monto II</v>
      </c>
      <c r="AJ2328" t="str">
        <f t="shared" si="1503"/>
        <v>Porcentaje II</v>
      </c>
      <c r="AK2328" t="str">
        <f t="shared" si="1504"/>
        <v>Foto</v>
      </c>
      <c r="AL2328" t="str">
        <f>"{\rtf1\ansi\ansicpg1252\deff0\deflang2058{\fonttbl{\f0\fnil\fcharset0 MS Sans Serif}} \viewkind4\uc1\pard\f0\fs16 KIT DE DISTRIBUCION FIAT DUNA UNO PALIO SIENA 1.7 DIESEL Y TD\par } "</f>
        <v xml:space="preserve">{\rtf1\ansi\ansicpg1252\deff0\deflang2058{\fonttbl{\f0\fnil\fcharset0 MS Sans Serif}} \viewkind4\uc1\pard\f0\fs16 KIT DE DISTRIBUCION FIAT DUNA UNO PALIO SIENA 1.7 DIESEL Y TD\par } </v>
      </c>
      <c r="AM2328" t="str">
        <f>" "</f>
        <v xml:space="preserve"> </v>
      </c>
    </row>
    <row r="2329" spans="1:39" x14ac:dyDescent="0.25">
      <c r="A2329" t="str">
        <f>"LKTBN160"</f>
        <v>LKTBN160</v>
      </c>
      <c r="B2329" t="str">
        <f>"KIT DE DISTRIBUCION FIAT DUNA UNO PALIO SIENA 1.7D Y 1.7TD"</f>
        <v>KIT DE DISTRIBUCION FIAT DUNA UNO PALIO SIENA 1.7D Y 1.7TD</v>
      </c>
      <c r="C2329" t="str">
        <f>"$ 93020,47"</f>
        <v>$ 93020,47</v>
      </c>
      <c r="D2329" t="str">
        <f>"$ 93020,47"</f>
        <v>$ 93020,47</v>
      </c>
      <c r="E2329" t="str">
        <f>"$ 93020,47"</f>
        <v>$ 93020,47</v>
      </c>
      <c r="F2329" t="str">
        <f>"$ 93020,47"</f>
        <v>$ 93020,47</v>
      </c>
      <c r="G2329" t="str">
        <f>"$ 93020,47"</f>
        <v>$ 93020,47</v>
      </c>
      <c r="H2329" t="str">
        <f t="shared" si="1487"/>
        <v>$ 0,00</v>
      </c>
      <c r="I2329" t="str">
        <f>"KIT DE DISTRIBUCION LUCAS"</f>
        <v>KIT DE DISTRIBUCION LUCAS</v>
      </c>
      <c r="J2329" t="str">
        <f t="shared" si="1488"/>
        <v>1</v>
      </c>
      <c r="K2329" t="str">
        <f t="shared" si="1515"/>
        <v>0</v>
      </c>
      <c r="L2329" t="str">
        <f>"14,000"</f>
        <v>14,000</v>
      </c>
      <c r="M2329" t="str">
        <f t="shared" si="1489"/>
        <v xml:space="preserve"> </v>
      </c>
      <c r="N2329" t="str">
        <f>"LUCAS"</f>
        <v>LUCAS</v>
      </c>
      <c r="O2329" t="str">
        <f t="shared" si="1506"/>
        <v>DISTRIBUCION</v>
      </c>
      <c r="P2329" t="str">
        <f t="shared" si="1513"/>
        <v>0</v>
      </c>
      <c r="Q2329" t="str">
        <f t="shared" si="1513"/>
        <v>0</v>
      </c>
      <c r="R2329" t="str">
        <f t="shared" si="1514"/>
        <v>0,00</v>
      </c>
      <c r="S2329" t="str">
        <f t="shared" si="1514"/>
        <v>0,00</v>
      </c>
      <c r="T2329" t="str">
        <f>" "</f>
        <v xml:space="preserve"> </v>
      </c>
      <c r="U2329" t="str">
        <f>" "</f>
        <v xml:space="preserve"> </v>
      </c>
      <c r="V2329" t="str">
        <f>"14,000"</f>
        <v>14,000</v>
      </c>
      <c r="W2329" t="str">
        <f t="shared" si="1490"/>
        <v>Lista 4</v>
      </c>
      <c r="X2329" t="str">
        <f t="shared" si="1491"/>
        <v>Lista 5</v>
      </c>
      <c r="Y2329" t="str">
        <f t="shared" si="1492"/>
        <v>Oferta Gral.</v>
      </c>
      <c r="Z2329" t="str">
        <f t="shared" si="1493"/>
        <v>Rubro</v>
      </c>
      <c r="AA2329" t="str">
        <f t="shared" si="1494"/>
        <v>Cantidad por Bulto</v>
      </c>
      <c r="AB2329" t="str">
        <f t="shared" si="1495"/>
        <v>INNER</v>
      </c>
      <c r="AC2329" t="str">
        <f t="shared" si="1496"/>
        <v>Stock en Bultos</v>
      </c>
      <c r="AD2329" t="str">
        <f t="shared" si="1497"/>
        <v>SubDepósito</v>
      </c>
      <c r="AE2329" t="str">
        <f t="shared" si="1498"/>
        <v>Marca</v>
      </c>
      <c r="AF2329" t="str">
        <f t="shared" si="1499"/>
        <v>Super Rubro</v>
      </c>
      <c r="AG2329" t="str">
        <f t="shared" si="1500"/>
        <v>ComercioExterior</v>
      </c>
      <c r="AH2329" t="str">
        <f t="shared" si="1501"/>
        <v>PrecioFOB</v>
      </c>
      <c r="AI2329" t="str">
        <f t="shared" si="1502"/>
        <v>Monto II</v>
      </c>
      <c r="AJ2329" t="str">
        <f t="shared" si="1503"/>
        <v>Porcentaje II</v>
      </c>
      <c r="AK2329" t="str">
        <f t="shared" si="1504"/>
        <v>Foto</v>
      </c>
      <c r="AL2329" t="str">
        <f>"{\rtf1\ansi\ansicpg1252\deff0\deflang11274{\fonttbl{\f0\fnil\fcharset0 MS Sans Serif}} \viewkind4\uc1\pard\f0\fs16 KIT DE DISTRIBUCION FIAT DUNA UNO PALIO SIENA 1.7D Y 1.7TD\par } "</f>
        <v xml:space="preserve">{\rtf1\ansi\ansicpg1252\deff0\deflang11274{\fonttbl{\f0\fnil\fcharset0 MS Sans Serif}} \viewkind4\uc1\pard\f0\fs16 KIT DE DISTRIBUCION FIAT DUNA UNO PALIO SIENA 1.7D Y 1.7TD\par } </v>
      </c>
      <c r="AM2329" t="str">
        <f>" "</f>
        <v xml:space="preserve"> </v>
      </c>
    </row>
    <row r="2330" spans="1:39" x14ac:dyDescent="0.25">
      <c r="A2330" t="str">
        <f>"FM010432"</f>
        <v>FM010432</v>
      </c>
      <c r="B2330" t="str">
        <f>"KIT DE DISTRIBUCION FIAT PALIO 1.6 16V TORQUE 158X25"</f>
        <v>KIT DE DISTRIBUCION FIAT PALIO 1.6 16V TORQUE 158X25</v>
      </c>
      <c r="C2330" t="str">
        <f>"$ 115584,25"</f>
        <v>$ 115584,25</v>
      </c>
      <c r="D2330" t="str">
        <f>"$ 115584,25"</f>
        <v>$ 115584,25</v>
      </c>
      <c r="E2330" t="str">
        <f>"$ 115584,25"</f>
        <v>$ 115584,25</v>
      </c>
      <c r="F2330" t="str">
        <f>"$ 115584,25"</f>
        <v>$ 115584,25</v>
      </c>
      <c r="G2330" t="str">
        <f>"$ 115584,25"</f>
        <v>$ 115584,25</v>
      </c>
      <c r="H2330" t="str">
        <f t="shared" si="1487"/>
        <v>$ 0,00</v>
      </c>
      <c r="I2330" t="str">
        <f>"KIT DE DISTRIBUCION MICHELIN"</f>
        <v>KIT DE DISTRIBUCION MICHELIN</v>
      </c>
      <c r="J2330" t="str">
        <f t="shared" si="1488"/>
        <v>1</v>
      </c>
      <c r="K2330" t="str">
        <f t="shared" si="1515"/>
        <v>0</v>
      </c>
      <c r="L2330" t="str">
        <f>"6,000"</f>
        <v>6,000</v>
      </c>
      <c r="M2330" t="str">
        <f t="shared" si="1489"/>
        <v xml:space="preserve"> </v>
      </c>
      <c r="N2330" t="str">
        <f>"MICHELIN"</f>
        <v>MICHELIN</v>
      </c>
      <c r="O2330" t="str">
        <f t="shared" si="1506"/>
        <v>DISTRIBUCION</v>
      </c>
      <c r="P2330" t="str">
        <f t="shared" si="1513"/>
        <v>0</v>
      </c>
      <c r="Q2330" t="str">
        <f t="shared" si="1513"/>
        <v>0</v>
      </c>
      <c r="R2330" t="str">
        <f t="shared" si="1514"/>
        <v>0,00</v>
      </c>
      <c r="S2330" t="str">
        <f t="shared" si="1514"/>
        <v>0,00</v>
      </c>
      <c r="T2330" t="str">
        <f>"-"</f>
        <v>-</v>
      </c>
      <c r="U2330" t="str">
        <f>"-"</f>
        <v>-</v>
      </c>
      <c r="V2330" t="str">
        <f>"6,000"</f>
        <v>6,000</v>
      </c>
      <c r="W2330" t="str">
        <f t="shared" si="1490"/>
        <v>Lista 4</v>
      </c>
      <c r="X2330" t="str">
        <f t="shared" si="1491"/>
        <v>Lista 5</v>
      </c>
      <c r="Y2330" t="str">
        <f t="shared" si="1492"/>
        <v>Oferta Gral.</v>
      </c>
      <c r="Z2330" t="str">
        <f t="shared" si="1493"/>
        <v>Rubro</v>
      </c>
      <c r="AA2330" t="str">
        <f t="shared" si="1494"/>
        <v>Cantidad por Bulto</v>
      </c>
      <c r="AB2330" t="str">
        <f t="shared" si="1495"/>
        <v>INNER</v>
      </c>
      <c r="AC2330" t="str">
        <f t="shared" si="1496"/>
        <v>Stock en Bultos</v>
      </c>
      <c r="AD2330" t="str">
        <f t="shared" si="1497"/>
        <v>SubDepósito</v>
      </c>
      <c r="AE2330" t="str">
        <f t="shared" si="1498"/>
        <v>Marca</v>
      </c>
      <c r="AF2330" t="str">
        <f t="shared" si="1499"/>
        <v>Super Rubro</v>
      </c>
      <c r="AG2330" t="str">
        <f t="shared" si="1500"/>
        <v>ComercioExterior</v>
      </c>
      <c r="AH2330" t="str">
        <f t="shared" si="1501"/>
        <v>PrecioFOB</v>
      </c>
      <c r="AI2330" t="str">
        <f t="shared" si="1502"/>
        <v>Monto II</v>
      </c>
      <c r="AJ2330" t="str">
        <f t="shared" si="1503"/>
        <v>Porcentaje II</v>
      </c>
      <c r="AK2330" t="str">
        <f t="shared" si="1504"/>
        <v>Foto</v>
      </c>
      <c r="AL2330" t="str">
        <f>"{\rtf1\ansi\ansicpg1252\deff0\deflang2058{\fonttbl{\f0\fnil\fcharset0 MS Sans Serif}} \viewkind4\uc1\pard\f0\fs16 KIT DE DISTRIBUCION FIAT PALIO 1.6 16V TORQUE 158X25\par } "</f>
        <v xml:space="preserve">{\rtf1\ansi\ansicpg1252\deff0\deflang2058{\fonttbl{\f0\fnil\fcharset0 MS Sans Serif}} \viewkind4\uc1\pard\f0\fs16 KIT DE DISTRIBUCION FIAT PALIO 1.6 16V TORQUE 158X25\par } </v>
      </c>
      <c r="AM2330" t="str">
        <f>" "</f>
        <v xml:space="preserve"> </v>
      </c>
    </row>
    <row r="2331" spans="1:39" x14ac:dyDescent="0.25">
      <c r="A2331" t="str">
        <f>"LKTBN806"</f>
        <v>LKTBN806</v>
      </c>
      <c r="B2331" t="str">
        <f>"KIT DE DISTRIBUCION FIAT PALIO SIENA UNO MOTOR FIRE 1.3 Y 1.4 TENSOR MECANICO"</f>
        <v>KIT DE DISTRIBUCION FIAT PALIO SIENA UNO MOTOR FIRE 1.3 Y 1.4 TENSOR MECANICO</v>
      </c>
      <c r="C2331" t="str">
        <f>"$ 57024,32"</f>
        <v>$ 57024,32</v>
      </c>
      <c r="D2331" t="str">
        <f>"$ 57024,32"</f>
        <v>$ 57024,32</v>
      </c>
      <c r="E2331" t="str">
        <f>"$ 57024,32"</f>
        <v>$ 57024,32</v>
      </c>
      <c r="F2331" t="str">
        <f>"$ 57024,32"</f>
        <v>$ 57024,32</v>
      </c>
      <c r="G2331" t="str">
        <f>"$ 57024,32"</f>
        <v>$ 57024,32</v>
      </c>
      <c r="H2331" t="str">
        <f t="shared" si="1487"/>
        <v>$ 0,00</v>
      </c>
      <c r="I2331" t="str">
        <f>"KIT DE DISTRIBUCION LUCAS"</f>
        <v>KIT DE DISTRIBUCION LUCAS</v>
      </c>
      <c r="J2331" t="str">
        <f t="shared" si="1488"/>
        <v>1</v>
      </c>
      <c r="K2331" t="str">
        <f t="shared" si="1515"/>
        <v>0</v>
      </c>
      <c r="L2331" t="str">
        <f>"15,000"</f>
        <v>15,000</v>
      </c>
      <c r="M2331" t="str">
        <f t="shared" si="1489"/>
        <v xml:space="preserve"> </v>
      </c>
      <c r="N2331" t="str">
        <f>"LUCAS"</f>
        <v>LUCAS</v>
      </c>
      <c r="O2331" t="str">
        <f t="shared" si="1506"/>
        <v>DISTRIBUCION</v>
      </c>
      <c r="P2331" t="str">
        <f t="shared" si="1513"/>
        <v>0</v>
      </c>
      <c r="Q2331" t="str">
        <f t="shared" si="1513"/>
        <v>0</v>
      </c>
      <c r="R2331" t="str">
        <f t="shared" si="1514"/>
        <v>0,00</v>
      </c>
      <c r="S2331" t="str">
        <f t="shared" si="1514"/>
        <v>0,00</v>
      </c>
      <c r="T2331" t="str">
        <f>" "</f>
        <v xml:space="preserve"> </v>
      </c>
      <c r="U2331" t="str">
        <f>" "</f>
        <v xml:space="preserve"> </v>
      </c>
      <c r="V2331" t="str">
        <f>"15,000"</f>
        <v>15,000</v>
      </c>
      <c r="W2331" t="str">
        <f t="shared" si="1490"/>
        <v>Lista 4</v>
      </c>
      <c r="X2331" t="str">
        <f t="shared" si="1491"/>
        <v>Lista 5</v>
      </c>
      <c r="Y2331" t="str">
        <f t="shared" si="1492"/>
        <v>Oferta Gral.</v>
      </c>
      <c r="Z2331" t="str">
        <f t="shared" si="1493"/>
        <v>Rubro</v>
      </c>
      <c r="AA2331" t="str">
        <f t="shared" si="1494"/>
        <v>Cantidad por Bulto</v>
      </c>
      <c r="AB2331" t="str">
        <f t="shared" si="1495"/>
        <v>INNER</v>
      </c>
      <c r="AC2331" t="str">
        <f t="shared" si="1496"/>
        <v>Stock en Bultos</v>
      </c>
      <c r="AD2331" t="str">
        <f t="shared" si="1497"/>
        <v>SubDepósito</v>
      </c>
      <c r="AE2331" t="str">
        <f t="shared" si="1498"/>
        <v>Marca</v>
      </c>
      <c r="AF2331" t="str">
        <f t="shared" si="1499"/>
        <v>Super Rubro</v>
      </c>
      <c r="AG2331" t="str">
        <f t="shared" si="1500"/>
        <v>ComercioExterior</v>
      </c>
      <c r="AH2331" t="str">
        <f t="shared" si="1501"/>
        <v>PrecioFOB</v>
      </c>
      <c r="AI2331" t="str">
        <f t="shared" si="1502"/>
        <v>Monto II</v>
      </c>
      <c r="AJ2331" t="str">
        <f t="shared" si="1503"/>
        <v>Porcentaje II</v>
      </c>
      <c r="AK2331" t="str">
        <f t="shared" si="1504"/>
        <v>Foto</v>
      </c>
      <c r="AL2331" t="str">
        <f>"{\rtf1\ansi\ansicpg1252\deff0\deflang11274{\fonttbl{\f0\fnil\fcharset0 MS Sans Serif}} \viewkind4\uc1\pard\f0\fs16 REEMPLAZADO POR M1011\par } "</f>
        <v xml:space="preserve">{\rtf1\ansi\ansicpg1252\deff0\deflang11274{\fonttbl{\f0\fnil\fcharset0 MS Sans Serif}} \viewkind4\uc1\pard\f0\fs16 REEMPLAZADO POR M1011\par } </v>
      </c>
      <c r="AM2331" t="str">
        <f>"-"</f>
        <v>-</v>
      </c>
    </row>
    <row r="2332" spans="1:39" x14ac:dyDescent="0.25">
      <c r="A2332" t="str">
        <f>"FM010623"</f>
        <v>FM010623</v>
      </c>
      <c r="B2332" t="str">
        <f>"KIT DE DISTRIBUCION FIAT TORO 2.0 CRD 199 X 24"</f>
        <v>KIT DE DISTRIBUCION FIAT TORO 2.0 CRD 199 X 24</v>
      </c>
      <c r="C2332" t="str">
        <f>"$ 156373,15"</f>
        <v>$ 156373,15</v>
      </c>
      <c r="D2332" t="str">
        <f>"$ 156373,15"</f>
        <v>$ 156373,15</v>
      </c>
      <c r="E2332" t="str">
        <f>"$ 156373,15"</f>
        <v>$ 156373,15</v>
      </c>
      <c r="F2332" t="str">
        <f>"$ 156373,15"</f>
        <v>$ 156373,15</v>
      </c>
      <c r="G2332" t="str">
        <f>"$ 156373,15"</f>
        <v>$ 156373,15</v>
      </c>
      <c r="H2332" t="str">
        <f t="shared" si="1487"/>
        <v>$ 0,00</v>
      </c>
      <c r="I2332" t="str">
        <f>"KIT DE DISTRIBUCION MICHELIN"</f>
        <v>KIT DE DISTRIBUCION MICHELIN</v>
      </c>
      <c r="J2332" t="str">
        <f t="shared" si="1488"/>
        <v>1</v>
      </c>
      <c r="K2332" t="str">
        <f t="shared" si="1515"/>
        <v>0</v>
      </c>
      <c r="L2332" t="str">
        <f>"9,000"</f>
        <v>9,000</v>
      </c>
      <c r="M2332" t="str">
        <f t="shared" si="1489"/>
        <v xml:space="preserve"> </v>
      </c>
      <c r="N2332" t="str">
        <f>"MICHELIN"</f>
        <v>MICHELIN</v>
      </c>
      <c r="O2332" t="str">
        <f t="shared" si="1506"/>
        <v>DISTRIBUCION</v>
      </c>
      <c r="P2332" t="str">
        <f t="shared" si="1513"/>
        <v>0</v>
      </c>
      <c r="Q2332" t="str">
        <f t="shared" si="1513"/>
        <v>0</v>
      </c>
      <c r="R2332" t="str">
        <f t="shared" si="1514"/>
        <v>0,00</v>
      </c>
      <c r="S2332" t="str">
        <f t="shared" si="1514"/>
        <v>0,00</v>
      </c>
      <c r="T2332" t="str">
        <f>"-"</f>
        <v>-</v>
      </c>
      <c r="U2332" t="str">
        <f>"-"</f>
        <v>-</v>
      </c>
      <c r="V2332" t="str">
        <f>"9,000"</f>
        <v>9,000</v>
      </c>
      <c r="W2332" t="str">
        <f t="shared" si="1490"/>
        <v>Lista 4</v>
      </c>
      <c r="X2332" t="str">
        <f t="shared" si="1491"/>
        <v>Lista 5</v>
      </c>
      <c r="Y2332" t="str">
        <f t="shared" si="1492"/>
        <v>Oferta Gral.</v>
      </c>
      <c r="Z2332" t="str">
        <f t="shared" si="1493"/>
        <v>Rubro</v>
      </c>
      <c r="AA2332" t="str">
        <f t="shared" si="1494"/>
        <v>Cantidad por Bulto</v>
      </c>
      <c r="AB2332" t="str">
        <f t="shared" si="1495"/>
        <v>INNER</v>
      </c>
      <c r="AC2332" t="str">
        <f t="shared" si="1496"/>
        <v>Stock en Bultos</v>
      </c>
      <c r="AD2332" t="str">
        <f t="shared" si="1497"/>
        <v>SubDepósito</v>
      </c>
      <c r="AE2332" t="str">
        <f t="shared" si="1498"/>
        <v>Marca</v>
      </c>
      <c r="AF2332" t="str">
        <f t="shared" si="1499"/>
        <v>Super Rubro</v>
      </c>
      <c r="AG2332" t="str">
        <f t="shared" si="1500"/>
        <v>ComercioExterior</v>
      </c>
      <c r="AH2332" t="str">
        <f t="shared" si="1501"/>
        <v>PrecioFOB</v>
      </c>
      <c r="AI2332" t="str">
        <f t="shared" si="1502"/>
        <v>Monto II</v>
      </c>
      <c r="AJ2332" t="str">
        <f t="shared" si="1503"/>
        <v>Porcentaje II</v>
      </c>
      <c r="AK2332" t="str">
        <f t="shared" si="1504"/>
        <v>Foto</v>
      </c>
      <c r="AL2332" t="str">
        <f>"{\rtf1\ansi\ansicpg1252\deff0\deflang2058{\fonttbl{\f0\fnil\fcharset0 MS Sans Serif}} \viewkind4\uc1\pard\f0\fs16 KIT DE DISTRIBUCION FIAT TORO 2.0 CRD 199 X 24\par } "</f>
        <v xml:space="preserve">{\rtf1\ansi\ansicpg1252\deff0\deflang2058{\fonttbl{\f0\fnil\fcharset0 MS Sans Serif}} \viewkind4\uc1\pard\f0\fs16 KIT DE DISTRIBUCION FIAT TORO 2.0 CRD 199 X 24\par } </v>
      </c>
      <c r="AM2332" t="str">
        <f>" "</f>
        <v xml:space="preserve"> </v>
      </c>
    </row>
    <row r="2333" spans="1:39" x14ac:dyDescent="0.25">
      <c r="A2333" t="str">
        <f>"LKTBN142B"</f>
        <v>LKTBN142B</v>
      </c>
      <c r="B2333" t="str">
        <f>"KIT DE DISTRIBUCION FORD ESCORT FIESTA DIESEL 1.8 DESDE 1995 MOTOR D18 D18T"</f>
        <v>KIT DE DISTRIBUCION FORD ESCORT FIESTA DIESEL 1.8 DESDE 1995 MOTOR D18 D18T</v>
      </c>
      <c r="C2333" t="str">
        <f>"$ 143792,97"</f>
        <v>$ 143792,97</v>
      </c>
      <c r="D2333" t="str">
        <f>"$ 143792,97"</f>
        <v>$ 143792,97</v>
      </c>
      <c r="E2333" t="str">
        <f>"$ 143792,97"</f>
        <v>$ 143792,97</v>
      </c>
      <c r="F2333" t="str">
        <f>"$ 143792,97"</f>
        <v>$ 143792,97</v>
      </c>
      <c r="G2333" t="str">
        <f>"$ 143792,97"</f>
        <v>$ 143792,97</v>
      </c>
      <c r="H2333" t="str">
        <f t="shared" si="1487"/>
        <v>$ 0,00</v>
      </c>
      <c r="I2333" t="str">
        <f>"KIT DE DISTRIBUCION LUCAS"</f>
        <v>KIT DE DISTRIBUCION LUCAS</v>
      </c>
      <c r="J2333" t="str">
        <f t="shared" si="1488"/>
        <v>1</v>
      </c>
      <c r="K2333" t="str">
        <f t="shared" si="1515"/>
        <v>0</v>
      </c>
      <c r="L2333" t="str">
        <f>"12,000"</f>
        <v>12,000</v>
      </c>
      <c r="M2333" t="str">
        <f t="shared" si="1489"/>
        <v xml:space="preserve"> </v>
      </c>
      <c r="N2333" t="str">
        <f>"LUCAS"</f>
        <v>LUCAS</v>
      </c>
      <c r="O2333" t="str">
        <f t="shared" si="1506"/>
        <v>DISTRIBUCION</v>
      </c>
      <c r="P2333" t="str">
        <f t="shared" si="1513"/>
        <v>0</v>
      </c>
      <c r="Q2333" t="str">
        <f t="shared" si="1513"/>
        <v>0</v>
      </c>
      <c r="R2333" t="str">
        <f t="shared" si="1514"/>
        <v>0,00</v>
      </c>
      <c r="S2333" t="str">
        <f t="shared" si="1514"/>
        <v>0,00</v>
      </c>
      <c r="T2333" t="str">
        <f>" "</f>
        <v xml:space="preserve"> </v>
      </c>
      <c r="U2333" t="str">
        <f>" "</f>
        <v xml:space="preserve"> </v>
      </c>
      <c r="V2333" t="str">
        <f>"12,000"</f>
        <v>12,000</v>
      </c>
      <c r="W2333" t="str">
        <f t="shared" si="1490"/>
        <v>Lista 4</v>
      </c>
      <c r="X2333" t="str">
        <f t="shared" si="1491"/>
        <v>Lista 5</v>
      </c>
      <c r="Y2333" t="str">
        <f t="shared" si="1492"/>
        <v>Oferta Gral.</v>
      </c>
      <c r="Z2333" t="str">
        <f t="shared" si="1493"/>
        <v>Rubro</v>
      </c>
      <c r="AA2333" t="str">
        <f t="shared" si="1494"/>
        <v>Cantidad por Bulto</v>
      </c>
      <c r="AB2333" t="str">
        <f t="shared" si="1495"/>
        <v>INNER</v>
      </c>
      <c r="AC2333" t="str">
        <f t="shared" si="1496"/>
        <v>Stock en Bultos</v>
      </c>
      <c r="AD2333" t="str">
        <f t="shared" si="1497"/>
        <v>SubDepósito</v>
      </c>
      <c r="AE2333" t="str">
        <f t="shared" si="1498"/>
        <v>Marca</v>
      </c>
      <c r="AF2333" t="str">
        <f t="shared" si="1499"/>
        <v>Super Rubro</v>
      </c>
      <c r="AG2333" t="str">
        <f t="shared" si="1500"/>
        <v>ComercioExterior</v>
      </c>
      <c r="AH2333" t="str">
        <f t="shared" si="1501"/>
        <v>PrecioFOB</v>
      </c>
      <c r="AI2333" t="str">
        <f t="shared" si="1502"/>
        <v>Monto II</v>
      </c>
      <c r="AJ2333" t="str">
        <f t="shared" si="1503"/>
        <v>Porcentaje II</v>
      </c>
      <c r="AK2333" t="str">
        <f t="shared" si="1504"/>
        <v>Foto</v>
      </c>
      <c r="AL2333" t="str">
        <f>"{\rtf1\ansi\ansicpg1252\deff0\deflang11274{\fonttbl{\f0\fnil\fcharset0 MS Sans Serif}} \viewkind4\uc1\pard\f0\fs16 KIT DE DISTRIBUCION FORD ESCORT FIESTA DIESEL 1.8 DESDE 1995 MOTOR D18 D18T\par } "</f>
        <v xml:space="preserve">{\rtf1\ansi\ansicpg1252\deff0\deflang11274{\fonttbl{\f0\fnil\fcharset0 MS Sans Serif}} \viewkind4\uc1\pard\f0\fs16 KIT DE DISTRIBUCION FORD ESCORT FIESTA DIESEL 1.8 DESDE 1995 MOTOR D18 D18T\par } </v>
      </c>
      <c r="AM2333" t="str">
        <f>" "</f>
        <v xml:space="preserve"> </v>
      </c>
    </row>
    <row r="2334" spans="1:39" x14ac:dyDescent="0.25">
      <c r="A2334" t="str">
        <f>"FM010360"</f>
        <v>FM010360</v>
      </c>
      <c r="B2334" t="str">
        <f>"KIT DE DISTRIBUCION FORD ESCORT ZETEC 131 X 254"</f>
        <v>KIT DE DISTRIBUCION FORD ESCORT ZETEC 131 X 254</v>
      </c>
      <c r="C2334" t="str">
        <f>"$ 128420,57"</f>
        <v>$ 128420,57</v>
      </c>
      <c r="D2334" t="str">
        <f>"$ 128420,57"</f>
        <v>$ 128420,57</v>
      </c>
      <c r="E2334" t="str">
        <f>"$ 128420,57"</f>
        <v>$ 128420,57</v>
      </c>
      <c r="F2334" t="str">
        <f>"$ 128420,57"</f>
        <v>$ 128420,57</v>
      </c>
      <c r="G2334" t="str">
        <f>"$ 128420,57"</f>
        <v>$ 128420,57</v>
      </c>
      <c r="H2334" t="str">
        <f t="shared" si="1487"/>
        <v>$ 0,00</v>
      </c>
      <c r="I2334" t="str">
        <f>"KIT DE DISTRIBUCION MICHELIN"</f>
        <v>KIT DE DISTRIBUCION MICHELIN</v>
      </c>
      <c r="J2334" t="str">
        <f t="shared" si="1488"/>
        <v>1</v>
      </c>
      <c r="K2334" t="str">
        <f t="shared" si="1515"/>
        <v>0</v>
      </c>
      <c r="L2334" t="str">
        <f>"6,000"</f>
        <v>6,000</v>
      </c>
      <c r="M2334" t="str">
        <f t="shared" si="1489"/>
        <v xml:space="preserve"> </v>
      </c>
      <c r="N2334" t="str">
        <f>"MICHELIN"</f>
        <v>MICHELIN</v>
      </c>
      <c r="O2334" t="str">
        <f t="shared" si="1506"/>
        <v>DISTRIBUCION</v>
      </c>
      <c r="P2334" t="str">
        <f t="shared" si="1513"/>
        <v>0</v>
      </c>
      <c r="Q2334" t="str">
        <f t="shared" si="1513"/>
        <v>0</v>
      </c>
      <c r="R2334" t="str">
        <f t="shared" si="1514"/>
        <v>0,00</v>
      </c>
      <c r="S2334" t="str">
        <f t="shared" si="1514"/>
        <v>0,00</v>
      </c>
      <c r="T2334" t="str">
        <f>"-"</f>
        <v>-</v>
      </c>
      <c r="U2334" t="str">
        <f>"-"</f>
        <v>-</v>
      </c>
      <c r="V2334" t="str">
        <f>"6,000"</f>
        <v>6,000</v>
      </c>
      <c r="W2334" t="str">
        <f t="shared" si="1490"/>
        <v>Lista 4</v>
      </c>
      <c r="X2334" t="str">
        <f t="shared" si="1491"/>
        <v>Lista 5</v>
      </c>
      <c r="Y2334" t="str">
        <f t="shared" si="1492"/>
        <v>Oferta Gral.</v>
      </c>
      <c r="Z2334" t="str">
        <f t="shared" si="1493"/>
        <v>Rubro</v>
      </c>
      <c r="AA2334" t="str">
        <f t="shared" si="1494"/>
        <v>Cantidad por Bulto</v>
      </c>
      <c r="AB2334" t="str">
        <f t="shared" si="1495"/>
        <v>INNER</v>
      </c>
      <c r="AC2334" t="str">
        <f t="shared" si="1496"/>
        <v>Stock en Bultos</v>
      </c>
      <c r="AD2334" t="str">
        <f t="shared" si="1497"/>
        <v>SubDepósito</v>
      </c>
      <c r="AE2334" t="str">
        <f t="shared" si="1498"/>
        <v>Marca</v>
      </c>
      <c r="AF2334" t="str">
        <f t="shared" si="1499"/>
        <v>Super Rubro</v>
      </c>
      <c r="AG2334" t="str">
        <f t="shared" si="1500"/>
        <v>ComercioExterior</v>
      </c>
      <c r="AH2334" t="str">
        <f t="shared" si="1501"/>
        <v>PrecioFOB</v>
      </c>
      <c r="AI2334" t="str">
        <f t="shared" si="1502"/>
        <v>Monto II</v>
      </c>
      <c r="AJ2334" t="str">
        <f t="shared" si="1503"/>
        <v>Porcentaje II</v>
      </c>
      <c r="AK2334" t="str">
        <f t="shared" si="1504"/>
        <v>Foto</v>
      </c>
      <c r="AL2334" t="str">
        <f>"{\rtf1\ansi\ansicpg1252\deff0\deflang2058{\fonttbl{\f0\fnil\fcharset0 MS Sans Serif}} \viewkind4\uc1\pard\f0\fs16 KIT DE DISTRIBUCION FORD ESCORT ZETEC 131 X 254\par } "</f>
        <v xml:space="preserve">{\rtf1\ansi\ansicpg1252\deff0\deflang2058{\fonttbl{\f0\fnil\fcharset0 MS Sans Serif}} \viewkind4\uc1\pard\f0\fs16 KIT DE DISTRIBUCION FORD ESCORT ZETEC 131 X 254\par } </v>
      </c>
      <c r="AM2334" t="str">
        <f>" "</f>
        <v xml:space="preserve"> </v>
      </c>
    </row>
    <row r="2335" spans="1:39" x14ac:dyDescent="0.25">
      <c r="A2335" t="str">
        <f>"FM010451"</f>
        <v>FM010451</v>
      </c>
      <c r="B2335" t="str">
        <f>"KIT DE DISTRIBUCION FORD FIESTA 1.8 DIESEL Y TD"</f>
        <v>KIT DE DISTRIBUCION FORD FIESTA 1.8 DIESEL Y TD</v>
      </c>
      <c r="C2335" t="str">
        <f>"$ 151683,35"</f>
        <v>$ 151683,35</v>
      </c>
      <c r="D2335" t="str">
        <f>"$ 151683,35"</f>
        <v>$ 151683,35</v>
      </c>
      <c r="E2335" t="str">
        <f>"$ 151683,35"</f>
        <v>$ 151683,35</v>
      </c>
      <c r="F2335" t="str">
        <f>"$ 151683,35"</f>
        <v>$ 151683,35</v>
      </c>
      <c r="G2335" t="str">
        <f>"$ 151683,35"</f>
        <v>$ 151683,35</v>
      </c>
      <c r="H2335" t="str">
        <f t="shared" si="1487"/>
        <v>$ 0,00</v>
      </c>
      <c r="I2335" t="str">
        <f>"KIT DE DISTRIBUCION MICHELIN"</f>
        <v>KIT DE DISTRIBUCION MICHELIN</v>
      </c>
      <c r="J2335" t="str">
        <f t="shared" si="1488"/>
        <v>1</v>
      </c>
      <c r="K2335" t="str">
        <f t="shared" si="1515"/>
        <v>0</v>
      </c>
      <c r="L2335" t="str">
        <f>"10,000"</f>
        <v>10,000</v>
      </c>
      <c r="M2335" t="str">
        <f t="shared" si="1489"/>
        <v xml:space="preserve"> </v>
      </c>
      <c r="N2335" t="str">
        <f>"MICHELIN"</f>
        <v>MICHELIN</v>
      </c>
      <c r="O2335" t="str">
        <f t="shared" si="1506"/>
        <v>DISTRIBUCION</v>
      </c>
      <c r="P2335" t="str">
        <f t="shared" si="1513"/>
        <v>0</v>
      </c>
      <c r="Q2335" t="str">
        <f t="shared" si="1513"/>
        <v>0</v>
      </c>
      <c r="R2335" t="str">
        <f t="shared" si="1514"/>
        <v>0,00</v>
      </c>
      <c r="S2335" t="str">
        <f t="shared" si="1514"/>
        <v>0,00</v>
      </c>
      <c r="T2335" t="str">
        <f>"-"</f>
        <v>-</v>
      </c>
      <c r="U2335" t="str">
        <f>"-"</f>
        <v>-</v>
      </c>
      <c r="V2335" t="str">
        <f>"10,000"</f>
        <v>10,000</v>
      </c>
      <c r="W2335" t="str">
        <f t="shared" si="1490"/>
        <v>Lista 4</v>
      </c>
      <c r="X2335" t="str">
        <f t="shared" si="1491"/>
        <v>Lista 5</v>
      </c>
      <c r="Y2335" t="str">
        <f t="shared" si="1492"/>
        <v>Oferta Gral.</v>
      </c>
      <c r="Z2335" t="str">
        <f t="shared" si="1493"/>
        <v>Rubro</v>
      </c>
      <c r="AA2335" t="str">
        <f t="shared" si="1494"/>
        <v>Cantidad por Bulto</v>
      </c>
      <c r="AB2335" t="str">
        <f t="shared" si="1495"/>
        <v>INNER</v>
      </c>
      <c r="AC2335" t="str">
        <f t="shared" si="1496"/>
        <v>Stock en Bultos</v>
      </c>
      <c r="AD2335" t="str">
        <f t="shared" si="1497"/>
        <v>SubDepósito</v>
      </c>
      <c r="AE2335" t="str">
        <f t="shared" si="1498"/>
        <v>Marca</v>
      </c>
      <c r="AF2335" t="str">
        <f t="shared" si="1499"/>
        <v>Super Rubro</v>
      </c>
      <c r="AG2335" t="str">
        <f t="shared" si="1500"/>
        <v>ComercioExterior</v>
      </c>
      <c r="AH2335" t="str">
        <f t="shared" si="1501"/>
        <v>PrecioFOB</v>
      </c>
      <c r="AI2335" t="str">
        <f t="shared" si="1502"/>
        <v>Monto II</v>
      </c>
      <c r="AJ2335" t="str">
        <f t="shared" si="1503"/>
        <v>Porcentaje II</v>
      </c>
      <c r="AK2335" t="str">
        <f t="shared" si="1504"/>
        <v>Foto</v>
      </c>
      <c r="AL2335" t="str">
        <f>"{\rtf1\ansi\ansicpg1252\deff0\deflang2058{\fonttbl{\f0\fnil\fcharset0 MS Sans Serif}} \viewkind4\uc1\pard\f0\fs16 KIT DE DISTRIBUCION FORD FIESTA 1.8 DIESEL Y TD\par } "</f>
        <v xml:space="preserve">{\rtf1\ansi\ansicpg1252\deff0\deflang2058{\fonttbl{\f0\fnil\fcharset0 MS Sans Serif}} \viewkind4\uc1\pard\f0\fs16 KIT DE DISTRIBUCION FORD FIESTA 1.8 DIESEL Y TD\par } </v>
      </c>
      <c r="AM2335" t="str">
        <f>" "</f>
        <v xml:space="preserve"> </v>
      </c>
    </row>
    <row r="2336" spans="1:39" x14ac:dyDescent="0.25">
      <c r="A2336" t="str">
        <f>"LKTBN461"</f>
        <v>LKTBN461</v>
      </c>
      <c r="B2336" t="str">
        <f>"KIT DE DISTRIBUCION FORD FIESTA FOCUS ECOSPORT 1.6 16V MOTOR SIGMA"</f>
        <v>KIT DE DISTRIBUCION FORD FIESTA FOCUS ECOSPORT 1.6 16V MOTOR SIGMA</v>
      </c>
      <c r="C2336" t="str">
        <f>"$ 74304,08"</f>
        <v>$ 74304,08</v>
      </c>
      <c r="D2336" t="str">
        <f>"$ 74304,08"</f>
        <v>$ 74304,08</v>
      </c>
      <c r="E2336" t="str">
        <f>"$ 74304,08"</f>
        <v>$ 74304,08</v>
      </c>
      <c r="F2336" t="str">
        <f>"$ 74304,08"</f>
        <v>$ 74304,08</v>
      </c>
      <c r="G2336" t="str">
        <f>"$ 74304,08"</f>
        <v>$ 74304,08</v>
      </c>
      <c r="H2336" t="str">
        <f t="shared" si="1487"/>
        <v>$ 0,00</v>
      </c>
      <c r="I2336" t="str">
        <f>"KIT DE DISTRIBUCION LUCAS"</f>
        <v>KIT DE DISTRIBUCION LUCAS</v>
      </c>
      <c r="J2336" t="str">
        <f t="shared" si="1488"/>
        <v>1</v>
      </c>
      <c r="K2336" t="str">
        <f t="shared" si="1515"/>
        <v>0</v>
      </c>
      <c r="L2336" t="str">
        <f>"8,000"</f>
        <v>8,000</v>
      </c>
      <c r="M2336" t="str">
        <f t="shared" si="1489"/>
        <v xml:space="preserve"> </v>
      </c>
      <c r="N2336" t="str">
        <f>"LUCAS"</f>
        <v>LUCAS</v>
      </c>
      <c r="O2336" t="str">
        <f t="shared" si="1506"/>
        <v>DISTRIBUCION</v>
      </c>
      <c r="P2336" t="str">
        <f t="shared" si="1513"/>
        <v>0</v>
      </c>
      <c r="Q2336" t="str">
        <f t="shared" si="1513"/>
        <v>0</v>
      </c>
      <c r="R2336" t="str">
        <f t="shared" si="1514"/>
        <v>0,00</v>
      </c>
      <c r="S2336" t="str">
        <f t="shared" si="1514"/>
        <v>0,00</v>
      </c>
      <c r="T2336" t="str">
        <f t="shared" ref="T2336:U2338" si="1516">" "</f>
        <v xml:space="preserve"> </v>
      </c>
      <c r="U2336" t="str">
        <f t="shared" si="1516"/>
        <v xml:space="preserve"> </v>
      </c>
      <c r="V2336" t="str">
        <f>"8,000"</f>
        <v>8,000</v>
      </c>
      <c r="W2336" t="str">
        <f t="shared" si="1490"/>
        <v>Lista 4</v>
      </c>
      <c r="X2336" t="str">
        <f t="shared" si="1491"/>
        <v>Lista 5</v>
      </c>
      <c r="Y2336" t="str">
        <f t="shared" si="1492"/>
        <v>Oferta Gral.</v>
      </c>
      <c r="Z2336" t="str">
        <f t="shared" si="1493"/>
        <v>Rubro</v>
      </c>
      <c r="AA2336" t="str">
        <f t="shared" si="1494"/>
        <v>Cantidad por Bulto</v>
      </c>
      <c r="AB2336" t="str">
        <f t="shared" si="1495"/>
        <v>INNER</v>
      </c>
      <c r="AC2336" t="str">
        <f t="shared" si="1496"/>
        <v>Stock en Bultos</v>
      </c>
      <c r="AD2336" t="str">
        <f t="shared" si="1497"/>
        <v>SubDepósito</v>
      </c>
      <c r="AE2336" t="str">
        <f t="shared" si="1498"/>
        <v>Marca</v>
      </c>
      <c r="AF2336" t="str">
        <f t="shared" si="1499"/>
        <v>Super Rubro</v>
      </c>
      <c r="AG2336" t="str">
        <f t="shared" si="1500"/>
        <v>ComercioExterior</v>
      </c>
      <c r="AH2336" t="str">
        <f t="shared" si="1501"/>
        <v>PrecioFOB</v>
      </c>
      <c r="AI2336" t="str">
        <f t="shared" si="1502"/>
        <v>Monto II</v>
      </c>
      <c r="AJ2336" t="str">
        <f t="shared" si="1503"/>
        <v>Porcentaje II</v>
      </c>
      <c r="AK2336" t="str">
        <f t="shared" si="1504"/>
        <v>Foto</v>
      </c>
      <c r="AL2336" t="str">
        <f>"{\rtf1\ansi\ansicpg1252\deff0\deflang11274{\fonttbl{\f0\fnil\fcharset0 MS Sans Serif}} \viewkind4\uc1\pard\f0\fs16 KIT DE DISTRIBUCION FORD FIESTA FOCUS ECOSPORT 1.6 16V MOTOR SIGMA\par } "</f>
        <v xml:space="preserve">{\rtf1\ansi\ansicpg1252\deff0\deflang11274{\fonttbl{\f0\fnil\fcharset0 MS Sans Serif}} \viewkind4\uc1\pard\f0\fs16 KIT DE DISTRIBUCION FORD FIESTA FOCUS ECOSPORT 1.6 16V MOTOR SIGMA\par } </v>
      </c>
      <c r="AM2336" t="str">
        <f>" "</f>
        <v xml:space="preserve"> </v>
      </c>
    </row>
    <row r="2337" spans="1:39" x14ac:dyDescent="0.25">
      <c r="A2337" t="str">
        <f>"LKTBN110-1"</f>
        <v>LKTBN110-1</v>
      </c>
      <c r="B2337" t="str">
        <f>"KIT DE DISTRIBUCION LUCAS R19 DIESEL F8Q DESDE 1996 153D"</f>
        <v>KIT DE DISTRIBUCION LUCAS R19 DIESEL F8Q DESDE 1996 153D</v>
      </c>
      <c r="C2337" t="str">
        <f>"$ 98068,79"</f>
        <v>$ 98068,79</v>
      </c>
      <c r="D2337" t="str">
        <f>"$ 98068,79"</f>
        <v>$ 98068,79</v>
      </c>
      <c r="E2337" t="str">
        <f>"$ 98068,79"</f>
        <v>$ 98068,79</v>
      </c>
      <c r="F2337" t="str">
        <f>"$ 98068,79"</f>
        <v>$ 98068,79</v>
      </c>
      <c r="G2337" t="str">
        <f>"$ 98068,79"</f>
        <v>$ 98068,79</v>
      </c>
      <c r="H2337" t="str">
        <f t="shared" si="1487"/>
        <v>$ 0,00</v>
      </c>
      <c r="I2337" t="str">
        <f>"KIT DE DISTRIBUCION LUCAS"</f>
        <v>KIT DE DISTRIBUCION LUCAS</v>
      </c>
      <c r="J2337" t="str">
        <f t="shared" si="1488"/>
        <v>1</v>
      </c>
      <c r="K2337" t="str">
        <f t="shared" si="1515"/>
        <v>0</v>
      </c>
      <c r="L2337" t="str">
        <f>"5,000"</f>
        <v>5,000</v>
      </c>
      <c r="M2337" t="str">
        <f t="shared" si="1489"/>
        <v xml:space="preserve"> </v>
      </c>
      <c r="N2337" t="str">
        <f>"LUCAS"</f>
        <v>LUCAS</v>
      </c>
      <c r="O2337" t="str">
        <f t="shared" si="1506"/>
        <v>DISTRIBUCION</v>
      </c>
      <c r="P2337" t="str">
        <f t="shared" si="1513"/>
        <v>0</v>
      </c>
      <c r="Q2337" t="str">
        <f t="shared" si="1513"/>
        <v>0</v>
      </c>
      <c r="R2337" t="str">
        <f t="shared" si="1514"/>
        <v>0,00</v>
      </c>
      <c r="S2337" t="str">
        <f t="shared" si="1514"/>
        <v>0,00</v>
      </c>
      <c r="T2337" t="str">
        <f t="shared" si="1516"/>
        <v xml:space="preserve"> </v>
      </c>
      <c r="U2337" t="str">
        <f t="shared" si="1516"/>
        <v xml:space="preserve"> </v>
      </c>
      <c r="V2337" t="str">
        <f>"5,000"</f>
        <v>5,000</v>
      </c>
      <c r="W2337" t="str">
        <f t="shared" si="1490"/>
        <v>Lista 4</v>
      </c>
      <c r="X2337" t="str">
        <f t="shared" si="1491"/>
        <v>Lista 5</v>
      </c>
      <c r="Y2337" t="str">
        <f t="shared" si="1492"/>
        <v>Oferta Gral.</v>
      </c>
      <c r="Z2337" t="str">
        <f t="shared" si="1493"/>
        <v>Rubro</v>
      </c>
      <c r="AA2337" t="str">
        <f t="shared" si="1494"/>
        <v>Cantidad por Bulto</v>
      </c>
      <c r="AB2337" t="str">
        <f t="shared" si="1495"/>
        <v>INNER</v>
      </c>
      <c r="AC2337" t="str">
        <f t="shared" si="1496"/>
        <v>Stock en Bultos</v>
      </c>
      <c r="AD2337" t="str">
        <f t="shared" si="1497"/>
        <v>SubDepósito</v>
      </c>
      <c r="AE2337" t="str">
        <f t="shared" si="1498"/>
        <v>Marca</v>
      </c>
      <c r="AF2337" t="str">
        <f t="shared" si="1499"/>
        <v>Super Rubro</v>
      </c>
      <c r="AG2337" t="str">
        <f t="shared" si="1500"/>
        <v>ComercioExterior</v>
      </c>
      <c r="AH2337" t="str">
        <f t="shared" si="1501"/>
        <v>PrecioFOB</v>
      </c>
      <c r="AI2337" t="str">
        <f t="shared" si="1502"/>
        <v>Monto II</v>
      </c>
      <c r="AJ2337" t="str">
        <f t="shared" si="1503"/>
        <v>Porcentaje II</v>
      </c>
      <c r="AK2337" t="str">
        <f t="shared" si="1504"/>
        <v>Foto</v>
      </c>
      <c r="AL2337" t="str">
        <f>"{\rtf1\ansi\ansicpg1252\deff0\deflang11274{\fonttbl{\f0\fnil\fcharset0 MS Sans Serif}} \viewkind4\uc1\pard\f0\fs16 KIT DE DISTRIBUCION LUCAS R19 DIESEL F8Q DESDE 1996 153D\par } "</f>
        <v xml:space="preserve">{\rtf1\ansi\ansicpg1252\deff0\deflang11274{\fonttbl{\f0\fnil\fcharset0 MS Sans Serif}} \viewkind4\uc1\pard\f0\fs16 KIT DE DISTRIBUCION LUCAS R19 DIESEL F8Q DESDE 1996 153D\par } </v>
      </c>
      <c r="AM2337" t="str">
        <f>"-"</f>
        <v>-</v>
      </c>
    </row>
    <row r="2338" spans="1:39" x14ac:dyDescent="0.25">
      <c r="A2338" t="str">
        <f>"LKTBN336"</f>
        <v>LKTBN336</v>
      </c>
      <c r="B2338" t="str">
        <f>"KIT DE DISTRIBUCION P206 PARTNER CITROEN BERLINGO MOTOR TU3JP 1.4 8V"</f>
        <v>KIT DE DISTRIBUCION P206 PARTNER CITROEN BERLINGO MOTOR TU3JP 1.4 8V</v>
      </c>
      <c r="C2338" t="str">
        <f>"$ 53477,31"</f>
        <v>$ 53477,31</v>
      </c>
      <c r="D2338" t="str">
        <f>"$ 53477,31"</f>
        <v>$ 53477,31</v>
      </c>
      <c r="E2338" t="str">
        <f>"$ 53477,31"</f>
        <v>$ 53477,31</v>
      </c>
      <c r="F2338" t="str">
        <f>"$ 53477,31"</f>
        <v>$ 53477,31</v>
      </c>
      <c r="G2338" t="str">
        <f>"$ 53477,31"</f>
        <v>$ 53477,31</v>
      </c>
      <c r="H2338" t="str">
        <f t="shared" si="1487"/>
        <v>$ 0,00</v>
      </c>
      <c r="I2338" t="str">
        <f>"KIT DE DISTRIBUCION LUCAS"</f>
        <v>KIT DE DISTRIBUCION LUCAS</v>
      </c>
      <c r="J2338" t="str">
        <f t="shared" si="1488"/>
        <v>1</v>
      </c>
      <c r="K2338" t="str">
        <f t="shared" si="1515"/>
        <v>0</v>
      </c>
      <c r="L2338" t="str">
        <f>"10,000"</f>
        <v>10,000</v>
      </c>
      <c r="M2338" t="str">
        <f t="shared" si="1489"/>
        <v xml:space="preserve"> </v>
      </c>
      <c r="N2338" t="str">
        <f>"LUCAS"</f>
        <v>LUCAS</v>
      </c>
      <c r="O2338" t="str">
        <f t="shared" si="1506"/>
        <v>DISTRIBUCION</v>
      </c>
      <c r="P2338" t="str">
        <f t="shared" si="1513"/>
        <v>0</v>
      </c>
      <c r="Q2338" t="str">
        <f t="shared" si="1513"/>
        <v>0</v>
      </c>
      <c r="R2338" t="str">
        <f t="shared" si="1514"/>
        <v>0,00</v>
      </c>
      <c r="S2338" t="str">
        <f t="shared" si="1514"/>
        <v>0,00</v>
      </c>
      <c r="T2338" t="str">
        <f t="shared" si="1516"/>
        <v xml:space="preserve"> </v>
      </c>
      <c r="U2338" t="str">
        <f t="shared" si="1516"/>
        <v xml:space="preserve"> </v>
      </c>
      <c r="V2338" t="str">
        <f>"10,000"</f>
        <v>10,000</v>
      </c>
      <c r="W2338" t="str">
        <f t="shared" si="1490"/>
        <v>Lista 4</v>
      </c>
      <c r="X2338" t="str">
        <f t="shared" si="1491"/>
        <v>Lista 5</v>
      </c>
      <c r="Y2338" t="str">
        <f t="shared" si="1492"/>
        <v>Oferta Gral.</v>
      </c>
      <c r="Z2338" t="str">
        <f t="shared" si="1493"/>
        <v>Rubro</v>
      </c>
      <c r="AA2338" t="str">
        <f t="shared" si="1494"/>
        <v>Cantidad por Bulto</v>
      </c>
      <c r="AB2338" t="str">
        <f t="shared" si="1495"/>
        <v>INNER</v>
      </c>
      <c r="AC2338" t="str">
        <f t="shared" si="1496"/>
        <v>Stock en Bultos</v>
      </c>
      <c r="AD2338" t="str">
        <f t="shared" si="1497"/>
        <v>SubDepósito</v>
      </c>
      <c r="AE2338" t="str">
        <f t="shared" si="1498"/>
        <v>Marca</v>
      </c>
      <c r="AF2338" t="str">
        <f t="shared" si="1499"/>
        <v>Super Rubro</v>
      </c>
      <c r="AG2338" t="str">
        <f t="shared" si="1500"/>
        <v>ComercioExterior</v>
      </c>
      <c r="AH2338" t="str">
        <f t="shared" si="1501"/>
        <v>PrecioFOB</v>
      </c>
      <c r="AI2338" t="str">
        <f t="shared" si="1502"/>
        <v>Monto II</v>
      </c>
      <c r="AJ2338" t="str">
        <f t="shared" si="1503"/>
        <v>Porcentaje II</v>
      </c>
      <c r="AK2338" t="str">
        <f t="shared" si="1504"/>
        <v>Foto</v>
      </c>
      <c r="AL2338" t="str">
        <f>"{\rtf1\ansi\ansicpg1252\deff0\deflang11274{\fonttbl{\f0\fnil\fcharset0 MS Sans Serif}} \viewkind4\uc1\pard\f0\fs16 KIT DE DISTRIBUCION P206 PARTNER CITROEN BERLINGO MOTOR TU3JP 1.4 8V\par } "</f>
        <v xml:space="preserve">{\rtf1\ansi\ansicpg1252\deff0\deflang11274{\fonttbl{\f0\fnil\fcharset0 MS Sans Serif}} \viewkind4\uc1\pard\f0\fs16 KIT DE DISTRIBUCION P206 PARTNER CITROEN BERLINGO MOTOR TU3JP 1.4 8V\par } </v>
      </c>
      <c r="AM2338" t="str">
        <f t="shared" ref="AM2338:AM2357" si="1517">" "</f>
        <v xml:space="preserve"> </v>
      </c>
    </row>
    <row r="2339" spans="1:39" x14ac:dyDescent="0.25">
      <c r="A2339" t="str">
        <f>"FM010347"</f>
        <v>FM010347</v>
      </c>
      <c r="B2339" t="str">
        <f>"KIT DE DISTRIBUCION PEUGEOT 306 TU5 101D X 17MM"</f>
        <v>KIT DE DISTRIBUCION PEUGEOT 306 TU5 101D X 17MM</v>
      </c>
      <c r="C2339" t="str">
        <f>"$ 44600,71"</f>
        <v>$ 44600,71</v>
      </c>
      <c r="D2339" t="str">
        <f>"$ 44600,71"</f>
        <v>$ 44600,71</v>
      </c>
      <c r="E2339" t="str">
        <f>"$ 44600,71"</f>
        <v>$ 44600,71</v>
      </c>
      <c r="F2339" t="str">
        <f>"$ 44600,71"</f>
        <v>$ 44600,71</v>
      </c>
      <c r="G2339" t="str">
        <f>"$ 44600,71"</f>
        <v>$ 44600,71</v>
      </c>
      <c r="H2339" t="str">
        <f t="shared" si="1487"/>
        <v>$ 0,00</v>
      </c>
      <c r="I2339" t="str">
        <f t="shared" ref="I2339:I2345" si="1518">"KIT DE DISTRIBUCION MICHELIN"</f>
        <v>KIT DE DISTRIBUCION MICHELIN</v>
      </c>
      <c r="J2339" t="str">
        <f t="shared" si="1488"/>
        <v>1</v>
      </c>
      <c r="K2339" t="str">
        <f t="shared" si="1515"/>
        <v>0</v>
      </c>
      <c r="L2339" t="str">
        <f>"5,000"</f>
        <v>5,000</v>
      </c>
      <c r="M2339" t="str">
        <f t="shared" si="1489"/>
        <v xml:space="preserve"> </v>
      </c>
      <c r="N2339" t="str">
        <f t="shared" ref="N2339:N2345" si="1519">"MICHELIN"</f>
        <v>MICHELIN</v>
      </c>
      <c r="O2339" t="str">
        <f t="shared" si="1506"/>
        <v>DISTRIBUCION</v>
      </c>
      <c r="P2339" t="str">
        <f t="shared" si="1513"/>
        <v>0</v>
      </c>
      <c r="Q2339" t="str">
        <f t="shared" si="1513"/>
        <v>0</v>
      </c>
      <c r="R2339" t="str">
        <f t="shared" si="1514"/>
        <v>0,00</v>
      </c>
      <c r="S2339" t="str">
        <f t="shared" si="1514"/>
        <v>0,00</v>
      </c>
      <c r="T2339" t="str">
        <f t="shared" ref="T2339:U2345" si="1520">"-"</f>
        <v>-</v>
      </c>
      <c r="U2339" t="str">
        <f t="shared" si="1520"/>
        <v>-</v>
      </c>
      <c r="V2339" t="str">
        <f>"5,000"</f>
        <v>5,000</v>
      </c>
      <c r="W2339" t="str">
        <f t="shared" si="1490"/>
        <v>Lista 4</v>
      </c>
      <c r="X2339" t="str">
        <f t="shared" si="1491"/>
        <v>Lista 5</v>
      </c>
      <c r="Y2339" t="str">
        <f t="shared" si="1492"/>
        <v>Oferta Gral.</v>
      </c>
      <c r="Z2339" t="str">
        <f t="shared" si="1493"/>
        <v>Rubro</v>
      </c>
      <c r="AA2339" t="str">
        <f t="shared" si="1494"/>
        <v>Cantidad por Bulto</v>
      </c>
      <c r="AB2339" t="str">
        <f t="shared" si="1495"/>
        <v>INNER</v>
      </c>
      <c r="AC2339" t="str">
        <f t="shared" si="1496"/>
        <v>Stock en Bultos</v>
      </c>
      <c r="AD2339" t="str">
        <f t="shared" si="1497"/>
        <v>SubDepósito</v>
      </c>
      <c r="AE2339" t="str">
        <f t="shared" si="1498"/>
        <v>Marca</v>
      </c>
      <c r="AF2339" t="str">
        <f t="shared" si="1499"/>
        <v>Super Rubro</v>
      </c>
      <c r="AG2339" t="str">
        <f t="shared" si="1500"/>
        <v>ComercioExterior</v>
      </c>
      <c r="AH2339" t="str">
        <f t="shared" si="1501"/>
        <v>PrecioFOB</v>
      </c>
      <c r="AI2339" t="str">
        <f t="shared" si="1502"/>
        <v>Monto II</v>
      </c>
      <c r="AJ2339" t="str">
        <f t="shared" si="1503"/>
        <v>Porcentaje II</v>
      </c>
      <c r="AK2339" t="str">
        <f t="shared" si="1504"/>
        <v>Foto</v>
      </c>
      <c r="AL2339" t="str">
        <f>"{\rtf1\ansi\ansicpg1252\deff0\deflang2058{\fonttbl{\f0\fnil\fcharset0 MS Sans Serif}} \viewkind4\uc1\pard\f0\fs16 KIT DE DISTRIBUCION PEUGEOT 306 TU5 101D X 17MM\par } "</f>
        <v xml:space="preserve">{\rtf1\ansi\ansicpg1252\deff0\deflang2058{\fonttbl{\f0\fnil\fcharset0 MS Sans Serif}} \viewkind4\uc1\pard\f0\fs16 KIT DE DISTRIBUCION PEUGEOT 306 TU5 101D X 17MM\par } </v>
      </c>
      <c r="AM2339" t="str">
        <f t="shared" si="1517"/>
        <v xml:space="preserve"> </v>
      </c>
    </row>
    <row r="2340" spans="1:39" x14ac:dyDescent="0.25">
      <c r="A2340" t="str">
        <f>"FM010215"</f>
        <v>FM010215</v>
      </c>
      <c r="B2340" t="str">
        <f>"KIT DE DISTRIBUCION PEUGEOT 306 XU7 XU10 114 X 17"</f>
        <v>KIT DE DISTRIBUCION PEUGEOT 306 XU7 XU10 114 X 17</v>
      </c>
      <c r="C2340" t="str">
        <f>"$ 52513,39"</f>
        <v>$ 52513,39</v>
      </c>
      <c r="D2340" t="str">
        <f>"$ 52513,39"</f>
        <v>$ 52513,39</v>
      </c>
      <c r="E2340" t="str">
        <f>"$ 52513,39"</f>
        <v>$ 52513,39</v>
      </c>
      <c r="F2340" t="str">
        <f>"$ 52513,39"</f>
        <v>$ 52513,39</v>
      </c>
      <c r="G2340" t="str">
        <f>"$ 52513,39"</f>
        <v>$ 52513,39</v>
      </c>
      <c r="H2340" t="str">
        <f t="shared" si="1487"/>
        <v>$ 0,00</v>
      </c>
      <c r="I2340" t="str">
        <f t="shared" si="1518"/>
        <v>KIT DE DISTRIBUCION MICHELIN</v>
      </c>
      <c r="J2340" t="str">
        <f t="shared" si="1488"/>
        <v>1</v>
      </c>
      <c r="K2340" t="str">
        <f t="shared" si="1515"/>
        <v>0</v>
      </c>
      <c r="L2340" t="str">
        <f>"10,000"</f>
        <v>10,000</v>
      </c>
      <c r="M2340" t="str">
        <f t="shared" si="1489"/>
        <v xml:space="preserve"> </v>
      </c>
      <c r="N2340" t="str">
        <f t="shared" si="1519"/>
        <v>MICHELIN</v>
      </c>
      <c r="O2340" t="str">
        <f t="shared" si="1506"/>
        <v>DISTRIBUCION</v>
      </c>
      <c r="P2340" t="str">
        <f t="shared" si="1513"/>
        <v>0</v>
      </c>
      <c r="Q2340" t="str">
        <f t="shared" si="1513"/>
        <v>0</v>
      </c>
      <c r="R2340" t="str">
        <f t="shared" si="1514"/>
        <v>0,00</v>
      </c>
      <c r="S2340" t="str">
        <f t="shared" si="1514"/>
        <v>0,00</v>
      </c>
      <c r="T2340" t="str">
        <f t="shared" si="1520"/>
        <v>-</v>
      </c>
      <c r="U2340" t="str">
        <f t="shared" si="1520"/>
        <v>-</v>
      </c>
      <c r="V2340" t="str">
        <f>"10,000"</f>
        <v>10,000</v>
      </c>
      <c r="W2340" t="str">
        <f t="shared" si="1490"/>
        <v>Lista 4</v>
      </c>
      <c r="X2340" t="str">
        <f t="shared" si="1491"/>
        <v>Lista 5</v>
      </c>
      <c r="Y2340" t="str">
        <f t="shared" si="1492"/>
        <v>Oferta Gral.</v>
      </c>
      <c r="Z2340" t="str">
        <f t="shared" si="1493"/>
        <v>Rubro</v>
      </c>
      <c r="AA2340" t="str">
        <f t="shared" si="1494"/>
        <v>Cantidad por Bulto</v>
      </c>
      <c r="AB2340" t="str">
        <f t="shared" si="1495"/>
        <v>INNER</v>
      </c>
      <c r="AC2340" t="str">
        <f t="shared" si="1496"/>
        <v>Stock en Bultos</v>
      </c>
      <c r="AD2340" t="str">
        <f t="shared" si="1497"/>
        <v>SubDepósito</v>
      </c>
      <c r="AE2340" t="str">
        <f t="shared" si="1498"/>
        <v>Marca</v>
      </c>
      <c r="AF2340" t="str">
        <f t="shared" si="1499"/>
        <v>Super Rubro</v>
      </c>
      <c r="AG2340" t="str">
        <f t="shared" si="1500"/>
        <v>ComercioExterior</v>
      </c>
      <c r="AH2340" t="str">
        <f t="shared" si="1501"/>
        <v>PrecioFOB</v>
      </c>
      <c r="AI2340" t="str">
        <f t="shared" si="1502"/>
        <v>Monto II</v>
      </c>
      <c r="AJ2340" t="str">
        <f t="shared" si="1503"/>
        <v>Porcentaje II</v>
      </c>
      <c r="AK2340" t="str">
        <f t="shared" si="1504"/>
        <v>Foto</v>
      </c>
      <c r="AL2340" t="str">
        <f>"{\rtf1\ansi\ansicpg1252\deff0\deflang2058{\fonttbl{\f0\fnil\fcharset0 MS Sans Serif}} \viewkind4\uc1\pard\f0\fs16 KIT DE DISTRIBUCION PEUGEOT 306 XU7 XU10 114 X 17\par } "</f>
        <v xml:space="preserve">{\rtf1\ansi\ansicpg1252\deff0\deflang2058{\fonttbl{\f0\fnil\fcharset0 MS Sans Serif}} \viewkind4\uc1\pard\f0\fs16 KIT DE DISTRIBUCION PEUGEOT 306 XU7 XU10 114 X 17\par } </v>
      </c>
      <c r="AM2340" t="str">
        <f t="shared" si="1517"/>
        <v xml:space="preserve"> </v>
      </c>
    </row>
    <row r="2341" spans="1:39" x14ac:dyDescent="0.25">
      <c r="A2341" t="str">
        <f>"FM010528"</f>
        <v>FM010528</v>
      </c>
      <c r="B2341" t="str">
        <f>"KIT DE DISTRIBUCION PEUGEOT 307 EW10 153 X 254"</f>
        <v>KIT DE DISTRIBUCION PEUGEOT 307 EW10 153 X 254</v>
      </c>
      <c r="C2341" t="str">
        <f>"$ 122374,28"</f>
        <v>$ 122374,28</v>
      </c>
      <c r="D2341" t="str">
        <f>"$ 122374,28"</f>
        <v>$ 122374,28</v>
      </c>
      <c r="E2341" t="str">
        <f>"$ 122374,28"</f>
        <v>$ 122374,28</v>
      </c>
      <c r="F2341" t="str">
        <f>"$ 122374,28"</f>
        <v>$ 122374,28</v>
      </c>
      <c r="G2341" t="str">
        <f>"$ 122374,28"</f>
        <v>$ 122374,28</v>
      </c>
      <c r="H2341" t="str">
        <f t="shared" si="1487"/>
        <v>$ 0,00</v>
      </c>
      <c r="I2341" t="str">
        <f t="shared" si="1518"/>
        <v>KIT DE DISTRIBUCION MICHELIN</v>
      </c>
      <c r="J2341" t="str">
        <f t="shared" si="1488"/>
        <v>1</v>
      </c>
      <c r="K2341" t="str">
        <f t="shared" si="1515"/>
        <v>0</v>
      </c>
      <c r="L2341" t="str">
        <f>"13,000"</f>
        <v>13,000</v>
      </c>
      <c r="M2341" t="str">
        <f t="shared" si="1489"/>
        <v xml:space="preserve"> </v>
      </c>
      <c r="N2341" t="str">
        <f t="shared" si="1519"/>
        <v>MICHELIN</v>
      </c>
      <c r="O2341" t="str">
        <f t="shared" ref="O2341:O2357" si="1521">"DISTRIBUCION"</f>
        <v>DISTRIBUCION</v>
      </c>
      <c r="P2341" t="str">
        <f t="shared" si="1513"/>
        <v>0</v>
      </c>
      <c r="Q2341" t="str">
        <f t="shared" si="1513"/>
        <v>0</v>
      </c>
      <c r="R2341" t="str">
        <f t="shared" si="1514"/>
        <v>0,00</v>
      </c>
      <c r="S2341" t="str">
        <f t="shared" si="1514"/>
        <v>0,00</v>
      </c>
      <c r="T2341" t="str">
        <f t="shared" si="1520"/>
        <v>-</v>
      </c>
      <c r="U2341" t="str">
        <f t="shared" si="1520"/>
        <v>-</v>
      </c>
      <c r="V2341" t="str">
        <f>"13,000"</f>
        <v>13,000</v>
      </c>
      <c r="W2341" t="str">
        <f t="shared" si="1490"/>
        <v>Lista 4</v>
      </c>
      <c r="X2341" t="str">
        <f t="shared" si="1491"/>
        <v>Lista 5</v>
      </c>
      <c r="Y2341" t="str">
        <f t="shared" si="1492"/>
        <v>Oferta Gral.</v>
      </c>
      <c r="Z2341" t="str">
        <f t="shared" si="1493"/>
        <v>Rubro</v>
      </c>
      <c r="AA2341" t="str">
        <f t="shared" si="1494"/>
        <v>Cantidad por Bulto</v>
      </c>
      <c r="AB2341" t="str">
        <f t="shared" si="1495"/>
        <v>INNER</v>
      </c>
      <c r="AC2341" t="str">
        <f t="shared" si="1496"/>
        <v>Stock en Bultos</v>
      </c>
      <c r="AD2341" t="str">
        <f t="shared" si="1497"/>
        <v>SubDepósito</v>
      </c>
      <c r="AE2341" t="str">
        <f t="shared" si="1498"/>
        <v>Marca</v>
      </c>
      <c r="AF2341" t="str">
        <f t="shared" si="1499"/>
        <v>Super Rubro</v>
      </c>
      <c r="AG2341" t="str">
        <f t="shared" si="1500"/>
        <v>ComercioExterior</v>
      </c>
      <c r="AH2341" t="str">
        <f t="shared" si="1501"/>
        <v>PrecioFOB</v>
      </c>
      <c r="AI2341" t="str">
        <f t="shared" si="1502"/>
        <v>Monto II</v>
      </c>
      <c r="AJ2341" t="str">
        <f t="shared" si="1503"/>
        <v>Porcentaje II</v>
      </c>
      <c r="AK2341" t="str">
        <f t="shared" si="1504"/>
        <v>Foto</v>
      </c>
      <c r="AL2341" t="str">
        <f>"{\rtf1\ansi\ansicpg1252\deff0\deflang2058{\fonttbl{\f0\fnil\fcharset0 MS Sans Serif}} \viewkind4\uc1\pard\f0\fs16 KIT DE DISTRIBUCION PEUGEOT 307 EW10 153 X 254\par } "</f>
        <v xml:space="preserve">{\rtf1\ansi\ansicpg1252\deff0\deflang2058{\fonttbl{\f0\fnil\fcharset0 MS Sans Serif}} \viewkind4\uc1\pard\f0\fs16 KIT DE DISTRIBUCION PEUGEOT 307 EW10 153 X 254\par } </v>
      </c>
      <c r="AM2341" t="str">
        <f t="shared" si="1517"/>
        <v xml:space="preserve"> </v>
      </c>
    </row>
    <row r="2342" spans="1:39" x14ac:dyDescent="0.25">
      <c r="A2342" t="str">
        <f>"FM010485"</f>
        <v>FM010485</v>
      </c>
      <c r="B2342" t="str">
        <f>"KIT DE DISTRIBUCION RENAULT CLIO  F8Q 153 X 254"</f>
        <v>KIT DE DISTRIBUCION RENAULT CLIO  F8Q 153 X 254</v>
      </c>
      <c r="C2342" t="str">
        <f>"$ 100357,56"</f>
        <v>$ 100357,56</v>
      </c>
      <c r="D2342" t="str">
        <f>"$ 100357,56"</f>
        <v>$ 100357,56</v>
      </c>
      <c r="E2342" t="str">
        <f>"$ 100357,56"</f>
        <v>$ 100357,56</v>
      </c>
      <c r="F2342" t="str">
        <f>"$ 100357,56"</f>
        <v>$ 100357,56</v>
      </c>
      <c r="G2342" t="str">
        <f>"$ 100357,56"</f>
        <v>$ 100357,56</v>
      </c>
      <c r="H2342" t="str">
        <f t="shared" si="1487"/>
        <v>$ 0,00</v>
      </c>
      <c r="I2342" t="str">
        <f t="shared" si="1518"/>
        <v>KIT DE DISTRIBUCION MICHELIN</v>
      </c>
      <c r="J2342" t="str">
        <f t="shared" si="1488"/>
        <v>1</v>
      </c>
      <c r="K2342" t="str">
        <f t="shared" si="1515"/>
        <v>0</v>
      </c>
      <c r="L2342" t="str">
        <f>"10,000"</f>
        <v>10,000</v>
      </c>
      <c r="M2342" t="str">
        <f t="shared" si="1489"/>
        <v xml:space="preserve"> </v>
      </c>
      <c r="N2342" t="str">
        <f t="shared" si="1519"/>
        <v>MICHELIN</v>
      </c>
      <c r="O2342" t="str">
        <f t="shared" si="1521"/>
        <v>DISTRIBUCION</v>
      </c>
      <c r="P2342" t="str">
        <f t="shared" si="1513"/>
        <v>0</v>
      </c>
      <c r="Q2342" t="str">
        <f t="shared" si="1513"/>
        <v>0</v>
      </c>
      <c r="R2342" t="str">
        <f t="shared" si="1514"/>
        <v>0,00</v>
      </c>
      <c r="S2342" t="str">
        <f t="shared" si="1514"/>
        <v>0,00</v>
      </c>
      <c r="T2342" t="str">
        <f t="shared" si="1520"/>
        <v>-</v>
      </c>
      <c r="U2342" t="str">
        <f t="shared" si="1520"/>
        <v>-</v>
      </c>
      <c r="V2342" t="str">
        <f>"10,000"</f>
        <v>10,000</v>
      </c>
      <c r="W2342" t="str">
        <f t="shared" si="1490"/>
        <v>Lista 4</v>
      </c>
      <c r="X2342" t="str">
        <f t="shared" si="1491"/>
        <v>Lista 5</v>
      </c>
      <c r="Y2342" t="str">
        <f t="shared" si="1492"/>
        <v>Oferta Gral.</v>
      </c>
      <c r="Z2342" t="str">
        <f t="shared" si="1493"/>
        <v>Rubro</v>
      </c>
      <c r="AA2342" t="str">
        <f t="shared" si="1494"/>
        <v>Cantidad por Bulto</v>
      </c>
      <c r="AB2342" t="str">
        <f t="shared" si="1495"/>
        <v>INNER</v>
      </c>
      <c r="AC2342" t="str">
        <f t="shared" si="1496"/>
        <v>Stock en Bultos</v>
      </c>
      <c r="AD2342" t="str">
        <f t="shared" si="1497"/>
        <v>SubDepósito</v>
      </c>
      <c r="AE2342" t="str">
        <f t="shared" si="1498"/>
        <v>Marca</v>
      </c>
      <c r="AF2342" t="str">
        <f t="shared" si="1499"/>
        <v>Super Rubro</v>
      </c>
      <c r="AG2342" t="str">
        <f t="shared" si="1500"/>
        <v>ComercioExterior</v>
      </c>
      <c r="AH2342" t="str">
        <f t="shared" si="1501"/>
        <v>PrecioFOB</v>
      </c>
      <c r="AI2342" t="str">
        <f t="shared" si="1502"/>
        <v>Monto II</v>
      </c>
      <c r="AJ2342" t="str">
        <f t="shared" si="1503"/>
        <v>Porcentaje II</v>
      </c>
      <c r="AK2342" t="str">
        <f t="shared" si="1504"/>
        <v>Foto</v>
      </c>
      <c r="AL2342" t="str">
        <f>"{\rtf1\ansi\ansicpg1252\deff0\deflang2058{\fonttbl{\f0\fnil\fcharset0 MS Sans Serif}} \viewkind4\uc1\pard\f0\fs16 KIT DE DISTRIBUCION RENAULT CLIO  F8Q 153 X 254\par } "</f>
        <v xml:space="preserve">{\rtf1\ansi\ansicpg1252\deff0\deflang2058{\fonttbl{\f0\fnil\fcharset0 MS Sans Serif}} \viewkind4\uc1\pard\f0\fs16 KIT DE DISTRIBUCION RENAULT CLIO  F8Q 153 X 254\par } </v>
      </c>
      <c r="AM2342" t="str">
        <f t="shared" si="1517"/>
        <v xml:space="preserve"> </v>
      </c>
    </row>
    <row r="2343" spans="1:39" x14ac:dyDescent="0.25">
      <c r="A2343" t="str">
        <f>"FM010577"</f>
        <v>FM010577</v>
      </c>
      <c r="B2343" t="str">
        <f>"KIT DE DISTRIBUCION RENAULT CLIO 1.2 16V 95 X 234 D4F"</f>
        <v>KIT DE DISTRIBUCION RENAULT CLIO 1.2 16V 95 X 234 D4F</v>
      </c>
      <c r="C2343" t="str">
        <f>"$ 70769,18"</f>
        <v>$ 70769,18</v>
      </c>
      <c r="D2343" t="str">
        <f>"$ 70769,18"</f>
        <v>$ 70769,18</v>
      </c>
      <c r="E2343" t="str">
        <f>"$ 70769,18"</f>
        <v>$ 70769,18</v>
      </c>
      <c r="F2343" t="str">
        <f>"$ 70769,18"</f>
        <v>$ 70769,18</v>
      </c>
      <c r="G2343" t="str">
        <f>"$ 70769,18"</f>
        <v>$ 70769,18</v>
      </c>
      <c r="H2343" t="str">
        <f t="shared" si="1487"/>
        <v>$ 0,00</v>
      </c>
      <c r="I2343" t="str">
        <f t="shared" si="1518"/>
        <v>KIT DE DISTRIBUCION MICHELIN</v>
      </c>
      <c r="J2343" t="str">
        <f t="shared" si="1488"/>
        <v>1</v>
      </c>
      <c r="K2343" t="str">
        <f t="shared" si="1515"/>
        <v>0</v>
      </c>
      <c r="L2343" t="str">
        <f>"11,000"</f>
        <v>11,000</v>
      </c>
      <c r="M2343" t="str">
        <f t="shared" si="1489"/>
        <v xml:space="preserve"> </v>
      </c>
      <c r="N2343" t="str">
        <f t="shared" si="1519"/>
        <v>MICHELIN</v>
      </c>
      <c r="O2343" t="str">
        <f t="shared" si="1521"/>
        <v>DISTRIBUCION</v>
      </c>
      <c r="P2343" t="str">
        <f t="shared" ref="P2343:Q2362" si="1522">"0"</f>
        <v>0</v>
      </c>
      <c r="Q2343" t="str">
        <f t="shared" si="1522"/>
        <v>0</v>
      </c>
      <c r="R2343" t="str">
        <f t="shared" ref="R2343:S2362" si="1523">"0,00"</f>
        <v>0,00</v>
      </c>
      <c r="S2343" t="str">
        <f t="shared" si="1523"/>
        <v>0,00</v>
      </c>
      <c r="T2343" t="str">
        <f t="shared" si="1520"/>
        <v>-</v>
      </c>
      <c r="U2343" t="str">
        <f t="shared" si="1520"/>
        <v>-</v>
      </c>
      <c r="V2343" t="str">
        <f>"11,000"</f>
        <v>11,000</v>
      </c>
      <c r="W2343" t="str">
        <f t="shared" si="1490"/>
        <v>Lista 4</v>
      </c>
      <c r="X2343" t="str">
        <f t="shared" si="1491"/>
        <v>Lista 5</v>
      </c>
      <c r="Y2343" t="str">
        <f t="shared" si="1492"/>
        <v>Oferta Gral.</v>
      </c>
      <c r="Z2343" t="str">
        <f t="shared" si="1493"/>
        <v>Rubro</v>
      </c>
      <c r="AA2343" t="str">
        <f t="shared" si="1494"/>
        <v>Cantidad por Bulto</v>
      </c>
      <c r="AB2343" t="str">
        <f t="shared" si="1495"/>
        <v>INNER</v>
      </c>
      <c r="AC2343" t="str">
        <f t="shared" si="1496"/>
        <v>Stock en Bultos</v>
      </c>
      <c r="AD2343" t="str">
        <f t="shared" si="1497"/>
        <v>SubDepósito</v>
      </c>
      <c r="AE2343" t="str">
        <f t="shared" si="1498"/>
        <v>Marca</v>
      </c>
      <c r="AF2343" t="str">
        <f t="shared" si="1499"/>
        <v>Super Rubro</v>
      </c>
      <c r="AG2343" t="str">
        <f t="shared" si="1500"/>
        <v>ComercioExterior</v>
      </c>
      <c r="AH2343" t="str">
        <f t="shared" si="1501"/>
        <v>PrecioFOB</v>
      </c>
      <c r="AI2343" t="str">
        <f t="shared" si="1502"/>
        <v>Monto II</v>
      </c>
      <c r="AJ2343" t="str">
        <f t="shared" si="1503"/>
        <v>Porcentaje II</v>
      </c>
      <c r="AK2343" t="str">
        <f t="shared" si="1504"/>
        <v>Foto</v>
      </c>
      <c r="AL2343" t="str">
        <f>"{\rtf1\ansi\ansicpg1252\deff0\deflang2058{\fonttbl{\f0\fnil\fcharset0 MS Sans Serif}} \viewkind4\uc1\pard\f0\fs16 KIT DE DISTRIBUCION RENAULT CLIO 1.2 16V 95 X 234 D4F\par } "</f>
        <v xml:space="preserve">{\rtf1\ansi\ansicpg1252\deff0\deflang2058{\fonttbl{\f0\fnil\fcharset0 MS Sans Serif}} \viewkind4\uc1\pard\f0\fs16 KIT DE DISTRIBUCION RENAULT CLIO 1.2 16V 95 X 234 D4F\par } </v>
      </c>
      <c r="AM2343" t="str">
        <f t="shared" si="1517"/>
        <v xml:space="preserve"> </v>
      </c>
    </row>
    <row r="2344" spans="1:39" x14ac:dyDescent="0.25">
      <c r="A2344" t="str">
        <f>"FM010473"</f>
        <v>FM010473</v>
      </c>
      <c r="B2344" t="str">
        <f>"KIT DE DISTRIBUCION RENAULT KANGOO CLIO 96X170 K7M"</f>
        <v>KIT DE DISTRIBUCION RENAULT KANGOO CLIO 96X170 K7M</v>
      </c>
      <c r="C2344" t="str">
        <f>"$ 48900,78"</f>
        <v>$ 48900,78</v>
      </c>
      <c r="D2344" t="str">
        <f>"$ 48900,78"</f>
        <v>$ 48900,78</v>
      </c>
      <c r="E2344" t="str">
        <f>"$ 48900,78"</f>
        <v>$ 48900,78</v>
      </c>
      <c r="F2344" t="str">
        <f>"$ 48900,78"</f>
        <v>$ 48900,78</v>
      </c>
      <c r="G2344" t="str">
        <f>"$ 48900,78"</f>
        <v>$ 48900,78</v>
      </c>
      <c r="H2344" t="str">
        <f t="shared" si="1487"/>
        <v>$ 0,00</v>
      </c>
      <c r="I2344" t="str">
        <f t="shared" si="1518"/>
        <v>KIT DE DISTRIBUCION MICHELIN</v>
      </c>
      <c r="J2344" t="str">
        <f t="shared" si="1488"/>
        <v>1</v>
      </c>
      <c r="K2344" t="str">
        <f t="shared" si="1515"/>
        <v>0</v>
      </c>
      <c r="L2344" t="str">
        <f>"10,000"</f>
        <v>10,000</v>
      </c>
      <c r="M2344" t="str">
        <f t="shared" si="1489"/>
        <v xml:space="preserve"> </v>
      </c>
      <c r="N2344" t="str">
        <f t="shared" si="1519"/>
        <v>MICHELIN</v>
      </c>
      <c r="O2344" t="str">
        <f t="shared" si="1521"/>
        <v>DISTRIBUCION</v>
      </c>
      <c r="P2344" t="str">
        <f t="shared" si="1522"/>
        <v>0</v>
      </c>
      <c r="Q2344" t="str">
        <f t="shared" si="1522"/>
        <v>0</v>
      </c>
      <c r="R2344" t="str">
        <f t="shared" si="1523"/>
        <v>0,00</v>
      </c>
      <c r="S2344" t="str">
        <f t="shared" si="1523"/>
        <v>0,00</v>
      </c>
      <c r="T2344" t="str">
        <f t="shared" si="1520"/>
        <v>-</v>
      </c>
      <c r="U2344" t="str">
        <f t="shared" si="1520"/>
        <v>-</v>
      </c>
      <c r="V2344" t="str">
        <f>"10,000"</f>
        <v>10,000</v>
      </c>
      <c r="W2344" t="str">
        <f t="shared" si="1490"/>
        <v>Lista 4</v>
      </c>
      <c r="X2344" t="str">
        <f t="shared" si="1491"/>
        <v>Lista 5</v>
      </c>
      <c r="Y2344" t="str">
        <f t="shared" si="1492"/>
        <v>Oferta Gral.</v>
      </c>
      <c r="Z2344" t="str">
        <f t="shared" si="1493"/>
        <v>Rubro</v>
      </c>
      <c r="AA2344" t="str">
        <f t="shared" si="1494"/>
        <v>Cantidad por Bulto</v>
      </c>
      <c r="AB2344" t="str">
        <f t="shared" si="1495"/>
        <v>INNER</v>
      </c>
      <c r="AC2344" t="str">
        <f t="shared" si="1496"/>
        <v>Stock en Bultos</v>
      </c>
      <c r="AD2344" t="str">
        <f t="shared" si="1497"/>
        <v>SubDepósito</v>
      </c>
      <c r="AE2344" t="str">
        <f t="shared" si="1498"/>
        <v>Marca</v>
      </c>
      <c r="AF2344" t="str">
        <f t="shared" si="1499"/>
        <v>Super Rubro</v>
      </c>
      <c r="AG2344" t="str">
        <f t="shared" si="1500"/>
        <v>ComercioExterior</v>
      </c>
      <c r="AH2344" t="str">
        <f t="shared" si="1501"/>
        <v>PrecioFOB</v>
      </c>
      <c r="AI2344" t="str">
        <f t="shared" si="1502"/>
        <v>Monto II</v>
      </c>
      <c r="AJ2344" t="str">
        <f t="shared" si="1503"/>
        <v>Porcentaje II</v>
      </c>
      <c r="AK2344" t="str">
        <f t="shared" si="1504"/>
        <v>Foto</v>
      </c>
      <c r="AL2344" t="str">
        <f>"{\rtf1\ansi\ansicpg1252\deff0\deflang2058{\fonttbl{\f0\fnil\fcharset0 MS Sans Serif}} \viewkind4\uc1\pard\f0\fs16 KIT DE DISTRIBUCION RENAULT KANGOO CLIO 96X170 K7M\par } "</f>
        <v xml:space="preserve">{\rtf1\ansi\ansicpg1252\deff0\deflang2058{\fonttbl{\f0\fnil\fcharset0 MS Sans Serif}} \viewkind4\uc1\pard\f0\fs16 KIT DE DISTRIBUCION RENAULT KANGOO CLIO 96X170 K7M\par } </v>
      </c>
      <c r="AM2344" t="str">
        <f t="shared" si="1517"/>
        <v xml:space="preserve"> </v>
      </c>
    </row>
    <row r="2345" spans="1:39" x14ac:dyDescent="0.25">
      <c r="A2345" t="str">
        <f>"FM010484"</f>
        <v>FM010484</v>
      </c>
      <c r="B2345" t="str">
        <f>"KIT DE DISTRIBUCION RENAULT KANGOO F8Q 151 X 254"</f>
        <v>KIT DE DISTRIBUCION RENAULT KANGOO F8Q 151 X 254</v>
      </c>
      <c r="C2345" t="str">
        <f>"$ 105026,79"</f>
        <v>$ 105026,79</v>
      </c>
      <c r="D2345" t="str">
        <f>"$ 105026,79"</f>
        <v>$ 105026,79</v>
      </c>
      <c r="E2345" t="str">
        <f>"$ 105026,79"</f>
        <v>$ 105026,79</v>
      </c>
      <c r="F2345" t="str">
        <f>"$ 105026,79"</f>
        <v>$ 105026,79</v>
      </c>
      <c r="G2345" t="str">
        <f>"$ 105026,79"</f>
        <v>$ 105026,79</v>
      </c>
      <c r="H2345" t="str">
        <f t="shared" si="1487"/>
        <v>$ 0,00</v>
      </c>
      <c r="I2345" t="str">
        <f t="shared" si="1518"/>
        <v>KIT DE DISTRIBUCION MICHELIN</v>
      </c>
      <c r="J2345" t="str">
        <f t="shared" si="1488"/>
        <v>1</v>
      </c>
      <c r="K2345" t="str">
        <f t="shared" si="1515"/>
        <v>0</v>
      </c>
      <c r="L2345" t="str">
        <f>"14,000"</f>
        <v>14,000</v>
      </c>
      <c r="M2345" t="str">
        <f t="shared" si="1489"/>
        <v xml:space="preserve"> </v>
      </c>
      <c r="N2345" t="str">
        <f t="shared" si="1519"/>
        <v>MICHELIN</v>
      </c>
      <c r="O2345" t="str">
        <f t="shared" si="1521"/>
        <v>DISTRIBUCION</v>
      </c>
      <c r="P2345" t="str">
        <f t="shared" si="1522"/>
        <v>0</v>
      </c>
      <c r="Q2345" t="str">
        <f t="shared" si="1522"/>
        <v>0</v>
      </c>
      <c r="R2345" t="str">
        <f t="shared" si="1523"/>
        <v>0,00</v>
      </c>
      <c r="S2345" t="str">
        <f t="shared" si="1523"/>
        <v>0,00</v>
      </c>
      <c r="T2345" t="str">
        <f t="shared" si="1520"/>
        <v>-</v>
      </c>
      <c r="U2345" t="str">
        <f t="shared" si="1520"/>
        <v>-</v>
      </c>
      <c r="V2345" t="str">
        <f>"14,000"</f>
        <v>14,000</v>
      </c>
      <c r="W2345" t="str">
        <f t="shared" si="1490"/>
        <v>Lista 4</v>
      </c>
      <c r="X2345" t="str">
        <f t="shared" si="1491"/>
        <v>Lista 5</v>
      </c>
      <c r="Y2345" t="str">
        <f t="shared" si="1492"/>
        <v>Oferta Gral.</v>
      </c>
      <c r="Z2345" t="str">
        <f t="shared" si="1493"/>
        <v>Rubro</v>
      </c>
      <c r="AA2345" t="str">
        <f t="shared" si="1494"/>
        <v>Cantidad por Bulto</v>
      </c>
      <c r="AB2345" t="str">
        <f t="shared" si="1495"/>
        <v>INNER</v>
      </c>
      <c r="AC2345" t="str">
        <f t="shared" si="1496"/>
        <v>Stock en Bultos</v>
      </c>
      <c r="AD2345" t="str">
        <f t="shared" si="1497"/>
        <v>SubDepósito</v>
      </c>
      <c r="AE2345" t="str">
        <f t="shared" si="1498"/>
        <v>Marca</v>
      </c>
      <c r="AF2345" t="str">
        <f t="shared" si="1499"/>
        <v>Super Rubro</v>
      </c>
      <c r="AG2345" t="str">
        <f t="shared" si="1500"/>
        <v>ComercioExterior</v>
      </c>
      <c r="AH2345" t="str">
        <f t="shared" si="1501"/>
        <v>PrecioFOB</v>
      </c>
      <c r="AI2345" t="str">
        <f t="shared" si="1502"/>
        <v>Monto II</v>
      </c>
      <c r="AJ2345" t="str">
        <f t="shared" si="1503"/>
        <v>Porcentaje II</v>
      </c>
      <c r="AK2345" t="str">
        <f t="shared" si="1504"/>
        <v>Foto</v>
      </c>
      <c r="AL2345" t="str">
        <f>"{\rtf1\ansi\ansicpg1252\deff0\deflang2058{\fonttbl{\f0\fnil\fcharset0 MS Sans Serif}} \viewkind4\uc1\pard\f0\fs16 KIT DE DISTRIBUCION RENAULT KANGOO F8Q 151 X 254\par } "</f>
        <v xml:space="preserve">{\rtf1\ansi\ansicpg1252\deff0\deflang2058{\fonttbl{\f0\fnil\fcharset0 MS Sans Serif}} \viewkind4\uc1\pard\f0\fs16 KIT DE DISTRIBUCION RENAULT KANGOO F8Q 151 X 254\par } </v>
      </c>
      <c r="AM2345" t="str">
        <f t="shared" si="1517"/>
        <v xml:space="preserve"> </v>
      </c>
    </row>
    <row r="2346" spans="1:39" x14ac:dyDescent="0.25">
      <c r="A2346" t="str">
        <f>"LKTBN271"</f>
        <v>LKTBN271</v>
      </c>
      <c r="B2346" t="str">
        <f>"KIT DE DISTRIBUCION RENAULT MEGANE LOGAN SANDERO CLIO KANGO K4M 1.6 16V "</f>
        <v xml:space="preserve">KIT DE DISTRIBUCION RENAULT MEGANE LOGAN SANDERO CLIO KANGO K4M 1.6 16V </v>
      </c>
      <c r="C2346" t="str">
        <f>"$ 105193,32"</f>
        <v>$ 105193,32</v>
      </c>
      <c r="D2346" t="str">
        <f>"$ 105193,32"</f>
        <v>$ 105193,32</v>
      </c>
      <c r="E2346" t="str">
        <f>"$ 105193,32"</f>
        <v>$ 105193,32</v>
      </c>
      <c r="F2346" t="str">
        <f>"$ 105193,32"</f>
        <v>$ 105193,32</v>
      </c>
      <c r="G2346" t="str">
        <f>"$ 105193,32"</f>
        <v>$ 105193,32</v>
      </c>
      <c r="H2346" t="str">
        <f t="shared" si="1487"/>
        <v>$ 0,00</v>
      </c>
      <c r="I2346" t="str">
        <f>"KIT DE DISTRIBUCION LUCAS"</f>
        <v>KIT DE DISTRIBUCION LUCAS</v>
      </c>
      <c r="J2346" t="str">
        <f t="shared" si="1488"/>
        <v>1</v>
      </c>
      <c r="K2346" t="str">
        <f t="shared" si="1515"/>
        <v>0</v>
      </c>
      <c r="L2346" t="str">
        <f>"37,000"</f>
        <v>37,000</v>
      </c>
      <c r="M2346" t="str">
        <f t="shared" si="1489"/>
        <v xml:space="preserve"> </v>
      </c>
      <c r="N2346" t="str">
        <f>"LUCAS"</f>
        <v>LUCAS</v>
      </c>
      <c r="O2346" t="str">
        <f t="shared" si="1521"/>
        <v>DISTRIBUCION</v>
      </c>
      <c r="P2346" t="str">
        <f t="shared" si="1522"/>
        <v>0</v>
      </c>
      <c r="Q2346" t="str">
        <f t="shared" si="1522"/>
        <v>0</v>
      </c>
      <c r="R2346" t="str">
        <f t="shared" si="1523"/>
        <v>0,00</v>
      </c>
      <c r="S2346" t="str">
        <f t="shared" si="1523"/>
        <v>0,00</v>
      </c>
      <c r="T2346" t="str">
        <f>" "</f>
        <v xml:space="preserve"> </v>
      </c>
      <c r="U2346" t="str">
        <f>" "</f>
        <v xml:space="preserve"> </v>
      </c>
      <c r="V2346" t="str">
        <f>"37,000"</f>
        <v>37,000</v>
      </c>
      <c r="W2346" t="str">
        <f t="shared" si="1490"/>
        <v>Lista 4</v>
      </c>
      <c r="X2346" t="str">
        <f t="shared" si="1491"/>
        <v>Lista 5</v>
      </c>
      <c r="Y2346" t="str">
        <f t="shared" si="1492"/>
        <v>Oferta Gral.</v>
      </c>
      <c r="Z2346" t="str">
        <f t="shared" si="1493"/>
        <v>Rubro</v>
      </c>
      <c r="AA2346" t="str">
        <f t="shared" si="1494"/>
        <v>Cantidad por Bulto</v>
      </c>
      <c r="AB2346" t="str">
        <f t="shared" si="1495"/>
        <v>INNER</v>
      </c>
      <c r="AC2346" t="str">
        <f t="shared" si="1496"/>
        <v>Stock en Bultos</v>
      </c>
      <c r="AD2346" t="str">
        <f t="shared" si="1497"/>
        <v>SubDepósito</v>
      </c>
      <c r="AE2346" t="str">
        <f t="shared" si="1498"/>
        <v>Marca</v>
      </c>
      <c r="AF2346" t="str">
        <f t="shared" si="1499"/>
        <v>Super Rubro</v>
      </c>
      <c r="AG2346" t="str">
        <f t="shared" si="1500"/>
        <v>ComercioExterior</v>
      </c>
      <c r="AH2346" t="str">
        <f t="shared" si="1501"/>
        <v>PrecioFOB</v>
      </c>
      <c r="AI2346" t="str">
        <f t="shared" si="1502"/>
        <v>Monto II</v>
      </c>
      <c r="AJ2346" t="str">
        <f t="shared" si="1503"/>
        <v>Porcentaje II</v>
      </c>
      <c r="AK2346" t="str">
        <f t="shared" si="1504"/>
        <v>Foto</v>
      </c>
      <c r="AL2346" t="str">
        <f>"{\rtf1\ansi\ansicpg1252\deff0\deflang11274{\fonttbl{\f0\fnil\fcharset0 MS Sans Serif}} \viewkind4\uc1\pard\f0\fs16 KIT DE DISTRIBUCION RENAULT MEGANE LOGAN SANDERO CLIO KANGO K4M 1.6 16V \par } "</f>
        <v xml:space="preserve">{\rtf1\ansi\ansicpg1252\deff0\deflang11274{\fonttbl{\f0\fnil\fcharset0 MS Sans Serif}} \viewkind4\uc1\pard\f0\fs16 KIT DE DISTRIBUCION RENAULT MEGANE LOGAN SANDERO CLIO KANGO K4M 1.6 16V \par } </v>
      </c>
      <c r="AM2346" t="str">
        <f t="shared" si="1517"/>
        <v xml:space="preserve"> </v>
      </c>
    </row>
    <row r="2347" spans="1:39" x14ac:dyDescent="0.25">
      <c r="A2347" t="str">
        <f>"FM010214"</f>
        <v>FM010214</v>
      </c>
      <c r="B2347" t="str">
        <f>"KIT DE DISTRIBUCION TOYOTA HILUX 2.4 TD RUNNER"</f>
        <v>KIT DE DISTRIBUCION TOYOTA HILUX 2.4 TD RUNNER</v>
      </c>
      <c r="C2347" t="str">
        <f>"$ 153205,48"</f>
        <v>$ 153205,48</v>
      </c>
      <c r="D2347" t="str">
        <f>"$ 153205,48"</f>
        <v>$ 153205,48</v>
      </c>
      <c r="E2347" t="str">
        <f>"$ 153205,48"</f>
        <v>$ 153205,48</v>
      </c>
      <c r="F2347" t="str">
        <f>"$ 153205,48"</f>
        <v>$ 153205,48</v>
      </c>
      <c r="G2347" t="str">
        <f>"$ 153205,48"</f>
        <v>$ 153205,48</v>
      </c>
      <c r="H2347" t="str">
        <f t="shared" si="1487"/>
        <v>$ 0,00</v>
      </c>
      <c r="I2347" t="str">
        <f>"KIT DE DISTRIBUCION MICHELIN"</f>
        <v>KIT DE DISTRIBUCION MICHELIN</v>
      </c>
      <c r="J2347" t="str">
        <f t="shared" si="1488"/>
        <v>1</v>
      </c>
      <c r="K2347" t="str">
        <f t="shared" si="1515"/>
        <v>0</v>
      </c>
      <c r="L2347" t="str">
        <f>"0,000"</f>
        <v>0,000</v>
      </c>
      <c r="M2347" t="str">
        <f t="shared" si="1489"/>
        <v xml:space="preserve"> </v>
      </c>
      <c r="N2347" t="str">
        <f>"MICHELIN"</f>
        <v>MICHELIN</v>
      </c>
      <c r="O2347" t="str">
        <f t="shared" si="1521"/>
        <v>DISTRIBUCION</v>
      </c>
      <c r="P2347" t="str">
        <f t="shared" si="1522"/>
        <v>0</v>
      </c>
      <c r="Q2347" t="str">
        <f t="shared" si="1522"/>
        <v>0</v>
      </c>
      <c r="R2347" t="str">
        <f t="shared" si="1523"/>
        <v>0,00</v>
      </c>
      <c r="S2347" t="str">
        <f t="shared" si="1523"/>
        <v>0,00</v>
      </c>
      <c r="T2347" t="str">
        <f t="shared" ref="T2347:U2349" si="1524">"-"</f>
        <v>-</v>
      </c>
      <c r="U2347" t="str">
        <f t="shared" si="1524"/>
        <v>-</v>
      </c>
      <c r="V2347" t="str">
        <f>"0,000"</f>
        <v>0,000</v>
      </c>
      <c r="W2347" t="str">
        <f t="shared" si="1490"/>
        <v>Lista 4</v>
      </c>
      <c r="X2347" t="str">
        <f t="shared" si="1491"/>
        <v>Lista 5</v>
      </c>
      <c r="Y2347" t="str">
        <f t="shared" si="1492"/>
        <v>Oferta Gral.</v>
      </c>
      <c r="Z2347" t="str">
        <f t="shared" si="1493"/>
        <v>Rubro</v>
      </c>
      <c r="AA2347" t="str">
        <f t="shared" si="1494"/>
        <v>Cantidad por Bulto</v>
      </c>
      <c r="AB2347" t="str">
        <f t="shared" si="1495"/>
        <v>INNER</v>
      </c>
      <c r="AC2347" t="str">
        <f t="shared" si="1496"/>
        <v>Stock en Bultos</v>
      </c>
      <c r="AD2347" t="str">
        <f t="shared" si="1497"/>
        <v>SubDepósito</v>
      </c>
      <c r="AE2347" t="str">
        <f t="shared" si="1498"/>
        <v>Marca</v>
      </c>
      <c r="AF2347" t="str">
        <f t="shared" si="1499"/>
        <v>Super Rubro</v>
      </c>
      <c r="AG2347" t="str">
        <f t="shared" si="1500"/>
        <v>ComercioExterior</v>
      </c>
      <c r="AH2347" t="str">
        <f t="shared" si="1501"/>
        <v>PrecioFOB</v>
      </c>
      <c r="AI2347" t="str">
        <f t="shared" si="1502"/>
        <v>Monto II</v>
      </c>
      <c r="AJ2347" t="str">
        <f t="shared" si="1503"/>
        <v>Porcentaje II</v>
      </c>
      <c r="AK2347" t="str">
        <f t="shared" si="1504"/>
        <v>Foto</v>
      </c>
      <c r="AL2347" t="str">
        <f>"{\rtf1\ansi\ansicpg1252\deff0\deflang2058{\fonttbl{\f0\fnil\fcharset0 MS Sans Serif}} \viewkind4\uc1\pard\f0\fs16 KIT DE DISTRIBUCION TOYOTA HILUX 2.4 TD RUNNER\par } "</f>
        <v xml:space="preserve">{\rtf1\ansi\ansicpg1252\deff0\deflang2058{\fonttbl{\f0\fnil\fcharset0 MS Sans Serif}} \viewkind4\uc1\pard\f0\fs16 KIT DE DISTRIBUCION TOYOTA HILUX 2.4 TD RUNNER\par } </v>
      </c>
      <c r="AM2347" t="str">
        <f t="shared" si="1517"/>
        <v xml:space="preserve"> </v>
      </c>
    </row>
    <row r="2348" spans="1:39" x14ac:dyDescent="0.25">
      <c r="A2348" t="str">
        <f>"FM010560"</f>
        <v>FM010560</v>
      </c>
      <c r="B2348" t="str">
        <f>"KIT DE DISTRIBUCION TOYOTA HILUX D4D 97 X 25"</f>
        <v>KIT DE DISTRIBUCION TOYOTA HILUX D4D 97 X 25</v>
      </c>
      <c r="C2348" t="str">
        <f>"$ 83566,53"</f>
        <v>$ 83566,53</v>
      </c>
      <c r="D2348" t="str">
        <f>"$ 83566,53"</f>
        <v>$ 83566,53</v>
      </c>
      <c r="E2348" t="str">
        <f>"$ 83566,53"</f>
        <v>$ 83566,53</v>
      </c>
      <c r="F2348" t="str">
        <f>"$ 83566,53"</f>
        <v>$ 83566,53</v>
      </c>
      <c r="G2348" t="str">
        <f>"$ 83566,53"</f>
        <v>$ 83566,53</v>
      </c>
      <c r="H2348" t="str">
        <f t="shared" si="1487"/>
        <v>$ 0,00</v>
      </c>
      <c r="I2348" t="str">
        <f>"KIT DE DISTRIBUCION MICHELIN"</f>
        <v>KIT DE DISTRIBUCION MICHELIN</v>
      </c>
      <c r="J2348" t="str">
        <f t="shared" si="1488"/>
        <v>1</v>
      </c>
      <c r="K2348" t="str">
        <f t="shared" si="1515"/>
        <v>0</v>
      </c>
      <c r="L2348" t="str">
        <f>"6,000"</f>
        <v>6,000</v>
      </c>
      <c r="M2348" t="str">
        <f t="shared" si="1489"/>
        <v xml:space="preserve"> </v>
      </c>
      <c r="N2348" t="str">
        <f>"MICHELIN"</f>
        <v>MICHELIN</v>
      </c>
      <c r="O2348" t="str">
        <f t="shared" si="1521"/>
        <v>DISTRIBUCION</v>
      </c>
      <c r="P2348" t="str">
        <f t="shared" si="1522"/>
        <v>0</v>
      </c>
      <c r="Q2348" t="str">
        <f t="shared" si="1522"/>
        <v>0</v>
      </c>
      <c r="R2348" t="str">
        <f t="shared" si="1523"/>
        <v>0,00</v>
      </c>
      <c r="S2348" t="str">
        <f t="shared" si="1523"/>
        <v>0,00</v>
      </c>
      <c r="T2348" t="str">
        <f t="shared" si="1524"/>
        <v>-</v>
      </c>
      <c r="U2348" t="str">
        <f t="shared" si="1524"/>
        <v>-</v>
      </c>
      <c r="V2348" t="str">
        <f>"6,000"</f>
        <v>6,000</v>
      </c>
      <c r="W2348" t="str">
        <f t="shared" si="1490"/>
        <v>Lista 4</v>
      </c>
      <c r="X2348" t="str">
        <f t="shared" si="1491"/>
        <v>Lista 5</v>
      </c>
      <c r="Y2348" t="str">
        <f t="shared" si="1492"/>
        <v>Oferta Gral.</v>
      </c>
      <c r="Z2348" t="str">
        <f t="shared" si="1493"/>
        <v>Rubro</v>
      </c>
      <c r="AA2348" t="str">
        <f t="shared" si="1494"/>
        <v>Cantidad por Bulto</v>
      </c>
      <c r="AB2348" t="str">
        <f t="shared" si="1495"/>
        <v>INNER</v>
      </c>
      <c r="AC2348" t="str">
        <f t="shared" si="1496"/>
        <v>Stock en Bultos</v>
      </c>
      <c r="AD2348" t="str">
        <f t="shared" si="1497"/>
        <v>SubDepósito</v>
      </c>
      <c r="AE2348" t="str">
        <f t="shared" si="1498"/>
        <v>Marca</v>
      </c>
      <c r="AF2348" t="str">
        <f t="shared" si="1499"/>
        <v>Super Rubro</v>
      </c>
      <c r="AG2348" t="str">
        <f t="shared" si="1500"/>
        <v>ComercioExterior</v>
      </c>
      <c r="AH2348" t="str">
        <f t="shared" si="1501"/>
        <v>PrecioFOB</v>
      </c>
      <c r="AI2348" t="str">
        <f t="shared" si="1502"/>
        <v>Monto II</v>
      </c>
      <c r="AJ2348" t="str">
        <f t="shared" si="1503"/>
        <v>Porcentaje II</v>
      </c>
      <c r="AK2348" t="str">
        <f t="shared" si="1504"/>
        <v>Foto</v>
      </c>
      <c r="AL2348" t="str">
        <f>"{\rtf1\ansi\ansicpg1252\deff0\deflang2058{\fonttbl{\f0\fnil\fcharset0 MS Sans Serif}} \viewkind4\uc1\pard\f0\fs16 KIT DE DISTRIBUCION TOYOTA HILUX D4D 97 X 25\par } "</f>
        <v xml:space="preserve">{\rtf1\ansi\ansicpg1252\deff0\deflang2058{\fonttbl{\f0\fnil\fcharset0 MS Sans Serif}} \viewkind4\uc1\pard\f0\fs16 KIT DE DISTRIBUCION TOYOTA HILUX D4D 97 X 25\par } </v>
      </c>
      <c r="AM2348" t="str">
        <f t="shared" si="1517"/>
        <v xml:space="preserve"> </v>
      </c>
    </row>
    <row r="2349" spans="1:39" x14ac:dyDescent="0.25">
      <c r="A2349" t="str">
        <f>"FM010489"</f>
        <v>FM010489</v>
      </c>
      <c r="B2349" t="str">
        <f>"KIT DE DISTRIBUCION VW BORA 2.0 138 X 230"</f>
        <v>KIT DE DISTRIBUCION VW BORA 2.0 138 X 230</v>
      </c>
      <c r="C2349" t="str">
        <f>"$ 92630,00"</f>
        <v>$ 92630,00</v>
      </c>
      <c r="D2349" t="str">
        <f>"$ 92630,00"</f>
        <v>$ 92630,00</v>
      </c>
      <c r="E2349" t="str">
        <f>"$ 92630,00"</f>
        <v>$ 92630,00</v>
      </c>
      <c r="F2349" t="str">
        <f>"$ 92630,00"</f>
        <v>$ 92630,00</v>
      </c>
      <c r="G2349" t="str">
        <f>"$ 92630,00"</f>
        <v>$ 92630,00</v>
      </c>
      <c r="H2349" t="str">
        <f t="shared" si="1487"/>
        <v>$ 0,00</v>
      </c>
      <c r="I2349" t="str">
        <f>"KIT DE DISTRIBUCION MICHELIN"</f>
        <v>KIT DE DISTRIBUCION MICHELIN</v>
      </c>
      <c r="J2349" t="str">
        <f t="shared" si="1488"/>
        <v>1</v>
      </c>
      <c r="K2349" t="str">
        <f t="shared" si="1515"/>
        <v>0</v>
      </c>
      <c r="L2349" t="str">
        <f>"8,000"</f>
        <v>8,000</v>
      </c>
      <c r="M2349" t="str">
        <f t="shared" si="1489"/>
        <v xml:space="preserve"> </v>
      </c>
      <c r="N2349" t="str">
        <f>"MICHELIN"</f>
        <v>MICHELIN</v>
      </c>
      <c r="O2349" t="str">
        <f t="shared" si="1521"/>
        <v>DISTRIBUCION</v>
      </c>
      <c r="P2349" t="str">
        <f t="shared" si="1522"/>
        <v>0</v>
      </c>
      <c r="Q2349" t="str">
        <f t="shared" si="1522"/>
        <v>0</v>
      </c>
      <c r="R2349" t="str">
        <f t="shared" si="1523"/>
        <v>0,00</v>
      </c>
      <c r="S2349" t="str">
        <f t="shared" si="1523"/>
        <v>0,00</v>
      </c>
      <c r="T2349" t="str">
        <f t="shared" si="1524"/>
        <v>-</v>
      </c>
      <c r="U2349" t="str">
        <f t="shared" si="1524"/>
        <v>-</v>
      </c>
      <c r="V2349" t="str">
        <f>"8,000"</f>
        <v>8,000</v>
      </c>
      <c r="W2349" t="str">
        <f t="shared" si="1490"/>
        <v>Lista 4</v>
      </c>
      <c r="X2349" t="str">
        <f t="shared" si="1491"/>
        <v>Lista 5</v>
      </c>
      <c r="Y2349" t="str">
        <f t="shared" si="1492"/>
        <v>Oferta Gral.</v>
      </c>
      <c r="Z2349" t="str">
        <f t="shared" si="1493"/>
        <v>Rubro</v>
      </c>
      <c r="AA2349" t="str">
        <f t="shared" si="1494"/>
        <v>Cantidad por Bulto</v>
      </c>
      <c r="AB2349" t="str">
        <f t="shared" si="1495"/>
        <v>INNER</v>
      </c>
      <c r="AC2349" t="str">
        <f t="shared" si="1496"/>
        <v>Stock en Bultos</v>
      </c>
      <c r="AD2349" t="str">
        <f t="shared" si="1497"/>
        <v>SubDepósito</v>
      </c>
      <c r="AE2349" t="str">
        <f t="shared" si="1498"/>
        <v>Marca</v>
      </c>
      <c r="AF2349" t="str">
        <f t="shared" si="1499"/>
        <v>Super Rubro</v>
      </c>
      <c r="AG2349" t="str">
        <f t="shared" si="1500"/>
        <v>ComercioExterior</v>
      </c>
      <c r="AH2349" t="str">
        <f t="shared" si="1501"/>
        <v>PrecioFOB</v>
      </c>
      <c r="AI2349" t="str">
        <f t="shared" si="1502"/>
        <v>Monto II</v>
      </c>
      <c r="AJ2349" t="str">
        <f t="shared" si="1503"/>
        <v>Porcentaje II</v>
      </c>
      <c r="AK2349" t="str">
        <f t="shared" si="1504"/>
        <v>Foto</v>
      </c>
      <c r="AL2349" t="str">
        <f>"{\rtf1\ansi\ansicpg1252\deff0\deflang2058{\fonttbl{\f0\fnil\fcharset0 MS Sans Serif}} \viewkind4\uc1\pard\f0\fs16 KIT DE DISTRIBUCION VW BORA 2.0 138 X 230\par } "</f>
        <v xml:space="preserve">{\rtf1\ansi\ansicpg1252\deff0\deflang2058{\fonttbl{\f0\fnil\fcharset0 MS Sans Serif}} \viewkind4\uc1\pard\f0\fs16 KIT DE DISTRIBUCION VW BORA 2.0 138 X 230\par } </v>
      </c>
      <c r="AM2349" t="str">
        <f t="shared" si="1517"/>
        <v xml:space="preserve"> </v>
      </c>
    </row>
    <row r="2350" spans="1:39" x14ac:dyDescent="0.25">
      <c r="A2350" t="str">
        <f>"LKTBN341"</f>
        <v>LKTBN341</v>
      </c>
      <c r="B2350" t="str">
        <f>"KIT DE DISTRIBUCION VW FOX SURAN GOL TREND VOYAGE 1.6 8V"</f>
        <v>KIT DE DISTRIBUCION VW FOX SURAN GOL TREND VOYAGE 1.6 8V</v>
      </c>
      <c r="C2350" t="str">
        <f>"$ 61032,71"</f>
        <v>$ 61032,71</v>
      </c>
      <c r="D2350" t="str">
        <f>"$ 61032,71"</f>
        <v>$ 61032,71</v>
      </c>
      <c r="E2350" t="str">
        <f>"$ 61032,71"</f>
        <v>$ 61032,71</v>
      </c>
      <c r="F2350" t="str">
        <f>"$ 61032,71"</f>
        <v>$ 61032,71</v>
      </c>
      <c r="G2350" t="str">
        <f>"$ 61032,71"</f>
        <v>$ 61032,71</v>
      </c>
      <c r="H2350" t="str">
        <f t="shared" si="1487"/>
        <v>$ 0,00</v>
      </c>
      <c r="I2350" t="str">
        <f>"KIT DE DISTRIBUCION LUCAS"</f>
        <v>KIT DE DISTRIBUCION LUCAS</v>
      </c>
      <c r="J2350" t="str">
        <f t="shared" si="1488"/>
        <v>1</v>
      </c>
      <c r="K2350" t="str">
        <f t="shared" si="1515"/>
        <v>0</v>
      </c>
      <c r="L2350" t="str">
        <f>"21,000"</f>
        <v>21,000</v>
      </c>
      <c r="M2350" t="str">
        <f t="shared" si="1489"/>
        <v xml:space="preserve"> </v>
      </c>
      <c r="N2350" t="str">
        <f>"LUCAS"</f>
        <v>LUCAS</v>
      </c>
      <c r="O2350" t="str">
        <f t="shared" si="1521"/>
        <v>DISTRIBUCION</v>
      </c>
      <c r="P2350" t="str">
        <f t="shared" si="1522"/>
        <v>0</v>
      </c>
      <c r="Q2350" t="str">
        <f t="shared" si="1522"/>
        <v>0</v>
      </c>
      <c r="R2350" t="str">
        <f t="shared" si="1523"/>
        <v>0,00</v>
      </c>
      <c r="S2350" t="str">
        <f t="shared" si="1523"/>
        <v>0,00</v>
      </c>
      <c r="T2350" t="str">
        <f>" "</f>
        <v xml:space="preserve"> </v>
      </c>
      <c r="U2350" t="str">
        <f>" "</f>
        <v xml:space="preserve"> </v>
      </c>
      <c r="V2350" t="str">
        <f>"21,000"</f>
        <v>21,000</v>
      </c>
      <c r="W2350" t="str">
        <f t="shared" si="1490"/>
        <v>Lista 4</v>
      </c>
      <c r="X2350" t="str">
        <f t="shared" si="1491"/>
        <v>Lista 5</v>
      </c>
      <c r="Y2350" t="str">
        <f t="shared" si="1492"/>
        <v>Oferta Gral.</v>
      </c>
      <c r="Z2350" t="str">
        <f t="shared" si="1493"/>
        <v>Rubro</v>
      </c>
      <c r="AA2350" t="str">
        <f t="shared" si="1494"/>
        <v>Cantidad por Bulto</v>
      </c>
      <c r="AB2350" t="str">
        <f t="shared" si="1495"/>
        <v>INNER</v>
      </c>
      <c r="AC2350" t="str">
        <f t="shared" si="1496"/>
        <v>Stock en Bultos</v>
      </c>
      <c r="AD2350" t="str">
        <f t="shared" si="1497"/>
        <v>SubDepósito</v>
      </c>
      <c r="AE2350" t="str">
        <f t="shared" si="1498"/>
        <v>Marca</v>
      </c>
      <c r="AF2350" t="str">
        <f t="shared" si="1499"/>
        <v>Super Rubro</v>
      </c>
      <c r="AG2350" t="str">
        <f t="shared" si="1500"/>
        <v>ComercioExterior</v>
      </c>
      <c r="AH2350" t="str">
        <f t="shared" si="1501"/>
        <v>PrecioFOB</v>
      </c>
      <c r="AI2350" t="str">
        <f t="shared" si="1502"/>
        <v>Monto II</v>
      </c>
      <c r="AJ2350" t="str">
        <f t="shared" si="1503"/>
        <v>Porcentaje II</v>
      </c>
      <c r="AK2350" t="str">
        <f t="shared" si="1504"/>
        <v>Foto</v>
      </c>
      <c r="AL2350" t="str">
        <f>"{\rtf1\ansi\ansicpg1252\deff0\deflang11274{\fonttbl{\f0\fnil\fcharset0 MS Sans Serif}} \viewkind4\uc1\pard\f0\fs16 KIT DE DISTRIBUCION VW FOX SURAN GOL TREND VOYAGE 1.6 8V\par } "</f>
        <v xml:space="preserve">{\rtf1\ansi\ansicpg1252\deff0\deflang11274{\fonttbl{\f0\fnil\fcharset0 MS Sans Serif}} \viewkind4\uc1\pard\f0\fs16 KIT DE DISTRIBUCION VW FOX SURAN GOL TREND VOYAGE 1.6 8V\par } </v>
      </c>
      <c r="AM2350" t="str">
        <f t="shared" si="1517"/>
        <v xml:space="preserve"> </v>
      </c>
    </row>
    <row r="2351" spans="1:39" x14ac:dyDescent="0.25">
      <c r="A2351" t="str">
        <f>"FM010016"</f>
        <v>FM010016</v>
      </c>
      <c r="B2351" t="str">
        <f>"KIT DE DISTRIBUCION VW GOL POLO FORD ESCORT ORION MOTOR AUDI 121D"</f>
        <v>KIT DE DISTRIBUCION VW GOL POLO FORD ESCORT ORION MOTOR AUDI 121D</v>
      </c>
      <c r="C2351" t="str">
        <f>"$ 35343,45"</f>
        <v>$ 35343,45</v>
      </c>
      <c r="D2351" t="str">
        <f>"$ 35343,45"</f>
        <v>$ 35343,45</v>
      </c>
      <c r="E2351" t="str">
        <f>"$ 35343,45"</f>
        <v>$ 35343,45</v>
      </c>
      <c r="F2351" t="str">
        <f>"$ 35343,45"</f>
        <v>$ 35343,45</v>
      </c>
      <c r="G2351" t="str">
        <f>"$ 35343,45"</f>
        <v>$ 35343,45</v>
      </c>
      <c r="H2351" t="str">
        <f t="shared" si="1487"/>
        <v>$ 0,00</v>
      </c>
      <c r="I2351" t="str">
        <f>"KIT DE DISTRIBUCION MICHELIN"</f>
        <v>KIT DE DISTRIBUCION MICHELIN</v>
      </c>
      <c r="J2351" t="str">
        <f t="shared" si="1488"/>
        <v>1</v>
      </c>
      <c r="K2351" t="str">
        <f t="shared" si="1515"/>
        <v>0</v>
      </c>
      <c r="L2351" t="str">
        <f>"36,000"</f>
        <v>36,000</v>
      </c>
      <c r="M2351" t="str">
        <f t="shared" si="1489"/>
        <v xml:space="preserve"> </v>
      </c>
      <c r="N2351" t="str">
        <f>"MICHELIN"</f>
        <v>MICHELIN</v>
      </c>
      <c r="O2351" t="str">
        <f t="shared" si="1521"/>
        <v>DISTRIBUCION</v>
      </c>
      <c r="P2351" t="str">
        <f t="shared" si="1522"/>
        <v>0</v>
      </c>
      <c r="Q2351" t="str">
        <f t="shared" si="1522"/>
        <v>0</v>
      </c>
      <c r="R2351" t="str">
        <f t="shared" si="1523"/>
        <v>0,00</v>
      </c>
      <c r="S2351" t="str">
        <f t="shared" si="1523"/>
        <v>0,00</v>
      </c>
      <c r="T2351" t="str">
        <f>"-"</f>
        <v>-</v>
      </c>
      <c r="U2351" t="str">
        <f>"-"</f>
        <v>-</v>
      </c>
      <c r="V2351" t="str">
        <f>"36,000"</f>
        <v>36,000</v>
      </c>
      <c r="W2351" t="str">
        <f t="shared" si="1490"/>
        <v>Lista 4</v>
      </c>
      <c r="X2351" t="str">
        <f t="shared" si="1491"/>
        <v>Lista 5</v>
      </c>
      <c r="Y2351" t="str">
        <f t="shared" si="1492"/>
        <v>Oferta Gral.</v>
      </c>
      <c r="Z2351" t="str">
        <f t="shared" si="1493"/>
        <v>Rubro</v>
      </c>
      <c r="AA2351" t="str">
        <f t="shared" si="1494"/>
        <v>Cantidad por Bulto</v>
      </c>
      <c r="AB2351" t="str">
        <f t="shared" si="1495"/>
        <v>INNER</v>
      </c>
      <c r="AC2351" t="str">
        <f t="shared" si="1496"/>
        <v>Stock en Bultos</v>
      </c>
      <c r="AD2351" t="str">
        <f t="shared" si="1497"/>
        <v>SubDepósito</v>
      </c>
      <c r="AE2351" t="str">
        <f t="shared" si="1498"/>
        <v>Marca</v>
      </c>
      <c r="AF2351" t="str">
        <f t="shared" si="1499"/>
        <v>Super Rubro</v>
      </c>
      <c r="AG2351" t="str">
        <f t="shared" si="1500"/>
        <v>ComercioExterior</v>
      </c>
      <c r="AH2351" t="str">
        <f t="shared" si="1501"/>
        <v>PrecioFOB</v>
      </c>
      <c r="AI2351" t="str">
        <f t="shared" si="1502"/>
        <v>Monto II</v>
      </c>
      <c r="AJ2351" t="str">
        <f t="shared" si="1503"/>
        <v>Porcentaje II</v>
      </c>
      <c r="AK2351" t="str">
        <f t="shared" si="1504"/>
        <v>Foto</v>
      </c>
      <c r="AL2351" t="str">
        <f>"{\rtf1\ansi\ansicpg1252\deff0\deflang2058{\fonttbl{\f0\fnil\fcharset0 MS Sans Serif}} \viewkind4\uc1\pard\f0\fs16 KIT DE DISTRIBUCION VW GOL POLO FORD ESCORT ORION MOTOR AUDI 121D\par } "</f>
        <v xml:space="preserve">{\rtf1\ansi\ansicpg1252\deff0\deflang2058{\fonttbl{\f0\fnil\fcharset0 MS Sans Serif}} \viewkind4\uc1\pard\f0\fs16 KIT DE DISTRIBUCION VW GOL POLO FORD ESCORT ORION MOTOR AUDI 121D\par } </v>
      </c>
      <c r="AM2351" t="str">
        <f t="shared" si="1517"/>
        <v xml:space="preserve"> </v>
      </c>
    </row>
    <row r="2352" spans="1:39" x14ac:dyDescent="0.25">
      <c r="A2352" t="str">
        <f>"FM010176"</f>
        <v>FM010176</v>
      </c>
      <c r="B2352" t="str">
        <f>"KIT DE DISTRIBUCION VW GOL SENDA 1600 DIESEL"</f>
        <v>KIT DE DISTRIBUCION VW GOL SENDA 1600 DIESEL</v>
      </c>
      <c r="C2352" t="str">
        <f>"$ 51346,36"</f>
        <v>$ 51346,36</v>
      </c>
      <c r="D2352" t="str">
        <f>"$ 51346,36"</f>
        <v>$ 51346,36</v>
      </c>
      <c r="E2352" t="str">
        <f>"$ 51346,36"</f>
        <v>$ 51346,36</v>
      </c>
      <c r="F2352" t="str">
        <f>"$ 51346,36"</f>
        <v>$ 51346,36</v>
      </c>
      <c r="G2352" t="str">
        <f>"$ 51346,36"</f>
        <v>$ 51346,36</v>
      </c>
      <c r="H2352" t="str">
        <f t="shared" si="1487"/>
        <v>$ 0,00</v>
      </c>
      <c r="I2352" t="str">
        <f>"KIT DE DISTRIBUCION MICHELIN"</f>
        <v>KIT DE DISTRIBUCION MICHELIN</v>
      </c>
      <c r="J2352" t="str">
        <f t="shared" si="1488"/>
        <v>1</v>
      </c>
      <c r="K2352" t="str">
        <f t="shared" si="1515"/>
        <v>0</v>
      </c>
      <c r="L2352" t="str">
        <f>"9,000"</f>
        <v>9,000</v>
      </c>
      <c r="M2352" t="str">
        <f t="shared" si="1489"/>
        <v xml:space="preserve"> </v>
      </c>
      <c r="N2352" t="str">
        <f>"MICHELIN"</f>
        <v>MICHELIN</v>
      </c>
      <c r="O2352" t="str">
        <f t="shared" si="1521"/>
        <v>DISTRIBUCION</v>
      </c>
      <c r="P2352" t="str">
        <f t="shared" si="1522"/>
        <v>0</v>
      </c>
      <c r="Q2352" t="str">
        <f t="shared" si="1522"/>
        <v>0</v>
      </c>
      <c r="R2352" t="str">
        <f t="shared" si="1523"/>
        <v>0,00</v>
      </c>
      <c r="S2352" t="str">
        <f t="shared" si="1523"/>
        <v>0,00</v>
      </c>
      <c r="T2352" t="str">
        <f>"-"</f>
        <v>-</v>
      </c>
      <c r="U2352" t="str">
        <f>"-"</f>
        <v>-</v>
      </c>
      <c r="V2352" t="str">
        <f>"9,000"</f>
        <v>9,000</v>
      </c>
      <c r="W2352" t="str">
        <f t="shared" si="1490"/>
        <v>Lista 4</v>
      </c>
      <c r="X2352" t="str">
        <f t="shared" si="1491"/>
        <v>Lista 5</v>
      </c>
      <c r="Y2352" t="str">
        <f t="shared" si="1492"/>
        <v>Oferta Gral.</v>
      </c>
      <c r="Z2352" t="str">
        <f t="shared" si="1493"/>
        <v>Rubro</v>
      </c>
      <c r="AA2352" t="str">
        <f t="shared" si="1494"/>
        <v>Cantidad por Bulto</v>
      </c>
      <c r="AB2352" t="str">
        <f t="shared" si="1495"/>
        <v>INNER</v>
      </c>
      <c r="AC2352" t="str">
        <f t="shared" si="1496"/>
        <v>Stock en Bultos</v>
      </c>
      <c r="AD2352" t="str">
        <f t="shared" si="1497"/>
        <v>SubDepósito</v>
      </c>
      <c r="AE2352" t="str">
        <f t="shared" si="1498"/>
        <v>Marca</v>
      </c>
      <c r="AF2352" t="str">
        <f t="shared" si="1499"/>
        <v>Super Rubro</v>
      </c>
      <c r="AG2352" t="str">
        <f t="shared" si="1500"/>
        <v>ComercioExterior</v>
      </c>
      <c r="AH2352" t="str">
        <f t="shared" si="1501"/>
        <v>PrecioFOB</v>
      </c>
      <c r="AI2352" t="str">
        <f t="shared" si="1502"/>
        <v>Monto II</v>
      </c>
      <c r="AJ2352" t="str">
        <f t="shared" si="1503"/>
        <v>Porcentaje II</v>
      </c>
      <c r="AK2352" t="str">
        <f t="shared" si="1504"/>
        <v>Foto</v>
      </c>
      <c r="AL2352" t="str">
        <f>"{\rtf1\ansi\ansicpg1252\deff0\deflang2058{\fonttbl{\f0\fnil\fcharset0 MS Sans Serif}} \viewkind4\uc1\pard\f0\fs16 KIT DE DISTRIBUCION VW GOL SENDA 1600 DIESEL\par } "</f>
        <v xml:space="preserve">{\rtf1\ansi\ansicpg1252\deff0\deflang2058{\fonttbl{\f0\fnil\fcharset0 MS Sans Serif}} \viewkind4\uc1\pard\f0\fs16 KIT DE DISTRIBUCION VW GOL SENDA 1600 DIESEL\par } </v>
      </c>
      <c r="AM2352" t="str">
        <f t="shared" si="1517"/>
        <v xml:space="preserve"> </v>
      </c>
    </row>
    <row r="2353" spans="1:39" x14ac:dyDescent="0.25">
      <c r="A2353" t="str">
        <f>"LKTBN221"</f>
        <v>LKTBN221</v>
      </c>
      <c r="B2353" t="str">
        <f>"KIT DE DISTRIBUCIÓN CHEVROLET CORSA 1600CC 8 VÁLVULAS"</f>
        <v>KIT DE DISTRIBUCIÓN CHEVROLET CORSA 1600CC 8 VÁLVULAS</v>
      </c>
      <c r="C2353" t="str">
        <f>"$ 52599,71"</f>
        <v>$ 52599,71</v>
      </c>
      <c r="D2353" t="str">
        <f>"$ 52599,71"</f>
        <v>$ 52599,71</v>
      </c>
      <c r="E2353" t="str">
        <f>"$ 52599,71"</f>
        <v>$ 52599,71</v>
      </c>
      <c r="F2353" t="str">
        <f>"$ 52599,71"</f>
        <v>$ 52599,71</v>
      </c>
      <c r="G2353" t="str">
        <f>"$ 52599,71"</f>
        <v>$ 52599,71</v>
      </c>
      <c r="H2353" t="str">
        <f t="shared" si="1487"/>
        <v>$ 0,00</v>
      </c>
      <c r="I2353" t="str">
        <f>"KIT DE DISTRIBUCION LUCAS"</f>
        <v>KIT DE DISTRIBUCION LUCAS</v>
      </c>
      <c r="J2353" t="str">
        <f t="shared" si="1488"/>
        <v>1</v>
      </c>
      <c r="K2353" t="str">
        <f t="shared" si="1515"/>
        <v>0</v>
      </c>
      <c r="L2353" t="str">
        <f>"11,000"</f>
        <v>11,000</v>
      </c>
      <c r="M2353" t="str">
        <f t="shared" si="1489"/>
        <v xml:space="preserve"> </v>
      </c>
      <c r="N2353" t="str">
        <f>"LUCAS"</f>
        <v>LUCAS</v>
      </c>
      <c r="O2353" t="str">
        <f t="shared" si="1521"/>
        <v>DISTRIBUCION</v>
      </c>
      <c r="P2353" t="str">
        <f t="shared" si="1522"/>
        <v>0</v>
      </c>
      <c r="Q2353" t="str">
        <f t="shared" si="1522"/>
        <v>0</v>
      </c>
      <c r="R2353" t="str">
        <f t="shared" si="1523"/>
        <v>0,00</v>
      </c>
      <c r="S2353" t="str">
        <f t="shared" si="1523"/>
        <v>0,00</v>
      </c>
      <c r="T2353" t="str">
        <f t="shared" ref="T2353:U2369" si="1525">" "</f>
        <v xml:space="preserve"> </v>
      </c>
      <c r="U2353" t="str">
        <f t="shared" si="1525"/>
        <v xml:space="preserve"> </v>
      </c>
      <c r="V2353" t="str">
        <f>"11,000"</f>
        <v>11,000</v>
      </c>
      <c r="W2353" t="str">
        <f t="shared" si="1490"/>
        <v>Lista 4</v>
      </c>
      <c r="X2353" t="str">
        <f t="shared" si="1491"/>
        <v>Lista 5</v>
      </c>
      <c r="Y2353" t="str">
        <f t="shared" si="1492"/>
        <v>Oferta Gral.</v>
      </c>
      <c r="Z2353" t="str">
        <f t="shared" si="1493"/>
        <v>Rubro</v>
      </c>
      <c r="AA2353" t="str">
        <f t="shared" si="1494"/>
        <v>Cantidad por Bulto</v>
      </c>
      <c r="AB2353" t="str">
        <f t="shared" si="1495"/>
        <v>INNER</v>
      </c>
      <c r="AC2353" t="str">
        <f t="shared" si="1496"/>
        <v>Stock en Bultos</v>
      </c>
      <c r="AD2353" t="str">
        <f t="shared" si="1497"/>
        <v>SubDepósito</v>
      </c>
      <c r="AE2353" t="str">
        <f t="shared" si="1498"/>
        <v>Marca</v>
      </c>
      <c r="AF2353" t="str">
        <f t="shared" si="1499"/>
        <v>Super Rubro</v>
      </c>
      <c r="AG2353" t="str">
        <f t="shared" si="1500"/>
        <v>ComercioExterior</v>
      </c>
      <c r="AH2353" t="str">
        <f t="shared" si="1501"/>
        <v>PrecioFOB</v>
      </c>
      <c r="AI2353" t="str">
        <f t="shared" si="1502"/>
        <v>Monto II</v>
      </c>
      <c r="AJ2353" t="str">
        <f t="shared" si="1503"/>
        <v>Porcentaje II</v>
      </c>
      <c r="AK2353" t="str">
        <f t="shared" si="1504"/>
        <v>Foto</v>
      </c>
      <c r="AL2353" t="str">
        <f>"{\rtf1\ansi\ansicpg1252\deff0\deflang11274{\fonttbl{\f0\fnil\fcharset0 MS Sans Serif}} \viewkind4\uc1\pard\f0\fs16 KIT DE DISTRIBUCI\'d3N CHEVROLET CORSA 1600CC 8 V\'c1LVULAS\par } "</f>
        <v xml:space="preserve">{\rtf1\ansi\ansicpg1252\deff0\deflang11274{\fonttbl{\f0\fnil\fcharset0 MS Sans Serif}} \viewkind4\uc1\pard\f0\fs16 KIT DE DISTRIBUCI\'d3N CHEVROLET CORSA 1600CC 8 V\'c1LVULAS\par } </v>
      </c>
      <c r="AM2353" t="str">
        <f t="shared" si="1517"/>
        <v xml:space="preserve"> </v>
      </c>
    </row>
    <row r="2354" spans="1:39" x14ac:dyDescent="0.25">
      <c r="A2354" t="str">
        <f>"LKTBN321"</f>
        <v>LKTBN321</v>
      </c>
      <c r="B2354" t="str">
        <f>"KIT DE DISTRIBUCIÓN LUCAS RENAULT CLIO 1.2 D4F"</f>
        <v>KIT DE DISTRIBUCIÓN LUCAS RENAULT CLIO 1.2 D4F</v>
      </c>
      <c r="C2354" t="str">
        <f>"$ 70442,16"</f>
        <v>$ 70442,16</v>
      </c>
      <c r="D2354" t="str">
        <f>"$ 70442,16"</f>
        <v>$ 70442,16</v>
      </c>
      <c r="E2354" t="str">
        <f>"$ 70442,16"</f>
        <v>$ 70442,16</v>
      </c>
      <c r="F2354" t="str">
        <f>"$ 70442,16"</f>
        <v>$ 70442,16</v>
      </c>
      <c r="G2354" t="str">
        <f>"$ 70442,16"</f>
        <v>$ 70442,16</v>
      </c>
      <c r="H2354" t="str">
        <f t="shared" si="1487"/>
        <v>$ 0,00</v>
      </c>
      <c r="I2354" t="str">
        <f>"KIT DE DISTRIBUCION LUCAS"</f>
        <v>KIT DE DISTRIBUCION LUCAS</v>
      </c>
      <c r="J2354" t="str">
        <f t="shared" si="1488"/>
        <v>1</v>
      </c>
      <c r="K2354" t="str">
        <f t="shared" si="1515"/>
        <v>0</v>
      </c>
      <c r="L2354" t="str">
        <f>"10,000"</f>
        <v>10,000</v>
      </c>
      <c r="M2354" t="str">
        <f t="shared" si="1489"/>
        <v xml:space="preserve"> </v>
      </c>
      <c r="N2354" t="str">
        <f>"LUCAS"</f>
        <v>LUCAS</v>
      </c>
      <c r="O2354" t="str">
        <f t="shared" si="1521"/>
        <v>DISTRIBUCION</v>
      </c>
      <c r="P2354" t="str">
        <f t="shared" si="1522"/>
        <v>0</v>
      </c>
      <c r="Q2354" t="str">
        <f t="shared" si="1522"/>
        <v>0</v>
      </c>
      <c r="R2354" t="str">
        <f t="shared" si="1523"/>
        <v>0,00</v>
      </c>
      <c r="S2354" t="str">
        <f t="shared" si="1523"/>
        <v>0,00</v>
      </c>
      <c r="T2354" t="str">
        <f t="shared" si="1525"/>
        <v xml:space="preserve"> </v>
      </c>
      <c r="U2354" t="str">
        <f t="shared" si="1525"/>
        <v xml:space="preserve"> </v>
      </c>
      <c r="V2354" t="str">
        <f>"10,000"</f>
        <v>10,000</v>
      </c>
      <c r="W2354" t="str">
        <f t="shared" si="1490"/>
        <v>Lista 4</v>
      </c>
      <c r="X2354" t="str">
        <f t="shared" si="1491"/>
        <v>Lista 5</v>
      </c>
      <c r="Y2354" t="str">
        <f t="shared" si="1492"/>
        <v>Oferta Gral.</v>
      </c>
      <c r="Z2354" t="str">
        <f t="shared" si="1493"/>
        <v>Rubro</v>
      </c>
      <c r="AA2354" t="str">
        <f t="shared" si="1494"/>
        <v>Cantidad por Bulto</v>
      </c>
      <c r="AB2354" t="str">
        <f t="shared" si="1495"/>
        <v>INNER</v>
      </c>
      <c r="AC2354" t="str">
        <f t="shared" si="1496"/>
        <v>Stock en Bultos</v>
      </c>
      <c r="AD2354" t="str">
        <f t="shared" si="1497"/>
        <v>SubDepósito</v>
      </c>
      <c r="AE2354" t="str">
        <f t="shared" si="1498"/>
        <v>Marca</v>
      </c>
      <c r="AF2354" t="str">
        <f t="shared" si="1499"/>
        <v>Super Rubro</v>
      </c>
      <c r="AG2354" t="str">
        <f t="shared" si="1500"/>
        <v>ComercioExterior</v>
      </c>
      <c r="AH2354" t="str">
        <f t="shared" si="1501"/>
        <v>PrecioFOB</v>
      </c>
      <c r="AI2354" t="str">
        <f t="shared" si="1502"/>
        <v>Monto II</v>
      </c>
      <c r="AJ2354" t="str">
        <f t="shared" si="1503"/>
        <v>Porcentaje II</v>
      </c>
      <c r="AK2354" t="str">
        <f t="shared" si="1504"/>
        <v>Foto</v>
      </c>
      <c r="AL2354" t="str">
        <f>"{\rtf1\ansi\ansicpg1252\deff0\deflang2058{\fonttbl{\f0\fnil\fcharset0 MS Sans Serif}} \viewkind4\uc1\pard\f0\fs16 KIT DE DISTRIBUCI\'d3N LUCAS RENAULT CLIO 1.2 D4F\par } "</f>
        <v xml:space="preserve">{\rtf1\ansi\ansicpg1252\deff0\deflang2058{\fonttbl{\f0\fnil\fcharset0 MS Sans Serif}} \viewkind4\uc1\pard\f0\fs16 KIT DE DISTRIBUCI\'d3N LUCAS RENAULT CLIO 1.2 D4F\par } </v>
      </c>
      <c r="AM2354" t="str">
        <f t="shared" si="1517"/>
        <v xml:space="preserve"> </v>
      </c>
    </row>
    <row r="2355" spans="1:39" x14ac:dyDescent="0.25">
      <c r="A2355" t="str">
        <f>"LKTBN196"</f>
        <v>LKTBN196</v>
      </c>
      <c r="B2355" t="str">
        <f>"KIT DE DISTRIBUCIÓN PEUGEOT 206 PARTNER CITROEN BERLINGO 1.9D DW8"</f>
        <v>KIT DE DISTRIBUCIÓN PEUGEOT 206 PARTNER CITROEN BERLINGO 1.9D DW8</v>
      </c>
      <c r="C2355" t="str">
        <f>"$ 88738,67"</f>
        <v>$ 88738,67</v>
      </c>
      <c r="D2355" t="str">
        <f>"$ 88738,67"</f>
        <v>$ 88738,67</v>
      </c>
      <c r="E2355" t="str">
        <f>"$ 88738,67"</f>
        <v>$ 88738,67</v>
      </c>
      <c r="F2355" t="str">
        <f>"$ 88738,67"</f>
        <v>$ 88738,67</v>
      </c>
      <c r="G2355" t="str">
        <f>"$ 88738,67"</f>
        <v>$ 88738,67</v>
      </c>
      <c r="H2355" t="str">
        <f t="shared" si="1487"/>
        <v>$ 0,00</v>
      </c>
      <c r="I2355" t="str">
        <f>"KIT DE DISTRIBUCION LUCAS"</f>
        <v>KIT DE DISTRIBUCION LUCAS</v>
      </c>
      <c r="J2355" t="str">
        <f t="shared" si="1488"/>
        <v>1</v>
      </c>
      <c r="K2355" t="str">
        <f t="shared" si="1515"/>
        <v>0</v>
      </c>
      <c r="L2355" t="str">
        <f>"3,000"</f>
        <v>3,000</v>
      </c>
      <c r="M2355" t="str">
        <f t="shared" si="1489"/>
        <v xml:space="preserve"> </v>
      </c>
      <c r="N2355" t="str">
        <f>"LUCAS"</f>
        <v>LUCAS</v>
      </c>
      <c r="O2355" t="str">
        <f t="shared" si="1521"/>
        <v>DISTRIBUCION</v>
      </c>
      <c r="P2355" t="str">
        <f t="shared" si="1522"/>
        <v>0</v>
      </c>
      <c r="Q2355" t="str">
        <f t="shared" si="1522"/>
        <v>0</v>
      </c>
      <c r="R2355" t="str">
        <f t="shared" si="1523"/>
        <v>0,00</v>
      </c>
      <c r="S2355" t="str">
        <f t="shared" si="1523"/>
        <v>0,00</v>
      </c>
      <c r="T2355" t="str">
        <f t="shared" si="1525"/>
        <v xml:space="preserve"> </v>
      </c>
      <c r="U2355" t="str">
        <f t="shared" si="1525"/>
        <v xml:space="preserve"> </v>
      </c>
      <c r="V2355" t="str">
        <f>"3,000"</f>
        <v>3,000</v>
      </c>
      <c r="W2355" t="str">
        <f t="shared" si="1490"/>
        <v>Lista 4</v>
      </c>
      <c r="X2355" t="str">
        <f t="shared" si="1491"/>
        <v>Lista 5</v>
      </c>
      <c r="Y2355" t="str">
        <f t="shared" si="1492"/>
        <v>Oferta Gral.</v>
      </c>
      <c r="Z2355" t="str">
        <f t="shared" si="1493"/>
        <v>Rubro</v>
      </c>
      <c r="AA2355" t="str">
        <f t="shared" si="1494"/>
        <v>Cantidad por Bulto</v>
      </c>
      <c r="AB2355" t="str">
        <f t="shared" si="1495"/>
        <v>INNER</v>
      </c>
      <c r="AC2355" t="str">
        <f t="shared" si="1496"/>
        <v>Stock en Bultos</v>
      </c>
      <c r="AD2355" t="str">
        <f t="shared" si="1497"/>
        <v>SubDepósito</v>
      </c>
      <c r="AE2355" t="str">
        <f t="shared" si="1498"/>
        <v>Marca</v>
      </c>
      <c r="AF2355" t="str">
        <f t="shared" si="1499"/>
        <v>Super Rubro</v>
      </c>
      <c r="AG2355" t="str">
        <f t="shared" si="1500"/>
        <v>ComercioExterior</v>
      </c>
      <c r="AH2355" t="str">
        <f t="shared" si="1501"/>
        <v>PrecioFOB</v>
      </c>
      <c r="AI2355" t="str">
        <f t="shared" si="1502"/>
        <v>Monto II</v>
      </c>
      <c r="AJ2355" t="str">
        <f t="shared" si="1503"/>
        <v>Porcentaje II</v>
      </c>
      <c r="AK2355" t="str">
        <f t="shared" si="1504"/>
        <v>Foto</v>
      </c>
      <c r="AL2355" t="str">
        <f>"{\rtf1\ansi\ansicpg1252\deff0\deflang11274{\fonttbl{\f0\fnil\fcharset0 MS Sans Serif}} \viewkind4\uc1\pard\f0\fs16 KIT DE DISTRIBUCI\'d3N PEUGEOT 206 PARTNER CITROEN BERLINGO 1.9D DW8\par } "</f>
        <v xml:space="preserve">{\rtf1\ansi\ansicpg1252\deff0\deflang11274{\fonttbl{\f0\fnil\fcharset0 MS Sans Serif}} \viewkind4\uc1\pard\f0\fs16 KIT DE DISTRIBUCI\'d3N PEUGEOT 206 PARTNER CITROEN BERLINGO 1.9D DW8\par } </v>
      </c>
      <c r="AM2355" t="str">
        <f t="shared" si="1517"/>
        <v xml:space="preserve"> </v>
      </c>
    </row>
    <row r="2356" spans="1:39" x14ac:dyDescent="0.25">
      <c r="A2356" t="str">
        <f>"LKTBN115"</f>
        <v>LKTBN115</v>
      </c>
      <c r="B2356" t="str">
        <f>"KIT DE DISTRIBUCIÓN PEUGEOT 306 405 PARTNER CITROEN BERLINGO 1.9D XUD9"</f>
        <v>KIT DE DISTRIBUCIÓN PEUGEOT 306 405 PARTNER CITROEN BERLINGO 1.9D XUD9</v>
      </c>
      <c r="C2356" t="str">
        <f>"$ 118118,05"</f>
        <v>$ 118118,05</v>
      </c>
      <c r="D2356" t="str">
        <f>"$ 118118,05"</f>
        <v>$ 118118,05</v>
      </c>
      <c r="E2356" t="str">
        <f>"$ 118118,05"</f>
        <v>$ 118118,05</v>
      </c>
      <c r="F2356" t="str">
        <f>"$ 118118,05"</f>
        <v>$ 118118,05</v>
      </c>
      <c r="G2356" t="str">
        <f>"$ 118118,05"</f>
        <v>$ 118118,05</v>
      </c>
      <c r="H2356" t="str">
        <f t="shared" si="1487"/>
        <v>$ 0,00</v>
      </c>
      <c r="I2356" t="str">
        <f>"KIT DE DISTRIBUCION LUCAS"</f>
        <v>KIT DE DISTRIBUCION LUCAS</v>
      </c>
      <c r="J2356" t="str">
        <f t="shared" si="1488"/>
        <v>1</v>
      </c>
      <c r="K2356" t="str">
        <f t="shared" si="1515"/>
        <v>0</v>
      </c>
      <c r="L2356" t="str">
        <f>"7,000"</f>
        <v>7,000</v>
      </c>
      <c r="M2356" t="str">
        <f t="shared" si="1489"/>
        <v xml:space="preserve"> </v>
      </c>
      <c r="N2356" t="str">
        <f>"LUCAS"</f>
        <v>LUCAS</v>
      </c>
      <c r="O2356" t="str">
        <f t="shared" si="1521"/>
        <v>DISTRIBUCION</v>
      </c>
      <c r="P2356" t="str">
        <f t="shared" si="1522"/>
        <v>0</v>
      </c>
      <c r="Q2356" t="str">
        <f t="shared" si="1522"/>
        <v>0</v>
      </c>
      <c r="R2356" t="str">
        <f t="shared" si="1523"/>
        <v>0,00</v>
      </c>
      <c r="S2356" t="str">
        <f t="shared" si="1523"/>
        <v>0,00</v>
      </c>
      <c r="T2356" t="str">
        <f t="shared" si="1525"/>
        <v xml:space="preserve"> </v>
      </c>
      <c r="U2356" t="str">
        <f t="shared" si="1525"/>
        <v xml:space="preserve"> </v>
      </c>
      <c r="V2356" t="str">
        <f>"7,000"</f>
        <v>7,000</v>
      </c>
      <c r="W2356" t="str">
        <f t="shared" si="1490"/>
        <v>Lista 4</v>
      </c>
      <c r="X2356" t="str">
        <f t="shared" si="1491"/>
        <v>Lista 5</v>
      </c>
      <c r="Y2356" t="str">
        <f t="shared" si="1492"/>
        <v>Oferta Gral.</v>
      </c>
      <c r="Z2356" t="str">
        <f t="shared" si="1493"/>
        <v>Rubro</v>
      </c>
      <c r="AA2356" t="str">
        <f t="shared" si="1494"/>
        <v>Cantidad por Bulto</v>
      </c>
      <c r="AB2356" t="str">
        <f t="shared" si="1495"/>
        <v>INNER</v>
      </c>
      <c r="AC2356" t="str">
        <f t="shared" si="1496"/>
        <v>Stock en Bultos</v>
      </c>
      <c r="AD2356" t="str">
        <f t="shared" si="1497"/>
        <v>SubDepósito</v>
      </c>
      <c r="AE2356" t="str">
        <f t="shared" si="1498"/>
        <v>Marca</v>
      </c>
      <c r="AF2356" t="str">
        <f t="shared" si="1499"/>
        <v>Super Rubro</v>
      </c>
      <c r="AG2356" t="str">
        <f t="shared" si="1500"/>
        <v>ComercioExterior</v>
      </c>
      <c r="AH2356" t="str">
        <f t="shared" si="1501"/>
        <v>PrecioFOB</v>
      </c>
      <c r="AI2356" t="str">
        <f t="shared" si="1502"/>
        <v>Monto II</v>
      </c>
      <c r="AJ2356" t="str">
        <f t="shared" si="1503"/>
        <v>Porcentaje II</v>
      </c>
      <c r="AK2356" t="str">
        <f t="shared" si="1504"/>
        <v>Foto</v>
      </c>
      <c r="AL2356" t="str">
        <f>"{\rtf1\ansi\ansicpg1252\deff0\deflang11274{\fonttbl{\f0\fnil\fcharset0 MS Sans Serif}} \viewkind4\uc1\pard\f0\fs16 KIT DE DISTRIBUCI\'d3N PEUGEOT 306 405 PARTNER CITROEN BERLINGO 1.9D XUD9\par } "</f>
        <v xml:space="preserve">{\rtf1\ansi\ansicpg1252\deff0\deflang11274{\fonttbl{\f0\fnil\fcharset0 MS Sans Serif}} \viewkind4\uc1\pard\f0\fs16 KIT DE DISTRIBUCI\'d3N PEUGEOT 306 405 PARTNER CITROEN BERLINGO 1.9D XUD9\par } </v>
      </c>
      <c r="AM2356" t="str">
        <f t="shared" si="1517"/>
        <v xml:space="preserve"> </v>
      </c>
    </row>
    <row r="2357" spans="1:39" x14ac:dyDescent="0.25">
      <c r="A2357" t="str">
        <f>"LKTBN204"</f>
        <v>LKTBN204</v>
      </c>
      <c r="B2357" t="str">
        <f>"KIT DE DISTRIBUCIÓN VW GOL SAVEIRO SENDA DIESEL MOTOR 1600CC"</f>
        <v>KIT DE DISTRIBUCIÓN VW GOL SAVEIRO SENDA DIESEL MOTOR 1600CC</v>
      </c>
      <c r="C2357" t="str">
        <f>"$ 60450,49"</f>
        <v>$ 60450,49</v>
      </c>
      <c r="D2357" t="str">
        <f>"$ 60450,49"</f>
        <v>$ 60450,49</v>
      </c>
      <c r="E2357" t="str">
        <f>"$ 60450,49"</f>
        <v>$ 60450,49</v>
      </c>
      <c r="F2357" t="str">
        <f>"$ 60450,49"</f>
        <v>$ 60450,49</v>
      </c>
      <c r="G2357" t="str">
        <f>"$ 60450,49"</f>
        <v>$ 60450,49</v>
      </c>
      <c r="H2357" t="str">
        <f t="shared" si="1487"/>
        <v>$ 0,00</v>
      </c>
      <c r="I2357" t="str">
        <f>"KIT DE DISTRIBUCION LUCAS"</f>
        <v>KIT DE DISTRIBUCION LUCAS</v>
      </c>
      <c r="J2357" t="str">
        <f t="shared" si="1488"/>
        <v>1</v>
      </c>
      <c r="K2357" t="str">
        <f t="shared" si="1515"/>
        <v>0</v>
      </c>
      <c r="L2357" t="str">
        <f>"9,000"</f>
        <v>9,000</v>
      </c>
      <c r="M2357" t="str">
        <f t="shared" si="1489"/>
        <v xml:space="preserve"> </v>
      </c>
      <c r="N2357" t="str">
        <f>"LUCAS"</f>
        <v>LUCAS</v>
      </c>
      <c r="O2357" t="str">
        <f t="shared" si="1521"/>
        <v>DISTRIBUCION</v>
      </c>
      <c r="P2357" t="str">
        <f t="shared" si="1522"/>
        <v>0</v>
      </c>
      <c r="Q2357" t="str">
        <f t="shared" si="1522"/>
        <v>0</v>
      </c>
      <c r="R2357" t="str">
        <f t="shared" si="1523"/>
        <v>0,00</v>
      </c>
      <c r="S2357" t="str">
        <f t="shared" si="1523"/>
        <v>0,00</v>
      </c>
      <c r="T2357" t="str">
        <f t="shared" si="1525"/>
        <v xml:space="preserve"> </v>
      </c>
      <c r="U2357" t="str">
        <f t="shared" si="1525"/>
        <v xml:space="preserve"> </v>
      </c>
      <c r="V2357" t="str">
        <f>"9,000"</f>
        <v>9,000</v>
      </c>
      <c r="W2357" t="str">
        <f t="shared" si="1490"/>
        <v>Lista 4</v>
      </c>
      <c r="X2357" t="str">
        <f t="shared" si="1491"/>
        <v>Lista 5</v>
      </c>
      <c r="Y2357" t="str">
        <f t="shared" si="1492"/>
        <v>Oferta Gral.</v>
      </c>
      <c r="Z2357" t="str">
        <f t="shared" si="1493"/>
        <v>Rubro</v>
      </c>
      <c r="AA2357" t="str">
        <f t="shared" si="1494"/>
        <v>Cantidad por Bulto</v>
      </c>
      <c r="AB2357" t="str">
        <f t="shared" si="1495"/>
        <v>INNER</v>
      </c>
      <c r="AC2357" t="str">
        <f t="shared" si="1496"/>
        <v>Stock en Bultos</v>
      </c>
      <c r="AD2357" t="str">
        <f t="shared" si="1497"/>
        <v>SubDepósito</v>
      </c>
      <c r="AE2357" t="str">
        <f t="shared" si="1498"/>
        <v>Marca</v>
      </c>
      <c r="AF2357" t="str">
        <f t="shared" si="1499"/>
        <v>Super Rubro</v>
      </c>
      <c r="AG2357" t="str">
        <f t="shared" si="1500"/>
        <v>ComercioExterior</v>
      </c>
      <c r="AH2357" t="str">
        <f t="shared" si="1501"/>
        <v>PrecioFOB</v>
      </c>
      <c r="AI2357" t="str">
        <f t="shared" si="1502"/>
        <v>Monto II</v>
      </c>
      <c r="AJ2357" t="str">
        <f t="shared" si="1503"/>
        <v>Porcentaje II</v>
      </c>
      <c r="AK2357" t="str">
        <f t="shared" si="1504"/>
        <v>Foto</v>
      </c>
      <c r="AL2357" t="str">
        <f>"{\rtf1\ansi\ansicpg1252\deff0\deflang11274{\fonttbl{\f0\fnil\fcharset0 MS Sans Serif}} \viewkind4\uc1\pard\f0\fs16 KIT DE DISTRIBUCI\'d3N VW GOL SAVEIRO SENDA DIESEL MOTOR 1600CC\par } "</f>
        <v xml:space="preserve">{\rtf1\ansi\ansicpg1252\deff0\deflang11274{\fonttbl{\f0\fnil\fcharset0 MS Sans Serif}} \viewkind4\uc1\pard\f0\fs16 KIT DE DISTRIBUCI\'d3N VW GOL SAVEIRO SENDA DIESEL MOTOR 1600CC\par } </v>
      </c>
      <c r="AM2357" t="str">
        <f t="shared" si="1517"/>
        <v xml:space="preserve"> </v>
      </c>
    </row>
    <row r="2358" spans="1:39" x14ac:dyDescent="0.25">
      <c r="A2358" t="str">
        <f>"FI11005"</f>
        <v>FI11005</v>
      </c>
      <c r="B2358" t="str">
        <f>"KIT DE FILTROS - PUNTA Y O´RINGS -MONOPUNTO BOSCH - GOLF GL 1.8L 96 TIPO 1.6 IE"</f>
        <v>KIT DE FILTROS - PUNTA Y O´RINGS -MONOPUNTO BOSCH - GOLF GL 1.8L 96 TIPO 1.6 IE</v>
      </c>
      <c r="C2358" t="str">
        <f>"$ 6114,62"</f>
        <v>$ 6114,62</v>
      </c>
      <c r="D2358" t="str">
        <f>"$ 6114,62"</f>
        <v>$ 6114,62</v>
      </c>
      <c r="E2358" t="str">
        <f>"$ 6114,62"</f>
        <v>$ 6114,62</v>
      </c>
      <c r="F2358" t="str">
        <f>"$ 6114,62"</f>
        <v>$ 6114,62</v>
      </c>
      <c r="G2358" t="str">
        <f>"$ 6114,62"</f>
        <v>$ 6114,62</v>
      </c>
      <c r="H2358" t="str">
        <f t="shared" si="1487"/>
        <v>$ 0,00</v>
      </c>
      <c r="I2358" t="str">
        <f t="shared" ref="I2358:I2369" si="1526">"KIT FILTROS Y ORINGS"</f>
        <v>KIT FILTROS Y ORINGS</v>
      </c>
      <c r="J2358" t="str">
        <f t="shared" si="1488"/>
        <v>1</v>
      </c>
      <c r="K2358" t="str">
        <f t="shared" si="1515"/>
        <v>0</v>
      </c>
      <c r="L2358" t="str">
        <f>"20,000"</f>
        <v>20,000</v>
      </c>
      <c r="M2358" t="str">
        <f t="shared" si="1489"/>
        <v xml:space="preserve"> </v>
      </c>
      <c r="N2358" t="str">
        <f t="shared" ref="N2358:N2369" si="1527">"FISPA"</f>
        <v>FISPA</v>
      </c>
      <c r="O2358" t="str">
        <f t="shared" ref="O2358:O2369" si="1528">"INYECTORES"</f>
        <v>INYECTORES</v>
      </c>
      <c r="P2358" t="str">
        <f t="shared" si="1522"/>
        <v>0</v>
      </c>
      <c r="Q2358" t="str">
        <f t="shared" si="1522"/>
        <v>0</v>
      </c>
      <c r="R2358" t="str">
        <f t="shared" si="1523"/>
        <v>0,00</v>
      </c>
      <c r="S2358" t="str">
        <f t="shared" si="1523"/>
        <v>0,00</v>
      </c>
      <c r="T2358" t="str">
        <f t="shared" si="1525"/>
        <v xml:space="preserve"> </v>
      </c>
      <c r="U2358" t="str">
        <f t="shared" si="1525"/>
        <v xml:space="preserve"> </v>
      </c>
      <c r="V2358" t="str">
        <f>"20,000"</f>
        <v>20,000</v>
      </c>
      <c r="W2358" t="str">
        <f t="shared" si="1490"/>
        <v>Lista 4</v>
      </c>
      <c r="X2358" t="str">
        <f t="shared" si="1491"/>
        <v>Lista 5</v>
      </c>
      <c r="Y2358" t="str">
        <f t="shared" si="1492"/>
        <v>Oferta Gral.</v>
      </c>
      <c r="Z2358" t="str">
        <f t="shared" si="1493"/>
        <v>Rubro</v>
      </c>
      <c r="AA2358" t="str">
        <f t="shared" si="1494"/>
        <v>Cantidad por Bulto</v>
      </c>
      <c r="AB2358" t="str">
        <f t="shared" si="1495"/>
        <v>INNER</v>
      </c>
      <c r="AC2358" t="str">
        <f t="shared" si="1496"/>
        <v>Stock en Bultos</v>
      </c>
      <c r="AD2358" t="str">
        <f t="shared" si="1497"/>
        <v>SubDepósito</v>
      </c>
      <c r="AE2358" t="str">
        <f t="shared" si="1498"/>
        <v>Marca</v>
      </c>
      <c r="AF2358" t="str">
        <f t="shared" si="1499"/>
        <v>Super Rubro</v>
      </c>
      <c r="AG2358" t="str">
        <f t="shared" si="1500"/>
        <v>ComercioExterior</v>
      </c>
      <c r="AH2358" t="str">
        <f t="shared" si="1501"/>
        <v>PrecioFOB</v>
      </c>
      <c r="AI2358" t="str">
        <f t="shared" si="1502"/>
        <v>Monto II</v>
      </c>
      <c r="AJ2358" t="str">
        <f t="shared" si="1503"/>
        <v>Porcentaje II</v>
      </c>
      <c r="AK2358" t="str">
        <f t="shared" si="1504"/>
        <v>Foto</v>
      </c>
      <c r="AL2358" t="str">
        <f t="shared" ref="AL2358:AL2369" si="1529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58" t="str">
        <f t="shared" ref="AM2358:AM2369" si="1530">"-"</f>
        <v>-</v>
      </c>
    </row>
    <row r="2359" spans="1:39" x14ac:dyDescent="0.25">
      <c r="A2359" t="str">
        <f>"FI11007"</f>
        <v>FI11007</v>
      </c>
      <c r="B2359" t="str">
        <f>"KIT DE FILTROS - PUNTA Y O´RINGS MONOPUNTO FIESTA ESPAÑOL (95) -TELA METÁLICA"</f>
        <v>KIT DE FILTROS - PUNTA Y O´RINGS MONOPUNTO FIESTA ESPAÑOL (95) -TELA METÁLICA</v>
      </c>
      <c r="C2359" t="str">
        <f>"$ 4026,88"</f>
        <v>$ 4026,88</v>
      </c>
      <c r="D2359" t="str">
        <f>"$ 4026,88"</f>
        <v>$ 4026,88</v>
      </c>
      <c r="E2359" t="str">
        <f>"$ 4026,88"</f>
        <v>$ 4026,88</v>
      </c>
      <c r="F2359" t="str">
        <f>"$ 4026,88"</f>
        <v>$ 4026,88</v>
      </c>
      <c r="G2359" t="str">
        <f>"$ 4026,88"</f>
        <v>$ 4026,88</v>
      </c>
      <c r="H2359" t="str">
        <f t="shared" si="1487"/>
        <v>$ 0,00</v>
      </c>
      <c r="I2359" t="str">
        <f t="shared" si="1526"/>
        <v>KIT FILTROS Y ORINGS</v>
      </c>
      <c r="J2359" t="str">
        <f t="shared" si="1488"/>
        <v>1</v>
      </c>
      <c r="K2359" t="str">
        <f t="shared" si="1515"/>
        <v>0</v>
      </c>
      <c r="L2359" t="str">
        <f>"0,000"</f>
        <v>0,000</v>
      </c>
      <c r="M2359" t="str">
        <f t="shared" si="1489"/>
        <v xml:space="preserve"> </v>
      </c>
      <c r="N2359" t="str">
        <f t="shared" si="1527"/>
        <v>FISPA</v>
      </c>
      <c r="O2359" t="str">
        <f t="shared" si="1528"/>
        <v>INYECTORES</v>
      </c>
      <c r="P2359" t="str">
        <f t="shared" si="1522"/>
        <v>0</v>
      </c>
      <c r="Q2359" t="str">
        <f t="shared" si="1522"/>
        <v>0</v>
      </c>
      <c r="R2359" t="str">
        <f t="shared" si="1523"/>
        <v>0,00</v>
      </c>
      <c r="S2359" t="str">
        <f t="shared" si="1523"/>
        <v>0,00</v>
      </c>
      <c r="T2359" t="str">
        <f t="shared" si="1525"/>
        <v xml:space="preserve"> </v>
      </c>
      <c r="U2359" t="str">
        <f t="shared" si="1525"/>
        <v xml:space="preserve"> </v>
      </c>
      <c r="V2359" t="str">
        <f>"0,000"</f>
        <v>0,000</v>
      </c>
      <c r="W2359" t="str">
        <f t="shared" si="1490"/>
        <v>Lista 4</v>
      </c>
      <c r="X2359" t="str">
        <f t="shared" si="1491"/>
        <v>Lista 5</v>
      </c>
      <c r="Y2359" t="str">
        <f t="shared" si="1492"/>
        <v>Oferta Gral.</v>
      </c>
      <c r="Z2359" t="str">
        <f t="shared" si="1493"/>
        <v>Rubro</v>
      </c>
      <c r="AA2359" t="str">
        <f t="shared" si="1494"/>
        <v>Cantidad por Bulto</v>
      </c>
      <c r="AB2359" t="str">
        <f t="shared" si="1495"/>
        <v>INNER</v>
      </c>
      <c r="AC2359" t="str">
        <f t="shared" si="1496"/>
        <v>Stock en Bultos</v>
      </c>
      <c r="AD2359" t="str">
        <f t="shared" si="1497"/>
        <v>SubDepósito</v>
      </c>
      <c r="AE2359" t="str">
        <f t="shared" si="1498"/>
        <v>Marca</v>
      </c>
      <c r="AF2359" t="str">
        <f t="shared" si="1499"/>
        <v>Super Rubro</v>
      </c>
      <c r="AG2359" t="str">
        <f t="shared" si="1500"/>
        <v>ComercioExterior</v>
      </c>
      <c r="AH2359" t="str">
        <f t="shared" si="1501"/>
        <v>PrecioFOB</v>
      </c>
      <c r="AI2359" t="str">
        <f t="shared" si="1502"/>
        <v>Monto II</v>
      </c>
      <c r="AJ2359" t="str">
        <f t="shared" si="1503"/>
        <v>Porcentaje II</v>
      </c>
      <c r="AK2359" t="str">
        <f t="shared" si="1504"/>
        <v>Foto</v>
      </c>
      <c r="AL2359" t="str">
        <f t="shared" si="1529"/>
        <v xml:space="preserve">{\rtf1\ansi\ansicpg1252\deff0{\fonttbl{\f0\fnil\fcharset0 MS Sans Serif}} \viewkind4\uc1\pard\lang11274\f0\fs16\par } </v>
      </c>
      <c r="AM2359" t="str">
        <f t="shared" si="1530"/>
        <v>-</v>
      </c>
    </row>
    <row r="2360" spans="1:39" x14ac:dyDescent="0.25">
      <c r="A2360" t="str">
        <f>"FI11008"</f>
        <v>FI11008</v>
      </c>
      <c r="B2360" t="str">
        <f>"KIT DE FILTROS - PUNTA Y O´RINGS MULTIPUNTO-MOTOR ZETEC E 1,8L 16V/2,0L 16V - MONDEO 95/96/98"</f>
        <v>KIT DE FILTROS - PUNTA Y O´RINGS MULTIPUNTO-MOTOR ZETEC E 1,8L 16V/2,0L 16V - MONDEO 95/96/98</v>
      </c>
      <c r="C2360" t="str">
        <f t="shared" ref="C2360:G2361" si="1531">"$ 12116,56"</f>
        <v>$ 12116,56</v>
      </c>
      <c r="D2360" t="str">
        <f t="shared" si="1531"/>
        <v>$ 12116,56</v>
      </c>
      <c r="E2360" t="str">
        <f t="shared" si="1531"/>
        <v>$ 12116,56</v>
      </c>
      <c r="F2360" t="str">
        <f t="shared" si="1531"/>
        <v>$ 12116,56</v>
      </c>
      <c r="G2360" t="str">
        <f t="shared" si="1531"/>
        <v>$ 12116,56</v>
      </c>
      <c r="H2360" t="str">
        <f t="shared" si="1487"/>
        <v>$ 0,00</v>
      </c>
      <c r="I2360" t="str">
        <f t="shared" si="1526"/>
        <v>KIT FILTROS Y ORINGS</v>
      </c>
      <c r="J2360" t="str">
        <f t="shared" si="1488"/>
        <v>1</v>
      </c>
      <c r="K2360" t="str">
        <f t="shared" si="1515"/>
        <v>0</v>
      </c>
      <c r="L2360" t="str">
        <f>"0,000"</f>
        <v>0,000</v>
      </c>
      <c r="M2360" t="str">
        <f t="shared" si="1489"/>
        <v xml:space="preserve"> </v>
      </c>
      <c r="N2360" t="str">
        <f t="shared" si="1527"/>
        <v>FISPA</v>
      </c>
      <c r="O2360" t="str">
        <f t="shared" si="1528"/>
        <v>INYECTORES</v>
      </c>
      <c r="P2360" t="str">
        <f t="shared" si="1522"/>
        <v>0</v>
      </c>
      <c r="Q2360" t="str">
        <f t="shared" si="1522"/>
        <v>0</v>
      </c>
      <c r="R2360" t="str">
        <f t="shared" si="1523"/>
        <v>0,00</v>
      </c>
      <c r="S2360" t="str">
        <f t="shared" si="1523"/>
        <v>0,00</v>
      </c>
      <c r="T2360" t="str">
        <f t="shared" si="1525"/>
        <v xml:space="preserve"> </v>
      </c>
      <c r="U2360" t="str">
        <f t="shared" si="1525"/>
        <v xml:space="preserve"> </v>
      </c>
      <c r="V2360" t="str">
        <f>"0,000"</f>
        <v>0,000</v>
      </c>
      <c r="W2360" t="str">
        <f t="shared" si="1490"/>
        <v>Lista 4</v>
      </c>
      <c r="X2360" t="str">
        <f t="shared" si="1491"/>
        <v>Lista 5</v>
      </c>
      <c r="Y2360" t="str">
        <f t="shared" si="1492"/>
        <v>Oferta Gral.</v>
      </c>
      <c r="Z2360" t="str">
        <f t="shared" si="1493"/>
        <v>Rubro</v>
      </c>
      <c r="AA2360" t="str">
        <f t="shared" si="1494"/>
        <v>Cantidad por Bulto</v>
      </c>
      <c r="AB2360" t="str">
        <f t="shared" si="1495"/>
        <v>INNER</v>
      </c>
      <c r="AC2360" t="str">
        <f t="shared" si="1496"/>
        <v>Stock en Bultos</v>
      </c>
      <c r="AD2360" t="str">
        <f t="shared" si="1497"/>
        <v>SubDepósito</v>
      </c>
      <c r="AE2360" t="str">
        <f t="shared" si="1498"/>
        <v>Marca</v>
      </c>
      <c r="AF2360" t="str">
        <f t="shared" si="1499"/>
        <v>Super Rubro</v>
      </c>
      <c r="AG2360" t="str">
        <f t="shared" si="1500"/>
        <v>ComercioExterior</v>
      </c>
      <c r="AH2360" t="str">
        <f t="shared" si="1501"/>
        <v>PrecioFOB</v>
      </c>
      <c r="AI2360" t="str">
        <f t="shared" si="1502"/>
        <v>Monto II</v>
      </c>
      <c r="AJ2360" t="str">
        <f t="shared" si="1503"/>
        <v>Porcentaje II</v>
      </c>
      <c r="AK2360" t="str">
        <f t="shared" si="1504"/>
        <v>Foto</v>
      </c>
      <c r="AL2360" t="str">
        <f t="shared" si="1529"/>
        <v xml:space="preserve">{\rtf1\ansi\ansicpg1252\deff0{\fonttbl{\f0\fnil\fcharset0 MS Sans Serif}} \viewkind4\uc1\pard\lang11274\f0\fs16\par } </v>
      </c>
      <c r="AM2360" t="str">
        <f t="shared" si="1530"/>
        <v>-</v>
      </c>
    </row>
    <row r="2361" spans="1:39" x14ac:dyDescent="0.25">
      <c r="A2361" t="str">
        <f>"FI11009"</f>
        <v>FI11009</v>
      </c>
      <c r="B2361" t="str">
        <f>"KIT DE FILTROS - PUNTA Y O´RINGSMULTIPUNTO - FIESTA (NAT) / COURIER/MOTOR ZETEC-SE 1,4L 16V"</f>
        <v>KIT DE FILTROS - PUNTA Y O´RINGSMULTIPUNTO - FIESTA (NAT) / COURIER/MOTOR ZETEC-SE 1,4L 16V</v>
      </c>
      <c r="C2361" t="str">
        <f t="shared" si="1531"/>
        <v>$ 12116,56</v>
      </c>
      <c r="D2361" t="str">
        <f t="shared" si="1531"/>
        <v>$ 12116,56</v>
      </c>
      <c r="E2361" t="str">
        <f t="shared" si="1531"/>
        <v>$ 12116,56</v>
      </c>
      <c r="F2361" t="str">
        <f t="shared" si="1531"/>
        <v>$ 12116,56</v>
      </c>
      <c r="G2361" t="str">
        <f t="shared" si="1531"/>
        <v>$ 12116,56</v>
      </c>
      <c r="H2361" t="str">
        <f t="shared" si="1487"/>
        <v>$ 0,00</v>
      </c>
      <c r="I2361" t="str">
        <f t="shared" si="1526"/>
        <v>KIT FILTROS Y ORINGS</v>
      </c>
      <c r="J2361" t="str">
        <f t="shared" si="1488"/>
        <v>1</v>
      </c>
      <c r="K2361" t="str">
        <f t="shared" si="1515"/>
        <v>0</v>
      </c>
      <c r="L2361" t="str">
        <f>"0,000"</f>
        <v>0,000</v>
      </c>
      <c r="M2361" t="str">
        <f t="shared" si="1489"/>
        <v xml:space="preserve"> </v>
      </c>
      <c r="N2361" t="str">
        <f t="shared" si="1527"/>
        <v>FISPA</v>
      </c>
      <c r="O2361" t="str">
        <f t="shared" si="1528"/>
        <v>INYECTORES</v>
      </c>
      <c r="P2361" t="str">
        <f t="shared" si="1522"/>
        <v>0</v>
      </c>
      <c r="Q2361" t="str">
        <f t="shared" si="1522"/>
        <v>0</v>
      </c>
      <c r="R2361" t="str">
        <f t="shared" si="1523"/>
        <v>0,00</v>
      </c>
      <c r="S2361" t="str">
        <f t="shared" si="1523"/>
        <v>0,00</v>
      </c>
      <c r="T2361" t="str">
        <f t="shared" si="1525"/>
        <v xml:space="preserve"> </v>
      </c>
      <c r="U2361" t="str">
        <f t="shared" si="1525"/>
        <v xml:space="preserve"> </v>
      </c>
      <c r="V2361" t="str">
        <f>"0,000"</f>
        <v>0,000</v>
      </c>
      <c r="W2361" t="str">
        <f t="shared" si="1490"/>
        <v>Lista 4</v>
      </c>
      <c r="X2361" t="str">
        <f t="shared" si="1491"/>
        <v>Lista 5</v>
      </c>
      <c r="Y2361" t="str">
        <f t="shared" si="1492"/>
        <v>Oferta Gral.</v>
      </c>
      <c r="Z2361" t="str">
        <f t="shared" si="1493"/>
        <v>Rubro</v>
      </c>
      <c r="AA2361" t="str">
        <f t="shared" si="1494"/>
        <v>Cantidad por Bulto</v>
      </c>
      <c r="AB2361" t="str">
        <f t="shared" si="1495"/>
        <v>INNER</v>
      </c>
      <c r="AC2361" t="str">
        <f t="shared" si="1496"/>
        <v>Stock en Bultos</v>
      </c>
      <c r="AD2361" t="str">
        <f t="shared" si="1497"/>
        <v>SubDepósito</v>
      </c>
      <c r="AE2361" t="str">
        <f t="shared" si="1498"/>
        <v>Marca</v>
      </c>
      <c r="AF2361" t="str">
        <f t="shared" si="1499"/>
        <v>Super Rubro</v>
      </c>
      <c r="AG2361" t="str">
        <f t="shared" si="1500"/>
        <v>ComercioExterior</v>
      </c>
      <c r="AH2361" t="str">
        <f t="shared" si="1501"/>
        <v>PrecioFOB</v>
      </c>
      <c r="AI2361" t="str">
        <f t="shared" si="1502"/>
        <v>Monto II</v>
      </c>
      <c r="AJ2361" t="str">
        <f t="shared" si="1503"/>
        <v>Porcentaje II</v>
      </c>
      <c r="AK2361" t="str">
        <f t="shared" si="1504"/>
        <v>Foto</v>
      </c>
      <c r="AL2361" t="str">
        <f t="shared" si="1529"/>
        <v xml:space="preserve">{\rtf1\ansi\ansicpg1252\deff0{\fonttbl{\f0\fnil\fcharset0 MS Sans Serif}} \viewkind4\uc1\pard\lang11274\f0\fs16\par } </v>
      </c>
      <c r="AM2361" t="str">
        <f t="shared" si="1530"/>
        <v>-</v>
      </c>
    </row>
    <row r="2362" spans="1:39" x14ac:dyDescent="0.25">
      <c r="A2362" t="str">
        <f>"FI11011"</f>
        <v>FI11011</v>
      </c>
      <c r="B2362" t="str">
        <f>"KIT DE FILTROS Y O´RINGS MONOPUNTO - FIAT TIPO 1,6 IE(94)/RENAULT R 19 1,6(96) - CLIO 1,6 (97)"</f>
        <v>KIT DE FILTROS Y O´RINGS MONOPUNTO - FIAT TIPO 1,6 IE(94)/RENAULT R 19 1,6(96) - CLIO 1,6 (97)</v>
      </c>
      <c r="C2362" t="str">
        <f>"$ 4797,09"</f>
        <v>$ 4797,09</v>
      </c>
      <c r="D2362" t="str">
        <f>"$ 4797,09"</f>
        <v>$ 4797,09</v>
      </c>
      <c r="E2362" t="str">
        <f>"$ 4797,09"</f>
        <v>$ 4797,09</v>
      </c>
      <c r="F2362" t="str">
        <f>"$ 4797,09"</f>
        <v>$ 4797,09</v>
      </c>
      <c r="G2362" t="str">
        <f>"$ 4797,09"</f>
        <v>$ 4797,09</v>
      </c>
      <c r="H2362" t="str">
        <f t="shared" si="1487"/>
        <v>$ 0,00</v>
      </c>
      <c r="I2362" t="str">
        <f t="shared" si="1526"/>
        <v>KIT FILTROS Y ORINGS</v>
      </c>
      <c r="J2362" t="str">
        <f t="shared" si="1488"/>
        <v>1</v>
      </c>
      <c r="K2362" t="str">
        <f t="shared" si="1515"/>
        <v>0</v>
      </c>
      <c r="L2362" t="str">
        <f>"27,000"</f>
        <v>27,000</v>
      </c>
      <c r="M2362" t="str">
        <f t="shared" si="1489"/>
        <v xml:space="preserve"> </v>
      </c>
      <c r="N2362" t="str">
        <f t="shared" si="1527"/>
        <v>FISPA</v>
      </c>
      <c r="O2362" t="str">
        <f t="shared" si="1528"/>
        <v>INYECTORES</v>
      </c>
      <c r="P2362" t="str">
        <f t="shared" si="1522"/>
        <v>0</v>
      </c>
      <c r="Q2362" t="str">
        <f t="shared" si="1522"/>
        <v>0</v>
      </c>
      <c r="R2362" t="str">
        <f t="shared" si="1523"/>
        <v>0,00</v>
      </c>
      <c r="S2362" t="str">
        <f t="shared" si="1523"/>
        <v>0,00</v>
      </c>
      <c r="T2362" t="str">
        <f t="shared" si="1525"/>
        <v xml:space="preserve"> </v>
      </c>
      <c r="U2362" t="str">
        <f t="shared" si="1525"/>
        <v xml:space="preserve"> </v>
      </c>
      <c r="V2362" t="str">
        <f>"27,000"</f>
        <v>27,000</v>
      </c>
      <c r="W2362" t="str">
        <f t="shared" si="1490"/>
        <v>Lista 4</v>
      </c>
      <c r="X2362" t="str">
        <f t="shared" si="1491"/>
        <v>Lista 5</v>
      </c>
      <c r="Y2362" t="str">
        <f t="shared" si="1492"/>
        <v>Oferta Gral.</v>
      </c>
      <c r="Z2362" t="str">
        <f t="shared" si="1493"/>
        <v>Rubro</v>
      </c>
      <c r="AA2362" t="str">
        <f t="shared" si="1494"/>
        <v>Cantidad por Bulto</v>
      </c>
      <c r="AB2362" t="str">
        <f t="shared" si="1495"/>
        <v>INNER</v>
      </c>
      <c r="AC2362" t="str">
        <f t="shared" si="1496"/>
        <v>Stock en Bultos</v>
      </c>
      <c r="AD2362" t="str">
        <f t="shared" si="1497"/>
        <v>SubDepósito</v>
      </c>
      <c r="AE2362" t="str">
        <f t="shared" si="1498"/>
        <v>Marca</v>
      </c>
      <c r="AF2362" t="str">
        <f t="shared" si="1499"/>
        <v>Super Rubro</v>
      </c>
      <c r="AG2362" t="str">
        <f t="shared" si="1500"/>
        <v>ComercioExterior</v>
      </c>
      <c r="AH2362" t="str">
        <f t="shared" si="1501"/>
        <v>PrecioFOB</v>
      </c>
      <c r="AI2362" t="str">
        <f t="shared" si="1502"/>
        <v>Monto II</v>
      </c>
      <c r="AJ2362" t="str">
        <f t="shared" si="1503"/>
        <v>Porcentaje II</v>
      </c>
      <c r="AK2362" t="str">
        <f t="shared" si="1504"/>
        <v>Foto</v>
      </c>
      <c r="AL2362" t="str">
        <f t="shared" si="1529"/>
        <v xml:space="preserve">{\rtf1\ansi\ansicpg1252\deff0{\fonttbl{\f0\fnil\fcharset0 MS Sans Serif}} \viewkind4\uc1\pard\lang11274\f0\fs16\par } </v>
      </c>
      <c r="AM2362" t="str">
        <f t="shared" si="1530"/>
        <v>-</v>
      </c>
    </row>
    <row r="2363" spans="1:39" x14ac:dyDescent="0.25">
      <c r="A2363" t="str">
        <f>"FI11000"</f>
        <v>FI11000</v>
      </c>
      <c r="B2363" t="str">
        <f>"KIT DE FILTROS Y O´RINGS MONOPUNTO - M.MARELLI - TELA METÁLICA SPI-FIAT-CFI-VW-FORD-"</f>
        <v>KIT DE FILTROS Y O´RINGS MONOPUNTO - M.MARELLI - TELA METÁLICA SPI-FIAT-CFI-VW-FORD-</v>
      </c>
      <c r="C2363" t="str">
        <f>"$ 4790,90"</f>
        <v>$ 4790,90</v>
      </c>
      <c r="D2363" t="str">
        <f>"$ 4790,90"</f>
        <v>$ 4790,90</v>
      </c>
      <c r="E2363" t="str">
        <f>"$ 4790,90"</f>
        <v>$ 4790,90</v>
      </c>
      <c r="F2363" t="str">
        <f>"$ 4790,90"</f>
        <v>$ 4790,90</v>
      </c>
      <c r="G2363" t="str">
        <f>"$ 4790,90"</f>
        <v>$ 4790,90</v>
      </c>
      <c r="H2363" t="str">
        <f t="shared" si="1487"/>
        <v>$ 0,00</v>
      </c>
      <c r="I2363" t="str">
        <f t="shared" si="1526"/>
        <v>KIT FILTROS Y ORINGS</v>
      </c>
      <c r="J2363" t="str">
        <f t="shared" si="1488"/>
        <v>1</v>
      </c>
      <c r="K2363" t="str">
        <f t="shared" si="1515"/>
        <v>0</v>
      </c>
      <c r="L2363" t="str">
        <f>"9,000"</f>
        <v>9,000</v>
      </c>
      <c r="M2363" t="str">
        <f t="shared" si="1489"/>
        <v xml:space="preserve"> </v>
      </c>
      <c r="N2363" t="str">
        <f t="shared" si="1527"/>
        <v>FISPA</v>
      </c>
      <c r="O2363" t="str">
        <f t="shared" si="1528"/>
        <v>INYECTORES</v>
      </c>
      <c r="P2363" t="str">
        <f t="shared" ref="P2363:Q2382" si="1532">"0"</f>
        <v>0</v>
      </c>
      <c r="Q2363" t="str">
        <f t="shared" si="1532"/>
        <v>0</v>
      </c>
      <c r="R2363" t="str">
        <f t="shared" ref="R2363:S2382" si="1533">"0,00"</f>
        <v>0,00</v>
      </c>
      <c r="S2363" t="str">
        <f t="shared" si="1533"/>
        <v>0,00</v>
      </c>
      <c r="T2363" t="str">
        <f t="shared" si="1525"/>
        <v xml:space="preserve"> </v>
      </c>
      <c r="U2363" t="str">
        <f t="shared" si="1525"/>
        <v xml:space="preserve"> </v>
      </c>
      <c r="V2363" t="str">
        <f>"9,000"</f>
        <v>9,000</v>
      </c>
      <c r="W2363" t="str">
        <f t="shared" si="1490"/>
        <v>Lista 4</v>
      </c>
      <c r="X2363" t="str">
        <f t="shared" si="1491"/>
        <v>Lista 5</v>
      </c>
      <c r="Y2363" t="str">
        <f t="shared" si="1492"/>
        <v>Oferta Gral.</v>
      </c>
      <c r="Z2363" t="str">
        <f t="shared" si="1493"/>
        <v>Rubro</v>
      </c>
      <c r="AA2363" t="str">
        <f t="shared" si="1494"/>
        <v>Cantidad por Bulto</v>
      </c>
      <c r="AB2363" t="str">
        <f t="shared" si="1495"/>
        <v>INNER</v>
      </c>
      <c r="AC2363" t="str">
        <f t="shared" si="1496"/>
        <v>Stock en Bultos</v>
      </c>
      <c r="AD2363" t="str">
        <f t="shared" si="1497"/>
        <v>SubDepósito</v>
      </c>
      <c r="AE2363" t="str">
        <f t="shared" si="1498"/>
        <v>Marca</v>
      </c>
      <c r="AF2363" t="str">
        <f t="shared" si="1499"/>
        <v>Super Rubro</v>
      </c>
      <c r="AG2363" t="str">
        <f t="shared" si="1500"/>
        <v>ComercioExterior</v>
      </c>
      <c r="AH2363" t="str">
        <f t="shared" si="1501"/>
        <v>PrecioFOB</v>
      </c>
      <c r="AI2363" t="str">
        <f t="shared" si="1502"/>
        <v>Monto II</v>
      </c>
      <c r="AJ2363" t="str">
        <f t="shared" si="1503"/>
        <v>Porcentaje II</v>
      </c>
      <c r="AK2363" t="str">
        <f t="shared" si="1504"/>
        <v>Foto</v>
      </c>
      <c r="AL2363" t="str">
        <f t="shared" si="1529"/>
        <v xml:space="preserve">{\rtf1\ansi\ansicpg1252\deff0{\fonttbl{\f0\fnil\fcharset0 MS Sans Serif}} \viewkind4\uc1\pard\lang11274\f0\fs16\par } </v>
      </c>
      <c r="AM2363" t="str">
        <f t="shared" si="1530"/>
        <v>-</v>
      </c>
    </row>
    <row r="2364" spans="1:39" x14ac:dyDescent="0.25">
      <c r="A2364" t="str">
        <f>"FI11001"</f>
        <v>FI11001</v>
      </c>
      <c r="B2364" t="str">
        <f>"KIT DE FILTROS Y O´RINGS MONOPUNTO - ROCHESTER -TELA METÁLICA EFI - GM"</f>
        <v>KIT DE FILTROS Y O´RINGS MONOPUNTO - ROCHESTER -TELA METÁLICA EFI - GM</v>
      </c>
      <c r="C2364" t="str">
        <f>"$ 6114,62"</f>
        <v>$ 6114,62</v>
      </c>
      <c r="D2364" t="str">
        <f>"$ 6114,62"</f>
        <v>$ 6114,62</v>
      </c>
      <c r="E2364" t="str">
        <f>"$ 6114,62"</f>
        <v>$ 6114,62</v>
      </c>
      <c r="F2364" t="str">
        <f>"$ 6114,62"</f>
        <v>$ 6114,62</v>
      </c>
      <c r="G2364" t="str">
        <f>"$ 6114,62"</f>
        <v>$ 6114,62</v>
      </c>
      <c r="H2364" t="str">
        <f t="shared" si="1487"/>
        <v>$ 0,00</v>
      </c>
      <c r="I2364" t="str">
        <f t="shared" si="1526"/>
        <v>KIT FILTROS Y ORINGS</v>
      </c>
      <c r="J2364" t="str">
        <f t="shared" si="1488"/>
        <v>1</v>
      </c>
      <c r="K2364" t="str">
        <f t="shared" si="1515"/>
        <v>0</v>
      </c>
      <c r="L2364" t="str">
        <f>"27,000"</f>
        <v>27,000</v>
      </c>
      <c r="M2364" t="str">
        <f t="shared" si="1489"/>
        <v xml:space="preserve"> </v>
      </c>
      <c r="N2364" t="str">
        <f t="shared" si="1527"/>
        <v>FISPA</v>
      </c>
      <c r="O2364" t="str">
        <f t="shared" si="1528"/>
        <v>INYECTORES</v>
      </c>
      <c r="P2364" t="str">
        <f t="shared" si="1532"/>
        <v>0</v>
      </c>
      <c r="Q2364" t="str">
        <f t="shared" si="1532"/>
        <v>0</v>
      </c>
      <c r="R2364" t="str">
        <f t="shared" si="1533"/>
        <v>0,00</v>
      </c>
      <c r="S2364" t="str">
        <f t="shared" si="1533"/>
        <v>0,00</v>
      </c>
      <c r="T2364" t="str">
        <f t="shared" si="1525"/>
        <v xml:space="preserve"> </v>
      </c>
      <c r="U2364" t="str">
        <f t="shared" si="1525"/>
        <v xml:space="preserve"> </v>
      </c>
      <c r="V2364" t="str">
        <f>"27,000"</f>
        <v>27,000</v>
      </c>
      <c r="W2364" t="str">
        <f t="shared" si="1490"/>
        <v>Lista 4</v>
      </c>
      <c r="X2364" t="str">
        <f t="shared" si="1491"/>
        <v>Lista 5</v>
      </c>
      <c r="Y2364" t="str">
        <f t="shared" si="1492"/>
        <v>Oferta Gral.</v>
      </c>
      <c r="Z2364" t="str">
        <f t="shared" si="1493"/>
        <v>Rubro</v>
      </c>
      <c r="AA2364" t="str">
        <f t="shared" si="1494"/>
        <v>Cantidad por Bulto</v>
      </c>
      <c r="AB2364" t="str">
        <f t="shared" si="1495"/>
        <v>INNER</v>
      </c>
      <c r="AC2364" t="str">
        <f t="shared" si="1496"/>
        <v>Stock en Bultos</v>
      </c>
      <c r="AD2364" t="str">
        <f t="shared" si="1497"/>
        <v>SubDepósito</v>
      </c>
      <c r="AE2364" t="str">
        <f t="shared" si="1498"/>
        <v>Marca</v>
      </c>
      <c r="AF2364" t="str">
        <f t="shared" si="1499"/>
        <v>Super Rubro</v>
      </c>
      <c r="AG2364" t="str">
        <f t="shared" si="1500"/>
        <v>ComercioExterior</v>
      </c>
      <c r="AH2364" t="str">
        <f t="shared" si="1501"/>
        <v>PrecioFOB</v>
      </c>
      <c r="AI2364" t="str">
        <f t="shared" si="1502"/>
        <v>Monto II</v>
      </c>
      <c r="AJ2364" t="str">
        <f t="shared" si="1503"/>
        <v>Porcentaje II</v>
      </c>
      <c r="AK2364" t="str">
        <f t="shared" si="1504"/>
        <v>Foto</v>
      </c>
      <c r="AL2364" t="str">
        <f t="shared" si="1529"/>
        <v xml:space="preserve">{\rtf1\ansi\ansicpg1252\deff0{\fonttbl{\f0\fnil\fcharset0 MS Sans Serif}} \viewkind4\uc1\pard\lang11274\f0\fs16\par } </v>
      </c>
      <c r="AM2364" t="str">
        <f t="shared" si="1530"/>
        <v>-</v>
      </c>
    </row>
    <row r="2365" spans="1:39" x14ac:dyDescent="0.25">
      <c r="A2365" t="str">
        <f>"FI11006"</f>
        <v>FI11006</v>
      </c>
      <c r="B2365" t="str">
        <f>"KIT DE FILTROS Y O´RINGS MULTIPUNTO  ROCHESTER -S 10 - BLAZER C/MOTOR 4.3I V6"</f>
        <v>KIT DE FILTROS Y O´RINGS MULTIPUNTO  ROCHESTER -S 10 - BLAZER C/MOTOR 4.3I V6</v>
      </c>
      <c r="C2365" t="str">
        <f>"$ 15303,90"</f>
        <v>$ 15303,90</v>
      </c>
      <c r="D2365" t="str">
        <f>"$ 15303,90"</f>
        <v>$ 15303,90</v>
      </c>
      <c r="E2365" t="str">
        <f>"$ 15303,90"</f>
        <v>$ 15303,90</v>
      </c>
      <c r="F2365" t="str">
        <f>"$ 15303,90"</f>
        <v>$ 15303,90</v>
      </c>
      <c r="G2365" t="str">
        <f>"$ 15303,90"</f>
        <v>$ 15303,90</v>
      </c>
      <c r="H2365" t="str">
        <f t="shared" si="1487"/>
        <v>$ 0,00</v>
      </c>
      <c r="I2365" t="str">
        <f t="shared" si="1526"/>
        <v>KIT FILTROS Y ORINGS</v>
      </c>
      <c r="J2365" t="str">
        <f t="shared" si="1488"/>
        <v>1</v>
      </c>
      <c r="K2365" t="str">
        <f t="shared" si="1515"/>
        <v>0</v>
      </c>
      <c r="L2365" t="str">
        <f>"0,000"</f>
        <v>0,000</v>
      </c>
      <c r="M2365" t="str">
        <f t="shared" si="1489"/>
        <v xml:space="preserve"> </v>
      </c>
      <c r="N2365" t="str">
        <f t="shared" si="1527"/>
        <v>FISPA</v>
      </c>
      <c r="O2365" t="str">
        <f t="shared" si="1528"/>
        <v>INYECTORES</v>
      </c>
      <c r="P2365" t="str">
        <f t="shared" si="1532"/>
        <v>0</v>
      </c>
      <c r="Q2365" t="str">
        <f t="shared" si="1532"/>
        <v>0</v>
      </c>
      <c r="R2365" t="str">
        <f t="shared" si="1533"/>
        <v>0,00</v>
      </c>
      <c r="S2365" t="str">
        <f t="shared" si="1533"/>
        <v>0,00</v>
      </c>
      <c r="T2365" t="str">
        <f t="shared" si="1525"/>
        <v xml:space="preserve"> </v>
      </c>
      <c r="U2365" t="str">
        <f t="shared" si="1525"/>
        <v xml:space="preserve"> </v>
      </c>
      <c r="V2365" t="str">
        <f>"0,000"</f>
        <v>0,000</v>
      </c>
      <c r="W2365" t="str">
        <f t="shared" si="1490"/>
        <v>Lista 4</v>
      </c>
      <c r="X2365" t="str">
        <f t="shared" si="1491"/>
        <v>Lista 5</v>
      </c>
      <c r="Y2365" t="str">
        <f t="shared" si="1492"/>
        <v>Oferta Gral.</v>
      </c>
      <c r="Z2365" t="str">
        <f t="shared" si="1493"/>
        <v>Rubro</v>
      </c>
      <c r="AA2365" t="str">
        <f t="shared" si="1494"/>
        <v>Cantidad por Bulto</v>
      </c>
      <c r="AB2365" t="str">
        <f t="shared" si="1495"/>
        <v>INNER</v>
      </c>
      <c r="AC2365" t="str">
        <f t="shared" si="1496"/>
        <v>Stock en Bultos</v>
      </c>
      <c r="AD2365" t="str">
        <f t="shared" si="1497"/>
        <v>SubDepósito</v>
      </c>
      <c r="AE2365" t="str">
        <f t="shared" si="1498"/>
        <v>Marca</v>
      </c>
      <c r="AF2365" t="str">
        <f t="shared" si="1499"/>
        <v>Super Rubro</v>
      </c>
      <c r="AG2365" t="str">
        <f t="shared" si="1500"/>
        <v>ComercioExterior</v>
      </c>
      <c r="AH2365" t="str">
        <f t="shared" si="1501"/>
        <v>PrecioFOB</v>
      </c>
      <c r="AI2365" t="str">
        <f t="shared" si="1502"/>
        <v>Monto II</v>
      </c>
      <c r="AJ2365" t="str">
        <f t="shared" si="1503"/>
        <v>Porcentaje II</v>
      </c>
      <c r="AK2365" t="str">
        <f t="shared" si="1504"/>
        <v>Foto</v>
      </c>
      <c r="AL2365" t="str">
        <f t="shared" si="1529"/>
        <v xml:space="preserve">{\rtf1\ansi\ansicpg1252\deff0{\fonttbl{\f0\fnil\fcharset0 MS Sans Serif}} \viewkind4\uc1\pard\lang11274\f0\fs16\par } </v>
      </c>
      <c r="AM2365" t="str">
        <f t="shared" si="1530"/>
        <v>-</v>
      </c>
    </row>
    <row r="2366" spans="1:39" x14ac:dyDescent="0.25">
      <c r="A2366" t="str">
        <f>"FI11003"</f>
        <v>FI11003</v>
      </c>
      <c r="B2366" t="str">
        <f>"KIT DE FILTROS Y O´RINGS MULTIPUNTO  SIEMENS - RENAULT 19 - FORD COURIER"</f>
        <v>KIT DE FILTROS Y O´RINGS MULTIPUNTO  SIEMENS - RENAULT 19 - FORD COURIER</v>
      </c>
      <c r="C2366" t="str">
        <f>"$ 13470,00"</f>
        <v>$ 13470,00</v>
      </c>
      <c r="D2366" t="str">
        <f>"$ 13470,00"</f>
        <v>$ 13470,00</v>
      </c>
      <c r="E2366" t="str">
        <f>"$ 13470,00"</f>
        <v>$ 13470,00</v>
      </c>
      <c r="F2366" t="str">
        <f>"$ 13470,00"</f>
        <v>$ 13470,00</v>
      </c>
      <c r="G2366" t="str">
        <f>"$ 13470,00"</f>
        <v>$ 13470,00</v>
      </c>
      <c r="H2366" t="str">
        <f t="shared" si="1487"/>
        <v>$ 0,00</v>
      </c>
      <c r="I2366" t="str">
        <f t="shared" si="1526"/>
        <v>KIT FILTROS Y ORINGS</v>
      </c>
      <c r="J2366" t="str">
        <f t="shared" si="1488"/>
        <v>1</v>
      </c>
      <c r="K2366" t="str">
        <f t="shared" si="1515"/>
        <v>0</v>
      </c>
      <c r="L2366" t="str">
        <f>"17,000"</f>
        <v>17,000</v>
      </c>
      <c r="M2366" t="str">
        <f t="shared" si="1489"/>
        <v xml:space="preserve"> </v>
      </c>
      <c r="N2366" t="str">
        <f t="shared" si="1527"/>
        <v>FISPA</v>
      </c>
      <c r="O2366" t="str">
        <f t="shared" si="1528"/>
        <v>INYECTORES</v>
      </c>
      <c r="P2366" t="str">
        <f t="shared" si="1532"/>
        <v>0</v>
      </c>
      <c r="Q2366" t="str">
        <f t="shared" si="1532"/>
        <v>0</v>
      </c>
      <c r="R2366" t="str">
        <f t="shared" si="1533"/>
        <v>0,00</v>
      </c>
      <c r="S2366" t="str">
        <f t="shared" si="1533"/>
        <v>0,00</v>
      </c>
      <c r="T2366" t="str">
        <f t="shared" si="1525"/>
        <v xml:space="preserve"> </v>
      </c>
      <c r="U2366" t="str">
        <f t="shared" si="1525"/>
        <v xml:space="preserve"> </v>
      </c>
      <c r="V2366" t="str">
        <f>"17,000"</f>
        <v>17,000</v>
      </c>
      <c r="W2366" t="str">
        <f t="shared" si="1490"/>
        <v>Lista 4</v>
      </c>
      <c r="X2366" t="str">
        <f t="shared" si="1491"/>
        <v>Lista 5</v>
      </c>
      <c r="Y2366" t="str">
        <f t="shared" si="1492"/>
        <v>Oferta Gral.</v>
      </c>
      <c r="Z2366" t="str">
        <f t="shared" si="1493"/>
        <v>Rubro</v>
      </c>
      <c r="AA2366" t="str">
        <f t="shared" si="1494"/>
        <v>Cantidad por Bulto</v>
      </c>
      <c r="AB2366" t="str">
        <f t="shared" si="1495"/>
        <v>INNER</v>
      </c>
      <c r="AC2366" t="str">
        <f t="shared" si="1496"/>
        <v>Stock en Bultos</v>
      </c>
      <c r="AD2366" t="str">
        <f t="shared" si="1497"/>
        <v>SubDepósito</v>
      </c>
      <c r="AE2366" t="str">
        <f t="shared" si="1498"/>
        <v>Marca</v>
      </c>
      <c r="AF2366" t="str">
        <f t="shared" si="1499"/>
        <v>Super Rubro</v>
      </c>
      <c r="AG2366" t="str">
        <f t="shared" si="1500"/>
        <v>ComercioExterior</v>
      </c>
      <c r="AH2366" t="str">
        <f t="shared" si="1501"/>
        <v>PrecioFOB</v>
      </c>
      <c r="AI2366" t="str">
        <f t="shared" si="1502"/>
        <v>Monto II</v>
      </c>
      <c r="AJ2366" t="str">
        <f t="shared" si="1503"/>
        <v>Porcentaje II</v>
      </c>
      <c r="AK2366" t="str">
        <f t="shared" si="1504"/>
        <v>Foto</v>
      </c>
      <c r="AL2366" t="str">
        <f t="shared" si="1529"/>
        <v xml:space="preserve">{\rtf1\ansi\ansicpg1252\deff0{\fonttbl{\f0\fnil\fcharset0 MS Sans Serif}} \viewkind4\uc1\pard\lang11274\f0\fs16\par } </v>
      </c>
      <c r="AM2366" t="str">
        <f t="shared" si="1530"/>
        <v>-</v>
      </c>
    </row>
    <row r="2367" spans="1:39" x14ac:dyDescent="0.25">
      <c r="A2367" t="str">
        <f>"FI11004"</f>
        <v>FI11004</v>
      </c>
      <c r="B2367" t="str">
        <f>"KIT DE FILTROS Y O´RINGS MULTIPUNTO BOSCH - ROCHESTER"</f>
        <v>KIT DE FILTROS Y O´RINGS MULTIPUNTO BOSCH - ROCHESTER</v>
      </c>
      <c r="C2367" t="str">
        <f>"$ 7489,11"</f>
        <v>$ 7489,11</v>
      </c>
      <c r="D2367" t="str">
        <f>"$ 7489,11"</f>
        <v>$ 7489,11</v>
      </c>
      <c r="E2367" t="str">
        <f>"$ 7489,11"</f>
        <v>$ 7489,11</v>
      </c>
      <c r="F2367" t="str">
        <f>"$ 7489,11"</f>
        <v>$ 7489,11</v>
      </c>
      <c r="G2367" t="str">
        <f>"$ 7489,11"</f>
        <v>$ 7489,11</v>
      </c>
      <c r="H2367" t="str">
        <f t="shared" si="1487"/>
        <v>$ 0,00</v>
      </c>
      <c r="I2367" t="str">
        <f t="shared" si="1526"/>
        <v>KIT FILTROS Y ORINGS</v>
      </c>
      <c r="J2367" t="str">
        <f t="shared" si="1488"/>
        <v>1</v>
      </c>
      <c r="K2367" t="str">
        <f t="shared" si="1515"/>
        <v>0</v>
      </c>
      <c r="L2367" t="str">
        <f>"20,000"</f>
        <v>20,000</v>
      </c>
      <c r="M2367" t="str">
        <f t="shared" si="1489"/>
        <v xml:space="preserve"> </v>
      </c>
      <c r="N2367" t="str">
        <f t="shared" si="1527"/>
        <v>FISPA</v>
      </c>
      <c r="O2367" t="str">
        <f t="shared" si="1528"/>
        <v>INYECTORES</v>
      </c>
      <c r="P2367" t="str">
        <f t="shared" si="1532"/>
        <v>0</v>
      </c>
      <c r="Q2367" t="str">
        <f t="shared" si="1532"/>
        <v>0</v>
      </c>
      <c r="R2367" t="str">
        <f t="shared" si="1533"/>
        <v>0,00</v>
      </c>
      <c r="S2367" t="str">
        <f t="shared" si="1533"/>
        <v>0,00</v>
      </c>
      <c r="T2367" t="str">
        <f t="shared" si="1525"/>
        <v xml:space="preserve"> </v>
      </c>
      <c r="U2367" t="str">
        <f t="shared" si="1525"/>
        <v xml:space="preserve"> </v>
      </c>
      <c r="V2367" t="str">
        <f>"20,000"</f>
        <v>20,000</v>
      </c>
      <c r="W2367" t="str">
        <f t="shared" si="1490"/>
        <v>Lista 4</v>
      </c>
      <c r="X2367" t="str">
        <f t="shared" si="1491"/>
        <v>Lista 5</v>
      </c>
      <c r="Y2367" t="str">
        <f t="shared" si="1492"/>
        <v>Oferta Gral.</v>
      </c>
      <c r="Z2367" t="str">
        <f t="shared" si="1493"/>
        <v>Rubro</v>
      </c>
      <c r="AA2367" t="str">
        <f t="shared" si="1494"/>
        <v>Cantidad por Bulto</v>
      </c>
      <c r="AB2367" t="str">
        <f t="shared" si="1495"/>
        <v>INNER</v>
      </c>
      <c r="AC2367" t="str">
        <f t="shared" si="1496"/>
        <v>Stock en Bultos</v>
      </c>
      <c r="AD2367" t="str">
        <f t="shared" si="1497"/>
        <v>SubDepósito</v>
      </c>
      <c r="AE2367" t="str">
        <f t="shared" si="1498"/>
        <v>Marca</v>
      </c>
      <c r="AF2367" t="str">
        <f t="shared" si="1499"/>
        <v>Super Rubro</v>
      </c>
      <c r="AG2367" t="str">
        <f t="shared" si="1500"/>
        <v>ComercioExterior</v>
      </c>
      <c r="AH2367" t="str">
        <f t="shared" si="1501"/>
        <v>PrecioFOB</v>
      </c>
      <c r="AI2367" t="str">
        <f t="shared" si="1502"/>
        <v>Monto II</v>
      </c>
      <c r="AJ2367" t="str">
        <f t="shared" si="1503"/>
        <v>Porcentaje II</v>
      </c>
      <c r="AK2367" t="str">
        <f t="shared" si="1504"/>
        <v>Foto</v>
      </c>
      <c r="AL2367" t="str">
        <f t="shared" si="1529"/>
        <v xml:space="preserve">{\rtf1\ansi\ansicpg1252\deff0{\fonttbl{\f0\fnil\fcharset0 MS Sans Serif}} \viewkind4\uc1\pard\lang11274\f0\fs16\par } </v>
      </c>
      <c r="AM2367" t="str">
        <f t="shared" si="1530"/>
        <v>-</v>
      </c>
    </row>
    <row r="2368" spans="1:39" x14ac:dyDescent="0.25">
      <c r="A2368" t="str">
        <f>"FI11010"</f>
        <v>FI11010</v>
      </c>
      <c r="B2368" t="str">
        <f>"KIT DE FILTROS Y O´RINGS MULTIPUNTO MAGNETI MARELLI"</f>
        <v>KIT DE FILTROS Y O´RINGS MULTIPUNTO MAGNETI MARELLI</v>
      </c>
      <c r="C2368" t="str">
        <f>"$ 9076,59"</f>
        <v>$ 9076,59</v>
      </c>
      <c r="D2368" t="str">
        <f>"$ 9076,59"</f>
        <v>$ 9076,59</v>
      </c>
      <c r="E2368" t="str">
        <f>"$ 9076,59"</f>
        <v>$ 9076,59</v>
      </c>
      <c r="F2368" t="str">
        <f>"$ 9076,59"</f>
        <v>$ 9076,59</v>
      </c>
      <c r="G2368" t="str">
        <f>"$ 9076,59"</f>
        <v>$ 9076,59</v>
      </c>
      <c r="H2368" t="str">
        <f t="shared" si="1487"/>
        <v>$ 0,00</v>
      </c>
      <c r="I2368" t="str">
        <f t="shared" si="1526"/>
        <v>KIT FILTROS Y ORINGS</v>
      </c>
      <c r="J2368" t="str">
        <f t="shared" si="1488"/>
        <v>1</v>
      </c>
      <c r="K2368" t="str">
        <f t="shared" si="1515"/>
        <v>0</v>
      </c>
      <c r="L2368" t="str">
        <f>"10,000"</f>
        <v>10,000</v>
      </c>
      <c r="M2368" t="str">
        <f t="shared" si="1489"/>
        <v xml:space="preserve"> </v>
      </c>
      <c r="N2368" t="str">
        <f t="shared" si="1527"/>
        <v>FISPA</v>
      </c>
      <c r="O2368" t="str">
        <f t="shared" si="1528"/>
        <v>INYECTORES</v>
      </c>
      <c r="P2368" t="str">
        <f t="shared" si="1532"/>
        <v>0</v>
      </c>
      <c r="Q2368" t="str">
        <f t="shared" si="1532"/>
        <v>0</v>
      </c>
      <c r="R2368" t="str">
        <f t="shared" si="1533"/>
        <v>0,00</v>
      </c>
      <c r="S2368" t="str">
        <f t="shared" si="1533"/>
        <v>0,00</v>
      </c>
      <c r="T2368" t="str">
        <f t="shared" si="1525"/>
        <v xml:space="preserve"> </v>
      </c>
      <c r="U2368" t="str">
        <f t="shared" si="1525"/>
        <v xml:space="preserve"> </v>
      </c>
      <c r="V2368" t="str">
        <f>"10,000"</f>
        <v>10,000</v>
      </c>
      <c r="W2368" t="str">
        <f t="shared" si="1490"/>
        <v>Lista 4</v>
      </c>
      <c r="X2368" t="str">
        <f t="shared" si="1491"/>
        <v>Lista 5</v>
      </c>
      <c r="Y2368" t="str">
        <f t="shared" si="1492"/>
        <v>Oferta Gral.</v>
      </c>
      <c r="Z2368" t="str">
        <f t="shared" si="1493"/>
        <v>Rubro</v>
      </c>
      <c r="AA2368" t="str">
        <f t="shared" si="1494"/>
        <v>Cantidad por Bulto</v>
      </c>
      <c r="AB2368" t="str">
        <f t="shared" si="1495"/>
        <v>INNER</v>
      </c>
      <c r="AC2368" t="str">
        <f t="shared" si="1496"/>
        <v>Stock en Bultos</v>
      </c>
      <c r="AD2368" t="str">
        <f t="shared" si="1497"/>
        <v>SubDepósito</v>
      </c>
      <c r="AE2368" t="str">
        <f t="shared" si="1498"/>
        <v>Marca</v>
      </c>
      <c r="AF2368" t="str">
        <f t="shared" si="1499"/>
        <v>Super Rubro</v>
      </c>
      <c r="AG2368" t="str">
        <f t="shared" si="1500"/>
        <v>ComercioExterior</v>
      </c>
      <c r="AH2368" t="str">
        <f t="shared" si="1501"/>
        <v>PrecioFOB</v>
      </c>
      <c r="AI2368" t="str">
        <f t="shared" si="1502"/>
        <v>Monto II</v>
      </c>
      <c r="AJ2368" t="str">
        <f t="shared" si="1503"/>
        <v>Porcentaje II</v>
      </c>
      <c r="AK2368" t="str">
        <f t="shared" si="1504"/>
        <v>Foto</v>
      </c>
      <c r="AL2368" t="str">
        <f t="shared" si="1529"/>
        <v xml:space="preserve">{\rtf1\ansi\ansicpg1252\deff0{\fonttbl{\f0\fnil\fcharset0 MS Sans Serif}} \viewkind4\uc1\pard\lang11274\f0\fs16\par } </v>
      </c>
      <c r="AM2368" t="str">
        <f t="shared" si="1530"/>
        <v>-</v>
      </c>
    </row>
    <row r="2369" spans="1:39" x14ac:dyDescent="0.25">
      <c r="A2369" t="str">
        <f>"FI11002"</f>
        <v>FI11002</v>
      </c>
      <c r="B2369" t="str">
        <f>"KIT DE FILTROS Y O´RINGS MULTIPUNTO- SISTEMA M. MARELLI - PEUGEOT"</f>
        <v>KIT DE FILTROS Y O´RINGS MULTIPUNTO- SISTEMA M. MARELLI - PEUGEOT</v>
      </c>
      <c r="C2369" t="str">
        <f>"$ 11324,07"</f>
        <v>$ 11324,07</v>
      </c>
      <c r="D2369" t="str">
        <f>"$ 11324,07"</f>
        <v>$ 11324,07</v>
      </c>
      <c r="E2369" t="str">
        <f>"$ 11324,07"</f>
        <v>$ 11324,07</v>
      </c>
      <c r="F2369" t="str">
        <f>"$ 11324,07"</f>
        <v>$ 11324,07</v>
      </c>
      <c r="G2369" t="str">
        <f>"$ 11324,07"</f>
        <v>$ 11324,07</v>
      </c>
      <c r="H2369" t="str">
        <f t="shared" si="1487"/>
        <v>$ 0,00</v>
      </c>
      <c r="I2369" t="str">
        <f t="shared" si="1526"/>
        <v>KIT FILTROS Y ORINGS</v>
      </c>
      <c r="J2369" t="str">
        <f t="shared" si="1488"/>
        <v>1</v>
      </c>
      <c r="K2369" t="str">
        <f t="shared" si="1515"/>
        <v>0</v>
      </c>
      <c r="L2369" t="str">
        <f>"11,000"</f>
        <v>11,000</v>
      </c>
      <c r="M2369" t="str">
        <f t="shared" si="1489"/>
        <v xml:space="preserve"> </v>
      </c>
      <c r="N2369" t="str">
        <f t="shared" si="1527"/>
        <v>FISPA</v>
      </c>
      <c r="O2369" t="str">
        <f t="shared" si="1528"/>
        <v>INYECTORES</v>
      </c>
      <c r="P2369" t="str">
        <f t="shared" si="1532"/>
        <v>0</v>
      </c>
      <c r="Q2369" t="str">
        <f t="shared" si="1532"/>
        <v>0</v>
      </c>
      <c r="R2369" t="str">
        <f t="shared" si="1533"/>
        <v>0,00</v>
      </c>
      <c r="S2369" t="str">
        <f t="shared" si="1533"/>
        <v>0,00</v>
      </c>
      <c r="T2369" t="str">
        <f t="shared" si="1525"/>
        <v xml:space="preserve"> </v>
      </c>
      <c r="U2369" t="str">
        <f t="shared" si="1525"/>
        <v xml:space="preserve"> </v>
      </c>
      <c r="V2369" t="str">
        <f>"11,000"</f>
        <v>11,000</v>
      </c>
      <c r="W2369" t="str">
        <f t="shared" si="1490"/>
        <v>Lista 4</v>
      </c>
      <c r="X2369" t="str">
        <f t="shared" si="1491"/>
        <v>Lista 5</v>
      </c>
      <c r="Y2369" t="str">
        <f t="shared" si="1492"/>
        <v>Oferta Gral.</v>
      </c>
      <c r="Z2369" t="str">
        <f t="shared" si="1493"/>
        <v>Rubro</v>
      </c>
      <c r="AA2369" t="str">
        <f t="shared" si="1494"/>
        <v>Cantidad por Bulto</v>
      </c>
      <c r="AB2369" t="str">
        <f t="shared" si="1495"/>
        <v>INNER</v>
      </c>
      <c r="AC2369" t="str">
        <f t="shared" si="1496"/>
        <v>Stock en Bultos</v>
      </c>
      <c r="AD2369" t="str">
        <f t="shared" si="1497"/>
        <v>SubDepósito</v>
      </c>
      <c r="AE2369" t="str">
        <f t="shared" si="1498"/>
        <v>Marca</v>
      </c>
      <c r="AF2369" t="str">
        <f t="shared" si="1499"/>
        <v>Super Rubro</v>
      </c>
      <c r="AG2369" t="str">
        <f t="shared" si="1500"/>
        <v>ComercioExterior</v>
      </c>
      <c r="AH2369" t="str">
        <f t="shared" si="1501"/>
        <v>PrecioFOB</v>
      </c>
      <c r="AI2369" t="str">
        <f t="shared" si="1502"/>
        <v>Monto II</v>
      </c>
      <c r="AJ2369" t="str">
        <f t="shared" si="1503"/>
        <v>Porcentaje II</v>
      </c>
      <c r="AK2369" t="str">
        <f t="shared" si="1504"/>
        <v>Foto</v>
      </c>
      <c r="AL2369" t="str">
        <f t="shared" si="1529"/>
        <v xml:space="preserve">{\rtf1\ansi\ansicpg1252\deff0{\fonttbl{\f0\fnil\fcharset0 MS Sans Serif}} \viewkind4\uc1\pard\lang11274\f0\fs16\par } </v>
      </c>
      <c r="AM2369" t="str">
        <f t="shared" si="1530"/>
        <v>-</v>
      </c>
    </row>
    <row r="2370" spans="1:39" x14ac:dyDescent="0.25">
      <c r="A2370" t="str">
        <f>"FM010649"</f>
        <v>FM010649</v>
      </c>
      <c r="B2370" t="str">
        <f>"KIT DISTRIBUCION AMAROK 2.0 TDI"</f>
        <v>KIT DISTRIBUCION AMAROK 2.0 TDI</v>
      </c>
      <c r="C2370" t="str">
        <f>"$ 203019,97"</f>
        <v>$ 203019,97</v>
      </c>
      <c r="D2370" t="str">
        <f>"$ 203019,97"</f>
        <v>$ 203019,97</v>
      </c>
      <c r="E2370" t="str">
        <f>"$ 203019,97"</f>
        <v>$ 203019,97</v>
      </c>
      <c r="F2370" t="str">
        <f>"$ 203019,97"</f>
        <v>$ 203019,97</v>
      </c>
      <c r="G2370" t="str">
        <f>"$ 203019,97"</f>
        <v>$ 203019,97</v>
      </c>
      <c r="H2370" t="str">
        <f t="shared" si="1487"/>
        <v>$ 0,00</v>
      </c>
      <c r="I2370" t="str">
        <f>"KIT DE DISTRIBUCION MICHELIN"</f>
        <v>KIT DE DISTRIBUCION MICHELIN</v>
      </c>
      <c r="J2370" t="str">
        <f t="shared" si="1488"/>
        <v>1</v>
      </c>
      <c r="K2370" t="str">
        <f t="shared" si="1515"/>
        <v>0</v>
      </c>
      <c r="L2370" t="str">
        <f>"10,000"</f>
        <v>10,000</v>
      </c>
      <c r="M2370" t="str">
        <f t="shared" si="1489"/>
        <v xml:space="preserve"> </v>
      </c>
      <c r="N2370" t="str">
        <f>"MICHELIN"</f>
        <v>MICHELIN</v>
      </c>
      <c r="O2370" t="str">
        <f t="shared" ref="O2370:O2401" si="1534">"DISTRIBUCION"</f>
        <v>DISTRIBUCION</v>
      </c>
      <c r="P2370" t="str">
        <f t="shared" si="1532"/>
        <v>0</v>
      </c>
      <c r="Q2370" t="str">
        <f t="shared" si="1532"/>
        <v>0</v>
      </c>
      <c r="R2370" t="str">
        <f t="shared" si="1533"/>
        <v>0,00</v>
      </c>
      <c r="S2370" t="str">
        <f t="shared" si="1533"/>
        <v>0,00</v>
      </c>
      <c r="T2370" t="str">
        <f>"-"</f>
        <v>-</v>
      </c>
      <c r="U2370" t="str">
        <f>"-"</f>
        <v>-</v>
      </c>
      <c r="V2370" t="str">
        <f>"10,000"</f>
        <v>10,000</v>
      </c>
      <c r="W2370" t="str">
        <f t="shared" si="1490"/>
        <v>Lista 4</v>
      </c>
      <c r="X2370" t="str">
        <f t="shared" si="1491"/>
        <v>Lista 5</v>
      </c>
      <c r="Y2370" t="str">
        <f t="shared" si="1492"/>
        <v>Oferta Gral.</v>
      </c>
      <c r="Z2370" t="str">
        <f t="shared" si="1493"/>
        <v>Rubro</v>
      </c>
      <c r="AA2370" t="str">
        <f t="shared" si="1494"/>
        <v>Cantidad por Bulto</v>
      </c>
      <c r="AB2370" t="str">
        <f t="shared" si="1495"/>
        <v>INNER</v>
      </c>
      <c r="AC2370" t="str">
        <f t="shared" si="1496"/>
        <v>Stock en Bultos</v>
      </c>
      <c r="AD2370" t="str">
        <f t="shared" si="1497"/>
        <v>SubDepósito</v>
      </c>
      <c r="AE2370" t="str">
        <f t="shared" si="1498"/>
        <v>Marca</v>
      </c>
      <c r="AF2370" t="str">
        <f t="shared" si="1499"/>
        <v>Super Rubro</v>
      </c>
      <c r="AG2370" t="str">
        <f t="shared" si="1500"/>
        <v>ComercioExterior</v>
      </c>
      <c r="AH2370" t="str">
        <f t="shared" si="1501"/>
        <v>PrecioFOB</v>
      </c>
      <c r="AI2370" t="str">
        <f t="shared" si="1502"/>
        <v>Monto II</v>
      </c>
      <c r="AJ2370" t="str">
        <f t="shared" si="1503"/>
        <v>Porcentaje II</v>
      </c>
      <c r="AK2370" t="str">
        <f t="shared" si="1504"/>
        <v>Foto</v>
      </c>
      <c r="AL2370" t="str">
        <f>"{\rtf1\ansi\ansicpg1252\deff0\deflang2058{\fonttbl{\f0\fnil\fcharset0 MS Sans Serif}} \viewkind4\uc1\pard\f0\fs16 KIT DISTRIBUCION AMAROK 2.0 TDI\par } "</f>
        <v xml:space="preserve">{\rtf1\ansi\ansicpg1252\deff0\deflang2058{\fonttbl{\f0\fnil\fcharset0 MS Sans Serif}} \viewkind4\uc1\pard\f0\fs16 KIT DISTRIBUCION AMAROK 2.0 TDI\par } </v>
      </c>
      <c r="AM2370" t="str">
        <f t="shared" ref="AM2370:AM2376" si="1535">" "</f>
        <v xml:space="preserve"> </v>
      </c>
    </row>
    <row r="2371" spans="1:39" x14ac:dyDescent="0.25">
      <c r="A2371" t="str">
        <f>"FM010542"</f>
        <v>FM010542</v>
      </c>
      <c r="B2371" t="str">
        <f>"KIT DISTRIBUCION CHEVROLET ASTRA 2.0 16V 168 X 24"</f>
        <v>KIT DISTRIBUCION CHEVROLET ASTRA 2.0 16V 168 X 24</v>
      </c>
      <c r="C2371" t="str">
        <f>"$ 148735,45"</f>
        <v>$ 148735,45</v>
      </c>
      <c r="D2371" t="str">
        <f>"$ 148735,45"</f>
        <v>$ 148735,45</v>
      </c>
      <c r="E2371" t="str">
        <f>"$ 148735,45"</f>
        <v>$ 148735,45</v>
      </c>
      <c r="F2371" t="str">
        <f>"$ 148735,45"</f>
        <v>$ 148735,45</v>
      </c>
      <c r="G2371" t="str">
        <f>"$ 148735,45"</f>
        <v>$ 148735,45</v>
      </c>
      <c r="H2371" t="str">
        <f t="shared" ref="H2371:H2434" si="1536">"$ 0,00"</f>
        <v>$ 0,00</v>
      </c>
      <c r="I2371" t="str">
        <f>"KIT DE DISTRIBUCION MICHELIN"</f>
        <v>KIT DE DISTRIBUCION MICHELIN</v>
      </c>
      <c r="J2371" t="str">
        <f t="shared" ref="J2371:J2434" si="1537">"1"</f>
        <v>1</v>
      </c>
      <c r="K2371" t="str">
        <f t="shared" si="1515"/>
        <v>0</v>
      </c>
      <c r="L2371" t="str">
        <f>"8,000"</f>
        <v>8,000</v>
      </c>
      <c r="M2371" t="str">
        <f t="shared" ref="M2371:M2434" si="1538">" "</f>
        <v xml:space="preserve"> </v>
      </c>
      <c r="N2371" t="str">
        <f>"MICHELIN"</f>
        <v>MICHELIN</v>
      </c>
      <c r="O2371" t="str">
        <f t="shared" si="1534"/>
        <v>DISTRIBUCION</v>
      </c>
      <c r="P2371" t="str">
        <f t="shared" si="1532"/>
        <v>0</v>
      </c>
      <c r="Q2371" t="str">
        <f t="shared" si="1532"/>
        <v>0</v>
      </c>
      <c r="R2371" t="str">
        <f t="shared" si="1533"/>
        <v>0,00</v>
      </c>
      <c r="S2371" t="str">
        <f t="shared" si="1533"/>
        <v>0,00</v>
      </c>
      <c r="T2371" t="str">
        <f>"-"</f>
        <v>-</v>
      </c>
      <c r="U2371" t="str">
        <f>"-"</f>
        <v>-</v>
      </c>
      <c r="V2371" t="str">
        <f>"8,000"</f>
        <v>8,000</v>
      </c>
      <c r="W2371" t="str">
        <f t="shared" ref="W2371:W2434" si="1539">"Lista 4"</f>
        <v>Lista 4</v>
      </c>
      <c r="X2371" t="str">
        <f t="shared" ref="X2371:X2434" si="1540">"Lista 5"</f>
        <v>Lista 5</v>
      </c>
      <c r="Y2371" t="str">
        <f t="shared" ref="Y2371:Y2434" si="1541">"Oferta Gral."</f>
        <v>Oferta Gral.</v>
      </c>
      <c r="Z2371" t="str">
        <f t="shared" ref="Z2371:Z2434" si="1542">"Rubro"</f>
        <v>Rubro</v>
      </c>
      <c r="AA2371" t="str">
        <f t="shared" ref="AA2371:AA2434" si="1543">"Cantidad por Bulto"</f>
        <v>Cantidad por Bulto</v>
      </c>
      <c r="AB2371" t="str">
        <f t="shared" ref="AB2371:AB2434" si="1544">"INNER"</f>
        <v>INNER</v>
      </c>
      <c r="AC2371" t="str">
        <f t="shared" ref="AC2371:AC2434" si="1545">"Stock en Bultos"</f>
        <v>Stock en Bultos</v>
      </c>
      <c r="AD2371" t="str">
        <f t="shared" ref="AD2371:AD2434" si="1546">"SubDepósito"</f>
        <v>SubDepósito</v>
      </c>
      <c r="AE2371" t="str">
        <f t="shared" ref="AE2371:AE2434" si="1547">"Marca"</f>
        <v>Marca</v>
      </c>
      <c r="AF2371" t="str">
        <f t="shared" ref="AF2371:AF2434" si="1548">"Super Rubro"</f>
        <v>Super Rubro</v>
      </c>
      <c r="AG2371" t="str">
        <f t="shared" ref="AG2371:AG2434" si="1549">"ComercioExterior"</f>
        <v>ComercioExterior</v>
      </c>
      <c r="AH2371" t="str">
        <f t="shared" ref="AH2371:AH2434" si="1550">"PrecioFOB"</f>
        <v>PrecioFOB</v>
      </c>
      <c r="AI2371" t="str">
        <f t="shared" ref="AI2371:AI2434" si="1551">"Monto II"</f>
        <v>Monto II</v>
      </c>
      <c r="AJ2371" t="str">
        <f t="shared" ref="AJ2371:AJ2434" si="1552">"Porcentaje II"</f>
        <v>Porcentaje II</v>
      </c>
      <c r="AK2371" t="str">
        <f t="shared" ref="AK2371:AK2434" si="1553">"Foto"</f>
        <v>Foto</v>
      </c>
      <c r="AL2371" t="str">
        <f>"{\rtf1\ansi\ansicpg1252\deff0\deflang2058{\fonttbl{\f0\fnil\fcharset0 MS Sans Serif}} \viewkind4\uc1\pard\f0\fs16 KIT DISTRIBUCION CHEVROLET ASTRA 2.0 16V 168 X 24\par } "</f>
        <v xml:space="preserve">{\rtf1\ansi\ansicpg1252\deff0\deflang2058{\fonttbl{\f0\fnil\fcharset0 MS Sans Serif}} \viewkind4\uc1\pard\f0\fs16 KIT DISTRIBUCION CHEVROLET ASTRA 2.0 16V 168 X 24\par } </v>
      </c>
      <c r="AM2371" t="str">
        <f t="shared" si="1535"/>
        <v xml:space="preserve"> </v>
      </c>
    </row>
    <row r="2372" spans="1:39" x14ac:dyDescent="0.25">
      <c r="A2372" t="str">
        <f>"LKTBN559"</f>
        <v>LKTBN559</v>
      </c>
      <c r="B2372" t="str">
        <f>"KIT DISTRIBUCION CHEVROLET AVEO 1.6 16V 127D"</f>
        <v>KIT DISTRIBUCION CHEVROLET AVEO 1.6 16V 127D</v>
      </c>
      <c r="C2372" t="str">
        <f>"$ 110804,33"</f>
        <v>$ 110804,33</v>
      </c>
      <c r="D2372" t="str">
        <f>"$ 110804,33"</f>
        <v>$ 110804,33</v>
      </c>
      <c r="E2372" t="str">
        <f>"$ 110804,33"</f>
        <v>$ 110804,33</v>
      </c>
      <c r="F2372" t="str">
        <f>"$ 110804,33"</f>
        <v>$ 110804,33</v>
      </c>
      <c r="G2372" t="str">
        <f>"$ 110804,33"</f>
        <v>$ 110804,33</v>
      </c>
      <c r="H2372" t="str">
        <f t="shared" si="1536"/>
        <v>$ 0,00</v>
      </c>
      <c r="I2372" t="str">
        <f>"KIT DE DISTRIBUCION LUCAS"</f>
        <v>KIT DE DISTRIBUCION LUCAS</v>
      </c>
      <c r="J2372" t="str">
        <f t="shared" si="1537"/>
        <v>1</v>
      </c>
      <c r="K2372" t="str">
        <f t="shared" si="1515"/>
        <v>0</v>
      </c>
      <c r="L2372" t="str">
        <f>"11,000"</f>
        <v>11,000</v>
      </c>
      <c r="M2372" t="str">
        <f t="shared" si="1538"/>
        <v xml:space="preserve"> </v>
      </c>
      <c r="N2372" t="str">
        <f t="shared" ref="N2372:N2378" si="1554">"LUCAS"</f>
        <v>LUCAS</v>
      </c>
      <c r="O2372" t="str">
        <f t="shared" si="1534"/>
        <v>DISTRIBUCION</v>
      </c>
      <c r="P2372" t="str">
        <f t="shared" si="1532"/>
        <v>0</v>
      </c>
      <c r="Q2372" t="str">
        <f t="shared" si="1532"/>
        <v>0</v>
      </c>
      <c r="R2372" t="str">
        <f t="shared" si="1533"/>
        <v>0,00</v>
      </c>
      <c r="S2372" t="str">
        <f t="shared" si="1533"/>
        <v>0,00</v>
      </c>
      <c r="T2372" t="str">
        <f t="shared" ref="T2372:T2378" si="1555">" "</f>
        <v xml:space="preserve"> </v>
      </c>
      <c r="U2372" t="str">
        <f>"-"</f>
        <v>-</v>
      </c>
      <c r="V2372" t="str">
        <f>"11,000"</f>
        <v>11,000</v>
      </c>
      <c r="W2372" t="str">
        <f t="shared" si="1539"/>
        <v>Lista 4</v>
      </c>
      <c r="X2372" t="str">
        <f t="shared" si="1540"/>
        <v>Lista 5</v>
      </c>
      <c r="Y2372" t="str">
        <f t="shared" si="1541"/>
        <v>Oferta Gral.</v>
      </c>
      <c r="Z2372" t="str">
        <f t="shared" si="1542"/>
        <v>Rubro</v>
      </c>
      <c r="AA2372" t="str">
        <f t="shared" si="1543"/>
        <v>Cantidad por Bulto</v>
      </c>
      <c r="AB2372" t="str">
        <f t="shared" si="1544"/>
        <v>INNER</v>
      </c>
      <c r="AC2372" t="str">
        <f t="shared" si="1545"/>
        <v>Stock en Bultos</v>
      </c>
      <c r="AD2372" t="str">
        <f t="shared" si="1546"/>
        <v>SubDepósito</v>
      </c>
      <c r="AE2372" t="str">
        <f t="shared" si="1547"/>
        <v>Marca</v>
      </c>
      <c r="AF2372" t="str">
        <f t="shared" si="1548"/>
        <v>Super Rubro</v>
      </c>
      <c r="AG2372" t="str">
        <f t="shared" si="1549"/>
        <v>ComercioExterior</v>
      </c>
      <c r="AH2372" t="str">
        <f t="shared" si="1550"/>
        <v>PrecioFOB</v>
      </c>
      <c r="AI2372" t="str">
        <f t="shared" si="1551"/>
        <v>Monto II</v>
      </c>
      <c r="AJ2372" t="str">
        <f t="shared" si="1552"/>
        <v>Porcentaje II</v>
      </c>
      <c r="AK2372" t="str">
        <f t="shared" si="1553"/>
        <v>Foto</v>
      </c>
      <c r="AL237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72" t="str">
        <f t="shared" si="1535"/>
        <v xml:space="preserve"> </v>
      </c>
    </row>
    <row r="2373" spans="1:39" x14ac:dyDescent="0.25">
      <c r="A2373" t="str">
        <f>"LKTBN172"</f>
        <v>LKTBN172</v>
      </c>
      <c r="B2373" t="str">
        <f>"KIT DISTRIBUCION CHEVROLET CORSA MOTOR 1,7 DIESEL 136 DIENTES"</f>
        <v>KIT DISTRIBUCION CHEVROLET CORSA MOTOR 1,7 DIESEL 136 DIENTES</v>
      </c>
      <c r="C2373" t="str">
        <f>"$ 124568,82"</f>
        <v>$ 124568,82</v>
      </c>
      <c r="D2373" t="str">
        <f>"$ 124568,82"</f>
        <v>$ 124568,82</v>
      </c>
      <c r="E2373" t="str">
        <f>"$ 124568,82"</f>
        <v>$ 124568,82</v>
      </c>
      <c r="F2373" t="str">
        <f>"$ 124568,82"</f>
        <v>$ 124568,82</v>
      </c>
      <c r="G2373" t="str">
        <f>"$ 124568,82"</f>
        <v>$ 124568,82</v>
      </c>
      <c r="H2373" t="str">
        <f t="shared" si="1536"/>
        <v>$ 0,00</v>
      </c>
      <c r="I2373" t="str">
        <f>"KIT DE DISTRIBUCION LUCAS"</f>
        <v>KIT DE DISTRIBUCION LUCAS</v>
      </c>
      <c r="J2373" t="str">
        <f t="shared" si="1537"/>
        <v>1</v>
      </c>
      <c r="K2373" t="str">
        <f t="shared" si="1515"/>
        <v>0</v>
      </c>
      <c r="L2373" t="str">
        <f>"12,000"</f>
        <v>12,000</v>
      </c>
      <c r="M2373" t="str">
        <f t="shared" si="1538"/>
        <v xml:space="preserve"> </v>
      </c>
      <c r="N2373" t="str">
        <f t="shared" si="1554"/>
        <v>LUCAS</v>
      </c>
      <c r="O2373" t="str">
        <f t="shared" si="1534"/>
        <v>DISTRIBUCION</v>
      </c>
      <c r="P2373" t="str">
        <f t="shared" si="1532"/>
        <v>0</v>
      </c>
      <c r="Q2373" t="str">
        <f t="shared" si="1532"/>
        <v>0</v>
      </c>
      <c r="R2373" t="str">
        <f t="shared" si="1533"/>
        <v>0,00</v>
      </c>
      <c r="S2373" t="str">
        <f t="shared" si="1533"/>
        <v>0,00</v>
      </c>
      <c r="T2373" t="str">
        <f t="shared" si="1555"/>
        <v xml:space="preserve"> </v>
      </c>
      <c r="U2373" t="str">
        <f>"-"</f>
        <v>-</v>
      </c>
      <c r="V2373" t="str">
        <f>"12,000"</f>
        <v>12,000</v>
      </c>
      <c r="W2373" t="str">
        <f t="shared" si="1539"/>
        <v>Lista 4</v>
      </c>
      <c r="X2373" t="str">
        <f t="shared" si="1540"/>
        <v>Lista 5</v>
      </c>
      <c r="Y2373" t="str">
        <f t="shared" si="1541"/>
        <v>Oferta Gral.</v>
      </c>
      <c r="Z2373" t="str">
        <f t="shared" si="1542"/>
        <v>Rubro</v>
      </c>
      <c r="AA2373" t="str">
        <f t="shared" si="1543"/>
        <v>Cantidad por Bulto</v>
      </c>
      <c r="AB2373" t="str">
        <f t="shared" si="1544"/>
        <v>INNER</v>
      </c>
      <c r="AC2373" t="str">
        <f t="shared" si="1545"/>
        <v>Stock en Bultos</v>
      </c>
      <c r="AD2373" t="str">
        <f t="shared" si="1546"/>
        <v>SubDepósito</v>
      </c>
      <c r="AE2373" t="str">
        <f t="shared" si="1547"/>
        <v>Marca</v>
      </c>
      <c r="AF2373" t="str">
        <f t="shared" si="1548"/>
        <v>Super Rubro</v>
      </c>
      <c r="AG2373" t="str">
        <f t="shared" si="1549"/>
        <v>ComercioExterior</v>
      </c>
      <c r="AH2373" t="str">
        <f t="shared" si="1550"/>
        <v>PrecioFOB</v>
      </c>
      <c r="AI2373" t="str">
        <f t="shared" si="1551"/>
        <v>Monto II</v>
      </c>
      <c r="AJ2373" t="str">
        <f t="shared" si="1552"/>
        <v>Porcentaje II</v>
      </c>
      <c r="AK2373" t="str">
        <f t="shared" si="1553"/>
        <v>Foto</v>
      </c>
      <c r="AL2373" t="str">
        <f>"{\rtf1\ansi\ansicpg1252\deff0\deflang11274{\fonttbl{\f0\fnil\fcharset0 MS Sans Serif}} \viewkind4\uc1\pard\f0\fs16 KIT DISTRIBUCION CHEVROLET CORSA MOTOR 1,7 DIESEL 136 DIENTES\par } "</f>
        <v xml:space="preserve">{\rtf1\ansi\ansicpg1252\deff0\deflang11274{\fonttbl{\f0\fnil\fcharset0 MS Sans Serif}} \viewkind4\uc1\pard\f0\fs16 KIT DISTRIBUCION CHEVROLET CORSA MOTOR 1,7 DIESEL 136 DIENTES\par } </v>
      </c>
      <c r="AM2373" t="str">
        <f t="shared" si="1535"/>
        <v xml:space="preserve"> </v>
      </c>
    </row>
    <row r="2374" spans="1:39" x14ac:dyDescent="0.25">
      <c r="A2374" t="str">
        <f>"LKTBN562"</f>
        <v>LKTBN562</v>
      </c>
      <c r="B2374" t="str">
        <f>"KIT DISTRIBUCION CHEVROLET TRACKER CRUZE SONIC MOTOR 1.6 1.8 146D"</f>
        <v>KIT DISTRIBUCION CHEVROLET TRACKER CRUZE SONIC MOTOR 1.6 1.8 146D</v>
      </c>
      <c r="C2374" t="str">
        <f>"$ 161185,03"</f>
        <v>$ 161185,03</v>
      </c>
      <c r="D2374" t="str">
        <f>"$ 161185,03"</f>
        <v>$ 161185,03</v>
      </c>
      <c r="E2374" t="str">
        <f>"$ 161185,03"</f>
        <v>$ 161185,03</v>
      </c>
      <c r="F2374" t="str">
        <f>"$ 161185,03"</f>
        <v>$ 161185,03</v>
      </c>
      <c r="G2374" t="str">
        <f>"$ 161185,03"</f>
        <v>$ 161185,03</v>
      </c>
      <c r="H2374" t="str">
        <f t="shared" si="1536"/>
        <v>$ 0,00</v>
      </c>
      <c r="I2374" t="str">
        <f>"KIT DE DISTRIBUCION LUCAS"</f>
        <v>KIT DE DISTRIBUCION LUCAS</v>
      </c>
      <c r="J2374" t="str">
        <f t="shared" si="1537"/>
        <v>1</v>
      </c>
      <c r="K2374" t="str">
        <f t="shared" si="1515"/>
        <v>0</v>
      </c>
      <c r="L2374" t="str">
        <f>"8,000"</f>
        <v>8,000</v>
      </c>
      <c r="M2374" t="str">
        <f t="shared" si="1538"/>
        <v xml:space="preserve"> </v>
      </c>
      <c r="N2374" t="str">
        <f t="shared" si="1554"/>
        <v>LUCAS</v>
      </c>
      <c r="O2374" t="str">
        <f t="shared" si="1534"/>
        <v>DISTRIBUCION</v>
      </c>
      <c r="P2374" t="str">
        <f t="shared" si="1532"/>
        <v>0</v>
      </c>
      <c r="Q2374" t="str">
        <f t="shared" si="1532"/>
        <v>0</v>
      </c>
      <c r="R2374" t="str">
        <f t="shared" si="1533"/>
        <v>0,00</v>
      </c>
      <c r="S2374" t="str">
        <f t="shared" si="1533"/>
        <v>0,00</v>
      </c>
      <c r="T2374" t="str">
        <f t="shared" si="1555"/>
        <v xml:space="preserve"> </v>
      </c>
      <c r="U2374" t="str">
        <f>"-"</f>
        <v>-</v>
      </c>
      <c r="V2374" t="str">
        <f>"8,000"</f>
        <v>8,000</v>
      </c>
      <c r="W2374" t="str">
        <f t="shared" si="1539"/>
        <v>Lista 4</v>
      </c>
      <c r="X2374" t="str">
        <f t="shared" si="1540"/>
        <v>Lista 5</v>
      </c>
      <c r="Y2374" t="str">
        <f t="shared" si="1541"/>
        <v>Oferta Gral.</v>
      </c>
      <c r="Z2374" t="str">
        <f t="shared" si="1542"/>
        <v>Rubro</v>
      </c>
      <c r="AA2374" t="str">
        <f t="shared" si="1543"/>
        <v>Cantidad por Bulto</v>
      </c>
      <c r="AB2374" t="str">
        <f t="shared" si="1544"/>
        <v>INNER</v>
      </c>
      <c r="AC2374" t="str">
        <f t="shared" si="1545"/>
        <v>Stock en Bultos</v>
      </c>
      <c r="AD2374" t="str">
        <f t="shared" si="1546"/>
        <v>SubDepósito</v>
      </c>
      <c r="AE2374" t="str">
        <f t="shared" si="1547"/>
        <v>Marca</v>
      </c>
      <c r="AF2374" t="str">
        <f t="shared" si="1548"/>
        <v>Super Rubro</v>
      </c>
      <c r="AG2374" t="str">
        <f t="shared" si="1549"/>
        <v>ComercioExterior</v>
      </c>
      <c r="AH2374" t="str">
        <f t="shared" si="1550"/>
        <v>PrecioFOB</v>
      </c>
      <c r="AI2374" t="str">
        <f t="shared" si="1551"/>
        <v>Monto II</v>
      </c>
      <c r="AJ2374" t="str">
        <f t="shared" si="1552"/>
        <v>Porcentaje II</v>
      </c>
      <c r="AK2374" t="str">
        <f t="shared" si="1553"/>
        <v>Foto</v>
      </c>
      <c r="AL237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74" t="str">
        <f t="shared" si="1535"/>
        <v xml:space="preserve"> </v>
      </c>
    </row>
    <row r="2375" spans="1:39" x14ac:dyDescent="0.25">
      <c r="A2375" t="str">
        <f>"LKTBN310"</f>
        <v>LKTBN310</v>
      </c>
      <c r="B2375" t="str">
        <f>"KIT DISTRIBUCION CITROEN C3 PEUGEOT 206 1.4 HDI FORD FIESTA 1.4 TDCI"</f>
        <v>KIT DISTRIBUCION CITROEN C3 PEUGEOT 206 1.4 HDI FORD FIESTA 1.4 TDCI</v>
      </c>
      <c r="C2375" t="str">
        <f>"$ 108521,85"</f>
        <v>$ 108521,85</v>
      </c>
      <c r="D2375" t="str">
        <f>"$ 108521,85"</f>
        <v>$ 108521,85</v>
      </c>
      <c r="E2375" t="str">
        <f>"$ 108521,85"</f>
        <v>$ 108521,85</v>
      </c>
      <c r="F2375" t="str">
        <f>"$ 108521,85"</f>
        <v>$ 108521,85</v>
      </c>
      <c r="G2375" t="str">
        <f>"$ 108521,85"</f>
        <v>$ 108521,85</v>
      </c>
      <c r="H2375" t="str">
        <f t="shared" si="1536"/>
        <v>$ 0,00</v>
      </c>
      <c r="I2375" t="str">
        <f>"KIT DE DISTRIBUCION LUCAS"</f>
        <v>KIT DE DISTRIBUCION LUCAS</v>
      </c>
      <c r="J2375" t="str">
        <f t="shared" si="1537"/>
        <v>1</v>
      </c>
      <c r="K2375" t="str">
        <f t="shared" si="1515"/>
        <v>0</v>
      </c>
      <c r="L2375" t="str">
        <f>"13,000"</f>
        <v>13,000</v>
      </c>
      <c r="M2375" t="str">
        <f t="shared" si="1538"/>
        <v xml:space="preserve"> </v>
      </c>
      <c r="N2375" t="str">
        <f t="shared" si="1554"/>
        <v>LUCAS</v>
      </c>
      <c r="O2375" t="str">
        <f t="shared" si="1534"/>
        <v>DISTRIBUCION</v>
      </c>
      <c r="P2375" t="str">
        <f t="shared" si="1532"/>
        <v>0</v>
      </c>
      <c r="Q2375" t="str">
        <f t="shared" si="1532"/>
        <v>0</v>
      </c>
      <c r="R2375" t="str">
        <f t="shared" si="1533"/>
        <v>0,00</v>
      </c>
      <c r="S2375" t="str">
        <f t="shared" si="1533"/>
        <v>0,00</v>
      </c>
      <c r="T2375" t="str">
        <f t="shared" si="1555"/>
        <v xml:space="preserve"> </v>
      </c>
      <c r="U2375" t="str">
        <f>" "</f>
        <v xml:space="preserve"> </v>
      </c>
      <c r="V2375" t="str">
        <f>"13,000"</f>
        <v>13,000</v>
      </c>
      <c r="W2375" t="str">
        <f t="shared" si="1539"/>
        <v>Lista 4</v>
      </c>
      <c r="X2375" t="str">
        <f t="shared" si="1540"/>
        <v>Lista 5</v>
      </c>
      <c r="Y2375" t="str">
        <f t="shared" si="1541"/>
        <v>Oferta Gral.</v>
      </c>
      <c r="Z2375" t="str">
        <f t="shared" si="1542"/>
        <v>Rubro</v>
      </c>
      <c r="AA2375" t="str">
        <f t="shared" si="1543"/>
        <v>Cantidad por Bulto</v>
      </c>
      <c r="AB2375" t="str">
        <f t="shared" si="1544"/>
        <v>INNER</v>
      </c>
      <c r="AC2375" t="str">
        <f t="shared" si="1545"/>
        <v>Stock en Bultos</v>
      </c>
      <c r="AD2375" t="str">
        <f t="shared" si="1546"/>
        <v>SubDepósito</v>
      </c>
      <c r="AE2375" t="str">
        <f t="shared" si="1547"/>
        <v>Marca</v>
      </c>
      <c r="AF2375" t="str">
        <f t="shared" si="1548"/>
        <v>Super Rubro</v>
      </c>
      <c r="AG2375" t="str">
        <f t="shared" si="1549"/>
        <v>ComercioExterior</v>
      </c>
      <c r="AH2375" t="str">
        <f t="shared" si="1550"/>
        <v>PrecioFOB</v>
      </c>
      <c r="AI2375" t="str">
        <f t="shared" si="1551"/>
        <v>Monto II</v>
      </c>
      <c r="AJ2375" t="str">
        <f t="shared" si="1552"/>
        <v>Porcentaje II</v>
      </c>
      <c r="AK2375" t="str">
        <f t="shared" si="1553"/>
        <v>Foto</v>
      </c>
      <c r="AL2375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75" t="str">
        <f t="shared" si="1535"/>
        <v xml:space="preserve"> </v>
      </c>
    </row>
    <row r="2376" spans="1:39" x14ac:dyDescent="0.25">
      <c r="A2376" t="str">
        <f>"LKTBN344"</f>
        <v>LKTBN344</v>
      </c>
      <c r="B2376" t="str">
        <f>"KIT DISTRIBUCION CITROEN C4 PEUGEOT 307 407 2.0 16V EW10A 153D"</f>
        <v>KIT DISTRIBUCION CITROEN C4 PEUGEOT 307 407 2.0 16V EW10A 153D</v>
      </c>
      <c r="C2376" t="str">
        <f>"$ 121427,05"</f>
        <v>$ 121427,05</v>
      </c>
      <c r="D2376" t="str">
        <f>"$ 121427,05"</f>
        <v>$ 121427,05</v>
      </c>
      <c r="E2376" t="str">
        <f>"$ 121427,05"</f>
        <v>$ 121427,05</v>
      </c>
      <c r="F2376" t="str">
        <f>"$ 121427,05"</f>
        <v>$ 121427,05</v>
      </c>
      <c r="G2376" t="str">
        <f>"$ 121427,05"</f>
        <v>$ 121427,05</v>
      </c>
      <c r="H2376" t="str">
        <f t="shared" si="1536"/>
        <v>$ 0,00</v>
      </c>
      <c r="I2376" t="str">
        <f>"KIT DE DISTRIBUCION LUCAS"</f>
        <v>KIT DE DISTRIBUCION LUCAS</v>
      </c>
      <c r="J2376" t="str">
        <f t="shared" si="1537"/>
        <v>1</v>
      </c>
      <c r="K2376" t="str">
        <f t="shared" si="1515"/>
        <v>0</v>
      </c>
      <c r="L2376" t="str">
        <f>"4,000"</f>
        <v>4,000</v>
      </c>
      <c r="M2376" t="str">
        <f t="shared" si="1538"/>
        <v xml:space="preserve"> </v>
      </c>
      <c r="N2376" t="str">
        <f t="shared" si="1554"/>
        <v>LUCAS</v>
      </c>
      <c r="O2376" t="str">
        <f t="shared" si="1534"/>
        <v>DISTRIBUCION</v>
      </c>
      <c r="P2376" t="str">
        <f t="shared" si="1532"/>
        <v>0</v>
      </c>
      <c r="Q2376" t="str">
        <f t="shared" si="1532"/>
        <v>0</v>
      </c>
      <c r="R2376" t="str">
        <f t="shared" si="1533"/>
        <v>0,00</v>
      </c>
      <c r="S2376" t="str">
        <f t="shared" si="1533"/>
        <v>0,00</v>
      </c>
      <c r="T2376" t="str">
        <f t="shared" si="1555"/>
        <v xml:space="preserve"> </v>
      </c>
      <c r="U2376" t="str">
        <f>"-"</f>
        <v>-</v>
      </c>
      <c r="V2376" t="str">
        <f>"4,000"</f>
        <v>4,000</v>
      </c>
      <c r="W2376" t="str">
        <f t="shared" si="1539"/>
        <v>Lista 4</v>
      </c>
      <c r="X2376" t="str">
        <f t="shared" si="1540"/>
        <v>Lista 5</v>
      </c>
      <c r="Y2376" t="str">
        <f t="shared" si="1541"/>
        <v>Oferta Gral.</v>
      </c>
      <c r="Z2376" t="str">
        <f t="shared" si="1542"/>
        <v>Rubro</v>
      </c>
      <c r="AA2376" t="str">
        <f t="shared" si="1543"/>
        <v>Cantidad por Bulto</v>
      </c>
      <c r="AB2376" t="str">
        <f t="shared" si="1544"/>
        <v>INNER</v>
      </c>
      <c r="AC2376" t="str">
        <f t="shared" si="1545"/>
        <v>Stock en Bultos</v>
      </c>
      <c r="AD2376" t="str">
        <f t="shared" si="1546"/>
        <v>SubDepósito</v>
      </c>
      <c r="AE2376" t="str">
        <f t="shared" si="1547"/>
        <v>Marca</v>
      </c>
      <c r="AF2376" t="str">
        <f t="shared" si="1548"/>
        <v>Super Rubro</v>
      </c>
      <c r="AG2376" t="str">
        <f t="shared" si="1549"/>
        <v>ComercioExterior</v>
      </c>
      <c r="AH2376" t="str">
        <f t="shared" si="1550"/>
        <v>PrecioFOB</v>
      </c>
      <c r="AI2376" t="str">
        <f t="shared" si="1551"/>
        <v>Monto II</v>
      </c>
      <c r="AJ2376" t="str">
        <f t="shared" si="1552"/>
        <v>Porcentaje II</v>
      </c>
      <c r="AK2376" t="str">
        <f t="shared" si="1553"/>
        <v>Foto</v>
      </c>
      <c r="AL237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76" t="str">
        <f t="shared" si="1535"/>
        <v xml:space="preserve"> </v>
      </c>
    </row>
    <row r="2377" spans="1:39" x14ac:dyDescent="0.25">
      <c r="A2377" t="str">
        <f>"LKTWN4662"</f>
        <v>LKTWN4662</v>
      </c>
      <c r="B2377" t="str">
        <f>"KIT DISTRIBUCION CON BOMBA DE AGUA FIAT PALIO SIENA FIRE TENSOR AUTOMATICO"</f>
        <v>KIT DISTRIBUCION CON BOMBA DE AGUA FIAT PALIO SIENA FIRE TENSOR AUTOMATICO</v>
      </c>
      <c r="C2377" t="str">
        <f>"$ 98303,14"</f>
        <v>$ 98303,14</v>
      </c>
      <c r="D2377" t="str">
        <f>"$ 98303,14"</f>
        <v>$ 98303,14</v>
      </c>
      <c r="E2377" t="str">
        <f>"$ 98303,14"</f>
        <v>$ 98303,14</v>
      </c>
      <c r="F2377" t="str">
        <f>"$ 98303,14"</f>
        <v>$ 98303,14</v>
      </c>
      <c r="G2377" t="str">
        <f>"$ 98303,14"</f>
        <v>$ 98303,14</v>
      </c>
      <c r="H2377" t="str">
        <f t="shared" si="1536"/>
        <v>$ 0,00</v>
      </c>
      <c r="I2377" t="str">
        <f>"KIT DISTRIBUCION LUCAS CON BOMBA DE AGUA"</f>
        <v>KIT DISTRIBUCION LUCAS CON BOMBA DE AGUA</v>
      </c>
      <c r="J2377" t="str">
        <f t="shared" si="1537"/>
        <v>1</v>
      </c>
      <c r="K2377" t="str">
        <f t="shared" si="1515"/>
        <v>0</v>
      </c>
      <c r="L2377" t="str">
        <f>"3,000"</f>
        <v>3,000</v>
      </c>
      <c r="M2377" t="str">
        <f t="shared" si="1538"/>
        <v xml:space="preserve"> </v>
      </c>
      <c r="N2377" t="str">
        <f t="shared" si="1554"/>
        <v>LUCAS</v>
      </c>
      <c r="O2377" t="str">
        <f t="shared" si="1534"/>
        <v>DISTRIBUCION</v>
      </c>
      <c r="P2377" t="str">
        <f t="shared" si="1532"/>
        <v>0</v>
      </c>
      <c r="Q2377" t="str">
        <f t="shared" si="1532"/>
        <v>0</v>
      </c>
      <c r="R2377" t="str">
        <f t="shared" si="1533"/>
        <v>0,00</v>
      </c>
      <c r="S2377" t="str">
        <f t="shared" si="1533"/>
        <v>0,00</v>
      </c>
      <c r="T2377" t="str">
        <f t="shared" si="1555"/>
        <v xml:space="preserve"> </v>
      </c>
      <c r="U2377" t="str">
        <f>" "</f>
        <v xml:space="preserve"> </v>
      </c>
      <c r="V2377" t="str">
        <f>"3,000"</f>
        <v>3,000</v>
      </c>
      <c r="W2377" t="str">
        <f t="shared" si="1539"/>
        <v>Lista 4</v>
      </c>
      <c r="X2377" t="str">
        <f t="shared" si="1540"/>
        <v>Lista 5</v>
      </c>
      <c r="Y2377" t="str">
        <f t="shared" si="1541"/>
        <v>Oferta Gral.</v>
      </c>
      <c r="Z2377" t="str">
        <f t="shared" si="1542"/>
        <v>Rubro</v>
      </c>
      <c r="AA2377" t="str">
        <f t="shared" si="1543"/>
        <v>Cantidad por Bulto</v>
      </c>
      <c r="AB2377" t="str">
        <f t="shared" si="1544"/>
        <v>INNER</v>
      </c>
      <c r="AC2377" t="str">
        <f t="shared" si="1545"/>
        <v>Stock en Bultos</v>
      </c>
      <c r="AD2377" t="str">
        <f t="shared" si="1546"/>
        <v>SubDepósito</v>
      </c>
      <c r="AE2377" t="str">
        <f t="shared" si="1547"/>
        <v>Marca</v>
      </c>
      <c r="AF2377" t="str">
        <f t="shared" si="1548"/>
        <v>Super Rubro</v>
      </c>
      <c r="AG2377" t="str">
        <f t="shared" si="1549"/>
        <v>ComercioExterior</v>
      </c>
      <c r="AH2377" t="str">
        <f t="shared" si="1550"/>
        <v>PrecioFOB</v>
      </c>
      <c r="AI2377" t="str">
        <f t="shared" si="1551"/>
        <v>Monto II</v>
      </c>
      <c r="AJ2377" t="str">
        <f t="shared" si="1552"/>
        <v>Porcentaje II</v>
      </c>
      <c r="AK2377" t="str">
        <f t="shared" si="1553"/>
        <v>Foto</v>
      </c>
      <c r="AL2377" t="str">
        <f>"{\rtf1\ansi\ansicpg1252\deff0\deflang11274{\fonttbl{\f0\fnil\fcharset0 MS Sans Serif}} \viewkind4\uc1\pard\f0\fs16 KIT DISTRIBUCION CON BOMBA DE AGUA FIAT PALIO SIENA FIRE TENSOR AUTOMATICO\par } "</f>
        <v xml:space="preserve">{\rtf1\ansi\ansicpg1252\deff0\deflang11274{\fonttbl{\f0\fnil\fcharset0 MS Sans Serif}} \viewkind4\uc1\pard\f0\fs16 KIT DISTRIBUCION CON BOMBA DE AGUA FIAT PALIO SIENA FIRE TENSOR AUTOMATICO\par } </v>
      </c>
      <c r="AM2377" t="str">
        <f>"-"</f>
        <v>-</v>
      </c>
    </row>
    <row r="2378" spans="1:39" x14ac:dyDescent="0.25">
      <c r="A2378" t="str">
        <f>"LKTWN3361"</f>
        <v>LKTWN3361</v>
      </c>
      <c r="B2378" t="str">
        <f>"KIT DISTRIBUCION CON BOMBA DE AGUA P 206 PARTNER CITROEN C3 FIAT QUBO TU3JP"</f>
        <v>KIT DISTRIBUCION CON BOMBA DE AGUA P 206 PARTNER CITROEN C3 FIAT QUBO TU3JP</v>
      </c>
      <c r="C2378" t="str">
        <f>"$ 80441,16"</f>
        <v>$ 80441,16</v>
      </c>
      <c r="D2378" t="str">
        <f>"$ 80441,16"</f>
        <v>$ 80441,16</v>
      </c>
      <c r="E2378" t="str">
        <f>"$ 80441,16"</f>
        <v>$ 80441,16</v>
      </c>
      <c r="F2378" t="str">
        <f>"$ 80441,16"</f>
        <v>$ 80441,16</v>
      </c>
      <c r="G2378" t="str">
        <f>"$ 80441,16"</f>
        <v>$ 80441,16</v>
      </c>
      <c r="H2378" t="str">
        <f t="shared" si="1536"/>
        <v>$ 0,00</v>
      </c>
      <c r="I2378" t="str">
        <f>"KIT DISTRIBUCION LUCAS CON BOMBA DE AGUA"</f>
        <v>KIT DISTRIBUCION LUCAS CON BOMBA DE AGUA</v>
      </c>
      <c r="J2378" t="str">
        <f t="shared" si="1537"/>
        <v>1</v>
      </c>
      <c r="K2378" t="str">
        <f t="shared" si="1515"/>
        <v>0</v>
      </c>
      <c r="L2378" t="str">
        <f>"0,000"</f>
        <v>0,000</v>
      </c>
      <c r="M2378" t="str">
        <f t="shared" si="1538"/>
        <v xml:space="preserve"> </v>
      </c>
      <c r="N2378" t="str">
        <f t="shared" si="1554"/>
        <v>LUCAS</v>
      </c>
      <c r="O2378" t="str">
        <f t="shared" si="1534"/>
        <v>DISTRIBUCION</v>
      </c>
      <c r="P2378" t="str">
        <f t="shared" si="1532"/>
        <v>0</v>
      </c>
      <c r="Q2378" t="str">
        <f t="shared" si="1532"/>
        <v>0</v>
      </c>
      <c r="R2378" t="str">
        <f t="shared" si="1533"/>
        <v>0,00</v>
      </c>
      <c r="S2378" t="str">
        <f t="shared" si="1533"/>
        <v>0,00</v>
      </c>
      <c r="T2378" t="str">
        <f t="shared" si="1555"/>
        <v xml:space="preserve"> </v>
      </c>
      <c r="U2378" t="str">
        <f>" "</f>
        <v xml:space="preserve"> </v>
      </c>
      <c r="V2378" t="str">
        <f>"0,000"</f>
        <v>0,000</v>
      </c>
      <c r="W2378" t="str">
        <f t="shared" si="1539"/>
        <v>Lista 4</v>
      </c>
      <c r="X2378" t="str">
        <f t="shared" si="1540"/>
        <v>Lista 5</v>
      </c>
      <c r="Y2378" t="str">
        <f t="shared" si="1541"/>
        <v>Oferta Gral.</v>
      </c>
      <c r="Z2378" t="str">
        <f t="shared" si="1542"/>
        <v>Rubro</v>
      </c>
      <c r="AA2378" t="str">
        <f t="shared" si="1543"/>
        <v>Cantidad por Bulto</v>
      </c>
      <c r="AB2378" t="str">
        <f t="shared" si="1544"/>
        <v>INNER</v>
      </c>
      <c r="AC2378" t="str">
        <f t="shared" si="1545"/>
        <v>Stock en Bultos</v>
      </c>
      <c r="AD2378" t="str">
        <f t="shared" si="1546"/>
        <v>SubDepósito</v>
      </c>
      <c r="AE2378" t="str">
        <f t="shared" si="1547"/>
        <v>Marca</v>
      </c>
      <c r="AF2378" t="str">
        <f t="shared" si="1548"/>
        <v>Super Rubro</v>
      </c>
      <c r="AG2378" t="str">
        <f t="shared" si="1549"/>
        <v>ComercioExterior</v>
      </c>
      <c r="AH2378" t="str">
        <f t="shared" si="1550"/>
        <v>PrecioFOB</v>
      </c>
      <c r="AI2378" t="str">
        <f t="shared" si="1551"/>
        <v>Monto II</v>
      </c>
      <c r="AJ2378" t="str">
        <f t="shared" si="1552"/>
        <v>Porcentaje II</v>
      </c>
      <c r="AK2378" t="str">
        <f t="shared" si="1553"/>
        <v>Foto</v>
      </c>
      <c r="AL2378" t="str">
        <f>"{\rtf1\ansi\ansicpg1252\deff0\deflang11274{\fonttbl{\f0\fnil\fcharset0 MS Sans Serif}} \viewkind4\uc1\pard\f0\fs16 KIT DISTRIBUCION CON BOMBA DE AGUA P 206 PARTNER CITROEN C3 FIAT QUBO TU3JP\par } "</f>
        <v xml:space="preserve">{\rtf1\ansi\ansicpg1252\deff0\deflang11274{\fonttbl{\f0\fnil\fcharset0 MS Sans Serif}} \viewkind4\uc1\pard\f0\fs16 KIT DISTRIBUCION CON BOMBA DE AGUA P 206 PARTNER CITROEN C3 FIAT QUBO TU3JP\par } </v>
      </c>
      <c r="AM2378" t="str">
        <f>"-"</f>
        <v>-</v>
      </c>
    </row>
    <row r="2379" spans="1:39" x14ac:dyDescent="0.25">
      <c r="A2379" t="str">
        <f>"FM020310"</f>
        <v>FM020310</v>
      </c>
      <c r="B2379" t="str">
        <f>"KIT DISTRIBUCION CORSA 1.4 1.8 111 X 17 FIAT PALIO 1.8"</f>
        <v>KIT DISTRIBUCION CORSA 1.4 1.8 111 X 17 FIAT PALIO 1.8</v>
      </c>
      <c r="C2379" t="str">
        <f>"$ 53680,43"</f>
        <v>$ 53680,43</v>
      </c>
      <c r="D2379" t="str">
        <f>"$ 53680,43"</f>
        <v>$ 53680,43</v>
      </c>
      <c r="E2379" t="str">
        <f>"$ 53680,43"</f>
        <v>$ 53680,43</v>
      </c>
      <c r="F2379" t="str">
        <f>"$ 53680,43"</f>
        <v>$ 53680,43</v>
      </c>
      <c r="G2379" t="str">
        <f>"$ 53680,43"</f>
        <v>$ 53680,43</v>
      </c>
      <c r="H2379" t="str">
        <f t="shared" si="1536"/>
        <v>$ 0,00</v>
      </c>
      <c r="I2379" t="str">
        <f>"KIT DE DISTRIBUCION MICHELIN"</f>
        <v>KIT DE DISTRIBUCION MICHELIN</v>
      </c>
      <c r="J2379" t="str">
        <f t="shared" si="1537"/>
        <v>1</v>
      </c>
      <c r="K2379" t="str">
        <f t="shared" si="1515"/>
        <v>0</v>
      </c>
      <c r="L2379" t="str">
        <f>"33,000"</f>
        <v>33,000</v>
      </c>
      <c r="M2379" t="str">
        <f t="shared" si="1538"/>
        <v xml:space="preserve"> </v>
      </c>
      <c r="N2379" t="str">
        <f>"MICHELIN"</f>
        <v>MICHELIN</v>
      </c>
      <c r="O2379" t="str">
        <f t="shared" si="1534"/>
        <v>DISTRIBUCION</v>
      </c>
      <c r="P2379" t="str">
        <f t="shared" si="1532"/>
        <v>0</v>
      </c>
      <c r="Q2379" t="str">
        <f t="shared" si="1532"/>
        <v>0</v>
      </c>
      <c r="R2379" t="str">
        <f t="shared" si="1533"/>
        <v>0,00</v>
      </c>
      <c r="S2379" t="str">
        <f t="shared" si="1533"/>
        <v>0,00</v>
      </c>
      <c r="T2379" t="str">
        <f t="shared" ref="T2379:U2382" si="1556">"-"</f>
        <v>-</v>
      </c>
      <c r="U2379" t="str">
        <f t="shared" si="1556"/>
        <v>-</v>
      </c>
      <c r="V2379" t="str">
        <f>"33,000"</f>
        <v>33,000</v>
      </c>
      <c r="W2379" t="str">
        <f t="shared" si="1539"/>
        <v>Lista 4</v>
      </c>
      <c r="X2379" t="str">
        <f t="shared" si="1540"/>
        <v>Lista 5</v>
      </c>
      <c r="Y2379" t="str">
        <f t="shared" si="1541"/>
        <v>Oferta Gral.</v>
      </c>
      <c r="Z2379" t="str">
        <f t="shared" si="1542"/>
        <v>Rubro</v>
      </c>
      <c r="AA2379" t="str">
        <f t="shared" si="1543"/>
        <v>Cantidad por Bulto</v>
      </c>
      <c r="AB2379" t="str">
        <f t="shared" si="1544"/>
        <v>INNER</v>
      </c>
      <c r="AC2379" t="str">
        <f t="shared" si="1545"/>
        <v>Stock en Bultos</v>
      </c>
      <c r="AD2379" t="str">
        <f t="shared" si="1546"/>
        <v>SubDepósito</v>
      </c>
      <c r="AE2379" t="str">
        <f t="shared" si="1547"/>
        <v>Marca</v>
      </c>
      <c r="AF2379" t="str">
        <f t="shared" si="1548"/>
        <v>Super Rubro</v>
      </c>
      <c r="AG2379" t="str">
        <f t="shared" si="1549"/>
        <v>ComercioExterior</v>
      </c>
      <c r="AH2379" t="str">
        <f t="shared" si="1550"/>
        <v>PrecioFOB</v>
      </c>
      <c r="AI2379" t="str">
        <f t="shared" si="1551"/>
        <v>Monto II</v>
      </c>
      <c r="AJ2379" t="str">
        <f t="shared" si="1552"/>
        <v>Porcentaje II</v>
      </c>
      <c r="AK2379" t="str">
        <f t="shared" si="1553"/>
        <v>Foto</v>
      </c>
      <c r="AL2379" t="str">
        <f>"{\rtf1\ansi\ansicpg1252\deff0\deflang2058{\fonttbl{\f0\fnil\fcharset0 MS Sans Serif}} \viewkind4\uc1\pard\f0\fs16 KIT DISTRIBUCION CORSA 1.4 1.8 111 X 17 FIAT PALIO 1.8\par } "</f>
        <v xml:space="preserve">{\rtf1\ansi\ansicpg1252\deff0\deflang2058{\fonttbl{\f0\fnil\fcharset0 MS Sans Serif}} \viewkind4\uc1\pard\f0\fs16 KIT DISTRIBUCION CORSA 1.4 1.8 111 X 17 FIAT PALIO 1.8\par } </v>
      </c>
      <c r="AM2379" t="str">
        <f t="shared" ref="AM2379:AM2388" si="1557">" "</f>
        <v xml:space="preserve"> </v>
      </c>
    </row>
    <row r="2380" spans="1:39" x14ac:dyDescent="0.25">
      <c r="A2380" t="str">
        <f>"FM020193"</f>
        <v>FM020193</v>
      </c>
      <c r="B2380" t="str">
        <f>"KIT DISTRIBUCION CORSA 1.7 DIESEL 136 X 25"</f>
        <v>KIT DISTRIBUCION CORSA 1.7 DIESEL 136 X 25</v>
      </c>
      <c r="C2380" t="str">
        <f>"$ 125146,80"</f>
        <v>$ 125146,80</v>
      </c>
      <c r="D2380" t="str">
        <f>"$ 125146,80"</f>
        <v>$ 125146,80</v>
      </c>
      <c r="E2380" t="str">
        <f>"$ 125146,80"</f>
        <v>$ 125146,80</v>
      </c>
      <c r="F2380" t="str">
        <f>"$ 125146,80"</f>
        <v>$ 125146,80</v>
      </c>
      <c r="G2380" t="str">
        <f>"$ 125146,80"</f>
        <v>$ 125146,80</v>
      </c>
      <c r="H2380" t="str">
        <f t="shared" si="1536"/>
        <v>$ 0,00</v>
      </c>
      <c r="I2380" t="str">
        <f>"KIT DE DISTRIBUCION MICHELIN"</f>
        <v>KIT DE DISTRIBUCION MICHELIN</v>
      </c>
      <c r="J2380" t="str">
        <f t="shared" si="1537"/>
        <v>1</v>
      </c>
      <c r="K2380" t="str">
        <f t="shared" si="1515"/>
        <v>0</v>
      </c>
      <c r="L2380" t="str">
        <f>"8,000"</f>
        <v>8,000</v>
      </c>
      <c r="M2380" t="str">
        <f t="shared" si="1538"/>
        <v xml:space="preserve"> </v>
      </c>
      <c r="N2380" t="str">
        <f>"MICHELIN"</f>
        <v>MICHELIN</v>
      </c>
      <c r="O2380" t="str">
        <f t="shared" si="1534"/>
        <v>DISTRIBUCION</v>
      </c>
      <c r="P2380" t="str">
        <f t="shared" si="1532"/>
        <v>0</v>
      </c>
      <c r="Q2380" t="str">
        <f t="shared" si="1532"/>
        <v>0</v>
      </c>
      <c r="R2380" t="str">
        <f t="shared" si="1533"/>
        <v>0,00</v>
      </c>
      <c r="S2380" t="str">
        <f t="shared" si="1533"/>
        <v>0,00</v>
      </c>
      <c r="T2380" t="str">
        <f t="shared" si="1556"/>
        <v>-</v>
      </c>
      <c r="U2380" t="str">
        <f t="shared" si="1556"/>
        <v>-</v>
      </c>
      <c r="V2380" t="str">
        <f>"8,000"</f>
        <v>8,000</v>
      </c>
      <c r="W2380" t="str">
        <f t="shared" si="1539"/>
        <v>Lista 4</v>
      </c>
      <c r="X2380" t="str">
        <f t="shared" si="1540"/>
        <v>Lista 5</v>
      </c>
      <c r="Y2380" t="str">
        <f t="shared" si="1541"/>
        <v>Oferta Gral.</v>
      </c>
      <c r="Z2380" t="str">
        <f t="shared" si="1542"/>
        <v>Rubro</v>
      </c>
      <c r="AA2380" t="str">
        <f t="shared" si="1543"/>
        <v>Cantidad por Bulto</v>
      </c>
      <c r="AB2380" t="str">
        <f t="shared" si="1544"/>
        <v>INNER</v>
      </c>
      <c r="AC2380" t="str">
        <f t="shared" si="1545"/>
        <v>Stock en Bultos</v>
      </c>
      <c r="AD2380" t="str">
        <f t="shared" si="1546"/>
        <v>SubDepósito</v>
      </c>
      <c r="AE2380" t="str">
        <f t="shared" si="1547"/>
        <v>Marca</v>
      </c>
      <c r="AF2380" t="str">
        <f t="shared" si="1548"/>
        <v>Super Rubro</v>
      </c>
      <c r="AG2380" t="str">
        <f t="shared" si="1549"/>
        <v>ComercioExterior</v>
      </c>
      <c r="AH2380" t="str">
        <f t="shared" si="1550"/>
        <v>PrecioFOB</v>
      </c>
      <c r="AI2380" t="str">
        <f t="shared" si="1551"/>
        <v>Monto II</v>
      </c>
      <c r="AJ2380" t="str">
        <f t="shared" si="1552"/>
        <v>Porcentaje II</v>
      </c>
      <c r="AK2380" t="str">
        <f t="shared" si="1553"/>
        <v>Foto</v>
      </c>
      <c r="AL2380" t="str">
        <f>"{\rtf1\ansi\ansicpg1252\deff0\deflang2058{\fonttbl{\f0\fnil\fcharset0 MS Sans Serif}} \viewkind4\uc1\pard\f0\fs16 KIT DISTRIBUCION CORSA 1.7 DIESEL 136 X 25\par } "</f>
        <v xml:space="preserve">{\rtf1\ansi\ansicpg1252\deff0\deflang2058{\fonttbl{\f0\fnil\fcharset0 MS Sans Serif}} \viewkind4\uc1\pard\f0\fs16 KIT DISTRIBUCION CORSA 1.7 DIESEL 136 X 25\par } </v>
      </c>
      <c r="AM2380" t="str">
        <f t="shared" si="1557"/>
        <v xml:space="preserve"> </v>
      </c>
    </row>
    <row r="2381" spans="1:39" x14ac:dyDescent="0.25">
      <c r="A2381" t="str">
        <f>"FM010603"</f>
        <v>FM010603</v>
      </c>
      <c r="B2381" t="str">
        <f>"KIT DISTRIBUCION CRUZE TRACKER 1.8 146 X 24"</f>
        <v>KIT DISTRIBUCION CRUZE TRACKER 1.8 146 X 24</v>
      </c>
      <c r="C2381" t="str">
        <f>"$ 161934,43"</f>
        <v>$ 161934,43</v>
      </c>
      <c r="D2381" t="str">
        <f>"$ 161934,43"</f>
        <v>$ 161934,43</v>
      </c>
      <c r="E2381" t="str">
        <f>"$ 161934,43"</f>
        <v>$ 161934,43</v>
      </c>
      <c r="F2381" t="str">
        <f>"$ 161934,43"</f>
        <v>$ 161934,43</v>
      </c>
      <c r="G2381" t="str">
        <f>"$ 161934,43"</f>
        <v>$ 161934,43</v>
      </c>
      <c r="H2381" t="str">
        <f t="shared" si="1536"/>
        <v>$ 0,00</v>
      </c>
      <c r="I2381" t="str">
        <f>"KIT DE DISTRIBUCION MICHELIN"</f>
        <v>KIT DE DISTRIBUCION MICHELIN</v>
      </c>
      <c r="J2381" t="str">
        <f t="shared" si="1537"/>
        <v>1</v>
      </c>
      <c r="K2381" t="str">
        <f t="shared" si="1515"/>
        <v>0</v>
      </c>
      <c r="L2381" t="str">
        <f>"8,000"</f>
        <v>8,000</v>
      </c>
      <c r="M2381" t="str">
        <f t="shared" si="1538"/>
        <v xml:space="preserve"> </v>
      </c>
      <c r="N2381" t="str">
        <f>"MICHELIN"</f>
        <v>MICHELIN</v>
      </c>
      <c r="O2381" t="str">
        <f t="shared" si="1534"/>
        <v>DISTRIBUCION</v>
      </c>
      <c r="P2381" t="str">
        <f t="shared" si="1532"/>
        <v>0</v>
      </c>
      <c r="Q2381" t="str">
        <f t="shared" si="1532"/>
        <v>0</v>
      </c>
      <c r="R2381" t="str">
        <f t="shared" si="1533"/>
        <v>0,00</v>
      </c>
      <c r="S2381" t="str">
        <f t="shared" si="1533"/>
        <v>0,00</v>
      </c>
      <c r="T2381" t="str">
        <f t="shared" si="1556"/>
        <v>-</v>
      </c>
      <c r="U2381" t="str">
        <f t="shared" si="1556"/>
        <v>-</v>
      </c>
      <c r="V2381" t="str">
        <f>"8,000"</f>
        <v>8,000</v>
      </c>
      <c r="W2381" t="str">
        <f t="shared" si="1539"/>
        <v>Lista 4</v>
      </c>
      <c r="X2381" t="str">
        <f t="shared" si="1540"/>
        <v>Lista 5</v>
      </c>
      <c r="Y2381" t="str">
        <f t="shared" si="1541"/>
        <v>Oferta Gral.</v>
      </c>
      <c r="Z2381" t="str">
        <f t="shared" si="1542"/>
        <v>Rubro</v>
      </c>
      <c r="AA2381" t="str">
        <f t="shared" si="1543"/>
        <v>Cantidad por Bulto</v>
      </c>
      <c r="AB2381" t="str">
        <f t="shared" si="1544"/>
        <v>INNER</v>
      </c>
      <c r="AC2381" t="str">
        <f t="shared" si="1545"/>
        <v>Stock en Bultos</v>
      </c>
      <c r="AD2381" t="str">
        <f t="shared" si="1546"/>
        <v>SubDepósito</v>
      </c>
      <c r="AE2381" t="str">
        <f t="shared" si="1547"/>
        <v>Marca</v>
      </c>
      <c r="AF2381" t="str">
        <f t="shared" si="1548"/>
        <v>Super Rubro</v>
      </c>
      <c r="AG2381" t="str">
        <f t="shared" si="1549"/>
        <v>ComercioExterior</v>
      </c>
      <c r="AH2381" t="str">
        <f t="shared" si="1550"/>
        <v>PrecioFOB</v>
      </c>
      <c r="AI2381" t="str">
        <f t="shared" si="1551"/>
        <v>Monto II</v>
      </c>
      <c r="AJ2381" t="str">
        <f t="shared" si="1552"/>
        <v>Porcentaje II</v>
      </c>
      <c r="AK2381" t="str">
        <f t="shared" si="1553"/>
        <v>Foto</v>
      </c>
      <c r="AL2381" t="str">
        <f>"{\rtf1\ansi\ansicpg1252\deff0\deflang2058{\fonttbl{\f0\fnil\fcharset0 MS Sans Serif}} \viewkind4\uc1\pard\f0\fs16 KIT DISTRIBUCION CRUZE TRACKER 1.8 146 X 24\par } "</f>
        <v xml:space="preserve">{\rtf1\ansi\ansicpg1252\deff0\deflang2058{\fonttbl{\f0\fnil\fcharset0 MS Sans Serif}} \viewkind4\uc1\pard\f0\fs16 KIT DISTRIBUCION CRUZE TRACKER 1.8 146 X 24\par } </v>
      </c>
      <c r="AM2381" t="str">
        <f t="shared" si="1557"/>
        <v xml:space="preserve"> </v>
      </c>
    </row>
    <row r="2382" spans="1:39" x14ac:dyDescent="0.25">
      <c r="A2382" t="str">
        <f>"FM010592"</f>
        <v>FM010592</v>
      </c>
      <c r="B2382" t="str">
        <f>"KIT DISTRIBUCION DUCATO BOXER 2.3 JTD 178 X 30"</f>
        <v>KIT DISTRIBUCION DUCATO BOXER 2.3 JTD 178 X 30</v>
      </c>
      <c r="C2382" t="str">
        <f>"$ 161227,50"</f>
        <v>$ 161227,50</v>
      </c>
      <c r="D2382" t="str">
        <f>"$ 161227,50"</f>
        <v>$ 161227,50</v>
      </c>
      <c r="E2382" t="str">
        <f>"$ 161227,50"</f>
        <v>$ 161227,50</v>
      </c>
      <c r="F2382" t="str">
        <f>"$ 161227,50"</f>
        <v>$ 161227,50</v>
      </c>
      <c r="G2382" t="str">
        <f>"$ 161227,50"</f>
        <v>$ 161227,50</v>
      </c>
      <c r="H2382" t="str">
        <f t="shared" si="1536"/>
        <v>$ 0,00</v>
      </c>
      <c r="I2382" t="str">
        <f>"KIT DE DISTRIBUCION MICHELIN"</f>
        <v>KIT DE DISTRIBUCION MICHELIN</v>
      </c>
      <c r="J2382" t="str">
        <f t="shared" si="1537"/>
        <v>1</v>
      </c>
      <c r="K2382" t="str">
        <f t="shared" si="1515"/>
        <v>0</v>
      </c>
      <c r="L2382" t="str">
        <f>"6,000"</f>
        <v>6,000</v>
      </c>
      <c r="M2382" t="str">
        <f t="shared" si="1538"/>
        <v xml:space="preserve"> </v>
      </c>
      <c r="N2382" t="str">
        <f>"MICHELIN"</f>
        <v>MICHELIN</v>
      </c>
      <c r="O2382" t="str">
        <f t="shared" si="1534"/>
        <v>DISTRIBUCION</v>
      </c>
      <c r="P2382" t="str">
        <f t="shared" si="1532"/>
        <v>0</v>
      </c>
      <c r="Q2382" t="str">
        <f t="shared" si="1532"/>
        <v>0</v>
      </c>
      <c r="R2382" t="str">
        <f t="shared" si="1533"/>
        <v>0,00</v>
      </c>
      <c r="S2382" t="str">
        <f t="shared" si="1533"/>
        <v>0,00</v>
      </c>
      <c r="T2382" t="str">
        <f t="shared" si="1556"/>
        <v>-</v>
      </c>
      <c r="U2382" t="str">
        <f t="shared" si="1556"/>
        <v>-</v>
      </c>
      <c r="V2382" t="str">
        <f>"6,000"</f>
        <v>6,000</v>
      </c>
      <c r="W2382" t="str">
        <f t="shared" si="1539"/>
        <v>Lista 4</v>
      </c>
      <c r="X2382" t="str">
        <f t="shared" si="1540"/>
        <v>Lista 5</v>
      </c>
      <c r="Y2382" t="str">
        <f t="shared" si="1541"/>
        <v>Oferta Gral.</v>
      </c>
      <c r="Z2382" t="str">
        <f t="shared" si="1542"/>
        <v>Rubro</v>
      </c>
      <c r="AA2382" t="str">
        <f t="shared" si="1543"/>
        <v>Cantidad por Bulto</v>
      </c>
      <c r="AB2382" t="str">
        <f t="shared" si="1544"/>
        <v>INNER</v>
      </c>
      <c r="AC2382" t="str">
        <f t="shared" si="1545"/>
        <v>Stock en Bultos</v>
      </c>
      <c r="AD2382" t="str">
        <f t="shared" si="1546"/>
        <v>SubDepósito</v>
      </c>
      <c r="AE2382" t="str">
        <f t="shared" si="1547"/>
        <v>Marca</v>
      </c>
      <c r="AF2382" t="str">
        <f t="shared" si="1548"/>
        <v>Super Rubro</v>
      </c>
      <c r="AG2382" t="str">
        <f t="shared" si="1549"/>
        <v>ComercioExterior</v>
      </c>
      <c r="AH2382" t="str">
        <f t="shared" si="1550"/>
        <v>PrecioFOB</v>
      </c>
      <c r="AI2382" t="str">
        <f t="shared" si="1551"/>
        <v>Monto II</v>
      </c>
      <c r="AJ2382" t="str">
        <f t="shared" si="1552"/>
        <v>Porcentaje II</v>
      </c>
      <c r="AK2382" t="str">
        <f t="shared" si="1553"/>
        <v>Foto</v>
      </c>
      <c r="AL2382" t="str">
        <f>"{\rtf1\ansi\ansicpg1252\deff0\deflang2058{\fonttbl{\f0\fnil\fcharset0 MS Sans Serif}} \viewkind4\uc1\pard\f0\fs16 KIT DISTRIBUCION DUCATO BOXER 2.3 JTD 178 X 30\par } "</f>
        <v xml:space="preserve">{\rtf1\ansi\ansicpg1252\deff0\deflang2058{\fonttbl{\f0\fnil\fcharset0 MS Sans Serif}} \viewkind4\uc1\pard\f0\fs16 KIT DISTRIBUCION DUCATO BOXER 2.3 JTD 178 X 30\par } </v>
      </c>
      <c r="AM2382" t="str">
        <f t="shared" si="1557"/>
        <v xml:space="preserve"> </v>
      </c>
    </row>
    <row r="2383" spans="1:39" x14ac:dyDescent="0.25">
      <c r="A2383" t="str">
        <f>"LKTBN145"</f>
        <v>LKTBN145</v>
      </c>
      <c r="B2383" t="str">
        <f>"KIT DISTRIBUCION FIAT 147 DUNA FIORINO 1.3 DIESEL"</f>
        <v>KIT DISTRIBUCION FIAT 147 DUNA FIORINO 1.3 DIESEL</v>
      </c>
      <c r="C2383" t="str">
        <f>"$ 99040,38"</f>
        <v>$ 99040,38</v>
      </c>
      <c r="D2383" t="str">
        <f>"$ 99040,38"</f>
        <v>$ 99040,38</v>
      </c>
      <c r="E2383" t="str">
        <f>"$ 99040,38"</f>
        <v>$ 99040,38</v>
      </c>
      <c r="F2383" t="str">
        <f>"$ 99040,38"</f>
        <v>$ 99040,38</v>
      </c>
      <c r="G2383" t="str">
        <f>"$ 99040,38"</f>
        <v>$ 99040,38</v>
      </c>
      <c r="H2383" t="str">
        <f t="shared" si="1536"/>
        <v>$ 0,00</v>
      </c>
      <c r="I2383" t="str">
        <f>"KIT DE DISTRIBUCION LUCAS"</f>
        <v>KIT DE DISTRIBUCION LUCAS</v>
      </c>
      <c r="J2383" t="str">
        <f t="shared" si="1537"/>
        <v>1</v>
      </c>
      <c r="K2383" t="str">
        <f t="shared" si="1515"/>
        <v>0</v>
      </c>
      <c r="L2383" t="str">
        <f>"6,000"</f>
        <v>6,000</v>
      </c>
      <c r="M2383" t="str">
        <f t="shared" si="1538"/>
        <v xml:space="preserve"> </v>
      </c>
      <c r="N2383" t="str">
        <f>"LUCAS"</f>
        <v>LUCAS</v>
      </c>
      <c r="O2383" t="str">
        <f t="shared" si="1534"/>
        <v>DISTRIBUCION</v>
      </c>
      <c r="P2383" t="str">
        <f t="shared" ref="P2383:Q2402" si="1558">"0"</f>
        <v>0</v>
      </c>
      <c r="Q2383" t="str">
        <f t="shared" si="1558"/>
        <v>0</v>
      </c>
      <c r="R2383" t="str">
        <f t="shared" ref="R2383:S2402" si="1559">"0,00"</f>
        <v>0,00</v>
      </c>
      <c r="S2383" t="str">
        <f t="shared" si="1559"/>
        <v>0,00</v>
      </c>
      <c r="T2383" t="str">
        <f>" "</f>
        <v xml:space="preserve"> </v>
      </c>
      <c r="U2383" t="str">
        <f>" "</f>
        <v xml:space="preserve"> </v>
      </c>
      <c r="V2383" t="str">
        <f>"6,000"</f>
        <v>6,000</v>
      </c>
      <c r="W2383" t="str">
        <f t="shared" si="1539"/>
        <v>Lista 4</v>
      </c>
      <c r="X2383" t="str">
        <f t="shared" si="1540"/>
        <v>Lista 5</v>
      </c>
      <c r="Y2383" t="str">
        <f t="shared" si="1541"/>
        <v>Oferta Gral.</v>
      </c>
      <c r="Z2383" t="str">
        <f t="shared" si="1542"/>
        <v>Rubro</v>
      </c>
      <c r="AA2383" t="str">
        <f t="shared" si="1543"/>
        <v>Cantidad por Bulto</v>
      </c>
      <c r="AB2383" t="str">
        <f t="shared" si="1544"/>
        <v>INNER</v>
      </c>
      <c r="AC2383" t="str">
        <f t="shared" si="1545"/>
        <v>Stock en Bultos</v>
      </c>
      <c r="AD2383" t="str">
        <f t="shared" si="1546"/>
        <v>SubDepósito</v>
      </c>
      <c r="AE2383" t="str">
        <f t="shared" si="1547"/>
        <v>Marca</v>
      </c>
      <c r="AF2383" t="str">
        <f t="shared" si="1548"/>
        <v>Super Rubro</v>
      </c>
      <c r="AG2383" t="str">
        <f t="shared" si="1549"/>
        <v>ComercioExterior</v>
      </c>
      <c r="AH2383" t="str">
        <f t="shared" si="1550"/>
        <v>PrecioFOB</v>
      </c>
      <c r="AI2383" t="str">
        <f t="shared" si="1551"/>
        <v>Monto II</v>
      </c>
      <c r="AJ2383" t="str">
        <f t="shared" si="1552"/>
        <v>Porcentaje II</v>
      </c>
      <c r="AK2383" t="str">
        <f t="shared" si="1553"/>
        <v>Foto</v>
      </c>
      <c r="AL238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83" t="str">
        <f t="shared" si="1557"/>
        <v xml:space="preserve"> </v>
      </c>
    </row>
    <row r="2384" spans="1:39" x14ac:dyDescent="0.25">
      <c r="A2384" t="str">
        <f>"FM010503"</f>
        <v>FM010503</v>
      </c>
      <c r="B2384" t="str">
        <f>"KIT DISTRIBUCION FIAT PALIO FIRE 1.3 16V 124 X 220"</f>
        <v>KIT DISTRIBUCION FIAT PALIO FIRE 1.3 16V 124 X 220</v>
      </c>
      <c r="C2384" t="str">
        <f>"$ 81687,14"</f>
        <v>$ 81687,14</v>
      </c>
      <c r="D2384" t="str">
        <f>"$ 81687,14"</f>
        <v>$ 81687,14</v>
      </c>
      <c r="E2384" t="str">
        <f>"$ 81687,14"</f>
        <v>$ 81687,14</v>
      </c>
      <c r="F2384" t="str">
        <f>"$ 81687,14"</f>
        <v>$ 81687,14</v>
      </c>
      <c r="G2384" t="str">
        <f>"$ 81687,14"</f>
        <v>$ 81687,14</v>
      </c>
      <c r="H2384" t="str">
        <f t="shared" si="1536"/>
        <v>$ 0,00</v>
      </c>
      <c r="I2384" t="str">
        <f>"KIT DE DISTRIBUCION MICHELIN"</f>
        <v>KIT DE DISTRIBUCION MICHELIN</v>
      </c>
      <c r="J2384" t="str">
        <f t="shared" si="1537"/>
        <v>1</v>
      </c>
      <c r="K2384" t="str">
        <f t="shared" si="1515"/>
        <v>0</v>
      </c>
      <c r="L2384" t="str">
        <f>"10,000"</f>
        <v>10,000</v>
      </c>
      <c r="M2384" t="str">
        <f t="shared" si="1538"/>
        <v xml:space="preserve"> </v>
      </c>
      <c r="N2384" t="str">
        <f>"MICHELIN"</f>
        <v>MICHELIN</v>
      </c>
      <c r="O2384" t="str">
        <f t="shared" si="1534"/>
        <v>DISTRIBUCION</v>
      </c>
      <c r="P2384" t="str">
        <f t="shared" si="1558"/>
        <v>0</v>
      </c>
      <c r="Q2384" t="str">
        <f t="shared" si="1558"/>
        <v>0</v>
      </c>
      <c r="R2384" t="str">
        <f t="shared" si="1559"/>
        <v>0,00</v>
      </c>
      <c r="S2384" t="str">
        <f t="shared" si="1559"/>
        <v>0,00</v>
      </c>
      <c r="T2384" t="str">
        <f t="shared" ref="T2384:U2386" si="1560">"-"</f>
        <v>-</v>
      </c>
      <c r="U2384" t="str">
        <f t="shared" si="1560"/>
        <v>-</v>
      </c>
      <c r="V2384" t="str">
        <f>"10,000"</f>
        <v>10,000</v>
      </c>
      <c r="W2384" t="str">
        <f t="shared" si="1539"/>
        <v>Lista 4</v>
      </c>
      <c r="X2384" t="str">
        <f t="shared" si="1540"/>
        <v>Lista 5</v>
      </c>
      <c r="Y2384" t="str">
        <f t="shared" si="1541"/>
        <v>Oferta Gral.</v>
      </c>
      <c r="Z2384" t="str">
        <f t="shared" si="1542"/>
        <v>Rubro</v>
      </c>
      <c r="AA2384" t="str">
        <f t="shared" si="1543"/>
        <v>Cantidad por Bulto</v>
      </c>
      <c r="AB2384" t="str">
        <f t="shared" si="1544"/>
        <v>INNER</v>
      </c>
      <c r="AC2384" t="str">
        <f t="shared" si="1545"/>
        <v>Stock en Bultos</v>
      </c>
      <c r="AD2384" t="str">
        <f t="shared" si="1546"/>
        <v>SubDepósito</v>
      </c>
      <c r="AE2384" t="str">
        <f t="shared" si="1547"/>
        <v>Marca</v>
      </c>
      <c r="AF2384" t="str">
        <f t="shared" si="1548"/>
        <v>Super Rubro</v>
      </c>
      <c r="AG2384" t="str">
        <f t="shared" si="1549"/>
        <v>ComercioExterior</v>
      </c>
      <c r="AH2384" t="str">
        <f t="shared" si="1550"/>
        <v>PrecioFOB</v>
      </c>
      <c r="AI2384" t="str">
        <f t="shared" si="1551"/>
        <v>Monto II</v>
      </c>
      <c r="AJ2384" t="str">
        <f t="shared" si="1552"/>
        <v>Porcentaje II</v>
      </c>
      <c r="AK2384" t="str">
        <f t="shared" si="1553"/>
        <v>Foto</v>
      </c>
      <c r="AL2384" t="str">
        <f>"{\rtf1\ansi\ansicpg1252\deff0\deflang2058{\fonttbl{\f0\fnil\fcharset0 MS Sans Serif}} \viewkind4\uc1\pard\f0\fs16 KIT DISTRIBUCION FIAT PALIO FIRE 1.3 16V 124 X 220\par } "</f>
        <v xml:space="preserve">{\rtf1\ansi\ansicpg1252\deff0\deflang2058{\fonttbl{\f0\fnil\fcharset0 MS Sans Serif}} \viewkind4\uc1\pard\f0\fs16 KIT DISTRIBUCION FIAT PALIO FIRE 1.3 16V 124 X 220\par } </v>
      </c>
      <c r="AM2384" t="str">
        <f t="shared" si="1557"/>
        <v xml:space="preserve"> </v>
      </c>
    </row>
    <row r="2385" spans="1:39" x14ac:dyDescent="0.25">
      <c r="A2385" t="str">
        <f>"FM010627"</f>
        <v>FM010627</v>
      </c>
      <c r="B2385" t="str">
        <f>"KIT DISTRIBUCION FIAT PALIO FIRE 1.4 TENSOR AUT "</f>
        <v xml:space="preserve">KIT DISTRIBUCION FIAT PALIO FIRE 1.4 TENSOR AUT </v>
      </c>
      <c r="C2385" t="str">
        <f>"$ 64255,21"</f>
        <v>$ 64255,21</v>
      </c>
      <c r="D2385" t="str">
        <f>"$ 64255,21"</f>
        <v>$ 64255,21</v>
      </c>
      <c r="E2385" t="str">
        <f>"$ 64255,21"</f>
        <v>$ 64255,21</v>
      </c>
      <c r="F2385" t="str">
        <f>"$ 64255,21"</f>
        <v>$ 64255,21</v>
      </c>
      <c r="G2385" t="str">
        <f>"$ 64255,21"</f>
        <v>$ 64255,21</v>
      </c>
      <c r="H2385" t="str">
        <f t="shared" si="1536"/>
        <v>$ 0,00</v>
      </c>
      <c r="I2385" t="str">
        <f>"KIT DE DISTRIBUCION MICHELIN"</f>
        <v>KIT DE DISTRIBUCION MICHELIN</v>
      </c>
      <c r="J2385" t="str">
        <f t="shared" si="1537"/>
        <v>1</v>
      </c>
      <c r="K2385" t="str">
        <f t="shared" si="1515"/>
        <v>0</v>
      </c>
      <c r="L2385" t="str">
        <f>"29,000"</f>
        <v>29,000</v>
      </c>
      <c r="M2385" t="str">
        <f t="shared" si="1538"/>
        <v xml:space="preserve"> </v>
      </c>
      <c r="N2385" t="str">
        <f>"MICHELIN"</f>
        <v>MICHELIN</v>
      </c>
      <c r="O2385" t="str">
        <f t="shared" si="1534"/>
        <v>DISTRIBUCION</v>
      </c>
      <c r="P2385" t="str">
        <f t="shared" si="1558"/>
        <v>0</v>
      </c>
      <c r="Q2385" t="str">
        <f t="shared" si="1558"/>
        <v>0</v>
      </c>
      <c r="R2385" t="str">
        <f t="shared" si="1559"/>
        <v>0,00</v>
      </c>
      <c r="S2385" t="str">
        <f t="shared" si="1559"/>
        <v>0,00</v>
      </c>
      <c r="T2385" t="str">
        <f t="shared" si="1560"/>
        <v>-</v>
      </c>
      <c r="U2385" t="str">
        <f t="shared" si="1560"/>
        <v>-</v>
      </c>
      <c r="V2385" t="str">
        <f>"29,000"</f>
        <v>29,000</v>
      </c>
      <c r="W2385" t="str">
        <f t="shared" si="1539"/>
        <v>Lista 4</v>
      </c>
      <c r="X2385" t="str">
        <f t="shared" si="1540"/>
        <v>Lista 5</v>
      </c>
      <c r="Y2385" t="str">
        <f t="shared" si="1541"/>
        <v>Oferta Gral.</v>
      </c>
      <c r="Z2385" t="str">
        <f t="shared" si="1542"/>
        <v>Rubro</v>
      </c>
      <c r="AA2385" t="str">
        <f t="shared" si="1543"/>
        <v>Cantidad por Bulto</v>
      </c>
      <c r="AB2385" t="str">
        <f t="shared" si="1544"/>
        <v>INNER</v>
      </c>
      <c r="AC2385" t="str">
        <f t="shared" si="1545"/>
        <v>Stock en Bultos</v>
      </c>
      <c r="AD2385" t="str">
        <f t="shared" si="1546"/>
        <v>SubDepósito</v>
      </c>
      <c r="AE2385" t="str">
        <f t="shared" si="1547"/>
        <v>Marca</v>
      </c>
      <c r="AF2385" t="str">
        <f t="shared" si="1548"/>
        <v>Super Rubro</v>
      </c>
      <c r="AG2385" t="str">
        <f t="shared" si="1549"/>
        <v>ComercioExterior</v>
      </c>
      <c r="AH2385" t="str">
        <f t="shared" si="1550"/>
        <v>PrecioFOB</v>
      </c>
      <c r="AI2385" t="str">
        <f t="shared" si="1551"/>
        <v>Monto II</v>
      </c>
      <c r="AJ2385" t="str">
        <f t="shared" si="1552"/>
        <v>Porcentaje II</v>
      </c>
      <c r="AK2385" t="str">
        <f t="shared" si="1553"/>
        <v>Foto</v>
      </c>
      <c r="AL2385" t="str">
        <f>"{\rtf1\ansi\ansicpg1252\deff0\deflang2058{\fonttbl{\f0\fnil\fcharset0 MS Sans Serif}} \viewkind4\uc1\pard\f0\fs16 KIT DISTRIBUCION FIAT PALIO FIRE 1.4 TENSOR AUT \par } "</f>
        <v xml:space="preserve">{\rtf1\ansi\ansicpg1252\deff0\deflang2058{\fonttbl{\f0\fnil\fcharset0 MS Sans Serif}} \viewkind4\uc1\pard\f0\fs16 KIT DISTRIBUCION FIAT PALIO FIRE 1.4 TENSOR AUT \par } </v>
      </c>
      <c r="AM2385" t="str">
        <f t="shared" si="1557"/>
        <v xml:space="preserve"> </v>
      </c>
    </row>
    <row r="2386" spans="1:39" x14ac:dyDescent="0.25">
      <c r="A2386" t="str">
        <f>"FM020627"</f>
        <v>FM020627</v>
      </c>
      <c r="B2386" t="str">
        <f>"KIT DISTRIBUCION FIAT PALIO FIRE TENS MEC 129 X 22"</f>
        <v>KIT DISTRIBUCION FIAT PALIO FIRE TENS MEC 129 X 22</v>
      </c>
      <c r="C2386" t="str">
        <f>"$ 56716,03"</f>
        <v>$ 56716,03</v>
      </c>
      <c r="D2386" t="str">
        <f>"$ 56716,03"</f>
        <v>$ 56716,03</v>
      </c>
      <c r="E2386" t="str">
        <f>"$ 56716,03"</f>
        <v>$ 56716,03</v>
      </c>
      <c r="F2386" t="str">
        <f>"$ 56716,03"</f>
        <v>$ 56716,03</v>
      </c>
      <c r="G2386" t="str">
        <f>"$ 56716,03"</f>
        <v>$ 56716,03</v>
      </c>
      <c r="H2386" t="str">
        <f t="shared" si="1536"/>
        <v>$ 0,00</v>
      </c>
      <c r="I2386" t="str">
        <f>"KIT DE DISTRIBUCION MICHELIN"</f>
        <v>KIT DE DISTRIBUCION MICHELIN</v>
      </c>
      <c r="J2386" t="str">
        <f t="shared" si="1537"/>
        <v>1</v>
      </c>
      <c r="K2386" t="str">
        <f t="shared" si="1515"/>
        <v>0</v>
      </c>
      <c r="L2386" t="str">
        <f>"46,000"</f>
        <v>46,000</v>
      </c>
      <c r="M2386" t="str">
        <f t="shared" si="1538"/>
        <v xml:space="preserve"> </v>
      </c>
      <c r="N2386" t="str">
        <f>"MICHELIN"</f>
        <v>MICHELIN</v>
      </c>
      <c r="O2386" t="str">
        <f t="shared" si="1534"/>
        <v>DISTRIBUCION</v>
      </c>
      <c r="P2386" t="str">
        <f t="shared" si="1558"/>
        <v>0</v>
      </c>
      <c r="Q2386" t="str">
        <f t="shared" si="1558"/>
        <v>0</v>
      </c>
      <c r="R2386" t="str">
        <f t="shared" si="1559"/>
        <v>0,00</v>
      </c>
      <c r="S2386" t="str">
        <f t="shared" si="1559"/>
        <v>0,00</v>
      </c>
      <c r="T2386" t="str">
        <f t="shared" si="1560"/>
        <v>-</v>
      </c>
      <c r="U2386" t="str">
        <f t="shared" si="1560"/>
        <v>-</v>
      </c>
      <c r="V2386" t="str">
        <f>"46,000"</f>
        <v>46,000</v>
      </c>
      <c r="W2386" t="str">
        <f t="shared" si="1539"/>
        <v>Lista 4</v>
      </c>
      <c r="X2386" t="str">
        <f t="shared" si="1540"/>
        <v>Lista 5</v>
      </c>
      <c r="Y2386" t="str">
        <f t="shared" si="1541"/>
        <v>Oferta Gral.</v>
      </c>
      <c r="Z2386" t="str">
        <f t="shared" si="1542"/>
        <v>Rubro</v>
      </c>
      <c r="AA2386" t="str">
        <f t="shared" si="1543"/>
        <v>Cantidad por Bulto</v>
      </c>
      <c r="AB2386" t="str">
        <f t="shared" si="1544"/>
        <v>INNER</v>
      </c>
      <c r="AC2386" t="str">
        <f t="shared" si="1545"/>
        <v>Stock en Bultos</v>
      </c>
      <c r="AD2386" t="str">
        <f t="shared" si="1546"/>
        <v>SubDepósito</v>
      </c>
      <c r="AE2386" t="str">
        <f t="shared" si="1547"/>
        <v>Marca</v>
      </c>
      <c r="AF2386" t="str">
        <f t="shared" si="1548"/>
        <v>Super Rubro</v>
      </c>
      <c r="AG2386" t="str">
        <f t="shared" si="1549"/>
        <v>ComercioExterior</v>
      </c>
      <c r="AH2386" t="str">
        <f t="shared" si="1550"/>
        <v>PrecioFOB</v>
      </c>
      <c r="AI2386" t="str">
        <f t="shared" si="1551"/>
        <v>Monto II</v>
      </c>
      <c r="AJ2386" t="str">
        <f t="shared" si="1552"/>
        <v>Porcentaje II</v>
      </c>
      <c r="AK2386" t="str">
        <f t="shared" si="1553"/>
        <v>Foto</v>
      </c>
      <c r="AL2386" t="str">
        <f>"{\rtf1\ansi\ansicpg1252\deff0\deflang2058{\fonttbl{\f0\fnil\fcharset0 MS Sans Serif}} \viewkind4\uc1\pard\f0\fs16 KIT DISTRIBUCION FIAT PALIO FIRE TENS MEC 129 X 22\par } "</f>
        <v xml:space="preserve">{\rtf1\ansi\ansicpg1252\deff0\deflang2058{\fonttbl{\f0\fnil\fcharset0 MS Sans Serif}} \viewkind4\uc1\pard\f0\fs16 KIT DISTRIBUCION FIAT PALIO FIRE TENS MEC 129 X 22\par } </v>
      </c>
      <c r="AM2386" t="str">
        <f t="shared" si="1557"/>
        <v xml:space="preserve"> </v>
      </c>
    </row>
    <row r="2387" spans="1:39" x14ac:dyDescent="0.25">
      <c r="A2387" t="str">
        <f>"LKTBN759"</f>
        <v>LKTBN759</v>
      </c>
      <c r="B2387" t="str">
        <f>"KIT DISTRIBUCION FIAT TORO 2.0 CRD"</f>
        <v>KIT DISTRIBUCION FIAT TORO 2.0 CRD</v>
      </c>
      <c r="C2387" t="str">
        <f>"$ 142627,32"</f>
        <v>$ 142627,32</v>
      </c>
      <c r="D2387" t="str">
        <f>"$ 142627,32"</f>
        <v>$ 142627,32</v>
      </c>
      <c r="E2387" t="str">
        <f>"$ 142627,32"</f>
        <v>$ 142627,32</v>
      </c>
      <c r="F2387" t="str">
        <f>"$ 142627,32"</f>
        <v>$ 142627,32</v>
      </c>
      <c r="G2387" t="str">
        <f>"$ 142627,32"</f>
        <v>$ 142627,32</v>
      </c>
      <c r="H2387" t="str">
        <f t="shared" si="1536"/>
        <v>$ 0,00</v>
      </c>
      <c r="I2387" t="str">
        <f>"KIT DE DISTRIBUCION LUCAS"</f>
        <v>KIT DE DISTRIBUCION LUCAS</v>
      </c>
      <c r="J2387" t="str">
        <f t="shared" si="1537"/>
        <v>1</v>
      </c>
      <c r="K2387" t="str">
        <f t="shared" si="1515"/>
        <v>0</v>
      </c>
      <c r="L2387" t="str">
        <f>"5,000"</f>
        <v>5,000</v>
      </c>
      <c r="M2387" t="str">
        <f t="shared" si="1538"/>
        <v xml:space="preserve"> </v>
      </c>
      <c r="N2387" t="str">
        <f>"LUCAS"</f>
        <v>LUCAS</v>
      </c>
      <c r="O2387" t="str">
        <f t="shared" si="1534"/>
        <v>DISTRIBUCION</v>
      </c>
      <c r="P2387" t="str">
        <f t="shared" si="1558"/>
        <v>0</v>
      </c>
      <c r="Q2387" t="str">
        <f t="shared" si="1558"/>
        <v>0</v>
      </c>
      <c r="R2387" t="str">
        <f t="shared" si="1559"/>
        <v>0,00</v>
      </c>
      <c r="S2387" t="str">
        <f t="shared" si="1559"/>
        <v>0,00</v>
      </c>
      <c r="T2387" t="str">
        <f>" "</f>
        <v xml:space="preserve"> </v>
      </c>
      <c r="U2387" t="str">
        <f>" "</f>
        <v xml:space="preserve"> </v>
      </c>
      <c r="V2387" t="str">
        <f>"5,000"</f>
        <v>5,000</v>
      </c>
      <c r="W2387" t="str">
        <f t="shared" si="1539"/>
        <v>Lista 4</v>
      </c>
      <c r="X2387" t="str">
        <f t="shared" si="1540"/>
        <v>Lista 5</v>
      </c>
      <c r="Y2387" t="str">
        <f t="shared" si="1541"/>
        <v>Oferta Gral.</v>
      </c>
      <c r="Z2387" t="str">
        <f t="shared" si="1542"/>
        <v>Rubro</v>
      </c>
      <c r="AA2387" t="str">
        <f t="shared" si="1543"/>
        <v>Cantidad por Bulto</v>
      </c>
      <c r="AB2387" t="str">
        <f t="shared" si="1544"/>
        <v>INNER</v>
      </c>
      <c r="AC2387" t="str">
        <f t="shared" si="1545"/>
        <v>Stock en Bultos</v>
      </c>
      <c r="AD2387" t="str">
        <f t="shared" si="1546"/>
        <v>SubDepósito</v>
      </c>
      <c r="AE2387" t="str">
        <f t="shared" si="1547"/>
        <v>Marca</v>
      </c>
      <c r="AF2387" t="str">
        <f t="shared" si="1548"/>
        <v>Super Rubro</v>
      </c>
      <c r="AG2387" t="str">
        <f t="shared" si="1549"/>
        <v>ComercioExterior</v>
      </c>
      <c r="AH2387" t="str">
        <f t="shared" si="1550"/>
        <v>PrecioFOB</v>
      </c>
      <c r="AI2387" t="str">
        <f t="shared" si="1551"/>
        <v>Monto II</v>
      </c>
      <c r="AJ2387" t="str">
        <f t="shared" si="1552"/>
        <v>Porcentaje II</v>
      </c>
      <c r="AK2387" t="str">
        <f t="shared" si="1553"/>
        <v>Foto</v>
      </c>
      <c r="AL238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87" t="str">
        <f t="shared" si="1557"/>
        <v xml:space="preserve"> </v>
      </c>
    </row>
    <row r="2388" spans="1:39" x14ac:dyDescent="0.25">
      <c r="A2388" t="str">
        <f>"FM010587"</f>
        <v>FM010587</v>
      </c>
      <c r="B2388" t="str">
        <f>"KIT DISTRIBUCION FIESTA 206 1.4 HDI 144 X 254"</f>
        <v>KIT DISTRIBUCION FIESTA 206 1.4 HDI 144 X 254</v>
      </c>
      <c r="C2388" t="str">
        <f>"$ 112495,61"</f>
        <v>$ 112495,61</v>
      </c>
      <c r="D2388" t="str">
        <f>"$ 112495,61"</f>
        <v>$ 112495,61</v>
      </c>
      <c r="E2388" t="str">
        <f>"$ 112495,61"</f>
        <v>$ 112495,61</v>
      </c>
      <c r="F2388" t="str">
        <f>"$ 112495,61"</f>
        <v>$ 112495,61</v>
      </c>
      <c r="G2388" t="str">
        <f>"$ 112495,61"</f>
        <v>$ 112495,61</v>
      </c>
      <c r="H2388" t="str">
        <f t="shared" si="1536"/>
        <v>$ 0,00</v>
      </c>
      <c r="I2388" t="str">
        <f>"KIT DE DISTRIBUCION MICHELIN"</f>
        <v>KIT DE DISTRIBUCION MICHELIN</v>
      </c>
      <c r="J2388" t="str">
        <f t="shared" si="1537"/>
        <v>1</v>
      </c>
      <c r="K2388" t="str">
        <f t="shared" si="1515"/>
        <v>0</v>
      </c>
      <c r="L2388" t="str">
        <f>"6,000"</f>
        <v>6,000</v>
      </c>
      <c r="M2388" t="str">
        <f t="shared" si="1538"/>
        <v xml:space="preserve"> </v>
      </c>
      <c r="N2388" t="str">
        <f>"MICHELIN"</f>
        <v>MICHELIN</v>
      </c>
      <c r="O2388" t="str">
        <f t="shared" si="1534"/>
        <v>DISTRIBUCION</v>
      </c>
      <c r="P2388" t="str">
        <f t="shared" si="1558"/>
        <v>0</v>
      </c>
      <c r="Q2388" t="str">
        <f t="shared" si="1558"/>
        <v>0</v>
      </c>
      <c r="R2388" t="str">
        <f t="shared" si="1559"/>
        <v>0,00</v>
      </c>
      <c r="S2388" t="str">
        <f t="shared" si="1559"/>
        <v>0,00</v>
      </c>
      <c r="T2388" t="str">
        <f>"-"</f>
        <v>-</v>
      </c>
      <c r="U2388" t="str">
        <f>"-"</f>
        <v>-</v>
      </c>
      <c r="V2388" t="str">
        <f>"6,000"</f>
        <v>6,000</v>
      </c>
      <c r="W2388" t="str">
        <f t="shared" si="1539"/>
        <v>Lista 4</v>
      </c>
      <c r="X2388" t="str">
        <f t="shared" si="1540"/>
        <v>Lista 5</v>
      </c>
      <c r="Y2388" t="str">
        <f t="shared" si="1541"/>
        <v>Oferta Gral.</v>
      </c>
      <c r="Z2388" t="str">
        <f t="shared" si="1542"/>
        <v>Rubro</v>
      </c>
      <c r="AA2388" t="str">
        <f t="shared" si="1543"/>
        <v>Cantidad por Bulto</v>
      </c>
      <c r="AB2388" t="str">
        <f t="shared" si="1544"/>
        <v>INNER</v>
      </c>
      <c r="AC2388" t="str">
        <f t="shared" si="1545"/>
        <v>Stock en Bultos</v>
      </c>
      <c r="AD2388" t="str">
        <f t="shared" si="1546"/>
        <v>SubDepósito</v>
      </c>
      <c r="AE2388" t="str">
        <f t="shared" si="1547"/>
        <v>Marca</v>
      </c>
      <c r="AF2388" t="str">
        <f t="shared" si="1548"/>
        <v>Super Rubro</v>
      </c>
      <c r="AG2388" t="str">
        <f t="shared" si="1549"/>
        <v>ComercioExterior</v>
      </c>
      <c r="AH2388" t="str">
        <f t="shared" si="1550"/>
        <v>PrecioFOB</v>
      </c>
      <c r="AI2388" t="str">
        <f t="shared" si="1551"/>
        <v>Monto II</v>
      </c>
      <c r="AJ2388" t="str">
        <f t="shared" si="1552"/>
        <v>Porcentaje II</v>
      </c>
      <c r="AK2388" t="str">
        <f t="shared" si="1553"/>
        <v>Foto</v>
      </c>
      <c r="AL2388" t="str">
        <f>"{\rtf1\ansi\ansicpg1252\deff0\deflang2058{\fonttbl{\f0\fnil\fcharset0 MS Sans Serif}} \viewkind4\uc1\pard\f0\fs16 KIT DISTRIBUCION FIESTA 206 1.4 HDI 144 X 254\par } "</f>
        <v xml:space="preserve">{\rtf1\ansi\ansicpg1252\deff0\deflang2058{\fonttbl{\f0\fnil\fcharset0 MS Sans Serif}} \viewkind4\uc1\pard\f0\fs16 KIT DISTRIBUCION FIESTA 206 1.4 HDI 144 X 254\par } </v>
      </c>
      <c r="AM2388" t="str">
        <f t="shared" si="1557"/>
        <v xml:space="preserve"> </v>
      </c>
    </row>
    <row r="2389" spans="1:39" x14ac:dyDescent="0.25">
      <c r="A2389" t="str">
        <f>"LKTBN764"</f>
        <v>LKTBN764</v>
      </c>
      <c r="B2389" t="str">
        <f>"KIT DISTRIBUCION FORD FIESTA ECOSPORT FOCUS SIGMA 1.6 16V 117D 220H"</f>
        <v>KIT DISTRIBUCION FORD FIESTA ECOSPORT FOCUS SIGMA 1.6 16V 117D 220H</v>
      </c>
      <c r="C2389" t="str">
        <f>"$ 91300,67"</f>
        <v>$ 91300,67</v>
      </c>
      <c r="D2389" t="str">
        <f>"$ 91300,67"</f>
        <v>$ 91300,67</v>
      </c>
      <c r="E2389" t="str">
        <f>"$ 91300,67"</f>
        <v>$ 91300,67</v>
      </c>
      <c r="F2389" t="str">
        <f>"$ 91300,67"</f>
        <v>$ 91300,67</v>
      </c>
      <c r="G2389" t="str">
        <f>"$ 91300,67"</f>
        <v>$ 91300,67</v>
      </c>
      <c r="H2389" t="str">
        <f t="shared" si="1536"/>
        <v>$ 0,00</v>
      </c>
      <c r="I2389" t="str">
        <f>"KIT DE DISTRIBUCION LUCAS"</f>
        <v>KIT DE DISTRIBUCION LUCAS</v>
      </c>
      <c r="J2389" t="str">
        <f t="shared" si="1537"/>
        <v>1</v>
      </c>
      <c r="K2389" t="str">
        <f t="shared" ref="K2389:K2452" si="1561">"0"</f>
        <v>0</v>
      </c>
      <c r="L2389" t="str">
        <f>"5,000"</f>
        <v>5,000</v>
      </c>
      <c r="M2389" t="str">
        <f t="shared" si="1538"/>
        <v xml:space="preserve"> </v>
      </c>
      <c r="N2389" t="str">
        <f>"LUCAS"</f>
        <v>LUCAS</v>
      </c>
      <c r="O2389" t="str">
        <f t="shared" si="1534"/>
        <v>DISTRIBUCION</v>
      </c>
      <c r="P2389" t="str">
        <f t="shared" si="1558"/>
        <v>0</v>
      </c>
      <c r="Q2389" t="str">
        <f t="shared" si="1558"/>
        <v>0</v>
      </c>
      <c r="R2389" t="str">
        <f t="shared" si="1559"/>
        <v>0,00</v>
      </c>
      <c r="S2389" t="str">
        <f t="shared" si="1559"/>
        <v>0,00</v>
      </c>
      <c r="T2389" t="str">
        <f>" "</f>
        <v xml:space="preserve"> </v>
      </c>
      <c r="U2389" t="str">
        <f>" "</f>
        <v xml:space="preserve"> </v>
      </c>
      <c r="V2389" t="str">
        <f>"5,000"</f>
        <v>5,000</v>
      </c>
      <c r="W2389" t="str">
        <f t="shared" si="1539"/>
        <v>Lista 4</v>
      </c>
      <c r="X2389" t="str">
        <f t="shared" si="1540"/>
        <v>Lista 5</v>
      </c>
      <c r="Y2389" t="str">
        <f t="shared" si="1541"/>
        <v>Oferta Gral.</v>
      </c>
      <c r="Z2389" t="str">
        <f t="shared" si="1542"/>
        <v>Rubro</v>
      </c>
      <c r="AA2389" t="str">
        <f t="shared" si="1543"/>
        <v>Cantidad por Bulto</v>
      </c>
      <c r="AB2389" t="str">
        <f t="shared" si="1544"/>
        <v>INNER</v>
      </c>
      <c r="AC2389" t="str">
        <f t="shared" si="1545"/>
        <v>Stock en Bultos</v>
      </c>
      <c r="AD2389" t="str">
        <f t="shared" si="1546"/>
        <v>SubDepósito</v>
      </c>
      <c r="AE2389" t="str">
        <f t="shared" si="1547"/>
        <v>Marca</v>
      </c>
      <c r="AF2389" t="str">
        <f t="shared" si="1548"/>
        <v>Super Rubro</v>
      </c>
      <c r="AG2389" t="str">
        <f t="shared" si="1549"/>
        <v>ComercioExterior</v>
      </c>
      <c r="AH2389" t="str">
        <f t="shared" si="1550"/>
        <v>PrecioFOB</v>
      </c>
      <c r="AI2389" t="str">
        <f t="shared" si="1551"/>
        <v>Monto II</v>
      </c>
      <c r="AJ2389" t="str">
        <f t="shared" si="1552"/>
        <v>Porcentaje II</v>
      </c>
      <c r="AK2389" t="str">
        <f t="shared" si="1553"/>
        <v>Foto</v>
      </c>
      <c r="AL238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89" t="str">
        <f>"-"</f>
        <v>-</v>
      </c>
    </row>
    <row r="2390" spans="1:39" x14ac:dyDescent="0.25">
      <c r="A2390" t="str">
        <f>"FM050433"</f>
        <v>FM050433</v>
      </c>
      <c r="B2390" t="str">
        <f>"KIT DISTRIBUCION FORD FOCUS 1.6 16V SIGMA 117 X 22"</f>
        <v>KIT DISTRIBUCION FORD FOCUS 1.6 16V SIGMA 117 X 22</v>
      </c>
      <c r="C2390" t="str">
        <f>"$ 81687,14"</f>
        <v>$ 81687,14</v>
      </c>
      <c r="D2390" t="str">
        <f>"$ 81687,14"</f>
        <v>$ 81687,14</v>
      </c>
      <c r="E2390" t="str">
        <f>"$ 81687,14"</f>
        <v>$ 81687,14</v>
      </c>
      <c r="F2390" t="str">
        <f>"$ 81687,14"</f>
        <v>$ 81687,14</v>
      </c>
      <c r="G2390" t="str">
        <f>"$ 81687,14"</f>
        <v>$ 81687,14</v>
      </c>
      <c r="H2390" t="str">
        <f t="shared" si="1536"/>
        <v>$ 0,00</v>
      </c>
      <c r="I2390" t="str">
        <f>"KIT DE DISTRIBUCION MICHELIN"</f>
        <v>KIT DE DISTRIBUCION MICHELIN</v>
      </c>
      <c r="J2390" t="str">
        <f t="shared" si="1537"/>
        <v>1</v>
      </c>
      <c r="K2390" t="str">
        <f t="shared" si="1561"/>
        <v>0</v>
      </c>
      <c r="L2390" t="str">
        <f>"10,000"</f>
        <v>10,000</v>
      </c>
      <c r="M2390" t="str">
        <f t="shared" si="1538"/>
        <v xml:space="preserve"> </v>
      </c>
      <c r="N2390" t="str">
        <f>"MICHELIN"</f>
        <v>MICHELIN</v>
      </c>
      <c r="O2390" t="str">
        <f t="shared" si="1534"/>
        <v>DISTRIBUCION</v>
      </c>
      <c r="P2390" t="str">
        <f t="shared" si="1558"/>
        <v>0</v>
      </c>
      <c r="Q2390" t="str">
        <f t="shared" si="1558"/>
        <v>0</v>
      </c>
      <c r="R2390" t="str">
        <f t="shared" si="1559"/>
        <v>0,00</v>
      </c>
      <c r="S2390" t="str">
        <f t="shared" si="1559"/>
        <v>0,00</v>
      </c>
      <c r="T2390" t="str">
        <f t="shared" ref="T2390:U2393" si="1562">"-"</f>
        <v>-</v>
      </c>
      <c r="U2390" t="str">
        <f t="shared" si="1562"/>
        <v>-</v>
      </c>
      <c r="V2390" t="str">
        <f>"10,000"</f>
        <v>10,000</v>
      </c>
      <c r="W2390" t="str">
        <f t="shared" si="1539"/>
        <v>Lista 4</v>
      </c>
      <c r="X2390" t="str">
        <f t="shared" si="1540"/>
        <v>Lista 5</v>
      </c>
      <c r="Y2390" t="str">
        <f t="shared" si="1541"/>
        <v>Oferta Gral.</v>
      </c>
      <c r="Z2390" t="str">
        <f t="shared" si="1542"/>
        <v>Rubro</v>
      </c>
      <c r="AA2390" t="str">
        <f t="shared" si="1543"/>
        <v>Cantidad por Bulto</v>
      </c>
      <c r="AB2390" t="str">
        <f t="shared" si="1544"/>
        <v>INNER</v>
      </c>
      <c r="AC2390" t="str">
        <f t="shared" si="1545"/>
        <v>Stock en Bultos</v>
      </c>
      <c r="AD2390" t="str">
        <f t="shared" si="1546"/>
        <v>SubDepósito</v>
      </c>
      <c r="AE2390" t="str">
        <f t="shared" si="1547"/>
        <v>Marca</v>
      </c>
      <c r="AF2390" t="str">
        <f t="shared" si="1548"/>
        <v>Super Rubro</v>
      </c>
      <c r="AG2390" t="str">
        <f t="shared" si="1549"/>
        <v>ComercioExterior</v>
      </c>
      <c r="AH2390" t="str">
        <f t="shared" si="1550"/>
        <v>PrecioFOB</v>
      </c>
      <c r="AI2390" t="str">
        <f t="shared" si="1551"/>
        <v>Monto II</v>
      </c>
      <c r="AJ2390" t="str">
        <f t="shared" si="1552"/>
        <v>Porcentaje II</v>
      </c>
      <c r="AK2390" t="str">
        <f t="shared" si="1553"/>
        <v>Foto</v>
      </c>
      <c r="AL2390" t="str">
        <f>"{\rtf1\ansi\ansicpg1252\deff0\deflang2058{\fonttbl{\f0\fnil\fcharset0 MS Sans Serif}} \viewkind4\uc1\pard\f0\fs16 KIT DISTRIBUCION FORD FOCUS 1.6 16V SIGMA 117 X 22\par } "</f>
        <v xml:space="preserve">{\rtf1\ansi\ansicpg1252\deff0\deflang2058{\fonttbl{\f0\fnil\fcharset0 MS Sans Serif}} \viewkind4\uc1\pard\f0\fs16 KIT DISTRIBUCION FORD FOCUS 1.6 16V SIGMA 117 X 22\par } </v>
      </c>
      <c r="AM2390" t="str">
        <f>" "</f>
        <v xml:space="preserve"> </v>
      </c>
    </row>
    <row r="2391" spans="1:39" x14ac:dyDescent="0.25">
      <c r="A2391" t="str">
        <f>"FM010669"</f>
        <v>FM010669</v>
      </c>
      <c r="B2391" t="str">
        <f>"KIT DISTRIBUCION FORD FOCUS 1.6 16V SIGMA 117 X 22"</f>
        <v>KIT DISTRIBUCION FORD FOCUS 1.6 16V SIGMA 117 X 22</v>
      </c>
      <c r="C2391" t="str">
        <f>"$ 86896,59"</f>
        <v>$ 86896,59</v>
      </c>
      <c r="D2391" t="str">
        <f>"$ 86896,59"</f>
        <v>$ 86896,59</v>
      </c>
      <c r="E2391" t="str">
        <f>"$ 86896,59"</f>
        <v>$ 86896,59</v>
      </c>
      <c r="F2391" t="str">
        <f>"$ 86896,59"</f>
        <v>$ 86896,59</v>
      </c>
      <c r="G2391" t="str">
        <f>"$ 86896,59"</f>
        <v>$ 86896,59</v>
      </c>
      <c r="H2391" t="str">
        <f t="shared" si="1536"/>
        <v>$ 0,00</v>
      </c>
      <c r="I2391" t="str">
        <f>"KIT DE DISTRIBUCION MICHELIN"</f>
        <v>KIT DE DISTRIBUCION MICHELIN</v>
      </c>
      <c r="J2391" t="str">
        <f t="shared" si="1537"/>
        <v>1</v>
      </c>
      <c r="K2391" t="str">
        <f t="shared" si="1561"/>
        <v>0</v>
      </c>
      <c r="L2391" t="str">
        <f>"8,000"</f>
        <v>8,000</v>
      </c>
      <c r="M2391" t="str">
        <f t="shared" si="1538"/>
        <v xml:space="preserve"> </v>
      </c>
      <c r="N2391" t="str">
        <f>"MICHELIN"</f>
        <v>MICHELIN</v>
      </c>
      <c r="O2391" t="str">
        <f t="shared" si="1534"/>
        <v>DISTRIBUCION</v>
      </c>
      <c r="P2391" t="str">
        <f t="shared" si="1558"/>
        <v>0</v>
      </c>
      <c r="Q2391" t="str">
        <f t="shared" si="1558"/>
        <v>0</v>
      </c>
      <c r="R2391" t="str">
        <f t="shared" si="1559"/>
        <v>0,00</v>
      </c>
      <c r="S2391" t="str">
        <f t="shared" si="1559"/>
        <v>0,00</v>
      </c>
      <c r="T2391" t="str">
        <f t="shared" si="1562"/>
        <v>-</v>
      </c>
      <c r="U2391" t="str">
        <f t="shared" si="1562"/>
        <v>-</v>
      </c>
      <c r="V2391" t="str">
        <f>"8,000"</f>
        <v>8,000</v>
      </c>
      <c r="W2391" t="str">
        <f t="shared" si="1539"/>
        <v>Lista 4</v>
      </c>
      <c r="X2391" t="str">
        <f t="shared" si="1540"/>
        <v>Lista 5</v>
      </c>
      <c r="Y2391" t="str">
        <f t="shared" si="1541"/>
        <v>Oferta Gral.</v>
      </c>
      <c r="Z2391" t="str">
        <f t="shared" si="1542"/>
        <v>Rubro</v>
      </c>
      <c r="AA2391" t="str">
        <f t="shared" si="1543"/>
        <v>Cantidad por Bulto</v>
      </c>
      <c r="AB2391" t="str">
        <f t="shared" si="1544"/>
        <v>INNER</v>
      </c>
      <c r="AC2391" t="str">
        <f t="shared" si="1545"/>
        <v>Stock en Bultos</v>
      </c>
      <c r="AD2391" t="str">
        <f t="shared" si="1546"/>
        <v>SubDepósito</v>
      </c>
      <c r="AE2391" t="str">
        <f t="shared" si="1547"/>
        <v>Marca</v>
      </c>
      <c r="AF2391" t="str">
        <f t="shared" si="1548"/>
        <v>Super Rubro</v>
      </c>
      <c r="AG2391" t="str">
        <f t="shared" si="1549"/>
        <v>ComercioExterior</v>
      </c>
      <c r="AH2391" t="str">
        <f t="shared" si="1550"/>
        <v>PrecioFOB</v>
      </c>
      <c r="AI2391" t="str">
        <f t="shared" si="1551"/>
        <v>Monto II</v>
      </c>
      <c r="AJ2391" t="str">
        <f t="shared" si="1552"/>
        <v>Porcentaje II</v>
      </c>
      <c r="AK2391" t="str">
        <f t="shared" si="1553"/>
        <v>Foto</v>
      </c>
      <c r="AL2391" t="str">
        <f>"{\rtf1\ansi\ansicpg1252\deff0\deflang2058{\fonttbl{\f0\fnil\fcharset0 MS Sans Serif}} \viewkind4\uc1\pard\f0\fs16 KIT DISTRIBUCION FORD FOCUS 1.6 16V SIGMA 117 X 22\par } "</f>
        <v xml:space="preserve">{\rtf1\ansi\ansicpg1252\deff0\deflang2058{\fonttbl{\f0\fnil\fcharset0 MS Sans Serif}} \viewkind4\uc1\pard\f0\fs16 KIT DISTRIBUCION FORD FOCUS 1.6 16V SIGMA 117 X 22\par } </v>
      </c>
      <c r="AM2391" t="str">
        <f>" "</f>
        <v xml:space="preserve"> </v>
      </c>
    </row>
    <row r="2392" spans="1:39" x14ac:dyDescent="0.25">
      <c r="A2392" t="str">
        <f>"FM010680"</f>
        <v>FM010680</v>
      </c>
      <c r="B2392" t="str">
        <f>"KIT DISTRIBUCION FOX SURAN 1.6 16V MSI 163 X 20 "</f>
        <v xml:space="preserve">KIT DISTRIBUCION FOX SURAN 1.6 16V MSI 163 X 20 </v>
      </c>
      <c r="C2392" t="str">
        <f>"$ 122253,03"</f>
        <v>$ 122253,03</v>
      </c>
      <c r="D2392" t="str">
        <f>"$ 122253,03"</f>
        <v>$ 122253,03</v>
      </c>
      <c r="E2392" t="str">
        <f>"$ 122253,03"</f>
        <v>$ 122253,03</v>
      </c>
      <c r="F2392" t="str">
        <f>"$ 122253,03"</f>
        <v>$ 122253,03</v>
      </c>
      <c r="G2392" t="str">
        <f>"$ 122253,03"</f>
        <v>$ 122253,03</v>
      </c>
      <c r="H2392" t="str">
        <f t="shared" si="1536"/>
        <v>$ 0,00</v>
      </c>
      <c r="I2392" t="str">
        <f>"KIT DE DISTRIBUCION MICHELIN"</f>
        <v>KIT DE DISTRIBUCION MICHELIN</v>
      </c>
      <c r="J2392" t="str">
        <f t="shared" si="1537"/>
        <v>1</v>
      </c>
      <c r="K2392" t="str">
        <f t="shared" si="1561"/>
        <v>0</v>
      </c>
      <c r="L2392" t="str">
        <f>"10,000"</f>
        <v>10,000</v>
      </c>
      <c r="M2392" t="str">
        <f t="shared" si="1538"/>
        <v xml:space="preserve"> </v>
      </c>
      <c r="N2392" t="str">
        <f>"MICHELIN"</f>
        <v>MICHELIN</v>
      </c>
      <c r="O2392" t="str">
        <f t="shared" si="1534"/>
        <v>DISTRIBUCION</v>
      </c>
      <c r="P2392" t="str">
        <f t="shared" si="1558"/>
        <v>0</v>
      </c>
      <c r="Q2392" t="str">
        <f t="shared" si="1558"/>
        <v>0</v>
      </c>
      <c r="R2392" t="str">
        <f t="shared" si="1559"/>
        <v>0,00</v>
      </c>
      <c r="S2392" t="str">
        <f t="shared" si="1559"/>
        <v>0,00</v>
      </c>
      <c r="T2392" t="str">
        <f t="shared" si="1562"/>
        <v>-</v>
      </c>
      <c r="U2392" t="str">
        <f t="shared" si="1562"/>
        <v>-</v>
      </c>
      <c r="V2392" t="str">
        <f>"10,000"</f>
        <v>10,000</v>
      </c>
      <c r="W2392" t="str">
        <f t="shared" si="1539"/>
        <v>Lista 4</v>
      </c>
      <c r="X2392" t="str">
        <f t="shared" si="1540"/>
        <v>Lista 5</v>
      </c>
      <c r="Y2392" t="str">
        <f t="shared" si="1541"/>
        <v>Oferta Gral.</v>
      </c>
      <c r="Z2392" t="str">
        <f t="shared" si="1542"/>
        <v>Rubro</v>
      </c>
      <c r="AA2392" t="str">
        <f t="shared" si="1543"/>
        <v>Cantidad por Bulto</v>
      </c>
      <c r="AB2392" t="str">
        <f t="shared" si="1544"/>
        <v>INNER</v>
      </c>
      <c r="AC2392" t="str">
        <f t="shared" si="1545"/>
        <v>Stock en Bultos</v>
      </c>
      <c r="AD2392" t="str">
        <f t="shared" si="1546"/>
        <v>SubDepósito</v>
      </c>
      <c r="AE2392" t="str">
        <f t="shared" si="1547"/>
        <v>Marca</v>
      </c>
      <c r="AF2392" t="str">
        <f t="shared" si="1548"/>
        <v>Super Rubro</v>
      </c>
      <c r="AG2392" t="str">
        <f t="shared" si="1549"/>
        <v>ComercioExterior</v>
      </c>
      <c r="AH2392" t="str">
        <f t="shared" si="1550"/>
        <v>PrecioFOB</v>
      </c>
      <c r="AI2392" t="str">
        <f t="shared" si="1551"/>
        <v>Monto II</v>
      </c>
      <c r="AJ2392" t="str">
        <f t="shared" si="1552"/>
        <v>Porcentaje II</v>
      </c>
      <c r="AK2392" t="str">
        <f t="shared" si="1553"/>
        <v>Foto</v>
      </c>
      <c r="AL2392" t="str">
        <f>"{\rtf1\ansi\ansicpg1252\deff0\deflang2058{\fonttbl{\f0\fnil\fcharset0 MS Sans Serif}} \viewkind4\uc1\pard\f0\fs16 KIT DISTRIBUCION FOX SURAN 1.6 16V MSI 163 X 20 \par } "</f>
        <v xml:space="preserve">{\rtf1\ansi\ansicpg1252\deff0\deflang2058{\fonttbl{\f0\fnil\fcharset0 MS Sans Serif}} \viewkind4\uc1\pard\f0\fs16 KIT DISTRIBUCION FOX SURAN 1.6 16V MSI 163 X 20 \par } </v>
      </c>
      <c r="AM2392" t="str">
        <f>" "</f>
        <v xml:space="preserve"> </v>
      </c>
    </row>
    <row r="2393" spans="1:39" x14ac:dyDescent="0.25">
      <c r="A2393" t="str">
        <f>"FM040671"</f>
        <v>FM040671</v>
      </c>
      <c r="B2393" t="str">
        <f>"KIT DISTRIBUCION LOGAN SANDERO 1.6 16V K4M 132 X 27"</f>
        <v>KIT DISTRIBUCION LOGAN SANDERO 1.6 16V K4M 132 X 27</v>
      </c>
      <c r="C2393" t="str">
        <f>"$ 114828,60"</f>
        <v>$ 114828,60</v>
      </c>
      <c r="D2393" t="str">
        <f>"$ 114828,60"</f>
        <v>$ 114828,60</v>
      </c>
      <c r="E2393" t="str">
        <f>"$ 114828,60"</f>
        <v>$ 114828,60</v>
      </c>
      <c r="F2393" t="str">
        <f>"$ 114828,60"</f>
        <v>$ 114828,60</v>
      </c>
      <c r="G2393" t="str">
        <f>"$ 114828,60"</f>
        <v>$ 114828,60</v>
      </c>
      <c r="H2393" t="str">
        <f t="shared" si="1536"/>
        <v>$ 0,00</v>
      </c>
      <c r="I2393" t="str">
        <f>"KIT DE DISTRIBUCION MICHELIN"</f>
        <v>KIT DE DISTRIBUCION MICHELIN</v>
      </c>
      <c r="J2393" t="str">
        <f t="shared" si="1537"/>
        <v>1</v>
      </c>
      <c r="K2393" t="str">
        <f t="shared" si="1561"/>
        <v>0</v>
      </c>
      <c r="L2393" t="str">
        <f>"68,000"</f>
        <v>68,000</v>
      </c>
      <c r="M2393" t="str">
        <f t="shared" si="1538"/>
        <v xml:space="preserve"> </v>
      </c>
      <c r="N2393" t="str">
        <f>"MICHELIN"</f>
        <v>MICHELIN</v>
      </c>
      <c r="O2393" t="str">
        <f t="shared" si="1534"/>
        <v>DISTRIBUCION</v>
      </c>
      <c r="P2393" t="str">
        <f t="shared" si="1558"/>
        <v>0</v>
      </c>
      <c r="Q2393" t="str">
        <f t="shared" si="1558"/>
        <v>0</v>
      </c>
      <c r="R2393" t="str">
        <f t="shared" si="1559"/>
        <v>0,00</v>
      </c>
      <c r="S2393" t="str">
        <f t="shared" si="1559"/>
        <v>0,00</v>
      </c>
      <c r="T2393" t="str">
        <f t="shared" si="1562"/>
        <v>-</v>
      </c>
      <c r="U2393" t="str">
        <f t="shared" si="1562"/>
        <v>-</v>
      </c>
      <c r="V2393" t="str">
        <f>"68,000"</f>
        <v>68,000</v>
      </c>
      <c r="W2393" t="str">
        <f t="shared" si="1539"/>
        <v>Lista 4</v>
      </c>
      <c r="X2393" t="str">
        <f t="shared" si="1540"/>
        <v>Lista 5</v>
      </c>
      <c r="Y2393" t="str">
        <f t="shared" si="1541"/>
        <v>Oferta Gral.</v>
      </c>
      <c r="Z2393" t="str">
        <f t="shared" si="1542"/>
        <v>Rubro</v>
      </c>
      <c r="AA2393" t="str">
        <f t="shared" si="1543"/>
        <v>Cantidad por Bulto</v>
      </c>
      <c r="AB2393" t="str">
        <f t="shared" si="1544"/>
        <v>INNER</v>
      </c>
      <c r="AC2393" t="str">
        <f t="shared" si="1545"/>
        <v>Stock en Bultos</v>
      </c>
      <c r="AD2393" t="str">
        <f t="shared" si="1546"/>
        <v>SubDepósito</v>
      </c>
      <c r="AE2393" t="str">
        <f t="shared" si="1547"/>
        <v>Marca</v>
      </c>
      <c r="AF2393" t="str">
        <f t="shared" si="1548"/>
        <v>Super Rubro</v>
      </c>
      <c r="AG2393" t="str">
        <f t="shared" si="1549"/>
        <v>ComercioExterior</v>
      </c>
      <c r="AH2393" t="str">
        <f t="shared" si="1550"/>
        <v>PrecioFOB</v>
      </c>
      <c r="AI2393" t="str">
        <f t="shared" si="1551"/>
        <v>Monto II</v>
      </c>
      <c r="AJ2393" t="str">
        <f t="shared" si="1552"/>
        <v>Porcentaje II</v>
      </c>
      <c r="AK2393" t="str">
        <f t="shared" si="1553"/>
        <v>Foto</v>
      </c>
      <c r="AL2393" t="str">
        <f>"{\rtf1\ansi\ansicpg1252\deff0\deflang2058{\fonttbl{\f0\fnil\fcharset0 MS Sans Serif}} \viewkind4\uc1\pard\f0\fs16 KIT DISTRIBUCION LOGAN SANDERO 1.6 16V K4M 132 X 27\par } "</f>
        <v xml:space="preserve">{\rtf1\ansi\ansicpg1252\deff0\deflang2058{\fonttbl{\f0\fnil\fcharset0 MS Sans Serif}} \viewkind4\uc1\pard\f0\fs16 KIT DISTRIBUCION LOGAN SANDERO 1.6 16V K4M 132 X 27\par } </v>
      </c>
      <c r="AM2393" t="str">
        <f>" "</f>
        <v xml:space="preserve"> </v>
      </c>
    </row>
    <row r="2394" spans="1:39" x14ac:dyDescent="0.25">
      <c r="A2394" t="str">
        <f>"LKTWN4170"</f>
        <v>LKTWN4170</v>
      </c>
      <c r="B2394" t="str">
        <f>"KIT DISTRIBUCION P307 308 PARTNER CITROEN C3 C4 BERLINGO 1.6 16V TU5JP4"</f>
        <v>KIT DISTRIBUCION P307 308 PARTNER CITROEN C3 C4 BERLINGO 1.6 16V TU5JP4</v>
      </c>
      <c r="C2394" t="str">
        <f>"$ 134769,22"</f>
        <v>$ 134769,22</v>
      </c>
      <c r="D2394" t="str">
        <f>"$ 134769,22"</f>
        <v>$ 134769,22</v>
      </c>
      <c r="E2394" t="str">
        <f>"$ 134769,22"</f>
        <v>$ 134769,22</v>
      </c>
      <c r="F2394" t="str">
        <f>"$ 134769,22"</f>
        <v>$ 134769,22</v>
      </c>
      <c r="G2394" t="str">
        <f>"$ 134769,22"</f>
        <v>$ 134769,22</v>
      </c>
      <c r="H2394" t="str">
        <f t="shared" si="1536"/>
        <v>$ 0,00</v>
      </c>
      <c r="I2394" t="str">
        <f>"KIT DISTRIBUCION LUCAS CON BOMBA DE AGUA"</f>
        <v>KIT DISTRIBUCION LUCAS CON BOMBA DE AGUA</v>
      </c>
      <c r="J2394" t="str">
        <f t="shared" si="1537"/>
        <v>1</v>
      </c>
      <c r="K2394" t="str">
        <f t="shared" si="1561"/>
        <v>0</v>
      </c>
      <c r="L2394" t="str">
        <f>"1,000"</f>
        <v>1,000</v>
      </c>
      <c r="M2394" t="str">
        <f t="shared" si="1538"/>
        <v xml:space="preserve"> </v>
      </c>
      <c r="N2394" t="str">
        <f>"LUCAS"</f>
        <v>LUCAS</v>
      </c>
      <c r="O2394" t="str">
        <f t="shared" si="1534"/>
        <v>DISTRIBUCION</v>
      </c>
      <c r="P2394" t="str">
        <f t="shared" si="1558"/>
        <v>0</v>
      </c>
      <c r="Q2394" t="str">
        <f t="shared" si="1558"/>
        <v>0</v>
      </c>
      <c r="R2394" t="str">
        <f t="shared" si="1559"/>
        <v>0,00</v>
      </c>
      <c r="S2394" t="str">
        <f t="shared" si="1559"/>
        <v>0,00</v>
      </c>
      <c r="T2394" t="str">
        <f>" "</f>
        <v xml:space="preserve"> </v>
      </c>
      <c r="U2394" t="str">
        <f>" "</f>
        <v xml:space="preserve"> </v>
      </c>
      <c r="V2394" t="str">
        <f>"1,000"</f>
        <v>1,000</v>
      </c>
      <c r="W2394" t="str">
        <f t="shared" si="1539"/>
        <v>Lista 4</v>
      </c>
      <c r="X2394" t="str">
        <f t="shared" si="1540"/>
        <v>Lista 5</v>
      </c>
      <c r="Y2394" t="str">
        <f t="shared" si="1541"/>
        <v>Oferta Gral.</v>
      </c>
      <c r="Z2394" t="str">
        <f t="shared" si="1542"/>
        <v>Rubro</v>
      </c>
      <c r="AA2394" t="str">
        <f t="shared" si="1543"/>
        <v>Cantidad por Bulto</v>
      </c>
      <c r="AB2394" t="str">
        <f t="shared" si="1544"/>
        <v>INNER</v>
      </c>
      <c r="AC2394" t="str">
        <f t="shared" si="1545"/>
        <v>Stock en Bultos</v>
      </c>
      <c r="AD2394" t="str">
        <f t="shared" si="1546"/>
        <v>SubDepósito</v>
      </c>
      <c r="AE2394" t="str">
        <f t="shared" si="1547"/>
        <v>Marca</v>
      </c>
      <c r="AF2394" t="str">
        <f t="shared" si="1548"/>
        <v>Super Rubro</v>
      </c>
      <c r="AG2394" t="str">
        <f t="shared" si="1549"/>
        <v>ComercioExterior</v>
      </c>
      <c r="AH2394" t="str">
        <f t="shared" si="1550"/>
        <v>PrecioFOB</v>
      </c>
      <c r="AI2394" t="str">
        <f t="shared" si="1551"/>
        <v>Monto II</v>
      </c>
      <c r="AJ2394" t="str">
        <f t="shared" si="1552"/>
        <v>Porcentaje II</v>
      </c>
      <c r="AK2394" t="str">
        <f t="shared" si="1553"/>
        <v>Foto</v>
      </c>
      <c r="AL2394" t="str">
        <f>"{\rtf1\ansi\ansicpg1252\deff0\deflang11274{\fonttbl{\f0\fnil\fcharset0 MS Sans Serif}} \viewkind4\uc1\pard\f0\fs16 KIT DISTRIBUCION P307 308 PARTNER CITROEN C3 C4 BERLINGO 1.6 16V TU5JP4\par } "</f>
        <v xml:space="preserve">{\rtf1\ansi\ansicpg1252\deff0\deflang11274{\fonttbl{\f0\fnil\fcharset0 MS Sans Serif}} \viewkind4\uc1\pard\f0\fs16 KIT DISTRIBUCION P307 308 PARTNER CITROEN C3 C4 BERLINGO 1.6 16V TU5JP4\par } </v>
      </c>
      <c r="AM2394" t="str">
        <f>"-"</f>
        <v>-</v>
      </c>
    </row>
    <row r="2395" spans="1:39" x14ac:dyDescent="0.25">
      <c r="A2395" t="str">
        <f>"FM010575"</f>
        <v>FM010575</v>
      </c>
      <c r="B2395" t="str">
        <f>"KIT DISTRIBUCION PEUGEOT 206 1.4 8V TU3 104 X 17"</f>
        <v>KIT DISTRIBUCION PEUGEOT 206 1.4 8V TU3 104 X 17</v>
      </c>
      <c r="C2395" t="str">
        <f>"$ 53108,82"</f>
        <v>$ 53108,82</v>
      </c>
      <c r="D2395" t="str">
        <f>"$ 53108,82"</f>
        <v>$ 53108,82</v>
      </c>
      <c r="E2395" t="str">
        <f>"$ 53108,82"</f>
        <v>$ 53108,82</v>
      </c>
      <c r="F2395" t="str">
        <f>"$ 53108,82"</f>
        <v>$ 53108,82</v>
      </c>
      <c r="G2395" t="str">
        <f>"$ 53108,82"</f>
        <v>$ 53108,82</v>
      </c>
      <c r="H2395" t="str">
        <f t="shared" si="1536"/>
        <v>$ 0,00</v>
      </c>
      <c r="I2395" t="str">
        <f>"KIT DE DISTRIBUCION MICHELIN"</f>
        <v>KIT DE DISTRIBUCION MICHELIN</v>
      </c>
      <c r="J2395" t="str">
        <f t="shared" si="1537"/>
        <v>1</v>
      </c>
      <c r="K2395" t="str">
        <f t="shared" si="1561"/>
        <v>0</v>
      </c>
      <c r="L2395" t="str">
        <f>"30,000"</f>
        <v>30,000</v>
      </c>
      <c r="M2395" t="str">
        <f t="shared" si="1538"/>
        <v xml:space="preserve"> </v>
      </c>
      <c r="N2395" t="str">
        <f>"MICHELIN"</f>
        <v>MICHELIN</v>
      </c>
      <c r="O2395" t="str">
        <f t="shared" si="1534"/>
        <v>DISTRIBUCION</v>
      </c>
      <c r="P2395" t="str">
        <f t="shared" si="1558"/>
        <v>0</v>
      </c>
      <c r="Q2395" t="str">
        <f t="shared" si="1558"/>
        <v>0</v>
      </c>
      <c r="R2395" t="str">
        <f t="shared" si="1559"/>
        <v>0,00</v>
      </c>
      <c r="S2395" t="str">
        <f t="shared" si="1559"/>
        <v>0,00</v>
      </c>
      <c r="T2395" t="str">
        <f>"-"</f>
        <v>-</v>
      </c>
      <c r="U2395" t="str">
        <f>"-"</f>
        <v>-</v>
      </c>
      <c r="V2395" t="str">
        <f>"30,000"</f>
        <v>30,000</v>
      </c>
      <c r="W2395" t="str">
        <f t="shared" si="1539"/>
        <v>Lista 4</v>
      </c>
      <c r="X2395" t="str">
        <f t="shared" si="1540"/>
        <v>Lista 5</v>
      </c>
      <c r="Y2395" t="str">
        <f t="shared" si="1541"/>
        <v>Oferta Gral.</v>
      </c>
      <c r="Z2395" t="str">
        <f t="shared" si="1542"/>
        <v>Rubro</v>
      </c>
      <c r="AA2395" t="str">
        <f t="shared" si="1543"/>
        <v>Cantidad por Bulto</v>
      </c>
      <c r="AB2395" t="str">
        <f t="shared" si="1544"/>
        <v>INNER</v>
      </c>
      <c r="AC2395" t="str">
        <f t="shared" si="1545"/>
        <v>Stock en Bultos</v>
      </c>
      <c r="AD2395" t="str">
        <f t="shared" si="1546"/>
        <v>SubDepósito</v>
      </c>
      <c r="AE2395" t="str">
        <f t="shared" si="1547"/>
        <v>Marca</v>
      </c>
      <c r="AF2395" t="str">
        <f t="shared" si="1548"/>
        <v>Super Rubro</v>
      </c>
      <c r="AG2395" t="str">
        <f t="shared" si="1549"/>
        <v>ComercioExterior</v>
      </c>
      <c r="AH2395" t="str">
        <f t="shared" si="1550"/>
        <v>PrecioFOB</v>
      </c>
      <c r="AI2395" t="str">
        <f t="shared" si="1551"/>
        <v>Monto II</v>
      </c>
      <c r="AJ2395" t="str">
        <f t="shared" si="1552"/>
        <v>Porcentaje II</v>
      </c>
      <c r="AK2395" t="str">
        <f t="shared" si="1553"/>
        <v>Foto</v>
      </c>
      <c r="AL2395" t="str">
        <f>"{\rtf1\ansi\ansicpg1252\deff0\deflang2058{\fonttbl{\f0\fnil\fcharset0 MS Sans Serif}} \viewkind4\uc1\pard\f0\fs16 KIT DISTRIBUCION PEUGEOT 206 1.4 8V TU3 104 X 17\par } "</f>
        <v xml:space="preserve">{\rtf1\ansi\ansicpg1252\deff0\deflang2058{\fonttbl{\f0\fnil\fcharset0 MS Sans Serif}} \viewkind4\uc1\pard\f0\fs16 KIT DISTRIBUCION PEUGEOT 206 1.4 8V TU3 104 X 17\par } </v>
      </c>
      <c r="AM2395" t="str">
        <f t="shared" ref="AM2395:AM2422" si="1563">" "</f>
        <v xml:space="preserve"> </v>
      </c>
    </row>
    <row r="2396" spans="1:39" x14ac:dyDescent="0.25">
      <c r="A2396" t="str">
        <f>"LKTBN113"</f>
        <v>LKTBN113</v>
      </c>
      <c r="B2396" t="str">
        <f>"KIT DISTRIBUCION PEUGEOT 206 306 1,6 8V TU5JP 101D"</f>
        <v>KIT DISTRIBUCION PEUGEOT 206 306 1,6 8V TU5JP 101D</v>
      </c>
      <c r="C2396" t="str">
        <f>"$ 45517,90"</f>
        <v>$ 45517,90</v>
      </c>
      <c r="D2396" t="str">
        <f>"$ 45517,90"</f>
        <v>$ 45517,90</v>
      </c>
      <c r="E2396" t="str">
        <f>"$ 45517,90"</f>
        <v>$ 45517,90</v>
      </c>
      <c r="F2396" t="str">
        <f>"$ 45517,90"</f>
        <v>$ 45517,90</v>
      </c>
      <c r="G2396" t="str">
        <f>"$ 45517,90"</f>
        <v>$ 45517,90</v>
      </c>
      <c r="H2396" t="str">
        <f t="shared" si="1536"/>
        <v>$ 0,00</v>
      </c>
      <c r="I2396" t="str">
        <f>"KIT DE DISTRIBUCION LUCAS"</f>
        <v>KIT DE DISTRIBUCION LUCAS</v>
      </c>
      <c r="J2396" t="str">
        <f t="shared" si="1537"/>
        <v>1</v>
      </c>
      <c r="K2396" t="str">
        <f t="shared" si="1561"/>
        <v>0</v>
      </c>
      <c r="L2396" t="str">
        <f>"5,000"</f>
        <v>5,000</v>
      </c>
      <c r="M2396" t="str">
        <f t="shared" si="1538"/>
        <v xml:space="preserve"> </v>
      </c>
      <c r="N2396" t="str">
        <f>"LUCAS"</f>
        <v>LUCAS</v>
      </c>
      <c r="O2396" t="str">
        <f t="shared" si="1534"/>
        <v>DISTRIBUCION</v>
      </c>
      <c r="P2396" t="str">
        <f t="shared" si="1558"/>
        <v>0</v>
      </c>
      <c r="Q2396" t="str">
        <f t="shared" si="1558"/>
        <v>0</v>
      </c>
      <c r="R2396" t="str">
        <f t="shared" si="1559"/>
        <v>0,00</v>
      </c>
      <c r="S2396" t="str">
        <f t="shared" si="1559"/>
        <v>0,00</v>
      </c>
      <c r="T2396" t="str">
        <f>" "</f>
        <v xml:space="preserve"> </v>
      </c>
      <c r="U2396" t="str">
        <f>"-"</f>
        <v>-</v>
      </c>
      <c r="V2396" t="str">
        <f>"5,000"</f>
        <v>5,000</v>
      </c>
      <c r="W2396" t="str">
        <f t="shared" si="1539"/>
        <v>Lista 4</v>
      </c>
      <c r="X2396" t="str">
        <f t="shared" si="1540"/>
        <v>Lista 5</v>
      </c>
      <c r="Y2396" t="str">
        <f t="shared" si="1541"/>
        <v>Oferta Gral.</v>
      </c>
      <c r="Z2396" t="str">
        <f t="shared" si="1542"/>
        <v>Rubro</v>
      </c>
      <c r="AA2396" t="str">
        <f t="shared" si="1543"/>
        <v>Cantidad por Bulto</v>
      </c>
      <c r="AB2396" t="str">
        <f t="shared" si="1544"/>
        <v>INNER</v>
      </c>
      <c r="AC2396" t="str">
        <f t="shared" si="1545"/>
        <v>Stock en Bultos</v>
      </c>
      <c r="AD2396" t="str">
        <f t="shared" si="1546"/>
        <v>SubDepósito</v>
      </c>
      <c r="AE2396" t="str">
        <f t="shared" si="1547"/>
        <v>Marca</v>
      </c>
      <c r="AF2396" t="str">
        <f t="shared" si="1548"/>
        <v>Super Rubro</v>
      </c>
      <c r="AG2396" t="str">
        <f t="shared" si="1549"/>
        <v>ComercioExterior</v>
      </c>
      <c r="AH2396" t="str">
        <f t="shared" si="1550"/>
        <v>PrecioFOB</v>
      </c>
      <c r="AI2396" t="str">
        <f t="shared" si="1551"/>
        <v>Monto II</v>
      </c>
      <c r="AJ2396" t="str">
        <f t="shared" si="1552"/>
        <v>Porcentaje II</v>
      </c>
      <c r="AK2396" t="str">
        <f t="shared" si="1553"/>
        <v>Foto</v>
      </c>
      <c r="AL239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96" t="str">
        <f t="shared" si="1563"/>
        <v xml:space="preserve"> </v>
      </c>
    </row>
    <row r="2397" spans="1:39" x14ac:dyDescent="0.25">
      <c r="A2397" t="str">
        <f>"LKTBN333"</f>
        <v>LKTBN333</v>
      </c>
      <c r="B2397" t="str">
        <f>"KIT DISTRIBUCION PEUGEOT 206 307 CITROEN C3 1.6 16V TU5JP4 134D 25.4MM"</f>
        <v>KIT DISTRIBUCION PEUGEOT 206 307 CITROEN C3 1.6 16V TU5JP4 134D 25.4MM</v>
      </c>
      <c r="C2397" t="str">
        <f>"$ 146318,36"</f>
        <v>$ 146318,36</v>
      </c>
      <c r="D2397" t="str">
        <f>"$ 146318,36"</f>
        <v>$ 146318,36</v>
      </c>
      <c r="E2397" t="str">
        <f>"$ 146318,36"</f>
        <v>$ 146318,36</v>
      </c>
      <c r="F2397" t="str">
        <f>"$ 146318,36"</f>
        <v>$ 146318,36</v>
      </c>
      <c r="G2397" t="str">
        <f>"$ 146318,36"</f>
        <v>$ 146318,36</v>
      </c>
      <c r="H2397" t="str">
        <f t="shared" si="1536"/>
        <v>$ 0,00</v>
      </c>
      <c r="I2397" t="str">
        <f>"KIT DE DISTRIBUCION LUCAS"</f>
        <v>KIT DE DISTRIBUCION LUCAS</v>
      </c>
      <c r="J2397" t="str">
        <f t="shared" si="1537"/>
        <v>1</v>
      </c>
      <c r="K2397" t="str">
        <f t="shared" si="1561"/>
        <v>0</v>
      </c>
      <c r="L2397" t="str">
        <f>"6,000"</f>
        <v>6,000</v>
      </c>
      <c r="M2397" t="str">
        <f t="shared" si="1538"/>
        <v xml:space="preserve"> </v>
      </c>
      <c r="N2397" t="str">
        <f>"LUCAS"</f>
        <v>LUCAS</v>
      </c>
      <c r="O2397" t="str">
        <f t="shared" si="1534"/>
        <v>DISTRIBUCION</v>
      </c>
      <c r="P2397" t="str">
        <f t="shared" si="1558"/>
        <v>0</v>
      </c>
      <c r="Q2397" t="str">
        <f t="shared" si="1558"/>
        <v>0</v>
      </c>
      <c r="R2397" t="str">
        <f t="shared" si="1559"/>
        <v>0,00</v>
      </c>
      <c r="S2397" t="str">
        <f t="shared" si="1559"/>
        <v>0,00</v>
      </c>
      <c r="T2397" t="str">
        <f>" "</f>
        <v xml:space="preserve"> </v>
      </c>
      <c r="U2397" t="str">
        <f>" "</f>
        <v xml:space="preserve"> </v>
      </c>
      <c r="V2397" t="str">
        <f>"6,000"</f>
        <v>6,000</v>
      </c>
      <c r="W2397" t="str">
        <f t="shared" si="1539"/>
        <v>Lista 4</v>
      </c>
      <c r="X2397" t="str">
        <f t="shared" si="1540"/>
        <v>Lista 5</v>
      </c>
      <c r="Y2397" t="str">
        <f t="shared" si="1541"/>
        <v>Oferta Gral.</v>
      </c>
      <c r="Z2397" t="str">
        <f t="shared" si="1542"/>
        <v>Rubro</v>
      </c>
      <c r="AA2397" t="str">
        <f t="shared" si="1543"/>
        <v>Cantidad por Bulto</v>
      </c>
      <c r="AB2397" t="str">
        <f t="shared" si="1544"/>
        <v>INNER</v>
      </c>
      <c r="AC2397" t="str">
        <f t="shared" si="1545"/>
        <v>Stock en Bultos</v>
      </c>
      <c r="AD2397" t="str">
        <f t="shared" si="1546"/>
        <v>SubDepósito</v>
      </c>
      <c r="AE2397" t="str">
        <f t="shared" si="1547"/>
        <v>Marca</v>
      </c>
      <c r="AF2397" t="str">
        <f t="shared" si="1548"/>
        <v>Super Rubro</v>
      </c>
      <c r="AG2397" t="str">
        <f t="shared" si="1549"/>
        <v>ComercioExterior</v>
      </c>
      <c r="AH2397" t="str">
        <f t="shared" si="1550"/>
        <v>PrecioFOB</v>
      </c>
      <c r="AI2397" t="str">
        <f t="shared" si="1551"/>
        <v>Monto II</v>
      </c>
      <c r="AJ2397" t="str">
        <f t="shared" si="1552"/>
        <v>Porcentaje II</v>
      </c>
      <c r="AK2397" t="str">
        <f t="shared" si="1553"/>
        <v>Foto</v>
      </c>
      <c r="AL239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97" t="str">
        <f t="shared" si="1563"/>
        <v xml:space="preserve"> </v>
      </c>
    </row>
    <row r="2398" spans="1:39" x14ac:dyDescent="0.25">
      <c r="A2398" t="str">
        <f>"LKTBN417"</f>
        <v>LKTBN417</v>
      </c>
      <c r="B2398" t="str">
        <f>"KIT DISTRIBUCION PEUGEOT 206 307 CITROEN C3 C4 MOTOR 1.6 16V TU5JP4"</f>
        <v>KIT DISTRIBUCION PEUGEOT 206 307 CITROEN C3 C4 MOTOR 1.6 16V TU5JP4</v>
      </c>
      <c r="C2398" t="str">
        <f>"$ 103530,89"</f>
        <v>$ 103530,89</v>
      </c>
      <c r="D2398" t="str">
        <f>"$ 103530,89"</f>
        <v>$ 103530,89</v>
      </c>
      <c r="E2398" t="str">
        <f>"$ 103530,89"</f>
        <v>$ 103530,89</v>
      </c>
      <c r="F2398" t="str">
        <f>"$ 103530,89"</f>
        <v>$ 103530,89</v>
      </c>
      <c r="G2398" t="str">
        <f>"$ 103530,89"</f>
        <v>$ 103530,89</v>
      </c>
      <c r="H2398" t="str">
        <f t="shared" si="1536"/>
        <v>$ 0,00</v>
      </c>
      <c r="I2398" t="str">
        <f>"KIT DE DISTRIBUCION LUCAS"</f>
        <v>KIT DE DISTRIBUCION LUCAS</v>
      </c>
      <c r="J2398" t="str">
        <f t="shared" si="1537"/>
        <v>1</v>
      </c>
      <c r="K2398" t="str">
        <f t="shared" si="1561"/>
        <v>0</v>
      </c>
      <c r="L2398" t="str">
        <f>"7,000"</f>
        <v>7,000</v>
      </c>
      <c r="M2398" t="str">
        <f t="shared" si="1538"/>
        <v xml:space="preserve"> </v>
      </c>
      <c r="N2398" t="str">
        <f>"LUCAS"</f>
        <v>LUCAS</v>
      </c>
      <c r="O2398" t="str">
        <f t="shared" si="1534"/>
        <v>DISTRIBUCION</v>
      </c>
      <c r="P2398" t="str">
        <f t="shared" si="1558"/>
        <v>0</v>
      </c>
      <c r="Q2398" t="str">
        <f t="shared" si="1558"/>
        <v>0</v>
      </c>
      <c r="R2398" t="str">
        <f t="shared" si="1559"/>
        <v>0,00</v>
      </c>
      <c r="S2398" t="str">
        <f t="shared" si="1559"/>
        <v>0,00</v>
      </c>
      <c r="T2398" t="str">
        <f>" "</f>
        <v xml:space="preserve"> </v>
      </c>
      <c r="U2398" t="str">
        <f>" "</f>
        <v xml:space="preserve"> </v>
      </c>
      <c r="V2398" t="str">
        <f>"7,000"</f>
        <v>7,000</v>
      </c>
      <c r="W2398" t="str">
        <f t="shared" si="1539"/>
        <v>Lista 4</v>
      </c>
      <c r="X2398" t="str">
        <f t="shared" si="1540"/>
        <v>Lista 5</v>
      </c>
      <c r="Y2398" t="str">
        <f t="shared" si="1541"/>
        <v>Oferta Gral.</v>
      </c>
      <c r="Z2398" t="str">
        <f t="shared" si="1542"/>
        <v>Rubro</v>
      </c>
      <c r="AA2398" t="str">
        <f t="shared" si="1543"/>
        <v>Cantidad por Bulto</v>
      </c>
      <c r="AB2398" t="str">
        <f t="shared" si="1544"/>
        <v>INNER</v>
      </c>
      <c r="AC2398" t="str">
        <f t="shared" si="1545"/>
        <v>Stock en Bultos</v>
      </c>
      <c r="AD2398" t="str">
        <f t="shared" si="1546"/>
        <v>SubDepósito</v>
      </c>
      <c r="AE2398" t="str">
        <f t="shared" si="1547"/>
        <v>Marca</v>
      </c>
      <c r="AF2398" t="str">
        <f t="shared" si="1548"/>
        <v>Super Rubro</v>
      </c>
      <c r="AG2398" t="str">
        <f t="shared" si="1549"/>
        <v>ComercioExterior</v>
      </c>
      <c r="AH2398" t="str">
        <f t="shared" si="1550"/>
        <v>PrecioFOB</v>
      </c>
      <c r="AI2398" t="str">
        <f t="shared" si="1551"/>
        <v>Monto II</v>
      </c>
      <c r="AJ2398" t="str">
        <f t="shared" si="1552"/>
        <v>Porcentaje II</v>
      </c>
      <c r="AK2398" t="str">
        <f t="shared" si="1553"/>
        <v>Foto</v>
      </c>
      <c r="AL2398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98" t="str">
        <f t="shared" si="1563"/>
        <v xml:space="preserve"> </v>
      </c>
    </row>
    <row r="2399" spans="1:39" x14ac:dyDescent="0.25">
      <c r="A2399" t="str">
        <f>"LKTBN114"</f>
        <v>LKTBN114</v>
      </c>
      <c r="B2399" t="str">
        <f>"KIT DISTRIBUCION PEUGEOT 306 PARTNER CITROEN BERLINGO XSARA  XU7JP XU10J2"</f>
        <v>KIT DISTRIBUCION PEUGEOT 306 PARTNER CITROEN BERLINGO XSARA  XU7JP XU10J2</v>
      </c>
      <c r="C2399" t="str">
        <f>"$ 47595,33"</f>
        <v>$ 47595,33</v>
      </c>
      <c r="D2399" t="str">
        <f>"$ 47595,33"</f>
        <v>$ 47595,33</v>
      </c>
      <c r="E2399" t="str">
        <f>"$ 47595,33"</f>
        <v>$ 47595,33</v>
      </c>
      <c r="F2399" t="str">
        <f>"$ 47595,33"</f>
        <v>$ 47595,33</v>
      </c>
      <c r="G2399" t="str">
        <f>"$ 47595,33"</f>
        <v>$ 47595,33</v>
      </c>
      <c r="H2399" t="str">
        <f t="shared" si="1536"/>
        <v>$ 0,00</v>
      </c>
      <c r="I2399" t="str">
        <f>"KIT DE DISTRIBUCION LUCAS"</f>
        <v>KIT DE DISTRIBUCION LUCAS</v>
      </c>
      <c r="J2399" t="str">
        <f t="shared" si="1537"/>
        <v>1</v>
      </c>
      <c r="K2399" t="str">
        <f t="shared" si="1561"/>
        <v>0</v>
      </c>
      <c r="L2399" t="str">
        <f>"8,000"</f>
        <v>8,000</v>
      </c>
      <c r="M2399" t="str">
        <f t="shared" si="1538"/>
        <v xml:space="preserve"> </v>
      </c>
      <c r="N2399" t="str">
        <f>"LUCAS"</f>
        <v>LUCAS</v>
      </c>
      <c r="O2399" t="str">
        <f t="shared" si="1534"/>
        <v>DISTRIBUCION</v>
      </c>
      <c r="P2399" t="str">
        <f t="shared" si="1558"/>
        <v>0</v>
      </c>
      <c r="Q2399" t="str">
        <f t="shared" si="1558"/>
        <v>0</v>
      </c>
      <c r="R2399" t="str">
        <f t="shared" si="1559"/>
        <v>0,00</v>
      </c>
      <c r="S2399" t="str">
        <f t="shared" si="1559"/>
        <v>0,00</v>
      </c>
      <c r="T2399" t="str">
        <f>" "</f>
        <v xml:space="preserve"> </v>
      </c>
      <c r="U2399" t="str">
        <f>" "</f>
        <v xml:space="preserve"> </v>
      </c>
      <c r="V2399" t="str">
        <f>"8,000"</f>
        <v>8,000</v>
      </c>
      <c r="W2399" t="str">
        <f t="shared" si="1539"/>
        <v>Lista 4</v>
      </c>
      <c r="X2399" t="str">
        <f t="shared" si="1540"/>
        <v>Lista 5</v>
      </c>
      <c r="Y2399" t="str">
        <f t="shared" si="1541"/>
        <v>Oferta Gral.</v>
      </c>
      <c r="Z2399" t="str">
        <f t="shared" si="1542"/>
        <v>Rubro</v>
      </c>
      <c r="AA2399" t="str">
        <f t="shared" si="1543"/>
        <v>Cantidad por Bulto</v>
      </c>
      <c r="AB2399" t="str">
        <f t="shared" si="1544"/>
        <v>INNER</v>
      </c>
      <c r="AC2399" t="str">
        <f t="shared" si="1545"/>
        <v>Stock en Bultos</v>
      </c>
      <c r="AD2399" t="str">
        <f t="shared" si="1546"/>
        <v>SubDepósito</v>
      </c>
      <c r="AE2399" t="str">
        <f t="shared" si="1547"/>
        <v>Marca</v>
      </c>
      <c r="AF2399" t="str">
        <f t="shared" si="1548"/>
        <v>Super Rubro</v>
      </c>
      <c r="AG2399" t="str">
        <f t="shared" si="1549"/>
        <v>ComercioExterior</v>
      </c>
      <c r="AH2399" t="str">
        <f t="shared" si="1550"/>
        <v>PrecioFOB</v>
      </c>
      <c r="AI2399" t="str">
        <f t="shared" si="1551"/>
        <v>Monto II</v>
      </c>
      <c r="AJ2399" t="str">
        <f t="shared" si="1552"/>
        <v>Porcentaje II</v>
      </c>
      <c r="AK2399" t="str">
        <f t="shared" si="1553"/>
        <v>Foto</v>
      </c>
      <c r="AL2399" t="str">
        <f>"{\rtf1\ansi\ansicpg1252\deff0\deflang11274{\fonttbl{\f0\fnil\fcharset0 MS Sans Serif}} \viewkind4\uc1\pard\f0\fs16 KIT DISTRIBUCION PEUGEOT 306 PARTNER CITROEN BERLINGO XSARA  XU7JP XU10J2\par } "</f>
        <v xml:space="preserve">{\rtf1\ansi\ansicpg1252\deff0\deflang11274{\fonttbl{\f0\fnil\fcharset0 MS Sans Serif}} \viewkind4\uc1\pard\f0\fs16 KIT DISTRIBUCION PEUGEOT 306 PARTNER CITROEN BERLINGO XSARA  XU7JP XU10J2\par } </v>
      </c>
      <c r="AM2399" t="str">
        <f t="shared" si="1563"/>
        <v xml:space="preserve"> </v>
      </c>
    </row>
    <row r="2400" spans="1:39" x14ac:dyDescent="0.25">
      <c r="A2400" t="str">
        <f>"FM030581"</f>
        <v>FM030581</v>
      </c>
      <c r="B2400" t="str">
        <f>"KIT DISTRIBUCION PEUGEOT 307 1.6 16V 134 X 254"</f>
        <v>KIT DISTRIBUCION PEUGEOT 307 1.6 16V 134 X 254</v>
      </c>
      <c r="C2400" t="str">
        <f>"$ 117630,35"</f>
        <v>$ 117630,35</v>
      </c>
      <c r="D2400" t="str">
        <f>"$ 117630,35"</f>
        <v>$ 117630,35</v>
      </c>
      <c r="E2400" t="str">
        <f>"$ 117630,35"</f>
        <v>$ 117630,35</v>
      </c>
      <c r="F2400" t="str">
        <f>"$ 117630,35"</f>
        <v>$ 117630,35</v>
      </c>
      <c r="G2400" t="str">
        <f>"$ 117630,35"</f>
        <v>$ 117630,35</v>
      </c>
      <c r="H2400" t="str">
        <f t="shared" si="1536"/>
        <v>$ 0,00</v>
      </c>
      <c r="I2400" t="str">
        <f>"KIT DE DISTRIBUCION MICHELIN"</f>
        <v>KIT DE DISTRIBUCION MICHELIN</v>
      </c>
      <c r="J2400" t="str">
        <f t="shared" si="1537"/>
        <v>1</v>
      </c>
      <c r="K2400" t="str">
        <f t="shared" si="1561"/>
        <v>0</v>
      </c>
      <c r="L2400" t="str">
        <f>"14,000"</f>
        <v>14,000</v>
      </c>
      <c r="M2400" t="str">
        <f t="shared" si="1538"/>
        <v xml:space="preserve"> </v>
      </c>
      <c r="N2400" t="str">
        <f>"MICHELIN"</f>
        <v>MICHELIN</v>
      </c>
      <c r="O2400" t="str">
        <f t="shared" si="1534"/>
        <v>DISTRIBUCION</v>
      </c>
      <c r="P2400" t="str">
        <f t="shared" si="1558"/>
        <v>0</v>
      </c>
      <c r="Q2400" t="str">
        <f t="shared" si="1558"/>
        <v>0</v>
      </c>
      <c r="R2400" t="str">
        <f t="shared" si="1559"/>
        <v>0,00</v>
      </c>
      <c r="S2400" t="str">
        <f t="shared" si="1559"/>
        <v>0,00</v>
      </c>
      <c r="T2400" t="str">
        <f>"-"</f>
        <v>-</v>
      </c>
      <c r="U2400" t="str">
        <f>"-"</f>
        <v>-</v>
      </c>
      <c r="V2400" t="str">
        <f>"14,000"</f>
        <v>14,000</v>
      </c>
      <c r="W2400" t="str">
        <f t="shared" si="1539"/>
        <v>Lista 4</v>
      </c>
      <c r="X2400" t="str">
        <f t="shared" si="1540"/>
        <v>Lista 5</v>
      </c>
      <c r="Y2400" t="str">
        <f t="shared" si="1541"/>
        <v>Oferta Gral.</v>
      </c>
      <c r="Z2400" t="str">
        <f t="shared" si="1542"/>
        <v>Rubro</v>
      </c>
      <c r="AA2400" t="str">
        <f t="shared" si="1543"/>
        <v>Cantidad por Bulto</v>
      </c>
      <c r="AB2400" t="str">
        <f t="shared" si="1544"/>
        <v>INNER</v>
      </c>
      <c r="AC2400" t="str">
        <f t="shared" si="1545"/>
        <v>Stock en Bultos</v>
      </c>
      <c r="AD2400" t="str">
        <f t="shared" si="1546"/>
        <v>SubDepósito</v>
      </c>
      <c r="AE2400" t="str">
        <f t="shared" si="1547"/>
        <v>Marca</v>
      </c>
      <c r="AF2400" t="str">
        <f t="shared" si="1548"/>
        <v>Super Rubro</v>
      </c>
      <c r="AG2400" t="str">
        <f t="shared" si="1549"/>
        <v>ComercioExterior</v>
      </c>
      <c r="AH2400" t="str">
        <f t="shared" si="1550"/>
        <v>PrecioFOB</v>
      </c>
      <c r="AI2400" t="str">
        <f t="shared" si="1551"/>
        <v>Monto II</v>
      </c>
      <c r="AJ2400" t="str">
        <f t="shared" si="1552"/>
        <v>Porcentaje II</v>
      </c>
      <c r="AK2400" t="str">
        <f t="shared" si="1553"/>
        <v>Foto</v>
      </c>
      <c r="AL2400" t="str">
        <f>"{\rtf1\ansi\ansicpg1252\deff0\deflang2058{\fonttbl{\f0\fnil\fcharset0 MS Sans Serif}} \viewkind4\uc1\pard\f0\fs16 KIT DISTRIBUCION PEUGEOT 307 1.6 16V 134 X 254\par } "</f>
        <v xml:space="preserve">{\rtf1\ansi\ansicpg1252\deff0\deflang2058{\fonttbl{\f0\fnil\fcharset0 MS Sans Serif}} \viewkind4\uc1\pard\f0\fs16 KIT DISTRIBUCION PEUGEOT 307 1.6 16V 134 X 254\par } </v>
      </c>
      <c r="AM2400" t="str">
        <f t="shared" si="1563"/>
        <v xml:space="preserve"> </v>
      </c>
    </row>
    <row r="2401" spans="1:39" x14ac:dyDescent="0.25">
      <c r="A2401" t="str">
        <f>"FM030524"</f>
        <v>FM030524</v>
      </c>
      <c r="B2401" t="str">
        <f>"KIT DISTRIBUCION PEUGEOT 307 2.0 HDI 141 X 254"</f>
        <v>KIT DISTRIBUCION PEUGEOT 307 2.0 HDI 141 X 254</v>
      </c>
      <c r="C2401" t="str">
        <f>"$ 107826,38"</f>
        <v>$ 107826,38</v>
      </c>
      <c r="D2401" t="str">
        <f>"$ 107826,38"</f>
        <v>$ 107826,38</v>
      </c>
      <c r="E2401" t="str">
        <f>"$ 107826,38"</f>
        <v>$ 107826,38</v>
      </c>
      <c r="F2401" t="str">
        <f>"$ 107826,38"</f>
        <v>$ 107826,38</v>
      </c>
      <c r="G2401" t="str">
        <f>"$ 107826,38"</f>
        <v>$ 107826,38</v>
      </c>
      <c r="H2401" t="str">
        <f t="shared" si="1536"/>
        <v>$ 0,00</v>
      </c>
      <c r="I2401" t="str">
        <f>"KIT DE DISTRIBUCION MICHELIN"</f>
        <v>KIT DE DISTRIBUCION MICHELIN</v>
      </c>
      <c r="J2401" t="str">
        <f t="shared" si="1537"/>
        <v>1</v>
      </c>
      <c r="K2401" t="str">
        <f t="shared" si="1561"/>
        <v>0</v>
      </c>
      <c r="L2401" t="str">
        <f>"6,000"</f>
        <v>6,000</v>
      </c>
      <c r="M2401" t="str">
        <f t="shared" si="1538"/>
        <v xml:space="preserve"> </v>
      </c>
      <c r="N2401" t="str">
        <f>"MICHELIN"</f>
        <v>MICHELIN</v>
      </c>
      <c r="O2401" t="str">
        <f t="shared" si="1534"/>
        <v>DISTRIBUCION</v>
      </c>
      <c r="P2401" t="str">
        <f t="shared" si="1558"/>
        <v>0</v>
      </c>
      <c r="Q2401" t="str">
        <f t="shared" si="1558"/>
        <v>0</v>
      </c>
      <c r="R2401" t="str">
        <f t="shared" si="1559"/>
        <v>0,00</v>
      </c>
      <c r="S2401" t="str">
        <f t="shared" si="1559"/>
        <v>0,00</v>
      </c>
      <c r="T2401" t="str">
        <f>"-"</f>
        <v>-</v>
      </c>
      <c r="U2401" t="str">
        <f>"-"</f>
        <v>-</v>
      </c>
      <c r="V2401" t="str">
        <f>"6,000"</f>
        <v>6,000</v>
      </c>
      <c r="W2401" t="str">
        <f t="shared" si="1539"/>
        <v>Lista 4</v>
      </c>
      <c r="X2401" t="str">
        <f t="shared" si="1540"/>
        <v>Lista 5</v>
      </c>
      <c r="Y2401" t="str">
        <f t="shared" si="1541"/>
        <v>Oferta Gral.</v>
      </c>
      <c r="Z2401" t="str">
        <f t="shared" si="1542"/>
        <v>Rubro</v>
      </c>
      <c r="AA2401" t="str">
        <f t="shared" si="1543"/>
        <v>Cantidad por Bulto</v>
      </c>
      <c r="AB2401" t="str">
        <f t="shared" si="1544"/>
        <v>INNER</v>
      </c>
      <c r="AC2401" t="str">
        <f t="shared" si="1545"/>
        <v>Stock en Bultos</v>
      </c>
      <c r="AD2401" t="str">
        <f t="shared" si="1546"/>
        <v>SubDepósito</v>
      </c>
      <c r="AE2401" t="str">
        <f t="shared" si="1547"/>
        <v>Marca</v>
      </c>
      <c r="AF2401" t="str">
        <f t="shared" si="1548"/>
        <v>Super Rubro</v>
      </c>
      <c r="AG2401" t="str">
        <f t="shared" si="1549"/>
        <v>ComercioExterior</v>
      </c>
      <c r="AH2401" t="str">
        <f t="shared" si="1550"/>
        <v>PrecioFOB</v>
      </c>
      <c r="AI2401" t="str">
        <f t="shared" si="1551"/>
        <v>Monto II</v>
      </c>
      <c r="AJ2401" t="str">
        <f t="shared" si="1552"/>
        <v>Porcentaje II</v>
      </c>
      <c r="AK2401" t="str">
        <f t="shared" si="1553"/>
        <v>Foto</v>
      </c>
      <c r="AL2401" t="str">
        <f>"{\rtf1\ansi\ansicpg1252\deff0\deflang2058{\fonttbl{\f0\fnil\fcharset0 MS Sans Serif}} \viewkind4\uc1\pard\f0\fs16 KIT DISTRIBUCION PEUGEOT 307 2.0 HDI 141 X 254\par } "</f>
        <v xml:space="preserve">{\rtf1\ansi\ansicpg1252\deff0\deflang2058{\fonttbl{\f0\fnil\fcharset0 MS Sans Serif}} \viewkind4\uc1\pard\f0\fs16 KIT DISTRIBUCION PEUGEOT 307 2.0 HDI 141 X 254\par } </v>
      </c>
      <c r="AM2401" t="str">
        <f t="shared" si="1563"/>
        <v xml:space="preserve"> </v>
      </c>
    </row>
    <row r="2402" spans="1:39" x14ac:dyDescent="0.25">
      <c r="A2402" t="str">
        <f>"LKTBN959"</f>
        <v>LKTBN959</v>
      </c>
      <c r="B2402" t="str">
        <f>"KIT DISTRIBUCION PEUGEOT 307 308 408 CITROEN C4  1.6 HDI DIESEL"</f>
        <v>KIT DISTRIBUCION PEUGEOT 307 308 408 CITROEN C4  1.6 HDI DIESEL</v>
      </c>
      <c r="C2402" t="str">
        <f>"$ 147866,05"</f>
        <v>$ 147866,05</v>
      </c>
      <c r="D2402" t="str">
        <f>"$ 147866,05"</f>
        <v>$ 147866,05</v>
      </c>
      <c r="E2402" t="str">
        <f>"$ 147866,05"</f>
        <v>$ 147866,05</v>
      </c>
      <c r="F2402" t="str">
        <f>"$ 147866,05"</f>
        <v>$ 147866,05</v>
      </c>
      <c r="G2402" t="str">
        <f>"$ 147866,05"</f>
        <v>$ 147866,05</v>
      </c>
      <c r="H2402" t="str">
        <f t="shared" si="1536"/>
        <v>$ 0,00</v>
      </c>
      <c r="I2402" t="str">
        <f>"KIT DE DISTRIBUCION LUCAS"</f>
        <v>KIT DE DISTRIBUCION LUCAS</v>
      </c>
      <c r="J2402" t="str">
        <f t="shared" si="1537"/>
        <v>1</v>
      </c>
      <c r="K2402" t="str">
        <f t="shared" si="1561"/>
        <v>0</v>
      </c>
      <c r="L2402" t="str">
        <f>"6,000"</f>
        <v>6,000</v>
      </c>
      <c r="M2402" t="str">
        <f t="shared" si="1538"/>
        <v xml:space="preserve"> </v>
      </c>
      <c r="N2402" t="str">
        <f>"LUCAS"</f>
        <v>LUCAS</v>
      </c>
      <c r="O2402" t="str">
        <f t="shared" ref="O2402:O2433" si="1564">"DISTRIBUCION"</f>
        <v>DISTRIBUCION</v>
      </c>
      <c r="P2402" t="str">
        <f t="shared" si="1558"/>
        <v>0</v>
      </c>
      <c r="Q2402" t="str">
        <f t="shared" si="1558"/>
        <v>0</v>
      </c>
      <c r="R2402" t="str">
        <f t="shared" si="1559"/>
        <v>0,00</v>
      </c>
      <c r="S2402" t="str">
        <f t="shared" si="1559"/>
        <v>0,00</v>
      </c>
      <c r="T2402" t="str">
        <f>" "</f>
        <v xml:space="preserve"> </v>
      </c>
      <c r="U2402" t="str">
        <f>" "</f>
        <v xml:space="preserve"> </v>
      </c>
      <c r="V2402" t="str">
        <f>"6,000"</f>
        <v>6,000</v>
      </c>
      <c r="W2402" t="str">
        <f t="shared" si="1539"/>
        <v>Lista 4</v>
      </c>
      <c r="X2402" t="str">
        <f t="shared" si="1540"/>
        <v>Lista 5</v>
      </c>
      <c r="Y2402" t="str">
        <f t="shared" si="1541"/>
        <v>Oferta Gral.</v>
      </c>
      <c r="Z2402" t="str">
        <f t="shared" si="1542"/>
        <v>Rubro</v>
      </c>
      <c r="AA2402" t="str">
        <f t="shared" si="1543"/>
        <v>Cantidad por Bulto</v>
      </c>
      <c r="AB2402" t="str">
        <f t="shared" si="1544"/>
        <v>INNER</v>
      </c>
      <c r="AC2402" t="str">
        <f t="shared" si="1545"/>
        <v>Stock en Bultos</v>
      </c>
      <c r="AD2402" t="str">
        <f t="shared" si="1546"/>
        <v>SubDepósito</v>
      </c>
      <c r="AE2402" t="str">
        <f t="shared" si="1547"/>
        <v>Marca</v>
      </c>
      <c r="AF2402" t="str">
        <f t="shared" si="1548"/>
        <v>Super Rubro</v>
      </c>
      <c r="AG2402" t="str">
        <f t="shared" si="1549"/>
        <v>ComercioExterior</v>
      </c>
      <c r="AH2402" t="str">
        <f t="shared" si="1550"/>
        <v>PrecioFOB</v>
      </c>
      <c r="AI2402" t="str">
        <f t="shared" si="1551"/>
        <v>Monto II</v>
      </c>
      <c r="AJ2402" t="str">
        <f t="shared" si="1552"/>
        <v>Porcentaje II</v>
      </c>
      <c r="AK2402" t="str">
        <f t="shared" si="1553"/>
        <v>Foto</v>
      </c>
      <c r="AL2402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02" t="str">
        <f t="shared" si="1563"/>
        <v xml:space="preserve"> </v>
      </c>
    </row>
    <row r="2403" spans="1:39" x14ac:dyDescent="0.25">
      <c r="A2403" t="str">
        <f>"LKTBN534"</f>
        <v>LKTBN534</v>
      </c>
      <c r="B2403" t="str">
        <f>"KIT DISTRIBUCION PEUGEOT 307 406 CITROEN C4 2.0 HDI 141D"</f>
        <v>KIT DISTRIBUCION PEUGEOT 307 406 CITROEN C4 2.0 HDI 141D</v>
      </c>
      <c r="C2403" t="str">
        <f>"$ 92466,33"</f>
        <v>$ 92466,33</v>
      </c>
      <c r="D2403" t="str">
        <f>"$ 92466,33"</f>
        <v>$ 92466,33</v>
      </c>
      <c r="E2403" t="str">
        <f>"$ 92466,33"</f>
        <v>$ 92466,33</v>
      </c>
      <c r="F2403" t="str">
        <f>"$ 92466,33"</f>
        <v>$ 92466,33</v>
      </c>
      <c r="G2403" t="str">
        <f>"$ 92466,33"</f>
        <v>$ 92466,33</v>
      </c>
      <c r="H2403" t="str">
        <f t="shared" si="1536"/>
        <v>$ 0,00</v>
      </c>
      <c r="I2403" t="str">
        <f>"KIT DE DISTRIBUCION LUCAS"</f>
        <v>KIT DE DISTRIBUCION LUCAS</v>
      </c>
      <c r="J2403" t="str">
        <f t="shared" si="1537"/>
        <v>1</v>
      </c>
      <c r="K2403" t="str">
        <f t="shared" si="1561"/>
        <v>0</v>
      </c>
      <c r="L2403" t="str">
        <f>"2,000"</f>
        <v>2,000</v>
      </c>
      <c r="M2403" t="str">
        <f t="shared" si="1538"/>
        <v xml:space="preserve"> </v>
      </c>
      <c r="N2403" t="str">
        <f>"LUCAS"</f>
        <v>LUCAS</v>
      </c>
      <c r="O2403" t="str">
        <f t="shared" si="1564"/>
        <v>DISTRIBUCION</v>
      </c>
      <c r="P2403" t="str">
        <f t="shared" ref="P2403:Q2422" si="1565">"0"</f>
        <v>0</v>
      </c>
      <c r="Q2403" t="str">
        <f t="shared" si="1565"/>
        <v>0</v>
      </c>
      <c r="R2403" t="str">
        <f t="shared" ref="R2403:S2422" si="1566">"0,00"</f>
        <v>0,00</v>
      </c>
      <c r="S2403" t="str">
        <f t="shared" si="1566"/>
        <v>0,00</v>
      </c>
      <c r="T2403" t="str">
        <f>" "</f>
        <v xml:space="preserve"> </v>
      </c>
      <c r="U2403" t="str">
        <f>"-"</f>
        <v>-</v>
      </c>
      <c r="V2403" t="str">
        <f>"2,000"</f>
        <v>2,000</v>
      </c>
      <c r="W2403" t="str">
        <f t="shared" si="1539"/>
        <v>Lista 4</v>
      </c>
      <c r="X2403" t="str">
        <f t="shared" si="1540"/>
        <v>Lista 5</v>
      </c>
      <c r="Y2403" t="str">
        <f t="shared" si="1541"/>
        <v>Oferta Gral.</v>
      </c>
      <c r="Z2403" t="str">
        <f t="shared" si="1542"/>
        <v>Rubro</v>
      </c>
      <c r="AA2403" t="str">
        <f t="shared" si="1543"/>
        <v>Cantidad por Bulto</v>
      </c>
      <c r="AB2403" t="str">
        <f t="shared" si="1544"/>
        <v>INNER</v>
      </c>
      <c r="AC2403" t="str">
        <f t="shared" si="1545"/>
        <v>Stock en Bultos</v>
      </c>
      <c r="AD2403" t="str">
        <f t="shared" si="1546"/>
        <v>SubDepósito</v>
      </c>
      <c r="AE2403" t="str">
        <f t="shared" si="1547"/>
        <v>Marca</v>
      </c>
      <c r="AF2403" t="str">
        <f t="shared" si="1548"/>
        <v>Super Rubro</v>
      </c>
      <c r="AG2403" t="str">
        <f t="shared" si="1549"/>
        <v>ComercioExterior</v>
      </c>
      <c r="AH2403" t="str">
        <f t="shared" si="1550"/>
        <v>PrecioFOB</v>
      </c>
      <c r="AI2403" t="str">
        <f t="shared" si="1551"/>
        <v>Monto II</v>
      </c>
      <c r="AJ2403" t="str">
        <f t="shared" si="1552"/>
        <v>Porcentaje II</v>
      </c>
      <c r="AK2403" t="str">
        <f t="shared" si="1553"/>
        <v>Foto</v>
      </c>
      <c r="AL240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403" t="str">
        <f t="shared" si="1563"/>
        <v xml:space="preserve"> </v>
      </c>
    </row>
    <row r="2404" spans="1:39" x14ac:dyDescent="0.25">
      <c r="A2404" t="str">
        <f>"FM010581"</f>
        <v>FM010581</v>
      </c>
      <c r="B2404" t="str">
        <f>"KIT DISTRIBUCION PEUGEOT 307 TU5JP4 134 X 254"</f>
        <v>KIT DISTRIBUCION PEUGEOT 307 TU5JP4 134 X 254</v>
      </c>
      <c r="C2404" t="str">
        <f>"$ 146998,97"</f>
        <v>$ 146998,97</v>
      </c>
      <c r="D2404" t="str">
        <f>"$ 146998,97"</f>
        <v>$ 146998,97</v>
      </c>
      <c r="E2404" t="str">
        <f>"$ 146998,97"</f>
        <v>$ 146998,97</v>
      </c>
      <c r="F2404" t="str">
        <f>"$ 146998,97"</f>
        <v>$ 146998,97</v>
      </c>
      <c r="G2404" t="str">
        <f>"$ 146998,97"</f>
        <v>$ 146998,97</v>
      </c>
      <c r="H2404" t="str">
        <f t="shared" si="1536"/>
        <v>$ 0,00</v>
      </c>
      <c r="I2404" t="str">
        <f>"KIT DE DISTRIBUCION MICHELIN"</f>
        <v>KIT DE DISTRIBUCION MICHELIN</v>
      </c>
      <c r="J2404" t="str">
        <f t="shared" si="1537"/>
        <v>1</v>
      </c>
      <c r="K2404" t="str">
        <f t="shared" si="1561"/>
        <v>0</v>
      </c>
      <c r="L2404" t="str">
        <f>"11,000"</f>
        <v>11,000</v>
      </c>
      <c r="M2404" t="str">
        <f t="shared" si="1538"/>
        <v xml:space="preserve"> </v>
      </c>
      <c r="N2404" t="str">
        <f>"MICHELIN"</f>
        <v>MICHELIN</v>
      </c>
      <c r="O2404" t="str">
        <f t="shared" si="1564"/>
        <v>DISTRIBUCION</v>
      </c>
      <c r="P2404" t="str">
        <f t="shared" si="1565"/>
        <v>0</v>
      </c>
      <c r="Q2404" t="str">
        <f t="shared" si="1565"/>
        <v>0</v>
      </c>
      <c r="R2404" t="str">
        <f t="shared" si="1566"/>
        <v>0,00</v>
      </c>
      <c r="S2404" t="str">
        <f t="shared" si="1566"/>
        <v>0,00</v>
      </c>
      <c r="T2404" t="str">
        <f>"-"</f>
        <v>-</v>
      </c>
      <c r="U2404" t="str">
        <f>"-"</f>
        <v>-</v>
      </c>
      <c r="V2404" t="str">
        <f>"11,000"</f>
        <v>11,000</v>
      </c>
      <c r="W2404" t="str">
        <f t="shared" si="1539"/>
        <v>Lista 4</v>
      </c>
      <c r="X2404" t="str">
        <f t="shared" si="1540"/>
        <v>Lista 5</v>
      </c>
      <c r="Y2404" t="str">
        <f t="shared" si="1541"/>
        <v>Oferta Gral.</v>
      </c>
      <c r="Z2404" t="str">
        <f t="shared" si="1542"/>
        <v>Rubro</v>
      </c>
      <c r="AA2404" t="str">
        <f t="shared" si="1543"/>
        <v>Cantidad por Bulto</v>
      </c>
      <c r="AB2404" t="str">
        <f t="shared" si="1544"/>
        <v>INNER</v>
      </c>
      <c r="AC2404" t="str">
        <f t="shared" si="1545"/>
        <v>Stock en Bultos</v>
      </c>
      <c r="AD2404" t="str">
        <f t="shared" si="1546"/>
        <v>SubDepósito</v>
      </c>
      <c r="AE2404" t="str">
        <f t="shared" si="1547"/>
        <v>Marca</v>
      </c>
      <c r="AF2404" t="str">
        <f t="shared" si="1548"/>
        <v>Super Rubro</v>
      </c>
      <c r="AG2404" t="str">
        <f t="shared" si="1549"/>
        <v>ComercioExterior</v>
      </c>
      <c r="AH2404" t="str">
        <f t="shared" si="1550"/>
        <v>PrecioFOB</v>
      </c>
      <c r="AI2404" t="str">
        <f t="shared" si="1551"/>
        <v>Monto II</v>
      </c>
      <c r="AJ2404" t="str">
        <f t="shared" si="1552"/>
        <v>Porcentaje II</v>
      </c>
      <c r="AK2404" t="str">
        <f t="shared" si="1553"/>
        <v>Foto</v>
      </c>
      <c r="AL2404" t="str">
        <f>"{\rtf1\ansi\ansicpg1252\deff0\deflang2058{\fonttbl{\f0\fnil\fcharset0 MS Sans Serif}} \viewkind4\uc1\pard\f0\fs16 KIT DISTRIBUCION PEUGEOT 307 TU5JP4 134 X 254\par } "</f>
        <v xml:space="preserve">{\rtf1\ansi\ansicpg1252\deff0\deflang2058{\fonttbl{\f0\fnil\fcharset0 MS Sans Serif}} \viewkind4\uc1\pard\f0\fs16 KIT DISTRIBUCION PEUGEOT 307 TU5JP4 134 X 254\par } </v>
      </c>
      <c r="AM2404" t="str">
        <f t="shared" si="1563"/>
        <v xml:space="preserve"> </v>
      </c>
    </row>
    <row r="2405" spans="1:39" x14ac:dyDescent="0.25">
      <c r="A2405" t="str">
        <f>"FM010598"</f>
        <v>FM010598</v>
      </c>
      <c r="B2405" t="str">
        <f>"KIT DISTRIBUCION PEUGEOT 308 1.6 HDI 137 X 25"</f>
        <v>KIT DISTRIBUCION PEUGEOT 308 1.6 HDI 137 X 25</v>
      </c>
      <c r="C2405" t="str">
        <f>"$ 115650,29"</f>
        <v>$ 115650,29</v>
      </c>
      <c r="D2405" t="str">
        <f>"$ 115650,29"</f>
        <v>$ 115650,29</v>
      </c>
      <c r="E2405" t="str">
        <f>"$ 115650,29"</f>
        <v>$ 115650,29</v>
      </c>
      <c r="F2405" t="str">
        <f>"$ 115650,29"</f>
        <v>$ 115650,29</v>
      </c>
      <c r="G2405" t="str">
        <f>"$ 115650,29"</f>
        <v>$ 115650,29</v>
      </c>
      <c r="H2405" t="str">
        <f t="shared" si="1536"/>
        <v>$ 0,00</v>
      </c>
      <c r="I2405" t="str">
        <f>"KIT DE DISTRIBUCION MICHELIN"</f>
        <v>KIT DE DISTRIBUCION MICHELIN</v>
      </c>
      <c r="J2405" t="str">
        <f t="shared" si="1537"/>
        <v>1</v>
      </c>
      <c r="K2405" t="str">
        <f t="shared" si="1561"/>
        <v>0</v>
      </c>
      <c r="L2405" t="str">
        <f>"6,000"</f>
        <v>6,000</v>
      </c>
      <c r="M2405" t="str">
        <f t="shared" si="1538"/>
        <v xml:space="preserve"> </v>
      </c>
      <c r="N2405" t="str">
        <f>"MICHELIN"</f>
        <v>MICHELIN</v>
      </c>
      <c r="O2405" t="str">
        <f t="shared" si="1564"/>
        <v>DISTRIBUCION</v>
      </c>
      <c r="P2405" t="str">
        <f t="shared" si="1565"/>
        <v>0</v>
      </c>
      <c r="Q2405" t="str">
        <f t="shared" si="1565"/>
        <v>0</v>
      </c>
      <c r="R2405" t="str">
        <f t="shared" si="1566"/>
        <v>0,00</v>
      </c>
      <c r="S2405" t="str">
        <f t="shared" si="1566"/>
        <v>0,00</v>
      </c>
      <c r="T2405" t="str">
        <f>"-"</f>
        <v>-</v>
      </c>
      <c r="U2405" t="str">
        <f>"-"</f>
        <v>-</v>
      </c>
      <c r="V2405" t="str">
        <f>"6,000"</f>
        <v>6,000</v>
      </c>
      <c r="W2405" t="str">
        <f t="shared" si="1539"/>
        <v>Lista 4</v>
      </c>
      <c r="X2405" t="str">
        <f t="shared" si="1540"/>
        <v>Lista 5</v>
      </c>
      <c r="Y2405" t="str">
        <f t="shared" si="1541"/>
        <v>Oferta Gral.</v>
      </c>
      <c r="Z2405" t="str">
        <f t="shared" si="1542"/>
        <v>Rubro</v>
      </c>
      <c r="AA2405" t="str">
        <f t="shared" si="1543"/>
        <v>Cantidad por Bulto</v>
      </c>
      <c r="AB2405" t="str">
        <f t="shared" si="1544"/>
        <v>INNER</v>
      </c>
      <c r="AC2405" t="str">
        <f t="shared" si="1545"/>
        <v>Stock en Bultos</v>
      </c>
      <c r="AD2405" t="str">
        <f t="shared" si="1546"/>
        <v>SubDepósito</v>
      </c>
      <c r="AE2405" t="str">
        <f t="shared" si="1547"/>
        <v>Marca</v>
      </c>
      <c r="AF2405" t="str">
        <f t="shared" si="1548"/>
        <v>Super Rubro</v>
      </c>
      <c r="AG2405" t="str">
        <f t="shared" si="1549"/>
        <v>ComercioExterior</v>
      </c>
      <c r="AH2405" t="str">
        <f t="shared" si="1550"/>
        <v>PrecioFOB</v>
      </c>
      <c r="AI2405" t="str">
        <f t="shared" si="1551"/>
        <v>Monto II</v>
      </c>
      <c r="AJ2405" t="str">
        <f t="shared" si="1552"/>
        <v>Porcentaje II</v>
      </c>
      <c r="AK2405" t="str">
        <f t="shared" si="1553"/>
        <v>Foto</v>
      </c>
      <c r="AL2405" t="str">
        <f>"{\rtf1\ansi\ansicpg1252\deff0\deflang2058{\fonttbl{\f0\fnil\fcharset0 MS Sans Serif}} \viewkind4\uc1\pard\f0\fs16 KIT DISTRIBUCION PEUGEOT 308 1.6 HDI 137 X 25\par } "</f>
        <v xml:space="preserve">{\rtf1\ansi\ansicpg1252\deff0\deflang2058{\fonttbl{\f0\fnil\fcharset0 MS Sans Serif}} \viewkind4\uc1\pard\f0\fs16 KIT DISTRIBUCION PEUGEOT 308 1.6 HDI 137 X 25\par } </v>
      </c>
      <c r="AM2405" t="str">
        <f t="shared" si="1563"/>
        <v xml:space="preserve"> </v>
      </c>
    </row>
    <row r="2406" spans="1:39" x14ac:dyDescent="0.25">
      <c r="A2406" t="str">
        <f>"FM010656"</f>
        <v>FM010656</v>
      </c>
      <c r="B2406" t="str">
        <f>"KIT DISTRIBUCION PEUGEOT 308 1.6 HDI 141 X 250"</f>
        <v>KIT DISTRIBUCION PEUGEOT 308 1.6 HDI 141 X 250</v>
      </c>
      <c r="C2406" t="str">
        <f>"$ 148552,49"</f>
        <v>$ 148552,49</v>
      </c>
      <c r="D2406" t="str">
        <f>"$ 148552,49"</f>
        <v>$ 148552,49</v>
      </c>
      <c r="E2406" t="str">
        <f>"$ 148552,49"</f>
        <v>$ 148552,49</v>
      </c>
      <c r="F2406" t="str">
        <f>"$ 148552,49"</f>
        <v>$ 148552,49</v>
      </c>
      <c r="G2406" t="str">
        <f>"$ 148552,49"</f>
        <v>$ 148552,49</v>
      </c>
      <c r="H2406" t="str">
        <f t="shared" si="1536"/>
        <v>$ 0,00</v>
      </c>
      <c r="I2406" t="str">
        <f>"KIT DE DISTRIBUCION MICHELIN"</f>
        <v>KIT DE DISTRIBUCION MICHELIN</v>
      </c>
      <c r="J2406" t="str">
        <f t="shared" si="1537"/>
        <v>1</v>
      </c>
      <c r="K2406" t="str">
        <f t="shared" si="1561"/>
        <v>0</v>
      </c>
      <c r="L2406" t="str">
        <f>"14,000"</f>
        <v>14,000</v>
      </c>
      <c r="M2406" t="str">
        <f t="shared" si="1538"/>
        <v xml:space="preserve"> </v>
      </c>
      <c r="N2406" t="str">
        <f>"MICHELIN"</f>
        <v>MICHELIN</v>
      </c>
      <c r="O2406" t="str">
        <f t="shared" si="1564"/>
        <v>DISTRIBUCION</v>
      </c>
      <c r="P2406" t="str">
        <f t="shared" si="1565"/>
        <v>0</v>
      </c>
      <c r="Q2406" t="str">
        <f t="shared" si="1565"/>
        <v>0</v>
      </c>
      <c r="R2406" t="str">
        <f t="shared" si="1566"/>
        <v>0,00</v>
      </c>
      <c r="S2406" t="str">
        <f t="shared" si="1566"/>
        <v>0,00</v>
      </c>
      <c r="T2406" t="str">
        <f>"-"</f>
        <v>-</v>
      </c>
      <c r="U2406" t="str">
        <f>"-"</f>
        <v>-</v>
      </c>
      <c r="V2406" t="str">
        <f>"14,000"</f>
        <v>14,000</v>
      </c>
      <c r="W2406" t="str">
        <f t="shared" si="1539"/>
        <v>Lista 4</v>
      </c>
      <c r="X2406" t="str">
        <f t="shared" si="1540"/>
        <v>Lista 5</v>
      </c>
      <c r="Y2406" t="str">
        <f t="shared" si="1541"/>
        <v>Oferta Gral.</v>
      </c>
      <c r="Z2406" t="str">
        <f t="shared" si="1542"/>
        <v>Rubro</v>
      </c>
      <c r="AA2406" t="str">
        <f t="shared" si="1543"/>
        <v>Cantidad por Bulto</v>
      </c>
      <c r="AB2406" t="str">
        <f t="shared" si="1544"/>
        <v>INNER</v>
      </c>
      <c r="AC2406" t="str">
        <f t="shared" si="1545"/>
        <v>Stock en Bultos</v>
      </c>
      <c r="AD2406" t="str">
        <f t="shared" si="1546"/>
        <v>SubDepósito</v>
      </c>
      <c r="AE2406" t="str">
        <f t="shared" si="1547"/>
        <v>Marca</v>
      </c>
      <c r="AF2406" t="str">
        <f t="shared" si="1548"/>
        <v>Super Rubro</v>
      </c>
      <c r="AG2406" t="str">
        <f t="shared" si="1549"/>
        <v>ComercioExterior</v>
      </c>
      <c r="AH2406" t="str">
        <f t="shared" si="1550"/>
        <v>PrecioFOB</v>
      </c>
      <c r="AI2406" t="str">
        <f t="shared" si="1551"/>
        <v>Monto II</v>
      </c>
      <c r="AJ2406" t="str">
        <f t="shared" si="1552"/>
        <v>Porcentaje II</v>
      </c>
      <c r="AK2406" t="str">
        <f t="shared" si="1553"/>
        <v>Foto</v>
      </c>
      <c r="AL2406" t="str">
        <f>"{\rtf1\ansi\ansicpg1252\deff0\deflang2058{\fonttbl{\f0\fnil\fcharset0 MS Sans Serif}} \viewkind4\uc1\pard\f0\fs16 KIT DISTRIBUCION PEUGEOT 308 1.6 HDI 141 X 250\par } "</f>
        <v xml:space="preserve">{\rtf1\ansi\ansicpg1252\deff0\deflang2058{\fonttbl{\f0\fnil\fcharset0 MS Sans Serif}} \viewkind4\uc1\pard\f0\fs16 KIT DISTRIBUCION PEUGEOT 308 1.6 HDI 141 X 250\par } </v>
      </c>
      <c r="AM2406" t="str">
        <f t="shared" si="1563"/>
        <v xml:space="preserve"> </v>
      </c>
    </row>
    <row r="2407" spans="1:39" x14ac:dyDescent="0.25">
      <c r="A2407" t="str">
        <f>"FM020608"</f>
        <v>FM020608</v>
      </c>
      <c r="B2407" t="str">
        <f>"KIT DISTRIBUCION PEUGEOT 308 2.0 EW10 153 X 254"</f>
        <v>KIT DISTRIBUCION PEUGEOT 308 2.0 EW10 153 X 254</v>
      </c>
      <c r="C2407" t="str">
        <f>"$ 148891,34"</f>
        <v>$ 148891,34</v>
      </c>
      <c r="D2407" t="str">
        <f>"$ 148891,34"</f>
        <v>$ 148891,34</v>
      </c>
      <c r="E2407" t="str">
        <f>"$ 148891,34"</f>
        <v>$ 148891,34</v>
      </c>
      <c r="F2407" t="str">
        <f>"$ 148891,34"</f>
        <v>$ 148891,34</v>
      </c>
      <c r="G2407" t="str">
        <f>"$ 148891,34"</f>
        <v>$ 148891,34</v>
      </c>
      <c r="H2407" t="str">
        <f t="shared" si="1536"/>
        <v>$ 0,00</v>
      </c>
      <c r="I2407" t="str">
        <f>"KIT DE DISTRIBUCION MICHELIN"</f>
        <v>KIT DE DISTRIBUCION MICHELIN</v>
      </c>
      <c r="J2407" t="str">
        <f t="shared" si="1537"/>
        <v>1</v>
      </c>
      <c r="K2407" t="str">
        <f t="shared" si="1561"/>
        <v>0</v>
      </c>
      <c r="L2407" t="str">
        <f>"6,000"</f>
        <v>6,000</v>
      </c>
      <c r="M2407" t="str">
        <f t="shared" si="1538"/>
        <v xml:space="preserve"> </v>
      </c>
      <c r="N2407" t="str">
        <f>"MICHELIN"</f>
        <v>MICHELIN</v>
      </c>
      <c r="O2407" t="str">
        <f t="shared" si="1564"/>
        <v>DISTRIBUCION</v>
      </c>
      <c r="P2407" t="str">
        <f t="shared" si="1565"/>
        <v>0</v>
      </c>
      <c r="Q2407" t="str">
        <f t="shared" si="1565"/>
        <v>0</v>
      </c>
      <c r="R2407" t="str">
        <f t="shared" si="1566"/>
        <v>0,00</v>
      </c>
      <c r="S2407" t="str">
        <f t="shared" si="1566"/>
        <v>0,00</v>
      </c>
      <c r="T2407" t="str">
        <f>"-"</f>
        <v>-</v>
      </c>
      <c r="U2407" t="str">
        <f>"-"</f>
        <v>-</v>
      </c>
      <c r="V2407" t="str">
        <f>"6,000"</f>
        <v>6,000</v>
      </c>
      <c r="W2407" t="str">
        <f t="shared" si="1539"/>
        <v>Lista 4</v>
      </c>
      <c r="X2407" t="str">
        <f t="shared" si="1540"/>
        <v>Lista 5</v>
      </c>
      <c r="Y2407" t="str">
        <f t="shared" si="1541"/>
        <v>Oferta Gral.</v>
      </c>
      <c r="Z2407" t="str">
        <f t="shared" si="1542"/>
        <v>Rubro</v>
      </c>
      <c r="AA2407" t="str">
        <f t="shared" si="1543"/>
        <v>Cantidad por Bulto</v>
      </c>
      <c r="AB2407" t="str">
        <f t="shared" si="1544"/>
        <v>INNER</v>
      </c>
      <c r="AC2407" t="str">
        <f t="shared" si="1545"/>
        <v>Stock en Bultos</v>
      </c>
      <c r="AD2407" t="str">
        <f t="shared" si="1546"/>
        <v>SubDepósito</v>
      </c>
      <c r="AE2407" t="str">
        <f t="shared" si="1547"/>
        <v>Marca</v>
      </c>
      <c r="AF2407" t="str">
        <f t="shared" si="1548"/>
        <v>Super Rubro</v>
      </c>
      <c r="AG2407" t="str">
        <f t="shared" si="1549"/>
        <v>ComercioExterior</v>
      </c>
      <c r="AH2407" t="str">
        <f t="shared" si="1550"/>
        <v>PrecioFOB</v>
      </c>
      <c r="AI2407" t="str">
        <f t="shared" si="1551"/>
        <v>Monto II</v>
      </c>
      <c r="AJ2407" t="str">
        <f t="shared" si="1552"/>
        <v>Porcentaje II</v>
      </c>
      <c r="AK2407" t="str">
        <f t="shared" si="1553"/>
        <v>Foto</v>
      </c>
      <c r="AL2407" t="str">
        <f>"{\rtf1\ansi\ansicpg1252\deff0\deflang2058{\fonttbl{\f0\fnil\fcharset0 MS Sans Serif}} \viewkind4\uc1\pard\f0\fs16 KIT DISTRIBUCION PEUGEOT 308 2.0 EW10 153 X 254\par } "</f>
        <v xml:space="preserve">{\rtf1\ansi\ansicpg1252\deff0\deflang2058{\fonttbl{\f0\fnil\fcharset0 MS Sans Serif}} \viewkind4\uc1\pard\f0\fs16 KIT DISTRIBUCION PEUGEOT 308 2.0 EW10 153 X 254\par } </v>
      </c>
      <c r="AM2407" t="str">
        <f t="shared" si="1563"/>
        <v xml:space="preserve"> </v>
      </c>
    </row>
    <row r="2408" spans="1:39" x14ac:dyDescent="0.25">
      <c r="A2408" t="str">
        <f>"LKTBN339"</f>
        <v>LKTBN339</v>
      </c>
      <c r="B2408" t="str">
        <f>"KIT DISTRIBUCION PEUGEOT BOXER CITROEN JUMPER 2.3 HDI FIAT DUCATO 2.3 JTD"</f>
        <v>KIT DISTRIBUCION PEUGEOT BOXER CITROEN JUMPER 2.3 HDI FIAT DUCATO 2.3 JTD</v>
      </c>
      <c r="C2408" t="str">
        <f>"$ 165095,77"</f>
        <v>$ 165095,77</v>
      </c>
      <c r="D2408" t="str">
        <f>"$ 165095,77"</f>
        <v>$ 165095,77</v>
      </c>
      <c r="E2408" t="str">
        <f>"$ 165095,77"</f>
        <v>$ 165095,77</v>
      </c>
      <c r="F2408" t="str">
        <f>"$ 165095,77"</f>
        <v>$ 165095,77</v>
      </c>
      <c r="G2408" t="str">
        <f>"$ 165095,77"</f>
        <v>$ 165095,77</v>
      </c>
      <c r="H2408" t="str">
        <f t="shared" si="1536"/>
        <v>$ 0,00</v>
      </c>
      <c r="I2408" t="str">
        <f>"KIT DE DISTRIBUCION LUCAS"</f>
        <v>KIT DE DISTRIBUCION LUCAS</v>
      </c>
      <c r="J2408" t="str">
        <f t="shared" si="1537"/>
        <v>1</v>
      </c>
      <c r="K2408" t="str">
        <f t="shared" si="1561"/>
        <v>0</v>
      </c>
      <c r="L2408" t="str">
        <f>"2,000"</f>
        <v>2,000</v>
      </c>
      <c r="M2408" t="str">
        <f t="shared" si="1538"/>
        <v xml:space="preserve"> </v>
      </c>
      <c r="N2408" t="str">
        <f>"LUCAS"</f>
        <v>LUCAS</v>
      </c>
      <c r="O2408" t="str">
        <f t="shared" si="1564"/>
        <v>DISTRIBUCION</v>
      </c>
      <c r="P2408" t="str">
        <f t="shared" si="1565"/>
        <v>0</v>
      </c>
      <c r="Q2408" t="str">
        <f t="shared" si="1565"/>
        <v>0</v>
      </c>
      <c r="R2408" t="str">
        <f t="shared" si="1566"/>
        <v>0,00</v>
      </c>
      <c r="S2408" t="str">
        <f t="shared" si="1566"/>
        <v>0,00</v>
      </c>
      <c r="T2408" t="str">
        <f>" "</f>
        <v xml:space="preserve"> </v>
      </c>
      <c r="U2408" t="str">
        <f>" "</f>
        <v xml:space="preserve"> </v>
      </c>
      <c r="V2408" t="str">
        <f>"2,000"</f>
        <v>2,000</v>
      </c>
      <c r="W2408" t="str">
        <f t="shared" si="1539"/>
        <v>Lista 4</v>
      </c>
      <c r="X2408" t="str">
        <f t="shared" si="1540"/>
        <v>Lista 5</v>
      </c>
      <c r="Y2408" t="str">
        <f t="shared" si="1541"/>
        <v>Oferta Gral.</v>
      </c>
      <c r="Z2408" t="str">
        <f t="shared" si="1542"/>
        <v>Rubro</v>
      </c>
      <c r="AA2408" t="str">
        <f t="shared" si="1543"/>
        <v>Cantidad por Bulto</v>
      </c>
      <c r="AB2408" t="str">
        <f t="shared" si="1544"/>
        <v>INNER</v>
      </c>
      <c r="AC2408" t="str">
        <f t="shared" si="1545"/>
        <v>Stock en Bultos</v>
      </c>
      <c r="AD2408" t="str">
        <f t="shared" si="1546"/>
        <v>SubDepósito</v>
      </c>
      <c r="AE2408" t="str">
        <f t="shared" si="1547"/>
        <v>Marca</v>
      </c>
      <c r="AF2408" t="str">
        <f t="shared" si="1548"/>
        <v>Super Rubro</v>
      </c>
      <c r="AG2408" t="str">
        <f t="shared" si="1549"/>
        <v>ComercioExterior</v>
      </c>
      <c r="AH2408" t="str">
        <f t="shared" si="1550"/>
        <v>PrecioFOB</v>
      </c>
      <c r="AI2408" t="str">
        <f t="shared" si="1551"/>
        <v>Monto II</v>
      </c>
      <c r="AJ2408" t="str">
        <f t="shared" si="1552"/>
        <v>Porcentaje II</v>
      </c>
      <c r="AK2408" t="str">
        <f t="shared" si="1553"/>
        <v>Foto</v>
      </c>
      <c r="AL2408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08" t="str">
        <f t="shared" si="1563"/>
        <v xml:space="preserve"> </v>
      </c>
    </row>
    <row r="2409" spans="1:39" x14ac:dyDescent="0.25">
      <c r="A2409" t="str">
        <f>"FM020523"</f>
        <v>FM020523</v>
      </c>
      <c r="B2409" t="str">
        <f>"KIT DISTRIBUCION PEUGEOT PARTNER 1.9 DW8 140 X 254"</f>
        <v>KIT DISTRIBUCION PEUGEOT PARTNER 1.9 DW8 140 X 254</v>
      </c>
      <c r="C2409" t="str">
        <f>"$ 94524,54"</f>
        <v>$ 94524,54</v>
      </c>
      <c r="D2409" t="str">
        <f>"$ 94524,54"</f>
        <v>$ 94524,54</v>
      </c>
      <c r="E2409" t="str">
        <f>"$ 94524,54"</f>
        <v>$ 94524,54</v>
      </c>
      <c r="F2409" t="str">
        <f>"$ 94524,54"</f>
        <v>$ 94524,54</v>
      </c>
      <c r="G2409" t="str">
        <f>"$ 94524,54"</f>
        <v>$ 94524,54</v>
      </c>
      <c r="H2409" t="str">
        <f t="shared" si="1536"/>
        <v>$ 0,00</v>
      </c>
      <c r="I2409" t="str">
        <f>"KIT DE DISTRIBUCION MICHELIN"</f>
        <v>KIT DE DISTRIBUCION MICHELIN</v>
      </c>
      <c r="J2409" t="str">
        <f t="shared" si="1537"/>
        <v>1</v>
      </c>
      <c r="K2409" t="str">
        <f t="shared" si="1561"/>
        <v>0</v>
      </c>
      <c r="L2409" t="str">
        <f>"8,000"</f>
        <v>8,000</v>
      </c>
      <c r="M2409" t="str">
        <f t="shared" si="1538"/>
        <v xml:space="preserve"> </v>
      </c>
      <c r="N2409" t="str">
        <f>"MICHELIN"</f>
        <v>MICHELIN</v>
      </c>
      <c r="O2409" t="str">
        <f t="shared" si="1564"/>
        <v>DISTRIBUCION</v>
      </c>
      <c r="P2409" t="str">
        <f t="shared" si="1565"/>
        <v>0</v>
      </c>
      <c r="Q2409" t="str">
        <f t="shared" si="1565"/>
        <v>0</v>
      </c>
      <c r="R2409" t="str">
        <f t="shared" si="1566"/>
        <v>0,00</v>
      </c>
      <c r="S2409" t="str">
        <f t="shared" si="1566"/>
        <v>0,00</v>
      </c>
      <c r="T2409" t="str">
        <f t="shared" ref="T2409:U2411" si="1567">"-"</f>
        <v>-</v>
      </c>
      <c r="U2409" t="str">
        <f t="shared" si="1567"/>
        <v>-</v>
      </c>
      <c r="V2409" t="str">
        <f>"8,000"</f>
        <v>8,000</v>
      </c>
      <c r="W2409" t="str">
        <f t="shared" si="1539"/>
        <v>Lista 4</v>
      </c>
      <c r="X2409" t="str">
        <f t="shared" si="1540"/>
        <v>Lista 5</v>
      </c>
      <c r="Y2409" t="str">
        <f t="shared" si="1541"/>
        <v>Oferta Gral.</v>
      </c>
      <c r="Z2409" t="str">
        <f t="shared" si="1542"/>
        <v>Rubro</v>
      </c>
      <c r="AA2409" t="str">
        <f t="shared" si="1543"/>
        <v>Cantidad por Bulto</v>
      </c>
      <c r="AB2409" t="str">
        <f t="shared" si="1544"/>
        <v>INNER</v>
      </c>
      <c r="AC2409" t="str">
        <f t="shared" si="1545"/>
        <v>Stock en Bultos</v>
      </c>
      <c r="AD2409" t="str">
        <f t="shared" si="1546"/>
        <v>SubDepósito</v>
      </c>
      <c r="AE2409" t="str">
        <f t="shared" si="1547"/>
        <v>Marca</v>
      </c>
      <c r="AF2409" t="str">
        <f t="shared" si="1548"/>
        <v>Super Rubro</v>
      </c>
      <c r="AG2409" t="str">
        <f t="shared" si="1549"/>
        <v>ComercioExterior</v>
      </c>
      <c r="AH2409" t="str">
        <f t="shared" si="1550"/>
        <v>PrecioFOB</v>
      </c>
      <c r="AI2409" t="str">
        <f t="shared" si="1551"/>
        <v>Monto II</v>
      </c>
      <c r="AJ2409" t="str">
        <f t="shared" si="1552"/>
        <v>Porcentaje II</v>
      </c>
      <c r="AK2409" t="str">
        <f t="shared" si="1553"/>
        <v>Foto</v>
      </c>
      <c r="AL2409" t="str">
        <f>"{\rtf1\ansi\ansicpg1252\deff0\deflang2058{\fonttbl{\f0\fnil\fcharset0 MS Sans Serif}} \viewkind4\uc1\pard\f0\fs16 KIT DISTRIBUCION PEUGEOT PARTNER 1.9 DW8 140 X 254\par } "</f>
        <v xml:space="preserve">{\rtf1\ansi\ansicpg1252\deff0\deflang2058{\fonttbl{\f0\fnil\fcharset0 MS Sans Serif}} \viewkind4\uc1\pard\f0\fs16 KIT DISTRIBUCION PEUGEOT PARTNER 1.9 DW8 140 X 254\par } </v>
      </c>
      <c r="AM2409" t="str">
        <f t="shared" si="1563"/>
        <v xml:space="preserve"> </v>
      </c>
    </row>
    <row r="2410" spans="1:39" x14ac:dyDescent="0.25">
      <c r="A2410" t="str">
        <f>"FM020049"</f>
        <v>FM020049</v>
      </c>
      <c r="B2410" t="str">
        <f>"KIT DISTRIBUCION PEUGEOT PARTNER 1.9 XUD9 136 X 254 "</f>
        <v xml:space="preserve">KIT DISTRIBUCION PEUGEOT PARTNER 1.9 XUD9 136 X 254 </v>
      </c>
      <c r="C2410" t="str">
        <f>"$ 133073,56"</f>
        <v>$ 133073,56</v>
      </c>
      <c r="D2410" t="str">
        <f>"$ 133073,56"</f>
        <v>$ 133073,56</v>
      </c>
      <c r="E2410" t="str">
        <f>"$ 133073,56"</f>
        <v>$ 133073,56</v>
      </c>
      <c r="F2410" t="str">
        <f>"$ 133073,56"</f>
        <v>$ 133073,56</v>
      </c>
      <c r="G2410" t="str">
        <f>"$ 133073,56"</f>
        <v>$ 133073,56</v>
      </c>
      <c r="H2410" t="str">
        <f t="shared" si="1536"/>
        <v>$ 0,00</v>
      </c>
      <c r="I2410" t="str">
        <f>"KIT DE DISTRIBUCION MICHELIN"</f>
        <v>KIT DE DISTRIBUCION MICHELIN</v>
      </c>
      <c r="J2410" t="str">
        <f t="shared" si="1537"/>
        <v>1</v>
      </c>
      <c r="K2410" t="str">
        <f t="shared" si="1561"/>
        <v>0</v>
      </c>
      <c r="L2410" t="str">
        <f>"10,000"</f>
        <v>10,000</v>
      </c>
      <c r="M2410" t="str">
        <f t="shared" si="1538"/>
        <v xml:space="preserve"> </v>
      </c>
      <c r="N2410" t="str">
        <f>"MICHELIN"</f>
        <v>MICHELIN</v>
      </c>
      <c r="O2410" t="str">
        <f t="shared" si="1564"/>
        <v>DISTRIBUCION</v>
      </c>
      <c r="P2410" t="str">
        <f t="shared" si="1565"/>
        <v>0</v>
      </c>
      <c r="Q2410" t="str">
        <f t="shared" si="1565"/>
        <v>0</v>
      </c>
      <c r="R2410" t="str">
        <f t="shared" si="1566"/>
        <v>0,00</v>
      </c>
      <c r="S2410" t="str">
        <f t="shared" si="1566"/>
        <v>0,00</v>
      </c>
      <c r="T2410" t="str">
        <f t="shared" si="1567"/>
        <v>-</v>
      </c>
      <c r="U2410" t="str">
        <f t="shared" si="1567"/>
        <v>-</v>
      </c>
      <c r="V2410" t="str">
        <f>"10,000"</f>
        <v>10,000</v>
      </c>
      <c r="W2410" t="str">
        <f t="shared" si="1539"/>
        <v>Lista 4</v>
      </c>
      <c r="X2410" t="str">
        <f t="shared" si="1540"/>
        <v>Lista 5</v>
      </c>
      <c r="Y2410" t="str">
        <f t="shared" si="1541"/>
        <v>Oferta Gral.</v>
      </c>
      <c r="Z2410" t="str">
        <f t="shared" si="1542"/>
        <v>Rubro</v>
      </c>
      <c r="AA2410" t="str">
        <f t="shared" si="1543"/>
        <v>Cantidad por Bulto</v>
      </c>
      <c r="AB2410" t="str">
        <f t="shared" si="1544"/>
        <v>INNER</v>
      </c>
      <c r="AC2410" t="str">
        <f t="shared" si="1545"/>
        <v>Stock en Bultos</v>
      </c>
      <c r="AD2410" t="str">
        <f t="shared" si="1546"/>
        <v>SubDepósito</v>
      </c>
      <c r="AE2410" t="str">
        <f t="shared" si="1547"/>
        <v>Marca</v>
      </c>
      <c r="AF2410" t="str">
        <f t="shared" si="1548"/>
        <v>Super Rubro</v>
      </c>
      <c r="AG2410" t="str">
        <f t="shared" si="1549"/>
        <v>ComercioExterior</v>
      </c>
      <c r="AH2410" t="str">
        <f t="shared" si="1550"/>
        <v>PrecioFOB</v>
      </c>
      <c r="AI2410" t="str">
        <f t="shared" si="1551"/>
        <v>Monto II</v>
      </c>
      <c r="AJ2410" t="str">
        <f t="shared" si="1552"/>
        <v>Porcentaje II</v>
      </c>
      <c r="AK2410" t="str">
        <f t="shared" si="1553"/>
        <v>Foto</v>
      </c>
      <c r="AL2410" t="str">
        <f>"{\rtf1\ansi\ansicpg1252\deff0\deflang2058{\fonttbl{\f0\fnil\fcharset0 MS Sans Serif}} \viewkind4\uc1\pard\f0\fs16 KIT DISTRIBUCION PEUGEOT PARTNER 1.9 XUD9 136 X 254 \par } "</f>
        <v xml:space="preserve">{\rtf1\ansi\ansicpg1252\deff0\deflang2058{\fonttbl{\f0\fnil\fcharset0 MS Sans Serif}} \viewkind4\uc1\pard\f0\fs16 KIT DISTRIBUCION PEUGEOT PARTNER 1.9 XUD9 136 X 254 \par } </v>
      </c>
      <c r="AM2410" t="str">
        <f t="shared" si="1563"/>
        <v xml:space="preserve"> </v>
      </c>
    </row>
    <row r="2411" spans="1:39" x14ac:dyDescent="0.25">
      <c r="A2411" t="str">
        <f>"FM020467"</f>
        <v>FM020467</v>
      </c>
      <c r="B2411" t="str">
        <f>"KIT DISTRIBUCION RANGER MAXION 2.5 2.8 118 X 30"</f>
        <v>KIT DISTRIBUCION RANGER MAXION 2.5 2.8 118 X 30</v>
      </c>
      <c r="C2411" t="str">
        <f>"$ 125001,73"</f>
        <v>$ 125001,73</v>
      </c>
      <c r="D2411" t="str">
        <f>"$ 125001,73"</f>
        <v>$ 125001,73</v>
      </c>
      <c r="E2411" t="str">
        <f>"$ 125001,73"</f>
        <v>$ 125001,73</v>
      </c>
      <c r="F2411" t="str">
        <f>"$ 125001,73"</f>
        <v>$ 125001,73</v>
      </c>
      <c r="G2411" t="str">
        <f>"$ 125001,73"</f>
        <v>$ 125001,73</v>
      </c>
      <c r="H2411" t="str">
        <f t="shared" si="1536"/>
        <v>$ 0,00</v>
      </c>
      <c r="I2411" t="str">
        <f>"KIT DE DISTRIBUCION MICHELIN"</f>
        <v>KIT DE DISTRIBUCION MICHELIN</v>
      </c>
      <c r="J2411" t="str">
        <f t="shared" si="1537"/>
        <v>1</v>
      </c>
      <c r="K2411" t="str">
        <f t="shared" si="1561"/>
        <v>0</v>
      </c>
      <c r="L2411" t="str">
        <f>"10,000"</f>
        <v>10,000</v>
      </c>
      <c r="M2411" t="str">
        <f t="shared" si="1538"/>
        <v xml:space="preserve"> </v>
      </c>
      <c r="N2411" t="str">
        <f>"MICHELIN"</f>
        <v>MICHELIN</v>
      </c>
      <c r="O2411" t="str">
        <f t="shared" si="1564"/>
        <v>DISTRIBUCION</v>
      </c>
      <c r="P2411" t="str">
        <f t="shared" si="1565"/>
        <v>0</v>
      </c>
      <c r="Q2411" t="str">
        <f t="shared" si="1565"/>
        <v>0</v>
      </c>
      <c r="R2411" t="str">
        <f t="shared" si="1566"/>
        <v>0,00</v>
      </c>
      <c r="S2411" t="str">
        <f t="shared" si="1566"/>
        <v>0,00</v>
      </c>
      <c r="T2411" t="str">
        <f t="shared" si="1567"/>
        <v>-</v>
      </c>
      <c r="U2411" t="str">
        <f t="shared" si="1567"/>
        <v>-</v>
      </c>
      <c r="V2411" t="str">
        <f>"10,000"</f>
        <v>10,000</v>
      </c>
      <c r="W2411" t="str">
        <f t="shared" si="1539"/>
        <v>Lista 4</v>
      </c>
      <c r="X2411" t="str">
        <f t="shared" si="1540"/>
        <v>Lista 5</v>
      </c>
      <c r="Y2411" t="str">
        <f t="shared" si="1541"/>
        <v>Oferta Gral.</v>
      </c>
      <c r="Z2411" t="str">
        <f t="shared" si="1542"/>
        <v>Rubro</v>
      </c>
      <c r="AA2411" t="str">
        <f t="shared" si="1543"/>
        <v>Cantidad por Bulto</v>
      </c>
      <c r="AB2411" t="str">
        <f t="shared" si="1544"/>
        <v>INNER</v>
      </c>
      <c r="AC2411" t="str">
        <f t="shared" si="1545"/>
        <v>Stock en Bultos</v>
      </c>
      <c r="AD2411" t="str">
        <f t="shared" si="1546"/>
        <v>SubDepósito</v>
      </c>
      <c r="AE2411" t="str">
        <f t="shared" si="1547"/>
        <v>Marca</v>
      </c>
      <c r="AF2411" t="str">
        <f t="shared" si="1548"/>
        <v>Super Rubro</v>
      </c>
      <c r="AG2411" t="str">
        <f t="shared" si="1549"/>
        <v>ComercioExterior</v>
      </c>
      <c r="AH2411" t="str">
        <f t="shared" si="1550"/>
        <v>PrecioFOB</v>
      </c>
      <c r="AI2411" t="str">
        <f t="shared" si="1551"/>
        <v>Monto II</v>
      </c>
      <c r="AJ2411" t="str">
        <f t="shared" si="1552"/>
        <v>Porcentaje II</v>
      </c>
      <c r="AK2411" t="str">
        <f t="shared" si="1553"/>
        <v>Foto</v>
      </c>
      <c r="AL2411" t="str">
        <f>"{\rtf1\ansi\ansicpg1252\deff0\deflang2058{\fonttbl{\f0\fnil\fcharset0 MS Sans Serif}} \viewkind4\uc1\pard\f0\fs16 KIT DISTRIBUCION RANGER MAXION 2.5 2.8 118 X 30\par } "</f>
        <v xml:space="preserve">{\rtf1\ansi\ansicpg1252\deff0\deflang2058{\fonttbl{\f0\fnil\fcharset0 MS Sans Serif}} \viewkind4\uc1\pard\f0\fs16 KIT DISTRIBUCION RANGER MAXION 2.5 2.8 118 X 30\par } </v>
      </c>
      <c r="AM2411" t="str">
        <f t="shared" si="1563"/>
        <v xml:space="preserve"> </v>
      </c>
    </row>
    <row r="2412" spans="1:39" x14ac:dyDescent="0.25">
      <c r="A2412" t="str">
        <f>"LKTBN112"</f>
        <v>LKTBN112</v>
      </c>
      <c r="B2412" t="str">
        <f>"KIT DISTRIBUCION RENAULT CLIO EXPRESS 1.9D F8Q DESDE 1996 151D"</f>
        <v>KIT DISTRIBUCION RENAULT CLIO EXPRESS 1.9D F8Q DESDE 1996 151D</v>
      </c>
      <c r="C2412" t="str">
        <f>"$ 100196,27"</f>
        <v>$ 100196,27</v>
      </c>
      <c r="D2412" t="str">
        <f>"$ 100196,27"</f>
        <v>$ 100196,27</v>
      </c>
      <c r="E2412" t="str">
        <f>"$ 100196,27"</f>
        <v>$ 100196,27</v>
      </c>
      <c r="F2412" t="str">
        <f>"$ 100196,27"</f>
        <v>$ 100196,27</v>
      </c>
      <c r="G2412" t="str">
        <f>"$ 100196,27"</f>
        <v>$ 100196,27</v>
      </c>
      <c r="H2412" t="str">
        <f t="shared" si="1536"/>
        <v>$ 0,00</v>
      </c>
      <c r="I2412" t="str">
        <f>"KIT DE DISTRIBUCION LUCAS"</f>
        <v>KIT DE DISTRIBUCION LUCAS</v>
      </c>
      <c r="J2412" t="str">
        <f t="shared" si="1537"/>
        <v>1</v>
      </c>
      <c r="K2412" t="str">
        <f t="shared" si="1561"/>
        <v>0</v>
      </c>
      <c r="L2412" t="str">
        <f>"8,000"</f>
        <v>8,000</v>
      </c>
      <c r="M2412" t="str">
        <f t="shared" si="1538"/>
        <v xml:space="preserve"> </v>
      </c>
      <c r="N2412" t="str">
        <f>"LUCAS"</f>
        <v>LUCAS</v>
      </c>
      <c r="O2412" t="str">
        <f t="shared" si="1564"/>
        <v>DISTRIBUCION</v>
      </c>
      <c r="P2412" t="str">
        <f t="shared" si="1565"/>
        <v>0</v>
      </c>
      <c r="Q2412" t="str">
        <f t="shared" si="1565"/>
        <v>0</v>
      </c>
      <c r="R2412" t="str">
        <f t="shared" si="1566"/>
        <v>0,00</v>
      </c>
      <c r="S2412" t="str">
        <f t="shared" si="1566"/>
        <v>0,00</v>
      </c>
      <c r="T2412" t="str">
        <f>" "</f>
        <v xml:space="preserve"> </v>
      </c>
      <c r="U2412" t="str">
        <f>" "</f>
        <v xml:space="preserve"> </v>
      </c>
      <c r="V2412" t="str">
        <f>"8,000"</f>
        <v>8,000</v>
      </c>
      <c r="W2412" t="str">
        <f t="shared" si="1539"/>
        <v>Lista 4</v>
      </c>
      <c r="X2412" t="str">
        <f t="shared" si="1540"/>
        <v>Lista 5</v>
      </c>
      <c r="Y2412" t="str">
        <f t="shared" si="1541"/>
        <v>Oferta Gral.</v>
      </c>
      <c r="Z2412" t="str">
        <f t="shared" si="1542"/>
        <v>Rubro</v>
      </c>
      <c r="AA2412" t="str">
        <f t="shared" si="1543"/>
        <v>Cantidad por Bulto</v>
      </c>
      <c r="AB2412" t="str">
        <f t="shared" si="1544"/>
        <v>INNER</v>
      </c>
      <c r="AC2412" t="str">
        <f t="shared" si="1545"/>
        <v>Stock en Bultos</v>
      </c>
      <c r="AD2412" t="str">
        <f t="shared" si="1546"/>
        <v>SubDepósito</v>
      </c>
      <c r="AE2412" t="str">
        <f t="shared" si="1547"/>
        <v>Marca</v>
      </c>
      <c r="AF2412" t="str">
        <f t="shared" si="1548"/>
        <v>Super Rubro</v>
      </c>
      <c r="AG2412" t="str">
        <f t="shared" si="1549"/>
        <v>ComercioExterior</v>
      </c>
      <c r="AH2412" t="str">
        <f t="shared" si="1550"/>
        <v>PrecioFOB</v>
      </c>
      <c r="AI2412" t="str">
        <f t="shared" si="1551"/>
        <v>Monto II</v>
      </c>
      <c r="AJ2412" t="str">
        <f t="shared" si="1552"/>
        <v>Porcentaje II</v>
      </c>
      <c r="AK2412" t="str">
        <f t="shared" si="1553"/>
        <v>Foto</v>
      </c>
      <c r="AL2412" t="str">
        <f>"{\rtf1\ansi\ansicpg1252\deff0\deflang11274{\fonttbl{\f0\fnil\fcharset0 MS Sans Serif}} \viewkind4\uc1\pard\f0\fs16 KIT DISTRIBUCION RENAULT CLIO EXPRESS 1.9D F8Q DESDE 1996 151D\par } "</f>
        <v xml:space="preserve">{\rtf1\ansi\ansicpg1252\deff0\deflang11274{\fonttbl{\f0\fnil\fcharset0 MS Sans Serif}} \viewkind4\uc1\pard\f0\fs16 KIT DISTRIBUCION RENAULT CLIO EXPRESS 1.9D F8Q DESDE 1996 151D\par } </v>
      </c>
      <c r="AM2412" t="str">
        <f t="shared" si="1563"/>
        <v xml:space="preserve"> </v>
      </c>
    </row>
    <row r="2413" spans="1:39" x14ac:dyDescent="0.25">
      <c r="A2413" t="str">
        <f>"LKTBN488"</f>
        <v>LKTBN488</v>
      </c>
      <c r="B2413" t="str">
        <f>"KIT DISTRIBUCION RENAULT CLIO EXPRESS KANGOO 1.9D F8Q 151D 25.4MM"</f>
        <v>KIT DISTRIBUCION RENAULT CLIO EXPRESS KANGOO 1.9D F8Q 151D 25.4MM</v>
      </c>
      <c r="C2413" t="str">
        <f>"$ 124201,43"</f>
        <v>$ 124201,43</v>
      </c>
      <c r="D2413" t="str">
        <f>"$ 124201,43"</f>
        <v>$ 124201,43</v>
      </c>
      <c r="E2413" t="str">
        <f>"$ 124201,43"</f>
        <v>$ 124201,43</v>
      </c>
      <c r="F2413" t="str">
        <f>"$ 124201,43"</f>
        <v>$ 124201,43</v>
      </c>
      <c r="G2413" t="str">
        <f>"$ 124201,43"</f>
        <v>$ 124201,43</v>
      </c>
      <c r="H2413" t="str">
        <f t="shared" si="1536"/>
        <v>$ 0,00</v>
      </c>
      <c r="I2413" t="str">
        <f>"KIT DE DISTRIBUCION LUCAS"</f>
        <v>KIT DE DISTRIBUCION LUCAS</v>
      </c>
      <c r="J2413" t="str">
        <f t="shared" si="1537"/>
        <v>1</v>
      </c>
      <c r="K2413" t="str">
        <f t="shared" si="1561"/>
        <v>0</v>
      </c>
      <c r="L2413" t="str">
        <f>"6,000"</f>
        <v>6,000</v>
      </c>
      <c r="M2413" t="str">
        <f t="shared" si="1538"/>
        <v xml:space="preserve"> </v>
      </c>
      <c r="N2413" t="str">
        <f>"LUCAS"</f>
        <v>LUCAS</v>
      </c>
      <c r="O2413" t="str">
        <f t="shared" si="1564"/>
        <v>DISTRIBUCION</v>
      </c>
      <c r="P2413" t="str">
        <f t="shared" si="1565"/>
        <v>0</v>
      </c>
      <c r="Q2413" t="str">
        <f t="shared" si="1565"/>
        <v>0</v>
      </c>
      <c r="R2413" t="str">
        <f t="shared" si="1566"/>
        <v>0,00</v>
      </c>
      <c r="S2413" t="str">
        <f t="shared" si="1566"/>
        <v>0,00</v>
      </c>
      <c r="T2413" t="str">
        <f>" "</f>
        <v xml:space="preserve"> </v>
      </c>
      <c r="U2413" t="str">
        <f>" "</f>
        <v xml:space="preserve"> </v>
      </c>
      <c r="V2413" t="str">
        <f>"6,000"</f>
        <v>6,000</v>
      </c>
      <c r="W2413" t="str">
        <f t="shared" si="1539"/>
        <v>Lista 4</v>
      </c>
      <c r="X2413" t="str">
        <f t="shared" si="1540"/>
        <v>Lista 5</v>
      </c>
      <c r="Y2413" t="str">
        <f t="shared" si="1541"/>
        <v>Oferta Gral.</v>
      </c>
      <c r="Z2413" t="str">
        <f t="shared" si="1542"/>
        <v>Rubro</v>
      </c>
      <c r="AA2413" t="str">
        <f t="shared" si="1543"/>
        <v>Cantidad por Bulto</v>
      </c>
      <c r="AB2413" t="str">
        <f t="shared" si="1544"/>
        <v>INNER</v>
      </c>
      <c r="AC2413" t="str">
        <f t="shared" si="1545"/>
        <v>Stock en Bultos</v>
      </c>
      <c r="AD2413" t="str">
        <f t="shared" si="1546"/>
        <v>SubDepósito</v>
      </c>
      <c r="AE2413" t="str">
        <f t="shared" si="1547"/>
        <v>Marca</v>
      </c>
      <c r="AF2413" t="str">
        <f t="shared" si="1548"/>
        <v>Super Rubro</v>
      </c>
      <c r="AG2413" t="str">
        <f t="shared" si="1549"/>
        <v>ComercioExterior</v>
      </c>
      <c r="AH2413" t="str">
        <f t="shared" si="1550"/>
        <v>PrecioFOB</v>
      </c>
      <c r="AI2413" t="str">
        <f t="shared" si="1551"/>
        <v>Monto II</v>
      </c>
      <c r="AJ2413" t="str">
        <f t="shared" si="1552"/>
        <v>Porcentaje II</v>
      </c>
      <c r="AK2413" t="str">
        <f t="shared" si="1553"/>
        <v>Foto</v>
      </c>
      <c r="AL241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13" t="str">
        <f t="shared" si="1563"/>
        <v xml:space="preserve"> </v>
      </c>
    </row>
    <row r="2414" spans="1:39" x14ac:dyDescent="0.25">
      <c r="A2414" t="str">
        <f>"FM010192"</f>
        <v>FM010192</v>
      </c>
      <c r="B2414" t="str">
        <f>"KIT DISTRIBUCION RENAULT CLIO MEGANE 95D 17MM MOTOR K7M"</f>
        <v>KIT DISTRIBUCION RENAULT CLIO MEGANE 95D 17MM MOTOR K7M</v>
      </c>
      <c r="C2414" t="str">
        <f>"$ 40153,42"</f>
        <v>$ 40153,42</v>
      </c>
      <c r="D2414" t="str">
        <f>"$ 40153,42"</f>
        <v>$ 40153,42</v>
      </c>
      <c r="E2414" t="str">
        <f>"$ 40153,42"</f>
        <v>$ 40153,42</v>
      </c>
      <c r="F2414" t="str">
        <f>"$ 40153,42"</f>
        <v>$ 40153,42</v>
      </c>
      <c r="G2414" t="str">
        <f>"$ 40153,42"</f>
        <v>$ 40153,42</v>
      </c>
      <c r="H2414" t="str">
        <f t="shared" si="1536"/>
        <v>$ 0,00</v>
      </c>
      <c r="I2414" t="str">
        <f>"KIT DE DISTRIBUCION MICHELIN"</f>
        <v>KIT DE DISTRIBUCION MICHELIN</v>
      </c>
      <c r="J2414" t="str">
        <f t="shared" si="1537"/>
        <v>1</v>
      </c>
      <c r="K2414" t="str">
        <f t="shared" si="1561"/>
        <v>0</v>
      </c>
      <c r="L2414" t="str">
        <f>"10,000"</f>
        <v>10,000</v>
      </c>
      <c r="M2414" t="str">
        <f t="shared" si="1538"/>
        <v xml:space="preserve"> </v>
      </c>
      <c r="N2414" t="str">
        <f>"MICHELIN"</f>
        <v>MICHELIN</v>
      </c>
      <c r="O2414" t="str">
        <f t="shared" si="1564"/>
        <v>DISTRIBUCION</v>
      </c>
      <c r="P2414" t="str">
        <f t="shared" si="1565"/>
        <v>0</v>
      </c>
      <c r="Q2414" t="str">
        <f t="shared" si="1565"/>
        <v>0</v>
      </c>
      <c r="R2414" t="str">
        <f t="shared" si="1566"/>
        <v>0,00</v>
      </c>
      <c r="S2414" t="str">
        <f t="shared" si="1566"/>
        <v>0,00</v>
      </c>
      <c r="T2414" t="str">
        <f t="shared" ref="T2414:U2416" si="1568">"-"</f>
        <v>-</v>
      </c>
      <c r="U2414" t="str">
        <f t="shared" si="1568"/>
        <v>-</v>
      </c>
      <c r="V2414" t="str">
        <f>"10,000"</f>
        <v>10,000</v>
      </c>
      <c r="W2414" t="str">
        <f t="shared" si="1539"/>
        <v>Lista 4</v>
      </c>
      <c r="X2414" t="str">
        <f t="shared" si="1540"/>
        <v>Lista 5</v>
      </c>
      <c r="Y2414" t="str">
        <f t="shared" si="1541"/>
        <v>Oferta Gral.</v>
      </c>
      <c r="Z2414" t="str">
        <f t="shared" si="1542"/>
        <v>Rubro</v>
      </c>
      <c r="AA2414" t="str">
        <f t="shared" si="1543"/>
        <v>Cantidad por Bulto</v>
      </c>
      <c r="AB2414" t="str">
        <f t="shared" si="1544"/>
        <v>INNER</v>
      </c>
      <c r="AC2414" t="str">
        <f t="shared" si="1545"/>
        <v>Stock en Bultos</v>
      </c>
      <c r="AD2414" t="str">
        <f t="shared" si="1546"/>
        <v>SubDepósito</v>
      </c>
      <c r="AE2414" t="str">
        <f t="shared" si="1547"/>
        <v>Marca</v>
      </c>
      <c r="AF2414" t="str">
        <f t="shared" si="1548"/>
        <v>Super Rubro</v>
      </c>
      <c r="AG2414" t="str">
        <f t="shared" si="1549"/>
        <v>ComercioExterior</v>
      </c>
      <c r="AH2414" t="str">
        <f t="shared" si="1550"/>
        <v>PrecioFOB</v>
      </c>
      <c r="AI2414" t="str">
        <f t="shared" si="1551"/>
        <v>Monto II</v>
      </c>
      <c r="AJ2414" t="str">
        <f t="shared" si="1552"/>
        <v>Porcentaje II</v>
      </c>
      <c r="AK2414" t="str">
        <f t="shared" si="1553"/>
        <v>Foto</v>
      </c>
      <c r="AL2414" t="str">
        <f>"{\rtf1\ansi\ansicpg1252\deff0\deflang2058{\fonttbl{\f0\fnil\fcharset0 MS Sans Serif}} \viewkind4\uc1\pard\f0\fs16 KIT DISTRIBUCION RENAULT CLIO MEGANE 95D 17MM MOTOR K7M\par } "</f>
        <v xml:space="preserve">{\rtf1\ansi\ansicpg1252\deff0\deflang2058{\fonttbl{\f0\fnil\fcharset0 MS Sans Serif}} \viewkind4\uc1\pard\f0\fs16 KIT DISTRIBUCION RENAULT CLIO MEGANE 95D 17MM MOTOR K7M\par } </v>
      </c>
      <c r="AM2414" t="str">
        <f t="shared" si="1563"/>
        <v xml:space="preserve"> </v>
      </c>
    </row>
    <row r="2415" spans="1:39" x14ac:dyDescent="0.25">
      <c r="A2415" t="str">
        <f>"FM010675"</f>
        <v>FM010675</v>
      </c>
      <c r="B2415" t="str">
        <f>"KIT DISTRIBUCION RENAULT KANGOO 1.5 DCI 119 X 27"</f>
        <v>KIT DISTRIBUCION RENAULT KANGOO 1.5 DCI 119 X 27</v>
      </c>
      <c r="C2415" t="str">
        <f>"$ 113150,58"</f>
        <v>$ 113150,58</v>
      </c>
      <c r="D2415" t="str">
        <f>"$ 113150,58"</f>
        <v>$ 113150,58</v>
      </c>
      <c r="E2415" t="str">
        <f>"$ 113150,58"</f>
        <v>$ 113150,58</v>
      </c>
      <c r="F2415" t="str">
        <f>"$ 113150,58"</f>
        <v>$ 113150,58</v>
      </c>
      <c r="G2415" t="str">
        <f>"$ 113150,58"</f>
        <v>$ 113150,58</v>
      </c>
      <c r="H2415" t="str">
        <f t="shared" si="1536"/>
        <v>$ 0,00</v>
      </c>
      <c r="I2415" t="str">
        <f>"KIT DE DISTRIBUCION MICHELIN"</f>
        <v>KIT DE DISTRIBUCION MICHELIN</v>
      </c>
      <c r="J2415" t="str">
        <f t="shared" si="1537"/>
        <v>1</v>
      </c>
      <c r="K2415" t="str">
        <f t="shared" si="1561"/>
        <v>0</v>
      </c>
      <c r="L2415" t="str">
        <f>"10,000"</f>
        <v>10,000</v>
      </c>
      <c r="M2415" t="str">
        <f t="shared" si="1538"/>
        <v xml:space="preserve"> </v>
      </c>
      <c r="N2415" t="str">
        <f>"MICHELIN"</f>
        <v>MICHELIN</v>
      </c>
      <c r="O2415" t="str">
        <f t="shared" si="1564"/>
        <v>DISTRIBUCION</v>
      </c>
      <c r="P2415" t="str">
        <f t="shared" si="1565"/>
        <v>0</v>
      </c>
      <c r="Q2415" t="str">
        <f t="shared" si="1565"/>
        <v>0</v>
      </c>
      <c r="R2415" t="str">
        <f t="shared" si="1566"/>
        <v>0,00</v>
      </c>
      <c r="S2415" t="str">
        <f t="shared" si="1566"/>
        <v>0,00</v>
      </c>
      <c r="T2415" t="str">
        <f t="shared" si="1568"/>
        <v>-</v>
      </c>
      <c r="U2415" t="str">
        <f t="shared" si="1568"/>
        <v>-</v>
      </c>
      <c r="V2415" t="str">
        <f>"10,000"</f>
        <v>10,000</v>
      </c>
      <c r="W2415" t="str">
        <f t="shared" si="1539"/>
        <v>Lista 4</v>
      </c>
      <c r="X2415" t="str">
        <f t="shared" si="1540"/>
        <v>Lista 5</v>
      </c>
      <c r="Y2415" t="str">
        <f t="shared" si="1541"/>
        <v>Oferta Gral.</v>
      </c>
      <c r="Z2415" t="str">
        <f t="shared" si="1542"/>
        <v>Rubro</v>
      </c>
      <c r="AA2415" t="str">
        <f t="shared" si="1543"/>
        <v>Cantidad por Bulto</v>
      </c>
      <c r="AB2415" t="str">
        <f t="shared" si="1544"/>
        <v>INNER</v>
      </c>
      <c r="AC2415" t="str">
        <f t="shared" si="1545"/>
        <v>Stock en Bultos</v>
      </c>
      <c r="AD2415" t="str">
        <f t="shared" si="1546"/>
        <v>SubDepósito</v>
      </c>
      <c r="AE2415" t="str">
        <f t="shared" si="1547"/>
        <v>Marca</v>
      </c>
      <c r="AF2415" t="str">
        <f t="shared" si="1548"/>
        <v>Super Rubro</v>
      </c>
      <c r="AG2415" t="str">
        <f t="shared" si="1549"/>
        <v>ComercioExterior</v>
      </c>
      <c r="AH2415" t="str">
        <f t="shared" si="1550"/>
        <v>PrecioFOB</v>
      </c>
      <c r="AI2415" t="str">
        <f t="shared" si="1551"/>
        <v>Monto II</v>
      </c>
      <c r="AJ2415" t="str">
        <f t="shared" si="1552"/>
        <v>Porcentaje II</v>
      </c>
      <c r="AK2415" t="str">
        <f t="shared" si="1553"/>
        <v>Foto</v>
      </c>
      <c r="AL2415" t="str">
        <f>"{\rtf1\ansi\ansicpg1252\deff0\deflang2058{\fonttbl{\f0\fnil\fcharset0 MS Sans Serif}} \viewkind4\uc1\pard\f0\fs16 KIT DISTRIBUCION RENAULT KANGOO 1.5 DCI 119 X 27\par } "</f>
        <v xml:space="preserve">{\rtf1\ansi\ansicpg1252\deff0\deflang2058{\fonttbl{\f0\fnil\fcharset0 MS Sans Serif}} \viewkind4\uc1\pard\f0\fs16 KIT DISTRIBUCION RENAULT KANGOO 1.5 DCI 119 X 27\par } </v>
      </c>
      <c r="AM2415" t="str">
        <f t="shared" si="1563"/>
        <v xml:space="preserve"> </v>
      </c>
    </row>
    <row r="2416" spans="1:39" x14ac:dyDescent="0.25">
      <c r="A2416" t="str">
        <f>"FM020578"</f>
        <v>FM020578</v>
      </c>
      <c r="B2416" t="str">
        <f>"KIT DISTRIBUCION RENAULT KANGOO 1.5 DCI 123 X 27"</f>
        <v>KIT DISTRIBUCION RENAULT KANGOO 1.5 DCI 123 X 27</v>
      </c>
      <c r="C2416" t="str">
        <f>"$ 92634,33"</f>
        <v>$ 92634,33</v>
      </c>
      <c r="D2416" t="str">
        <f>"$ 92634,33"</f>
        <v>$ 92634,33</v>
      </c>
      <c r="E2416" t="str">
        <f>"$ 92634,33"</f>
        <v>$ 92634,33</v>
      </c>
      <c r="F2416" t="str">
        <f>"$ 92634,33"</f>
        <v>$ 92634,33</v>
      </c>
      <c r="G2416" t="str">
        <f>"$ 92634,33"</f>
        <v>$ 92634,33</v>
      </c>
      <c r="H2416" t="str">
        <f t="shared" si="1536"/>
        <v>$ 0,00</v>
      </c>
      <c r="I2416" t="str">
        <f>"KIT DE DISTRIBUCION MICHELIN"</f>
        <v>KIT DE DISTRIBUCION MICHELIN</v>
      </c>
      <c r="J2416" t="str">
        <f t="shared" si="1537"/>
        <v>1</v>
      </c>
      <c r="K2416" t="str">
        <f t="shared" si="1561"/>
        <v>0</v>
      </c>
      <c r="L2416" t="str">
        <f>"10,000"</f>
        <v>10,000</v>
      </c>
      <c r="M2416" t="str">
        <f t="shared" si="1538"/>
        <v xml:space="preserve"> </v>
      </c>
      <c r="N2416" t="str">
        <f>"MICHELIN"</f>
        <v>MICHELIN</v>
      </c>
      <c r="O2416" t="str">
        <f t="shared" si="1564"/>
        <v>DISTRIBUCION</v>
      </c>
      <c r="P2416" t="str">
        <f t="shared" si="1565"/>
        <v>0</v>
      </c>
      <c r="Q2416" t="str">
        <f t="shared" si="1565"/>
        <v>0</v>
      </c>
      <c r="R2416" t="str">
        <f t="shared" si="1566"/>
        <v>0,00</v>
      </c>
      <c r="S2416" t="str">
        <f t="shared" si="1566"/>
        <v>0,00</v>
      </c>
      <c r="T2416" t="str">
        <f t="shared" si="1568"/>
        <v>-</v>
      </c>
      <c r="U2416" t="str">
        <f t="shared" si="1568"/>
        <v>-</v>
      </c>
      <c r="V2416" t="str">
        <f>"10,000"</f>
        <v>10,000</v>
      </c>
      <c r="W2416" t="str">
        <f t="shared" si="1539"/>
        <v>Lista 4</v>
      </c>
      <c r="X2416" t="str">
        <f t="shared" si="1540"/>
        <v>Lista 5</v>
      </c>
      <c r="Y2416" t="str">
        <f t="shared" si="1541"/>
        <v>Oferta Gral.</v>
      </c>
      <c r="Z2416" t="str">
        <f t="shared" si="1542"/>
        <v>Rubro</v>
      </c>
      <c r="AA2416" t="str">
        <f t="shared" si="1543"/>
        <v>Cantidad por Bulto</v>
      </c>
      <c r="AB2416" t="str">
        <f t="shared" si="1544"/>
        <v>INNER</v>
      </c>
      <c r="AC2416" t="str">
        <f t="shared" si="1545"/>
        <v>Stock en Bultos</v>
      </c>
      <c r="AD2416" t="str">
        <f t="shared" si="1546"/>
        <v>SubDepósito</v>
      </c>
      <c r="AE2416" t="str">
        <f t="shared" si="1547"/>
        <v>Marca</v>
      </c>
      <c r="AF2416" t="str">
        <f t="shared" si="1548"/>
        <v>Super Rubro</v>
      </c>
      <c r="AG2416" t="str">
        <f t="shared" si="1549"/>
        <v>ComercioExterior</v>
      </c>
      <c r="AH2416" t="str">
        <f t="shared" si="1550"/>
        <v>PrecioFOB</v>
      </c>
      <c r="AI2416" t="str">
        <f t="shared" si="1551"/>
        <v>Monto II</v>
      </c>
      <c r="AJ2416" t="str">
        <f t="shared" si="1552"/>
        <v>Porcentaje II</v>
      </c>
      <c r="AK2416" t="str">
        <f t="shared" si="1553"/>
        <v>Foto</v>
      </c>
      <c r="AL2416" t="str">
        <f>"{\rtf1\ansi\ansicpg1252\deff0\deflang2058{\fonttbl{\f0\fnil\fcharset0 MS Sans Serif}} \viewkind4\uc1\pard\f0\fs16 KIT DISTRIBUCION RENAULT KANGOO 1.5 DCI 123 X 27\par } "</f>
        <v xml:space="preserve">{\rtf1\ansi\ansicpg1252\deff0\deflang2058{\fonttbl{\f0\fnil\fcharset0 MS Sans Serif}} \viewkind4\uc1\pard\f0\fs16 KIT DISTRIBUCION RENAULT KANGOO 1.5 DCI 123 X 27\par } </v>
      </c>
      <c r="AM2416" t="str">
        <f t="shared" si="1563"/>
        <v xml:space="preserve"> </v>
      </c>
    </row>
    <row r="2417" spans="1:39" x14ac:dyDescent="0.25">
      <c r="A2417" t="str">
        <f>"LKTBN259"</f>
        <v>LKTBN259</v>
      </c>
      <c r="B2417" t="str">
        <f>"KIT DISTRIBUCION RENAULT KANGOO CLIO 1.6 8V 96D 17MM"</f>
        <v>KIT DISTRIBUCION RENAULT KANGOO CLIO 1.6 8V 96D 17MM</v>
      </c>
      <c r="C2417" t="str">
        <f>"$ 44313,19"</f>
        <v>$ 44313,19</v>
      </c>
      <c r="D2417" t="str">
        <f>"$ 44313,19"</f>
        <v>$ 44313,19</v>
      </c>
      <c r="E2417" t="str">
        <f>"$ 44313,19"</f>
        <v>$ 44313,19</v>
      </c>
      <c r="F2417" t="str">
        <f>"$ 44313,19"</f>
        <v>$ 44313,19</v>
      </c>
      <c r="G2417" t="str">
        <f>"$ 44313,19"</f>
        <v>$ 44313,19</v>
      </c>
      <c r="H2417" t="str">
        <f t="shared" si="1536"/>
        <v>$ 0,00</v>
      </c>
      <c r="I2417" t="str">
        <f>"KIT DE DISTRIBUCION LUCAS"</f>
        <v>KIT DE DISTRIBUCION LUCAS</v>
      </c>
      <c r="J2417" t="str">
        <f t="shared" si="1537"/>
        <v>1</v>
      </c>
      <c r="K2417" t="str">
        <f t="shared" si="1561"/>
        <v>0</v>
      </c>
      <c r="L2417" t="str">
        <f>"5,000"</f>
        <v>5,000</v>
      </c>
      <c r="M2417" t="str">
        <f t="shared" si="1538"/>
        <v xml:space="preserve"> </v>
      </c>
      <c r="N2417" t="str">
        <f>"LUCAS"</f>
        <v>LUCAS</v>
      </c>
      <c r="O2417" t="str">
        <f t="shared" si="1564"/>
        <v>DISTRIBUCION</v>
      </c>
      <c r="P2417" t="str">
        <f t="shared" si="1565"/>
        <v>0</v>
      </c>
      <c r="Q2417" t="str">
        <f t="shared" si="1565"/>
        <v>0</v>
      </c>
      <c r="R2417" t="str">
        <f t="shared" si="1566"/>
        <v>0,00</v>
      </c>
      <c r="S2417" t="str">
        <f t="shared" si="1566"/>
        <v>0,00</v>
      </c>
      <c r="T2417" t="str">
        <f>" "</f>
        <v xml:space="preserve"> </v>
      </c>
      <c r="U2417" t="str">
        <f>" "</f>
        <v xml:space="preserve"> </v>
      </c>
      <c r="V2417" t="str">
        <f>"5,000"</f>
        <v>5,000</v>
      </c>
      <c r="W2417" t="str">
        <f t="shared" si="1539"/>
        <v>Lista 4</v>
      </c>
      <c r="X2417" t="str">
        <f t="shared" si="1540"/>
        <v>Lista 5</v>
      </c>
      <c r="Y2417" t="str">
        <f t="shared" si="1541"/>
        <v>Oferta Gral.</v>
      </c>
      <c r="Z2417" t="str">
        <f t="shared" si="1542"/>
        <v>Rubro</v>
      </c>
      <c r="AA2417" t="str">
        <f t="shared" si="1543"/>
        <v>Cantidad por Bulto</v>
      </c>
      <c r="AB2417" t="str">
        <f t="shared" si="1544"/>
        <v>INNER</v>
      </c>
      <c r="AC2417" t="str">
        <f t="shared" si="1545"/>
        <v>Stock en Bultos</v>
      </c>
      <c r="AD2417" t="str">
        <f t="shared" si="1546"/>
        <v>SubDepósito</v>
      </c>
      <c r="AE2417" t="str">
        <f t="shared" si="1547"/>
        <v>Marca</v>
      </c>
      <c r="AF2417" t="str">
        <f t="shared" si="1548"/>
        <v>Super Rubro</v>
      </c>
      <c r="AG2417" t="str">
        <f t="shared" si="1549"/>
        <v>ComercioExterior</v>
      </c>
      <c r="AH2417" t="str">
        <f t="shared" si="1550"/>
        <v>PrecioFOB</v>
      </c>
      <c r="AI2417" t="str">
        <f t="shared" si="1551"/>
        <v>Monto II</v>
      </c>
      <c r="AJ2417" t="str">
        <f t="shared" si="1552"/>
        <v>Porcentaje II</v>
      </c>
      <c r="AK2417" t="str">
        <f t="shared" si="1553"/>
        <v>Foto</v>
      </c>
      <c r="AL241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17" t="str">
        <f t="shared" si="1563"/>
        <v xml:space="preserve"> </v>
      </c>
    </row>
    <row r="2418" spans="1:39" x14ac:dyDescent="0.25">
      <c r="A2418" t="str">
        <f>"FM020484"</f>
        <v>FM020484</v>
      </c>
      <c r="B2418" t="str">
        <f>"KIT DISTRIBUCION RENAULT KANGOO F8Q 151 X 254"</f>
        <v>KIT DISTRIBUCION RENAULT KANGOO F8Q 151 X 254</v>
      </c>
      <c r="C2418" t="str">
        <f>"$ 141707,25"</f>
        <v>$ 141707,25</v>
      </c>
      <c r="D2418" t="str">
        <f>"$ 141707,25"</f>
        <v>$ 141707,25</v>
      </c>
      <c r="E2418" t="str">
        <f>"$ 141707,25"</f>
        <v>$ 141707,25</v>
      </c>
      <c r="F2418" t="str">
        <f>"$ 141707,25"</f>
        <v>$ 141707,25</v>
      </c>
      <c r="G2418" t="str">
        <f>"$ 141707,25"</f>
        <v>$ 141707,25</v>
      </c>
      <c r="H2418" t="str">
        <f t="shared" si="1536"/>
        <v>$ 0,00</v>
      </c>
      <c r="I2418" t="str">
        <f>"KIT DE DISTRIBUCION MICHELIN"</f>
        <v>KIT DE DISTRIBUCION MICHELIN</v>
      </c>
      <c r="J2418" t="str">
        <f t="shared" si="1537"/>
        <v>1</v>
      </c>
      <c r="K2418" t="str">
        <f t="shared" si="1561"/>
        <v>0</v>
      </c>
      <c r="L2418" t="str">
        <f>"11,000"</f>
        <v>11,000</v>
      </c>
      <c r="M2418" t="str">
        <f t="shared" si="1538"/>
        <v xml:space="preserve"> </v>
      </c>
      <c r="N2418" t="str">
        <f>"MICHELIN"</f>
        <v>MICHELIN</v>
      </c>
      <c r="O2418" t="str">
        <f t="shared" si="1564"/>
        <v>DISTRIBUCION</v>
      </c>
      <c r="P2418" t="str">
        <f t="shared" si="1565"/>
        <v>0</v>
      </c>
      <c r="Q2418" t="str">
        <f t="shared" si="1565"/>
        <v>0</v>
      </c>
      <c r="R2418" t="str">
        <f t="shared" si="1566"/>
        <v>0,00</v>
      </c>
      <c r="S2418" t="str">
        <f t="shared" si="1566"/>
        <v>0,00</v>
      </c>
      <c r="T2418" t="str">
        <f>"-"</f>
        <v>-</v>
      </c>
      <c r="U2418" t="str">
        <f>"-"</f>
        <v>-</v>
      </c>
      <c r="V2418" t="str">
        <f>"11,000"</f>
        <v>11,000</v>
      </c>
      <c r="W2418" t="str">
        <f t="shared" si="1539"/>
        <v>Lista 4</v>
      </c>
      <c r="X2418" t="str">
        <f t="shared" si="1540"/>
        <v>Lista 5</v>
      </c>
      <c r="Y2418" t="str">
        <f t="shared" si="1541"/>
        <v>Oferta Gral.</v>
      </c>
      <c r="Z2418" t="str">
        <f t="shared" si="1542"/>
        <v>Rubro</v>
      </c>
      <c r="AA2418" t="str">
        <f t="shared" si="1543"/>
        <v>Cantidad por Bulto</v>
      </c>
      <c r="AB2418" t="str">
        <f t="shared" si="1544"/>
        <v>INNER</v>
      </c>
      <c r="AC2418" t="str">
        <f t="shared" si="1545"/>
        <v>Stock en Bultos</v>
      </c>
      <c r="AD2418" t="str">
        <f t="shared" si="1546"/>
        <v>SubDepósito</v>
      </c>
      <c r="AE2418" t="str">
        <f t="shared" si="1547"/>
        <v>Marca</v>
      </c>
      <c r="AF2418" t="str">
        <f t="shared" si="1548"/>
        <v>Super Rubro</v>
      </c>
      <c r="AG2418" t="str">
        <f t="shared" si="1549"/>
        <v>ComercioExterior</v>
      </c>
      <c r="AH2418" t="str">
        <f t="shared" si="1550"/>
        <v>PrecioFOB</v>
      </c>
      <c r="AI2418" t="str">
        <f t="shared" si="1551"/>
        <v>Monto II</v>
      </c>
      <c r="AJ2418" t="str">
        <f t="shared" si="1552"/>
        <v>Porcentaje II</v>
      </c>
      <c r="AK2418" t="str">
        <f t="shared" si="1553"/>
        <v>Foto</v>
      </c>
      <c r="AL2418" t="str">
        <f>"{\rtf1\ansi\ansicpg1252\deff0\deflang2058{\fonttbl{\f0\fnil\fcharset0 MS Sans Serif}} \viewkind4\uc1\pard\f0\fs16 KIT DISTRIBUCION RENAULT KANGOO F8Q 151 X 254\par } "</f>
        <v xml:space="preserve">{\rtf1\ansi\ansicpg1252\deff0\deflang2058{\fonttbl{\f0\fnil\fcharset0 MS Sans Serif}} \viewkind4\uc1\pard\f0\fs16 KIT DISTRIBUCION RENAULT KANGOO F8Q 151 X 254\par } </v>
      </c>
      <c r="AM2418" t="str">
        <f t="shared" si="1563"/>
        <v xml:space="preserve"> </v>
      </c>
    </row>
    <row r="2419" spans="1:39" x14ac:dyDescent="0.25">
      <c r="A2419" t="str">
        <f>"FM010662"</f>
        <v>FM010662</v>
      </c>
      <c r="B2419" t="str">
        <f>"KIT DISTRIBUCION RENAULT LOGAN 1.6 8V K7M 96 X 173"</f>
        <v>KIT DISTRIBUCION RENAULT LOGAN 1.6 8V K7M 96 X 173</v>
      </c>
      <c r="C2419" t="str">
        <f>"$ 66234,19"</f>
        <v>$ 66234,19</v>
      </c>
      <c r="D2419" t="str">
        <f>"$ 66234,19"</f>
        <v>$ 66234,19</v>
      </c>
      <c r="E2419" t="str">
        <f>"$ 66234,19"</f>
        <v>$ 66234,19</v>
      </c>
      <c r="F2419" t="str">
        <f>"$ 66234,19"</f>
        <v>$ 66234,19</v>
      </c>
      <c r="G2419" t="str">
        <f>"$ 66234,19"</f>
        <v>$ 66234,19</v>
      </c>
      <c r="H2419" t="str">
        <f t="shared" si="1536"/>
        <v>$ 0,00</v>
      </c>
      <c r="I2419" t="str">
        <f>"KIT DE DISTRIBUCION MICHELIN"</f>
        <v>KIT DE DISTRIBUCION MICHELIN</v>
      </c>
      <c r="J2419" t="str">
        <f t="shared" si="1537"/>
        <v>1</v>
      </c>
      <c r="K2419" t="str">
        <f t="shared" si="1561"/>
        <v>0</v>
      </c>
      <c r="L2419" t="str">
        <f>"13,000"</f>
        <v>13,000</v>
      </c>
      <c r="M2419" t="str">
        <f t="shared" si="1538"/>
        <v xml:space="preserve"> </v>
      </c>
      <c r="N2419" t="str">
        <f>"MICHELIN"</f>
        <v>MICHELIN</v>
      </c>
      <c r="O2419" t="str">
        <f t="shared" si="1564"/>
        <v>DISTRIBUCION</v>
      </c>
      <c r="P2419" t="str">
        <f t="shared" si="1565"/>
        <v>0</v>
      </c>
      <c r="Q2419" t="str">
        <f t="shared" si="1565"/>
        <v>0</v>
      </c>
      <c r="R2419" t="str">
        <f t="shared" si="1566"/>
        <v>0,00</v>
      </c>
      <c r="S2419" t="str">
        <f t="shared" si="1566"/>
        <v>0,00</v>
      </c>
      <c r="T2419" t="str">
        <f>"-"</f>
        <v>-</v>
      </c>
      <c r="U2419" t="str">
        <f>"-"</f>
        <v>-</v>
      </c>
      <c r="V2419" t="str">
        <f>"13,000"</f>
        <v>13,000</v>
      </c>
      <c r="W2419" t="str">
        <f t="shared" si="1539"/>
        <v>Lista 4</v>
      </c>
      <c r="X2419" t="str">
        <f t="shared" si="1540"/>
        <v>Lista 5</v>
      </c>
      <c r="Y2419" t="str">
        <f t="shared" si="1541"/>
        <v>Oferta Gral.</v>
      </c>
      <c r="Z2419" t="str">
        <f t="shared" si="1542"/>
        <v>Rubro</v>
      </c>
      <c r="AA2419" t="str">
        <f t="shared" si="1543"/>
        <v>Cantidad por Bulto</v>
      </c>
      <c r="AB2419" t="str">
        <f t="shared" si="1544"/>
        <v>INNER</v>
      </c>
      <c r="AC2419" t="str">
        <f t="shared" si="1545"/>
        <v>Stock en Bultos</v>
      </c>
      <c r="AD2419" t="str">
        <f t="shared" si="1546"/>
        <v>SubDepósito</v>
      </c>
      <c r="AE2419" t="str">
        <f t="shared" si="1547"/>
        <v>Marca</v>
      </c>
      <c r="AF2419" t="str">
        <f t="shared" si="1548"/>
        <v>Super Rubro</v>
      </c>
      <c r="AG2419" t="str">
        <f t="shared" si="1549"/>
        <v>ComercioExterior</v>
      </c>
      <c r="AH2419" t="str">
        <f t="shared" si="1550"/>
        <v>PrecioFOB</v>
      </c>
      <c r="AI2419" t="str">
        <f t="shared" si="1551"/>
        <v>Monto II</v>
      </c>
      <c r="AJ2419" t="str">
        <f t="shared" si="1552"/>
        <v>Porcentaje II</v>
      </c>
      <c r="AK2419" t="str">
        <f t="shared" si="1553"/>
        <v>Foto</v>
      </c>
      <c r="AL2419" t="str">
        <f>"{\rtf1\ansi\ansicpg1252\deff0\deflang2058{\fonttbl{\f0\fnil\fcharset0 MS Sans Serif}} \viewkind4\uc1\pard\f0\fs16 KIT DISTRIBUCION RENAULT LOGAN 1.6 8V K7M 96 X 173\par } "</f>
        <v xml:space="preserve">{\rtf1\ansi\ansicpg1252\deff0\deflang2058{\fonttbl{\f0\fnil\fcharset0 MS Sans Serif}} \viewkind4\uc1\pard\f0\fs16 KIT DISTRIBUCION RENAULT LOGAN 1.6 8V K7M 96 X 173\par } </v>
      </c>
      <c r="AM2419" t="str">
        <f t="shared" si="1563"/>
        <v xml:space="preserve"> </v>
      </c>
    </row>
    <row r="2420" spans="1:39" x14ac:dyDescent="0.25">
      <c r="A2420" t="str">
        <f>"LKTBN794"</f>
        <v>LKTBN794</v>
      </c>
      <c r="B2420" t="str">
        <f>"KIT DISTRIBUCION RENAULT LOGAN SANDERO 1.6 8V K7M"</f>
        <v>KIT DISTRIBUCION RENAULT LOGAN SANDERO 1.6 8V K7M</v>
      </c>
      <c r="C2420" t="str">
        <f>"$ 64004,82"</f>
        <v>$ 64004,82</v>
      </c>
      <c r="D2420" t="str">
        <f>"$ 64004,82"</f>
        <v>$ 64004,82</v>
      </c>
      <c r="E2420" t="str">
        <f>"$ 64004,82"</f>
        <v>$ 64004,82</v>
      </c>
      <c r="F2420" t="str">
        <f>"$ 64004,82"</f>
        <v>$ 64004,82</v>
      </c>
      <c r="G2420" t="str">
        <f>"$ 64004,82"</f>
        <v>$ 64004,82</v>
      </c>
      <c r="H2420" t="str">
        <f t="shared" si="1536"/>
        <v>$ 0,00</v>
      </c>
      <c r="I2420" t="str">
        <f>"KIT DE DISTRIBUCION LUCAS"</f>
        <v>KIT DE DISTRIBUCION LUCAS</v>
      </c>
      <c r="J2420" t="str">
        <f t="shared" si="1537"/>
        <v>1</v>
      </c>
      <c r="K2420" t="str">
        <f t="shared" si="1561"/>
        <v>0</v>
      </c>
      <c r="L2420" t="str">
        <f>"8,000"</f>
        <v>8,000</v>
      </c>
      <c r="M2420" t="str">
        <f t="shared" si="1538"/>
        <v xml:space="preserve"> </v>
      </c>
      <c r="N2420" t="str">
        <f>"LUCAS"</f>
        <v>LUCAS</v>
      </c>
      <c r="O2420" t="str">
        <f t="shared" si="1564"/>
        <v>DISTRIBUCION</v>
      </c>
      <c r="P2420" t="str">
        <f t="shared" si="1565"/>
        <v>0</v>
      </c>
      <c r="Q2420" t="str">
        <f t="shared" si="1565"/>
        <v>0</v>
      </c>
      <c r="R2420" t="str">
        <f t="shared" si="1566"/>
        <v>0,00</v>
      </c>
      <c r="S2420" t="str">
        <f t="shared" si="1566"/>
        <v>0,00</v>
      </c>
      <c r="T2420" t="str">
        <f>" "</f>
        <v xml:space="preserve"> </v>
      </c>
      <c r="U2420" t="str">
        <f>" "</f>
        <v xml:space="preserve"> </v>
      </c>
      <c r="V2420" t="str">
        <f>"8,000"</f>
        <v>8,000</v>
      </c>
      <c r="W2420" t="str">
        <f t="shared" si="1539"/>
        <v>Lista 4</v>
      </c>
      <c r="X2420" t="str">
        <f t="shared" si="1540"/>
        <v>Lista 5</v>
      </c>
      <c r="Y2420" t="str">
        <f t="shared" si="1541"/>
        <v>Oferta Gral.</v>
      </c>
      <c r="Z2420" t="str">
        <f t="shared" si="1542"/>
        <v>Rubro</v>
      </c>
      <c r="AA2420" t="str">
        <f t="shared" si="1543"/>
        <v>Cantidad por Bulto</v>
      </c>
      <c r="AB2420" t="str">
        <f t="shared" si="1544"/>
        <v>INNER</v>
      </c>
      <c r="AC2420" t="str">
        <f t="shared" si="1545"/>
        <v>Stock en Bultos</v>
      </c>
      <c r="AD2420" t="str">
        <f t="shared" si="1546"/>
        <v>SubDepósito</v>
      </c>
      <c r="AE2420" t="str">
        <f t="shared" si="1547"/>
        <v>Marca</v>
      </c>
      <c r="AF2420" t="str">
        <f t="shared" si="1548"/>
        <v>Super Rubro</v>
      </c>
      <c r="AG2420" t="str">
        <f t="shared" si="1549"/>
        <v>ComercioExterior</v>
      </c>
      <c r="AH2420" t="str">
        <f t="shared" si="1550"/>
        <v>PrecioFOB</v>
      </c>
      <c r="AI2420" t="str">
        <f t="shared" si="1551"/>
        <v>Monto II</v>
      </c>
      <c r="AJ2420" t="str">
        <f t="shared" si="1552"/>
        <v>Porcentaje II</v>
      </c>
      <c r="AK2420" t="str">
        <f t="shared" si="1553"/>
        <v>Foto</v>
      </c>
      <c r="AL2420" t="str">
        <f>"{\rtf1\ansi\ansicpg1252\deff0\deflang11274{\fonttbl{\f0\fnil\fcharset0 MS Sans Serif}} \viewkind4\uc1\pard\f0\fs16 KIT DISTRIBUCION RENAULT LOGAN SANDERO 1.6 8V K7M\par } "</f>
        <v xml:space="preserve">{\rtf1\ansi\ansicpg1252\deff0\deflang11274{\fonttbl{\f0\fnil\fcharset0 MS Sans Serif}} \viewkind4\uc1\pard\f0\fs16 KIT DISTRIBUCION RENAULT LOGAN SANDERO 1.6 8V K7M\par } </v>
      </c>
      <c r="AM2420" t="str">
        <f t="shared" si="1563"/>
        <v xml:space="preserve"> </v>
      </c>
    </row>
    <row r="2421" spans="1:39" x14ac:dyDescent="0.25">
      <c r="A2421" t="str">
        <f>"LKTBN106"</f>
        <v>LKTBN106</v>
      </c>
      <c r="B2421" t="str">
        <f>"KIT DISTRIBUCION RENAULT MEGANE 1.6 8 V MOTOR K7M  DESDE 1996 A 2003"</f>
        <v>KIT DISTRIBUCION RENAULT MEGANE 1.6 8 V MOTOR K7M  DESDE 1996 A 2003</v>
      </c>
      <c r="C2421" t="str">
        <f>"$ 43774,91"</f>
        <v>$ 43774,91</v>
      </c>
      <c r="D2421" t="str">
        <f>"$ 43774,91"</f>
        <v>$ 43774,91</v>
      </c>
      <c r="E2421" t="str">
        <f>"$ 43774,91"</f>
        <v>$ 43774,91</v>
      </c>
      <c r="F2421" t="str">
        <f>"$ 43774,91"</f>
        <v>$ 43774,91</v>
      </c>
      <c r="G2421" t="str">
        <f>"$ 43774,91"</f>
        <v>$ 43774,91</v>
      </c>
      <c r="H2421" t="str">
        <f t="shared" si="1536"/>
        <v>$ 0,00</v>
      </c>
      <c r="I2421" t="str">
        <f>"KIT DE DISTRIBUCION LUCAS"</f>
        <v>KIT DE DISTRIBUCION LUCAS</v>
      </c>
      <c r="J2421" t="str">
        <f t="shared" si="1537"/>
        <v>1</v>
      </c>
      <c r="K2421" t="str">
        <f t="shared" si="1561"/>
        <v>0</v>
      </c>
      <c r="L2421" t="str">
        <f>"7,000"</f>
        <v>7,000</v>
      </c>
      <c r="M2421" t="str">
        <f t="shared" si="1538"/>
        <v xml:space="preserve"> </v>
      </c>
      <c r="N2421" t="str">
        <f>"LUCAS"</f>
        <v>LUCAS</v>
      </c>
      <c r="O2421" t="str">
        <f t="shared" si="1564"/>
        <v>DISTRIBUCION</v>
      </c>
      <c r="P2421" t="str">
        <f t="shared" si="1565"/>
        <v>0</v>
      </c>
      <c r="Q2421" t="str">
        <f t="shared" si="1565"/>
        <v>0</v>
      </c>
      <c r="R2421" t="str">
        <f t="shared" si="1566"/>
        <v>0,00</v>
      </c>
      <c r="S2421" t="str">
        <f t="shared" si="1566"/>
        <v>0,00</v>
      </c>
      <c r="T2421" t="str">
        <f>" "</f>
        <v xml:space="preserve"> </v>
      </c>
      <c r="U2421" t="str">
        <f>" "</f>
        <v xml:space="preserve"> </v>
      </c>
      <c r="V2421" t="str">
        <f>"7,000"</f>
        <v>7,000</v>
      </c>
      <c r="W2421" t="str">
        <f t="shared" si="1539"/>
        <v>Lista 4</v>
      </c>
      <c r="X2421" t="str">
        <f t="shared" si="1540"/>
        <v>Lista 5</v>
      </c>
      <c r="Y2421" t="str">
        <f t="shared" si="1541"/>
        <v>Oferta Gral.</v>
      </c>
      <c r="Z2421" t="str">
        <f t="shared" si="1542"/>
        <v>Rubro</v>
      </c>
      <c r="AA2421" t="str">
        <f t="shared" si="1543"/>
        <v>Cantidad por Bulto</v>
      </c>
      <c r="AB2421" t="str">
        <f t="shared" si="1544"/>
        <v>INNER</v>
      </c>
      <c r="AC2421" t="str">
        <f t="shared" si="1545"/>
        <v>Stock en Bultos</v>
      </c>
      <c r="AD2421" t="str">
        <f t="shared" si="1546"/>
        <v>SubDepósito</v>
      </c>
      <c r="AE2421" t="str">
        <f t="shared" si="1547"/>
        <v>Marca</v>
      </c>
      <c r="AF2421" t="str">
        <f t="shared" si="1548"/>
        <v>Super Rubro</v>
      </c>
      <c r="AG2421" t="str">
        <f t="shared" si="1549"/>
        <v>ComercioExterior</v>
      </c>
      <c r="AH2421" t="str">
        <f t="shared" si="1550"/>
        <v>PrecioFOB</v>
      </c>
      <c r="AI2421" t="str">
        <f t="shared" si="1551"/>
        <v>Monto II</v>
      </c>
      <c r="AJ2421" t="str">
        <f t="shared" si="1552"/>
        <v>Porcentaje II</v>
      </c>
      <c r="AK2421" t="str">
        <f t="shared" si="1553"/>
        <v>Foto</v>
      </c>
      <c r="AL242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21" t="str">
        <f t="shared" si="1563"/>
        <v xml:space="preserve"> </v>
      </c>
    </row>
    <row r="2422" spans="1:39" x14ac:dyDescent="0.25">
      <c r="A2422" t="str">
        <f>"LKTBN528"</f>
        <v>LKTBN528</v>
      </c>
      <c r="B2422" t="str">
        <f>"KIT DISTRIBUCION TOYOTA HILUX 2.5 3.0 16V MOTOR D4D 97D"</f>
        <v>KIT DISTRIBUCION TOYOTA HILUX 2.5 3.0 16V MOTOR D4D 97D</v>
      </c>
      <c r="C2422" t="str">
        <f>"$ 80643,78"</f>
        <v>$ 80643,78</v>
      </c>
      <c r="D2422" t="str">
        <f>"$ 80643,78"</f>
        <v>$ 80643,78</v>
      </c>
      <c r="E2422" t="str">
        <f>"$ 80643,78"</f>
        <v>$ 80643,78</v>
      </c>
      <c r="F2422" t="str">
        <f>"$ 80643,78"</f>
        <v>$ 80643,78</v>
      </c>
      <c r="G2422" t="str">
        <f>"$ 80643,78"</f>
        <v>$ 80643,78</v>
      </c>
      <c r="H2422" t="str">
        <f t="shared" si="1536"/>
        <v>$ 0,00</v>
      </c>
      <c r="I2422" t="str">
        <f>"KIT DE DISTRIBUCION LUCAS"</f>
        <v>KIT DE DISTRIBUCION LUCAS</v>
      </c>
      <c r="J2422" t="str">
        <f t="shared" si="1537"/>
        <v>1</v>
      </c>
      <c r="K2422" t="str">
        <f t="shared" si="1561"/>
        <v>0</v>
      </c>
      <c r="L2422" t="str">
        <f>"4,000"</f>
        <v>4,000</v>
      </c>
      <c r="M2422" t="str">
        <f t="shared" si="1538"/>
        <v xml:space="preserve"> </v>
      </c>
      <c r="N2422" t="str">
        <f>"LUCAS"</f>
        <v>LUCAS</v>
      </c>
      <c r="O2422" t="str">
        <f t="shared" si="1564"/>
        <v>DISTRIBUCION</v>
      </c>
      <c r="P2422" t="str">
        <f t="shared" si="1565"/>
        <v>0</v>
      </c>
      <c r="Q2422" t="str">
        <f t="shared" si="1565"/>
        <v>0</v>
      </c>
      <c r="R2422" t="str">
        <f t="shared" si="1566"/>
        <v>0,00</v>
      </c>
      <c r="S2422" t="str">
        <f t="shared" si="1566"/>
        <v>0,00</v>
      </c>
      <c r="T2422" t="str">
        <f>" "</f>
        <v xml:space="preserve"> </v>
      </c>
      <c r="U2422" t="str">
        <f>"-"</f>
        <v>-</v>
      </c>
      <c r="V2422" t="str">
        <f>"4,000"</f>
        <v>4,000</v>
      </c>
      <c r="W2422" t="str">
        <f t="shared" si="1539"/>
        <v>Lista 4</v>
      </c>
      <c r="X2422" t="str">
        <f t="shared" si="1540"/>
        <v>Lista 5</v>
      </c>
      <c r="Y2422" t="str">
        <f t="shared" si="1541"/>
        <v>Oferta Gral.</v>
      </c>
      <c r="Z2422" t="str">
        <f t="shared" si="1542"/>
        <v>Rubro</v>
      </c>
      <c r="AA2422" t="str">
        <f t="shared" si="1543"/>
        <v>Cantidad por Bulto</v>
      </c>
      <c r="AB2422" t="str">
        <f t="shared" si="1544"/>
        <v>INNER</v>
      </c>
      <c r="AC2422" t="str">
        <f t="shared" si="1545"/>
        <v>Stock en Bultos</v>
      </c>
      <c r="AD2422" t="str">
        <f t="shared" si="1546"/>
        <v>SubDepósito</v>
      </c>
      <c r="AE2422" t="str">
        <f t="shared" si="1547"/>
        <v>Marca</v>
      </c>
      <c r="AF2422" t="str">
        <f t="shared" si="1548"/>
        <v>Super Rubro</v>
      </c>
      <c r="AG2422" t="str">
        <f t="shared" si="1549"/>
        <v>ComercioExterior</v>
      </c>
      <c r="AH2422" t="str">
        <f t="shared" si="1550"/>
        <v>PrecioFOB</v>
      </c>
      <c r="AI2422" t="str">
        <f t="shared" si="1551"/>
        <v>Monto II</v>
      </c>
      <c r="AJ2422" t="str">
        <f t="shared" si="1552"/>
        <v>Porcentaje II</v>
      </c>
      <c r="AK2422" t="str">
        <f t="shared" si="1553"/>
        <v>Foto</v>
      </c>
      <c r="AL242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422" t="str">
        <f t="shared" si="1563"/>
        <v xml:space="preserve"> </v>
      </c>
    </row>
    <row r="2423" spans="1:39" x14ac:dyDescent="0.25">
      <c r="A2423" t="str">
        <f>"LKTBN817"</f>
        <v>LKTBN817</v>
      </c>
      <c r="B2423" t="str">
        <f>"KIT DISTRIBUCION TOYOTA HILUX 2.5 Y 3.0 MOTOR D4D"</f>
        <v>KIT DISTRIBUCION TOYOTA HILUX 2.5 Y 3.0 MOTOR D4D</v>
      </c>
      <c r="C2423" t="str">
        <f>"$ 191654,00"</f>
        <v>$ 191654,00</v>
      </c>
      <c r="D2423" t="str">
        <f>"$ 191654,00"</f>
        <v>$ 191654,00</v>
      </c>
      <c r="E2423" t="str">
        <f>"$ 191654,00"</f>
        <v>$ 191654,00</v>
      </c>
      <c r="F2423" t="str">
        <f>"$ 191654,00"</f>
        <v>$ 191654,00</v>
      </c>
      <c r="G2423" t="str">
        <f>"$ 191654,00"</f>
        <v>$ 191654,00</v>
      </c>
      <c r="H2423" t="str">
        <f t="shared" si="1536"/>
        <v>$ 0,00</v>
      </c>
      <c r="I2423" t="str">
        <f>"KIT DE DISTRIBUCION LUCAS"</f>
        <v>KIT DE DISTRIBUCION LUCAS</v>
      </c>
      <c r="J2423" t="str">
        <f t="shared" si="1537"/>
        <v>1</v>
      </c>
      <c r="K2423" t="str">
        <f t="shared" si="1561"/>
        <v>0</v>
      </c>
      <c r="L2423" t="str">
        <f>"2,000"</f>
        <v>2,000</v>
      </c>
      <c r="M2423" t="str">
        <f t="shared" si="1538"/>
        <v xml:space="preserve"> </v>
      </c>
      <c r="N2423" t="str">
        <f>"LUCAS"</f>
        <v>LUCAS</v>
      </c>
      <c r="O2423" t="str">
        <f t="shared" si="1564"/>
        <v>DISTRIBUCION</v>
      </c>
      <c r="P2423" t="str">
        <f t="shared" ref="P2423:Q2442" si="1569">"0"</f>
        <v>0</v>
      </c>
      <c r="Q2423" t="str">
        <f t="shared" si="1569"/>
        <v>0</v>
      </c>
      <c r="R2423" t="str">
        <f t="shared" ref="R2423:S2442" si="1570">"0,00"</f>
        <v>0,00</v>
      </c>
      <c r="S2423" t="str">
        <f t="shared" si="1570"/>
        <v>0,00</v>
      </c>
      <c r="T2423" t="str">
        <f>" "</f>
        <v xml:space="preserve"> </v>
      </c>
      <c r="U2423" t="str">
        <f>" "</f>
        <v xml:space="preserve"> </v>
      </c>
      <c r="V2423" t="str">
        <f>"2,000"</f>
        <v>2,000</v>
      </c>
      <c r="W2423" t="str">
        <f t="shared" si="1539"/>
        <v>Lista 4</v>
      </c>
      <c r="X2423" t="str">
        <f t="shared" si="1540"/>
        <v>Lista 5</v>
      </c>
      <c r="Y2423" t="str">
        <f t="shared" si="1541"/>
        <v>Oferta Gral.</v>
      </c>
      <c r="Z2423" t="str">
        <f t="shared" si="1542"/>
        <v>Rubro</v>
      </c>
      <c r="AA2423" t="str">
        <f t="shared" si="1543"/>
        <v>Cantidad por Bulto</v>
      </c>
      <c r="AB2423" t="str">
        <f t="shared" si="1544"/>
        <v>INNER</v>
      </c>
      <c r="AC2423" t="str">
        <f t="shared" si="1545"/>
        <v>Stock en Bultos</v>
      </c>
      <c r="AD2423" t="str">
        <f t="shared" si="1546"/>
        <v>SubDepósito</v>
      </c>
      <c r="AE2423" t="str">
        <f t="shared" si="1547"/>
        <v>Marca</v>
      </c>
      <c r="AF2423" t="str">
        <f t="shared" si="1548"/>
        <v>Super Rubro</v>
      </c>
      <c r="AG2423" t="str">
        <f t="shared" si="1549"/>
        <v>ComercioExterior</v>
      </c>
      <c r="AH2423" t="str">
        <f t="shared" si="1550"/>
        <v>PrecioFOB</v>
      </c>
      <c r="AI2423" t="str">
        <f t="shared" si="1551"/>
        <v>Monto II</v>
      </c>
      <c r="AJ2423" t="str">
        <f t="shared" si="1552"/>
        <v>Porcentaje II</v>
      </c>
      <c r="AK2423" t="str">
        <f t="shared" si="1553"/>
        <v>Foto</v>
      </c>
      <c r="AL2423" t="str">
        <f>"{\rtf1\ansi\ansicpg1252\deff0\deflang11274{\fonttbl{\f0\fnil\fcharset0 MS Sans Serif}} \viewkind4\uc1\pard\f0\fs16 KIT DISTRIBUCION TOYOTA HILUX 2.5 Y 3.0 MOTOR D4D\par } "</f>
        <v xml:space="preserve">{\rtf1\ansi\ansicpg1252\deff0\deflang11274{\fonttbl{\f0\fnil\fcharset0 MS Sans Serif}} \viewkind4\uc1\pard\f0\fs16 KIT DISTRIBUCION TOYOTA HILUX 2.5 Y 3.0 MOTOR D4D\par } </v>
      </c>
      <c r="AM2423" t="str">
        <f>"-"</f>
        <v>-</v>
      </c>
    </row>
    <row r="2424" spans="1:39" x14ac:dyDescent="0.25">
      <c r="A2424" t="str">
        <f>"FM020560"</f>
        <v>FM020560</v>
      </c>
      <c r="B2424" t="str">
        <f>"KIT DISTRIBUCION TOYOTA HILUX 3.0 D4D 97 X 25"</f>
        <v>KIT DISTRIBUCION TOYOTA HILUX 3.0 D4D 97 X 25</v>
      </c>
      <c r="C2424" t="str">
        <f>"$ 161015,31"</f>
        <v>$ 161015,31</v>
      </c>
      <c r="D2424" t="str">
        <f>"$ 161015,31"</f>
        <v>$ 161015,31</v>
      </c>
      <c r="E2424" t="str">
        <f>"$ 161015,31"</f>
        <v>$ 161015,31</v>
      </c>
      <c r="F2424" t="str">
        <f>"$ 161015,31"</f>
        <v>$ 161015,31</v>
      </c>
      <c r="G2424" t="str">
        <f>"$ 161015,31"</f>
        <v>$ 161015,31</v>
      </c>
      <c r="H2424" t="str">
        <f t="shared" si="1536"/>
        <v>$ 0,00</v>
      </c>
      <c r="I2424" t="str">
        <f>"KIT DE DISTRIBUCION MICHELIN"</f>
        <v>KIT DE DISTRIBUCION MICHELIN</v>
      </c>
      <c r="J2424" t="str">
        <f t="shared" si="1537"/>
        <v>1</v>
      </c>
      <c r="K2424" t="str">
        <f t="shared" si="1561"/>
        <v>0</v>
      </c>
      <c r="L2424" t="str">
        <f>"13,000"</f>
        <v>13,000</v>
      </c>
      <c r="M2424" t="str">
        <f t="shared" si="1538"/>
        <v xml:space="preserve"> </v>
      </c>
      <c r="N2424" t="str">
        <f>"MICHELIN"</f>
        <v>MICHELIN</v>
      </c>
      <c r="O2424" t="str">
        <f t="shared" si="1564"/>
        <v>DISTRIBUCION</v>
      </c>
      <c r="P2424" t="str">
        <f t="shared" si="1569"/>
        <v>0</v>
      </c>
      <c r="Q2424" t="str">
        <f t="shared" si="1569"/>
        <v>0</v>
      </c>
      <c r="R2424" t="str">
        <f t="shared" si="1570"/>
        <v>0,00</v>
      </c>
      <c r="S2424" t="str">
        <f t="shared" si="1570"/>
        <v>0,00</v>
      </c>
      <c r="T2424" t="str">
        <f>"-"</f>
        <v>-</v>
      </c>
      <c r="U2424" t="str">
        <f>"-"</f>
        <v>-</v>
      </c>
      <c r="V2424" t="str">
        <f>"13,000"</f>
        <v>13,000</v>
      </c>
      <c r="W2424" t="str">
        <f t="shared" si="1539"/>
        <v>Lista 4</v>
      </c>
      <c r="X2424" t="str">
        <f t="shared" si="1540"/>
        <v>Lista 5</v>
      </c>
      <c r="Y2424" t="str">
        <f t="shared" si="1541"/>
        <v>Oferta Gral.</v>
      </c>
      <c r="Z2424" t="str">
        <f t="shared" si="1542"/>
        <v>Rubro</v>
      </c>
      <c r="AA2424" t="str">
        <f t="shared" si="1543"/>
        <v>Cantidad por Bulto</v>
      </c>
      <c r="AB2424" t="str">
        <f t="shared" si="1544"/>
        <v>INNER</v>
      </c>
      <c r="AC2424" t="str">
        <f t="shared" si="1545"/>
        <v>Stock en Bultos</v>
      </c>
      <c r="AD2424" t="str">
        <f t="shared" si="1546"/>
        <v>SubDepósito</v>
      </c>
      <c r="AE2424" t="str">
        <f t="shared" si="1547"/>
        <v>Marca</v>
      </c>
      <c r="AF2424" t="str">
        <f t="shared" si="1548"/>
        <v>Super Rubro</v>
      </c>
      <c r="AG2424" t="str">
        <f t="shared" si="1549"/>
        <v>ComercioExterior</v>
      </c>
      <c r="AH2424" t="str">
        <f t="shared" si="1550"/>
        <v>PrecioFOB</v>
      </c>
      <c r="AI2424" t="str">
        <f t="shared" si="1551"/>
        <v>Monto II</v>
      </c>
      <c r="AJ2424" t="str">
        <f t="shared" si="1552"/>
        <v>Porcentaje II</v>
      </c>
      <c r="AK2424" t="str">
        <f t="shared" si="1553"/>
        <v>Foto</v>
      </c>
      <c r="AL2424" t="str">
        <f>"{\rtf1\ansi\ansicpg1252\deff0\deflang2058{\fonttbl{\f0\fnil\fcharset0 MS Sans Serif}} \viewkind4\uc1\pard\f0\fs16 KIT DISTRIBUCION TOYOTA HILUX 3.0 D4D 97 X 25\par } "</f>
        <v xml:space="preserve">{\rtf1\ansi\ansicpg1252\deff0\deflang2058{\fonttbl{\f0\fnil\fcharset0 MS Sans Serif}} \viewkind4\uc1\pard\f0\fs16 KIT DISTRIBUCION TOYOTA HILUX 3.0 D4D 97 X 25\par } </v>
      </c>
      <c r="AM2424" t="str">
        <f>" "</f>
        <v xml:space="preserve"> </v>
      </c>
    </row>
    <row r="2425" spans="1:39" x14ac:dyDescent="0.25">
      <c r="A2425" t="str">
        <f>"LKTBN296"</f>
        <v>LKTBN296</v>
      </c>
      <c r="B2425" t="str">
        <f>"KIT DISTRIBUCION VW BORA GOLF 1.9 TDI 120D"</f>
        <v>KIT DISTRIBUCION VW BORA GOLF 1.9 TDI 120D</v>
      </c>
      <c r="C2425" t="str">
        <f>"$ 187901,11"</f>
        <v>$ 187901,11</v>
      </c>
      <c r="D2425" t="str">
        <f>"$ 187901,11"</f>
        <v>$ 187901,11</v>
      </c>
      <c r="E2425" t="str">
        <f>"$ 187901,11"</f>
        <v>$ 187901,11</v>
      </c>
      <c r="F2425" t="str">
        <f>"$ 187901,11"</f>
        <v>$ 187901,11</v>
      </c>
      <c r="G2425" t="str">
        <f>"$ 187901,11"</f>
        <v>$ 187901,11</v>
      </c>
      <c r="H2425" t="str">
        <f t="shared" si="1536"/>
        <v>$ 0,00</v>
      </c>
      <c r="I2425" t="str">
        <f>"KIT DE DISTRIBUCION LUCAS"</f>
        <v>KIT DE DISTRIBUCION LUCAS</v>
      </c>
      <c r="J2425" t="str">
        <f t="shared" si="1537"/>
        <v>1</v>
      </c>
      <c r="K2425" t="str">
        <f t="shared" si="1561"/>
        <v>0</v>
      </c>
      <c r="L2425" t="str">
        <f>"5,000"</f>
        <v>5,000</v>
      </c>
      <c r="M2425" t="str">
        <f t="shared" si="1538"/>
        <v xml:space="preserve"> </v>
      </c>
      <c r="N2425" t="str">
        <f>"LUCAS"</f>
        <v>LUCAS</v>
      </c>
      <c r="O2425" t="str">
        <f t="shared" si="1564"/>
        <v>DISTRIBUCION</v>
      </c>
      <c r="P2425" t="str">
        <f t="shared" si="1569"/>
        <v>0</v>
      </c>
      <c r="Q2425" t="str">
        <f t="shared" si="1569"/>
        <v>0</v>
      </c>
      <c r="R2425" t="str">
        <f t="shared" si="1570"/>
        <v>0,00</v>
      </c>
      <c r="S2425" t="str">
        <f t="shared" si="1570"/>
        <v>0,00</v>
      </c>
      <c r="T2425" t="str">
        <f>" "</f>
        <v xml:space="preserve"> </v>
      </c>
      <c r="U2425" t="str">
        <f>"-"</f>
        <v>-</v>
      </c>
      <c r="V2425" t="str">
        <f>"5,000"</f>
        <v>5,000</v>
      </c>
      <c r="W2425" t="str">
        <f t="shared" si="1539"/>
        <v>Lista 4</v>
      </c>
      <c r="X2425" t="str">
        <f t="shared" si="1540"/>
        <v>Lista 5</v>
      </c>
      <c r="Y2425" t="str">
        <f t="shared" si="1541"/>
        <v>Oferta Gral.</v>
      </c>
      <c r="Z2425" t="str">
        <f t="shared" si="1542"/>
        <v>Rubro</v>
      </c>
      <c r="AA2425" t="str">
        <f t="shared" si="1543"/>
        <v>Cantidad por Bulto</v>
      </c>
      <c r="AB2425" t="str">
        <f t="shared" si="1544"/>
        <v>INNER</v>
      </c>
      <c r="AC2425" t="str">
        <f t="shared" si="1545"/>
        <v>Stock en Bultos</v>
      </c>
      <c r="AD2425" t="str">
        <f t="shared" si="1546"/>
        <v>SubDepósito</v>
      </c>
      <c r="AE2425" t="str">
        <f t="shared" si="1547"/>
        <v>Marca</v>
      </c>
      <c r="AF2425" t="str">
        <f t="shared" si="1548"/>
        <v>Super Rubro</v>
      </c>
      <c r="AG2425" t="str">
        <f t="shared" si="1549"/>
        <v>ComercioExterior</v>
      </c>
      <c r="AH2425" t="str">
        <f t="shared" si="1550"/>
        <v>PrecioFOB</v>
      </c>
      <c r="AI2425" t="str">
        <f t="shared" si="1551"/>
        <v>Monto II</v>
      </c>
      <c r="AJ2425" t="str">
        <f t="shared" si="1552"/>
        <v>Porcentaje II</v>
      </c>
      <c r="AK2425" t="str">
        <f t="shared" si="1553"/>
        <v>Foto</v>
      </c>
      <c r="AL242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425" t="str">
        <f>" "</f>
        <v xml:space="preserve"> </v>
      </c>
    </row>
    <row r="2426" spans="1:39" x14ac:dyDescent="0.25">
      <c r="A2426" t="str">
        <f>"LKTBN253"</f>
        <v>LKTBN253</v>
      </c>
      <c r="B2426" t="str">
        <f>"KIT DISTRIBUCION VW BORA GOLF 2.0 138 DIENTES"</f>
        <v>KIT DISTRIBUCION VW BORA GOLF 2.0 138 DIENTES</v>
      </c>
      <c r="C2426" t="str">
        <f>"$ 96574,99"</f>
        <v>$ 96574,99</v>
      </c>
      <c r="D2426" t="str">
        <f>"$ 96574,99"</f>
        <v>$ 96574,99</v>
      </c>
      <c r="E2426" t="str">
        <f>"$ 96574,99"</f>
        <v>$ 96574,99</v>
      </c>
      <c r="F2426" t="str">
        <f>"$ 96574,99"</f>
        <v>$ 96574,99</v>
      </c>
      <c r="G2426" t="str">
        <f>"$ 96574,99"</f>
        <v>$ 96574,99</v>
      </c>
      <c r="H2426" t="str">
        <f t="shared" si="1536"/>
        <v>$ 0,00</v>
      </c>
      <c r="I2426" t="str">
        <f>"KIT DE DISTRIBUCION LUCAS"</f>
        <v>KIT DE DISTRIBUCION LUCAS</v>
      </c>
      <c r="J2426" t="str">
        <f t="shared" si="1537"/>
        <v>1</v>
      </c>
      <c r="K2426" t="str">
        <f t="shared" si="1561"/>
        <v>0</v>
      </c>
      <c r="L2426" t="str">
        <f>"5,000"</f>
        <v>5,000</v>
      </c>
      <c r="M2426" t="str">
        <f t="shared" si="1538"/>
        <v xml:space="preserve"> </v>
      </c>
      <c r="N2426" t="str">
        <f>"LUCAS"</f>
        <v>LUCAS</v>
      </c>
      <c r="O2426" t="str">
        <f t="shared" si="1564"/>
        <v>DISTRIBUCION</v>
      </c>
      <c r="P2426" t="str">
        <f t="shared" si="1569"/>
        <v>0</v>
      </c>
      <c r="Q2426" t="str">
        <f t="shared" si="1569"/>
        <v>0</v>
      </c>
      <c r="R2426" t="str">
        <f t="shared" si="1570"/>
        <v>0,00</v>
      </c>
      <c r="S2426" t="str">
        <f t="shared" si="1570"/>
        <v>0,00</v>
      </c>
      <c r="T2426" t="str">
        <f>" "</f>
        <v xml:space="preserve"> </v>
      </c>
      <c r="U2426" t="str">
        <f>" "</f>
        <v xml:space="preserve"> </v>
      </c>
      <c r="V2426" t="str">
        <f>"5,000"</f>
        <v>5,000</v>
      </c>
      <c r="W2426" t="str">
        <f t="shared" si="1539"/>
        <v>Lista 4</v>
      </c>
      <c r="X2426" t="str">
        <f t="shared" si="1540"/>
        <v>Lista 5</v>
      </c>
      <c r="Y2426" t="str">
        <f t="shared" si="1541"/>
        <v>Oferta Gral.</v>
      </c>
      <c r="Z2426" t="str">
        <f t="shared" si="1542"/>
        <v>Rubro</v>
      </c>
      <c r="AA2426" t="str">
        <f t="shared" si="1543"/>
        <v>Cantidad por Bulto</v>
      </c>
      <c r="AB2426" t="str">
        <f t="shared" si="1544"/>
        <v>INNER</v>
      </c>
      <c r="AC2426" t="str">
        <f t="shared" si="1545"/>
        <v>Stock en Bultos</v>
      </c>
      <c r="AD2426" t="str">
        <f t="shared" si="1546"/>
        <v>SubDepósito</v>
      </c>
      <c r="AE2426" t="str">
        <f t="shared" si="1547"/>
        <v>Marca</v>
      </c>
      <c r="AF2426" t="str">
        <f t="shared" si="1548"/>
        <v>Super Rubro</v>
      </c>
      <c r="AG2426" t="str">
        <f t="shared" si="1549"/>
        <v>ComercioExterior</v>
      </c>
      <c r="AH2426" t="str">
        <f t="shared" si="1550"/>
        <v>PrecioFOB</v>
      </c>
      <c r="AI2426" t="str">
        <f t="shared" si="1551"/>
        <v>Monto II</v>
      </c>
      <c r="AJ2426" t="str">
        <f t="shared" si="1552"/>
        <v>Porcentaje II</v>
      </c>
      <c r="AK2426" t="str">
        <f t="shared" si="1553"/>
        <v>Foto</v>
      </c>
      <c r="AL2426" t="str">
        <f>"{\rtf1\ansi\ansicpg1252\deff0\deflang11274{\fonttbl{\f0\fnil\fcharset0 MS Sans Serif}} \viewkind4\uc1\pard\f0\fs16 KIT DISTRIBUCION VW BORA GOLF 2.0 138 DIENTES\par } "</f>
        <v xml:space="preserve">{\rtf1\ansi\ansicpg1252\deff0\deflang11274{\fonttbl{\f0\fnil\fcharset0 MS Sans Serif}} \viewkind4\uc1\pard\f0\fs16 KIT DISTRIBUCION VW BORA GOLF 2.0 138 DIENTES\par } </v>
      </c>
      <c r="AM2426" t="str">
        <f>"-"</f>
        <v>-</v>
      </c>
    </row>
    <row r="2427" spans="1:39" x14ac:dyDescent="0.25">
      <c r="A2427" t="str">
        <f>"FM020223"</f>
        <v>FM020223</v>
      </c>
      <c r="B2427" t="str">
        <f>"KIT DISTRIBUCION VW GOL 1.9 DIESEL 137 X 25"</f>
        <v>KIT DISTRIBUCION VW GOL 1.9 DIESEL 137 X 25</v>
      </c>
      <c r="C2427" t="str">
        <f>"$ 113739,51"</f>
        <v>$ 113739,51</v>
      </c>
      <c r="D2427" t="str">
        <f>"$ 113739,51"</f>
        <v>$ 113739,51</v>
      </c>
      <c r="E2427" t="str">
        <f>"$ 113739,51"</f>
        <v>$ 113739,51</v>
      </c>
      <c r="F2427" t="str">
        <f>"$ 113739,51"</f>
        <v>$ 113739,51</v>
      </c>
      <c r="G2427" t="str">
        <f>"$ 113739,51"</f>
        <v>$ 113739,51</v>
      </c>
      <c r="H2427" t="str">
        <f t="shared" si="1536"/>
        <v>$ 0,00</v>
      </c>
      <c r="I2427" t="str">
        <f>"KIT DE DISTRIBUCION MICHELIN"</f>
        <v>KIT DE DISTRIBUCION MICHELIN</v>
      </c>
      <c r="J2427" t="str">
        <f t="shared" si="1537"/>
        <v>1</v>
      </c>
      <c r="K2427" t="str">
        <f t="shared" si="1561"/>
        <v>0</v>
      </c>
      <c r="L2427" t="str">
        <f>"14,000"</f>
        <v>14,000</v>
      </c>
      <c r="M2427" t="str">
        <f t="shared" si="1538"/>
        <v xml:space="preserve"> </v>
      </c>
      <c r="N2427" t="str">
        <f>"MICHELIN"</f>
        <v>MICHELIN</v>
      </c>
      <c r="O2427" t="str">
        <f t="shared" si="1564"/>
        <v>DISTRIBUCION</v>
      </c>
      <c r="P2427" t="str">
        <f t="shared" si="1569"/>
        <v>0</v>
      </c>
      <c r="Q2427" t="str">
        <f t="shared" si="1569"/>
        <v>0</v>
      </c>
      <c r="R2427" t="str">
        <f t="shared" si="1570"/>
        <v>0,00</v>
      </c>
      <c r="S2427" t="str">
        <f t="shared" si="1570"/>
        <v>0,00</v>
      </c>
      <c r="T2427" t="str">
        <f>"-"</f>
        <v>-</v>
      </c>
      <c r="U2427" t="str">
        <f>"-"</f>
        <v>-</v>
      </c>
      <c r="V2427" t="str">
        <f>"14,000"</f>
        <v>14,000</v>
      </c>
      <c r="W2427" t="str">
        <f t="shared" si="1539"/>
        <v>Lista 4</v>
      </c>
      <c r="X2427" t="str">
        <f t="shared" si="1540"/>
        <v>Lista 5</v>
      </c>
      <c r="Y2427" t="str">
        <f t="shared" si="1541"/>
        <v>Oferta Gral.</v>
      </c>
      <c r="Z2427" t="str">
        <f t="shared" si="1542"/>
        <v>Rubro</v>
      </c>
      <c r="AA2427" t="str">
        <f t="shared" si="1543"/>
        <v>Cantidad por Bulto</v>
      </c>
      <c r="AB2427" t="str">
        <f t="shared" si="1544"/>
        <v>INNER</v>
      </c>
      <c r="AC2427" t="str">
        <f t="shared" si="1545"/>
        <v>Stock en Bultos</v>
      </c>
      <c r="AD2427" t="str">
        <f t="shared" si="1546"/>
        <v>SubDepósito</v>
      </c>
      <c r="AE2427" t="str">
        <f t="shared" si="1547"/>
        <v>Marca</v>
      </c>
      <c r="AF2427" t="str">
        <f t="shared" si="1548"/>
        <v>Super Rubro</v>
      </c>
      <c r="AG2427" t="str">
        <f t="shared" si="1549"/>
        <v>ComercioExterior</v>
      </c>
      <c r="AH2427" t="str">
        <f t="shared" si="1550"/>
        <v>PrecioFOB</v>
      </c>
      <c r="AI2427" t="str">
        <f t="shared" si="1551"/>
        <v>Monto II</v>
      </c>
      <c r="AJ2427" t="str">
        <f t="shared" si="1552"/>
        <v>Porcentaje II</v>
      </c>
      <c r="AK2427" t="str">
        <f t="shared" si="1553"/>
        <v>Foto</v>
      </c>
      <c r="AL2427" t="str">
        <f>"{\rtf1\ansi\ansicpg1252\deff0\deflang2058{\fonttbl{\f0\fnil\fcharset0 MS Sans Serif}} \viewkind4\uc1\pard\f0\fs16 KIT DISTRIBUCION VW GOL 1.9 DIESEL 137 X 25\par } "</f>
        <v xml:space="preserve">{\rtf1\ansi\ansicpg1252\deff0\deflang2058{\fonttbl{\f0\fnil\fcharset0 MS Sans Serif}} \viewkind4\uc1\pard\f0\fs16 KIT DISTRIBUCION VW GOL 1.9 DIESEL 137 X 25\par } </v>
      </c>
      <c r="AM2427" t="str">
        <f t="shared" ref="AM2427:AM2448" si="1571">" "</f>
        <v xml:space="preserve"> </v>
      </c>
    </row>
    <row r="2428" spans="1:39" x14ac:dyDescent="0.25">
      <c r="A2428" t="str">
        <f>"LKTBN189"</f>
        <v>LKTBN189</v>
      </c>
      <c r="B2428" t="str">
        <f>"KIT DISTRIBUCION VW GOL POLO SAVEIRO 1.9 DIESEL"</f>
        <v>KIT DISTRIBUCION VW GOL POLO SAVEIRO 1.9 DIESEL</v>
      </c>
      <c r="C2428" t="str">
        <f>"$ 95160,15"</f>
        <v>$ 95160,15</v>
      </c>
      <c r="D2428" t="str">
        <f>"$ 95160,15"</f>
        <v>$ 95160,15</v>
      </c>
      <c r="E2428" t="str">
        <f>"$ 95160,15"</f>
        <v>$ 95160,15</v>
      </c>
      <c r="F2428" t="str">
        <f>"$ 95160,15"</f>
        <v>$ 95160,15</v>
      </c>
      <c r="G2428" t="str">
        <f>"$ 95160,15"</f>
        <v>$ 95160,15</v>
      </c>
      <c r="H2428" t="str">
        <f t="shared" si="1536"/>
        <v>$ 0,00</v>
      </c>
      <c r="I2428" t="str">
        <f>"KIT DE DISTRIBUCION LUCAS"</f>
        <v>KIT DE DISTRIBUCION LUCAS</v>
      </c>
      <c r="J2428" t="str">
        <f t="shared" si="1537"/>
        <v>1</v>
      </c>
      <c r="K2428" t="str">
        <f t="shared" si="1561"/>
        <v>0</v>
      </c>
      <c r="L2428" t="str">
        <f>"10,000"</f>
        <v>10,000</v>
      </c>
      <c r="M2428" t="str">
        <f t="shared" si="1538"/>
        <v xml:space="preserve"> </v>
      </c>
      <c r="N2428" t="str">
        <f>"LUCAS"</f>
        <v>LUCAS</v>
      </c>
      <c r="O2428" t="str">
        <f t="shared" si="1564"/>
        <v>DISTRIBUCION</v>
      </c>
      <c r="P2428" t="str">
        <f t="shared" si="1569"/>
        <v>0</v>
      </c>
      <c r="Q2428" t="str">
        <f t="shared" si="1569"/>
        <v>0</v>
      </c>
      <c r="R2428" t="str">
        <f t="shared" si="1570"/>
        <v>0,00</v>
      </c>
      <c r="S2428" t="str">
        <f t="shared" si="1570"/>
        <v>0,00</v>
      </c>
      <c r="T2428" t="str">
        <f>" "</f>
        <v xml:space="preserve"> </v>
      </c>
      <c r="U2428" t="str">
        <f>" "</f>
        <v xml:space="preserve"> </v>
      </c>
      <c r="V2428" t="str">
        <f>"10,000"</f>
        <v>10,000</v>
      </c>
      <c r="W2428" t="str">
        <f t="shared" si="1539"/>
        <v>Lista 4</v>
      </c>
      <c r="X2428" t="str">
        <f t="shared" si="1540"/>
        <v>Lista 5</v>
      </c>
      <c r="Y2428" t="str">
        <f t="shared" si="1541"/>
        <v>Oferta Gral.</v>
      </c>
      <c r="Z2428" t="str">
        <f t="shared" si="1542"/>
        <v>Rubro</v>
      </c>
      <c r="AA2428" t="str">
        <f t="shared" si="1543"/>
        <v>Cantidad por Bulto</v>
      </c>
      <c r="AB2428" t="str">
        <f t="shared" si="1544"/>
        <v>INNER</v>
      </c>
      <c r="AC2428" t="str">
        <f t="shared" si="1545"/>
        <v>Stock en Bultos</v>
      </c>
      <c r="AD2428" t="str">
        <f t="shared" si="1546"/>
        <v>SubDepósito</v>
      </c>
      <c r="AE2428" t="str">
        <f t="shared" si="1547"/>
        <v>Marca</v>
      </c>
      <c r="AF2428" t="str">
        <f t="shared" si="1548"/>
        <v>Super Rubro</v>
      </c>
      <c r="AG2428" t="str">
        <f t="shared" si="1549"/>
        <v>ComercioExterior</v>
      </c>
      <c r="AH2428" t="str">
        <f t="shared" si="1550"/>
        <v>PrecioFOB</v>
      </c>
      <c r="AI2428" t="str">
        <f t="shared" si="1551"/>
        <v>Monto II</v>
      </c>
      <c r="AJ2428" t="str">
        <f t="shared" si="1552"/>
        <v>Porcentaje II</v>
      </c>
      <c r="AK2428" t="str">
        <f t="shared" si="1553"/>
        <v>Foto</v>
      </c>
      <c r="AL2428" t="str">
        <f>"{\rtf1\ansi\ansicpg1252\deff0\deflang11274{\fonttbl{\f0\fnil\fcharset0 MS Sans Serif}} \viewkind4\uc1\pard\f0\fs16 KIT DISTRIBUCION VW GOL POLO SAVEIRO 1.9 DIESEL\par } "</f>
        <v xml:space="preserve">{\rtf1\ansi\ansicpg1252\deff0\deflang11274{\fonttbl{\f0\fnil\fcharset0 MS Sans Serif}} \viewkind4\uc1\pard\f0\fs16 KIT DISTRIBUCION VW GOL POLO SAVEIRO 1.9 DIESEL\par } </v>
      </c>
      <c r="AM2428" t="str">
        <f t="shared" si="1571"/>
        <v xml:space="preserve"> </v>
      </c>
    </row>
    <row r="2429" spans="1:39" x14ac:dyDescent="0.25">
      <c r="A2429" t="str">
        <f>"FM020427"</f>
        <v>FM020427</v>
      </c>
      <c r="B2429" t="str">
        <f>"KIT DISTRIBUCION VW GOL TREND FOX 1.6 8V 135 X 19"</f>
        <v>KIT DISTRIBUCION VW GOL TREND FOX 1.6 8V 135 X 19</v>
      </c>
      <c r="C2429" t="str">
        <f>"$ 60607,95"</f>
        <v>$ 60607,95</v>
      </c>
      <c r="D2429" t="str">
        <f>"$ 60607,95"</f>
        <v>$ 60607,95</v>
      </c>
      <c r="E2429" t="str">
        <f>"$ 60607,95"</f>
        <v>$ 60607,95</v>
      </c>
      <c r="F2429" t="str">
        <f>"$ 60607,95"</f>
        <v>$ 60607,95</v>
      </c>
      <c r="G2429" t="str">
        <f>"$ 60607,95"</f>
        <v>$ 60607,95</v>
      </c>
      <c r="H2429" t="str">
        <f t="shared" si="1536"/>
        <v>$ 0,00</v>
      </c>
      <c r="I2429" t="str">
        <f>"KIT DE DISTRIBUCION MICHELIN"</f>
        <v>KIT DE DISTRIBUCION MICHELIN</v>
      </c>
      <c r="J2429" t="str">
        <f t="shared" si="1537"/>
        <v>1</v>
      </c>
      <c r="K2429" t="str">
        <f t="shared" si="1561"/>
        <v>0</v>
      </c>
      <c r="L2429" t="str">
        <f>"37,000"</f>
        <v>37,000</v>
      </c>
      <c r="M2429" t="str">
        <f t="shared" si="1538"/>
        <v xml:space="preserve"> </v>
      </c>
      <c r="N2429" t="str">
        <f>"MICHELIN"</f>
        <v>MICHELIN</v>
      </c>
      <c r="O2429" t="str">
        <f t="shared" si="1564"/>
        <v>DISTRIBUCION</v>
      </c>
      <c r="P2429" t="str">
        <f t="shared" si="1569"/>
        <v>0</v>
      </c>
      <c r="Q2429" t="str">
        <f t="shared" si="1569"/>
        <v>0</v>
      </c>
      <c r="R2429" t="str">
        <f t="shared" si="1570"/>
        <v>0,00</v>
      </c>
      <c r="S2429" t="str">
        <f t="shared" si="1570"/>
        <v>0,00</v>
      </c>
      <c r="T2429" t="str">
        <f>"-"</f>
        <v>-</v>
      </c>
      <c r="U2429" t="str">
        <f>"-"</f>
        <v>-</v>
      </c>
      <c r="V2429" t="str">
        <f>"37,000"</f>
        <v>37,000</v>
      </c>
      <c r="W2429" t="str">
        <f t="shared" si="1539"/>
        <v>Lista 4</v>
      </c>
      <c r="X2429" t="str">
        <f t="shared" si="1540"/>
        <v>Lista 5</v>
      </c>
      <c r="Y2429" t="str">
        <f t="shared" si="1541"/>
        <v>Oferta Gral.</v>
      </c>
      <c r="Z2429" t="str">
        <f t="shared" si="1542"/>
        <v>Rubro</v>
      </c>
      <c r="AA2429" t="str">
        <f t="shared" si="1543"/>
        <v>Cantidad por Bulto</v>
      </c>
      <c r="AB2429" t="str">
        <f t="shared" si="1544"/>
        <v>INNER</v>
      </c>
      <c r="AC2429" t="str">
        <f t="shared" si="1545"/>
        <v>Stock en Bultos</v>
      </c>
      <c r="AD2429" t="str">
        <f t="shared" si="1546"/>
        <v>SubDepósito</v>
      </c>
      <c r="AE2429" t="str">
        <f t="shared" si="1547"/>
        <v>Marca</v>
      </c>
      <c r="AF2429" t="str">
        <f t="shared" si="1548"/>
        <v>Super Rubro</v>
      </c>
      <c r="AG2429" t="str">
        <f t="shared" si="1549"/>
        <v>ComercioExterior</v>
      </c>
      <c r="AH2429" t="str">
        <f t="shared" si="1550"/>
        <v>PrecioFOB</v>
      </c>
      <c r="AI2429" t="str">
        <f t="shared" si="1551"/>
        <v>Monto II</v>
      </c>
      <c r="AJ2429" t="str">
        <f t="shared" si="1552"/>
        <v>Porcentaje II</v>
      </c>
      <c r="AK2429" t="str">
        <f t="shared" si="1553"/>
        <v>Foto</v>
      </c>
      <c r="AL2429" t="str">
        <f>"{\rtf1\ansi\ansicpg1252\deff0\deflang2058{\fonttbl{\f0\fnil\fcharset0 MS Sans Serif}} \viewkind4\uc1\pard\f0\fs16 KIT DISTRIBUCION VW GOL TREND FOX 1.6 8V 135 X 19\par } "</f>
        <v xml:space="preserve">{\rtf1\ansi\ansicpg1252\deff0\deflang2058{\fonttbl{\f0\fnil\fcharset0 MS Sans Serif}} \viewkind4\uc1\pard\f0\fs16 KIT DISTRIBUCION VW GOL TREND FOX 1.6 8V 135 X 19\par } </v>
      </c>
      <c r="AM2429" t="str">
        <f t="shared" si="1571"/>
        <v xml:space="preserve"> </v>
      </c>
    </row>
    <row r="2430" spans="1:39" x14ac:dyDescent="0.25">
      <c r="A2430" t="str">
        <f>"FM040569"</f>
        <v>FM040569</v>
      </c>
      <c r="B2430" t="str">
        <f>"KIT DISTRIBUCION VW GOLF 1.9 TDI 120 X 30"</f>
        <v>KIT DISTRIBUCION VW GOLF 1.9 TDI 120 X 30</v>
      </c>
      <c r="C2430" t="str">
        <f>"$ 188773,03"</f>
        <v>$ 188773,03</v>
      </c>
      <c r="D2430" t="str">
        <f>"$ 188773,03"</f>
        <v>$ 188773,03</v>
      </c>
      <c r="E2430" t="str">
        <f>"$ 188773,03"</f>
        <v>$ 188773,03</v>
      </c>
      <c r="F2430" t="str">
        <f>"$ 188773,03"</f>
        <v>$ 188773,03</v>
      </c>
      <c r="G2430" t="str">
        <f>"$ 188773,03"</f>
        <v>$ 188773,03</v>
      </c>
      <c r="H2430" t="str">
        <f t="shared" si="1536"/>
        <v>$ 0,00</v>
      </c>
      <c r="I2430" t="str">
        <f>"KIT DE DISTRIBUCION MICHELIN"</f>
        <v>KIT DE DISTRIBUCION MICHELIN</v>
      </c>
      <c r="J2430" t="str">
        <f t="shared" si="1537"/>
        <v>1</v>
      </c>
      <c r="K2430" t="str">
        <f t="shared" si="1561"/>
        <v>0</v>
      </c>
      <c r="L2430" t="str">
        <f>"10,000"</f>
        <v>10,000</v>
      </c>
      <c r="M2430" t="str">
        <f t="shared" si="1538"/>
        <v xml:space="preserve"> </v>
      </c>
      <c r="N2430" t="str">
        <f>"MICHELIN"</f>
        <v>MICHELIN</v>
      </c>
      <c r="O2430" t="str">
        <f t="shared" si="1564"/>
        <v>DISTRIBUCION</v>
      </c>
      <c r="P2430" t="str">
        <f t="shared" si="1569"/>
        <v>0</v>
      </c>
      <c r="Q2430" t="str">
        <f t="shared" si="1569"/>
        <v>0</v>
      </c>
      <c r="R2430" t="str">
        <f t="shared" si="1570"/>
        <v>0,00</v>
      </c>
      <c r="S2430" t="str">
        <f t="shared" si="1570"/>
        <v>0,00</v>
      </c>
      <c r="T2430" t="str">
        <f>"-"</f>
        <v>-</v>
      </c>
      <c r="U2430" t="str">
        <f>"-"</f>
        <v>-</v>
      </c>
      <c r="V2430" t="str">
        <f>"10,000"</f>
        <v>10,000</v>
      </c>
      <c r="W2430" t="str">
        <f t="shared" si="1539"/>
        <v>Lista 4</v>
      </c>
      <c r="X2430" t="str">
        <f t="shared" si="1540"/>
        <v>Lista 5</v>
      </c>
      <c r="Y2430" t="str">
        <f t="shared" si="1541"/>
        <v>Oferta Gral.</v>
      </c>
      <c r="Z2430" t="str">
        <f t="shared" si="1542"/>
        <v>Rubro</v>
      </c>
      <c r="AA2430" t="str">
        <f t="shared" si="1543"/>
        <v>Cantidad por Bulto</v>
      </c>
      <c r="AB2430" t="str">
        <f t="shared" si="1544"/>
        <v>INNER</v>
      </c>
      <c r="AC2430" t="str">
        <f t="shared" si="1545"/>
        <v>Stock en Bultos</v>
      </c>
      <c r="AD2430" t="str">
        <f t="shared" si="1546"/>
        <v>SubDepósito</v>
      </c>
      <c r="AE2430" t="str">
        <f t="shared" si="1547"/>
        <v>Marca</v>
      </c>
      <c r="AF2430" t="str">
        <f t="shared" si="1548"/>
        <v>Super Rubro</v>
      </c>
      <c r="AG2430" t="str">
        <f t="shared" si="1549"/>
        <v>ComercioExterior</v>
      </c>
      <c r="AH2430" t="str">
        <f t="shared" si="1550"/>
        <v>PrecioFOB</v>
      </c>
      <c r="AI2430" t="str">
        <f t="shared" si="1551"/>
        <v>Monto II</v>
      </c>
      <c r="AJ2430" t="str">
        <f t="shared" si="1552"/>
        <v>Porcentaje II</v>
      </c>
      <c r="AK2430" t="str">
        <f t="shared" si="1553"/>
        <v>Foto</v>
      </c>
      <c r="AL2430" t="str">
        <f>"{\rtf1\ansi\ansicpg1252\deff0\deflang2058{\fonttbl{\f0\fnil\fcharset0 MS Sans Serif}} \viewkind4\uc1\pard\f0\fs16 KIT DISTRIBUCION VW GOLF 1.9 TDI 120 X 30\par } "</f>
        <v xml:space="preserve">{\rtf1\ansi\ansicpg1252\deff0\deflang2058{\fonttbl{\f0\fnil\fcharset0 MS Sans Serif}} \viewkind4\uc1\pard\f0\fs16 KIT DISTRIBUCION VW GOLF 1.9 TDI 120 X 30\par } </v>
      </c>
      <c r="AM2430" t="str">
        <f t="shared" si="1571"/>
        <v xml:space="preserve"> </v>
      </c>
    </row>
    <row r="2431" spans="1:39" x14ac:dyDescent="0.25">
      <c r="A2431" t="str">
        <f>"LKTWN2210"</f>
        <v>LKTWN2210</v>
      </c>
      <c r="B2431" t="str">
        <f>"KIT DISTRIBUCION Y BOMBA AGUA CHEVROLET CORSA 1.6 8V 111D"</f>
        <v>KIT DISTRIBUCION Y BOMBA AGUA CHEVROLET CORSA 1.6 8V 111D</v>
      </c>
      <c r="C2431" t="str">
        <f>"$ 80989,20"</f>
        <v>$ 80989,20</v>
      </c>
      <c r="D2431" t="str">
        <f>"$ 80989,20"</f>
        <v>$ 80989,20</v>
      </c>
      <c r="E2431" t="str">
        <f>"$ 80989,20"</f>
        <v>$ 80989,20</v>
      </c>
      <c r="F2431" t="str">
        <f>"$ 80989,20"</f>
        <v>$ 80989,20</v>
      </c>
      <c r="G2431" t="str">
        <f>"$ 80989,20"</f>
        <v>$ 80989,20</v>
      </c>
      <c r="H2431" t="str">
        <f t="shared" si="1536"/>
        <v>$ 0,00</v>
      </c>
      <c r="I2431" t="str">
        <f t="shared" ref="I2431:I2436" si="1572">"KIT DISTRIBUCION LUCAS CON BOMBA DE AGUA"</f>
        <v>KIT DISTRIBUCION LUCAS CON BOMBA DE AGUA</v>
      </c>
      <c r="J2431" t="str">
        <f t="shared" si="1537"/>
        <v>1</v>
      </c>
      <c r="K2431" t="str">
        <f t="shared" si="1561"/>
        <v>0</v>
      </c>
      <c r="L2431" t="str">
        <f>"-1,000"</f>
        <v>-1,000</v>
      </c>
      <c r="M2431" t="str">
        <f t="shared" si="1538"/>
        <v xml:space="preserve"> </v>
      </c>
      <c r="N2431" t="str">
        <f t="shared" ref="N2431:N2448" si="1573">"LUCAS"</f>
        <v>LUCAS</v>
      </c>
      <c r="O2431" t="str">
        <f t="shared" si="1564"/>
        <v>DISTRIBUCION</v>
      </c>
      <c r="P2431" t="str">
        <f t="shared" si="1569"/>
        <v>0</v>
      </c>
      <c r="Q2431" t="str">
        <f t="shared" si="1569"/>
        <v>0</v>
      </c>
      <c r="R2431" t="str">
        <f t="shared" si="1570"/>
        <v>0,00</v>
      </c>
      <c r="S2431" t="str">
        <f t="shared" si="1570"/>
        <v>0,00</v>
      </c>
      <c r="T2431" t="str">
        <f t="shared" ref="T2431:T2494" si="1574">" "</f>
        <v xml:space="preserve"> </v>
      </c>
      <c r="U2431" t="str">
        <f>"-"</f>
        <v>-</v>
      </c>
      <c r="V2431" t="str">
        <f>"-1,000"</f>
        <v>-1,000</v>
      </c>
      <c r="W2431" t="str">
        <f t="shared" si="1539"/>
        <v>Lista 4</v>
      </c>
      <c r="X2431" t="str">
        <f t="shared" si="1540"/>
        <v>Lista 5</v>
      </c>
      <c r="Y2431" t="str">
        <f t="shared" si="1541"/>
        <v>Oferta Gral.</v>
      </c>
      <c r="Z2431" t="str">
        <f t="shared" si="1542"/>
        <v>Rubro</v>
      </c>
      <c r="AA2431" t="str">
        <f t="shared" si="1543"/>
        <v>Cantidad por Bulto</v>
      </c>
      <c r="AB2431" t="str">
        <f t="shared" si="1544"/>
        <v>INNER</v>
      </c>
      <c r="AC2431" t="str">
        <f t="shared" si="1545"/>
        <v>Stock en Bultos</v>
      </c>
      <c r="AD2431" t="str">
        <f t="shared" si="1546"/>
        <v>SubDepósito</v>
      </c>
      <c r="AE2431" t="str">
        <f t="shared" si="1547"/>
        <v>Marca</v>
      </c>
      <c r="AF2431" t="str">
        <f t="shared" si="1548"/>
        <v>Super Rubro</v>
      </c>
      <c r="AG2431" t="str">
        <f t="shared" si="1549"/>
        <v>ComercioExterior</v>
      </c>
      <c r="AH2431" t="str">
        <f t="shared" si="1550"/>
        <v>PrecioFOB</v>
      </c>
      <c r="AI2431" t="str">
        <f t="shared" si="1551"/>
        <v>Monto II</v>
      </c>
      <c r="AJ2431" t="str">
        <f t="shared" si="1552"/>
        <v>Porcentaje II</v>
      </c>
      <c r="AK2431" t="str">
        <f t="shared" si="1553"/>
        <v>Foto</v>
      </c>
      <c r="AL2431" t="str">
        <f>"{\rtf1\ansi\ansicpg1252\deff0\deflang2058{\fonttbl{\f0\fnil\fcharset0 MS Sans Serif}} \viewkind4\uc1\pard\f0\fs16 KIT DISTRIBUCION Y BOMBA AGUA CHEVROLET CORSA 1.6 8V 111D\par } "</f>
        <v xml:space="preserve">{\rtf1\ansi\ansicpg1252\deff0\deflang2058{\fonttbl{\f0\fnil\fcharset0 MS Sans Serif}} \viewkind4\uc1\pard\f0\fs16 KIT DISTRIBUCION Y BOMBA AGUA CHEVROLET CORSA 1.6 8V 111D\par } </v>
      </c>
      <c r="AM2431" t="str">
        <f t="shared" si="1571"/>
        <v xml:space="preserve"> </v>
      </c>
    </row>
    <row r="2432" spans="1:39" x14ac:dyDescent="0.25">
      <c r="A2432" t="str">
        <f>"LKTWN3210"</f>
        <v>LKTWN3210</v>
      </c>
      <c r="B2432" t="str">
        <f>"KIT DISTRIBUCION Y BOMBA AGUA RENAULT CLIO II 1.2 16V MOTOR D4F"</f>
        <v>KIT DISTRIBUCION Y BOMBA AGUA RENAULT CLIO II 1.2 16V MOTOR D4F</v>
      </c>
      <c r="C2432" t="str">
        <f>"$ 112476,53"</f>
        <v>$ 112476,53</v>
      </c>
      <c r="D2432" t="str">
        <f>"$ 112476,53"</f>
        <v>$ 112476,53</v>
      </c>
      <c r="E2432" t="str">
        <f>"$ 112476,53"</f>
        <v>$ 112476,53</v>
      </c>
      <c r="F2432" t="str">
        <f>"$ 112476,53"</f>
        <v>$ 112476,53</v>
      </c>
      <c r="G2432" t="str">
        <f>"$ 112476,53"</f>
        <v>$ 112476,53</v>
      </c>
      <c r="H2432" t="str">
        <f t="shared" si="1536"/>
        <v>$ 0,00</v>
      </c>
      <c r="I2432" t="str">
        <f t="shared" si="1572"/>
        <v>KIT DISTRIBUCION LUCAS CON BOMBA DE AGUA</v>
      </c>
      <c r="J2432" t="str">
        <f t="shared" si="1537"/>
        <v>1</v>
      </c>
      <c r="K2432" t="str">
        <f t="shared" si="1561"/>
        <v>0</v>
      </c>
      <c r="L2432" t="str">
        <f>"3,000"</f>
        <v>3,000</v>
      </c>
      <c r="M2432" t="str">
        <f t="shared" si="1538"/>
        <v xml:space="preserve"> </v>
      </c>
      <c r="N2432" t="str">
        <f t="shared" si="1573"/>
        <v>LUCAS</v>
      </c>
      <c r="O2432" t="str">
        <f t="shared" si="1564"/>
        <v>DISTRIBUCION</v>
      </c>
      <c r="P2432" t="str">
        <f t="shared" si="1569"/>
        <v>0</v>
      </c>
      <c r="Q2432" t="str">
        <f t="shared" si="1569"/>
        <v>0</v>
      </c>
      <c r="R2432" t="str">
        <f t="shared" si="1570"/>
        <v>0,00</v>
      </c>
      <c r="S2432" t="str">
        <f t="shared" si="1570"/>
        <v>0,00</v>
      </c>
      <c r="T2432" t="str">
        <f t="shared" si="1574"/>
        <v xml:space="preserve"> </v>
      </c>
      <c r="U2432" t="str">
        <f>" "</f>
        <v xml:space="preserve"> </v>
      </c>
      <c r="V2432" t="str">
        <f>"3,000"</f>
        <v>3,000</v>
      </c>
      <c r="W2432" t="str">
        <f t="shared" si="1539"/>
        <v>Lista 4</v>
      </c>
      <c r="X2432" t="str">
        <f t="shared" si="1540"/>
        <v>Lista 5</v>
      </c>
      <c r="Y2432" t="str">
        <f t="shared" si="1541"/>
        <v>Oferta Gral.</v>
      </c>
      <c r="Z2432" t="str">
        <f t="shared" si="1542"/>
        <v>Rubro</v>
      </c>
      <c r="AA2432" t="str">
        <f t="shared" si="1543"/>
        <v>Cantidad por Bulto</v>
      </c>
      <c r="AB2432" t="str">
        <f t="shared" si="1544"/>
        <v>INNER</v>
      </c>
      <c r="AC2432" t="str">
        <f t="shared" si="1545"/>
        <v>Stock en Bultos</v>
      </c>
      <c r="AD2432" t="str">
        <f t="shared" si="1546"/>
        <v>SubDepósito</v>
      </c>
      <c r="AE2432" t="str">
        <f t="shared" si="1547"/>
        <v>Marca</v>
      </c>
      <c r="AF2432" t="str">
        <f t="shared" si="1548"/>
        <v>Super Rubro</v>
      </c>
      <c r="AG2432" t="str">
        <f t="shared" si="1549"/>
        <v>ComercioExterior</v>
      </c>
      <c r="AH2432" t="str">
        <f t="shared" si="1550"/>
        <v>PrecioFOB</v>
      </c>
      <c r="AI2432" t="str">
        <f t="shared" si="1551"/>
        <v>Monto II</v>
      </c>
      <c r="AJ2432" t="str">
        <f t="shared" si="1552"/>
        <v>Porcentaje II</v>
      </c>
      <c r="AK2432" t="str">
        <f t="shared" si="1553"/>
        <v>Foto</v>
      </c>
      <c r="AL2432" t="str">
        <f>"{\rtf1\ansi\ansicpg1252\deff0\deflang11274{\fonttbl{\f0\fnil\fcharset0 MS Sans Serif}} \viewkind4\uc1\pard\f0\fs16 KIT DISTRIBUCION Y BOMBA AGUA RENAULT CLIO II 1.2 16V MOTOR D4F\par } "</f>
        <v xml:space="preserve">{\rtf1\ansi\ansicpg1252\deff0\deflang11274{\fonttbl{\f0\fnil\fcharset0 MS Sans Serif}} \viewkind4\uc1\pard\f0\fs16 KIT DISTRIBUCION Y BOMBA AGUA RENAULT CLIO II 1.2 16V MOTOR D4F\par } </v>
      </c>
      <c r="AM2432" t="str">
        <f t="shared" si="1571"/>
        <v xml:space="preserve"> </v>
      </c>
    </row>
    <row r="2433" spans="1:39" x14ac:dyDescent="0.25">
      <c r="A2433" t="str">
        <f>"LKTWN7880"</f>
        <v>LKTWN7880</v>
      </c>
      <c r="B2433" t="str">
        <f>"KIT DISTRIBUCION Y BOMBA AGUA VW AMAROK 2.0 16V TDI 160D"</f>
        <v>KIT DISTRIBUCION Y BOMBA AGUA VW AMAROK 2.0 16V TDI 160D</v>
      </c>
      <c r="C2433" t="str">
        <f>"$ 224367,18"</f>
        <v>$ 224367,18</v>
      </c>
      <c r="D2433" t="str">
        <f>"$ 224367,18"</f>
        <v>$ 224367,18</v>
      </c>
      <c r="E2433" t="str">
        <f>"$ 224367,18"</f>
        <v>$ 224367,18</v>
      </c>
      <c r="F2433" t="str">
        <f>"$ 224367,18"</f>
        <v>$ 224367,18</v>
      </c>
      <c r="G2433" t="str">
        <f>"$ 224367,18"</f>
        <v>$ 224367,18</v>
      </c>
      <c r="H2433" t="str">
        <f t="shared" si="1536"/>
        <v>$ 0,00</v>
      </c>
      <c r="I2433" t="str">
        <f t="shared" si="1572"/>
        <v>KIT DISTRIBUCION LUCAS CON BOMBA DE AGUA</v>
      </c>
      <c r="J2433" t="str">
        <f t="shared" si="1537"/>
        <v>1</v>
      </c>
      <c r="K2433" t="str">
        <f t="shared" si="1561"/>
        <v>0</v>
      </c>
      <c r="L2433" t="str">
        <f>"0,000"</f>
        <v>0,000</v>
      </c>
      <c r="M2433" t="str">
        <f t="shared" si="1538"/>
        <v xml:space="preserve"> </v>
      </c>
      <c r="N2433" t="str">
        <f t="shared" si="1573"/>
        <v>LUCAS</v>
      </c>
      <c r="O2433" t="str">
        <f t="shared" si="1564"/>
        <v>DISTRIBUCION</v>
      </c>
      <c r="P2433" t="str">
        <f t="shared" si="1569"/>
        <v>0</v>
      </c>
      <c r="Q2433" t="str">
        <f t="shared" si="1569"/>
        <v>0</v>
      </c>
      <c r="R2433" t="str">
        <f t="shared" si="1570"/>
        <v>0,00</v>
      </c>
      <c r="S2433" t="str">
        <f t="shared" si="1570"/>
        <v>0,00</v>
      </c>
      <c r="T2433" t="str">
        <f t="shared" si="1574"/>
        <v xml:space="preserve"> </v>
      </c>
      <c r="U2433" t="str">
        <f>"-"</f>
        <v>-</v>
      </c>
      <c r="V2433" t="str">
        <f>"0,000"</f>
        <v>0,000</v>
      </c>
      <c r="W2433" t="str">
        <f t="shared" si="1539"/>
        <v>Lista 4</v>
      </c>
      <c r="X2433" t="str">
        <f t="shared" si="1540"/>
        <v>Lista 5</v>
      </c>
      <c r="Y2433" t="str">
        <f t="shared" si="1541"/>
        <v>Oferta Gral.</v>
      </c>
      <c r="Z2433" t="str">
        <f t="shared" si="1542"/>
        <v>Rubro</v>
      </c>
      <c r="AA2433" t="str">
        <f t="shared" si="1543"/>
        <v>Cantidad por Bulto</v>
      </c>
      <c r="AB2433" t="str">
        <f t="shared" si="1544"/>
        <v>INNER</v>
      </c>
      <c r="AC2433" t="str">
        <f t="shared" si="1545"/>
        <v>Stock en Bultos</v>
      </c>
      <c r="AD2433" t="str">
        <f t="shared" si="1546"/>
        <v>SubDepósito</v>
      </c>
      <c r="AE2433" t="str">
        <f t="shared" si="1547"/>
        <v>Marca</v>
      </c>
      <c r="AF2433" t="str">
        <f t="shared" si="1548"/>
        <v>Super Rubro</v>
      </c>
      <c r="AG2433" t="str">
        <f t="shared" si="1549"/>
        <v>ComercioExterior</v>
      </c>
      <c r="AH2433" t="str">
        <f t="shared" si="1550"/>
        <v>PrecioFOB</v>
      </c>
      <c r="AI2433" t="str">
        <f t="shared" si="1551"/>
        <v>Monto II</v>
      </c>
      <c r="AJ2433" t="str">
        <f t="shared" si="1552"/>
        <v>Porcentaje II</v>
      </c>
      <c r="AK2433" t="str">
        <f t="shared" si="1553"/>
        <v>Foto</v>
      </c>
      <c r="AL2433" t="str">
        <f>"{\rtf1\ansi\ansicpg1252\deff0\deflang2058{\fonttbl{\f0\fnil\fcharset0 MS Sans Serif}} \viewkind4\uc1\pard\f0\fs16 KIT DISTRIBUCION Y BOMBA AGUA VW AMAROK 2.0 16V TDI 160D\par } "</f>
        <v xml:space="preserve">{\rtf1\ansi\ansicpg1252\deff0\deflang2058{\fonttbl{\f0\fnil\fcharset0 MS Sans Serif}} \viewkind4\uc1\pard\f0\fs16 KIT DISTRIBUCION Y BOMBA AGUA VW AMAROK 2.0 16V TDI 160D\par } </v>
      </c>
      <c r="AM2433" t="str">
        <f t="shared" si="1571"/>
        <v xml:space="preserve"> </v>
      </c>
    </row>
    <row r="2434" spans="1:39" x14ac:dyDescent="0.25">
      <c r="A2434" t="str">
        <f>"LKTWN8060"</f>
        <v>LKTWN8060</v>
      </c>
      <c r="B2434" t="str">
        <f>"KIT DISTRIBUCION Y BOMBA DE AGUA FIAT PALIO SIENA FIRE 1.3 1.4 8V TENSOR MECANICO"</f>
        <v>KIT DISTRIBUCION Y BOMBA DE AGUA FIAT PALIO SIENA FIRE 1.3 1.4 8V TENSOR MECANICO</v>
      </c>
      <c r="C2434" t="str">
        <f>"$ 84965,86"</f>
        <v>$ 84965,86</v>
      </c>
      <c r="D2434" t="str">
        <f>"$ 84965,86"</f>
        <v>$ 84965,86</v>
      </c>
      <c r="E2434" t="str">
        <f>"$ 84965,86"</f>
        <v>$ 84965,86</v>
      </c>
      <c r="F2434" t="str">
        <f>"$ 84965,86"</f>
        <v>$ 84965,86</v>
      </c>
      <c r="G2434" t="str">
        <f>"$ 84965,86"</f>
        <v>$ 84965,86</v>
      </c>
      <c r="H2434" t="str">
        <f t="shared" si="1536"/>
        <v>$ 0,00</v>
      </c>
      <c r="I2434" t="str">
        <f t="shared" si="1572"/>
        <v>KIT DISTRIBUCION LUCAS CON BOMBA DE AGUA</v>
      </c>
      <c r="J2434" t="str">
        <f t="shared" si="1537"/>
        <v>1</v>
      </c>
      <c r="K2434" t="str">
        <f t="shared" si="1561"/>
        <v>0</v>
      </c>
      <c r="L2434" t="str">
        <f>"0,000"</f>
        <v>0,000</v>
      </c>
      <c r="M2434" t="str">
        <f t="shared" si="1538"/>
        <v xml:space="preserve"> </v>
      </c>
      <c r="N2434" t="str">
        <f t="shared" si="1573"/>
        <v>LUCAS</v>
      </c>
      <c r="O2434" t="str">
        <f t="shared" ref="O2434:O2448" si="1575">"DISTRIBUCION"</f>
        <v>DISTRIBUCION</v>
      </c>
      <c r="P2434" t="str">
        <f t="shared" si="1569"/>
        <v>0</v>
      </c>
      <c r="Q2434" t="str">
        <f t="shared" si="1569"/>
        <v>0</v>
      </c>
      <c r="R2434" t="str">
        <f t="shared" si="1570"/>
        <v>0,00</v>
      </c>
      <c r="S2434" t="str">
        <f t="shared" si="1570"/>
        <v>0,00</v>
      </c>
      <c r="T2434" t="str">
        <f t="shared" si="1574"/>
        <v xml:space="preserve"> </v>
      </c>
      <c r="U2434" t="str">
        <f t="shared" ref="U2434:U2497" si="1576">" "</f>
        <v xml:space="preserve"> </v>
      </c>
      <c r="V2434" t="str">
        <f>"0,000"</f>
        <v>0,000</v>
      </c>
      <c r="W2434" t="str">
        <f t="shared" si="1539"/>
        <v>Lista 4</v>
      </c>
      <c r="X2434" t="str">
        <f t="shared" si="1540"/>
        <v>Lista 5</v>
      </c>
      <c r="Y2434" t="str">
        <f t="shared" si="1541"/>
        <v>Oferta Gral.</v>
      </c>
      <c r="Z2434" t="str">
        <f t="shared" si="1542"/>
        <v>Rubro</v>
      </c>
      <c r="AA2434" t="str">
        <f t="shared" si="1543"/>
        <v>Cantidad por Bulto</v>
      </c>
      <c r="AB2434" t="str">
        <f t="shared" si="1544"/>
        <v>INNER</v>
      </c>
      <c r="AC2434" t="str">
        <f t="shared" si="1545"/>
        <v>Stock en Bultos</v>
      </c>
      <c r="AD2434" t="str">
        <f t="shared" si="1546"/>
        <v>SubDepósito</v>
      </c>
      <c r="AE2434" t="str">
        <f t="shared" si="1547"/>
        <v>Marca</v>
      </c>
      <c r="AF2434" t="str">
        <f t="shared" si="1548"/>
        <v>Super Rubro</v>
      </c>
      <c r="AG2434" t="str">
        <f t="shared" si="1549"/>
        <v>ComercioExterior</v>
      </c>
      <c r="AH2434" t="str">
        <f t="shared" si="1550"/>
        <v>PrecioFOB</v>
      </c>
      <c r="AI2434" t="str">
        <f t="shared" si="1551"/>
        <v>Monto II</v>
      </c>
      <c r="AJ2434" t="str">
        <f t="shared" si="1552"/>
        <v>Porcentaje II</v>
      </c>
      <c r="AK2434" t="str">
        <f t="shared" si="1553"/>
        <v>Foto</v>
      </c>
      <c r="AL2434" t="str">
        <f>"{\rtf1\ansi\ansicpg1252\deff0\deflang11274{\fonttbl{\f0\fnil\fcharset0 MS Sans Serif}} \viewkind4\uc1\pard\f0\fs16 KIT DISTRIBUCION Y BOMBA DE AGUA FIAT PALIO SIENA FIRE 1.3 1.4 8V TENSOR MECANICO\par } "</f>
        <v xml:space="preserve">{\rtf1\ansi\ansicpg1252\deff0\deflang11274{\fonttbl{\f0\fnil\fcharset0 MS Sans Serif}} \viewkind4\uc1\pard\f0\fs16 KIT DISTRIBUCION Y BOMBA DE AGUA FIAT PALIO SIENA FIRE 1.3 1.4 8V TENSOR MECANICO\par } </v>
      </c>
      <c r="AM2434" t="str">
        <f t="shared" si="1571"/>
        <v xml:space="preserve"> </v>
      </c>
    </row>
    <row r="2435" spans="1:39" x14ac:dyDescent="0.25">
      <c r="A2435" t="str">
        <f>"LKTWN7940"</f>
        <v>LKTWN7940</v>
      </c>
      <c r="B2435" t="str">
        <f>"KIT DISTRIBUCION Y BOMBA DE AGUA RENAULT LOGAN SANDERO 1.6 8V MOTOR K7M"</f>
        <v>KIT DISTRIBUCION Y BOMBA DE AGUA RENAULT LOGAN SANDERO 1.6 8V MOTOR K7M</v>
      </c>
      <c r="C2435" t="str">
        <f>"$ 119286,15"</f>
        <v>$ 119286,15</v>
      </c>
      <c r="D2435" t="str">
        <f>"$ 119286,15"</f>
        <v>$ 119286,15</v>
      </c>
      <c r="E2435" t="str">
        <f>"$ 119286,15"</f>
        <v>$ 119286,15</v>
      </c>
      <c r="F2435" t="str">
        <f>"$ 119286,15"</f>
        <v>$ 119286,15</v>
      </c>
      <c r="G2435" t="str">
        <f>"$ 119286,15"</f>
        <v>$ 119286,15</v>
      </c>
      <c r="H2435" t="str">
        <f t="shared" ref="H2435:H2498" si="1577">"$ 0,00"</f>
        <v>$ 0,00</v>
      </c>
      <c r="I2435" t="str">
        <f t="shared" si="1572"/>
        <v>KIT DISTRIBUCION LUCAS CON BOMBA DE AGUA</v>
      </c>
      <c r="J2435" t="str">
        <f t="shared" ref="J2435:J2498" si="1578">"1"</f>
        <v>1</v>
      </c>
      <c r="K2435" t="str">
        <f t="shared" si="1561"/>
        <v>0</v>
      </c>
      <c r="L2435" t="str">
        <f>"2,000"</f>
        <v>2,000</v>
      </c>
      <c r="M2435" t="str">
        <f t="shared" ref="M2435:M2498" si="1579">" "</f>
        <v xml:space="preserve"> </v>
      </c>
      <c r="N2435" t="str">
        <f t="shared" si="1573"/>
        <v>LUCAS</v>
      </c>
      <c r="O2435" t="str">
        <f t="shared" si="1575"/>
        <v>DISTRIBUCION</v>
      </c>
      <c r="P2435" t="str">
        <f t="shared" si="1569"/>
        <v>0</v>
      </c>
      <c r="Q2435" t="str">
        <f t="shared" si="1569"/>
        <v>0</v>
      </c>
      <c r="R2435" t="str">
        <f t="shared" si="1570"/>
        <v>0,00</v>
      </c>
      <c r="S2435" t="str">
        <f t="shared" si="1570"/>
        <v>0,00</v>
      </c>
      <c r="T2435" t="str">
        <f t="shared" si="1574"/>
        <v xml:space="preserve"> </v>
      </c>
      <c r="U2435" t="str">
        <f t="shared" si="1576"/>
        <v xml:space="preserve"> </v>
      </c>
      <c r="V2435" t="str">
        <f>"2,000"</f>
        <v>2,000</v>
      </c>
      <c r="W2435" t="str">
        <f t="shared" ref="W2435:W2498" si="1580">"Lista 4"</f>
        <v>Lista 4</v>
      </c>
      <c r="X2435" t="str">
        <f t="shared" ref="X2435:X2498" si="1581">"Lista 5"</f>
        <v>Lista 5</v>
      </c>
      <c r="Y2435" t="str">
        <f t="shared" ref="Y2435:Y2498" si="1582">"Oferta Gral."</f>
        <v>Oferta Gral.</v>
      </c>
      <c r="Z2435" t="str">
        <f t="shared" ref="Z2435:Z2498" si="1583">"Rubro"</f>
        <v>Rubro</v>
      </c>
      <c r="AA2435" t="str">
        <f t="shared" ref="AA2435:AA2498" si="1584">"Cantidad por Bulto"</f>
        <v>Cantidad por Bulto</v>
      </c>
      <c r="AB2435" t="str">
        <f t="shared" ref="AB2435:AB2498" si="1585">"INNER"</f>
        <v>INNER</v>
      </c>
      <c r="AC2435" t="str">
        <f t="shared" ref="AC2435:AC2498" si="1586">"Stock en Bultos"</f>
        <v>Stock en Bultos</v>
      </c>
      <c r="AD2435" t="str">
        <f t="shared" ref="AD2435:AD2498" si="1587">"SubDepósito"</f>
        <v>SubDepósito</v>
      </c>
      <c r="AE2435" t="str">
        <f t="shared" ref="AE2435:AE2498" si="1588">"Marca"</f>
        <v>Marca</v>
      </c>
      <c r="AF2435" t="str">
        <f t="shared" ref="AF2435:AF2498" si="1589">"Super Rubro"</f>
        <v>Super Rubro</v>
      </c>
      <c r="AG2435" t="str">
        <f t="shared" ref="AG2435:AG2498" si="1590">"ComercioExterior"</f>
        <v>ComercioExterior</v>
      </c>
      <c r="AH2435" t="str">
        <f t="shared" ref="AH2435:AH2498" si="1591">"PrecioFOB"</f>
        <v>PrecioFOB</v>
      </c>
      <c r="AI2435" t="str">
        <f t="shared" ref="AI2435:AI2498" si="1592">"Monto II"</f>
        <v>Monto II</v>
      </c>
      <c r="AJ2435" t="str">
        <f t="shared" ref="AJ2435:AJ2498" si="1593">"Porcentaje II"</f>
        <v>Porcentaje II</v>
      </c>
      <c r="AK2435" t="str">
        <f t="shared" ref="AK2435:AK2498" si="1594">"Foto"</f>
        <v>Foto</v>
      </c>
      <c r="AL2435" t="str">
        <f>"{\rtf1\ansi\ansicpg1252\deff0\deflang11274{\fonttbl{\f0\fnil\fcharset0 MS Sans Serif}} \viewkind4\uc1\pard\f0\fs16 KIT DISTRIBUCION Y BOMBA DE AGUA RENAULT LOGAN SANDERO 1.6 8V MOTOR K7M\par } "</f>
        <v xml:space="preserve">{\rtf1\ansi\ansicpg1252\deff0\deflang11274{\fonttbl{\f0\fnil\fcharset0 MS Sans Serif}} \viewkind4\uc1\pard\f0\fs16 KIT DISTRIBUCION Y BOMBA DE AGUA RENAULT LOGAN SANDERO 1.6 8V MOTOR K7M\par } </v>
      </c>
      <c r="AM2435" t="str">
        <f t="shared" si="1571"/>
        <v xml:space="preserve"> </v>
      </c>
    </row>
    <row r="2436" spans="1:39" x14ac:dyDescent="0.25">
      <c r="A2436" t="str">
        <f>"LKTWN3411"</f>
        <v>LKTWN3411</v>
      </c>
      <c r="B2436" t="str">
        <f>"KIT DISTRIBUCION Y BOMBA DE AGUA VW FOX SURAN GOL TREND 1.6 "</f>
        <v xml:space="preserve">KIT DISTRIBUCION Y BOMBA DE AGUA VW FOX SURAN GOL TREND 1.6 </v>
      </c>
      <c r="C2436" t="str">
        <f>"$ 94087,26"</f>
        <v>$ 94087,26</v>
      </c>
      <c r="D2436" t="str">
        <f>"$ 94087,26"</f>
        <v>$ 94087,26</v>
      </c>
      <c r="E2436" t="str">
        <f>"$ 94087,26"</f>
        <v>$ 94087,26</v>
      </c>
      <c r="F2436" t="str">
        <f>"$ 94087,26"</f>
        <v>$ 94087,26</v>
      </c>
      <c r="G2436" t="str">
        <f>"$ 94087,26"</f>
        <v>$ 94087,26</v>
      </c>
      <c r="H2436" t="str">
        <f t="shared" si="1577"/>
        <v>$ 0,00</v>
      </c>
      <c r="I2436" t="str">
        <f t="shared" si="1572"/>
        <v>KIT DISTRIBUCION LUCAS CON BOMBA DE AGUA</v>
      </c>
      <c r="J2436" t="str">
        <f t="shared" si="1578"/>
        <v>1</v>
      </c>
      <c r="K2436" t="str">
        <f t="shared" si="1561"/>
        <v>0</v>
      </c>
      <c r="L2436" t="str">
        <f>"5,000"</f>
        <v>5,000</v>
      </c>
      <c r="M2436" t="str">
        <f t="shared" si="1579"/>
        <v xml:space="preserve"> </v>
      </c>
      <c r="N2436" t="str">
        <f t="shared" si="1573"/>
        <v>LUCAS</v>
      </c>
      <c r="O2436" t="str">
        <f t="shared" si="1575"/>
        <v>DISTRIBUCION</v>
      </c>
      <c r="P2436" t="str">
        <f t="shared" si="1569"/>
        <v>0</v>
      </c>
      <c r="Q2436" t="str">
        <f t="shared" si="1569"/>
        <v>0</v>
      </c>
      <c r="R2436" t="str">
        <f t="shared" si="1570"/>
        <v>0,00</v>
      </c>
      <c r="S2436" t="str">
        <f t="shared" si="1570"/>
        <v>0,00</v>
      </c>
      <c r="T2436" t="str">
        <f t="shared" si="1574"/>
        <v xml:space="preserve"> </v>
      </c>
      <c r="U2436" t="str">
        <f t="shared" si="1576"/>
        <v xml:space="preserve"> </v>
      </c>
      <c r="V2436" t="str">
        <f>"5,000"</f>
        <v>5,000</v>
      </c>
      <c r="W2436" t="str">
        <f t="shared" si="1580"/>
        <v>Lista 4</v>
      </c>
      <c r="X2436" t="str">
        <f t="shared" si="1581"/>
        <v>Lista 5</v>
      </c>
      <c r="Y2436" t="str">
        <f t="shared" si="1582"/>
        <v>Oferta Gral.</v>
      </c>
      <c r="Z2436" t="str">
        <f t="shared" si="1583"/>
        <v>Rubro</v>
      </c>
      <c r="AA2436" t="str">
        <f t="shared" si="1584"/>
        <v>Cantidad por Bulto</v>
      </c>
      <c r="AB2436" t="str">
        <f t="shared" si="1585"/>
        <v>INNER</v>
      </c>
      <c r="AC2436" t="str">
        <f t="shared" si="1586"/>
        <v>Stock en Bultos</v>
      </c>
      <c r="AD2436" t="str">
        <f t="shared" si="1587"/>
        <v>SubDepósito</v>
      </c>
      <c r="AE2436" t="str">
        <f t="shared" si="1588"/>
        <v>Marca</v>
      </c>
      <c r="AF2436" t="str">
        <f t="shared" si="1589"/>
        <v>Super Rubro</v>
      </c>
      <c r="AG2436" t="str">
        <f t="shared" si="1590"/>
        <v>ComercioExterior</v>
      </c>
      <c r="AH2436" t="str">
        <f t="shared" si="1591"/>
        <v>PrecioFOB</v>
      </c>
      <c r="AI2436" t="str">
        <f t="shared" si="1592"/>
        <v>Monto II</v>
      </c>
      <c r="AJ2436" t="str">
        <f t="shared" si="1593"/>
        <v>Porcentaje II</v>
      </c>
      <c r="AK2436" t="str">
        <f t="shared" si="1594"/>
        <v>Foto</v>
      </c>
      <c r="AL2436" t="str">
        <f>"{\rtf1\ansi\ansicpg1252\deff0\deflang11274{\fonttbl{\f0\fnil\fcharset0 MS Sans Serif}} \viewkind4\uc1\pard\f0\fs16 KIT DISTRIBUCION Y BOMBA DE AGUA VW FOX SURAN GOL TREND 1.6 \par } "</f>
        <v xml:space="preserve">{\rtf1\ansi\ansicpg1252\deff0\deflang11274{\fonttbl{\f0\fnil\fcharset0 MS Sans Serif}} \viewkind4\uc1\pard\f0\fs16 KIT DISTRIBUCION Y BOMBA DE AGUA VW FOX SURAN GOL TREND 1.6 \par } </v>
      </c>
      <c r="AM2436" t="str">
        <f t="shared" si="1571"/>
        <v xml:space="preserve"> </v>
      </c>
    </row>
    <row r="2437" spans="1:39" x14ac:dyDescent="0.25">
      <c r="A2437" t="str">
        <f>"LKTBN412"</f>
        <v>LKTBN412</v>
      </c>
      <c r="B2437" t="str">
        <f>"KIT DISTRIBUCIÓN CHEVROLET ASTRA 2.0 16 VÁLVULAS MOTOR X20EV 2.0"</f>
        <v>KIT DISTRIBUCIÓN CHEVROLET ASTRA 2.0 16 VÁLVULAS MOTOR X20EV 2.0</v>
      </c>
      <c r="C2437" t="str">
        <f>"$ 140997,84"</f>
        <v>$ 140997,84</v>
      </c>
      <c r="D2437" t="str">
        <f>"$ 140997,84"</f>
        <v>$ 140997,84</v>
      </c>
      <c r="E2437" t="str">
        <f>"$ 140997,84"</f>
        <v>$ 140997,84</v>
      </c>
      <c r="F2437" t="str">
        <f>"$ 140997,84"</f>
        <v>$ 140997,84</v>
      </c>
      <c r="G2437" t="str">
        <f>"$ 140997,84"</f>
        <v>$ 140997,84</v>
      </c>
      <c r="H2437" t="str">
        <f t="shared" si="1577"/>
        <v>$ 0,00</v>
      </c>
      <c r="I2437" t="str">
        <f t="shared" ref="I2437:I2448" si="1595">"KIT DE DISTRIBUCION LUCAS"</f>
        <v>KIT DE DISTRIBUCION LUCAS</v>
      </c>
      <c r="J2437" t="str">
        <f t="shared" si="1578"/>
        <v>1</v>
      </c>
      <c r="K2437" t="str">
        <f t="shared" si="1561"/>
        <v>0</v>
      </c>
      <c r="L2437" t="str">
        <f>"5,000"</f>
        <v>5,000</v>
      </c>
      <c r="M2437" t="str">
        <f t="shared" si="1579"/>
        <v xml:space="preserve"> </v>
      </c>
      <c r="N2437" t="str">
        <f t="shared" si="1573"/>
        <v>LUCAS</v>
      </c>
      <c r="O2437" t="str">
        <f t="shared" si="1575"/>
        <v>DISTRIBUCION</v>
      </c>
      <c r="P2437" t="str">
        <f t="shared" si="1569"/>
        <v>0</v>
      </c>
      <c r="Q2437" t="str">
        <f t="shared" si="1569"/>
        <v>0</v>
      </c>
      <c r="R2437" t="str">
        <f t="shared" si="1570"/>
        <v>0,00</v>
      </c>
      <c r="S2437" t="str">
        <f t="shared" si="1570"/>
        <v>0,00</v>
      </c>
      <c r="T2437" t="str">
        <f t="shared" si="1574"/>
        <v xml:space="preserve"> </v>
      </c>
      <c r="U2437" t="str">
        <f t="shared" si="1576"/>
        <v xml:space="preserve"> </v>
      </c>
      <c r="V2437" t="str">
        <f>"5,000"</f>
        <v>5,000</v>
      </c>
      <c r="W2437" t="str">
        <f t="shared" si="1580"/>
        <v>Lista 4</v>
      </c>
      <c r="X2437" t="str">
        <f t="shared" si="1581"/>
        <v>Lista 5</v>
      </c>
      <c r="Y2437" t="str">
        <f t="shared" si="1582"/>
        <v>Oferta Gral.</v>
      </c>
      <c r="Z2437" t="str">
        <f t="shared" si="1583"/>
        <v>Rubro</v>
      </c>
      <c r="AA2437" t="str">
        <f t="shared" si="1584"/>
        <v>Cantidad por Bulto</v>
      </c>
      <c r="AB2437" t="str">
        <f t="shared" si="1585"/>
        <v>INNER</v>
      </c>
      <c r="AC2437" t="str">
        <f t="shared" si="1586"/>
        <v>Stock en Bultos</v>
      </c>
      <c r="AD2437" t="str">
        <f t="shared" si="1587"/>
        <v>SubDepósito</v>
      </c>
      <c r="AE2437" t="str">
        <f t="shared" si="1588"/>
        <v>Marca</v>
      </c>
      <c r="AF2437" t="str">
        <f t="shared" si="1589"/>
        <v>Super Rubro</v>
      </c>
      <c r="AG2437" t="str">
        <f t="shared" si="1590"/>
        <v>ComercioExterior</v>
      </c>
      <c r="AH2437" t="str">
        <f t="shared" si="1591"/>
        <v>PrecioFOB</v>
      </c>
      <c r="AI2437" t="str">
        <f t="shared" si="1592"/>
        <v>Monto II</v>
      </c>
      <c r="AJ2437" t="str">
        <f t="shared" si="1593"/>
        <v>Porcentaje II</v>
      </c>
      <c r="AK2437" t="str">
        <f t="shared" si="1594"/>
        <v>Foto</v>
      </c>
      <c r="AL243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37" t="str">
        <f t="shared" si="1571"/>
        <v xml:space="preserve"> </v>
      </c>
    </row>
    <row r="2438" spans="1:39" x14ac:dyDescent="0.25">
      <c r="A2438" t="str">
        <f>"LKTBN254"</f>
        <v>LKTBN254</v>
      </c>
      <c r="B2438" t="str">
        <f>"KIT DISTRIBUCIÓN CHEVROLET ASTRA VECTRA 1.8  2.0"</f>
        <v>KIT DISTRIBUCIÓN CHEVROLET ASTRA VECTRA 1.8  2.0</v>
      </c>
      <c r="C2438" t="str">
        <f>"$ 71052,46"</f>
        <v>$ 71052,46</v>
      </c>
      <c r="D2438" t="str">
        <f>"$ 71052,46"</f>
        <v>$ 71052,46</v>
      </c>
      <c r="E2438" t="str">
        <f>"$ 71052,46"</f>
        <v>$ 71052,46</v>
      </c>
      <c r="F2438" t="str">
        <f>"$ 71052,46"</f>
        <v>$ 71052,46</v>
      </c>
      <c r="G2438" t="str">
        <f>"$ 71052,46"</f>
        <v>$ 71052,46</v>
      </c>
      <c r="H2438" t="str">
        <f t="shared" si="1577"/>
        <v>$ 0,00</v>
      </c>
      <c r="I2438" t="str">
        <f t="shared" si="1595"/>
        <v>KIT DE DISTRIBUCION LUCAS</v>
      </c>
      <c r="J2438" t="str">
        <f t="shared" si="1578"/>
        <v>1</v>
      </c>
      <c r="K2438" t="str">
        <f t="shared" si="1561"/>
        <v>0</v>
      </c>
      <c r="L2438" t="str">
        <f>"11,000"</f>
        <v>11,000</v>
      </c>
      <c r="M2438" t="str">
        <f t="shared" si="1579"/>
        <v xml:space="preserve"> </v>
      </c>
      <c r="N2438" t="str">
        <f t="shared" si="1573"/>
        <v>LUCAS</v>
      </c>
      <c r="O2438" t="str">
        <f t="shared" si="1575"/>
        <v>DISTRIBUCION</v>
      </c>
      <c r="P2438" t="str">
        <f t="shared" si="1569"/>
        <v>0</v>
      </c>
      <c r="Q2438" t="str">
        <f t="shared" si="1569"/>
        <v>0</v>
      </c>
      <c r="R2438" t="str">
        <f t="shared" si="1570"/>
        <v>0,00</v>
      </c>
      <c r="S2438" t="str">
        <f t="shared" si="1570"/>
        <v>0,00</v>
      </c>
      <c r="T2438" t="str">
        <f t="shared" si="1574"/>
        <v xml:space="preserve"> </v>
      </c>
      <c r="U2438" t="str">
        <f t="shared" si="1576"/>
        <v xml:space="preserve"> </v>
      </c>
      <c r="V2438" t="str">
        <f>"11,000"</f>
        <v>11,000</v>
      </c>
      <c r="W2438" t="str">
        <f t="shared" si="1580"/>
        <v>Lista 4</v>
      </c>
      <c r="X2438" t="str">
        <f t="shared" si="1581"/>
        <v>Lista 5</v>
      </c>
      <c r="Y2438" t="str">
        <f t="shared" si="1582"/>
        <v>Oferta Gral.</v>
      </c>
      <c r="Z2438" t="str">
        <f t="shared" si="1583"/>
        <v>Rubro</v>
      </c>
      <c r="AA2438" t="str">
        <f t="shared" si="1584"/>
        <v>Cantidad por Bulto</v>
      </c>
      <c r="AB2438" t="str">
        <f t="shared" si="1585"/>
        <v>INNER</v>
      </c>
      <c r="AC2438" t="str">
        <f t="shared" si="1586"/>
        <v>Stock en Bultos</v>
      </c>
      <c r="AD2438" t="str">
        <f t="shared" si="1587"/>
        <v>SubDepósito</v>
      </c>
      <c r="AE2438" t="str">
        <f t="shared" si="1588"/>
        <v>Marca</v>
      </c>
      <c r="AF2438" t="str">
        <f t="shared" si="1589"/>
        <v>Super Rubro</v>
      </c>
      <c r="AG2438" t="str">
        <f t="shared" si="1590"/>
        <v>ComercioExterior</v>
      </c>
      <c r="AH2438" t="str">
        <f t="shared" si="1591"/>
        <v>PrecioFOB</v>
      </c>
      <c r="AI2438" t="str">
        <f t="shared" si="1592"/>
        <v>Monto II</v>
      </c>
      <c r="AJ2438" t="str">
        <f t="shared" si="1593"/>
        <v>Porcentaje II</v>
      </c>
      <c r="AK2438" t="str">
        <f t="shared" si="1594"/>
        <v>Foto</v>
      </c>
      <c r="AL2438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38" t="str">
        <f t="shared" si="1571"/>
        <v xml:space="preserve"> </v>
      </c>
    </row>
    <row r="2439" spans="1:39" x14ac:dyDescent="0.25">
      <c r="A2439" t="str">
        <f>"LKTBN307"</f>
        <v>LKTBN307</v>
      </c>
      <c r="B2439" t="str">
        <f>"KIT DISTRIBUCIÓN FIAT DUCATO IVECO DAILY  RENAULT MASTER II  MOTOR 2.8 DTI"</f>
        <v>KIT DISTRIBUCIÓN FIAT DUCATO IVECO DAILY  RENAULT MASTER II  MOTOR 2.8 DTI</v>
      </c>
      <c r="C2439" t="str">
        <f>"$ 121140,21"</f>
        <v>$ 121140,21</v>
      </c>
      <c r="D2439" t="str">
        <f>"$ 121140,21"</f>
        <v>$ 121140,21</v>
      </c>
      <c r="E2439" t="str">
        <f>"$ 121140,21"</f>
        <v>$ 121140,21</v>
      </c>
      <c r="F2439" t="str">
        <f>"$ 121140,21"</f>
        <v>$ 121140,21</v>
      </c>
      <c r="G2439" t="str">
        <f>"$ 121140,21"</f>
        <v>$ 121140,21</v>
      </c>
      <c r="H2439" t="str">
        <f t="shared" si="1577"/>
        <v>$ 0,00</v>
      </c>
      <c r="I2439" t="str">
        <f t="shared" si="1595"/>
        <v>KIT DE DISTRIBUCION LUCAS</v>
      </c>
      <c r="J2439" t="str">
        <f t="shared" si="1578"/>
        <v>1</v>
      </c>
      <c r="K2439" t="str">
        <f t="shared" si="1561"/>
        <v>0</v>
      </c>
      <c r="L2439" t="str">
        <f>"4,000"</f>
        <v>4,000</v>
      </c>
      <c r="M2439" t="str">
        <f t="shared" si="1579"/>
        <v xml:space="preserve"> </v>
      </c>
      <c r="N2439" t="str">
        <f t="shared" si="1573"/>
        <v>LUCAS</v>
      </c>
      <c r="O2439" t="str">
        <f t="shared" si="1575"/>
        <v>DISTRIBUCION</v>
      </c>
      <c r="P2439" t="str">
        <f t="shared" si="1569"/>
        <v>0</v>
      </c>
      <c r="Q2439" t="str">
        <f t="shared" si="1569"/>
        <v>0</v>
      </c>
      <c r="R2439" t="str">
        <f t="shared" si="1570"/>
        <v>0,00</v>
      </c>
      <c r="S2439" t="str">
        <f t="shared" si="1570"/>
        <v>0,00</v>
      </c>
      <c r="T2439" t="str">
        <f t="shared" si="1574"/>
        <v xml:space="preserve"> </v>
      </c>
      <c r="U2439" t="str">
        <f t="shared" si="1576"/>
        <v xml:space="preserve"> </v>
      </c>
      <c r="V2439" t="str">
        <f>"4,000"</f>
        <v>4,000</v>
      </c>
      <c r="W2439" t="str">
        <f t="shared" si="1580"/>
        <v>Lista 4</v>
      </c>
      <c r="X2439" t="str">
        <f t="shared" si="1581"/>
        <v>Lista 5</v>
      </c>
      <c r="Y2439" t="str">
        <f t="shared" si="1582"/>
        <v>Oferta Gral.</v>
      </c>
      <c r="Z2439" t="str">
        <f t="shared" si="1583"/>
        <v>Rubro</v>
      </c>
      <c r="AA2439" t="str">
        <f t="shared" si="1584"/>
        <v>Cantidad por Bulto</v>
      </c>
      <c r="AB2439" t="str">
        <f t="shared" si="1585"/>
        <v>INNER</v>
      </c>
      <c r="AC2439" t="str">
        <f t="shared" si="1586"/>
        <v>Stock en Bultos</v>
      </c>
      <c r="AD2439" t="str">
        <f t="shared" si="1587"/>
        <v>SubDepósito</v>
      </c>
      <c r="AE2439" t="str">
        <f t="shared" si="1588"/>
        <v>Marca</v>
      </c>
      <c r="AF2439" t="str">
        <f t="shared" si="1589"/>
        <v>Super Rubro</v>
      </c>
      <c r="AG2439" t="str">
        <f t="shared" si="1590"/>
        <v>ComercioExterior</v>
      </c>
      <c r="AH2439" t="str">
        <f t="shared" si="1591"/>
        <v>PrecioFOB</v>
      </c>
      <c r="AI2439" t="str">
        <f t="shared" si="1592"/>
        <v>Monto II</v>
      </c>
      <c r="AJ2439" t="str">
        <f t="shared" si="1593"/>
        <v>Porcentaje II</v>
      </c>
      <c r="AK2439" t="str">
        <f t="shared" si="1594"/>
        <v>Foto</v>
      </c>
      <c r="AL2439" t="str">
        <f>"{\rtf1\ansi\ansicpg1252\deff0\deflang2058{\fonttbl{\f0\fnil\fcharset0 MS Sans Serif}} \viewkind4\uc1\pard\f0\fs16 KIT DISTRIBUCI`d3N FIAT DUCATO IVECO DAILY  REANULT MASTER II  MOTOR 2.8 DTI\par } "</f>
        <v xml:space="preserve">{\rtf1\ansi\ansicpg1252\deff0\deflang2058{\fonttbl{\f0\fnil\fcharset0 MS Sans Serif}} \viewkind4\uc1\pard\f0\fs16 KIT DISTRIBUCI`d3N FIAT DUCATO IVECO DAILY  REANULT MASTER II  MOTOR 2.8 DTI\par } </v>
      </c>
      <c r="AM2439" t="str">
        <f t="shared" si="1571"/>
        <v xml:space="preserve"> </v>
      </c>
    </row>
    <row r="2440" spans="1:39" x14ac:dyDescent="0.25">
      <c r="A2440" t="str">
        <f>"LKTBN269"</f>
        <v>LKTBN269</v>
      </c>
      <c r="B2440" t="str">
        <f>"KIT DISTRIBUCIÓN FIAT PALIO SIENA BRAVA BRAVO MAREA 1.6 16 VÁLVULAS"</f>
        <v>KIT DISTRIBUCIÓN FIAT PALIO SIENA BRAVA BRAVO MAREA 1.6 16 VÁLVULAS</v>
      </c>
      <c r="C2440" t="str">
        <f>"$ 122665,94"</f>
        <v>$ 122665,94</v>
      </c>
      <c r="D2440" t="str">
        <f>"$ 122665,94"</f>
        <v>$ 122665,94</v>
      </c>
      <c r="E2440" t="str">
        <f>"$ 122665,94"</f>
        <v>$ 122665,94</v>
      </c>
      <c r="F2440" t="str">
        <f>"$ 122665,94"</f>
        <v>$ 122665,94</v>
      </c>
      <c r="G2440" t="str">
        <f>"$ 122665,94"</f>
        <v>$ 122665,94</v>
      </c>
      <c r="H2440" t="str">
        <f t="shared" si="1577"/>
        <v>$ 0,00</v>
      </c>
      <c r="I2440" t="str">
        <f t="shared" si="1595"/>
        <v>KIT DE DISTRIBUCION LUCAS</v>
      </c>
      <c r="J2440" t="str">
        <f t="shared" si="1578"/>
        <v>1</v>
      </c>
      <c r="K2440" t="str">
        <f t="shared" si="1561"/>
        <v>0</v>
      </c>
      <c r="L2440" t="str">
        <f>"3,000"</f>
        <v>3,000</v>
      </c>
      <c r="M2440" t="str">
        <f t="shared" si="1579"/>
        <v xml:space="preserve"> </v>
      </c>
      <c r="N2440" t="str">
        <f t="shared" si="1573"/>
        <v>LUCAS</v>
      </c>
      <c r="O2440" t="str">
        <f t="shared" si="1575"/>
        <v>DISTRIBUCION</v>
      </c>
      <c r="P2440" t="str">
        <f t="shared" si="1569"/>
        <v>0</v>
      </c>
      <c r="Q2440" t="str">
        <f t="shared" si="1569"/>
        <v>0</v>
      </c>
      <c r="R2440" t="str">
        <f t="shared" si="1570"/>
        <v>0,00</v>
      </c>
      <c r="S2440" t="str">
        <f t="shared" si="1570"/>
        <v>0,00</v>
      </c>
      <c r="T2440" t="str">
        <f t="shared" si="1574"/>
        <v xml:space="preserve"> </v>
      </c>
      <c r="U2440" t="str">
        <f t="shared" si="1576"/>
        <v xml:space="preserve"> </v>
      </c>
      <c r="V2440" t="str">
        <f>"3,000"</f>
        <v>3,000</v>
      </c>
      <c r="W2440" t="str">
        <f t="shared" si="1580"/>
        <v>Lista 4</v>
      </c>
      <c r="X2440" t="str">
        <f t="shared" si="1581"/>
        <v>Lista 5</v>
      </c>
      <c r="Y2440" t="str">
        <f t="shared" si="1582"/>
        <v>Oferta Gral.</v>
      </c>
      <c r="Z2440" t="str">
        <f t="shared" si="1583"/>
        <v>Rubro</v>
      </c>
      <c r="AA2440" t="str">
        <f t="shared" si="1584"/>
        <v>Cantidad por Bulto</v>
      </c>
      <c r="AB2440" t="str">
        <f t="shared" si="1585"/>
        <v>INNER</v>
      </c>
      <c r="AC2440" t="str">
        <f t="shared" si="1586"/>
        <v>Stock en Bultos</v>
      </c>
      <c r="AD2440" t="str">
        <f t="shared" si="1587"/>
        <v>SubDepósito</v>
      </c>
      <c r="AE2440" t="str">
        <f t="shared" si="1588"/>
        <v>Marca</v>
      </c>
      <c r="AF2440" t="str">
        <f t="shared" si="1589"/>
        <v>Super Rubro</v>
      </c>
      <c r="AG2440" t="str">
        <f t="shared" si="1590"/>
        <v>ComercioExterior</v>
      </c>
      <c r="AH2440" t="str">
        <f t="shared" si="1591"/>
        <v>PrecioFOB</v>
      </c>
      <c r="AI2440" t="str">
        <f t="shared" si="1592"/>
        <v>Monto II</v>
      </c>
      <c r="AJ2440" t="str">
        <f t="shared" si="1593"/>
        <v>Porcentaje II</v>
      </c>
      <c r="AK2440" t="str">
        <f t="shared" si="1594"/>
        <v>Foto</v>
      </c>
      <c r="AL2440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0" t="str">
        <f t="shared" si="1571"/>
        <v xml:space="preserve"> </v>
      </c>
    </row>
    <row r="2441" spans="1:39" x14ac:dyDescent="0.25">
      <c r="A2441" t="str">
        <f>"LKTBN285"</f>
        <v>LKTBN285</v>
      </c>
      <c r="B2441" t="str">
        <f>"KIT DISTRIBUCIÓN FIAT PALIO SIENA MOTOR FIRE 1.3  16V FIAT DOBLO 1.4 16V"</f>
        <v>KIT DISTRIBUCIÓN FIAT PALIO SIENA MOTOR FIRE 1.3  16V FIAT DOBLO 1.4 16V</v>
      </c>
      <c r="C2441" t="str">
        <f>"$ 83383,98"</f>
        <v>$ 83383,98</v>
      </c>
      <c r="D2441" t="str">
        <f>"$ 83383,98"</f>
        <v>$ 83383,98</v>
      </c>
      <c r="E2441" t="str">
        <f>"$ 83383,98"</f>
        <v>$ 83383,98</v>
      </c>
      <c r="F2441" t="str">
        <f>"$ 83383,98"</f>
        <v>$ 83383,98</v>
      </c>
      <c r="G2441" t="str">
        <f>"$ 83383,98"</f>
        <v>$ 83383,98</v>
      </c>
      <c r="H2441" t="str">
        <f t="shared" si="1577"/>
        <v>$ 0,00</v>
      </c>
      <c r="I2441" t="str">
        <f t="shared" si="1595"/>
        <v>KIT DE DISTRIBUCION LUCAS</v>
      </c>
      <c r="J2441" t="str">
        <f t="shared" si="1578"/>
        <v>1</v>
      </c>
      <c r="K2441" t="str">
        <f t="shared" si="1561"/>
        <v>0</v>
      </c>
      <c r="L2441" t="str">
        <f>"8,000"</f>
        <v>8,000</v>
      </c>
      <c r="M2441" t="str">
        <f t="shared" si="1579"/>
        <v xml:space="preserve"> </v>
      </c>
      <c r="N2441" t="str">
        <f t="shared" si="1573"/>
        <v>LUCAS</v>
      </c>
      <c r="O2441" t="str">
        <f t="shared" si="1575"/>
        <v>DISTRIBUCION</v>
      </c>
      <c r="P2441" t="str">
        <f t="shared" si="1569"/>
        <v>0</v>
      </c>
      <c r="Q2441" t="str">
        <f t="shared" si="1569"/>
        <v>0</v>
      </c>
      <c r="R2441" t="str">
        <f t="shared" si="1570"/>
        <v>0,00</v>
      </c>
      <c r="S2441" t="str">
        <f t="shared" si="1570"/>
        <v>0,00</v>
      </c>
      <c r="T2441" t="str">
        <f t="shared" si="1574"/>
        <v xml:space="preserve"> </v>
      </c>
      <c r="U2441" t="str">
        <f t="shared" si="1576"/>
        <v xml:space="preserve"> </v>
      </c>
      <c r="V2441" t="str">
        <f>"8,000"</f>
        <v>8,000</v>
      </c>
      <c r="W2441" t="str">
        <f t="shared" si="1580"/>
        <v>Lista 4</v>
      </c>
      <c r="X2441" t="str">
        <f t="shared" si="1581"/>
        <v>Lista 5</v>
      </c>
      <c r="Y2441" t="str">
        <f t="shared" si="1582"/>
        <v>Oferta Gral.</v>
      </c>
      <c r="Z2441" t="str">
        <f t="shared" si="1583"/>
        <v>Rubro</v>
      </c>
      <c r="AA2441" t="str">
        <f t="shared" si="1584"/>
        <v>Cantidad por Bulto</v>
      </c>
      <c r="AB2441" t="str">
        <f t="shared" si="1585"/>
        <v>INNER</v>
      </c>
      <c r="AC2441" t="str">
        <f t="shared" si="1586"/>
        <v>Stock en Bultos</v>
      </c>
      <c r="AD2441" t="str">
        <f t="shared" si="1587"/>
        <v>SubDepósito</v>
      </c>
      <c r="AE2441" t="str">
        <f t="shared" si="1588"/>
        <v>Marca</v>
      </c>
      <c r="AF2441" t="str">
        <f t="shared" si="1589"/>
        <v>Super Rubro</v>
      </c>
      <c r="AG2441" t="str">
        <f t="shared" si="1590"/>
        <v>ComercioExterior</v>
      </c>
      <c r="AH2441" t="str">
        <f t="shared" si="1591"/>
        <v>PrecioFOB</v>
      </c>
      <c r="AI2441" t="str">
        <f t="shared" si="1592"/>
        <v>Monto II</v>
      </c>
      <c r="AJ2441" t="str">
        <f t="shared" si="1593"/>
        <v>Porcentaje II</v>
      </c>
      <c r="AK2441" t="str">
        <f t="shared" si="1594"/>
        <v>Foto</v>
      </c>
      <c r="AL244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1" t="str">
        <f t="shared" si="1571"/>
        <v xml:space="preserve"> </v>
      </c>
    </row>
    <row r="2442" spans="1:39" x14ac:dyDescent="0.25">
      <c r="A2442" t="str">
        <f>"LKTBN466"</f>
        <v>LKTBN466</v>
      </c>
      <c r="B2442" t="str">
        <f>"KIT DISTRIBUCIÓN FIAT PALIO SIENA PUNTO UNO MOTOR FIRE 1.3 1.4 8V TENSOR AUTOMÁTICO"</f>
        <v>KIT DISTRIBUCIÓN FIAT PALIO SIENA PUNTO UNO MOTOR FIRE 1.3 1.4 8V TENSOR AUTOMÁTICO</v>
      </c>
      <c r="C2442" t="str">
        <f>"$ 71063,44"</f>
        <v>$ 71063,44</v>
      </c>
      <c r="D2442" t="str">
        <f>"$ 71063,44"</f>
        <v>$ 71063,44</v>
      </c>
      <c r="E2442" t="str">
        <f>"$ 71063,44"</f>
        <v>$ 71063,44</v>
      </c>
      <c r="F2442" t="str">
        <f>"$ 71063,44"</f>
        <v>$ 71063,44</v>
      </c>
      <c r="G2442" t="str">
        <f>"$ 71063,44"</f>
        <v>$ 71063,44</v>
      </c>
      <c r="H2442" t="str">
        <f t="shared" si="1577"/>
        <v>$ 0,00</v>
      </c>
      <c r="I2442" t="str">
        <f t="shared" si="1595"/>
        <v>KIT DE DISTRIBUCION LUCAS</v>
      </c>
      <c r="J2442" t="str">
        <f t="shared" si="1578"/>
        <v>1</v>
      </c>
      <c r="K2442" t="str">
        <f t="shared" si="1561"/>
        <v>0</v>
      </c>
      <c r="L2442" t="str">
        <f>"11,000"</f>
        <v>11,000</v>
      </c>
      <c r="M2442" t="str">
        <f t="shared" si="1579"/>
        <v xml:space="preserve"> </v>
      </c>
      <c r="N2442" t="str">
        <f t="shared" si="1573"/>
        <v>LUCAS</v>
      </c>
      <c r="O2442" t="str">
        <f t="shared" si="1575"/>
        <v>DISTRIBUCION</v>
      </c>
      <c r="P2442" t="str">
        <f t="shared" si="1569"/>
        <v>0</v>
      </c>
      <c r="Q2442" t="str">
        <f t="shared" si="1569"/>
        <v>0</v>
      </c>
      <c r="R2442" t="str">
        <f t="shared" si="1570"/>
        <v>0,00</v>
      </c>
      <c r="S2442" t="str">
        <f t="shared" si="1570"/>
        <v>0,00</v>
      </c>
      <c r="T2442" t="str">
        <f t="shared" si="1574"/>
        <v xml:space="preserve"> </v>
      </c>
      <c r="U2442" t="str">
        <f t="shared" si="1576"/>
        <v xml:space="preserve"> </v>
      </c>
      <c r="V2442" t="str">
        <f>"11,000"</f>
        <v>11,000</v>
      </c>
      <c r="W2442" t="str">
        <f t="shared" si="1580"/>
        <v>Lista 4</v>
      </c>
      <c r="X2442" t="str">
        <f t="shared" si="1581"/>
        <v>Lista 5</v>
      </c>
      <c r="Y2442" t="str">
        <f t="shared" si="1582"/>
        <v>Oferta Gral.</v>
      </c>
      <c r="Z2442" t="str">
        <f t="shared" si="1583"/>
        <v>Rubro</v>
      </c>
      <c r="AA2442" t="str">
        <f t="shared" si="1584"/>
        <v>Cantidad por Bulto</v>
      </c>
      <c r="AB2442" t="str">
        <f t="shared" si="1585"/>
        <v>INNER</v>
      </c>
      <c r="AC2442" t="str">
        <f t="shared" si="1586"/>
        <v>Stock en Bultos</v>
      </c>
      <c r="AD2442" t="str">
        <f t="shared" si="1587"/>
        <v>SubDepósito</v>
      </c>
      <c r="AE2442" t="str">
        <f t="shared" si="1588"/>
        <v>Marca</v>
      </c>
      <c r="AF2442" t="str">
        <f t="shared" si="1589"/>
        <v>Super Rubro</v>
      </c>
      <c r="AG2442" t="str">
        <f t="shared" si="1590"/>
        <v>ComercioExterior</v>
      </c>
      <c r="AH2442" t="str">
        <f t="shared" si="1591"/>
        <v>PrecioFOB</v>
      </c>
      <c r="AI2442" t="str">
        <f t="shared" si="1592"/>
        <v>Monto II</v>
      </c>
      <c r="AJ2442" t="str">
        <f t="shared" si="1593"/>
        <v>Porcentaje II</v>
      </c>
      <c r="AK2442" t="str">
        <f t="shared" si="1594"/>
        <v>Foto</v>
      </c>
      <c r="AL2442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2" t="str">
        <f t="shared" si="1571"/>
        <v xml:space="preserve"> </v>
      </c>
    </row>
    <row r="2443" spans="1:39" x14ac:dyDescent="0.25">
      <c r="A2443" t="str">
        <f>"LKTBN262"</f>
        <v>LKTBN262</v>
      </c>
      <c r="B2443" t="str">
        <f>"KIT DISTRIBUCIÓN FORD ESCORT MOTOR ZETEC 1.6 Y 1.8 DE 16 VÁLVULAS"</f>
        <v>KIT DISTRIBUCIÓN FORD ESCORT MOTOR ZETEC 1.6 Y 1.8 DE 16 VÁLVULAS</v>
      </c>
      <c r="C2443" t="str">
        <f>"$ 117397,91"</f>
        <v>$ 117397,91</v>
      </c>
      <c r="D2443" t="str">
        <f>"$ 117397,91"</f>
        <v>$ 117397,91</v>
      </c>
      <c r="E2443" t="str">
        <f>"$ 117397,91"</f>
        <v>$ 117397,91</v>
      </c>
      <c r="F2443" t="str">
        <f>"$ 117397,91"</f>
        <v>$ 117397,91</v>
      </c>
      <c r="G2443" t="str">
        <f>"$ 117397,91"</f>
        <v>$ 117397,91</v>
      </c>
      <c r="H2443" t="str">
        <f t="shared" si="1577"/>
        <v>$ 0,00</v>
      </c>
      <c r="I2443" t="str">
        <f t="shared" si="1595"/>
        <v>KIT DE DISTRIBUCION LUCAS</v>
      </c>
      <c r="J2443" t="str">
        <f t="shared" si="1578"/>
        <v>1</v>
      </c>
      <c r="K2443" t="str">
        <f t="shared" si="1561"/>
        <v>0</v>
      </c>
      <c r="L2443" t="str">
        <f>"8,000"</f>
        <v>8,000</v>
      </c>
      <c r="M2443" t="str">
        <f t="shared" si="1579"/>
        <v xml:space="preserve"> </v>
      </c>
      <c r="N2443" t="str">
        <f t="shared" si="1573"/>
        <v>LUCAS</v>
      </c>
      <c r="O2443" t="str">
        <f t="shared" si="1575"/>
        <v>DISTRIBUCION</v>
      </c>
      <c r="P2443" t="str">
        <f t="shared" ref="P2443:Q2462" si="1596">"0"</f>
        <v>0</v>
      </c>
      <c r="Q2443" t="str">
        <f t="shared" si="1596"/>
        <v>0</v>
      </c>
      <c r="R2443" t="str">
        <f t="shared" ref="R2443:S2462" si="1597">"0,00"</f>
        <v>0,00</v>
      </c>
      <c r="S2443" t="str">
        <f t="shared" si="1597"/>
        <v>0,00</v>
      </c>
      <c r="T2443" t="str">
        <f t="shared" si="1574"/>
        <v xml:space="preserve"> </v>
      </c>
      <c r="U2443" t="str">
        <f t="shared" si="1576"/>
        <v xml:space="preserve"> </v>
      </c>
      <c r="V2443" t="str">
        <f>"8,000"</f>
        <v>8,000</v>
      </c>
      <c r="W2443" t="str">
        <f t="shared" si="1580"/>
        <v>Lista 4</v>
      </c>
      <c r="X2443" t="str">
        <f t="shared" si="1581"/>
        <v>Lista 5</v>
      </c>
      <c r="Y2443" t="str">
        <f t="shared" si="1582"/>
        <v>Oferta Gral.</v>
      </c>
      <c r="Z2443" t="str">
        <f t="shared" si="1583"/>
        <v>Rubro</v>
      </c>
      <c r="AA2443" t="str">
        <f t="shared" si="1584"/>
        <v>Cantidad por Bulto</v>
      </c>
      <c r="AB2443" t="str">
        <f t="shared" si="1585"/>
        <v>INNER</v>
      </c>
      <c r="AC2443" t="str">
        <f t="shared" si="1586"/>
        <v>Stock en Bultos</v>
      </c>
      <c r="AD2443" t="str">
        <f t="shared" si="1587"/>
        <v>SubDepósito</v>
      </c>
      <c r="AE2443" t="str">
        <f t="shared" si="1588"/>
        <v>Marca</v>
      </c>
      <c r="AF2443" t="str">
        <f t="shared" si="1589"/>
        <v>Super Rubro</v>
      </c>
      <c r="AG2443" t="str">
        <f t="shared" si="1590"/>
        <v>ComercioExterior</v>
      </c>
      <c r="AH2443" t="str">
        <f t="shared" si="1591"/>
        <v>PrecioFOB</v>
      </c>
      <c r="AI2443" t="str">
        <f t="shared" si="1592"/>
        <v>Monto II</v>
      </c>
      <c r="AJ2443" t="str">
        <f t="shared" si="1593"/>
        <v>Porcentaje II</v>
      </c>
      <c r="AK2443" t="str">
        <f t="shared" si="1594"/>
        <v>Foto</v>
      </c>
      <c r="AL244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3" t="str">
        <f t="shared" si="1571"/>
        <v xml:space="preserve"> </v>
      </c>
    </row>
    <row r="2444" spans="1:39" x14ac:dyDescent="0.25">
      <c r="A2444" t="str">
        <f>"LKTBN803"</f>
        <v>LKTBN803</v>
      </c>
      <c r="B2444" t="str">
        <f>"KIT DISTRIBUCIÓN FORD RANGER S10 M BENZ SPRINTER MOTOR MAXION 2.5 D"</f>
        <v>KIT DISTRIBUCIÓN FORD RANGER S10 M BENZ SPRINTER MOTOR MAXION 2.5 D</v>
      </c>
      <c r="C2444" t="str">
        <f>"$ 124424,80"</f>
        <v>$ 124424,80</v>
      </c>
      <c r="D2444" t="str">
        <f>"$ 124424,80"</f>
        <v>$ 124424,80</v>
      </c>
      <c r="E2444" t="str">
        <f>"$ 124424,80"</f>
        <v>$ 124424,80</v>
      </c>
      <c r="F2444" t="str">
        <f>"$ 124424,80"</f>
        <v>$ 124424,80</v>
      </c>
      <c r="G2444" t="str">
        <f>"$ 124424,80"</f>
        <v>$ 124424,80</v>
      </c>
      <c r="H2444" t="str">
        <f t="shared" si="1577"/>
        <v>$ 0,00</v>
      </c>
      <c r="I2444" t="str">
        <f t="shared" si="1595"/>
        <v>KIT DE DISTRIBUCION LUCAS</v>
      </c>
      <c r="J2444" t="str">
        <f t="shared" si="1578"/>
        <v>1</v>
      </c>
      <c r="K2444" t="str">
        <f t="shared" si="1561"/>
        <v>0</v>
      </c>
      <c r="L2444" t="str">
        <f>"10,000"</f>
        <v>10,000</v>
      </c>
      <c r="M2444" t="str">
        <f t="shared" si="1579"/>
        <v xml:space="preserve"> </v>
      </c>
      <c r="N2444" t="str">
        <f t="shared" si="1573"/>
        <v>LUCAS</v>
      </c>
      <c r="O2444" t="str">
        <f t="shared" si="1575"/>
        <v>DISTRIBUCION</v>
      </c>
      <c r="P2444" t="str">
        <f t="shared" si="1596"/>
        <v>0</v>
      </c>
      <c r="Q2444" t="str">
        <f t="shared" si="1596"/>
        <v>0</v>
      </c>
      <c r="R2444" t="str">
        <f t="shared" si="1597"/>
        <v>0,00</v>
      </c>
      <c r="S2444" t="str">
        <f t="shared" si="1597"/>
        <v>0,00</v>
      </c>
      <c r="T2444" t="str">
        <f t="shared" si="1574"/>
        <v xml:space="preserve"> </v>
      </c>
      <c r="U2444" t="str">
        <f t="shared" si="1576"/>
        <v xml:space="preserve"> </v>
      </c>
      <c r="V2444" t="str">
        <f>"10,000"</f>
        <v>10,000</v>
      </c>
      <c r="W2444" t="str">
        <f t="shared" si="1580"/>
        <v>Lista 4</v>
      </c>
      <c r="X2444" t="str">
        <f t="shared" si="1581"/>
        <v>Lista 5</v>
      </c>
      <c r="Y2444" t="str">
        <f t="shared" si="1582"/>
        <v>Oferta Gral.</v>
      </c>
      <c r="Z2444" t="str">
        <f t="shared" si="1583"/>
        <v>Rubro</v>
      </c>
      <c r="AA2444" t="str">
        <f t="shared" si="1584"/>
        <v>Cantidad por Bulto</v>
      </c>
      <c r="AB2444" t="str">
        <f t="shared" si="1585"/>
        <v>INNER</v>
      </c>
      <c r="AC2444" t="str">
        <f t="shared" si="1586"/>
        <v>Stock en Bultos</v>
      </c>
      <c r="AD2444" t="str">
        <f t="shared" si="1587"/>
        <v>SubDepósito</v>
      </c>
      <c r="AE2444" t="str">
        <f t="shared" si="1588"/>
        <v>Marca</v>
      </c>
      <c r="AF2444" t="str">
        <f t="shared" si="1589"/>
        <v>Super Rubro</v>
      </c>
      <c r="AG2444" t="str">
        <f t="shared" si="1590"/>
        <v>ComercioExterior</v>
      </c>
      <c r="AH2444" t="str">
        <f t="shared" si="1591"/>
        <v>PrecioFOB</v>
      </c>
      <c r="AI2444" t="str">
        <f t="shared" si="1592"/>
        <v>Monto II</v>
      </c>
      <c r="AJ2444" t="str">
        <f t="shared" si="1593"/>
        <v>Porcentaje II</v>
      </c>
      <c r="AK2444" t="str">
        <f t="shared" si="1594"/>
        <v>Foto</v>
      </c>
      <c r="AL244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4" t="str">
        <f t="shared" si="1571"/>
        <v xml:space="preserve"> </v>
      </c>
    </row>
    <row r="2445" spans="1:39" x14ac:dyDescent="0.25">
      <c r="A2445" t="str">
        <f>"LKTBN152"</f>
        <v>LKTBN152</v>
      </c>
      <c r="B2445" t="str">
        <f>"KIT DISTRIBUCIÓN PEUGEOT BOXER CITROEN JUMPER 2.5  MOTOR DJ5T 98 A 01 "</f>
        <v xml:space="preserve">KIT DISTRIBUCIÓN PEUGEOT BOXER CITROEN JUMPER 2.5  MOTOR DJ5T 98 A 01 </v>
      </c>
      <c r="C2445" t="str">
        <f>"$ 203114,23"</f>
        <v>$ 203114,23</v>
      </c>
      <c r="D2445" t="str">
        <f>"$ 203114,23"</f>
        <v>$ 203114,23</v>
      </c>
      <c r="E2445" t="str">
        <f>"$ 203114,23"</f>
        <v>$ 203114,23</v>
      </c>
      <c r="F2445" t="str">
        <f>"$ 203114,23"</f>
        <v>$ 203114,23</v>
      </c>
      <c r="G2445" t="str">
        <f>"$ 203114,23"</f>
        <v>$ 203114,23</v>
      </c>
      <c r="H2445" t="str">
        <f t="shared" si="1577"/>
        <v>$ 0,00</v>
      </c>
      <c r="I2445" t="str">
        <f t="shared" si="1595"/>
        <v>KIT DE DISTRIBUCION LUCAS</v>
      </c>
      <c r="J2445" t="str">
        <f t="shared" si="1578"/>
        <v>1</v>
      </c>
      <c r="K2445" t="str">
        <f t="shared" si="1561"/>
        <v>0</v>
      </c>
      <c r="L2445" t="str">
        <f>"0,000"</f>
        <v>0,000</v>
      </c>
      <c r="M2445" t="str">
        <f t="shared" si="1579"/>
        <v xml:space="preserve"> </v>
      </c>
      <c r="N2445" t="str">
        <f t="shared" si="1573"/>
        <v>LUCAS</v>
      </c>
      <c r="O2445" t="str">
        <f t="shared" si="1575"/>
        <v>DISTRIBUCION</v>
      </c>
      <c r="P2445" t="str">
        <f t="shared" si="1596"/>
        <v>0</v>
      </c>
      <c r="Q2445" t="str">
        <f t="shared" si="1596"/>
        <v>0</v>
      </c>
      <c r="R2445" t="str">
        <f t="shared" si="1597"/>
        <v>0,00</v>
      </c>
      <c r="S2445" t="str">
        <f t="shared" si="1597"/>
        <v>0,00</v>
      </c>
      <c r="T2445" t="str">
        <f t="shared" si="1574"/>
        <v xml:space="preserve"> </v>
      </c>
      <c r="U2445" t="str">
        <f t="shared" si="1576"/>
        <v xml:space="preserve"> </v>
      </c>
      <c r="V2445" t="str">
        <f>"0,000"</f>
        <v>0,000</v>
      </c>
      <c r="W2445" t="str">
        <f t="shared" si="1580"/>
        <v>Lista 4</v>
      </c>
      <c r="X2445" t="str">
        <f t="shared" si="1581"/>
        <v>Lista 5</v>
      </c>
      <c r="Y2445" t="str">
        <f t="shared" si="1582"/>
        <v>Oferta Gral.</v>
      </c>
      <c r="Z2445" t="str">
        <f t="shared" si="1583"/>
        <v>Rubro</v>
      </c>
      <c r="AA2445" t="str">
        <f t="shared" si="1584"/>
        <v>Cantidad por Bulto</v>
      </c>
      <c r="AB2445" t="str">
        <f t="shared" si="1585"/>
        <v>INNER</v>
      </c>
      <c r="AC2445" t="str">
        <f t="shared" si="1586"/>
        <v>Stock en Bultos</v>
      </c>
      <c r="AD2445" t="str">
        <f t="shared" si="1587"/>
        <v>SubDepósito</v>
      </c>
      <c r="AE2445" t="str">
        <f t="shared" si="1588"/>
        <v>Marca</v>
      </c>
      <c r="AF2445" t="str">
        <f t="shared" si="1589"/>
        <v>Super Rubro</v>
      </c>
      <c r="AG2445" t="str">
        <f t="shared" si="1590"/>
        <v>ComercioExterior</v>
      </c>
      <c r="AH2445" t="str">
        <f t="shared" si="1591"/>
        <v>PrecioFOB</v>
      </c>
      <c r="AI2445" t="str">
        <f t="shared" si="1592"/>
        <v>Monto II</v>
      </c>
      <c r="AJ2445" t="str">
        <f t="shared" si="1593"/>
        <v>Porcentaje II</v>
      </c>
      <c r="AK2445" t="str">
        <f t="shared" si="1594"/>
        <v>Foto</v>
      </c>
      <c r="AL2445" t="str">
        <f>"{\rtf1\ansi\ansicpg1252\deff0\deflang11274{\fonttbl{\f0\fnil\fcharset0 MS Sans Serif}} \viewkind4\uc1\pard\f0\fs16 KIT DISTRIBUCI\'d3N PEUGEOT BOXER CITROEN JUMPER 2.5  MOTOR DJ5T 98 A 01 \par } "</f>
        <v xml:space="preserve">{\rtf1\ansi\ansicpg1252\deff0\deflang11274{\fonttbl{\f0\fnil\fcharset0 MS Sans Serif}} \viewkind4\uc1\pard\f0\fs16 KIT DISTRIBUCI\'d3N PEUGEOT BOXER CITROEN JUMPER 2.5  MOTOR DJ5T 98 A 01 \par } </v>
      </c>
      <c r="AM2445" t="str">
        <f t="shared" si="1571"/>
        <v xml:space="preserve"> </v>
      </c>
    </row>
    <row r="2446" spans="1:39" x14ac:dyDescent="0.25">
      <c r="A2446" t="str">
        <f>"LKTBN532"</f>
        <v>LKTBN532</v>
      </c>
      <c r="B2446" t="str">
        <f>"KIT DISTRIBUCIÓN RENAULT CLIO MEGANE II LOGAN SANDERO II KANGOO 1.5 DCI MOTOR K9K"</f>
        <v>KIT DISTRIBUCIÓN RENAULT CLIO MEGANE II LOGAN SANDERO II KANGOO 1.5 DCI MOTOR K9K</v>
      </c>
      <c r="C2446" t="str">
        <f>"$ 89357,51"</f>
        <v>$ 89357,51</v>
      </c>
      <c r="D2446" t="str">
        <f>"$ 89357,51"</f>
        <v>$ 89357,51</v>
      </c>
      <c r="E2446" t="str">
        <f>"$ 89357,51"</f>
        <v>$ 89357,51</v>
      </c>
      <c r="F2446" t="str">
        <f>"$ 89357,51"</f>
        <v>$ 89357,51</v>
      </c>
      <c r="G2446" t="str">
        <f>"$ 89357,51"</f>
        <v>$ 89357,51</v>
      </c>
      <c r="H2446" t="str">
        <f t="shared" si="1577"/>
        <v>$ 0,00</v>
      </c>
      <c r="I2446" t="str">
        <f t="shared" si="1595"/>
        <v>KIT DE DISTRIBUCION LUCAS</v>
      </c>
      <c r="J2446" t="str">
        <f t="shared" si="1578"/>
        <v>1</v>
      </c>
      <c r="K2446" t="str">
        <f t="shared" si="1561"/>
        <v>0</v>
      </c>
      <c r="L2446" t="str">
        <f>"3,000"</f>
        <v>3,000</v>
      </c>
      <c r="M2446" t="str">
        <f t="shared" si="1579"/>
        <v xml:space="preserve"> </v>
      </c>
      <c r="N2446" t="str">
        <f t="shared" si="1573"/>
        <v>LUCAS</v>
      </c>
      <c r="O2446" t="str">
        <f t="shared" si="1575"/>
        <v>DISTRIBUCION</v>
      </c>
      <c r="P2446" t="str">
        <f t="shared" si="1596"/>
        <v>0</v>
      </c>
      <c r="Q2446" t="str">
        <f t="shared" si="1596"/>
        <v>0</v>
      </c>
      <c r="R2446" t="str">
        <f t="shared" si="1597"/>
        <v>0,00</v>
      </c>
      <c r="S2446" t="str">
        <f t="shared" si="1597"/>
        <v>0,00</v>
      </c>
      <c r="T2446" t="str">
        <f t="shared" si="1574"/>
        <v xml:space="preserve"> </v>
      </c>
      <c r="U2446" t="str">
        <f t="shared" si="1576"/>
        <v xml:space="preserve"> </v>
      </c>
      <c r="V2446" t="str">
        <f>"3,000"</f>
        <v>3,000</v>
      </c>
      <c r="W2446" t="str">
        <f t="shared" si="1580"/>
        <v>Lista 4</v>
      </c>
      <c r="X2446" t="str">
        <f t="shared" si="1581"/>
        <v>Lista 5</v>
      </c>
      <c r="Y2446" t="str">
        <f t="shared" si="1582"/>
        <v>Oferta Gral.</v>
      </c>
      <c r="Z2446" t="str">
        <f t="shared" si="1583"/>
        <v>Rubro</v>
      </c>
      <c r="AA2446" t="str">
        <f t="shared" si="1584"/>
        <v>Cantidad por Bulto</v>
      </c>
      <c r="AB2446" t="str">
        <f t="shared" si="1585"/>
        <v>INNER</v>
      </c>
      <c r="AC2446" t="str">
        <f t="shared" si="1586"/>
        <v>Stock en Bultos</v>
      </c>
      <c r="AD2446" t="str">
        <f t="shared" si="1587"/>
        <v>SubDepósito</v>
      </c>
      <c r="AE2446" t="str">
        <f t="shared" si="1588"/>
        <v>Marca</v>
      </c>
      <c r="AF2446" t="str">
        <f t="shared" si="1589"/>
        <v>Super Rubro</v>
      </c>
      <c r="AG2446" t="str">
        <f t="shared" si="1590"/>
        <v>ComercioExterior</v>
      </c>
      <c r="AH2446" t="str">
        <f t="shared" si="1591"/>
        <v>PrecioFOB</v>
      </c>
      <c r="AI2446" t="str">
        <f t="shared" si="1592"/>
        <v>Monto II</v>
      </c>
      <c r="AJ2446" t="str">
        <f t="shared" si="1593"/>
        <v>Porcentaje II</v>
      </c>
      <c r="AK2446" t="str">
        <f t="shared" si="1594"/>
        <v>Foto</v>
      </c>
      <c r="AL2446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6" t="str">
        <f t="shared" si="1571"/>
        <v xml:space="preserve"> </v>
      </c>
    </row>
    <row r="2447" spans="1:39" x14ac:dyDescent="0.25">
      <c r="A2447" t="str">
        <f>"LKTBN788"</f>
        <v>LKTBN788</v>
      </c>
      <c r="B2447" t="str">
        <f>"KIT DISTRIBUCIÓN VW AMAROK 2.0 16 VÁLVULAS BTDI"</f>
        <v>KIT DISTRIBUCIÓN VW AMAROK 2.0 16 VÁLVULAS BTDI</v>
      </c>
      <c r="C2447" t="str">
        <f>"$ 185856,63"</f>
        <v>$ 185856,63</v>
      </c>
      <c r="D2447" t="str">
        <f>"$ 185856,63"</f>
        <v>$ 185856,63</v>
      </c>
      <c r="E2447" t="str">
        <f>"$ 185856,63"</f>
        <v>$ 185856,63</v>
      </c>
      <c r="F2447" t="str">
        <f>"$ 185856,63"</f>
        <v>$ 185856,63</v>
      </c>
      <c r="G2447" t="str">
        <f>"$ 185856,63"</f>
        <v>$ 185856,63</v>
      </c>
      <c r="H2447" t="str">
        <f t="shared" si="1577"/>
        <v>$ 0,00</v>
      </c>
      <c r="I2447" t="str">
        <f t="shared" si="1595"/>
        <v>KIT DE DISTRIBUCION LUCAS</v>
      </c>
      <c r="J2447" t="str">
        <f t="shared" si="1578"/>
        <v>1</v>
      </c>
      <c r="K2447" t="str">
        <f t="shared" si="1561"/>
        <v>0</v>
      </c>
      <c r="L2447" t="str">
        <f>"9,000"</f>
        <v>9,000</v>
      </c>
      <c r="M2447" t="str">
        <f t="shared" si="1579"/>
        <v xml:space="preserve"> </v>
      </c>
      <c r="N2447" t="str">
        <f t="shared" si="1573"/>
        <v>LUCAS</v>
      </c>
      <c r="O2447" t="str">
        <f t="shared" si="1575"/>
        <v>DISTRIBUCION</v>
      </c>
      <c r="P2447" t="str">
        <f t="shared" si="1596"/>
        <v>0</v>
      </c>
      <c r="Q2447" t="str">
        <f t="shared" si="1596"/>
        <v>0</v>
      </c>
      <c r="R2447" t="str">
        <f t="shared" si="1597"/>
        <v>0,00</v>
      </c>
      <c r="S2447" t="str">
        <f t="shared" si="1597"/>
        <v>0,00</v>
      </c>
      <c r="T2447" t="str">
        <f t="shared" si="1574"/>
        <v xml:space="preserve"> </v>
      </c>
      <c r="U2447" t="str">
        <f t="shared" si="1576"/>
        <v xml:space="preserve"> </v>
      </c>
      <c r="V2447" t="str">
        <f>"9,000"</f>
        <v>9,000</v>
      </c>
      <c r="W2447" t="str">
        <f t="shared" si="1580"/>
        <v>Lista 4</v>
      </c>
      <c r="X2447" t="str">
        <f t="shared" si="1581"/>
        <v>Lista 5</v>
      </c>
      <c r="Y2447" t="str">
        <f t="shared" si="1582"/>
        <v>Oferta Gral.</v>
      </c>
      <c r="Z2447" t="str">
        <f t="shared" si="1583"/>
        <v>Rubro</v>
      </c>
      <c r="AA2447" t="str">
        <f t="shared" si="1584"/>
        <v>Cantidad por Bulto</v>
      </c>
      <c r="AB2447" t="str">
        <f t="shared" si="1585"/>
        <v>INNER</v>
      </c>
      <c r="AC2447" t="str">
        <f t="shared" si="1586"/>
        <v>Stock en Bultos</v>
      </c>
      <c r="AD2447" t="str">
        <f t="shared" si="1587"/>
        <v>SubDepósito</v>
      </c>
      <c r="AE2447" t="str">
        <f t="shared" si="1588"/>
        <v>Marca</v>
      </c>
      <c r="AF2447" t="str">
        <f t="shared" si="1589"/>
        <v>Super Rubro</v>
      </c>
      <c r="AG2447" t="str">
        <f t="shared" si="1590"/>
        <v>ComercioExterior</v>
      </c>
      <c r="AH2447" t="str">
        <f t="shared" si="1591"/>
        <v>PrecioFOB</v>
      </c>
      <c r="AI2447" t="str">
        <f t="shared" si="1592"/>
        <v>Monto II</v>
      </c>
      <c r="AJ2447" t="str">
        <f t="shared" si="1593"/>
        <v>Porcentaje II</v>
      </c>
      <c r="AK2447" t="str">
        <f t="shared" si="1594"/>
        <v>Foto</v>
      </c>
      <c r="AL244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7" t="str">
        <f t="shared" si="1571"/>
        <v xml:space="preserve"> </v>
      </c>
    </row>
    <row r="2448" spans="1:39" x14ac:dyDescent="0.25">
      <c r="A2448" t="str">
        <f>"LKTBN819"</f>
        <v>LKTBN819</v>
      </c>
      <c r="B2448" t="str">
        <f>"KIT DISTRIBUCON VW POLO VIRTUS FOX SURAN 1.6 16V MSI DESDE 2015 UP 1.0  "</f>
        <v xml:space="preserve">KIT DISTRIBUCON VW POLO VIRTUS FOX SURAN 1.6 16V MSI DESDE 2015 UP 1.0  </v>
      </c>
      <c r="C2448" t="str">
        <f>"$ 118818,67"</f>
        <v>$ 118818,67</v>
      </c>
      <c r="D2448" t="str">
        <f>"$ 118818,67"</f>
        <v>$ 118818,67</v>
      </c>
      <c r="E2448" t="str">
        <f>"$ 118818,67"</f>
        <v>$ 118818,67</v>
      </c>
      <c r="F2448" t="str">
        <f>"$ 118818,67"</f>
        <v>$ 118818,67</v>
      </c>
      <c r="G2448" t="str">
        <f>"$ 118818,67"</f>
        <v>$ 118818,67</v>
      </c>
      <c r="H2448" t="str">
        <f t="shared" si="1577"/>
        <v>$ 0,00</v>
      </c>
      <c r="I2448" t="str">
        <f t="shared" si="1595"/>
        <v>KIT DE DISTRIBUCION LUCAS</v>
      </c>
      <c r="J2448" t="str">
        <f t="shared" si="1578"/>
        <v>1</v>
      </c>
      <c r="K2448" t="str">
        <f t="shared" si="1561"/>
        <v>0</v>
      </c>
      <c r="L2448" t="str">
        <f>"12,000"</f>
        <v>12,000</v>
      </c>
      <c r="M2448" t="str">
        <f t="shared" si="1579"/>
        <v xml:space="preserve"> </v>
      </c>
      <c r="N2448" t="str">
        <f t="shared" si="1573"/>
        <v>LUCAS</v>
      </c>
      <c r="O2448" t="str">
        <f t="shared" si="1575"/>
        <v>DISTRIBUCION</v>
      </c>
      <c r="P2448" t="str">
        <f t="shared" si="1596"/>
        <v>0</v>
      </c>
      <c r="Q2448" t="str">
        <f t="shared" si="1596"/>
        <v>0</v>
      </c>
      <c r="R2448" t="str">
        <f t="shared" si="1597"/>
        <v>0,00</v>
      </c>
      <c r="S2448" t="str">
        <f t="shared" si="1597"/>
        <v>0,00</v>
      </c>
      <c r="T2448" t="str">
        <f t="shared" si="1574"/>
        <v xml:space="preserve"> </v>
      </c>
      <c r="U2448" t="str">
        <f t="shared" si="1576"/>
        <v xml:space="preserve"> </v>
      </c>
      <c r="V2448" t="str">
        <f>"12,000"</f>
        <v>12,000</v>
      </c>
      <c r="W2448" t="str">
        <f t="shared" si="1580"/>
        <v>Lista 4</v>
      </c>
      <c r="X2448" t="str">
        <f t="shared" si="1581"/>
        <v>Lista 5</v>
      </c>
      <c r="Y2448" t="str">
        <f t="shared" si="1582"/>
        <v>Oferta Gral.</v>
      </c>
      <c r="Z2448" t="str">
        <f t="shared" si="1583"/>
        <v>Rubro</v>
      </c>
      <c r="AA2448" t="str">
        <f t="shared" si="1584"/>
        <v>Cantidad por Bulto</v>
      </c>
      <c r="AB2448" t="str">
        <f t="shared" si="1585"/>
        <v>INNER</v>
      </c>
      <c r="AC2448" t="str">
        <f t="shared" si="1586"/>
        <v>Stock en Bultos</v>
      </c>
      <c r="AD2448" t="str">
        <f t="shared" si="1587"/>
        <v>SubDepósito</v>
      </c>
      <c r="AE2448" t="str">
        <f t="shared" si="1588"/>
        <v>Marca</v>
      </c>
      <c r="AF2448" t="str">
        <f t="shared" si="1589"/>
        <v>Super Rubro</v>
      </c>
      <c r="AG2448" t="str">
        <f t="shared" si="1590"/>
        <v>ComercioExterior</v>
      </c>
      <c r="AH2448" t="str">
        <f t="shared" si="1591"/>
        <v>PrecioFOB</v>
      </c>
      <c r="AI2448" t="str">
        <f t="shared" si="1592"/>
        <v>Monto II</v>
      </c>
      <c r="AJ2448" t="str">
        <f t="shared" si="1593"/>
        <v>Porcentaje II</v>
      </c>
      <c r="AK2448" t="str">
        <f t="shared" si="1594"/>
        <v>Foto</v>
      </c>
      <c r="AL2448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8" t="str">
        <f t="shared" si="1571"/>
        <v xml:space="preserve"> </v>
      </c>
    </row>
    <row r="2449" spans="1:39" x14ac:dyDescent="0.25">
      <c r="A2449" t="str">
        <f>"FI11012"</f>
        <v>FI11012</v>
      </c>
      <c r="B2449" t="str">
        <f>"KIT FILTROS Y ORING MULTIPUNTO CORSA"</f>
        <v>KIT FILTROS Y ORING MULTIPUNTO CORSA</v>
      </c>
      <c r="C2449" t="str">
        <f>"$ 7376,43"</f>
        <v>$ 7376,43</v>
      </c>
      <c r="D2449" t="str">
        <f>"$ 7376,43"</f>
        <v>$ 7376,43</v>
      </c>
      <c r="E2449" t="str">
        <f>"$ 7376,43"</f>
        <v>$ 7376,43</v>
      </c>
      <c r="F2449" t="str">
        <f>"$ 7376,43"</f>
        <v>$ 7376,43</v>
      </c>
      <c r="G2449" t="str">
        <f>"$ 7376,43"</f>
        <v>$ 7376,43</v>
      </c>
      <c r="H2449" t="str">
        <f t="shared" si="1577"/>
        <v>$ 0,00</v>
      </c>
      <c r="I2449" t="str">
        <f>"KIT FILTROS Y ORINGS"</f>
        <v>KIT FILTROS Y ORINGS</v>
      </c>
      <c r="J2449" t="str">
        <f t="shared" si="1578"/>
        <v>1</v>
      </c>
      <c r="K2449" t="str">
        <f t="shared" si="1561"/>
        <v>0</v>
      </c>
      <c r="L2449" t="str">
        <f>"28,000"</f>
        <v>28,000</v>
      </c>
      <c r="M2449" t="str">
        <f t="shared" si="1579"/>
        <v xml:space="preserve"> </v>
      </c>
      <c r="N2449" t="str">
        <f>"FISPA"</f>
        <v>FISPA</v>
      </c>
      <c r="O2449" t="str">
        <f>"INYECTORES"</f>
        <v>INYECTORES</v>
      </c>
      <c r="P2449" t="str">
        <f t="shared" si="1596"/>
        <v>0</v>
      </c>
      <c r="Q2449" t="str">
        <f t="shared" si="1596"/>
        <v>0</v>
      </c>
      <c r="R2449" t="str">
        <f t="shared" si="1597"/>
        <v>0,00</v>
      </c>
      <c r="S2449" t="str">
        <f t="shared" si="1597"/>
        <v>0,00</v>
      </c>
      <c r="T2449" t="str">
        <f t="shared" si="1574"/>
        <v xml:space="preserve"> </v>
      </c>
      <c r="U2449" t="str">
        <f t="shared" si="1576"/>
        <v xml:space="preserve"> </v>
      </c>
      <c r="V2449" t="str">
        <f>"28,000"</f>
        <v>28,000</v>
      </c>
      <c r="W2449" t="str">
        <f t="shared" si="1580"/>
        <v>Lista 4</v>
      </c>
      <c r="X2449" t="str">
        <f t="shared" si="1581"/>
        <v>Lista 5</v>
      </c>
      <c r="Y2449" t="str">
        <f t="shared" si="1582"/>
        <v>Oferta Gral.</v>
      </c>
      <c r="Z2449" t="str">
        <f t="shared" si="1583"/>
        <v>Rubro</v>
      </c>
      <c r="AA2449" t="str">
        <f t="shared" si="1584"/>
        <v>Cantidad por Bulto</v>
      </c>
      <c r="AB2449" t="str">
        <f t="shared" si="1585"/>
        <v>INNER</v>
      </c>
      <c r="AC2449" t="str">
        <f t="shared" si="1586"/>
        <v>Stock en Bultos</v>
      </c>
      <c r="AD2449" t="str">
        <f t="shared" si="1587"/>
        <v>SubDepósito</v>
      </c>
      <c r="AE2449" t="str">
        <f t="shared" si="1588"/>
        <v>Marca</v>
      </c>
      <c r="AF2449" t="str">
        <f t="shared" si="1589"/>
        <v>Super Rubro</v>
      </c>
      <c r="AG2449" t="str">
        <f t="shared" si="1590"/>
        <v>ComercioExterior</v>
      </c>
      <c r="AH2449" t="str">
        <f t="shared" si="1591"/>
        <v>PrecioFOB</v>
      </c>
      <c r="AI2449" t="str">
        <f t="shared" si="1592"/>
        <v>Monto II</v>
      </c>
      <c r="AJ2449" t="str">
        <f t="shared" si="1593"/>
        <v>Porcentaje II</v>
      </c>
      <c r="AK2449" t="str">
        <f t="shared" si="1594"/>
        <v>Foto</v>
      </c>
      <c r="AL244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49" t="str">
        <f>"-"</f>
        <v>-</v>
      </c>
    </row>
    <row r="2450" spans="1:39" x14ac:dyDescent="0.25">
      <c r="A2450" t="str">
        <f>"FI11027"</f>
        <v>FI11027</v>
      </c>
      <c r="B2450" t="str">
        <f>"KIT FILTROS Y ORINGS BOSCH  ROCHESTER"</f>
        <v>KIT FILTROS Y ORINGS BOSCH  ROCHESTER</v>
      </c>
      <c r="C2450" t="str">
        <f>"$ 8389,34"</f>
        <v>$ 8389,34</v>
      </c>
      <c r="D2450" t="str">
        <f>"$ 8389,34"</f>
        <v>$ 8389,34</v>
      </c>
      <c r="E2450" t="str">
        <f>"$ 8389,34"</f>
        <v>$ 8389,34</v>
      </c>
      <c r="F2450" t="str">
        <f>"$ 8389,34"</f>
        <v>$ 8389,34</v>
      </c>
      <c r="G2450" t="str">
        <f>"$ 8389,34"</f>
        <v>$ 8389,34</v>
      </c>
      <c r="H2450" t="str">
        <f t="shared" si="1577"/>
        <v>$ 0,00</v>
      </c>
      <c r="I2450" t="str">
        <f>"KIT FILTROS Y ORINGS"</f>
        <v>KIT FILTROS Y ORINGS</v>
      </c>
      <c r="J2450" t="str">
        <f t="shared" si="1578"/>
        <v>1</v>
      </c>
      <c r="K2450" t="str">
        <f t="shared" si="1561"/>
        <v>0</v>
      </c>
      <c r="L2450" t="str">
        <f>"13,000"</f>
        <v>13,000</v>
      </c>
      <c r="M2450" t="str">
        <f t="shared" si="1579"/>
        <v xml:space="preserve"> </v>
      </c>
      <c r="N2450" t="str">
        <f>"FISPA"</f>
        <v>FISPA</v>
      </c>
      <c r="O2450" t="str">
        <f>"INYECTORES"</f>
        <v>INYECTORES</v>
      </c>
      <c r="P2450" t="str">
        <f t="shared" si="1596"/>
        <v>0</v>
      </c>
      <c r="Q2450" t="str">
        <f t="shared" si="1596"/>
        <v>0</v>
      </c>
      <c r="R2450" t="str">
        <f t="shared" si="1597"/>
        <v>0,00</v>
      </c>
      <c r="S2450" t="str">
        <f t="shared" si="1597"/>
        <v>0,00</v>
      </c>
      <c r="T2450" t="str">
        <f t="shared" si="1574"/>
        <v xml:space="preserve"> </v>
      </c>
      <c r="U2450" t="str">
        <f t="shared" si="1576"/>
        <v xml:space="preserve"> </v>
      </c>
      <c r="V2450" t="str">
        <f>"13,000"</f>
        <v>13,000</v>
      </c>
      <c r="W2450" t="str">
        <f t="shared" si="1580"/>
        <v>Lista 4</v>
      </c>
      <c r="X2450" t="str">
        <f t="shared" si="1581"/>
        <v>Lista 5</v>
      </c>
      <c r="Y2450" t="str">
        <f t="shared" si="1582"/>
        <v>Oferta Gral.</v>
      </c>
      <c r="Z2450" t="str">
        <f t="shared" si="1583"/>
        <v>Rubro</v>
      </c>
      <c r="AA2450" t="str">
        <f t="shared" si="1584"/>
        <v>Cantidad por Bulto</v>
      </c>
      <c r="AB2450" t="str">
        <f t="shared" si="1585"/>
        <v>INNER</v>
      </c>
      <c r="AC2450" t="str">
        <f t="shared" si="1586"/>
        <v>Stock en Bultos</v>
      </c>
      <c r="AD2450" t="str">
        <f t="shared" si="1587"/>
        <v>SubDepósito</v>
      </c>
      <c r="AE2450" t="str">
        <f t="shared" si="1588"/>
        <v>Marca</v>
      </c>
      <c r="AF2450" t="str">
        <f t="shared" si="1589"/>
        <v>Super Rubro</v>
      </c>
      <c r="AG2450" t="str">
        <f t="shared" si="1590"/>
        <v>ComercioExterior</v>
      </c>
      <c r="AH2450" t="str">
        <f t="shared" si="1591"/>
        <v>PrecioFOB</v>
      </c>
      <c r="AI2450" t="str">
        <f t="shared" si="1592"/>
        <v>Monto II</v>
      </c>
      <c r="AJ2450" t="str">
        <f t="shared" si="1593"/>
        <v>Porcentaje II</v>
      </c>
      <c r="AK2450" t="str">
        <f t="shared" si="1594"/>
        <v>Foto</v>
      </c>
      <c r="AL245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50" t="str">
        <f>"-"</f>
        <v>-</v>
      </c>
    </row>
    <row r="2451" spans="1:39" x14ac:dyDescent="0.25">
      <c r="A2451" t="str">
        <f>"FI11025"</f>
        <v>FI11025</v>
      </c>
      <c r="B2451" t="str">
        <f>"KIT FILTROS Y ORINGS MARELLI MULTIPUNTO"</f>
        <v>KIT FILTROS Y ORINGS MARELLI MULTIPUNTO</v>
      </c>
      <c r="C2451" t="str">
        <f>"$ 9983,01"</f>
        <v>$ 9983,01</v>
      </c>
      <c r="D2451" t="str">
        <f>"$ 9983,01"</f>
        <v>$ 9983,01</v>
      </c>
      <c r="E2451" t="str">
        <f>"$ 9983,01"</f>
        <v>$ 9983,01</v>
      </c>
      <c r="F2451" t="str">
        <f>"$ 9983,01"</f>
        <v>$ 9983,01</v>
      </c>
      <c r="G2451" t="str">
        <f>"$ 9983,01"</f>
        <v>$ 9983,01</v>
      </c>
      <c r="H2451" t="str">
        <f t="shared" si="1577"/>
        <v>$ 0,00</v>
      </c>
      <c r="I2451" t="str">
        <f>"KIT FILTROS Y ORINGS"</f>
        <v>KIT FILTROS Y ORINGS</v>
      </c>
      <c r="J2451" t="str">
        <f t="shared" si="1578"/>
        <v>1</v>
      </c>
      <c r="K2451" t="str">
        <f t="shared" si="1561"/>
        <v>0</v>
      </c>
      <c r="L2451" t="str">
        <f>"17,000"</f>
        <v>17,000</v>
      </c>
      <c r="M2451" t="str">
        <f t="shared" si="1579"/>
        <v xml:space="preserve"> </v>
      </c>
      <c r="N2451" t="str">
        <f>"FISPA"</f>
        <v>FISPA</v>
      </c>
      <c r="O2451" t="str">
        <f>"INYECTORES"</f>
        <v>INYECTORES</v>
      </c>
      <c r="P2451" t="str">
        <f t="shared" si="1596"/>
        <v>0</v>
      </c>
      <c r="Q2451" t="str">
        <f t="shared" si="1596"/>
        <v>0</v>
      </c>
      <c r="R2451" t="str">
        <f t="shared" si="1597"/>
        <v>0,00</v>
      </c>
      <c r="S2451" t="str">
        <f t="shared" si="1597"/>
        <v>0,00</v>
      </c>
      <c r="T2451" t="str">
        <f t="shared" si="1574"/>
        <v xml:space="preserve"> </v>
      </c>
      <c r="U2451" t="str">
        <f t="shared" si="1576"/>
        <v xml:space="preserve"> </v>
      </c>
      <c r="V2451" t="str">
        <f>"17,000"</f>
        <v>17,000</v>
      </c>
      <c r="W2451" t="str">
        <f t="shared" si="1580"/>
        <v>Lista 4</v>
      </c>
      <c r="X2451" t="str">
        <f t="shared" si="1581"/>
        <v>Lista 5</v>
      </c>
      <c r="Y2451" t="str">
        <f t="shared" si="1582"/>
        <v>Oferta Gral.</v>
      </c>
      <c r="Z2451" t="str">
        <f t="shared" si="1583"/>
        <v>Rubro</v>
      </c>
      <c r="AA2451" t="str">
        <f t="shared" si="1584"/>
        <v>Cantidad por Bulto</v>
      </c>
      <c r="AB2451" t="str">
        <f t="shared" si="1585"/>
        <v>INNER</v>
      </c>
      <c r="AC2451" t="str">
        <f t="shared" si="1586"/>
        <v>Stock en Bultos</v>
      </c>
      <c r="AD2451" t="str">
        <f t="shared" si="1587"/>
        <v>SubDepósito</v>
      </c>
      <c r="AE2451" t="str">
        <f t="shared" si="1588"/>
        <v>Marca</v>
      </c>
      <c r="AF2451" t="str">
        <f t="shared" si="1589"/>
        <v>Super Rubro</v>
      </c>
      <c r="AG2451" t="str">
        <f t="shared" si="1590"/>
        <v>ComercioExterior</v>
      </c>
      <c r="AH2451" t="str">
        <f t="shared" si="1591"/>
        <v>PrecioFOB</v>
      </c>
      <c r="AI2451" t="str">
        <f t="shared" si="1592"/>
        <v>Monto II</v>
      </c>
      <c r="AJ2451" t="str">
        <f t="shared" si="1593"/>
        <v>Porcentaje II</v>
      </c>
      <c r="AK2451" t="str">
        <f t="shared" si="1594"/>
        <v>Foto</v>
      </c>
      <c r="AL245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51" t="str">
        <f>"-"</f>
        <v>-</v>
      </c>
    </row>
    <row r="2452" spans="1:39" x14ac:dyDescent="0.25">
      <c r="A2452" t="str">
        <f>"H1S6"</f>
        <v>H1S6</v>
      </c>
      <c r="B2452" t="str">
        <f>"KIT H1 CREELED 12V 6TA GENERACION"</f>
        <v>KIT H1 CREELED 12V 6TA GENERACION</v>
      </c>
      <c r="C2452" t="str">
        <f>"$ 19578,26"</f>
        <v>$ 19578,26</v>
      </c>
      <c r="D2452" t="str">
        <f>"$ 19578,26"</f>
        <v>$ 19578,26</v>
      </c>
      <c r="E2452" t="str">
        <f>"$ 19578,26"</f>
        <v>$ 19578,26</v>
      </c>
      <c r="F2452" t="str">
        <f>"$ 19578,26"</f>
        <v>$ 19578,26</v>
      </c>
      <c r="G2452" t="str">
        <f>"$ 19578,26"</f>
        <v>$ 19578,26</v>
      </c>
      <c r="H2452" t="str">
        <f t="shared" si="1577"/>
        <v>$ 0,00</v>
      </c>
      <c r="I2452" t="str">
        <f t="shared" ref="I2452:I2462" si="1598">"CREE LED "</f>
        <v xml:space="preserve">CREE LED </v>
      </c>
      <c r="J2452" t="str">
        <f t="shared" si="1578"/>
        <v>1</v>
      </c>
      <c r="K2452" t="str">
        <f t="shared" si="1561"/>
        <v>0</v>
      </c>
      <c r="L2452" t="str">
        <f>"10,000"</f>
        <v>10,000</v>
      </c>
      <c r="M2452" t="str">
        <f t="shared" si="1579"/>
        <v xml:space="preserve"> </v>
      </c>
      <c r="N2452" t="str">
        <f t="shared" ref="N2452:N2462" si="1599">"LUX LED"</f>
        <v>LUX LED</v>
      </c>
      <c r="O2452" t="str">
        <f t="shared" ref="O2452:O2468" si="1600">"LAMPARAS"</f>
        <v>LAMPARAS</v>
      </c>
      <c r="P2452" t="str">
        <f t="shared" si="1596"/>
        <v>0</v>
      </c>
      <c r="Q2452" t="str">
        <f t="shared" si="1596"/>
        <v>0</v>
      </c>
      <c r="R2452" t="str">
        <f t="shared" si="1597"/>
        <v>0,00</v>
      </c>
      <c r="S2452" t="str">
        <f t="shared" si="1597"/>
        <v>0,00</v>
      </c>
      <c r="T2452" t="str">
        <f t="shared" si="1574"/>
        <v xml:space="preserve"> </v>
      </c>
      <c r="U2452" t="str">
        <f t="shared" si="1576"/>
        <v xml:space="preserve"> </v>
      </c>
      <c r="V2452" t="str">
        <f>"10,000"</f>
        <v>10,000</v>
      </c>
      <c r="W2452" t="str">
        <f t="shared" si="1580"/>
        <v>Lista 4</v>
      </c>
      <c r="X2452" t="str">
        <f t="shared" si="1581"/>
        <v>Lista 5</v>
      </c>
      <c r="Y2452" t="str">
        <f t="shared" si="1582"/>
        <v>Oferta Gral.</v>
      </c>
      <c r="Z2452" t="str">
        <f t="shared" si="1583"/>
        <v>Rubro</v>
      </c>
      <c r="AA2452" t="str">
        <f t="shared" si="1584"/>
        <v>Cantidad por Bulto</v>
      </c>
      <c r="AB2452" t="str">
        <f t="shared" si="1585"/>
        <v>INNER</v>
      </c>
      <c r="AC2452" t="str">
        <f t="shared" si="1586"/>
        <v>Stock en Bultos</v>
      </c>
      <c r="AD2452" t="str">
        <f t="shared" si="1587"/>
        <v>SubDepósito</v>
      </c>
      <c r="AE2452" t="str">
        <f t="shared" si="1588"/>
        <v>Marca</v>
      </c>
      <c r="AF2452" t="str">
        <f t="shared" si="1589"/>
        <v>Super Rubro</v>
      </c>
      <c r="AG2452" t="str">
        <f t="shared" si="1590"/>
        <v>ComercioExterior</v>
      </c>
      <c r="AH2452" t="str">
        <f t="shared" si="1591"/>
        <v>PrecioFOB</v>
      </c>
      <c r="AI2452" t="str">
        <f t="shared" si="1592"/>
        <v>Monto II</v>
      </c>
      <c r="AJ2452" t="str">
        <f t="shared" si="1593"/>
        <v>Porcentaje II</v>
      </c>
      <c r="AK2452" t="str">
        <f t="shared" si="1594"/>
        <v>Foto</v>
      </c>
      <c r="AL2452" t="str">
        <f>"{\rtf1\ansi\ansicpg1252\deff0\deflang11274{\fonttbl{\f0\fnil\fcharset0 MS Sans Serif}} \viewkind4\uc1\pard\f0\fs16 KIT H1 CREELED 12V 6TA GENERACION\par } "</f>
        <v xml:space="preserve">{\rtf1\ansi\ansicpg1252\deff0\deflang11274{\fonttbl{\f0\fnil\fcharset0 MS Sans Serif}} \viewkind4\uc1\pard\f0\fs16 KIT H1 CREELED 12V 6TA GENERACION\par } </v>
      </c>
      <c r="AM2452" t="str">
        <f t="shared" ref="AM2452:AM2462" si="1601">" "</f>
        <v xml:space="preserve"> </v>
      </c>
    </row>
    <row r="2453" spans="1:39" x14ac:dyDescent="0.25">
      <c r="A2453" t="str">
        <f>"H11G7"</f>
        <v>H11G7</v>
      </c>
      <c r="B2453" t="str">
        <f>"KIT H11 CREELED 12V 4TA GENERACION"</f>
        <v>KIT H11 CREELED 12V 4TA GENERACION</v>
      </c>
      <c r="C2453" t="str">
        <f>"$ 7305,67"</f>
        <v>$ 7305,67</v>
      </c>
      <c r="D2453" t="str">
        <f>"$ 7305,67"</f>
        <v>$ 7305,67</v>
      </c>
      <c r="E2453" t="str">
        <f>"$ 7305,67"</f>
        <v>$ 7305,67</v>
      </c>
      <c r="F2453" t="str">
        <f>"$ 7305,67"</f>
        <v>$ 7305,67</v>
      </c>
      <c r="G2453" t="str">
        <f>"$ 7305,67"</f>
        <v>$ 7305,67</v>
      </c>
      <c r="H2453" t="str">
        <f t="shared" si="1577"/>
        <v>$ 0,00</v>
      </c>
      <c r="I2453" t="str">
        <f t="shared" si="1598"/>
        <v xml:space="preserve">CREE LED </v>
      </c>
      <c r="J2453" t="str">
        <f t="shared" si="1578"/>
        <v>1</v>
      </c>
      <c r="K2453" t="str">
        <f t="shared" ref="K2453:K2516" si="1602">"0"</f>
        <v>0</v>
      </c>
      <c r="L2453" t="str">
        <f>"1,000"</f>
        <v>1,000</v>
      </c>
      <c r="M2453" t="str">
        <f t="shared" si="1579"/>
        <v xml:space="preserve"> </v>
      </c>
      <c r="N2453" t="str">
        <f t="shared" si="1599"/>
        <v>LUX LED</v>
      </c>
      <c r="O2453" t="str">
        <f t="shared" si="1600"/>
        <v>LAMPARAS</v>
      </c>
      <c r="P2453" t="str">
        <f t="shared" si="1596"/>
        <v>0</v>
      </c>
      <c r="Q2453" t="str">
        <f t="shared" si="1596"/>
        <v>0</v>
      </c>
      <c r="R2453" t="str">
        <f t="shared" si="1597"/>
        <v>0,00</v>
      </c>
      <c r="S2453" t="str">
        <f t="shared" si="1597"/>
        <v>0,00</v>
      </c>
      <c r="T2453" t="str">
        <f t="shared" si="1574"/>
        <v xml:space="preserve"> </v>
      </c>
      <c r="U2453" t="str">
        <f t="shared" si="1576"/>
        <v xml:space="preserve"> </v>
      </c>
      <c r="V2453" t="str">
        <f>"1,000"</f>
        <v>1,000</v>
      </c>
      <c r="W2453" t="str">
        <f t="shared" si="1580"/>
        <v>Lista 4</v>
      </c>
      <c r="X2453" t="str">
        <f t="shared" si="1581"/>
        <v>Lista 5</v>
      </c>
      <c r="Y2453" t="str">
        <f t="shared" si="1582"/>
        <v>Oferta Gral.</v>
      </c>
      <c r="Z2453" t="str">
        <f t="shared" si="1583"/>
        <v>Rubro</v>
      </c>
      <c r="AA2453" t="str">
        <f t="shared" si="1584"/>
        <v>Cantidad por Bulto</v>
      </c>
      <c r="AB2453" t="str">
        <f t="shared" si="1585"/>
        <v>INNER</v>
      </c>
      <c r="AC2453" t="str">
        <f t="shared" si="1586"/>
        <v>Stock en Bultos</v>
      </c>
      <c r="AD2453" t="str">
        <f t="shared" si="1587"/>
        <v>SubDepósito</v>
      </c>
      <c r="AE2453" t="str">
        <f t="shared" si="1588"/>
        <v>Marca</v>
      </c>
      <c r="AF2453" t="str">
        <f t="shared" si="1589"/>
        <v>Super Rubro</v>
      </c>
      <c r="AG2453" t="str">
        <f t="shared" si="1590"/>
        <v>ComercioExterior</v>
      </c>
      <c r="AH2453" t="str">
        <f t="shared" si="1591"/>
        <v>PrecioFOB</v>
      </c>
      <c r="AI2453" t="str">
        <f t="shared" si="1592"/>
        <v>Monto II</v>
      </c>
      <c r="AJ2453" t="str">
        <f t="shared" si="1593"/>
        <v>Porcentaje II</v>
      </c>
      <c r="AK2453" t="str">
        <f t="shared" si="1594"/>
        <v>Foto</v>
      </c>
      <c r="AL2453" t="str">
        <f>"{\rtf1\ansi\ansicpg1252\deff0\deflang11274{\fonttbl{\f0\fnil\fcharset0 MS Sans Serif}} \viewkind4\uc1\pard\f0\fs16 KIT H11 CREELED 12V 4TA GENERACION\par } "</f>
        <v xml:space="preserve">{\rtf1\ansi\ansicpg1252\deff0\deflang11274{\fonttbl{\f0\fnil\fcharset0 MS Sans Serif}} \viewkind4\uc1\pard\f0\fs16 KIT H11 CREELED 12V 4TA GENERACION\par } </v>
      </c>
      <c r="AM2453" t="str">
        <f t="shared" si="1601"/>
        <v xml:space="preserve"> </v>
      </c>
    </row>
    <row r="2454" spans="1:39" x14ac:dyDescent="0.25">
      <c r="A2454" t="str">
        <f>"H11S6"</f>
        <v>H11S6</v>
      </c>
      <c r="B2454" t="str">
        <f>"KIT H11 CREELED 12V 6TA GENERACION"</f>
        <v>KIT H11 CREELED 12V 6TA GENERACION</v>
      </c>
      <c r="C2454" t="str">
        <f>"$ 19578,26"</f>
        <v>$ 19578,26</v>
      </c>
      <c r="D2454" t="str">
        <f>"$ 19578,26"</f>
        <v>$ 19578,26</v>
      </c>
      <c r="E2454" t="str">
        <f>"$ 19578,26"</f>
        <v>$ 19578,26</v>
      </c>
      <c r="F2454" t="str">
        <f>"$ 19578,26"</f>
        <v>$ 19578,26</v>
      </c>
      <c r="G2454" t="str">
        <f>"$ 19578,26"</f>
        <v>$ 19578,26</v>
      </c>
      <c r="H2454" t="str">
        <f t="shared" si="1577"/>
        <v>$ 0,00</v>
      </c>
      <c r="I2454" t="str">
        <f t="shared" si="1598"/>
        <v xml:space="preserve">CREE LED </v>
      </c>
      <c r="J2454" t="str">
        <f t="shared" si="1578"/>
        <v>1</v>
      </c>
      <c r="K2454" t="str">
        <f t="shared" si="1602"/>
        <v>0</v>
      </c>
      <c r="L2454" t="str">
        <f>"34,000"</f>
        <v>34,000</v>
      </c>
      <c r="M2454" t="str">
        <f t="shared" si="1579"/>
        <v xml:space="preserve"> </v>
      </c>
      <c r="N2454" t="str">
        <f t="shared" si="1599"/>
        <v>LUX LED</v>
      </c>
      <c r="O2454" t="str">
        <f t="shared" si="1600"/>
        <v>LAMPARAS</v>
      </c>
      <c r="P2454" t="str">
        <f t="shared" si="1596"/>
        <v>0</v>
      </c>
      <c r="Q2454" t="str">
        <f t="shared" si="1596"/>
        <v>0</v>
      </c>
      <c r="R2454" t="str">
        <f t="shared" si="1597"/>
        <v>0,00</v>
      </c>
      <c r="S2454" t="str">
        <f t="shared" si="1597"/>
        <v>0,00</v>
      </c>
      <c r="T2454" t="str">
        <f t="shared" si="1574"/>
        <v xml:space="preserve"> </v>
      </c>
      <c r="U2454" t="str">
        <f t="shared" si="1576"/>
        <v xml:space="preserve"> </v>
      </c>
      <c r="V2454" t="str">
        <f>"34,000"</f>
        <v>34,000</v>
      </c>
      <c r="W2454" t="str">
        <f t="shared" si="1580"/>
        <v>Lista 4</v>
      </c>
      <c r="X2454" t="str">
        <f t="shared" si="1581"/>
        <v>Lista 5</v>
      </c>
      <c r="Y2454" t="str">
        <f t="shared" si="1582"/>
        <v>Oferta Gral.</v>
      </c>
      <c r="Z2454" t="str">
        <f t="shared" si="1583"/>
        <v>Rubro</v>
      </c>
      <c r="AA2454" t="str">
        <f t="shared" si="1584"/>
        <v>Cantidad por Bulto</v>
      </c>
      <c r="AB2454" t="str">
        <f t="shared" si="1585"/>
        <v>INNER</v>
      </c>
      <c r="AC2454" t="str">
        <f t="shared" si="1586"/>
        <v>Stock en Bultos</v>
      </c>
      <c r="AD2454" t="str">
        <f t="shared" si="1587"/>
        <v>SubDepósito</v>
      </c>
      <c r="AE2454" t="str">
        <f t="shared" si="1588"/>
        <v>Marca</v>
      </c>
      <c r="AF2454" t="str">
        <f t="shared" si="1589"/>
        <v>Super Rubro</v>
      </c>
      <c r="AG2454" t="str">
        <f t="shared" si="1590"/>
        <v>ComercioExterior</v>
      </c>
      <c r="AH2454" t="str">
        <f t="shared" si="1591"/>
        <v>PrecioFOB</v>
      </c>
      <c r="AI2454" t="str">
        <f t="shared" si="1592"/>
        <v>Monto II</v>
      </c>
      <c r="AJ2454" t="str">
        <f t="shared" si="1593"/>
        <v>Porcentaje II</v>
      </c>
      <c r="AK2454" t="str">
        <f t="shared" si="1594"/>
        <v>Foto</v>
      </c>
      <c r="AL2454" t="str">
        <f>"{\rtf1\ansi\ansicpg1252\deff0\deflang11274{\fonttbl{\f0\fnil\fcharset0 MS Sans Serif}} \viewkind4\uc1\pard\f0\fs16 KIT H11 CREELED 12V 6TA GENERACION\par } "</f>
        <v xml:space="preserve">{\rtf1\ansi\ansicpg1252\deff0\deflang11274{\fonttbl{\f0\fnil\fcharset0 MS Sans Serif}} \viewkind4\uc1\pard\f0\fs16 KIT H11 CREELED 12V 6TA GENERACION\par } </v>
      </c>
      <c r="AM2454" t="str">
        <f t="shared" si="1601"/>
        <v xml:space="preserve"> </v>
      </c>
    </row>
    <row r="2455" spans="1:39" x14ac:dyDescent="0.25">
      <c r="A2455" t="str">
        <f>"H13S6"</f>
        <v>H13S6</v>
      </c>
      <c r="B2455" t="str">
        <f>"KIT H13 CREELED 12V 6TA GENERACION"</f>
        <v>KIT H13 CREELED 12V 6TA GENERACION</v>
      </c>
      <c r="C2455" t="str">
        <f>"$ 20692,87"</f>
        <v>$ 20692,87</v>
      </c>
      <c r="D2455" t="str">
        <f>"$ 20692,87"</f>
        <v>$ 20692,87</v>
      </c>
      <c r="E2455" t="str">
        <f>"$ 20692,87"</f>
        <v>$ 20692,87</v>
      </c>
      <c r="F2455" t="str">
        <f>"$ 20692,87"</f>
        <v>$ 20692,87</v>
      </c>
      <c r="G2455" t="str">
        <f>"$ 20692,87"</f>
        <v>$ 20692,87</v>
      </c>
      <c r="H2455" t="str">
        <f t="shared" si="1577"/>
        <v>$ 0,00</v>
      </c>
      <c r="I2455" t="str">
        <f t="shared" si="1598"/>
        <v xml:space="preserve">CREE LED </v>
      </c>
      <c r="J2455" t="str">
        <f t="shared" si="1578"/>
        <v>1</v>
      </c>
      <c r="K2455" t="str">
        <f t="shared" si="1602"/>
        <v>0</v>
      </c>
      <c r="L2455" t="str">
        <f>"4,000"</f>
        <v>4,000</v>
      </c>
      <c r="M2455" t="str">
        <f t="shared" si="1579"/>
        <v xml:space="preserve"> </v>
      </c>
      <c r="N2455" t="str">
        <f t="shared" si="1599"/>
        <v>LUX LED</v>
      </c>
      <c r="O2455" t="str">
        <f t="shared" si="1600"/>
        <v>LAMPARAS</v>
      </c>
      <c r="P2455" t="str">
        <f t="shared" si="1596"/>
        <v>0</v>
      </c>
      <c r="Q2455" t="str">
        <f t="shared" si="1596"/>
        <v>0</v>
      </c>
      <c r="R2455" t="str">
        <f t="shared" si="1597"/>
        <v>0,00</v>
      </c>
      <c r="S2455" t="str">
        <f t="shared" si="1597"/>
        <v>0,00</v>
      </c>
      <c r="T2455" t="str">
        <f t="shared" si="1574"/>
        <v xml:space="preserve"> </v>
      </c>
      <c r="U2455" t="str">
        <f t="shared" si="1576"/>
        <v xml:space="preserve"> </v>
      </c>
      <c r="V2455" t="str">
        <f>"4,000"</f>
        <v>4,000</v>
      </c>
      <c r="W2455" t="str">
        <f t="shared" si="1580"/>
        <v>Lista 4</v>
      </c>
      <c r="X2455" t="str">
        <f t="shared" si="1581"/>
        <v>Lista 5</v>
      </c>
      <c r="Y2455" t="str">
        <f t="shared" si="1582"/>
        <v>Oferta Gral.</v>
      </c>
      <c r="Z2455" t="str">
        <f t="shared" si="1583"/>
        <v>Rubro</v>
      </c>
      <c r="AA2455" t="str">
        <f t="shared" si="1584"/>
        <v>Cantidad por Bulto</v>
      </c>
      <c r="AB2455" t="str">
        <f t="shared" si="1585"/>
        <v>INNER</v>
      </c>
      <c r="AC2455" t="str">
        <f t="shared" si="1586"/>
        <v>Stock en Bultos</v>
      </c>
      <c r="AD2455" t="str">
        <f t="shared" si="1587"/>
        <v>SubDepósito</v>
      </c>
      <c r="AE2455" t="str">
        <f t="shared" si="1588"/>
        <v>Marca</v>
      </c>
      <c r="AF2455" t="str">
        <f t="shared" si="1589"/>
        <v>Super Rubro</v>
      </c>
      <c r="AG2455" t="str">
        <f t="shared" si="1590"/>
        <v>ComercioExterior</v>
      </c>
      <c r="AH2455" t="str">
        <f t="shared" si="1591"/>
        <v>PrecioFOB</v>
      </c>
      <c r="AI2455" t="str">
        <f t="shared" si="1592"/>
        <v>Monto II</v>
      </c>
      <c r="AJ2455" t="str">
        <f t="shared" si="1593"/>
        <v>Porcentaje II</v>
      </c>
      <c r="AK2455" t="str">
        <f t="shared" si="1594"/>
        <v>Foto</v>
      </c>
      <c r="AL2455" t="str">
        <f>"{\rtf1\ansi\ansicpg1252\deff0\deflang11274{\fonttbl{\f0\fnil\fcharset0 MS Sans Serif}} \viewkind4\uc1\pard\f0\fs16 KIT H13 CREELED 12V 6TA GENERACION\par } "</f>
        <v xml:space="preserve">{\rtf1\ansi\ansicpg1252\deff0\deflang11274{\fonttbl{\f0\fnil\fcharset0 MS Sans Serif}} \viewkind4\uc1\pard\f0\fs16 KIT H13 CREELED 12V 6TA GENERACION\par } </v>
      </c>
      <c r="AM2455" t="str">
        <f t="shared" si="1601"/>
        <v xml:space="preserve"> </v>
      </c>
    </row>
    <row r="2456" spans="1:39" x14ac:dyDescent="0.25">
      <c r="A2456" t="str">
        <f>"H16S6"</f>
        <v>H16S6</v>
      </c>
      <c r="B2456" t="str">
        <f>"KIT H16 CREELED 6TA GENERACION"</f>
        <v>KIT H16 CREELED 6TA GENERACION</v>
      </c>
      <c r="C2456" t="str">
        <f>"$ 20699,42"</f>
        <v>$ 20699,42</v>
      </c>
      <c r="D2456" t="str">
        <f>"$ 20699,42"</f>
        <v>$ 20699,42</v>
      </c>
      <c r="E2456" t="str">
        <f>"$ 20699,42"</f>
        <v>$ 20699,42</v>
      </c>
      <c r="F2456" t="str">
        <f>"$ 20699,42"</f>
        <v>$ 20699,42</v>
      </c>
      <c r="G2456" t="str">
        <f>"$ 20699,42"</f>
        <v>$ 20699,42</v>
      </c>
      <c r="H2456" t="str">
        <f t="shared" si="1577"/>
        <v>$ 0,00</v>
      </c>
      <c r="I2456" t="str">
        <f t="shared" si="1598"/>
        <v xml:space="preserve">CREE LED </v>
      </c>
      <c r="J2456" t="str">
        <f t="shared" si="1578"/>
        <v>1</v>
      </c>
      <c r="K2456" t="str">
        <f t="shared" si="1602"/>
        <v>0</v>
      </c>
      <c r="L2456" t="str">
        <f>"5,000"</f>
        <v>5,000</v>
      </c>
      <c r="M2456" t="str">
        <f t="shared" si="1579"/>
        <v xml:space="preserve"> </v>
      </c>
      <c r="N2456" t="str">
        <f t="shared" si="1599"/>
        <v>LUX LED</v>
      </c>
      <c r="O2456" t="str">
        <f t="shared" si="1600"/>
        <v>LAMPARAS</v>
      </c>
      <c r="P2456" t="str">
        <f t="shared" si="1596"/>
        <v>0</v>
      </c>
      <c r="Q2456" t="str">
        <f t="shared" si="1596"/>
        <v>0</v>
      </c>
      <c r="R2456" t="str">
        <f t="shared" si="1597"/>
        <v>0,00</v>
      </c>
      <c r="S2456" t="str">
        <f t="shared" si="1597"/>
        <v>0,00</v>
      </c>
      <c r="T2456" t="str">
        <f t="shared" si="1574"/>
        <v xml:space="preserve"> </v>
      </c>
      <c r="U2456" t="str">
        <f t="shared" si="1576"/>
        <v xml:space="preserve"> </v>
      </c>
      <c r="V2456" t="str">
        <f>"5,000"</f>
        <v>5,000</v>
      </c>
      <c r="W2456" t="str">
        <f t="shared" si="1580"/>
        <v>Lista 4</v>
      </c>
      <c r="X2456" t="str">
        <f t="shared" si="1581"/>
        <v>Lista 5</v>
      </c>
      <c r="Y2456" t="str">
        <f t="shared" si="1582"/>
        <v>Oferta Gral.</v>
      </c>
      <c r="Z2456" t="str">
        <f t="shared" si="1583"/>
        <v>Rubro</v>
      </c>
      <c r="AA2456" t="str">
        <f t="shared" si="1584"/>
        <v>Cantidad por Bulto</v>
      </c>
      <c r="AB2456" t="str">
        <f t="shared" si="1585"/>
        <v>INNER</v>
      </c>
      <c r="AC2456" t="str">
        <f t="shared" si="1586"/>
        <v>Stock en Bultos</v>
      </c>
      <c r="AD2456" t="str">
        <f t="shared" si="1587"/>
        <v>SubDepósito</v>
      </c>
      <c r="AE2456" t="str">
        <f t="shared" si="1588"/>
        <v>Marca</v>
      </c>
      <c r="AF2456" t="str">
        <f t="shared" si="1589"/>
        <v>Super Rubro</v>
      </c>
      <c r="AG2456" t="str">
        <f t="shared" si="1590"/>
        <v>ComercioExterior</v>
      </c>
      <c r="AH2456" t="str">
        <f t="shared" si="1591"/>
        <v>PrecioFOB</v>
      </c>
      <c r="AI2456" t="str">
        <f t="shared" si="1592"/>
        <v>Monto II</v>
      </c>
      <c r="AJ2456" t="str">
        <f t="shared" si="1593"/>
        <v>Porcentaje II</v>
      </c>
      <c r="AK2456" t="str">
        <f t="shared" si="1594"/>
        <v>Foto</v>
      </c>
      <c r="AL2456" t="str">
        <f>"{\rtf1\ansi\ansicpg1252\deff0\deflang11274{\fonttbl{\f0\fnil\fcharset0 MS Sans Serif}} \viewkind4\uc1\pard\f0\fs16 KIT H16 CREELED 6TA GENERACION\par \par } "</f>
        <v xml:space="preserve">{\rtf1\ansi\ansicpg1252\deff0\deflang11274{\fonttbl{\f0\fnil\fcharset0 MS Sans Serif}} \viewkind4\uc1\pard\f0\fs16 KIT H16 CREELED 6TA GENERACION\par \par } </v>
      </c>
      <c r="AM2456" t="str">
        <f t="shared" si="1601"/>
        <v xml:space="preserve"> </v>
      </c>
    </row>
    <row r="2457" spans="1:39" x14ac:dyDescent="0.25">
      <c r="A2457" t="str">
        <f>"H3G7"</f>
        <v>H3G7</v>
      </c>
      <c r="B2457" t="str">
        <f>"KIT H3 CREELED 12V 4TA GENERACION"</f>
        <v>KIT H3 CREELED 12V 4TA GENERACION</v>
      </c>
      <c r="C2457" t="str">
        <f>"$ 7305,67"</f>
        <v>$ 7305,67</v>
      </c>
      <c r="D2457" t="str">
        <f>"$ 7305,67"</f>
        <v>$ 7305,67</v>
      </c>
      <c r="E2457" t="str">
        <f>"$ 7305,67"</f>
        <v>$ 7305,67</v>
      </c>
      <c r="F2457" t="str">
        <f>"$ 7305,67"</f>
        <v>$ 7305,67</v>
      </c>
      <c r="G2457" t="str">
        <f>"$ 7305,67"</f>
        <v>$ 7305,67</v>
      </c>
      <c r="H2457" t="str">
        <f t="shared" si="1577"/>
        <v>$ 0,00</v>
      </c>
      <c r="I2457" t="str">
        <f t="shared" si="1598"/>
        <v xml:space="preserve">CREE LED </v>
      </c>
      <c r="J2457" t="str">
        <f t="shared" si="1578"/>
        <v>1</v>
      </c>
      <c r="K2457" t="str">
        <f t="shared" si="1602"/>
        <v>0</v>
      </c>
      <c r="L2457" t="str">
        <f>"2,000"</f>
        <v>2,000</v>
      </c>
      <c r="M2457" t="str">
        <f t="shared" si="1579"/>
        <v xml:space="preserve"> </v>
      </c>
      <c r="N2457" t="str">
        <f t="shared" si="1599"/>
        <v>LUX LED</v>
      </c>
      <c r="O2457" t="str">
        <f t="shared" si="1600"/>
        <v>LAMPARAS</v>
      </c>
      <c r="P2457" t="str">
        <f t="shared" si="1596"/>
        <v>0</v>
      </c>
      <c r="Q2457" t="str">
        <f t="shared" si="1596"/>
        <v>0</v>
      </c>
      <c r="R2457" t="str">
        <f t="shared" si="1597"/>
        <v>0,00</v>
      </c>
      <c r="S2457" t="str">
        <f t="shared" si="1597"/>
        <v>0,00</v>
      </c>
      <c r="T2457" t="str">
        <f t="shared" si="1574"/>
        <v xml:space="preserve"> </v>
      </c>
      <c r="U2457" t="str">
        <f t="shared" si="1576"/>
        <v xml:space="preserve"> </v>
      </c>
      <c r="V2457" t="str">
        <f>"2,000"</f>
        <v>2,000</v>
      </c>
      <c r="W2457" t="str">
        <f t="shared" si="1580"/>
        <v>Lista 4</v>
      </c>
      <c r="X2457" t="str">
        <f t="shared" si="1581"/>
        <v>Lista 5</v>
      </c>
      <c r="Y2457" t="str">
        <f t="shared" si="1582"/>
        <v>Oferta Gral.</v>
      </c>
      <c r="Z2457" t="str">
        <f t="shared" si="1583"/>
        <v>Rubro</v>
      </c>
      <c r="AA2457" t="str">
        <f t="shared" si="1584"/>
        <v>Cantidad por Bulto</v>
      </c>
      <c r="AB2457" t="str">
        <f t="shared" si="1585"/>
        <v>INNER</v>
      </c>
      <c r="AC2457" t="str">
        <f t="shared" si="1586"/>
        <v>Stock en Bultos</v>
      </c>
      <c r="AD2457" t="str">
        <f t="shared" si="1587"/>
        <v>SubDepósito</v>
      </c>
      <c r="AE2457" t="str">
        <f t="shared" si="1588"/>
        <v>Marca</v>
      </c>
      <c r="AF2457" t="str">
        <f t="shared" si="1589"/>
        <v>Super Rubro</v>
      </c>
      <c r="AG2457" t="str">
        <f t="shared" si="1590"/>
        <v>ComercioExterior</v>
      </c>
      <c r="AH2457" t="str">
        <f t="shared" si="1591"/>
        <v>PrecioFOB</v>
      </c>
      <c r="AI2457" t="str">
        <f t="shared" si="1592"/>
        <v>Monto II</v>
      </c>
      <c r="AJ2457" t="str">
        <f t="shared" si="1593"/>
        <v>Porcentaje II</v>
      </c>
      <c r="AK2457" t="str">
        <f t="shared" si="1594"/>
        <v>Foto</v>
      </c>
      <c r="AL2457" t="str">
        <f>"{\rtf1\ansi\ansicpg1252\deff0\deflang11274{\fonttbl{\f0\fnil\fcharset0 MS Sans Serif}} \viewkind4\uc1\pard\f0\fs16 KIT H3 CREELED 12V 4TA GENERACION\par } "</f>
        <v xml:space="preserve">{\rtf1\ansi\ansicpg1252\deff0\deflang11274{\fonttbl{\f0\fnil\fcharset0 MS Sans Serif}} \viewkind4\uc1\pard\f0\fs16 KIT H3 CREELED 12V 4TA GENERACION\par } </v>
      </c>
      <c r="AM2457" t="str">
        <f t="shared" si="1601"/>
        <v xml:space="preserve"> </v>
      </c>
    </row>
    <row r="2458" spans="1:39" x14ac:dyDescent="0.25">
      <c r="A2458" t="str">
        <f>"H3S6"</f>
        <v>H3S6</v>
      </c>
      <c r="B2458" t="str">
        <f>"KIT H3 CREELED 12V 6TA GENERACION"</f>
        <v>KIT H3 CREELED 12V 6TA GENERACION</v>
      </c>
      <c r="C2458" t="str">
        <f>"$ 19578,26"</f>
        <v>$ 19578,26</v>
      </c>
      <c r="D2458" t="str">
        <f>"$ 19578,26"</f>
        <v>$ 19578,26</v>
      </c>
      <c r="E2458" t="str">
        <f>"$ 19578,26"</f>
        <v>$ 19578,26</v>
      </c>
      <c r="F2458" t="str">
        <f>"$ 19578,26"</f>
        <v>$ 19578,26</v>
      </c>
      <c r="G2458" t="str">
        <f>"$ 19578,26"</f>
        <v>$ 19578,26</v>
      </c>
      <c r="H2458" t="str">
        <f t="shared" si="1577"/>
        <v>$ 0,00</v>
      </c>
      <c r="I2458" t="str">
        <f t="shared" si="1598"/>
        <v xml:space="preserve">CREE LED </v>
      </c>
      <c r="J2458" t="str">
        <f t="shared" si="1578"/>
        <v>1</v>
      </c>
      <c r="K2458" t="str">
        <f t="shared" si="1602"/>
        <v>0</v>
      </c>
      <c r="L2458" t="str">
        <f>"18,000"</f>
        <v>18,000</v>
      </c>
      <c r="M2458" t="str">
        <f t="shared" si="1579"/>
        <v xml:space="preserve"> </v>
      </c>
      <c r="N2458" t="str">
        <f t="shared" si="1599"/>
        <v>LUX LED</v>
      </c>
      <c r="O2458" t="str">
        <f t="shared" si="1600"/>
        <v>LAMPARAS</v>
      </c>
      <c r="P2458" t="str">
        <f t="shared" si="1596"/>
        <v>0</v>
      </c>
      <c r="Q2458" t="str">
        <f t="shared" si="1596"/>
        <v>0</v>
      </c>
      <c r="R2458" t="str">
        <f t="shared" si="1597"/>
        <v>0,00</v>
      </c>
      <c r="S2458" t="str">
        <f t="shared" si="1597"/>
        <v>0,00</v>
      </c>
      <c r="T2458" t="str">
        <f t="shared" si="1574"/>
        <v xml:space="preserve"> </v>
      </c>
      <c r="U2458" t="str">
        <f t="shared" si="1576"/>
        <v xml:space="preserve"> </v>
      </c>
      <c r="V2458" t="str">
        <f>"18,000"</f>
        <v>18,000</v>
      </c>
      <c r="W2458" t="str">
        <f t="shared" si="1580"/>
        <v>Lista 4</v>
      </c>
      <c r="X2458" t="str">
        <f t="shared" si="1581"/>
        <v>Lista 5</v>
      </c>
      <c r="Y2458" t="str">
        <f t="shared" si="1582"/>
        <v>Oferta Gral.</v>
      </c>
      <c r="Z2458" t="str">
        <f t="shared" si="1583"/>
        <v>Rubro</v>
      </c>
      <c r="AA2458" t="str">
        <f t="shared" si="1584"/>
        <v>Cantidad por Bulto</v>
      </c>
      <c r="AB2458" t="str">
        <f t="shared" si="1585"/>
        <v>INNER</v>
      </c>
      <c r="AC2458" t="str">
        <f t="shared" si="1586"/>
        <v>Stock en Bultos</v>
      </c>
      <c r="AD2458" t="str">
        <f t="shared" si="1587"/>
        <v>SubDepósito</v>
      </c>
      <c r="AE2458" t="str">
        <f t="shared" si="1588"/>
        <v>Marca</v>
      </c>
      <c r="AF2458" t="str">
        <f t="shared" si="1589"/>
        <v>Super Rubro</v>
      </c>
      <c r="AG2458" t="str">
        <f t="shared" si="1590"/>
        <v>ComercioExterior</v>
      </c>
      <c r="AH2458" t="str">
        <f t="shared" si="1591"/>
        <v>PrecioFOB</v>
      </c>
      <c r="AI2458" t="str">
        <f t="shared" si="1592"/>
        <v>Monto II</v>
      </c>
      <c r="AJ2458" t="str">
        <f t="shared" si="1593"/>
        <v>Porcentaje II</v>
      </c>
      <c r="AK2458" t="str">
        <f t="shared" si="1594"/>
        <v>Foto</v>
      </c>
      <c r="AL2458" t="str">
        <f>"{\rtf1\ansi\ansicpg1252\deff0\deflang11274{\fonttbl{\f0\fnil\fcharset0 MS Sans Serif}} \viewkind4\uc1\pard\f0\fs16 KIT H3 CREELED 12V 6TA GENERACION\par } "</f>
        <v xml:space="preserve">{\rtf1\ansi\ansicpg1252\deff0\deflang11274{\fonttbl{\f0\fnil\fcharset0 MS Sans Serif}} \viewkind4\uc1\pard\f0\fs16 KIT H3 CREELED 12V 6TA GENERACION\par } </v>
      </c>
      <c r="AM2458" t="str">
        <f t="shared" si="1601"/>
        <v xml:space="preserve"> </v>
      </c>
    </row>
    <row r="2459" spans="1:39" x14ac:dyDescent="0.25">
      <c r="A2459" t="str">
        <f>"H4S6"</f>
        <v>H4S6</v>
      </c>
      <c r="B2459" t="str">
        <f>"KIT H4 CREELED 12V 6TA GENERACION"</f>
        <v>KIT H4 CREELED 12V 6TA GENERACION</v>
      </c>
      <c r="C2459" t="str">
        <f>"$ 20692,87"</f>
        <v>$ 20692,87</v>
      </c>
      <c r="D2459" t="str">
        <f>"$ 20692,87"</f>
        <v>$ 20692,87</v>
      </c>
      <c r="E2459" t="str">
        <f>"$ 20692,87"</f>
        <v>$ 20692,87</v>
      </c>
      <c r="F2459" t="str">
        <f>"$ 20692,87"</f>
        <v>$ 20692,87</v>
      </c>
      <c r="G2459" t="str">
        <f>"$ 20692,87"</f>
        <v>$ 20692,87</v>
      </c>
      <c r="H2459" t="str">
        <f t="shared" si="1577"/>
        <v>$ 0,00</v>
      </c>
      <c r="I2459" t="str">
        <f t="shared" si="1598"/>
        <v xml:space="preserve">CREE LED </v>
      </c>
      <c r="J2459" t="str">
        <f t="shared" si="1578"/>
        <v>1</v>
      </c>
      <c r="K2459" t="str">
        <f t="shared" si="1602"/>
        <v>0</v>
      </c>
      <c r="L2459" t="str">
        <f>"115,000"</f>
        <v>115,000</v>
      </c>
      <c r="M2459" t="str">
        <f t="shared" si="1579"/>
        <v xml:space="preserve"> </v>
      </c>
      <c r="N2459" t="str">
        <f t="shared" si="1599"/>
        <v>LUX LED</v>
      </c>
      <c r="O2459" t="str">
        <f t="shared" si="1600"/>
        <v>LAMPARAS</v>
      </c>
      <c r="P2459" t="str">
        <f t="shared" si="1596"/>
        <v>0</v>
      </c>
      <c r="Q2459" t="str">
        <f t="shared" si="1596"/>
        <v>0</v>
      </c>
      <c r="R2459" t="str">
        <f t="shared" si="1597"/>
        <v>0,00</v>
      </c>
      <c r="S2459" t="str">
        <f t="shared" si="1597"/>
        <v>0,00</v>
      </c>
      <c r="T2459" t="str">
        <f t="shared" si="1574"/>
        <v xml:space="preserve"> </v>
      </c>
      <c r="U2459" t="str">
        <f t="shared" si="1576"/>
        <v xml:space="preserve"> </v>
      </c>
      <c r="V2459" t="str">
        <f>"115,000"</f>
        <v>115,000</v>
      </c>
      <c r="W2459" t="str">
        <f t="shared" si="1580"/>
        <v>Lista 4</v>
      </c>
      <c r="X2459" t="str">
        <f t="shared" si="1581"/>
        <v>Lista 5</v>
      </c>
      <c r="Y2459" t="str">
        <f t="shared" si="1582"/>
        <v>Oferta Gral.</v>
      </c>
      <c r="Z2459" t="str">
        <f t="shared" si="1583"/>
        <v>Rubro</v>
      </c>
      <c r="AA2459" t="str">
        <f t="shared" si="1584"/>
        <v>Cantidad por Bulto</v>
      </c>
      <c r="AB2459" t="str">
        <f t="shared" si="1585"/>
        <v>INNER</v>
      </c>
      <c r="AC2459" t="str">
        <f t="shared" si="1586"/>
        <v>Stock en Bultos</v>
      </c>
      <c r="AD2459" t="str">
        <f t="shared" si="1587"/>
        <v>SubDepósito</v>
      </c>
      <c r="AE2459" t="str">
        <f t="shared" si="1588"/>
        <v>Marca</v>
      </c>
      <c r="AF2459" t="str">
        <f t="shared" si="1589"/>
        <v>Super Rubro</v>
      </c>
      <c r="AG2459" t="str">
        <f t="shared" si="1590"/>
        <v>ComercioExterior</v>
      </c>
      <c r="AH2459" t="str">
        <f t="shared" si="1591"/>
        <v>PrecioFOB</v>
      </c>
      <c r="AI2459" t="str">
        <f t="shared" si="1592"/>
        <v>Monto II</v>
      </c>
      <c r="AJ2459" t="str">
        <f t="shared" si="1593"/>
        <v>Porcentaje II</v>
      </c>
      <c r="AK2459" t="str">
        <f t="shared" si="1594"/>
        <v>Foto</v>
      </c>
      <c r="AL2459" t="str">
        <f>"{\rtf1\ansi\ansicpg1252\deff0\deflang11274{\fonttbl{\f0\fnil\fcharset0 MS Sans Serif}} \viewkind4\uc1\pard\f0\fs16 KIT H4 CREELED 12V 6TA GENERACION\par } "</f>
        <v xml:space="preserve">{\rtf1\ansi\ansicpg1252\deff0\deflang11274{\fonttbl{\f0\fnil\fcharset0 MS Sans Serif}} \viewkind4\uc1\pard\f0\fs16 KIT H4 CREELED 12V 6TA GENERACION\par } </v>
      </c>
      <c r="AM2459" t="str">
        <f t="shared" si="1601"/>
        <v xml:space="preserve"> </v>
      </c>
    </row>
    <row r="2460" spans="1:39" x14ac:dyDescent="0.25">
      <c r="A2460" t="str">
        <f>"H7G7"</f>
        <v>H7G7</v>
      </c>
      <c r="B2460" t="str">
        <f>"KIT H7 CREELED 12V 4TA GENERACION"</f>
        <v>KIT H7 CREELED 12V 4TA GENERACION</v>
      </c>
      <c r="C2460" t="str">
        <f>"$ 7305,67"</f>
        <v>$ 7305,67</v>
      </c>
      <c r="D2460" t="str">
        <f>"$ 7305,67"</f>
        <v>$ 7305,67</v>
      </c>
      <c r="E2460" t="str">
        <f>"$ 7305,67"</f>
        <v>$ 7305,67</v>
      </c>
      <c r="F2460" t="str">
        <f>"$ 7305,67"</f>
        <v>$ 7305,67</v>
      </c>
      <c r="G2460" t="str">
        <f>"$ 7305,67"</f>
        <v>$ 7305,67</v>
      </c>
      <c r="H2460" t="str">
        <f t="shared" si="1577"/>
        <v>$ 0,00</v>
      </c>
      <c r="I2460" t="str">
        <f t="shared" si="1598"/>
        <v xml:space="preserve">CREE LED </v>
      </c>
      <c r="J2460" t="str">
        <f t="shared" si="1578"/>
        <v>1</v>
      </c>
      <c r="K2460" t="str">
        <f t="shared" si="1602"/>
        <v>0</v>
      </c>
      <c r="L2460" t="str">
        <f>"0,000"</f>
        <v>0,000</v>
      </c>
      <c r="M2460" t="str">
        <f t="shared" si="1579"/>
        <v xml:space="preserve"> </v>
      </c>
      <c r="N2460" t="str">
        <f t="shared" si="1599"/>
        <v>LUX LED</v>
      </c>
      <c r="O2460" t="str">
        <f t="shared" si="1600"/>
        <v>LAMPARAS</v>
      </c>
      <c r="P2460" t="str">
        <f t="shared" si="1596"/>
        <v>0</v>
      </c>
      <c r="Q2460" t="str">
        <f t="shared" si="1596"/>
        <v>0</v>
      </c>
      <c r="R2460" t="str">
        <f t="shared" si="1597"/>
        <v>0,00</v>
      </c>
      <c r="S2460" t="str">
        <f t="shared" si="1597"/>
        <v>0,00</v>
      </c>
      <c r="T2460" t="str">
        <f t="shared" si="1574"/>
        <v xml:space="preserve"> </v>
      </c>
      <c r="U2460" t="str">
        <f t="shared" si="1576"/>
        <v xml:space="preserve"> </v>
      </c>
      <c r="V2460" t="str">
        <f>"0,000"</f>
        <v>0,000</v>
      </c>
      <c r="W2460" t="str">
        <f t="shared" si="1580"/>
        <v>Lista 4</v>
      </c>
      <c r="X2460" t="str">
        <f t="shared" si="1581"/>
        <v>Lista 5</v>
      </c>
      <c r="Y2460" t="str">
        <f t="shared" si="1582"/>
        <v>Oferta Gral.</v>
      </c>
      <c r="Z2460" t="str">
        <f t="shared" si="1583"/>
        <v>Rubro</v>
      </c>
      <c r="AA2460" t="str">
        <f t="shared" si="1584"/>
        <v>Cantidad por Bulto</v>
      </c>
      <c r="AB2460" t="str">
        <f t="shared" si="1585"/>
        <v>INNER</v>
      </c>
      <c r="AC2460" t="str">
        <f t="shared" si="1586"/>
        <v>Stock en Bultos</v>
      </c>
      <c r="AD2460" t="str">
        <f t="shared" si="1587"/>
        <v>SubDepósito</v>
      </c>
      <c r="AE2460" t="str">
        <f t="shared" si="1588"/>
        <v>Marca</v>
      </c>
      <c r="AF2460" t="str">
        <f t="shared" si="1589"/>
        <v>Super Rubro</v>
      </c>
      <c r="AG2460" t="str">
        <f t="shared" si="1590"/>
        <v>ComercioExterior</v>
      </c>
      <c r="AH2460" t="str">
        <f t="shared" si="1591"/>
        <v>PrecioFOB</v>
      </c>
      <c r="AI2460" t="str">
        <f t="shared" si="1592"/>
        <v>Monto II</v>
      </c>
      <c r="AJ2460" t="str">
        <f t="shared" si="1593"/>
        <v>Porcentaje II</v>
      </c>
      <c r="AK2460" t="str">
        <f t="shared" si="1594"/>
        <v>Foto</v>
      </c>
      <c r="AL2460" t="str">
        <f>"{\rtf1\ansi\ansicpg1252\deff0\deflang11274{\fonttbl{\f0\fnil\fcharset0 MS Sans Serif}} \viewkind4\uc1\pard\f0\fs16 KIT H7 CREELED 12V 4TA GENERACION\par } "</f>
        <v xml:space="preserve">{\rtf1\ansi\ansicpg1252\deff0\deflang11274{\fonttbl{\f0\fnil\fcharset0 MS Sans Serif}} \viewkind4\uc1\pard\f0\fs16 KIT H7 CREELED 12V 4TA GENERACION\par } </v>
      </c>
      <c r="AM2460" t="str">
        <f t="shared" si="1601"/>
        <v xml:space="preserve"> </v>
      </c>
    </row>
    <row r="2461" spans="1:39" x14ac:dyDescent="0.25">
      <c r="A2461" t="str">
        <f>"H7S6"</f>
        <v>H7S6</v>
      </c>
      <c r="B2461" t="str">
        <f>"KIT H7 CREELED 12V 6TA GENERACION"</f>
        <v>KIT H7 CREELED 12V 6TA GENERACION</v>
      </c>
      <c r="C2461" t="str">
        <f>"$ 19578,26"</f>
        <v>$ 19578,26</v>
      </c>
      <c r="D2461" t="str">
        <f>"$ 19578,26"</f>
        <v>$ 19578,26</v>
      </c>
      <c r="E2461" t="str">
        <f>"$ 19578,26"</f>
        <v>$ 19578,26</v>
      </c>
      <c r="F2461" t="str">
        <f>"$ 19578,26"</f>
        <v>$ 19578,26</v>
      </c>
      <c r="G2461" t="str">
        <f>"$ 19578,26"</f>
        <v>$ 19578,26</v>
      </c>
      <c r="H2461" t="str">
        <f t="shared" si="1577"/>
        <v>$ 0,00</v>
      </c>
      <c r="I2461" t="str">
        <f t="shared" si="1598"/>
        <v xml:space="preserve">CREE LED </v>
      </c>
      <c r="J2461" t="str">
        <f t="shared" si="1578"/>
        <v>1</v>
      </c>
      <c r="K2461" t="str">
        <f t="shared" si="1602"/>
        <v>0</v>
      </c>
      <c r="L2461" t="str">
        <f>"124,000"</f>
        <v>124,000</v>
      </c>
      <c r="M2461" t="str">
        <f t="shared" si="1579"/>
        <v xml:space="preserve"> </v>
      </c>
      <c r="N2461" t="str">
        <f t="shared" si="1599"/>
        <v>LUX LED</v>
      </c>
      <c r="O2461" t="str">
        <f t="shared" si="1600"/>
        <v>LAMPARAS</v>
      </c>
      <c r="P2461" t="str">
        <f t="shared" si="1596"/>
        <v>0</v>
      </c>
      <c r="Q2461" t="str">
        <f t="shared" si="1596"/>
        <v>0</v>
      </c>
      <c r="R2461" t="str">
        <f t="shared" si="1597"/>
        <v>0,00</v>
      </c>
      <c r="S2461" t="str">
        <f t="shared" si="1597"/>
        <v>0,00</v>
      </c>
      <c r="T2461" t="str">
        <f t="shared" si="1574"/>
        <v xml:space="preserve"> </v>
      </c>
      <c r="U2461" t="str">
        <f t="shared" si="1576"/>
        <v xml:space="preserve"> </v>
      </c>
      <c r="V2461" t="str">
        <f>"124,000"</f>
        <v>124,000</v>
      </c>
      <c r="W2461" t="str">
        <f t="shared" si="1580"/>
        <v>Lista 4</v>
      </c>
      <c r="X2461" t="str">
        <f t="shared" si="1581"/>
        <v>Lista 5</v>
      </c>
      <c r="Y2461" t="str">
        <f t="shared" si="1582"/>
        <v>Oferta Gral.</v>
      </c>
      <c r="Z2461" t="str">
        <f t="shared" si="1583"/>
        <v>Rubro</v>
      </c>
      <c r="AA2461" t="str">
        <f t="shared" si="1584"/>
        <v>Cantidad por Bulto</v>
      </c>
      <c r="AB2461" t="str">
        <f t="shared" si="1585"/>
        <v>INNER</v>
      </c>
      <c r="AC2461" t="str">
        <f t="shared" si="1586"/>
        <v>Stock en Bultos</v>
      </c>
      <c r="AD2461" t="str">
        <f t="shared" si="1587"/>
        <v>SubDepósito</v>
      </c>
      <c r="AE2461" t="str">
        <f t="shared" si="1588"/>
        <v>Marca</v>
      </c>
      <c r="AF2461" t="str">
        <f t="shared" si="1589"/>
        <v>Super Rubro</v>
      </c>
      <c r="AG2461" t="str">
        <f t="shared" si="1590"/>
        <v>ComercioExterior</v>
      </c>
      <c r="AH2461" t="str">
        <f t="shared" si="1591"/>
        <v>PrecioFOB</v>
      </c>
      <c r="AI2461" t="str">
        <f t="shared" si="1592"/>
        <v>Monto II</v>
      </c>
      <c r="AJ2461" t="str">
        <f t="shared" si="1593"/>
        <v>Porcentaje II</v>
      </c>
      <c r="AK2461" t="str">
        <f t="shared" si="1594"/>
        <v>Foto</v>
      </c>
      <c r="AL2461" t="str">
        <f>"{\rtf1\ansi\ansicpg1252\deff0\deflang11274{\fonttbl{\f0\fnil\fcharset0 MS Sans Serif}} \viewkind4\uc1\pard\f0\fs16 KIT H7 CREELED 12V 6TA GENERACION\par } "</f>
        <v xml:space="preserve">{\rtf1\ansi\ansicpg1252\deff0\deflang11274{\fonttbl{\f0\fnil\fcharset0 MS Sans Serif}} \viewkind4\uc1\pard\f0\fs16 KIT H7 CREELED 12V 6TA GENERACION\par } </v>
      </c>
      <c r="AM2461" t="str">
        <f t="shared" si="1601"/>
        <v xml:space="preserve"> </v>
      </c>
    </row>
    <row r="2462" spans="1:39" x14ac:dyDescent="0.25">
      <c r="A2462" t="str">
        <f>"H7COB3600"</f>
        <v>H7COB3600</v>
      </c>
      <c r="B2462" t="str">
        <f>"KIT H7 CREELED 12V 6TA GENERACION 3600LUM"</f>
        <v>KIT H7 CREELED 12V 6TA GENERACION 3600LUM</v>
      </c>
      <c r="C2462" t="str">
        <f>"$ 7305,67"</f>
        <v>$ 7305,67</v>
      </c>
      <c r="D2462" t="str">
        <f>"$ 7305,67"</f>
        <v>$ 7305,67</v>
      </c>
      <c r="E2462" t="str">
        <f>"$ 7305,67"</f>
        <v>$ 7305,67</v>
      </c>
      <c r="F2462" t="str">
        <f>"$ 7305,67"</f>
        <v>$ 7305,67</v>
      </c>
      <c r="G2462" t="str">
        <f>"$ 7305,67"</f>
        <v>$ 7305,67</v>
      </c>
      <c r="H2462" t="str">
        <f t="shared" si="1577"/>
        <v>$ 0,00</v>
      </c>
      <c r="I2462" t="str">
        <f t="shared" si="1598"/>
        <v xml:space="preserve">CREE LED </v>
      </c>
      <c r="J2462" t="str">
        <f t="shared" si="1578"/>
        <v>1</v>
      </c>
      <c r="K2462" t="str">
        <f t="shared" si="1602"/>
        <v>0</v>
      </c>
      <c r="L2462" t="str">
        <f>"2,000"</f>
        <v>2,000</v>
      </c>
      <c r="M2462" t="str">
        <f t="shared" si="1579"/>
        <v xml:space="preserve"> </v>
      </c>
      <c r="N2462" t="str">
        <f t="shared" si="1599"/>
        <v>LUX LED</v>
      </c>
      <c r="O2462" t="str">
        <f t="shared" si="1600"/>
        <v>LAMPARAS</v>
      </c>
      <c r="P2462" t="str">
        <f t="shared" si="1596"/>
        <v>0</v>
      </c>
      <c r="Q2462" t="str">
        <f t="shared" si="1596"/>
        <v>0</v>
      </c>
      <c r="R2462" t="str">
        <f t="shared" si="1597"/>
        <v>0,00</v>
      </c>
      <c r="S2462" t="str">
        <f t="shared" si="1597"/>
        <v>0,00</v>
      </c>
      <c r="T2462" t="str">
        <f t="shared" si="1574"/>
        <v xml:space="preserve"> </v>
      </c>
      <c r="U2462" t="str">
        <f t="shared" si="1576"/>
        <v xml:space="preserve"> </v>
      </c>
      <c r="V2462" t="str">
        <f>"2,000"</f>
        <v>2,000</v>
      </c>
      <c r="W2462" t="str">
        <f t="shared" si="1580"/>
        <v>Lista 4</v>
      </c>
      <c r="X2462" t="str">
        <f t="shared" si="1581"/>
        <v>Lista 5</v>
      </c>
      <c r="Y2462" t="str">
        <f t="shared" si="1582"/>
        <v>Oferta Gral.</v>
      </c>
      <c r="Z2462" t="str">
        <f t="shared" si="1583"/>
        <v>Rubro</v>
      </c>
      <c r="AA2462" t="str">
        <f t="shared" si="1584"/>
        <v>Cantidad por Bulto</v>
      </c>
      <c r="AB2462" t="str">
        <f t="shared" si="1585"/>
        <v>INNER</v>
      </c>
      <c r="AC2462" t="str">
        <f t="shared" si="1586"/>
        <v>Stock en Bultos</v>
      </c>
      <c r="AD2462" t="str">
        <f t="shared" si="1587"/>
        <v>SubDepósito</v>
      </c>
      <c r="AE2462" t="str">
        <f t="shared" si="1588"/>
        <v>Marca</v>
      </c>
      <c r="AF2462" t="str">
        <f t="shared" si="1589"/>
        <v>Super Rubro</v>
      </c>
      <c r="AG2462" t="str">
        <f t="shared" si="1590"/>
        <v>ComercioExterior</v>
      </c>
      <c r="AH2462" t="str">
        <f t="shared" si="1591"/>
        <v>PrecioFOB</v>
      </c>
      <c r="AI2462" t="str">
        <f t="shared" si="1592"/>
        <v>Monto II</v>
      </c>
      <c r="AJ2462" t="str">
        <f t="shared" si="1593"/>
        <v>Porcentaje II</v>
      </c>
      <c r="AK2462" t="str">
        <f t="shared" si="1594"/>
        <v>Foto</v>
      </c>
      <c r="AL2462" t="str">
        <f>"{\rtf1\ansi\ansicpg1252\deff0\deflang11274{\fonttbl{\f0\fnil\fcharset0 MS Sans Serif}} \viewkind4\uc1\pard\f0\fs16 KIT H7 CREELED 12V 6TA GENERACION 3600LUM\par } "</f>
        <v xml:space="preserve">{\rtf1\ansi\ansicpg1252\deff0\deflang11274{\fonttbl{\f0\fnil\fcharset0 MS Sans Serif}} \viewkind4\uc1\pard\f0\fs16 KIT H7 CREELED 12V 6TA GENERACION 3600LUM\par } </v>
      </c>
      <c r="AM2462" t="str">
        <f t="shared" si="1601"/>
        <v xml:space="preserve"> </v>
      </c>
    </row>
    <row r="2463" spans="1:39" x14ac:dyDescent="0.25">
      <c r="A2463" t="str">
        <f>"12258SK"</f>
        <v>12258SK</v>
      </c>
      <c r="B2463" t="str">
        <f>"KIT LAMPARAS H1 SKYLINE CON 2 LED CANBUS AZUL FRIO"</f>
        <v>KIT LAMPARAS H1 SKYLINE CON 2 LED CANBUS AZUL FRIO</v>
      </c>
      <c r="C2463" t="str">
        <f>"$ 18919,87"</f>
        <v>$ 18919,87</v>
      </c>
      <c r="D2463" t="str">
        <f>"$ 18919,87"</f>
        <v>$ 18919,87</v>
      </c>
      <c r="E2463" t="str">
        <f>"$ 18919,87"</f>
        <v>$ 18919,87</v>
      </c>
      <c r="F2463" t="str">
        <f>"$ 18919,87"</f>
        <v>$ 18919,87</v>
      </c>
      <c r="G2463" t="str">
        <f>"$ 18919,87"</f>
        <v>$ 18919,87</v>
      </c>
      <c r="H2463" t="str">
        <f t="shared" si="1577"/>
        <v>$ 0,00</v>
      </c>
      <c r="I2463" t="str">
        <f t="shared" ref="I2463:I2468" si="1603">"LAMPARAS SKYLINE"</f>
        <v>LAMPARAS SKYLINE</v>
      </c>
      <c r="J2463" t="str">
        <f t="shared" si="1578"/>
        <v>1</v>
      </c>
      <c r="K2463" t="str">
        <f t="shared" si="1602"/>
        <v>0</v>
      </c>
      <c r="L2463" t="str">
        <f>"3,000"</f>
        <v>3,000</v>
      </c>
      <c r="M2463" t="str">
        <f t="shared" si="1579"/>
        <v xml:space="preserve"> </v>
      </c>
      <c r="N2463" t="str">
        <f t="shared" ref="N2463:N2468" si="1604">"KOBO"</f>
        <v>KOBO</v>
      </c>
      <c r="O2463" t="str">
        <f t="shared" si="1600"/>
        <v>LAMPARAS</v>
      </c>
      <c r="P2463" t="str">
        <f t="shared" ref="P2463:Q2482" si="1605">"0"</f>
        <v>0</v>
      </c>
      <c r="Q2463" t="str">
        <f t="shared" si="1605"/>
        <v>0</v>
      </c>
      <c r="R2463" t="str">
        <f t="shared" ref="R2463:S2482" si="1606">"0,00"</f>
        <v>0,00</v>
      </c>
      <c r="S2463" t="str">
        <f t="shared" si="1606"/>
        <v>0,00</v>
      </c>
      <c r="T2463" t="str">
        <f t="shared" si="1574"/>
        <v xml:space="preserve"> </v>
      </c>
      <c r="U2463" t="str">
        <f t="shared" si="1576"/>
        <v xml:space="preserve"> </v>
      </c>
      <c r="V2463" t="str">
        <f>"3,000"</f>
        <v>3,000</v>
      </c>
      <c r="W2463" t="str">
        <f t="shared" si="1580"/>
        <v>Lista 4</v>
      </c>
      <c r="X2463" t="str">
        <f t="shared" si="1581"/>
        <v>Lista 5</v>
      </c>
      <c r="Y2463" t="str">
        <f t="shared" si="1582"/>
        <v>Oferta Gral.</v>
      </c>
      <c r="Z2463" t="str">
        <f t="shared" si="1583"/>
        <v>Rubro</v>
      </c>
      <c r="AA2463" t="str">
        <f t="shared" si="1584"/>
        <v>Cantidad por Bulto</v>
      </c>
      <c r="AB2463" t="str">
        <f t="shared" si="1585"/>
        <v>INNER</v>
      </c>
      <c r="AC2463" t="str">
        <f t="shared" si="1586"/>
        <v>Stock en Bultos</v>
      </c>
      <c r="AD2463" t="str">
        <f t="shared" si="1587"/>
        <v>SubDepósito</v>
      </c>
      <c r="AE2463" t="str">
        <f t="shared" si="1588"/>
        <v>Marca</v>
      </c>
      <c r="AF2463" t="str">
        <f t="shared" si="1589"/>
        <v>Super Rubro</v>
      </c>
      <c r="AG2463" t="str">
        <f t="shared" si="1590"/>
        <v>ComercioExterior</v>
      </c>
      <c r="AH2463" t="str">
        <f t="shared" si="1591"/>
        <v>PrecioFOB</v>
      </c>
      <c r="AI2463" t="str">
        <f t="shared" si="1592"/>
        <v>Monto II</v>
      </c>
      <c r="AJ2463" t="str">
        <f t="shared" si="1593"/>
        <v>Porcentaje II</v>
      </c>
      <c r="AK2463" t="str">
        <f t="shared" si="1594"/>
        <v>Foto</v>
      </c>
      <c r="AL2463" t="str">
        <f>"{\rtf1\ansi\ansicpg1252\deff0\deflang11274{\fonttbl{\f0\fnil\fcharset0 MS Sans Serif}} \viewkind4\uc1\pard\f0\fs16 KIT LAMPARAS H1 SKYLINE CON 2 LED CANBUS AZUL FRIO\par } "</f>
        <v xml:space="preserve">{\rtf1\ansi\ansicpg1252\deff0\deflang11274{\fonttbl{\f0\fnil\fcharset0 MS Sans Serif}} \viewkind4\uc1\pard\f0\fs16 KIT LAMPARAS H1 SKYLINE CON 2 LED CANBUS AZUL FRIO\par } </v>
      </c>
      <c r="AM2463" t="str">
        <f>"-"</f>
        <v>-</v>
      </c>
    </row>
    <row r="2464" spans="1:39" x14ac:dyDescent="0.25">
      <c r="A2464" t="str">
        <f>"12362SK"</f>
        <v>12362SK</v>
      </c>
      <c r="B2464" t="str">
        <f>"KIT LAMPARAS H11 SKYLINE 12V 55W MAS 2 LEDS CANBUS LUZ FRIA"</f>
        <v>KIT LAMPARAS H11 SKYLINE 12V 55W MAS 2 LEDS CANBUS LUZ FRIA</v>
      </c>
      <c r="C2464" t="str">
        <f>"$ 25486,93"</f>
        <v>$ 25486,93</v>
      </c>
      <c r="D2464" t="str">
        <f>"$ 25486,93"</f>
        <v>$ 25486,93</v>
      </c>
      <c r="E2464" t="str">
        <f>"$ 25486,93"</f>
        <v>$ 25486,93</v>
      </c>
      <c r="F2464" t="str">
        <f>"$ 25486,93"</f>
        <v>$ 25486,93</v>
      </c>
      <c r="G2464" t="str">
        <f>"$ 25486,93"</f>
        <v>$ 25486,93</v>
      </c>
      <c r="H2464" t="str">
        <f t="shared" si="1577"/>
        <v>$ 0,00</v>
      </c>
      <c r="I2464" t="str">
        <f t="shared" si="1603"/>
        <v>LAMPARAS SKYLINE</v>
      </c>
      <c r="J2464" t="str">
        <f t="shared" si="1578"/>
        <v>1</v>
      </c>
      <c r="K2464" t="str">
        <f t="shared" si="1602"/>
        <v>0</v>
      </c>
      <c r="L2464" t="str">
        <f>"2,000"</f>
        <v>2,000</v>
      </c>
      <c r="M2464" t="str">
        <f t="shared" si="1579"/>
        <v xml:space="preserve"> </v>
      </c>
      <c r="N2464" t="str">
        <f t="shared" si="1604"/>
        <v>KOBO</v>
      </c>
      <c r="O2464" t="str">
        <f t="shared" si="1600"/>
        <v>LAMPARAS</v>
      </c>
      <c r="P2464" t="str">
        <f t="shared" si="1605"/>
        <v>0</v>
      </c>
      <c r="Q2464" t="str">
        <f t="shared" si="1605"/>
        <v>0</v>
      </c>
      <c r="R2464" t="str">
        <f t="shared" si="1606"/>
        <v>0,00</v>
      </c>
      <c r="S2464" t="str">
        <f t="shared" si="1606"/>
        <v>0,00</v>
      </c>
      <c r="T2464" t="str">
        <f t="shared" si="1574"/>
        <v xml:space="preserve"> </v>
      </c>
      <c r="U2464" t="str">
        <f t="shared" si="1576"/>
        <v xml:space="preserve"> </v>
      </c>
      <c r="V2464" t="str">
        <f>"2,000"</f>
        <v>2,000</v>
      </c>
      <c r="W2464" t="str">
        <f t="shared" si="1580"/>
        <v>Lista 4</v>
      </c>
      <c r="X2464" t="str">
        <f t="shared" si="1581"/>
        <v>Lista 5</v>
      </c>
      <c r="Y2464" t="str">
        <f t="shared" si="1582"/>
        <v>Oferta Gral.</v>
      </c>
      <c r="Z2464" t="str">
        <f t="shared" si="1583"/>
        <v>Rubro</v>
      </c>
      <c r="AA2464" t="str">
        <f t="shared" si="1584"/>
        <v>Cantidad por Bulto</v>
      </c>
      <c r="AB2464" t="str">
        <f t="shared" si="1585"/>
        <v>INNER</v>
      </c>
      <c r="AC2464" t="str">
        <f t="shared" si="1586"/>
        <v>Stock en Bultos</v>
      </c>
      <c r="AD2464" t="str">
        <f t="shared" si="1587"/>
        <v>SubDepósito</v>
      </c>
      <c r="AE2464" t="str">
        <f t="shared" si="1588"/>
        <v>Marca</v>
      </c>
      <c r="AF2464" t="str">
        <f t="shared" si="1589"/>
        <v>Super Rubro</v>
      </c>
      <c r="AG2464" t="str">
        <f t="shared" si="1590"/>
        <v>ComercioExterior</v>
      </c>
      <c r="AH2464" t="str">
        <f t="shared" si="1591"/>
        <v>PrecioFOB</v>
      </c>
      <c r="AI2464" t="str">
        <f t="shared" si="1592"/>
        <v>Monto II</v>
      </c>
      <c r="AJ2464" t="str">
        <f t="shared" si="1593"/>
        <v>Porcentaje II</v>
      </c>
      <c r="AK2464" t="str">
        <f t="shared" si="1594"/>
        <v>Foto</v>
      </c>
      <c r="AL246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64" t="str">
        <f>"-"</f>
        <v>-</v>
      </c>
    </row>
    <row r="2465" spans="1:39" x14ac:dyDescent="0.25">
      <c r="A2465" t="str">
        <f>"H16SK"</f>
        <v>H16SK</v>
      </c>
      <c r="B2465" t="str">
        <f>"KIT LAMPARAS H16L SKYLINE CON 2 LED CANBUS AZUL FRIO"</f>
        <v>KIT LAMPARAS H16L SKYLINE CON 2 LED CANBUS AZUL FRIO</v>
      </c>
      <c r="C2465" t="str">
        <f>"$ 28316,46"</f>
        <v>$ 28316,46</v>
      </c>
      <c r="D2465" t="str">
        <f>"$ 28316,46"</f>
        <v>$ 28316,46</v>
      </c>
      <c r="E2465" t="str">
        <f>"$ 28316,46"</f>
        <v>$ 28316,46</v>
      </c>
      <c r="F2465" t="str">
        <f>"$ 28316,46"</f>
        <v>$ 28316,46</v>
      </c>
      <c r="G2465" t="str">
        <f>"$ 28316,46"</f>
        <v>$ 28316,46</v>
      </c>
      <c r="H2465" t="str">
        <f t="shared" si="1577"/>
        <v>$ 0,00</v>
      </c>
      <c r="I2465" t="str">
        <f t="shared" si="1603"/>
        <v>LAMPARAS SKYLINE</v>
      </c>
      <c r="J2465" t="str">
        <f t="shared" si="1578"/>
        <v>1</v>
      </c>
      <c r="K2465" t="str">
        <f t="shared" si="1602"/>
        <v>0</v>
      </c>
      <c r="L2465" t="str">
        <f>"6,000"</f>
        <v>6,000</v>
      </c>
      <c r="M2465" t="str">
        <f t="shared" si="1579"/>
        <v xml:space="preserve"> </v>
      </c>
      <c r="N2465" t="str">
        <f t="shared" si="1604"/>
        <v>KOBO</v>
      </c>
      <c r="O2465" t="str">
        <f t="shared" si="1600"/>
        <v>LAMPARAS</v>
      </c>
      <c r="P2465" t="str">
        <f t="shared" si="1605"/>
        <v>0</v>
      </c>
      <c r="Q2465" t="str">
        <f t="shared" si="1605"/>
        <v>0</v>
      </c>
      <c r="R2465" t="str">
        <f t="shared" si="1606"/>
        <v>0,00</v>
      </c>
      <c r="S2465" t="str">
        <f t="shared" si="1606"/>
        <v>0,00</v>
      </c>
      <c r="T2465" t="str">
        <f t="shared" si="1574"/>
        <v xml:space="preserve"> </v>
      </c>
      <c r="U2465" t="str">
        <f t="shared" si="1576"/>
        <v xml:space="preserve"> </v>
      </c>
      <c r="V2465" t="str">
        <f>"6,000"</f>
        <v>6,000</v>
      </c>
      <c r="W2465" t="str">
        <f t="shared" si="1580"/>
        <v>Lista 4</v>
      </c>
      <c r="X2465" t="str">
        <f t="shared" si="1581"/>
        <v>Lista 5</v>
      </c>
      <c r="Y2465" t="str">
        <f t="shared" si="1582"/>
        <v>Oferta Gral.</v>
      </c>
      <c r="Z2465" t="str">
        <f t="shared" si="1583"/>
        <v>Rubro</v>
      </c>
      <c r="AA2465" t="str">
        <f t="shared" si="1584"/>
        <v>Cantidad por Bulto</v>
      </c>
      <c r="AB2465" t="str">
        <f t="shared" si="1585"/>
        <v>INNER</v>
      </c>
      <c r="AC2465" t="str">
        <f t="shared" si="1586"/>
        <v>Stock en Bultos</v>
      </c>
      <c r="AD2465" t="str">
        <f t="shared" si="1587"/>
        <v>SubDepósito</v>
      </c>
      <c r="AE2465" t="str">
        <f t="shared" si="1588"/>
        <v>Marca</v>
      </c>
      <c r="AF2465" t="str">
        <f t="shared" si="1589"/>
        <v>Super Rubro</v>
      </c>
      <c r="AG2465" t="str">
        <f t="shared" si="1590"/>
        <v>ComercioExterior</v>
      </c>
      <c r="AH2465" t="str">
        <f t="shared" si="1591"/>
        <v>PrecioFOB</v>
      </c>
      <c r="AI2465" t="str">
        <f t="shared" si="1592"/>
        <v>Monto II</v>
      </c>
      <c r="AJ2465" t="str">
        <f t="shared" si="1593"/>
        <v>Porcentaje II</v>
      </c>
      <c r="AK2465" t="str">
        <f t="shared" si="1594"/>
        <v>Foto</v>
      </c>
      <c r="AL2465" t="str">
        <f>"{\rtf1\ansi\ansicpg1252\deff0\deflang11274{\fonttbl{\f0\fnil\fcharset0 MS Sans Serif}} \viewkind4\uc1\pard\f0\fs16 KIT LAMPARAS H16L SKYLINE CON 2 LED CANBUS AZUL FRIO\par } "</f>
        <v xml:space="preserve">{\rtf1\ansi\ansicpg1252\deff0\deflang11274{\fonttbl{\f0\fnil\fcharset0 MS Sans Serif}} \viewkind4\uc1\pard\f0\fs16 KIT LAMPARAS H16L SKYLINE CON 2 LED CANBUS AZUL FRIO\par } </v>
      </c>
      <c r="AM2465" t="str">
        <f>" "</f>
        <v xml:space="preserve"> </v>
      </c>
    </row>
    <row r="2466" spans="1:39" x14ac:dyDescent="0.25">
      <c r="A2466" t="str">
        <f>"12336SK"</f>
        <v>12336SK</v>
      </c>
      <c r="B2466" t="str">
        <f>"KIT LAMPARAS H3 SKYLINE CON 2 LED CANBUS AZUL FRIO"</f>
        <v>KIT LAMPARAS H3 SKYLINE CON 2 LED CANBUS AZUL FRIO</v>
      </c>
      <c r="C2466" t="str">
        <f>"$ 18919,87"</f>
        <v>$ 18919,87</v>
      </c>
      <c r="D2466" t="str">
        <f>"$ 18919,87"</f>
        <v>$ 18919,87</v>
      </c>
      <c r="E2466" t="str">
        <f>"$ 18919,87"</f>
        <v>$ 18919,87</v>
      </c>
      <c r="F2466" t="str">
        <f>"$ 18919,87"</f>
        <v>$ 18919,87</v>
      </c>
      <c r="G2466" t="str">
        <f>"$ 18919,87"</f>
        <v>$ 18919,87</v>
      </c>
      <c r="H2466" t="str">
        <f t="shared" si="1577"/>
        <v>$ 0,00</v>
      </c>
      <c r="I2466" t="str">
        <f t="shared" si="1603"/>
        <v>LAMPARAS SKYLINE</v>
      </c>
      <c r="J2466" t="str">
        <f t="shared" si="1578"/>
        <v>1</v>
      </c>
      <c r="K2466" t="str">
        <f t="shared" si="1602"/>
        <v>0</v>
      </c>
      <c r="L2466" t="str">
        <f>"6,000"</f>
        <v>6,000</v>
      </c>
      <c r="M2466" t="str">
        <f t="shared" si="1579"/>
        <v xml:space="preserve"> </v>
      </c>
      <c r="N2466" t="str">
        <f t="shared" si="1604"/>
        <v>KOBO</v>
      </c>
      <c r="O2466" t="str">
        <f t="shared" si="1600"/>
        <v>LAMPARAS</v>
      </c>
      <c r="P2466" t="str">
        <f t="shared" si="1605"/>
        <v>0</v>
      </c>
      <c r="Q2466" t="str">
        <f t="shared" si="1605"/>
        <v>0</v>
      </c>
      <c r="R2466" t="str">
        <f t="shared" si="1606"/>
        <v>0,00</v>
      </c>
      <c r="S2466" t="str">
        <f t="shared" si="1606"/>
        <v>0,00</v>
      </c>
      <c r="T2466" t="str">
        <f t="shared" si="1574"/>
        <v xml:space="preserve"> </v>
      </c>
      <c r="U2466" t="str">
        <f t="shared" si="1576"/>
        <v xml:space="preserve"> </v>
      </c>
      <c r="V2466" t="str">
        <f>"6,000"</f>
        <v>6,000</v>
      </c>
      <c r="W2466" t="str">
        <f t="shared" si="1580"/>
        <v>Lista 4</v>
      </c>
      <c r="X2466" t="str">
        <f t="shared" si="1581"/>
        <v>Lista 5</v>
      </c>
      <c r="Y2466" t="str">
        <f t="shared" si="1582"/>
        <v>Oferta Gral.</v>
      </c>
      <c r="Z2466" t="str">
        <f t="shared" si="1583"/>
        <v>Rubro</v>
      </c>
      <c r="AA2466" t="str">
        <f t="shared" si="1584"/>
        <v>Cantidad por Bulto</v>
      </c>
      <c r="AB2466" t="str">
        <f t="shared" si="1585"/>
        <v>INNER</v>
      </c>
      <c r="AC2466" t="str">
        <f t="shared" si="1586"/>
        <v>Stock en Bultos</v>
      </c>
      <c r="AD2466" t="str">
        <f t="shared" si="1587"/>
        <v>SubDepósito</v>
      </c>
      <c r="AE2466" t="str">
        <f t="shared" si="1588"/>
        <v>Marca</v>
      </c>
      <c r="AF2466" t="str">
        <f t="shared" si="1589"/>
        <v>Super Rubro</v>
      </c>
      <c r="AG2466" t="str">
        <f t="shared" si="1590"/>
        <v>ComercioExterior</v>
      </c>
      <c r="AH2466" t="str">
        <f t="shared" si="1591"/>
        <v>PrecioFOB</v>
      </c>
      <c r="AI2466" t="str">
        <f t="shared" si="1592"/>
        <v>Monto II</v>
      </c>
      <c r="AJ2466" t="str">
        <f t="shared" si="1593"/>
        <v>Porcentaje II</v>
      </c>
      <c r="AK2466" t="str">
        <f t="shared" si="1594"/>
        <v>Foto</v>
      </c>
      <c r="AL246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66" t="str">
        <f>"-"</f>
        <v>-</v>
      </c>
    </row>
    <row r="2467" spans="1:39" x14ac:dyDescent="0.25">
      <c r="A2467" t="str">
        <f>"12342SK"</f>
        <v>12342SK</v>
      </c>
      <c r="B2467" t="str">
        <f>"KIT LAMPARAS H4 SKYLINE CON 2 LED  CANBUS AZUL FRIO"</f>
        <v>KIT LAMPARAS H4 SKYLINE CON 2 LED  CANBUS AZUL FRIO</v>
      </c>
      <c r="C2467" t="str">
        <f t="shared" ref="C2467:G2468" si="1607">"$ 20767,51"</f>
        <v>$ 20767,51</v>
      </c>
      <c r="D2467" t="str">
        <f t="shared" si="1607"/>
        <v>$ 20767,51</v>
      </c>
      <c r="E2467" t="str">
        <f t="shared" si="1607"/>
        <v>$ 20767,51</v>
      </c>
      <c r="F2467" t="str">
        <f t="shared" si="1607"/>
        <v>$ 20767,51</v>
      </c>
      <c r="G2467" t="str">
        <f t="shared" si="1607"/>
        <v>$ 20767,51</v>
      </c>
      <c r="H2467" t="str">
        <f t="shared" si="1577"/>
        <v>$ 0,00</v>
      </c>
      <c r="I2467" t="str">
        <f t="shared" si="1603"/>
        <v>LAMPARAS SKYLINE</v>
      </c>
      <c r="J2467" t="str">
        <f t="shared" si="1578"/>
        <v>1</v>
      </c>
      <c r="K2467" t="str">
        <f t="shared" si="1602"/>
        <v>0</v>
      </c>
      <c r="L2467" t="str">
        <f>"10,000"</f>
        <v>10,000</v>
      </c>
      <c r="M2467" t="str">
        <f t="shared" si="1579"/>
        <v xml:space="preserve"> </v>
      </c>
      <c r="N2467" t="str">
        <f t="shared" si="1604"/>
        <v>KOBO</v>
      </c>
      <c r="O2467" t="str">
        <f t="shared" si="1600"/>
        <v>LAMPARAS</v>
      </c>
      <c r="P2467" t="str">
        <f t="shared" si="1605"/>
        <v>0</v>
      </c>
      <c r="Q2467" t="str">
        <f t="shared" si="1605"/>
        <v>0</v>
      </c>
      <c r="R2467" t="str">
        <f t="shared" si="1606"/>
        <v>0,00</v>
      </c>
      <c r="S2467" t="str">
        <f t="shared" si="1606"/>
        <v>0,00</v>
      </c>
      <c r="T2467" t="str">
        <f t="shared" si="1574"/>
        <v xml:space="preserve"> </v>
      </c>
      <c r="U2467" t="str">
        <f t="shared" si="1576"/>
        <v xml:space="preserve"> </v>
      </c>
      <c r="V2467" t="str">
        <f>"10,000"</f>
        <v>10,000</v>
      </c>
      <c r="W2467" t="str">
        <f t="shared" si="1580"/>
        <v>Lista 4</v>
      </c>
      <c r="X2467" t="str">
        <f t="shared" si="1581"/>
        <v>Lista 5</v>
      </c>
      <c r="Y2467" t="str">
        <f t="shared" si="1582"/>
        <v>Oferta Gral.</v>
      </c>
      <c r="Z2467" t="str">
        <f t="shared" si="1583"/>
        <v>Rubro</v>
      </c>
      <c r="AA2467" t="str">
        <f t="shared" si="1584"/>
        <v>Cantidad por Bulto</v>
      </c>
      <c r="AB2467" t="str">
        <f t="shared" si="1585"/>
        <v>INNER</v>
      </c>
      <c r="AC2467" t="str">
        <f t="shared" si="1586"/>
        <v>Stock en Bultos</v>
      </c>
      <c r="AD2467" t="str">
        <f t="shared" si="1587"/>
        <v>SubDepósito</v>
      </c>
      <c r="AE2467" t="str">
        <f t="shared" si="1588"/>
        <v>Marca</v>
      </c>
      <c r="AF2467" t="str">
        <f t="shared" si="1589"/>
        <v>Super Rubro</v>
      </c>
      <c r="AG2467" t="str">
        <f t="shared" si="1590"/>
        <v>ComercioExterior</v>
      </c>
      <c r="AH2467" t="str">
        <f t="shared" si="1591"/>
        <v>PrecioFOB</v>
      </c>
      <c r="AI2467" t="str">
        <f t="shared" si="1592"/>
        <v>Monto II</v>
      </c>
      <c r="AJ2467" t="str">
        <f t="shared" si="1593"/>
        <v>Porcentaje II</v>
      </c>
      <c r="AK2467" t="str">
        <f t="shared" si="1594"/>
        <v>Foto</v>
      </c>
      <c r="AL2467" t="str">
        <f>"{\rtf1\ansi\ansicpg1252\deff0\deflang11274{\fonttbl{\f0\fnil\fcharset0 MS Sans Serif}} \viewkind4\uc1\pard\f0\fs16 KIT LAMPARAS H4 SKYLINE CON 2 LED  CANBUS AZUL FRIO\par } "</f>
        <v xml:space="preserve">{\rtf1\ansi\ansicpg1252\deff0\deflang11274{\fonttbl{\f0\fnil\fcharset0 MS Sans Serif}} \viewkind4\uc1\pard\f0\fs16 KIT LAMPARAS H4 SKYLINE CON 2 LED  CANBUS AZUL FRIO\par } </v>
      </c>
      <c r="AM2467" t="str">
        <f t="shared" ref="AM2467:AM2480" si="1608">" "</f>
        <v xml:space="preserve"> </v>
      </c>
    </row>
    <row r="2468" spans="1:39" x14ac:dyDescent="0.25">
      <c r="A2468" t="str">
        <f>"12972SK"</f>
        <v>12972SK</v>
      </c>
      <c r="B2468" t="str">
        <f>"KIT LAMPARAS H7 SKYLINE CON 2 LED CANBUS AZUL FRIO"</f>
        <v>KIT LAMPARAS H7 SKYLINE CON 2 LED CANBUS AZUL FRIO</v>
      </c>
      <c r="C2468" t="str">
        <f t="shared" si="1607"/>
        <v>$ 20767,51</v>
      </c>
      <c r="D2468" t="str">
        <f t="shared" si="1607"/>
        <v>$ 20767,51</v>
      </c>
      <c r="E2468" t="str">
        <f t="shared" si="1607"/>
        <v>$ 20767,51</v>
      </c>
      <c r="F2468" t="str">
        <f t="shared" si="1607"/>
        <v>$ 20767,51</v>
      </c>
      <c r="G2468" t="str">
        <f t="shared" si="1607"/>
        <v>$ 20767,51</v>
      </c>
      <c r="H2468" t="str">
        <f t="shared" si="1577"/>
        <v>$ 0,00</v>
      </c>
      <c r="I2468" t="str">
        <f t="shared" si="1603"/>
        <v>LAMPARAS SKYLINE</v>
      </c>
      <c r="J2468" t="str">
        <f t="shared" si="1578"/>
        <v>1</v>
      </c>
      <c r="K2468" t="str">
        <f t="shared" si="1602"/>
        <v>0</v>
      </c>
      <c r="L2468" t="str">
        <f>"20,000"</f>
        <v>20,000</v>
      </c>
      <c r="M2468" t="str">
        <f t="shared" si="1579"/>
        <v xml:space="preserve"> </v>
      </c>
      <c r="N2468" t="str">
        <f t="shared" si="1604"/>
        <v>KOBO</v>
      </c>
      <c r="O2468" t="str">
        <f t="shared" si="1600"/>
        <v>LAMPARAS</v>
      </c>
      <c r="P2468" t="str">
        <f t="shared" si="1605"/>
        <v>0</v>
      </c>
      <c r="Q2468" t="str">
        <f t="shared" si="1605"/>
        <v>0</v>
      </c>
      <c r="R2468" t="str">
        <f t="shared" si="1606"/>
        <v>0,00</v>
      </c>
      <c r="S2468" t="str">
        <f t="shared" si="1606"/>
        <v>0,00</v>
      </c>
      <c r="T2468" t="str">
        <f t="shared" si="1574"/>
        <v xml:space="preserve"> </v>
      </c>
      <c r="U2468" t="str">
        <f t="shared" si="1576"/>
        <v xml:space="preserve"> </v>
      </c>
      <c r="V2468" t="str">
        <f>"20,000"</f>
        <v>20,000</v>
      </c>
      <c r="W2468" t="str">
        <f t="shared" si="1580"/>
        <v>Lista 4</v>
      </c>
      <c r="X2468" t="str">
        <f t="shared" si="1581"/>
        <v>Lista 5</v>
      </c>
      <c r="Y2468" t="str">
        <f t="shared" si="1582"/>
        <v>Oferta Gral.</v>
      </c>
      <c r="Z2468" t="str">
        <f t="shared" si="1583"/>
        <v>Rubro</v>
      </c>
      <c r="AA2468" t="str">
        <f t="shared" si="1584"/>
        <v>Cantidad por Bulto</v>
      </c>
      <c r="AB2468" t="str">
        <f t="shared" si="1585"/>
        <v>INNER</v>
      </c>
      <c r="AC2468" t="str">
        <f t="shared" si="1586"/>
        <v>Stock en Bultos</v>
      </c>
      <c r="AD2468" t="str">
        <f t="shared" si="1587"/>
        <v>SubDepósito</v>
      </c>
      <c r="AE2468" t="str">
        <f t="shared" si="1588"/>
        <v>Marca</v>
      </c>
      <c r="AF2468" t="str">
        <f t="shared" si="1589"/>
        <v>Super Rubro</v>
      </c>
      <c r="AG2468" t="str">
        <f t="shared" si="1590"/>
        <v>ComercioExterior</v>
      </c>
      <c r="AH2468" t="str">
        <f t="shared" si="1591"/>
        <v>PrecioFOB</v>
      </c>
      <c r="AI2468" t="str">
        <f t="shared" si="1592"/>
        <v>Monto II</v>
      </c>
      <c r="AJ2468" t="str">
        <f t="shared" si="1593"/>
        <v>Porcentaje II</v>
      </c>
      <c r="AK2468" t="str">
        <f t="shared" si="1594"/>
        <v>Foto</v>
      </c>
      <c r="AL2468" t="str">
        <f>"{\rtf1\ansi\ansicpg1252\deff0\deflang11274{\fonttbl{\f0\fnil\fcharset0 MS Sans Serif}} \viewkind4\uc1\pard\f0\fs16 KIT LAMPARAS H7 SKYLINE CON 2 LED CANBUS AZUL FRIO\par } "</f>
        <v xml:space="preserve">{\rtf1\ansi\ansicpg1252\deff0\deflang11274{\fonttbl{\f0\fnil\fcharset0 MS Sans Serif}} \viewkind4\uc1\pard\f0\fs16 KIT LAMPARAS H7 SKYLINE CON 2 LED CANBUS AZUL FRIO\par } </v>
      </c>
      <c r="AM2468" t="str">
        <f t="shared" si="1608"/>
        <v xml:space="preserve"> </v>
      </c>
    </row>
    <row r="2469" spans="1:39" x14ac:dyDescent="0.25">
      <c r="A2469" t="str">
        <f>"TOPA09"</f>
        <v>TOPA09</v>
      </c>
      <c r="B2469" t="str">
        <f>"KIT TUERCA DE SEGURIDAD 12X1.25 HEXÁGONO 21 LARGO 17 NISSAN FRONTIER RENAULT ALASKAN"</f>
        <v>KIT TUERCA DE SEGURIDAD 12X1.25 HEXÁGONO 21 LARGO 17 NISSAN FRONTIER RENAULT ALASKAN</v>
      </c>
      <c r="C2469" t="str">
        <f>"$ 17315,06"</f>
        <v>$ 17315,06</v>
      </c>
      <c r="D2469" t="str">
        <f>"$ 17315,06"</f>
        <v>$ 17315,06</v>
      </c>
      <c r="E2469" t="str">
        <f>"$ 17315,06"</f>
        <v>$ 17315,06</v>
      </c>
      <c r="F2469" t="str">
        <f>"$ 7173,36"</f>
        <v>$ 7173,36</v>
      </c>
      <c r="G2469" t="str">
        <f>"$ 7173,36"</f>
        <v>$ 7173,36</v>
      </c>
      <c r="H2469" t="str">
        <f t="shared" si="1577"/>
        <v>$ 0,00</v>
      </c>
      <c r="I2469" t="str">
        <f t="shared" ref="I2469:I2479" si="1609">"TUERCAS ANTIRROBO"</f>
        <v>TUERCAS ANTIRROBO</v>
      </c>
      <c r="J2469" t="str">
        <f t="shared" si="1578"/>
        <v>1</v>
      </c>
      <c r="K2469" t="str">
        <f t="shared" si="1602"/>
        <v>0</v>
      </c>
      <c r="L2469" t="str">
        <f>"7,000"</f>
        <v>7,000</v>
      </c>
      <c r="M2469" t="str">
        <f t="shared" si="1579"/>
        <v xml:space="preserve"> </v>
      </c>
      <c r="N2469" t="str">
        <f t="shared" ref="N2469:N2479" si="1610">"TOP SAFE"</f>
        <v>TOP SAFE</v>
      </c>
      <c r="O2469" t="str">
        <f t="shared" ref="O2469:O2479" si="1611">"ANTIRROBOS"</f>
        <v>ANTIRROBOS</v>
      </c>
      <c r="P2469" t="str">
        <f t="shared" si="1605"/>
        <v>0</v>
      </c>
      <c r="Q2469" t="str">
        <f t="shared" si="1605"/>
        <v>0</v>
      </c>
      <c r="R2469" t="str">
        <f t="shared" si="1606"/>
        <v>0,00</v>
      </c>
      <c r="S2469" t="str">
        <f t="shared" si="1606"/>
        <v>0,00</v>
      </c>
      <c r="T2469" t="str">
        <f t="shared" si="1574"/>
        <v xml:space="preserve"> </v>
      </c>
      <c r="U2469" t="str">
        <f t="shared" si="1576"/>
        <v xml:space="preserve"> </v>
      </c>
      <c r="V2469" t="str">
        <f>"7,000"</f>
        <v>7,000</v>
      </c>
      <c r="W2469" t="str">
        <f t="shared" si="1580"/>
        <v>Lista 4</v>
      </c>
      <c r="X2469" t="str">
        <f t="shared" si="1581"/>
        <v>Lista 5</v>
      </c>
      <c r="Y2469" t="str">
        <f t="shared" si="1582"/>
        <v>Oferta Gral.</v>
      </c>
      <c r="Z2469" t="str">
        <f t="shared" si="1583"/>
        <v>Rubro</v>
      </c>
      <c r="AA2469" t="str">
        <f t="shared" si="1584"/>
        <v>Cantidad por Bulto</v>
      </c>
      <c r="AB2469" t="str">
        <f t="shared" si="1585"/>
        <v>INNER</v>
      </c>
      <c r="AC2469" t="str">
        <f t="shared" si="1586"/>
        <v>Stock en Bultos</v>
      </c>
      <c r="AD2469" t="str">
        <f t="shared" si="1587"/>
        <v>SubDepósito</v>
      </c>
      <c r="AE2469" t="str">
        <f t="shared" si="1588"/>
        <v>Marca</v>
      </c>
      <c r="AF2469" t="str">
        <f t="shared" si="1589"/>
        <v>Super Rubro</v>
      </c>
      <c r="AG2469" t="str">
        <f t="shared" si="1590"/>
        <v>ComercioExterior</v>
      </c>
      <c r="AH2469" t="str">
        <f t="shared" si="1591"/>
        <v>PrecioFOB</v>
      </c>
      <c r="AI2469" t="str">
        <f t="shared" si="1592"/>
        <v>Monto II</v>
      </c>
      <c r="AJ2469" t="str">
        <f t="shared" si="1593"/>
        <v>Porcentaje II</v>
      </c>
      <c r="AK2469" t="str">
        <f t="shared" si="1594"/>
        <v>Foto</v>
      </c>
      <c r="AL2469" t="str">
        <f>"{\rtf1\ansi\ansicpg1252\deff0\deflang11274{\fonttbl{\f0\fnil\fcharset0 MS Sans Serif}} \viewkind4\uc1\pard\f0\fs16 KIT TUERCA DE SEGURIDAD 12X1.25 HEX\'c1GONO 21 LARGO 17 NISSAN FRONTIER RENAULT ALASKAN\par } "</f>
        <v xml:space="preserve">{\rtf1\ansi\ansicpg1252\deff0\deflang11274{\fonttbl{\f0\fnil\fcharset0 MS Sans Serif}} \viewkind4\uc1\pard\f0\fs16 KIT TUERCA DE SEGURIDAD 12X1.25 HEX\'c1GONO 21 LARGO 17 NISSAN FRONTIER RENAULT ALASKAN\par } </v>
      </c>
      <c r="AM2469" t="str">
        <f t="shared" si="1608"/>
        <v xml:space="preserve"> </v>
      </c>
    </row>
    <row r="2470" spans="1:39" x14ac:dyDescent="0.25">
      <c r="A2470" t="str">
        <f>"TOPD02"</f>
        <v>TOPD02</v>
      </c>
      <c r="B2470" t="str">
        <f>"KIT TUERCA SEGURIDAD CLIO LOGAN SANDERO KANGOO CHEVR CORSA ASTRA AGILE"</f>
        <v>KIT TUERCA SEGURIDAD CLIO LOGAN SANDERO KANGOO CHEVR CORSA ASTRA AGILE</v>
      </c>
      <c r="C2470" t="str">
        <f>"$ 24779,54"</f>
        <v>$ 24779,54</v>
      </c>
      <c r="D2470" t="str">
        <f>"$ 24779,54"</f>
        <v>$ 24779,54</v>
      </c>
      <c r="E2470" t="str">
        <f>"$ 24779,54"</f>
        <v>$ 24779,54</v>
      </c>
      <c r="F2470" t="str">
        <f>"$ 10265,78"</f>
        <v>$ 10265,78</v>
      </c>
      <c r="G2470" t="str">
        <f>"$ 10265,78"</f>
        <v>$ 10265,78</v>
      </c>
      <c r="H2470" t="str">
        <f t="shared" si="1577"/>
        <v>$ 0,00</v>
      </c>
      <c r="I2470" t="str">
        <f t="shared" si="1609"/>
        <v>TUERCAS ANTIRROBO</v>
      </c>
      <c r="J2470" t="str">
        <f t="shared" si="1578"/>
        <v>1</v>
      </c>
      <c r="K2470" t="str">
        <f t="shared" si="1602"/>
        <v>0</v>
      </c>
      <c r="L2470" t="str">
        <f>"26,000"</f>
        <v>26,000</v>
      </c>
      <c r="M2470" t="str">
        <f t="shared" si="1579"/>
        <v xml:space="preserve"> </v>
      </c>
      <c r="N2470" t="str">
        <f t="shared" si="1610"/>
        <v>TOP SAFE</v>
      </c>
      <c r="O2470" t="str">
        <f t="shared" si="1611"/>
        <v>ANTIRROBOS</v>
      </c>
      <c r="P2470" t="str">
        <f t="shared" si="1605"/>
        <v>0</v>
      </c>
      <c r="Q2470" t="str">
        <f t="shared" si="1605"/>
        <v>0</v>
      </c>
      <c r="R2470" t="str">
        <f t="shared" si="1606"/>
        <v>0,00</v>
      </c>
      <c r="S2470" t="str">
        <f t="shared" si="1606"/>
        <v>0,00</v>
      </c>
      <c r="T2470" t="str">
        <f t="shared" si="1574"/>
        <v xml:space="preserve"> </v>
      </c>
      <c r="U2470" t="str">
        <f t="shared" si="1576"/>
        <v xml:space="preserve"> </v>
      </c>
      <c r="V2470" t="str">
        <f>"26,000"</f>
        <v>26,000</v>
      </c>
      <c r="W2470" t="str">
        <f t="shared" si="1580"/>
        <v>Lista 4</v>
      </c>
      <c r="X2470" t="str">
        <f t="shared" si="1581"/>
        <v>Lista 5</v>
      </c>
      <c r="Y2470" t="str">
        <f t="shared" si="1582"/>
        <v>Oferta Gral.</v>
      </c>
      <c r="Z2470" t="str">
        <f t="shared" si="1583"/>
        <v>Rubro</v>
      </c>
      <c r="AA2470" t="str">
        <f t="shared" si="1584"/>
        <v>Cantidad por Bulto</v>
      </c>
      <c r="AB2470" t="str">
        <f t="shared" si="1585"/>
        <v>INNER</v>
      </c>
      <c r="AC2470" t="str">
        <f t="shared" si="1586"/>
        <v>Stock en Bultos</v>
      </c>
      <c r="AD2470" t="str">
        <f t="shared" si="1587"/>
        <v>SubDepósito</v>
      </c>
      <c r="AE2470" t="str">
        <f t="shared" si="1588"/>
        <v>Marca</v>
      </c>
      <c r="AF2470" t="str">
        <f t="shared" si="1589"/>
        <v>Super Rubro</v>
      </c>
      <c r="AG2470" t="str">
        <f t="shared" si="1590"/>
        <v>ComercioExterior</v>
      </c>
      <c r="AH2470" t="str">
        <f t="shared" si="1591"/>
        <v>PrecioFOB</v>
      </c>
      <c r="AI2470" t="str">
        <f t="shared" si="1592"/>
        <v>Monto II</v>
      </c>
      <c r="AJ2470" t="str">
        <f t="shared" si="1593"/>
        <v>Porcentaje II</v>
      </c>
      <c r="AK2470" t="str">
        <f t="shared" si="1594"/>
        <v>Foto</v>
      </c>
      <c r="AL247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0" t="str">
        <f t="shared" si="1608"/>
        <v xml:space="preserve"> </v>
      </c>
    </row>
    <row r="2471" spans="1:39" x14ac:dyDescent="0.25">
      <c r="A2471" t="str">
        <f>"TOPA03"</f>
        <v>TOPA03</v>
      </c>
      <c r="B2471" t="str">
        <f>"KIT TUERCA SEGURIDAD CRUZE ONIX TRACKER PRISMA MONTANA"</f>
        <v>KIT TUERCA SEGURIDAD CRUZE ONIX TRACKER PRISMA MONTANA</v>
      </c>
      <c r="C2471" t="str">
        <f>"$ 17874,62"</f>
        <v>$ 17874,62</v>
      </c>
      <c r="D2471" t="str">
        <f>"$ 17874,62"</f>
        <v>$ 17874,62</v>
      </c>
      <c r="E2471" t="str">
        <f>"$ 17874,62"</f>
        <v>$ 17874,62</v>
      </c>
      <c r="F2471" t="str">
        <f>"$ 7405,18"</f>
        <v>$ 7405,18</v>
      </c>
      <c r="G2471" t="str">
        <f>"$ 7405,18"</f>
        <v>$ 7405,18</v>
      </c>
      <c r="H2471" t="str">
        <f t="shared" si="1577"/>
        <v>$ 0,00</v>
      </c>
      <c r="I2471" t="str">
        <f t="shared" si="1609"/>
        <v>TUERCAS ANTIRROBO</v>
      </c>
      <c r="J2471" t="str">
        <f t="shared" si="1578"/>
        <v>1</v>
      </c>
      <c r="K2471" t="str">
        <f t="shared" si="1602"/>
        <v>0</v>
      </c>
      <c r="L2471" t="str">
        <f>"19,000"</f>
        <v>19,000</v>
      </c>
      <c r="M2471" t="str">
        <f t="shared" si="1579"/>
        <v xml:space="preserve"> </v>
      </c>
      <c r="N2471" t="str">
        <f t="shared" si="1610"/>
        <v>TOP SAFE</v>
      </c>
      <c r="O2471" t="str">
        <f t="shared" si="1611"/>
        <v>ANTIRROBOS</v>
      </c>
      <c r="P2471" t="str">
        <f t="shared" si="1605"/>
        <v>0</v>
      </c>
      <c r="Q2471" t="str">
        <f t="shared" si="1605"/>
        <v>0</v>
      </c>
      <c r="R2471" t="str">
        <f t="shared" si="1606"/>
        <v>0,00</v>
      </c>
      <c r="S2471" t="str">
        <f t="shared" si="1606"/>
        <v>0,00</v>
      </c>
      <c r="T2471" t="str">
        <f t="shared" si="1574"/>
        <v xml:space="preserve"> </v>
      </c>
      <c r="U2471" t="str">
        <f t="shared" si="1576"/>
        <v xml:space="preserve"> </v>
      </c>
      <c r="V2471" t="str">
        <f>"19,000"</f>
        <v>19,000</v>
      </c>
      <c r="W2471" t="str">
        <f t="shared" si="1580"/>
        <v>Lista 4</v>
      </c>
      <c r="X2471" t="str">
        <f t="shared" si="1581"/>
        <v>Lista 5</v>
      </c>
      <c r="Y2471" t="str">
        <f t="shared" si="1582"/>
        <v>Oferta Gral.</v>
      </c>
      <c r="Z2471" t="str">
        <f t="shared" si="1583"/>
        <v>Rubro</v>
      </c>
      <c r="AA2471" t="str">
        <f t="shared" si="1584"/>
        <v>Cantidad por Bulto</v>
      </c>
      <c r="AB2471" t="str">
        <f t="shared" si="1585"/>
        <v>INNER</v>
      </c>
      <c r="AC2471" t="str">
        <f t="shared" si="1586"/>
        <v>Stock en Bultos</v>
      </c>
      <c r="AD2471" t="str">
        <f t="shared" si="1587"/>
        <v>SubDepósito</v>
      </c>
      <c r="AE2471" t="str">
        <f t="shared" si="1588"/>
        <v>Marca</v>
      </c>
      <c r="AF2471" t="str">
        <f t="shared" si="1589"/>
        <v>Super Rubro</v>
      </c>
      <c r="AG2471" t="str">
        <f t="shared" si="1590"/>
        <v>ComercioExterior</v>
      </c>
      <c r="AH2471" t="str">
        <f t="shared" si="1591"/>
        <v>PrecioFOB</v>
      </c>
      <c r="AI2471" t="str">
        <f t="shared" si="1592"/>
        <v>Monto II</v>
      </c>
      <c r="AJ2471" t="str">
        <f t="shared" si="1593"/>
        <v>Porcentaje II</v>
      </c>
      <c r="AK2471" t="str">
        <f t="shared" si="1594"/>
        <v>Foto</v>
      </c>
      <c r="AL2471" t="str">
        <f>"{\rtf1\ansi\ansicpg1252\deff0\deflang11274{\fonttbl{\f0\fnil\fcharset0 MS Sans Serif}} \viewkind4\uc1\pard\f0\fs16 KIT TUERCA SEGURIDAD CRUZE ONIX TRACKER PRISMA MONTANA\par } "</f>
        <v xml:space="preserve">{\rtf1\ansi\ansicpg1252\deff0\deflang11274{\fonttbl{\f0\fnil\fcharset0 MS Sans Serif}} \viewkind4\uc1\pard\f0\fs16 KIT TUERCA SEGURIDAD CRUZE ONIX TRACKER PRISMA MONTANA\par } </v>
      </c>
      <c r="AM2471" t="str">
        <f t="shared" si="1608"/>
        <v xml:space="preserve"> </v>
      </c>
    </row>
    <row r="2472" spans="1:39" x14ac:dyDescent="0.25">
      <c r="A2472" t="str">
        <f>"TOPB04"</f>
        <v>TOPB04</v>
      </c>
      <c r="B2472" t="str">
        <f>"KIT TUERCA SEGURIDAD FIAT PALIO SIENA PUNTO PEUGEOT 307 PARTNER CITROEN BERLINGO "</f>
        <v xml:space="preserve">KIT TUERCA SEGURIDAD FIAT PALIO SIENA PUNTO PEUGEOT 307 PARTNER CITROEN BERLINGO </v>
      </c>
      <c r="C2472" t="str">
        <f>"$ 24779,54"</f>
        <v>$ 24779,54</v>
      </c>
      <c r="D2472" t="str">
        <f>"$ 24779,54"</f>
        <v>$ 24779,54</v>
      </c>
      <c r="E2472" t="str">
        <f>"$ 24779,54"</f>
        <v>$ 24779,54</v>
      </c>
      <c r="F2472" t="str">
        <f>"$ 10265,78"</f>
        <v>$ 10265,78</v>
      </c>
      <c r="G2472" t="str">
        <f>"$ 10265,78"</f>
        <v>$ 10265,78</v>
      </c>
      <c r="H2472" t="str">
        <f t="shared" si="1577"/>
        <v>$ 0,00</v>
      </c>
      <c r="I2472" t="str">
        <f t="shared" si="1609"/>
        <v>TUERCAS ANTIRROBO</v>
      </c>
      <c r="J2472" t="str">
        <f t="shared" si="1578"/>
        <v>1</v>
      </c>
      <c r="K2472" t="str">
        <f t="shared" si="1602"/>
        <v>0</v>
      </c>
      <c r="L2472" t="str">
        <f>"10,000"</f>
        <v>10,000</v>
      </c>
      <c r="M2472" t="str">
        <f t="shared" si="1579"/>
        <v xml:space="preserve"> </v>
      </c>
      <c r="N2472" t="str">
        <f t="shared" si="1610"/>
        <v>TOP SAFE</v>
      </c>
      <c r="O2472" t="str">
        <f t="shared" si="1611"/>
        <v>ANTIRROBOS</v>
      </c>
      <c r="P2472" t="str">
        <f t="shared" si="1605"/>
        <v>0</v>
      </c>
      <c r="Q2472" t="str">
        <f t="shared" si="1605"/>
        <v>0</v>
      </c>
      <c r="R2472" t="str">
        <f t="shared" si="1606"/>
        <v>0,00</v>
      </c>
      <c r="S2472" t="str">
        <f t="shared" si="1606"/>
        <v>0,00</v>
      </c>
      <c r="T2472" t="str">
        <f t="shared" si="1574"/>
        <v xml:space="preserve"> </v>
      </c>
      <c r="U2472" t="str">
        <f t="shared" si="1576"/>
        <v xml:space="preserve"> </v>
      </c>
      <c r="V2472" t="str">
        <f>"10,000"</f>
        <v>10,000</v>
      </c>
      <c r="W2472" t="str">
        <f t="shared" si="1580"/>
        <v>Lista 4</v>
      </c>
      <c r="X2472" t="str">
        <f t="shared" si="1581"/>
        <v>Lista 5</v>
      </c>
      <c r="Y2472" t="str">
        <f t="shared" si="1582"/>
        <v>Oferta Gral.</v>
      </c>
      <c r="Z2472" t="str">
        <f t="shared" si="1583"/>
        <v>Rubro</v>
      </c>
      <c r="AA2472" t="str">
        <f t="shared" si="1584"/>
        <v>Cantidad por Bulto</v>
      </c>
      <c r="AB2472" t="str">
        <f t="shared" si="1585"/>
        <v>INNER</v>
      </c>
      <c r="AC2472" t="str">
        <f t="shared" si="1586"/>
        <v>Stock en Bultos</v>
      </c>
      <c r="AD2472" t="str">
        <f t="shared" si="1587"/>
        <v>SubDepósito</v>
      </c>
      <c r="AE2472" t="str">
        <f t="shared" si="1588"/>
        <v>Marca</v>
      </c>
      <c r="AF2472" t="str">
        <f t="shared" si="1589"/>
        <v>Super Rubro</v>
      </c>
      <c r="AG2472" t="str">
        <f t="shared" si="1590"/>
        <v>ComercioExterior</v>
      </c>
      <c r="AH2472" t="str">
        <f t="shared" si="1591"/>
        <v>PrecioFOB</v>
      </c>
      <c r="AI2472" t="str">
        <f t="shared" si="1592"/>
        <v>Monto II</v>
      </c>
      <c r="AJ2472" t="str">
        <f t="shared" si="1593"/>
        <v>Porcentaje II</v>
      </c>
      <c r="AK2472" t="str">
        <f t="shared" si="1594"/>
        <v>Foto</v>
      </c>
      <c r="AL247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2" t="str">
        <f t="shared" si="1608"/>
        <v xml:space="preserve"> </v>
      </c>
    </row>
    <row r="2473" spans="1:39" x14ac:dyDescent="0.25">
      <c r="A2473" t="str">
        <f>"TOPB21"</f>
        <v>TOPB21</v>
      </c>
      <c r="B2473" t="str">
        <f>"KIT TUERCA SEGURIDAD JEEP RENEGADE COMPASS FIAT 500 QUBO DOBLO TORO"</f>
        <v>KIT TUERCA SEGURIDAD JEEP RENEGADE COMPASS FIAT 500 QUBO DOBLO TORO</v>
      </c>
      <c r="C2473" t="str">
        <f>"$ 24568,38"</f>
        <v>$ 24568,38</v>
      </c>
      <c r="D2473" t="str">
        <f>"$ 24568,38"</f>
        <v>$ 24568,38</v>
      </c>
      <c r="E2473" t="str">
        <f>"$ 24568,38"</f>
        <v>$ 24568,38</v>
      </c>
      <c r="F2473" t="str">
        <f>"$ 10178,30"</f>
        <v>$ 10178,30</v>
      </c>
      <c r="G2473" t="str">
        <f>"$ 10178,30"</f>
        <v>$ 10178,30</v>
      </c>
      <c r="H2473" t="str">
        <f t="shared" si="1577"/>
        <v>$ 0,00</v>
      </c>
      <c r="I2473" t="str">
        <f t="shared" si="1609"/>
        <v>TUERCAS ANTIRROBO</v>
      </c>
      <c r="J2473" t="str">
        <f t="shared" si="1578"/>
        <v>1</v>
      </c>
      <c r="K2473" t="str">
        <f t="shared" si="1602"/>
        <v>0</v>
      </c>
      <c r="L2473" t="str">
        <f>"15,000"</f>
        <v>15,000</v>
      </c>
      <c r="M2473" t="str">
        <f t="shared" si="1579"/>
        <v xml:space="preserve"> </v>
      </c>
      <c r="N2473" t="str">
        <f t="shared" si="1610"/>
        <v>TOP SAFE</v>
      </c>
      <c r="O2473" t="str">
        <f t="shared" si="1611"/>
        <v>ANTIRROBOS</v>
      </c>
      <c r="P2473" t="str">
        <f t="shared" si="1605"/>
        <v>0</v>
      </c>
      <c r="Q2473" t="str">
        <f t="shared" si="1605"/>
        <v>0</v>
      </c>
      <c r="R2473" t="str">
        <f t="shared" si="1606"/>
        <v>0,00</v>
      </c>
      <c r="S2473" t="str">
        <f t="shared" si="1606"/>
        <v>0,00</v>
      </c>
      <c r="T2473" t="str">
        <f t="shared" si="1574"/>
        <v xml:space="preserve"> </v>
      </c>
      <c r="U2473" t="str">
        <f t="shared" si="1576"/>
        <v xml:space="preserve"> </v>
      </c>
      <c r="V2473" t="str">
        <f>"15,000"</f>
        <v>15,000</v>
      </c>
      <c r="W2473" t="str">
        <f t="shared" si="1580"/>
        <v>Lista 4</v>
      </c>
      <c r="X2473" t="str">
        <f t="shared" si="1581"/>
        <v>Lista 5</v>
      </c>
      <c r="Y2473" t="str">
        <f t="shared" si="1582"/>
        <v>Oferta Gral.</v>
      </c>
      <c r="Z2473" t="str">
        <f t="shared" si="1583"/>
        <v>Rubro</v>
      </c>
      <c r="AA2473" t="str">
        <f t="shared" si="1584"/>
        <v>Cantidad por Bulto</v>
      </c>
      <c r="AB2473" t="str">
        <f t="shared" si="1585"/>
        <v>INNER</v>
      </c>
      <c r="AC2473" t="str">
        <f t="shared" si="1586"/>
        <v>Stock en Bultos</v>
      </c>
      <c r="AD2473" t="str">
        <f t="shared" si="1587"/>
        <v>SubDepósito</v>
      </c>
      <c r="AE2473" t="str">
        <f t="shared" si="1588"/>
        <v>Marca</v>
      </c>
      <c r="AF2473" t="str">
        <f t="shared" si="1589"/>
        <v>Super Rubro</v>
      </c>
      <c r="AG2473" t="str">
        <f t="shared" si="1590"/>
        <v>ComercioExterior</v>
      </c>
      <c r="AH2473" t="str">
        <f t="shared" si="1591"/>
        <v>PrecioFOB</v>
      </c>
      <c r="AI2473" t="str">
        <f t="shared" si="1592"/>
        <v>Monto II</v>
      </c>
      <c r="AJ2473" t="str">
        <f t="shared" si="1593"/>
        <v>Porcentaje II</v>
      </c>
      <c r="AK2473" t="str">
        <f t="shared" si="1594"/>
        <v>Foto</v>
      </c>
      <c r="AL247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3" t="str">
        <f t="shared" si="1608"/>
        <v xml:space="preserve"> </v>
      </c>
    </row>
    <row r="2474" spans="1:39" x14ac:dyDescent="0.25">
      <c r="A2474" t="str">
        <f>"TOPD18"</f>
        <v>TOPD18</v>
      </c>
      <c r="B2474" t="str">
        <f>"KIT TUERCA SEGURIDAD PEUGEOT 206 306 307 208 308 CITROEN C3 C4 LLANTA ALEACION"</f>
        <v>KIT TUERCA SEGURIDAD PEUGEOT 206 306 307 208 308 CITROEN C3 C4 LLANTA ALEACION</v>
      </c>
      <c r="C2474" t="str">
        <f>"$ 25592,51"</f>
        <v>$ 25592,51</v>
      </c>
      <c r="D2474" t="str">
        <f>"$ 25592,51"</f>
        <v>$ 25592,51</v>
      </c>
      <c r="E2474" t="str">
        <f>"$ 25592,51"</f>
        <v>$ 25592,51</v>
      </c>
      <c r="F2474" t="str">
        <f>"$ 10602,58"</f>
        <v>$ 10602,58</v>
      </c>
      <c r="G2474" t="str">
        <f>"$ 10602,58"</f>
        <v>$ 10602,58</v>
      </c>
      <c r="H2474" t="str">
        <f t="shared" si="1577"/>
        <v>$ 0,00</v>
      </c>
      <c r="I2474" t="str">
        <f t="shared" si="1609"/>
        <v>TUERCAS ANTIRROBO</v>
      </c>
      <c r="J2474" t="str">
        <f t="shared" si="1578"/>
        <v>1</v>
      </c>
      <c r="K2474" t="str">
        <f t="shared" si="1602"/>
        <v>0</v>
      </c>
      <c r="L2474" t="str">
        <f>"23,000"</f>
        <v>23,000</v>
      </c>
      <c r="M2474" t="str">
        <f t="shared" si="1579"/>
        <v xml:space="preserve"> </v>
      </c>
      <c r="N2474" t="str">
        <f t="shared" si="1610"/>
        <v>TOP SAFE</v>
      </c>
      <c r="O2474" t="str">
        <f t="shared" si="1611"/>
        <v>ANTIRROBOS</v>
      </c>
      <c r="P2474" t="str">
        <f t="shared" si="1605"/>
        <v>0</v>
      </c>
      <c r="Q2474" t="str">
        <f t="shared" si="1605"/>
        <v>0</v>
      </c>
      <c r="R2474" t="str">
        <f t="shared" si="1606"/>
        <v>0,00</v>
      </c>
      <c r="S2474" t="str">
        <f t="shared" si="1606"/>
        <v>0,00</v>
      </c>
      <c r="T2474" t="str">
        <f t="shared" si="1574"/>
        <v xml:space="preserve"> </v>
      </c>
      <c r="U2474" t="str">
        <f t="shared" si="1576"/>
        <v xml:space="preserve"> </v>
      </c>
      <c r="V2474" t="str">
        <f>"23,000"</f>
        <v>23,000</v>
      </c>
      <c r="W2474" t="str">
        <f t="shared" si="1580"/>
        <v>Lista 4</v>
      </c>
      <c r="X2474" t="str">
        <f t="shared" si="1581"/>
        <v>Lista 5</v>
      </c>
      <c r="Y2474" t="str">
        <f t="shared" si="1582"/>
        <v>Oferta Gral.</v>
      </c>
      <c r="Z2474" t="str">
        <f t="shared" si="1583"/>
        <v>Rubro</v>
      </c>
      <c r="AA2474" t="str">
        <f t="shared" si="1584"/>
        <v>Cantidad por Bulto</v>
      </c>
      <c r="AB2474" t="str">
        <f t="shared" si="1585"/>
        <v>INNER</v>
      </c>
      <c r="AC2474" t="str">
        <f t="shared" si="1586"/>
        <v>Stock en Bultos</v>
      </c>
      <c r="AD2474" t="str">
        <f t="shared" si="1587"/>
        <v>SubDepósito</v>
      </c>
      <c r="AE2474" t="str">
        <f t="shared" si="1588"/>
        <v>Marca</v>
      </c>
      <c r="AF2474" t="str">
        <f t="shared" si="1589"/>
        <v>Super Rubro</v>
      </c>
      <c r="AG2474" t="str">
        <f t="shared" si="1590"/>
        <v>ComercioExterior</v>
      </c>
      <c r="AH2474" t="str">
        <f t="shared" si="1591"/>
        <v>PrecioFOB</v>
      </c>
      <c r="AI2474" t="str">
        <f t="shared" si="1592"/>
        <v>Monto II</v>
      </c>
      <c r="AJ2474" t="str">
        <f t="shared" si="1593"/>
        <v>Porcentaje II</v>
      </c>
      <c r="AK2474" t="str">
        <f t="shared" si="1594"/>
        <v>Foto</v>
      </c>
      <c r="AL247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4" t="str">
        <f t="shared" si="1608"/>
        <v xml:space="preserve"> </v>
      </c>
    </row>
    <row r="2475" spans="1:39" x14ac:dyDescent="0.25">
      <c r="A2475" t="str">
        <f>"TOPB13"</f>
        <v>TOPB13</v>
      </c>
      <c r="B2475" t="str">
        <f>"KIT TUERCA SEGURIDAD PEUGEOT 207 208 308 408 CITROEN C3 C4 LLANTAS CHAPA"</f>
        <v>KIT TUERCA SEGURIDAD PEUGEOT 207 208 308 408 CITROEN C3 C4 LLANTAS CHAPA</v>
      </c>
      <c r="C2475" t="str">
        <f>"$ 24779,54"</f>
        <v>$ 24779,54</v>
      </c>
      <c r="D2475" t="str">
        <f>"$ 24779,54"</f>
        <v>$ 24779,54</v>
      </c>
      <c r="E2475" t="str">
        <f>"$ 24779,54"</f>
        <v>$ 24779,54</v>
      </c>
      <c r="F2475" t="str">
        <f>"$ 10265,78"</f>
        <v>$ 10265,78</v>
      </c>
      <c r="G2475" t="str">
        <f>"$ 10265,78"</f>
        <v>$ 10265,78</v>
      </c>
      <c r="H2475" t="str">
        <f t="shared" si="1577"/>
        <v>$ 0,00</v>
      </c>
      <c r="I2475" t="str">
        <f t="shared" si="1609"/>
        <v>TUERCAS ANTIRROBO</v>
      </c>
      <c r="J2475" t="str">
        <f t="shared" si="1578"/>
        <v>1</v>
      </c>
      <c r="K2475" t="str">
        <f t="shared" si="1602"/>
        <v>0</v>
      </c>
      <c r="L2475" t="str">
        <f>"17,000"</f>
        <v>17,000</v>
      </c>
      <c r="M2475" t="str">
        <f t="shared" si="1579"/>
        <v xml:space="preserve"> </v>
      </c>
      <c r="N2475" t="str">
        <f t="shared" si="1610"/>
        <v>TOP SAFE</v>
      </c>
      <c r="O2475" t="str">
        <f t="shared" si="1611"/>
        <v>ANTIRROBOS</v>
      </c>
      <c r="P2475" t="str">
        <f t="shared" si="1605"/>
        <v>0</v>
      </c>
      <c r="Q2475" t="str">
        <f t="shared" si="1605"/>
        <v>0</v>
      </c>
      <c r="R2475" t="str">
        <f t="shared" si="1606"/>
        <v>0,00</v>
      </c>
      <c r="S2475" t="str">
        <f t="shared" si="1606"/>
        <v>0,00</v>
      </c>
      <c r="T2475" t="str">
        <f t="shared" si="1574"/>
        <v xml:space="preserve"> </v>
      </c>
      <c r="U2475" t="str">
        <f t="shared" si="1576"/>
        <v xml:space="preserve"> </v>
      </c>
      <c r="V2475" t="str">
        <f>"17,000"</f>
        <v>17,000</v>
      </c>
      <c r="W2475" t="str">
        <f t="shared" si="1580"/>
        <v>Lista 4</v>
      </c>
      <c r="X2475" t="str">
        <f t="shared" si="1581"/>
        <v>Lista 5</v>
      </c>
      <c r="Y2475" t="str">
        <f t="shared" si="1582"/>
        <v>Oferta Gral.</v>
      </c>
      <c r="Z2475" t="str">
        <f t="shared" si="1583"/>
        <v>Rubro</v>
      </c>
      <c r="AA2475" t="str">
        <f t="shared" si="1584"/>
        <v>Cantidad por Bulto</v>
      </c>
      <c r="AB2475" t="str">
        <f t="shared" si="1585"/>
        <v>INNER</v>
      </c>
      <c r="AC2475" t="str">
        <f t="shared" si="1586"/>
        <v>Stock en Bultos</v>
      </c>
      <c r="AD2475" t="str">
        <f t="shared" si="1587"/>
        <v>SubDepósito</v>
      </c>
      <c r="AE2475" t="str">
        <f t="shared" si="1588"/>
        <v>Marca</v>
      </c>
      <c r="AF2475" t="str">
        <f t="shared" si="1589"/>
        <v>Super Rubro</v>
      </c>
      <c r="AG2475" t="str">
        <f t="shared" si="1590"/>
        <v>ComercioExterior</v>
      </c>
      <c r="AH2475" t="str">
        <f t="shared" si="1591"/>
        <v>PrecioFOB</v>
      </c>
      <c r="AI2475" t="str">
        <f t="shared" si="1592"/>
        <v>Monto II</v>
      </c>
      <c r="AJ2475" t="str">
        <f t="shared" si="1593"/>
        <v>Porcentaje II</v>
      </c>
      <c r="AK2475" t="str">
        <f t="shared" si="1594"/>
        <v>Foto</v>
      </c>
      <c r="AL2475" t="str">
        <f>"{\rtf1\ansi\ansicpg1252\deff0\deflang11274{\fonttbl{\f0\fnil\fcharset0 MS Sans Serif}} \viewkind4\uc1\pard\f0\fs16 KIT TUERCA SEGURIDAD PEUGEOT 207 208 308 408 CITROEN C3 C4 LLANTAS CHAPA\par } "</f>
        <v xml:space="preserve">{\rtf1\ansi\ansicpg1252\deff0\deflang11274{\fonttbl{\f0\fnil\fcharset0 MS Sans Serif}} \viewkind4\uc1\pard\f0\fs16 KIT TUERCA SEGURIDAD PEUGEOT 207 208 308 408 CITROEN C3 C4 LLANTAS CHAPA\par } </v>
      </c>
      <c r="AM2475" t="str">
        <f t="shared" si="1608"/>
        <v xml:space="preserve"> </v>
      </c>
    </row>
    <row r="2476" spans="1:39" x14ac:dyDescent="0.25">
      <c r="A2476" t="str">
        <f>"TOPD21"</f>
        <v>TOPD21</v>
      </c>
      <c r="B2476" t="str">
        <f>"KIT TUERCA SEGURIDAD TOYOTA HILUX COROLLA ETIOS CHERY TIGGO TODOS CON LLANTA ALEACION"</f>
        <v>KIT TUERCA SEGURIDAD TOYOTA HILUX COROLLA ETIOS CHERY TIGGO TODOS CON LLANTA ALEACION</v>
      </c>
      <c r="C2476" t="str">
        <f>"$ 22192,84"</f>
        <v>$ 22192,84</v>
      </c>
      <c r="D2476" t="str">
        <f>"$ 22192,84"</f>
        <v>$ 22192,84</v>
      </c>
      <c r="E2476" t="str">
        <f>"$ 22192,84"</f>
        <v>$ 22192,84</v>
      </c>
      <c r="F2476" t="str">
        <f>"$ 9194,15"</f>
        <v>$ 9194,15</v>
      </c>
      <c r="G2476" t="str">
        <f>"$ 9194,15"</f>
        <v>$ 9194,15</v>
      </c>
      <c r="H2476" t="str">
        <f t="shared" si="1577"/>
        <v>$ 0,00</v>
      </c>
      <c r="I2476" t="str">
        <f t="shared" si="1609"/>
        <v>TUERCAS ANTIRROBO</v>
      </c>
      <c r="J2476" t="str">
        <f t="shared" si="1578"/>
        <v>1</v>
      </c>
      <c r="K2476" t="str">
        <f t="shared" si="1602"/>
        <v>0</v>
      </c>
      <c r="L2476" t="str">
        <f>"3,000"</f>
        <v>3,000</v>
      </c>
      <c r="M2476" t="str">
        <f t="shared" si="1579"/>
        <v xml:space="preserve"> </v>
      </c>
      <c r="N2476" t="str">
        <f t="shared" si="1610"/>
        <v>TOP SAFE</v>
      </c>
      <c r="O2476" t="str">
        <f t="shared" si="1611"/>
        <v>ANTIRROBOS</v>
      </c>
      <c r="P2476" t="str">
        <f t="shared" si="1605"/>
        <v>0</v>
      </c>
      <c r="Q2476" t="str">
        <f t="shared" si="1605"/>
        <v>0</v>
      </c>
      <c r="R2476" t="str">
        <f t="shared" si="1606"/>
        <v>0,00</v>
      </c>
      <c r="S2476" t="str">
        <f t="shared" si="1606"/>
        <v>0,00</v>
      </c>
      <c r="T2476" t="str">
        <f t="shared" si="1574"/>
        <v xml:space="preserve"> </v>
      </c>
      <c r="U2476" t="str">
        <f t="shared" si="1576"/>
        <v xml:space="preserve"> </v>
      </c>
      <c r="V2476" t="str">
        <f>"3,000"</f>
        <v>3,000</v>
      </c>
      <c r="W2476" t="str">
        <f t="shared" si="1580"/>
        <v>Lista 4</v>
      </c>
      <c r="X2476" t="str">
        <f t="shared" si="1581"/>
        <v>Lista 5</v>
      </c>
      <c r="Y2476" t="str">
        <f t="shared" si="1582"/>
        <v>Oferta Gral.</v>
      </c>
      <c r="Z2476" t="str">
        <f t="shared" si="1583"/>
        <v>Rubro</v>
      </c>
      <c r="AA2476" t="str">
        <f t="shared" si="1584"/>
        <v>Cantidad por Bulto</v>
      </c>
      <c r="AB2476" t="str">
        <f t="shared" si="1585"/>
        <v>INNER</v>
      </c>
      <c r="AC2476" t="str">
        <f t="shared" si="1586"/>
        <v>Stock en Bultos</v>
      </c>
      <c r="AD2476" t="str">
        <f t="shared" si="1587"/>
        <v>SubDepósito</v>
      </c>
      <c r="AE2476" t="str">
        <f t="shared" si="1588"/>
        <v>Marca</v>
      </c>
      <c r="AF2476" t="str">
        <f t="shared" si="1589"/>
        <v>Super Rubro</v>
      </c>
      <c r="AG2476" t="str">
        <f t="shared" si="1590"/>
        <v>ComercioExterior</v>
      </c>
      <c r="AH2476" t="str">
        <f t="shared" si="1591"/>
        <v>PrecioFOB</v>
      </c>
      <c r="AI2476" t="str">
        <f t="shared" si="1592"/>
        <v>Monto II</v>
      </c>
      <c r="AJ2476" t="str">
        <f t="shared" si="1593"/>
        <v>Porcentaje II</v>
      </c>
      <c r="AK2476" t="str">
        <f t="shared" si="1594"/>
        <v>Foto</v>
      </c>
      <c r="AL247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6" t="str">
        <f t="shared" si="1608"/>
        <v xml:space="preserve"> </v>
      </c>
    </row>
    <row r="2477" spans="1:39" x14ac:dyDescent="0.25">
      <c r="A2477" t="str">
        <f>"TOPD12"</f>
        <v>TOPD12</v>
      </c>
      <c r="B2477" t="str">
        <f>"KIT TUERCA SEGURIDAD VW BORA FOX GOL GOLF VENTO SURAN PASSAT TAOS T-CROSS"</f>
        <v>KIT TUERCA SEGURIDAD VW BORA FOX GOL GOLF VENTO SURAN PASSAT TAOS T-CROSS</v>
      </c>
      <c r="C2477" t="str">
        <f t="shared" ref="C2477:E2478" si="1612">"$ 24779,54"</f>
        <v>$ 24779,54</v>
      </c>
      <c r="D2477" t="str">
        <f t="shared" si="1612"/>
        <v>$ 24779,54</v>
      </c>
      <c r="E2477" t="str">
        <f t="shared" si="1612"/>
        <v>$ 24779,54</v>
      </c>
      <c r="F2477" t="str">
        <f>"$ 10265,78"</f>
        <v>$ 10265,78</v>
      </c>
      <c r="G2477" t="str">
        <f>"$ 10265,78"</f>
        <v>$ 10265,78</v>
      </c>
      <c r="H2477" t="str">
        <f t="shared" si="1577"/>
        <v>$ 0,00</v>
      </c>
      <c r="I2477" t="str">
        <f t="shared" si="1609"/>
        <v>TUERCAS ANTIRROBO</v>
      </c>
      <c r="J2477" t="str">
        <f t="shared" si="1578"/>
        <v>1</v>
      </c>
      <c r="K2477" t="str">
        <f t="shared" si="1602"/>
        <v>0</v>
      </c>
      <c r="L2477" t="str">
        <f>"5,000"</f>
        <v>5,000</v>
      </c>
      <c r="M2477" t="str">
        <f t="shared" si="1579"/>
        <v xml:space="preserve"> </v>
      </c>
      <c r="N2477" t="str">
        <f t="shared" si="1610"/>
        <v>TOP SAFE</v>
      </c>
      <c r="O2477" t="str">
        <f t="shared" si="1611"/>
        <v>ANTIRROBOS</v>
      </c>
      <c r="P2477" t="str">
        <f t="shared" si="1605"/>
        <v>0</v>
      </c>
      <c r="Q2477" t="str">
        <f t="shared" si="1605"/>
        <v>0</v>
      </c>
      <c r="R2477" t="str">
        <f t="shared" si="1606"/>
        <v>0,00</v>
      </c>
      <c r="S2477" t="str">
        <f t="shared" si="1606"/>
        <v>0,00</v>
      </c>
      <c r="T2477" t="str">
        <f t="shared" si="1574"/>
        <v xml:space="preserve"> </v>
      </c>
      <c r="U2477" t="str">
        <f t="shared" si="1576"/>
        <v xml:space="preserve"> </v>
      </c>
      <c r="V2477" t="str">
        <f>"5,000"</f>
        <v>5,000</v>
      </c>
      <c r="W2477" t="str">
        <f t="shared" si="1580"/>
        <v>Lista 4</v>
      </c>
      <c r="X2477" t="str">
        <f t="shared" si="1581"/>
        <v>Lista 5</v>
      </c>
      <c r="Y2477" t="str">
        <f t="shared" si="1582"/>
        <v>Oferta Gral.</v>
      </c>
      <c r="Z2477" t="str">
        <f t="shared" si="1583"/>
        <v>Rubro</v>
      </c>
      <c r="AA2477" t="str">
        <f t="shared" si="1584"/>
        <v>Cantidad por Bulto</v>
      </c>
      <c r="AB2477" t="str">
        <f t="shared" si="1585"/>
        <v>INNER</v>
      </c>
      <c r="AC2477" t="str">
        <f t="shared" si="1586"/>
        <v>Stock en Bultos</v>
      </c>
      <c r="AD2477" t="str">
        <f t="shared" si="1587"/>
        <v>SubDepósito</v>
      </c>
      <c r="AE2477" t="str">
        <f t="shared" si="1588"/>
        <v>Marca</v>
      </c>
      <c r="AF2477" t="str">
        <f t="shared" si="1589"/>
        <v>Super Rubro</v>
      </c>
      <c r="AG2477" t="str">
        <f t="shared" si="1590"/>
        <v>ComercioExterior</v>
      </c>
      <c r="AH2477" t="str">
        <f t="shared" si="1591"/>
        <v>PrecioFOB</v>
      </c>
      <c r="AI2477" t="str">
        <f t="shared" si="1592"/>
        <v>Monto II</v>
      </c>
      <c r="AJ2477" t="str">
        <f t="shared" si="1593"/>
        <v>Porcentaje II</v>
      </c>
      <c r="AK2477" t="str">
        <f t="shared" si="1594"/>
        <v>Foto</v>
      </c>
      <c r="AL247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7" t="str">
        <f t="shared" si="1608"/>
        <v xml:space="preserve"> </v>
      </c>
    </row>
    <row r="2478" spans="1:39" x14ac:dyDescent="0.25">
      <c r="A2478" t="str">
        <f>"TOPD07"</f>
        <v>TOPD07</v>
      </c>
      <c r="B2478" t="str">
        <f>"KIT TUERCA SEGURIDAD VW GOL GOLF POLO PASSAT FOX SURAN VENTO"</f>
        <v>KIT TUERCA SEGURIDAD VW GOL GOLF POLO PASSAT FOX SURAN VENTO</v>
      </c>
      <c r="C2478" t="str">
        <f t="shared" si="1612"/>
        <v>$ 24779,54</v>
      </c>
      <c r="D2478" t="str">
        <f t="shared" si="1612"/>
        <v>$ 24779,54</v>
      </c>
      <c r="E2478" t="str">
        <f t="shared" si="1612"/>
        <v>$ 24779,54</v>
      </c>
      <c r="F2478" t="str">
        <f>"$ 10265,78"</f>
        <v>$ 10265,78</v>
      </c>
      <c r="G2478" t="str">
        <f>"$ 10265,78"</f>
        <v>$ 10265,78</v>
      </c>
      <c r="H2478" t="str">
        <f t="shared" si="1577"/>
        <v>$ 0,00</v>
      </c>
      <c r="I2478" t="str">
        <f t="shared" si="1609"/>
        <v>TUERCAS ANTIRROBO</v>
      </c>
      <c r="J2478" t="str">
        <f t="shared" si="1578"/>
        <v>1</v>
      </c>
      <c r="K2478" t="str">
        <f t="shared" si="1602"/>
        <v>0</v>
      </c>
      <c r="L2478" t="str">
        <f>"7,000"</f>
        <v>7,000</v>
      </c>
      <c r="M2478" t="str">
        <f t="shared" si="1579"/>
        <v xml:space="preserve"> </v>
      </c>
      <c r="N2478" t="str">
        <f t="shared" si="1610"/>
        <v>TOP SAFE</v>
      </c>
      <c r="O2478" t="str">
        <f t="shared" si="1611"/>
        <v>ANTIRROBOS</v>
      </c>
      <c r="P2478" t="str">
        <f t="shared" si="1605"/>
        <v>0</v>
      </c>
      <c r="Q2478" t="str">
        <f t="shared" si="1605"/>
        <v>0</v>
      </c>
      <c r="R2478" t="str">
        <f t="shared" si="1606"/>
        <v>0,00</v>
      </c>
      <c r="S2478" t="str">
        <f t="shared" si="1606"/>
        <v>0,00</v>
      </c>
      <c r="T2478" t="str">
        <f t="shared" si="1574"/>
        <v xml:space="preserve"> </v>
      </c>
      <c r="U2478" t="str">
        <f t="shared" si="1576"/>
        <v xml:space="preserve"> </v>
      </c>
      <c r="V2478" t="str">
        <f>"7,000"</f>
        <v>7,000</v>
      </c>
      <c r="W2478" t="str">
        <f t="shared" si="1580"/>
        <v>Lista 4</v>
      </c>
      <c r="X2478" t="str">
        <f t="shared" si="1581"/>
        <v>Lista 5</v>
      </c>
      <c r="Y2478" t="str">
        <f t="shared" si="1582"/>
        <v>Oferta Gral.</v>
      </c>
      <c r="Z2478" t="str">
        <f t="shared" si="1583"/>
        <v>Rubro</v>
      </c>
      <c r="AA2478" t="str">
        <f t="shared" si="1584"/>
        <v>Cantidad por Bulto</v>
      </c>
      <c r="AB2478" t="str">
        <f t="shared" si="1585"/>
        <v>INNER</v>
      </c>
      <c r="AC2478" t="str">
        <f t="shared" si="1586"/>
        <v>Stock en Bultos</v>
      </c>
      <c r="AD2478" t="str">
        <f t="shared" si="1587"/>
        <v>SubDepósito</v>
      </c>
      <c r="AE2478" t="str">
        <f t="shared" si="1588"/>
        <v>Marca</v>
      </c>
      <c r="AF2478" t="str">
        <f t="shared" si="1589"/>
        <v>Super Rubro</v>
      </c>
      <c r="AG2478" t="str">
        <f t="shared" si="1590"/>
        <v>ComercioExterior</v>
      </c>
      <c r="AH2478" t="str">
        <f t="shared" si="1591"/>
        <v>PrecioFOB</v>
      </c>
      <c r="AI2478" t="str">
        <f t="shared" si="1592"/>
        <v>Monto II</v>
      </c>
      <c r="AJ2478" t="str">
        <f t="shared" si="1593"/>
        <v>Porcentaje II</v>
      </c>
      <c r="AK2478" t="str">
        <f t="shared" si="1594"/>
        <v>Foto</v>
      </c>
      <c r="AL247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8" t="str">
        <f t="shared" si="1608"/>
        <v xml:space="preserve"> </v>
      </c>
    </row>
    <row r="2479" spans="1:39" x14ac:dyDescent="0.25">
      <c r="A2479" t="str">
        <f>"TOPD20"</f>
        <v>TOPD20</v>
      </c>
      <c r="B2479" t="str">
        <f>"KIT TUERCAS SEGURIDAD MERCEDES SPRINTER 310 VW AMAROK TODOS LLANTA 5 AGUJEROS"</f>
        <v>KIT TUERCAS SEGURIDAD MERCEDES SPRINTER 310 VW AMAROK TODOS LLANTA 5 AGUJEROS</v>
      </c>
      <c r="C2479" t="str">
        <f>"$ 25592,51"</f>
        <v>$ 25592,51</v>
      </c>
      <c r="D2479" t="str">
        <f>"$ 25592,51"</f>
        <v>$ 25592,51</v>
      </c>
      <c r="E2479" t="str">
        <f>"$ 25592,51"</f>
        <v>$ 25592,51</v>
      </c>
      <c r="F2479" t="str">
        <f>"$ 10602,58"</f>
        <v>$ 10602,58</v>
      </c>
      <c r="G2479" t="str">
        <f>"$ 10602,58"</f>
        <v>$ 10602,58</v>
      </c>
      <c r="H2479" t="str">
        <f t="shared" si="1577"/>
        <v>$ 0,00</v>
      </c>
      <c r="I2479" t="str">
        <f t="shared" si="1609"/>
        <v>TUERCAS ANTIRROBO</v>
      </c>
      <c r="J2479" t="str">
        <f t="shared" si="1578"/>
        <v>1</v>
      </c>
      <c r="K2479" t="str">
        <f t="shared" si="1602"/>
        <v>0</v>
      </c>
      <c r="L2479" t="str">
        <f>"8,000"</f>
        <v>8,000</v>
      </c>
      <c r="M2479" t="str">
        <f t="shared" si="1579"/>
        <v xml:space="preserve"> </v>
      </c>
      <c r="N2479" t="str">
        <f t="shared" si="1610"/>
        <v>TOP SAFE</v>
      </c>
      <c r="O2479" t="str">
        <f t="shared" si="1611"/>
        <v>ANTIRROBOS</v>
      </c>
      <c r="P2479" t="str">
        <f t="shared" si="1605"/>
        <v>0</v>
      </c>
      <c r="Q2479" t="str">
        <f t="shared" si="1605"/>
        <v>0</v>
      </c>
      <c r="R2479" t="str">
        <f t="shared" si="1606"/>
        <v>0,00</v>
      </c>
      <c r="S2479" t="str">
        <f t="shared" si="1606"/>
        <v>0,00</v>
      </c>
      <c r="T2479" t="str">
        <f t="shared" si="1574"/>
        <v xml:space="preserve"> </v>
      </c>
      <c r="U2479" t="str">
        <f t="shared" si="1576"/>
        <v xml:space="preserve"> </v>
      </c>
      <c r="V2479" t="str">
        <f>"8,000"</f>
        <v>8,000</v>
      </c>
      <c r="W2479" t="str">
        <f t="shared" si="1580"/>
        <v>Lista 4</v>
      </c>
      <c r="X2479" t="str">
        <f t="shared" si="1581"/>
        <v>Lista 5</v>
      </c>
      <c r="Y2479" t="str">
        <f t="shared" si="1582"/>
        <v>Oferta Gral.</v>
      </c>
      <c r="Z2479" t="str">
        <f t="shared" si="1583"/>
        <v>Rubro</v>
      </c>
      <c r="AA2479" t="str">
        <f t="shared" si="1584"/>
        <v>Cantidad por Bulto</v>
      </c>
      <c r="AB2479" t="str">
        <f t="shared" si="1585"/>
        <v>INNER</v>
      </c>
      <c r="AC2479" t="str">
        <f t="shared" si="1586"/>
        <v>Stock en Bultos</v>
      </c>
      <c r="AD2479" t="str">
        <f t="shared" si="1587"/>
        <v>SubDepósito</v>
      </c>
      <c r="AE2479" t="str">
        <f t="shared" si="1588"/>
        <v>Marca</v>
      </c>
      <c r="AF2479" t="str">
        <f t="shared" si="1589"/>
        <v>Super Rubro</v>
      </c>
      <c r="AG2479" t="str">
        <f t="shared" si="1590"/>
        <v>ComercioExterior</v>
      </c>
      <c r="AH2479" t="str">
        <f t="shared" si="1591"/>
        <v>PrecioFOB</v>
      </c>
      <c r="AI2479" t="str">
        <f t="shared" si="1592"/>
        <v>Monto II</v>
      </c>
      <c r="AJ2479" t="str">
        <f t="shared" si="1593"/>
        <v>Porcentaje II</v>
      </c>
      <c r="AK2479" t="str">
        <f t="shared" si="1594"/>
        <v>Foto</v>
      </c>
      <c r="AL247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9" t="str">
        <f t="shared" si="1608"/>
        <v xml:space="preserve"> </v>
      </c>
    </row>
    <row r="2480" spans="1:39" x14ac:dyDescent="0.25">
      <c r="A2480" t="str">
        <f>"12961LEDAM"</f>
        <v>12961LEDAM</v>
      </c>
      <c r="B2480" t="str">
        <f>"LAMPARA 12961 LED AMARILLO"</f>
        <v>LAMPARA 12961 LED AMARILLO</v>
      </c>
      <c r="C2480" t="str">
        <f>"$ 453,99"</f>
        <v>$ 453,99</v>
      </c>
      <c r="D2480" t="str">
        <f>"$ 453,99"</f>
        <v>$ 453,99</v>
      </c>
      <c r="E2480" t="str">
        <f>"$ 453,99"</f>
        <v>$ 453,99</v>
      </c>
      <c r="F2480" t="str">
        <f>"$ 453,99"</f>
        <v>$ 453,99</v>
      </c>
      <c r="G2480" t="str">
        <f>"$ 453,99"</f>
        <v>$ 453,99</v>
      </c>
      <c r="H2480" t="str">
        <f t="shared" si="1577"/>
        <v>$ 0,00</v>
      </c>
      <c r="I2480" t="str">
        <f>"LED"</f>
        <v>LED</v>
      </c>
      <c r="J2480" t="str">
        <f t="shared" si="1578"/>
        <v>1</v>
      </c>
      <c r="K2480" t="str">
        <f t="shared" si="1602"/>
        <v>0</v>
      </c>
      <c r="L2480" t="str">
        <f>"46,000"</f>
        <v>46,000</v>
      </c>
      <c r="M2480" t="str">
        <f t="shared" si="1579"/>
        <v xml:space="preserve"> </v>
      </c>
      <c r="N2480" t="str">
        <f>"LUX LED"</f>
        <v>LUX LED</v>
      </c>
      <c r="O2480" t="str">
        <f t="shared" ref="O2480:O2511" si="1613">"LAMPARAS"</f>
        <v>LAMPARAS</v>
      </c>
      <c r="P2480" t="str">
        <f t="shared" si="1605"/>
        <v>0</v>
      </c>
      <c r="Q2480" t="str">
        <f t="shared" si="1605"/>
        <v>0</v>
      </c>
      <c r="R2480" t="str">
        <f t="shared" si="1606"/>
        <v>0,00</v>
      </c>
      <c r="S2480" t="str">
        <f t="shared" si="1606"/>
        <v>0,00</v>
      </c>
      <c r="T2480" t="str">
        <f t="shared" si="1574"/>
        <v xml:space="preserve"> </v>
      </c>
      <c r="U2480" t="str">
        <f t="shared" si="1576"/>
        <v xml:space="preserve"> </v>
      </c>
      <c r="V2480" t="str">
        <f>"46,000"</f>
        <v>46,000</v>
      </c>
      <c r="W2480" t="str">
        <f t="shared" si="1580"/>
        <v>Lista 4</v>
      </c>
      <c r="X2480" t="str">
        <f t="shared" si="1581"/>
        <v>Lista 5</v>
      </c>
      <c r="Y2480" t="str">
        <f t="shared" si="1582"/>
        <v>Oferta Gral.</v>
      </c>
      <c r="Z2480" t="str">
        <f t="shared" si="1583"/>
        <v>Rubro</v>
      </c>
      <c r="AA2480" t="str">
        <f t="shared" si="1584"/>
        <v>Cantidad por Bulto</v>
      </c>
      <c r="AB2480" t="str">
        <f t="shared" si="1585"/>
        <v>INNER</v>
      </c>
      <c r="AC2480" t="str">
        <f t="shared" si="1586"/>
        <v>Stock en Bultos</v>
      </c>
      <c r="AD2480" t="str">
        <f t="shared" si="1587"/>
        <v>SubDepósito</v>
      </c>
      <c r="AE2480" t="str">
        <f t="shared" si="1588"/>
        <v>Marca</v>
      </c>
      <c r="AF2480" t="str">
        <f t="shared" si="1589"/>
        <v>Super Rubro</v>
      </c>
      <c r="AG2480" t="str">
        <f t="shared" si="1590"/>
        <v>ComercioExterior</v>
      </c>
      <c r="AH2480" t="str">
        <f t="shared" si="1591"/>
        <v>PrecioFOB</v>
      </c>
      <c r="AI2480" t="str">
        <f t="shared" si="1592"/>
        <v>Monto II</v>
      </c>
      <c r="AJ2480" t="str">
        <f t="shared" si="1593"/>
        <v>Porcentaje II</v>
      </c>
      <c r="AK2480" t="str">
        <f t="shared" si="1594"/>
        <v>Foto</v>
      </c>
      <c r="AL2480" t="str">
        <f>"{\rtf1\ansi\ansicpg1252\deff0\deflang11274{\fonttbl{\f0\fnil\fcharset0 MS Sans Serif}} \viewkind4\uc1\pard\f0\fs16 LAMPARA 12961 LED AMARILLO\par } "</f>
        <v xml:space="preserve">{\rtf1\ansi\ansicpg1252\deff0\deflang11274{\fonttbl{\f0\fnil\fcharset0 MS Sans Serif}} \viewkind4\uc1\pard\f0\fs16 LAMPARA 12961 LED AMARILLO\par } </v>
      </c>
      <c r="AM2480" t="str">
        <f t="shared" si="1608"/>
        <v xml:space="preserve"> </v>
      </c>
    </row>
    <row r="2481" spans="1:39" x14ac:dyDescent="0.25">
      <c r="A2481" t="str">
        <f>"12065AMB"</f>
        <v>12065AMB</v>
      </c>
      <c r="B2481" t="str">
        <f>"LAMPARA 12V 21W SIN CULOTE AMBAR"</f>
        <v>LAMPARA 12V 21W SIN CULOTE AMBAR</v>
      </c>
      <c r="C2481" t="str">
        <f>"$ 3811,41"</f>
        <v>$ 3811,41</v>
      </c>
      <c r="D2481" t="str">
        <f>"$ 3811,41"</f>
        <v>$ 3811,41</v>
      </c>
      <c r="E2481" t="str">
        <f>"$ 3811,41"</f>
        <v>$ 3811,41</v>
      </c>
      <c r="F2481" t="str">
        <f>"$ 3811,41"</f>
        <v>$ 3811,41</v>
      </c>
      <c r="G2481" t="str">
        <f>"$ 3811,41"</f>
        <v>$ 3811,41</v>
      </c>
      <c r="H2481" t="str">
        <f t="shared" si="1577"/>
        <v>$ 0,00</v>
      </c>
      <c r="I2481" t="str">
        <f>"LAMPARAS SEÑALIZACION"</f>
        <v>LAMPARAS SEÑALIZACION</v>
      </c>
      <c r="J2481" t="str">
        <f t="shared" si="1578"/>
        <v>1</v>
      </c>
      <c r="K2481" t="str">
        <f t="shared" si="1602"/>
        <v>0</v>
      </c>
      <c r="L2481" t="str">
        <f>"20,000"</f>
        <v>20,000</v>
      </c>
      <c r="M2481" t="str">
        <f t="shared" si="1579"/>
        <v xml:space="preserve"> </v>
      </c>
      <c r="N2481" t="str">
        <f>"KOBO"</f>
        <v>KOBO</v>
      </c>
      <c r="O2481" t="str">
        <f t="shared" si="1613"/>
        <v>LAMPARAS</v>
      </c>
      <c r="P2481" t="str">
        <f t="shared" si="1605"/>
        <v>0</v>
      </c>
      <c r="Q2481" t="str">
        <f t="shared" si="1605"/>
        <v>0</v>
      </c>
      <c r="R2481" t="str">
        <f t="shared" si="1606"/>
        <v>0,00</v>
      </c>
      <c r="S2481" t="str">
        <f t="shared" si="1606"/>
        <v>0,00</v>
      </c>
      <c r="T2481" t="str">
        <f t="shared" si="1574"/>
        <v xml:space="preserve"> </v>
      </c>
      <c r="U2481" t="str">
        <f t="shared" si="1576"/>
        <v xml:space="preserve"> </v>
      </c>
      <c r="V2481" t="str">
        <f>"20,000"</f>
        <v>20,000</v>
      </c>
      <c r="W2481" t="str">
        <f t="shared" si="1580"/>
        <v>Lista 4</v>
      </c>
      <c r="X2481" t="str">
        <f t="shared" si="1581"/>
        <v>Lista 5</v>
      </c>
      <c r="Y2481" t="str">
        <f t="shared" si="1582"/>
        <v>Oferta Gral.</v>
      </c>
      <c r="Z2481" t="str">
        <f t="shared" si="1583"/>
        <v>Rubro</v>
      </c>
      <c r="AA2481" t="str">
        <f t="shared" si="1584"/>
        <v>Cantidad por Bulto</v>
      </c>
      <c r="AB2481" t="str">
        <f t="shared" si="1585"/>
        <v>INNER</v>
      </c>
      <c r="AC2481" t="str">
        <f t="shared" si="1586"/>
        <v>Stock en Bultos</v>
      </c>
      <c r="AD2481" t="str">
        <f t="shared" si="1587"/>
        <v>SubDepósito</v>
      </c>
      <c r="AE2481" t="str">
        <f t="shared" si="1588"/>
        <v>Marca</v>
      </c>
      <c r="AF2481" t="str">
        <f t="shared" si="1589"/>
        <v>Super Rubro</v>
      </c>
      <c r="AG2481" t="str">
        <f t="shared" si="1590"/>
        <v>ComercioExterior</v>
      </c>
      <c r="AH2481" t="str">
        <f t="shared" si="1591"/>
        <v>PrecioFOB</v>
      </c>
      <c r="AI2481" t="str">
        <f t="shared" si="1592"/>
        <v>Monto II</v>
      </c>
      <c r="AJ2481" t="str">
        <f t="shared" si="1593"/>
        <v>Porcentaje II</v>
      </c>
      <c r="AK2481" t="str">
        <f t="shared" si="1594"/>
        <v>Foto</v>
      </c>
      <c r="AL2481" t="str">
        <f>"{\rtf1\ansi\ansicpg1252\deff0\deflang11274{\fonttbl{\f0\fnil\fcharset0 MS Sans Serif}} \viewkind4\uc1\pard\f0\fs16 LAMPARA 12V 21W SIN CULOTE AMBAR\par } "</f>
        <v xml:space="preserve">{\rtf1\ansi\ansicpg1252\deff0\deflang11274{\fonttbl{\f0\fnil\fcharset0 MS Sans Serif}} \viewkind4\uc1\pard\f0\fs16 LAMPARA 12V 21W SIN CULOTE AMBAR\par } </v>
      </c>
      <c r="AM2481" t="str">
        <f>"-"</f>
        <v>-</v>
      </c>
    </row>
    <row r="2482" spans="1:39" x14ac:dyDescent="0.25">
      <c r="A2482" t="str">
        <f>"M5"</f>
        <v>M5</v>
      </c>
      <c r="B2482" t="str">
        <f>"LAMPARA 12V 25/25W P15D-25-1"</f>
        <v>LAMPARA 12V 25/25W P15D-25-1</v>
      </c>
      <c r="C2482" t="str">
        <f>"$ 2364,99"</f>
        <v>$ 2364,99</v>
      </c>
      <c r="D2482" t="str">
        <f>"$ 2364,99"</f>
        <v>$ 2364,99</v>
      </c>
      <c r="E2482" t="str">
        <f>"$ 2364,99"</f>
        <v>$ 2364,99</v>
      </c>
      <c r="F2482" t="str">
        <f>"$ 2364,99"</f>
        <v>$ 2364,99</v>
      </c>
      <c r="G2482" t="str">
        <f>"$ 2364,99"</f>
        <v>$ 2364,99</v>
      </c>
      <c r="H2482" t="str">
        <f t="shared" si="1577"/>
        <v>$ 0,00</v>
      </c>
      <c r="I2482" t="str">
        <f>"LAMPARAS HALOGENAS"</f>
        <v>LAMPARAS HALOGENAS</v>
      </c>
      <c r="J2482" t="str">
        <f t="shared" si="1578"/>
        <v>1</v>
      </c>
      <c r="K2482" t="str">
        <f t="shared" si="1602"/>
        <v>0</v>
      </c>
      <c r="L2482" t="str">
        <f>"0,000"</f>
        <v>0,000</v>
      </c>
      <c r="M2482" t="str">
        <f t="shared" si="1579"/>
        <v xml:space="preserve"> </v>
      </c>
      <c r="N2482" t="str">
        <f>"KOBO"</f>
        <v>KOBO</v>
      </c>
      <c r="O2482" t="str">
        <f t="shared" si="1613"/>
        <v>LAMPARAS</v>
      </c>
      <c r="P2482" t="str">
        <f t="shared" si="1605"/>
        <v>0</v>
      </c>
      <c r="Q2482" t="str">
        <f t="shared" si="1605"/>
        <v>0</v>
      </c>
      <c r="R2482" t="str">
        <f t="shared" si="1606"/>
        <v>0,00</v>
      </c>
      <c r="S2482" t="str">
        <f t="shared" si="1606"/>
        <v>0,00</v>
      </c>
      <c r="T2482" t="str">
        <f t="shared" si="1574"/>
        <v xml:space="preserve"> </v>
      </c>
      <c r="U2482" t="str">
        <f t="shared" si="1576"/>
        <v xml:space="preserve"> </v>
      </c>
      <c r="V2482" t="str">
        <f>"0,000"</f>
        <v>0,000</v>
      </c>
      <c r="W2482" t="str">
        <f t="shared" si="1580"/>
        <v>Lista 4</v>
      </c>
      <c r="X2482" t="str">
        <f t="shared" si="1581"/>
        <v>Lista 5</v>
      </c>
      <c r="Y2482" t="str">
        <f t="shared" si="1582"/>
        <v>Oferta Gral.</v>
      </c>
      <c r="Z2482" t="str">
        <f t="shared" si="1583"/>
        <v>Rubro</v>
      </c>
      <c r="AA2482" t="str">
        <f t="shared" si="1584"/>
        <v>Cantidad por Bulto</v>
      </c>
      <c r="AB2482" t="str">
        <f t="shared" si="1585"/>
        <v>INNER</v>
      </c>
      <c r="AC2482" t="str">
        <f t="shared" si="1586"/>
        <v>Stock en Bultos</v>
      </c>
      <c r="AD2482" t="str">
        <f t="shared" si="1587"/>
        <v>SubDepósito</v>
      </c>
      <c r="AE2482" t="str">
        <f t="shared" si="1588"/>
        <v>Marca</v>
      </c>
      <c r="AF2482" t="str">
        <f t="shared" si="1589"/>
        <v>Super Rubro</v>
      </c>
      <c r="AG2482" t="str">
        <f t="shared" si="1590"/>
        <v>ComercioExterior</v>
      </c>
      <c r="AH2482" t="str">
        <f t="shared" si="1591"/>
        <v>PrecioFOB</v>
      </c>
      <c r="AI2482" t="str">
        <f t="shared" si="1592"/>
        <v>Monto II</v>
      </c>
      <c r="AJ2482" t="str">
        <f t="shared" si="1593"/>
        <v>Porcentaje II</v>
      </c>
      <c r="AK2482" t="str">
        <f t="shared" si="1594"/>
        <v>Foto</v>
      </c>
      <c r="AL2482" t="str">
        <f>"{\rtf1\ansi\ansicpg1252\deff0\deflang11274{\fonttbl{\f0\fnil\fcharset0 MS Sans Serif}} \viewkind4\uc1\pard\f0\fs16 LAMPARA 12V 25/25W P15D-25-1\par } "</f>
        <v xml:space="preserve">{\rtf1\ansi\ansicpg1252\deff0\deflang11274{\fonttbl{\f0\fnil\fcharset0 MS Sans Serif}} \viewkind4\uc1\pard\f0\fs16 LAMPARA 12V 25/25W P15D-25-1\par } </v>
      </c>
      <c r="AM2482" t="str">
        <f>" "</f>
        <v xml:space="preserve"> </v>
      </c>
    </row>
    <row r="2483" spans="1:39" x14ac:dyDescent="0.25">
      <c r="A2483" t="str">
        <f>"H6M"</f>
        <v>H6M</v>
      </c>
      <c r="B2483" t="str">
        <f>"LAMPARA 12V 35/35W BA20D"</f>
        <v>LAMPARA 12V 35/35W BA20D</v>
      </c>
      <c r="C2483" t="str">
        <f>"$ 1932,10"</f>
        <v>$ 1932,10</v>
      </c>
      <c r="D2483" t="str">
        <f>"$ 1932,10"</f>
        <v>$ 1932,10</v>
      </c>
      <c r="E2483" t="str">
        <f>"$ 1932,10"</f>
        <v>$ 1932,10</v>
      </c>
      <c r="F2483" t="str">
        <f>"$ 1932,10"</f>
        <v>$ 1932,10</v>
      </c>
      <c r="G2483" t="str">
        <f>"$ 1932,10"</f>
        <v>$ 1932,10</v>
      </c>
      <c r="H2483" t="str">
        <f t="shared" si="1577"/>
        <v>$ 0,00</v>
      </c>
      <c r="I2483" t="str">
        <f>"LAMPARAS HALOGENAS"</f>
        <v>LAMPARAS HALOGENAS</v>
      </c>
      <c r="J2483" t="str">
        <f t="shared" si="1578"/>
        <v>1</v>
      </c>
      <c r="K2483" t="str">
        <f t="shared" si="1602"/>
        <v>0</v>
      </c>
      <c r="L2483" t="str">
        <f>"0,000"</f>
        <v>0,000</v>
      </c>
      <c r="M2483" t="str">
        <f t="shared" si="1579"/>
        <v xml:space="preserve"> </v>
      </c>
      <c r="N2483" t="str">
        <f>"KOBO"</f>
        <v>KOBO</v>
      </c>
      <c r="O2483" t="str">
        <f t="shared" si="1613"/>
        <v>LAMPARAS</v>
      </c>
      <c r="P2483" t="str">
        <f t="shared" ref="P2483:Q2502" si="1614">"0"</f>
        <v>0</v>
      </c>
      <c r="Q2483" t="str">
        <f t="shared" si="1614"/>
        <v>0</v>
      </c>
      <c r="R2483" t="str">
        <f t="shared" ref="R2483:S2502" si="1615">"0,00"</f>
        <v>0,00</v>
      </c>
      <c r="S2483" t="str">
        <f t="shared" si="1615"/>
        <v>0,00</v>
      </c>
      <c r="T2483" t="str">
        <f t="shared" si="1574"/>
        <v xml:space="preserve"> </v>
      </c>
      <c r="U2483" t="str">
        <f t="shared" si="1576"/>
        <v xml:space="preserve"> </v>
      </c>
      <c r="V2483" t="str">
        <f>"0,000"</f>
        <v>0,000</v>
      </c>
      <c r="W2483" t="str">
        <f t="shared" si="1580"/>
        <v>Lista 4</v>
      </c>
      <c r="X2483" t="str">
        <f t="shared" si="1581"/>
        <v>Lista 5</v>
      </c>
      <c r="Y2483" t="str">
        <f t="shared" si="1582"/>
        <v>Oferta Gral.</v>
      </c>
      <c r="Z2483" t="str">
        <f t="shared" si="1583"/>
        <v>Rubro</v>
      </c>
      <c r="AA2483" t="str">
        <f t="shared" si="1584"/>
        <v>Cantidad por Bulto</v>
      </c>
      <c r="AB2483" t="str">
        <f t="shared" si="1585"/>
        <v>INNER</v>
      </c>
      <c r="AC2483" t="str">
        <f t="shared" si="1586"/>
        <v>Stock en Bultos</v>
      </c>
      <c r="AD2483" t="str">
        <f t="shared" si="1587"/>
        <v>SubDepósito</v>
      </c>
      <c r="AE2483" t="str">
        <f t="shared" si="1588"/>
        <v>Marca</v>
      </c>
      <c r="AF2483" t="str">
        <f t="shared" si="1589"/>
        <v>Super Rubro</v>
      </c>
      <c r="AG2483" t="str">
        <f t="shared" si="1590"/>
        <v>ComercioExterior</v>
      </c>
      <c r="AH2483" t="str">
        <f t="shared" si="1591"/>
        <v>PrecioFOB</v>
      </c>
      <c r="AI2483" t="str">
        <f t="shared" si="1592"/>
        <v>Monto II</v>
      </c>
      <c r="AJ2483" t="str">
        <f t="shared" si="1593"/>
        <v>Porcentaje II</v>
      </c>
      <c r="AK2483" t="str">
        <f t="shared" si="1594"/>
        <v>Foto</v>
      </c>
      <c r="AL2483" t="str">
        <f>"{\rtf1\ansi\ansicpg1252\deff0\deflang11274{\fonttbl{\f0\fnil\fcharset0 MS Sans Serif}} \viewkind4\uc1\pard\f0\fs16 LAMPARA 12V 35/35W BA20D\par } "</f>
        <v xml:space="preserve">{\rtf1\ansi\ansicpg1252\deff0\deflang11274{\fonttbl{\f0\fnil\fcharset0 MS Sans Serif}} \viewkind4\uc1\pard\f0\fs16 LAMPARA 12V 35/35W BA20D\par } </v>
      </c>
      <c r="AM2483" t="str">
        <f>" "</f>
        <v xml:space="preserve"> </v>
      </c>
    </row>
    <row r="2484" spans="1:39" x14ac:dyDescent="0.25">
      <c r="A2484" t="str">
        <f>"12498LED13"</f>
        <v>12498LED13</v>
      </c>
      <c r="B2484" t="str">
        <f>"LAMPARA 13 LED POSICION TRASERA"</f>
        <v>LAMPARA 13 LED POSICION TRASERA</v>
      </c>
      <c r="C2484" t="str">
        <f t="shared" ref="C2484:G2485" si="1616">"$ 2935,11"</f>
        <v>$ 2935,11</v>
      </c>
      <c r="D2484" t="str">
        <f t="shared" si="1616"/>
        <v>$ 2935,11</v>
      </c>
      <c r="E2484" t="str">
        <f t="shared" si="1616"/>
        <v>$ 2935,11</v>
      </c>
      <c r="F2484" t="str">
        <f t="shared" si="1616"/>
        <v>$ 2935,11</v>
      </c>
      <c r="G2484" t="str">
        <f t="shared" si="1616"/>
        <v>$ 2935,11</v>
      </c>
      <c r="H2484" t="str">
        <f t="shared" si="1577"/>
        <v>$ 0,00</v>
      </c>
      <c r="I2484" t="str">
        <f>"LED"</f>
        <v>LED</v>
      </c>
      <c r="J2484" t="str">
        <f t="shared" si="1578"/>
        <v>1</v>
      </c>
      <c r="K2484" t="str">
        <f t="shared" si="1602"/>
        <v>0</v>
      </c>
      <c r="L2484" t="str">
        <f>"4,000"</f>
        <v>4,000</v>
      </c>
      <c r="M2484" t="str">
        <f t="shared" si="1579"/>
        <v xml:space="preserve"> </v>
      </c>
      <c r="N2484" t="str">
        <f>"LUX LED"</f>
        <v>LUX LED</v>
      </c>
      <c r="O2484" t="str">
        <f t="shared" si="1613"/>
        <v>LAMPARAS</v>
      </c>
      <c r="P2484" t="str">
        <f t="shared" si="1614"/>
        <v>0</v>
      </c>
      <c r="Q2484" t="str">
        <f t="shared" si="1614"/>
        <v>0</v>
      </c>
      <c r="R2484" t="str">
        <f t="shared" si="1615"/>
        <v>0,00</v>
      </c>
      <c r="S2484" t="str">
        <f t="shared" si="1615"/>
        <v>0,00</v>
      </c>
      <c r="T2484" t="str">
        <f t="shared" si="1574"/>
        <v xml:space="preserve"> </v>
      </c>
      <c r="U2484" t="str">
        <f t="shared" si="1576"/>
        <v xml:space="preserve"> </v>
      </c>
      <c r="V2484" t="str">
        <f>"4,000"</f>
        <v>4,000</v>
      </c>
      <c r="W2484" t="str">
        <f t="shared" si="1580"/>
        <v>Lista 4</v>
      </c>
      <c r="X2484" t="str">
        <f t="shared" si="1581"/>
        <v>Lista 5</v>
      </c>
      <c r="Y2484" t="str">
        <f t="shared" si="1582"/>
        <v>Oferta Gral.</v>
      </c>
      <c r="Z2484" t="str">
        <f t="shared" si="1583"/>
        <v>Rubro</v>
      </c>
      <c r="AA2484" t="str">
        <f t="shared" si="1584"/>
        <v>Cantidad por Bulto</v>
      </c>
      <c r="AB2484" t="str">
        <f t="shared" si="1585"/>
        <v>INNER</v>
      </c>
      <c r="AC2484" t="str">
        <f t="shared" si="1586"/>
        <v>Stock en Bultos</v>
      </c>
      <c r="AD2484" t="str">
        <f t="shared" si="1587"/>
        <v>SubDepósito</v>
      </c>
      <c r="AE2484" t="str">
        <f t="shared" si="1588"/>
        <v>Marca</v>
      </c>
      <c r="AF2484" t="str">
        <f t="shared" si="1589"/>
        <v>Super Rubro</v>
      </c>
      <c r="AG2484" t="str">
        <f t="shared" si="1590"/>
        <v>ComercioExterior</v>
      </c>
      <c r="AH2484" t="str">
        <f t="shared" si="1591"/>
        <v>PrecioFOB</v>
      </c>
      <c r="AI2484" t="str">
        <f t="shared" si="1592"/>
        <v>Monto II</v>
      </c>
      <c r="AJ2484" t="str">
        <f t="shared" si="1593"/>
        <v>Porcentaje II</v>
      </c>
      <c r="AK2484" t="str">
        <f t="shared" si="1594"/>
        <v>Foto</v>
      </c>
      <c r="AL2484" t="str">
        <f>"{\rtf1\ansi\ansicpg1252\deff0\deflang11274{\fonttbl{\f0\fnil\fcharset0 MS Sans Serif}} \viewkind4\uc1\pard\f0\fs16 LAMPARA 13 LED POSICION TRASERA\par } "</f>
        <v xml:space="preserve">{\rtf1\ansi\ansicpg1252\deff0\deflang11274{\fonttbl{\f0\fnil\fcharset0 MS Sans Serif}} \viewkind4\uc1\pard\f0\fs16 LAMPARA 13 LED POSICION TRASERA\par } </v>
      </c>
      <c r="AM2484" t="str">
        <f>" "</f>
        <v xml:space="preserve"> </v>
      </c>
    </row>
    <row r="2485" spans="1:39" x14ac:dyDescent="0.25">
      <c r="A2485" t="str">
        <f>"12499LED13"</f>
        <v>12499LED13</v>
      </c>
      <c r="B2485" t="str">
        <f>"LAMPARA 13 LED POSICION/STOP (1034)"</f>
        <v>LAMPARA 13 LED POSICION/STOP (1034)</v>
      </c>
      <c r="C2485" t="str">
        <f t="shared" si="1616"/>
        <v>$ 2935,11</v>
      </c>
      <c r="D2485" t="str">
        <f t="shared" si="1616"/>
        <v>$ 2935,11</v>
      </c>
      <c r="E2485" t="str">
        <f t="shared" si="1616"/>
        <v>$ 2935,11</v>
      </c>
      <c r="F2485" t="str">
        <f t="shared" si="1616"/>
        <v>$ 2935,11</v>
      </c>
      <c r="G2485" t="str">
        <f t="shared" si="1616"/>
        <v>$ 2935,11</v>
      </c>
      <c r="H2485" t="str">
        <f t="shared" si="1577"/>
        <v>$ 0,00</v>
      </c>
      <c r="I2485" t="str">
        <f>"LED"</f>
        <v>LED</v>
      </c>
      <c r="J2485" t="str">
        <f t="shared" si="1578"/>
        <v>1</v>
      </c>
      <c r="K2485" t="str">
        <f t="shared" si="1602"/>
        <v>0</v>
      </c>
      <c r="L2485" t="str">
        <f>"13,000"</f>
        <v>13,000</v>
      </c>
      <c r="M2485" t="str">
        <f t="shared" si="1579"/>
        <v xml:space="preserve"> </v>
      </c>
      <c r="N2485" t="str">
        <f>"LUX LED"</f>
        <v>LUX LED</v>
      </c>
      <c r="O2485" t="str">
        <f t="shared" si="1613"/>
        <v>LAMPARAS</v>
      </c>
      <c r="P2485" t="str">
        <f t="shared" si="1614"/>
        <v>0</v>
      </c>
      <c r="Q2485" t="str">
        <f t="shared" si="1614"/>
        <v>0</v>
      </c>
      <c r="R2485" t="str">
        <f t="shared" si="1615"/>
        <v>0,00</v>
      </c>
      <c r="S2485" t="str">
        <f t="shared" si="1615"/>
        <v>0,00</v>
      </c>
      <c r="T2485" t="str">
        <f t="shared" si="1574"/>
        <v xml:space="preserve"> </v>
      </c>
      <c r="U2485" t="str">
        <f t="shared" si="1576"/>
        <v xml:space="preserve"> </v>
      </c>
      <c r="V2485" t="str">
        <f>"13,000"</f>
        <v>13,000</v>
      </c>
      <c r="W2485" t="str">
        <f t="shared" si="1580"/>
        <v>Lista 4</v>
      </c>
      <c r="X2485" t="str">
        <f t="shared" si="1581"/>
        <v>Lista 5</v>
      </c>
      <c r="Y2485" t="str">
        <f t="shared" si="1582"/>
        <v>Oferta Gral.</v>
      </c>
      <c r="Z2485" t="str">
        <f t="shared" si="1583"/>
        <v>Rubro</v>
      </c>
      <c r="AA2485" t="str">
        <f t="shared" si="1584"/>
        <v>Cantidad por Bulto</v>
      </c>
      <c r="AB2485" t="str">
        <f t="shared" si="1585"/>
        <v>INNER</v>
      </c>
      <c r="AC2485" t="str">
        <f t="shared" si="1586"/>
        <v>Stock en Bultos</v>
      </c>
      <c r="AD2485" t="str">
        <f t="shared" si="1587"/>
        <v>SubDepósito</v>
      </c>
      <c r="AE2485" t="str">
        <f t="shared" si="1588"/>
        <v>Marca</v>
      </c>
      <c r="AF2485" t="str">
        <f t="shared" si="1589"/>
        <v>Super Rubro</v>
      </c>
      <c r="AG2485" t="str">
        <f t="shared" si="1590"/>
        <v>ComercioExterior</v>
      </c>
      <c r="AH2485" t="str">
        <f t="shared" si="1591"/>
        <v>PrecioFOB</v>
      </c>
      <c r="AI2485" t="str">
        <f t="shared" si="1592"/>
        <v>Monto II</v>
      </c>
      <c r="AJ2485" t="str">
        <f t="shared" si="1593"/>
        <v>Porcentaje II</v>
      </c>
      <c r="AK2485" t="str">
        <f t="shared" si="1594"/>
        <v>Foto</v>
      </c>
      <c r="AL2485" t="str">
        <f>"{\rtf1\ansi\ansicpg1252\deff0\deflang11274{\fonttbl{\f0\fnil\fcharset0 MS Sans Serif}} \viewkind4\uc1\pard\f0\fs16 LAMPARA 13 LED POSICION/STOP (1034)\par } "</f>
        <v xml:space="preserve">{\rtf1\ansi\ansicpg1252\deff0\deflang11274{\fonttbl{\f0\fnil\fcharset0 MS Sans Serif}} \viewkind4\uc1\pard\f0\fs16 LAMPARA 13 LED POSICION/STOP (1034)\par } </v>
      </c>
      <c r="AM2485" t="str">
        <f>" "</f>
        <v xml:space="preserve"> </v>
      </c>
    </row>
    <row r="2486" spans="1:39" x14ac:dyDescent="0.25">
      <c r="A2486" t="str">
        <f>"12499KORED"</f>
        <v>12499KORED</v>
      </c>
      <c r="B2486" t="str">
        <f>"LAMPARA 2 POLOS ROJA 12V 21/5W "</f>
        <v xml:space="preserve">LAMPARA 2 POLOS ROJA 12V 21/5W </v>
      </c>
      <c r="C2486" t="str">
        <f>"$ 971,34"</f>
        <v>$ 971,34</v>
      </c>
      <c r="D2486" t="str">
        <f>"$ 971,34"</f>
        <v>$ 971,34</v>
      </c>
      <c r="E2486" t="str">
        <f>"$ 971,34"</f>
        <v>$ 971,34</v>
      </c>
      <c r="F2486" t="str">
        <f>"$ 971,34"</f>
        <v>$ 971,34</v>
      </c>
      <c r="G2486" t="str">
        <f>"$ 971,34"</f>
        <v>$ 971,34</v>
      </c>
      <c r="H2486" t="str">
        <f t="shared" si="1577"/>
        <v>$ 0,00</v>
      </c>
      <c r="I2486" t="str">
        <f>"LAMPARAS SEÑALIZACION"</f>
        <v>LAMPARAS SEÑALIZACION</v>
      </c>
      <c r="J2486" t="str">
        <f t="shared" si="1578"/>
        <v>1</v>
      </c>
      <c r="K2486" t="str">
        <f t="shared" si="1602"/>
        <v>0</v>
      </c>
      <c r="L2486" t="str">
        <f>"30,000"</f>
        <v>30,000</v>
      </c>
      <c r="M2486" t="str">
        <f t="shared" si="1579"/>
        <v xml:space="preserve"> </v>
      </c>
      <c r="N2486" t="str">
        <f>"KOBO"</f>
        <v>KOBO</v>
      </c>
      <c r="O2486" t="str">
        <f t="shared" si="1613"/>
        <v>LAMPARAS</v>
      </c>
      <c r="P2486" t="str">
        <f t="shared" si="1614"/>
        <v>0</v>
      </c>
      <c r="Q2486" t="str">
        <f t="shared" si="1614"/>
        <v>0</v>
      </c>
      <c r="R2486" t="str">
        <f t="shared" si="1615"/>
        <v>0,00</v>
      </c>
      <c r="S2486" t="str">
        <f t="shared" si="1615"/>
        <v>0,00</v>
      </c>
      <c r="T2486" t="str">
        <f t="shared" si="1574"/>
        <v xml:space="preserve"> </v>
      </c>
      <c r="U2486" t="str">
        <f t="shared" si="1576"/>
        <v xml:space="preserve"> </v>
      </c>
      <c r="V2486" t="str">
        <f>"30,000"</f>
        <v>30,000</v>
      </c>
      <c r="W2486" t="str">
        <f t="shared" si="1580"/>
        <v>Lista 4</v>
      </c>
      <c r="X2486" t="str">
        <f t="shared" si="1581"/>
        <v>Lista 5</v>
      </c>
      <c r="Y2486" t="str">
        <f t="shared" si="1582"/>
        <v>Oferta Gral.</v>
      </c>
      <c r="Z2486" t="str">
        <f t="shared" si="1583"/>
        <v>Rubro</v>
      </c>
      <c r="AA2486" t="str">
        <f t="shared" si="1584"/>
        <v>Cantidad por Bulto</v>
      </c>
      <c r="AB2486" t="str">
        <f t="shared" si="1585"/>
        <v>INNER</v>
      </c>
      <c r="AC2486" t="str">
        <f t="shared" si="1586"/>
        <v>Stock en Bultos</v>
      </c>
      <c r="AD2486" t="str">
        <f t="shared" si="1587"/>
        <v>SubDepósito</v>
      </c>
      <c r="AE2486" t="str">
        <f t="shared" si="1588"/>
        <v>Marca</v>
      </c>
      <c r="AF2486" t="str">
        <f t="shared" si="1589"/>
        <v>Super Rubro</v>
      </c>
      <c r="AG2486" t="str">
        <f t="shared" si="1590"/>
        <v>ComercioExterior</v>
      </c>
      <c r="AH2486" t="str">
        <f t="shared" si="1591"/>
        <v>PrecioFOB</v>
      </c>
      <c r="AI2486" t="str">
        <f t="shared" si="1592"/>
        <v>Monto II</v>
      </c>
      <c r="AJ2486" t="str">
        <f t="shared" si="1593"/>
        <v>Porcentaje II</v>
      </c>
      <c r="AK2486" t="str">
        <f t="shared" si="1594"/>
        <v>Foto</v>
      </c>
      <c r="AL2486" t="str">
        <f>"{\rtf1\ansi\ansicpg1252\deff0\deflang11274{\fonttbl{\f0\fnil\fcharset0 MS Sans Serif}} \viewkind4\uc1\pard\f0\fs16 LAMPARA 2 POLOS ROJA 12V 21/5W \par } "</f>
        <v xml:space="preserve">{\rtf1\ansi\ansicpg1252\deff0\deflang11274{\fonttbl{\f0\fnil\fcharset0 MS Sans Serif}} \viewkind4\uc1\pard\f0\fs16 LAMPARA 2 POLOS ROJA 12V 21/5W \par } </v>
      </c>
      <c r="AM2486" t="str">
        <f>"-"</f>
        <v>-</v>
      </c>
    </row>
    <row r="2487" spans="1:39" x14ac:dyDescent="0.25">
      <c r="A2487" t="str">
        <f>"12961LEDAZ"</f>
        <v>12961LEDAZ</v>
      </c>
      <c r="B2487" t="str">
        <f>"LAMPARA 2821 LED AZUL 12V."</f>
        <v>LAMPARA 2821 LED AZUL 12V.</v>
      </c>
      <c r="C2487" t="str">
        <f t="shared" ref="C2487:G2490" si="1617">"$ 453,99"</f>
        <v>$ 453,99</v>
      </c>
      <c r="D2487" t="str">
        <f t="shared" si="1617"/>
        <v>$ 453,99</v>
      </c>
      <c r="E2487" t="str">
        <f t="shared" si="1617"/>
        <v>$ 453,99</v>
      </c>
      <c r="F2487" t="str">
        <f t="shared" si="1617"/>
        <v>$ 453,99</v>
      </c>
      <c r="G2487" t="str">
        <f t="shared" si="1617"/>
        <v>$ 453,99</v>
      </c>
      <c r="H2487" t="str">
        <f t="shared" si="1577"/>
        <v>$ 0,00</v>
      </c>
      <c r="I2487" t="str">
        <f>"LED"</f>
        <v>LED</v>
      </c>
      <c r="J2487" t="str">
        <f t="shared" si="1578"/>
        <v>1</v>
      </c>
      <c r="K2487" t="str">
        <f t="shared" si="1602"/>
        <v>0</v>
      </c>
      <c r="L2487" t="str">
        <f>"-29,000"</f>
        <v>-29,000</v>
      </c>
      <c r="M2487" t="str">
        <f t="shared" si="1579"/>
        <v xml:space="preserve"> </v>
      </c>
      <c r="N2487" t="str">
        <f>"LUX LED"</f>
        <v>LUX LED</v>
      </c>
      <c r="O2487" t="str">
        <f t="shared" si="1613"/>
        <v>LAMPARAS</v>
      </c>
      <c r="P2487" t="str">
        <f t="shared" si="1614"/>
        <v>0</v>
      </c>
      <c r="Q2487" t="str">
        <f t="shared" si="1614"/>
        <v>0</v>
      </c>
      <c r="R2487" t="str">
        <f t="shared" si="1615"/>
        <v>0,00</v>
      </c>
      <c r="S2487" t="str">
        <f t="shared" si="1615"/>
        <v>0,00</v>
      </c>
      <c r="T2487" t="str">
        <f t="shared" si="1574"/>
        <v xml:space="preserve"> </v>
      </c>
      <c r="U2487" t="str">
        <f t="shared" si="1576"/>
        <v xml:space="preserve"> </v>
      </c>
      <c r="V2487" t="str">
        <f>"-29,000"</f>
        <v>-29,000</v>
      </c>
      <c r="W2487" t="str">
        <f t="shared" si="1580"/>
        <v>Lista 4</v>
      </c>
      <c r="X2487" t="str">
        <f t="shared" si="1581"/>
        <v>Lista 5</v>
      </c>
      <c r="Y2487" t="str">
        <f t="shared" si="1582"/>
        <v>Oferta Gral.</v>
      </c>
      <c r="Z2487" t="str">
        <f t="shared" si="1583"/>
        <v>Rubro</v>
      </c>
      <c r="AA2487" t="str">
        <f t="shared" si="1584"/>
        <v>Cantidad por Bulto</v>
      </c>
      <c r="AB2487" t="str">
        <f t="shared" si="1585"/>
        <v>INNER</v>
      </c>
      <c r="AC2487" t="str">
        <f t="shared" si="1586"/>
        <v>Stock en Bultos</v>
      </c>
      <c r="AD2487" t="str">
        <f t="shared" si="1587"/>
        <v>SubDepósito</v>
      </c>
      <c r="AE2487" t="str">
        <f t="shared" si="1588"/>
        <v>Marca</v>
      </c>
      <c r="AF2487" t="str">
        <f t="shared" si="1589"/>
        <v>Super Rubro</v>
      </c>
      <c r="AG2487" t="str">
        <f t="shared" si="1590"/>
        <v>ComercioExterior</v>
      </c>
      <c r="AH2487" t="str">
        <f t="shared" si="1591"/>
        <v>PrecioFOB</v>
      </c>
      <c r="AI2487" t="str">
        <f t="shared" si="1592"/>
        <v>Monto II</v>
      </c>
      <c r="AJ2487" t="str">
        <f t="shared" si="1593"/>
        <v>Porcentaje II</v>
      </c>
      <c r="AK2487" t="str">
        <f t="shared" si="1594"/>
        <v>Foto</v>
      </c>
      <c r="AL2487" t="str">
        <f>"{\rtf1\ansi\ansicpg1252\deff0\deflang11274{\fonttbl{\f0\fnil\fcharset0 MS Sans Serif}} \viewkind4\uc1\pard\f0\fs16 LAMPARA 2821 LED AZUL 12V.\par } "</f>
        <v xml:space="preserve">{\rtf1\ansi\ansicpg1252\deff0\deflang11274{\fonttbl{\f0\fnil\fcharset0 MS Sans Serif}} \viewkind4\uc1\pard\f0\fs16 LAMPARA 2821 LED AZUL 12V.\par } </v>
      </c>
      <c r="AM2487" t="str">
        <f t="shared" ref="AM2487:AM2494" si="1618">" "</f>
        <v xml:space="preserve"> </v>
      </c>
    </row>
    <row r="2488" spans="1:39" x14ac:dyDescent="0.25">
      <c r="A2488" t="str">
        <f>"12961LEDBL"</f>
        <v>12961LEDBL</v>
      </c>
      <c r="B2488" t="str">
        <f>"LAMPARA 2821 LED BLANCO"</f>
        <v>LAMPARA 2821 LED BLANCO</v>
      </c>
      <c r="C2488" t="str">
        <f t="shared" si="1617"/>
        <v>$ 453,99</v>
      </c>
      <c r="D2488" t="str">
        <f t="shared" si="1617"/>
        <v>$ 453,99</v>
      </c>
      <c r="E2488" t="str">
        <f t="shared" si="1617"/>
        <v>$ 453,99</v>
      </c>
      <c r="F2488" t="str">
        <f t="shared" si="1617"/>
        <v>$ 453,99</v>
      </c>
      <c r="G2488" t="str">
        <f t="shared" si="1617"/>
        <v>$ 453,99</v>
      </c>
      <c r="H2488" t="str">
        <f t="shared" si="1577"/>
        <v>$ 0,00</v>
      </c>
      <c r="I2488" t="str">
        <f>"LED"</f>
        <v>LED</v>
      </c>
      <c r="J2488" t="str">
        <f t="shared" si="1578"/>
        <v>1</v>
      </c>
      <c r="K2488" t="str">
        <f t="shared" si="1602"/>
        <v>0</v>
      </c>
      <c r="L2488" t="str">
        <f>"52,000"</f>
        <v>52,000</v>
      </c>
      <c r="M2488" t="str">
        <f t="shared" si="1579"/>
        <v xml:space="preserve"> </v>
      </c>
      <c r="N2488" t="str">
        <f>"LUX LED"</f>
        <v>LUX LED</v>
      </c>
      <c r="O2488" t="str">
        <f t="shared" si="1613"/>
        <v>LAMPARAS</v>
      </c>
      <c r="P2488" t="str">
        <f t="shared" si="1614"/>
        <v>0</v>
      </c>
      <c r="Q2488" t="str">
        <f t="shared" si="1614"/>
        <v>0</v>
      </c>
      <c r="R2488" t="str">
        <f t="shared" si="1615"/>
        <v>0,00</v>
      </c>
      <c r="S2488" t="str">
        <f t="shared" si="1615"/>
        <v>0,00</v>
      </c>
      <c r="T2488" t="str">
        <f t="shared" si="1574"/>
        <v xml:space="preserve"> </v>
      </c>
      <c r="U2488" t="str">
        <f t="shared" si="1576"/>
        <v xml:space="preserve"> </v>
      </c>
      <c r="V2488" t="str">
        <f>"52,000"</f>
        <v>52,000</v>
      </c>
      <c r="W2488" t="str">
        <f t="shared" si="1580"/>
        <v>Lista 4</v>
      </c>
      <c r="X2488" t="str">
        <f t="shared" si="1581"/>
        <v>Lista 5</v>
      </c>
      <c r="Y2488" t="str">
        <f t="shared" si="1582"/>
        <v>Oferta Gral.</v>
      </c>
      <c r="Z2488" t="str">
        <f t="shared" si="1583"/>
        <v>Rubro</v>
      </c>
      <c r="AA2488" t="str">
        <f t="shared" si="1584"/>
        <v>Cantidad por Bulto</v>
      </c>
      <c r="AB2488" t="str">
        <f t="shared" si="1585"/>
        <v>INNER</v>
      </c>
      <c r="AC2488" t="str">
        <f t="shared" si="1586"/>
        <v>Stock en Bultos</v>
      </c>
      <c r="AD2488" t="str">
        <f t="shared" si="1587"/>
        <v>SubDepósito</v>
      </c>
      <c r="AE2488" t="str">
        <f t="shared" si="1588"/>
        <v>Marca</v>
      </c>
      <c r="AF2488" t="str">
        <f t="shared" si="1589"/>
        <v>Super Rubro</v>
      </c>
      <c r="AG2488" t="str">
        <f t="shared" si="1590"/>
        <v>ComercioExterior</v>
      </c>
      <c r="AH2488" t="str">
        <f t="shared" si="1591"/>
        <v>PrecioFOB</v>
      </c>
      <c r="AI2488" t="str">
        <f t="shared" si="1592"/>
        <v>Monto II</v>
      </c>
      <c r="AJ2488" t="str">
        <f t="shared" si="1593"/>
        <v>Porcentaje II</v>
      </c>
      <c r="AK2488" t="str">
        <f t="shared" si="1594"/>
        <v>Foto</v>
      </c>
      <c r="AL2488" t="str">
        <f>"{\rtf1\ansi\ansicpg1252\deff0\deflang11274{\fonttbl{\f0\fnil\fcharset0 MS Sans Serif}} \viewkind4\uc1\pard\f0\fs16 LAMPARA 2821 LED BLANCO\par } "</f>
        <v xml:space="preserve">{\rtf1\ansi\ansicpg1252\deff0\deflang11274{\fonttbl{\f0\fnil\fcharset0 MS Sans Serif}} \viewkind4\uc1\pard\f0\fs16 LAMPARA 2821 LED BLANCO\par } </v>
      </c>
      <c r="AM2488" t="str">
        <f t="shared" si="1618"/>
        <v xml:space="preserve"> </v>
      </c>
    </row>
    <row r="2489" spans="1:39" x14ac:dyDescent="0.25">
      <c r="A2489" t="str">
        <f>"12961LEDRO"</f>
        <v>12961LEDRO</v>
      </c>
      <c r="B2489" t="str">
        <f>"LAMPARA 2821 LED ROJO 12V."</f>
        <v>LAMPARA 2821 LED ROJO 12V.</v>
      </c>
      <c r="C2489" t="str">
        <f t="shared" si="1617"/>
        <v>$ 453,99</v>
      </c>
      <c r="D2489" t="str">
        <f t="shared" si="1617"/>
        <v>$ 453,99</v>
      </c>
      <c r="E2489" t="str">
        <f t="shared" si="1617"/>
        <v>$ 453,99</v>
      </c>
      <c r="F2489" t="str">
        <f t="shared" si="1617"/>
        <v>$ 453,99</v>
      </c>
      <c r="G2489" t="str">
        <f t="shared" si="1617"/>
        <v>$ 453,99</v>
      </c>
      <c r="H2489" t="str">
        <f t="shared" si="1577"/>
        <v>$ 0,00</v>
      </c>
      <c r="I2489" t="str">
        <f>"LED"</f>
        <v>LED</v>
      </c>
      <c r="J2489" t="str">
        <f t="shared" si="1578"/>
        <v>1</v>
      </c>
      <c r="K2489" t="str">
        <f t="shared" si="1602"/>
        <v>0</v>
      </c>
      <c r="L2489" t="str">
        <f>"4,000"</f>
        <v>4,000</v>
      </c>
      <c r="M2489" t="str">
        <f t="shared" si="1579"/>
        <v xml:space="preserve"> </v>
      </c>
      <c r="N2489" t="str">
        <f>"LUX LED"</f>
        <v>LUX LED</v>
      </c>
      <c r="O2489" t="str">
        <f t="shared" si="1613"/>
        <v>LAMPARAS</v>
      </c>
      <c r="P2489" t="str">
        <f t="shared" si="1614"/>
        <v>0</v>
      </c>
      <c r="Q2489" t="str">
        <f t="shared" si="1614"/>
        <v>0</v>
      </c>
      <c r="R2489" t="str">
        <f t="shared" si="1615"/>
        <v>0,00</v>
      </c>
      <c r="S2489" t="str">
        <f t="shared" si="1615"/>
        <v>0,00</v>
      </c>
      <c r="T2489" t="str">
        <f t="shared" si="1574"/>
        <v xml:space="preserve"> </v>
      </c>
      <c r="U2489" t="str">
        <f t="shared" si="1576"/>
        <v xml:space="preserve"> </v>
      </c>
      <c r="V2489" t="str">
        <f>"4,000"</f>
        <v>4,000</v>
      </c>
      <c r="W2489" t="str">
        <f t="shared" si="1580"/>
        <v>Lista 4</v>
      </c>
      <c r="X2489" t="str">
        <f t="shared" si="1581"/>
        <v>Lista 5</v>
      </c>
      <c r="Y2489" t="str">
        <f t="shared" si="1582"/>
        <v>Oferta Gral.</v>
      </c>
      <c r="Z2489" t="str">
        <f t="shared" si="1583"/>
        <v>Rubro</v>
      </c>
      <c r="AA2489" t="str">
        <f t="shared" si="1584"/>
        <v>Cantidad por Bulto</v>
      </c>
      <c r="AB2489" t="str">
        <f t="shared" si="1585"/>
        <v>INNER</v>
      </c>
      <c r="AC2489" t="str">
        <f t="shared" si="1586"/>
        <v>Stock en Bultos</v>
      </c>
      <c r="AD2489" t="str">
        <f t="shared" si="1587"/>
        <v>SubDepósito</v>
      </c>
      <c r="AE2489" t="str">
        <f t="shared" si="1588"/>
        <v>Marca</v>
      </c>
      <c r="AF2489" t="str">
        <f t="shared" si="1589"/>
        <v>Super Rubro</v>
      </c>
      <c r="AG2489" t="str">
        <f t="shared" si="1590"/>
        <v>ComercioExterior</v>
      </c>
      <c r="AH2489" t="str">
        <f t="shared" si="1591"/>
        <v>PrecioFOB</v>
      </c>
      <c r="AI2489" t="str">
        <f t="shared" si="1592"/>
        <v>Monto II</v>
      </c>
      <c r="AJ2489" t="str">
        <f t="shared" si="1593"/>
        <v>Porcentaje II</v>
      </c>
      <c r="AK2489" t="str">
        <f t="shared" si="1594"/>
        <v>Foto</v>
      </c>
      <c r="AL2489" t="str">
        <f>"{\rtf1\ansi\ansicpg1252\deff0\deflang11274{\fonttbl{\f0\fnil\fcharset0 MS Sans Serif}} \viewkind4\uc1\pard\f0\fs16 LAMPARA 2821 LED ROJO 12V.\par } "</f>
        <v xml:space="preserve">{\rtf1\ansi\ansicpg1252\deff0\deflang11274{\fonttbl{\f0\fnil\fcharset0 MS Sans Serif}} \viewkind4\uc1\pard\f0\fs16 LAMPARA 2821 LED ROJO 12V.\par } </v>
      </c>
      <c r="AM2489" t="str">
        <f t="shared" si="1618"/>
        <v xml:space="preserve"> </v>
      </c>
    </row>
    <row r="2490" spans="1:39" x14ac:dyDescent="0.25">
      <c r="A2490" t="str">
        <f>"12961LEDVE"</f>
        <v>12961LEDVE</v>
      </c>
      <c r="B2490" t="str">
        <f>"LAMPARA 2821 LED VERDE 12V."</f>
        <v>LAMPARA 2821 LED VERDE 12V.</v>
      </c>
      <c r="C2490" t="str">
        <f t="shared" si="1617"/>
        <v>$ 453,99</v>
      </c>
      <c r="D2490" t="str">
        <f t="shared" si="1617"/>
        <v>$ 453,99</v>
      </c>
      <c r="E2490" t="str">
        <f t="shared" si="1617"/>
        <v>$ 453,99</v>
      </c>
      <c r="F2490" t="str">
        <f t="shared" si="1617"/>
        <v>$ 453,99</v>
      </c>
      <c r="G2490" t="str">
        <f t="shared" si="1617"/>
        <v>$ 453,99</v>
      </c>
      <c r="H2490" t="str">
        <f t="shared" si="1577"/>
        <v>$ 0,00</v>
      </c>
      <c r="I2490" t="str">
        <f>"LED"</f>
        <v>LED</v>
      </c>
      <c r="J2490" t="str">
        <f t="shared" si="1578"/>
        <v>1</v>
      </c>
      <c r="K2490" t="str">
        <f t="shared" si="1602"/>
        <v>0</v>
      </c>
      <c r="L2490" t="str">
        <f>"44,000"</f>
        <v>44,000</v>
      </c>
      <c r="M2490" t="str">
        <f t="shared" si="1579"/>
        <v xml:space="preserve"> </v>
      </c>
      <c r="N2490" t="str">
        <f>"LUX LED"</f>
        <v>LUX LED</v>
      </c>
      <c r="O2490" t="str">
        <f t="shared" si="1613"/>
        <v>LAMPARAS</v>
      </c>
      <c r="P2490" t="str">
        <f t="shared" si="1614"/>
        <v>0</v>
      </c>
      <c r="Q2490" t="str">
        <f t="shared" si="1614"/>
        <v>0</v>
      </c>
      <c r="R2490" t="str">
        <f t="shared" si="1615"/>
        <v>0,00</v>
      </c>
      <c r="S2490" t="str">
        <f t="shared" si="1615"/>
        <v>0,00</v>
      </c>
      <c r="T2490" t="str">
        <f t="shared" si="1574"/>
        <v xml:space="preserve"> </v>
      </c>
      <c r="U2490" t="str">
        <f t="shared" si="1576"/>
        <v xml:space="preserve"> </v>
      </c>
      <c r="V2490" t="str">
        <f>"44,000"</f>
        <v>44,000</v>
      </c>
      <c r="W2490" t="str">
        <f t="shared" si="1580"/>
        <v>Lista 4</v>
      </c>
      <c r="X2490" t="str">
        <f t="shared" si="1581"/>
        <v>Lista 5</v>
      </c>
      <c r="Y2490" t="str">
        <f t="shared" si="1582"/>
        <v>Oferta Gral.</v>
      </c>
      <c r="Z2490" t="str">
        <f t="shared" si="1583"/>
        <v>Rubro</v>
      </c>
      <c r="AA2490" t="str">
        <f t="shared" si="1584"/>
        <v>Cantidad por Bulto</v>
      </c>
      <c r="AB2490" t="str">
        <f t="shared" si="1585"/>
        <v>INNER</v>
      </c>
      <c r="AC2490" t="str">
        <f t="shared" si="1586"/>
        <v>Stock en Bultos</v>
      </c>
      <c r="AD2490" t="str">
        <f t="shared" si="1587"/>
        <v>SubDepósito</v>
      </c>
      <c r="AE2490" t="str">
        <f t="shared" si="1588"/>
        <v>Marca</v>
      </c>
      <c r="AF2490" t="str">
        <f t="shared" si="1589"/>
        <v>Super Rubro</v>
      </c>
      <c r="AG2490" t="str">
        <f t="shared" si="1590"/>
        <v>ComercioExterior</v>
      </c>
      <c r="AH2490" t="str">
        <f t="shared" si="1591"/>
        <v>PrecioFOB</v>
      </c>
      <c r="AI2490" t="str">
        <f t="shared" si="1592"/>
        <v>Monto II</v>
      </c>
      <c r="AJ2490" t="str">
        <f t="shared" si="1593"/>
        <v>Porcentaje II</v>
      </c>
      <c r="AK2490" t="str">
        <f t="shared" si="1594"/>
        <v>Foto</v>
      </c>
      <c r="AL2490" t="str">
        <f>"{\rtf1\ansi\ansicpg1252\deff0\deflang11274{\fonttbl{\f0\fnil\fcharset0 MS Sans Serif}} \viewkind4\uc1\pard\f0\fs16 LAMPARA 2821 LED VERDE 12V.\par } "</f>
        <v xml:space="preserve">{\rtf1\ansi\ansicpg1252\deff0\deflang11274{\fonttbl{\f0\fnil\fcharset0 MS Sans Serif}} \viewkind4\uc1\pard\f0\fs16 LAMPARA 2821 LED VERDE 12V.\par } </v>
      </c>
      <c r="AM2490" t="str">
        <f t="shared" si="1618"/>
        <v xml:space="preserve"> </v>
      </c>
    </row>
    <row r="2491" spans="1:39" x14ac:dyDescent="0.25">
      <c r="A2491" t="str">
        <f>"3156KOAMB"</f>
        <v>3156KOAMB</v>
      </c>
      <c r="B2491" t="str">
        <f>"LAMPARA 3156 12V 21W AMBAR"</f>
        <v>LAMPARA 3156 12V 21W AMBAR</v>
      </c>
      <c r="C2491" t="str">
        <f>"$ 5711,85"</f>
        <v>$ 5711,85</v>
      </c>
      <c r="D2491" t="str">
        <f>"$ 5711,85"</f>
        <v>$ 5711,85</v>
      </c>
      <c r="E2491" t="str">
        <f>"$ 5711,85"</f>
        <v>$ 5711,85</v>
      </c>
      <c r="F2491" t="str">
        <f>"$ 5711,85"</f>
        <v>$ 5711,85</v>
      </c>
      <c r="G2491" t="str">
        <f>"$ 5711,85"</f>
        <v>$ 5711,85</v>
      </c>
      <c r="H2491" t="str">
        <f t="shared" si="1577"/>
        <v>$ 0,00</v>
      </c>
      <c r="I2491" t="str">
        <f>"LAMPARAS SEÑALIZACION"</f>
        <v>LAMPARAS SEÑALIZACION</v>
      </c>
      <c r="J2491" t="str">
        <f t="shared" si="1578"/>
        <v>1</v>
      </c>
      <c r="K2491" t="str">
        <f t="shared" si="1602"/>
        <v>0</v>
      </c>
      <c r="L2491" t="str">
        <f>"10,000"</f>
        <v>10,000</v>
      </c>
      <c r="M2491" t="str">
        <f t="shared" si="1579"/>
        <v xml:space="preserve"> </v>
      </c>
      <c r="N2491" t="str">
        <f t="shared" ref="N2491:N2497" si="1619">"KOBO"</f>
        <v>KOBO</v>
      </c>
      <c r="O2491" t="str">
        <f t="shared" si="1613"/>
        <v>LAMPARAS</v>
      </c>
      <c r="P2491" t="str">
        <f t="shared" si="1614"/>
        <v>0</v>
      </c>
      <c r="Q2491" t="str">
        <f t="shared" si="1614"/>
        <v>0</v>
      </c>
      <c r="R2491" t="str">
        <f t="shared" si="1615"/>
        <v>0,00</v>
      </c>
      <c r="S2491" t="str">
        <f t="shared" si="1615"/>
        <v>0,00</v>
      </c>
      <c r="T2491" t="str">
        <f t="shared" si="1574"/>
        <v xml:space="preserve"> </v>
      </c>
      <c r="U2491" t="str">
        <f t="shared" si="1576"/>
        <v xml:space="preserve"> </v>
      </c>
      <c r="V2491" t="str">
        <f>"10,000"</f>
        <v>10,000</v>
      </c>
      <c r="W2491" t="str">
        <f t="shared" si="1580"/>
        <v>Lista 4</v>
      </c>
      <c r="X2491" t="str">
        <f t="shared" si="1581"/>
        <v>Lista 5</v>
      </c>
      <c r="Y2491" t="str">
        <f t="shared" si="1582"/>
        <v>Oferta Gral.</v>
      </c>
      <c r="Z2491" t="str">
        <f t="shared" si="1583"/>
        <v>Rubro</v>
      </c>
      <c r="AA2491" t="str">
        <f t="shared" si="1584"/>
        <v>Cantidad por Bulto</v>
      </c>
      <c r="AB2491" t="str">
        <f t="shared" si="1585"/>
        <v>INNER</v>
      </c>
      <c r="AC2491" t="str">
        <f t="shared" si="1586"/>
        <v>Stock en Bultos</v>
      </c>
      <c r="AD2491" t="str">
        <f t="shared" si="1587"/>
        <v>SubDepósito</v>
      </c>
      <c r="AE2491" t="str">
        <f t="shared" si="1588"/>
        <v>Marca</v>
      </c>
      <c r="AF2491" t="str">
        <f t="shared" si="1589"/>
        <v>Super Rubro</v>
      </c>
      <c r="AG2491" t="str">
        <f t="shared" si="1590"/>
        <v>ComercioExterior</v>
      </c>
      <c r="AH2491" t="str">
        <f t="shared" si="1591"/>
        <v>PrecioFOB</v>
      </c>
      <c r="AI2491" t="str">
        <f t="shared" si="1592"/>
        <v>Monto II</v>
      </c>
      <c r="AJ2491" t="str">
        <f t="shared" si="1593"/>
        <v>Porcentaje II</v>
      </c>
      <c r="AK2491" t="str">
        <f t="shared" si="1594"/>
        <v>Foto</v>
      </c>
      <c r="AL2491" t="str">
        <f>"{\rtf1\ansi\ansicpg1252\deff0\deflang11274{\fonttbl{\f0\fnil\fcharset0 MS Sans Serif}} \viewkind4\uc1\pard\f0\fs16 LAMPARA 3156 12V 21W AMBAR\par } "</f>
        <v xml:space="preserve">{\rtf1\ansi\ansicpg1252\deff0\deflang11274{\fonttbl{\f0\fnil\fcharset0 MS Sans Serif}} \viewkind4\uc1\pard\f0\fs16 LAMPARA 3156 12V 21W AMBAR\par } </v>
      </c>
      <c r="AM2491" t="str">
        <f t="shared" si="1618"/>
        <v xml:space="preserve"> </v>
      </c>
    </row>
    <row r="2492" spans="1:39" x14ac:dyDescent="0.25">
      <c r="A2492" t="str">
        <f>"3156KO"</f>
        <v>3156KO</v>
      </c>
      <c r="B2492" t="str">
        <f>"LAMPARA 3156 12V 21W FORD RANGER"</f>
        <v>LAMPARA 3156 12V 21W FORD RANGER</v>
      </c>
      <c r="C2492" t="str">
        <f>"$ 2301,63"</f>
        <v>$ 2301,63</v>
      </c>
      <c r="D2492" t="str">
        <f>"$ 2301,63"</f>
        <v>$ 2301,63</v>
      </c>
      <c r="E2492" t="str">
        <f>"$ 2301,63"</f>
        <v>$ 2301,63</v>
      </c>
      <c r="F2492" t="str">
        <f>"$ 2301,63"</f>
        <v>$ 2301,63</v>
      </c>
      <c r="G2492" t="str">
        <f>"$ 2301,63"</f>
        <v>$ 2301,63</v>
      </c>
      <c r="H2492" t="str">
        <f t="shared" si="1577"/>
        <v>$ 0,00</v>
      </c>
      <c r="I2492" t="str">
        <f>"LAMPARAS SEÑALIZACION"</f>
        <v>LAMPARAS SEÑALIZACION</v>
      </c>
      <c r="J2492" t="str">
        <f t="shared" si="1578"/>
        <v>1</v>
      </c>
      <c r="K2492" t="str">
        <f t="shared" si="1602"/>
        <v>0</v>
      </c>
      <c r="L2492" t="str">
        <f>"20,000"</f>
        <v>20,000</v>
      </c>
      <c r="M2492" t="str">
        <f t="shared" si="1579"/>
        <v xml:space="preserve"> </v>
      </c>
      <c r="N2492" t="str">
        <f t="shared" si="1619"/>
        <v>KOBO</v>
      </c>
      <c r="O2492" t="str">
        <f t="shared" si="1613"/>
        <v>LAMPARAS</v>
      </c>
      <c r="P2492" t="str">
        <f t="shared" si="1614"/>
        <v>0</v>
      </c>
      <c r="Q2492" t="str">
        <f t="shared" si="1614"/>
        <v>0</v>
      </c>
      <c r="R2492" t="str">
        <f t="shared" si="1615"/>
        <v>0,00</v>
      </c>
      <c r="S2492" t="str">
        <f t="shared" si="1615"/>
        <v>0,00</v>
      </c>
      <c r="T2492" t="str">
        <f t="shared" si="1574"/>
        <v xml:space="preserve"> </v>
      </c>
      <c r="U2492" t="str">
        <f t="shared" si="1576"/>
        <v xml:space="preserve"> </v>
      </c>
      <c r="V2492" t="str">
        <f>"20,000"</f>
        <v>20,000</v>
      </c>
      <c r="W2492" t="str">
        <f t="shared" si="1580"/>
        <v>Lista 4</v>
      </c>
      <c r="X2492" t="str">
        <f t="shared" si="1581"/>
        <v>Lista 5</v>
      </c>
      <c r="Y2492" t="str">
        <f t="shared" si="1582"/>
        <v>Oferta Gral.</v>
      </c>
      <c r="Z2492" t="str">
        <f t="shared" si="1583"/>
        <v>Rubro</v>
      </c>
      <c r="AA2492" t="str">
        <f t="shared" si="1584"/>
        <v>Cantidad por Bulto</v>
      </c>
      <c r="AB2492" t="str">
        <f t="shared" si="1585"/>
        <v>INNER</v>
      </c>
      <c r="AC2492" t="str">
        <f t="shared" si="1586"/>
        <v>Stock en Bultos</v>
      </c>
      <c r="AD2492" t="str">
        <f t="shared" si="1587"/>
        <v>SubDepósito</v>
      </c>
      <c r="AE2492" t="str">
        <f t="shared" si="1588"/>
        <v>Marca</v>
      </c>
      <c r="AF2492" t="str">
        <f t="shared" si="1589"/>
        <v>Super Rubro</v>
      </c>
      <c r="AG2492" t="str">
        <f t="shared" si="1590"/>
        <v>ComercioExterior</v>
      </c>
      <c r="AH2492" t="str">
        <f t="shared" si="1591"/>
        <v>PrecioFOB</v>
      </c>
      <c r="AI2492" t="str">
        <f t="shared" si="1592"/>
        <v>Monto II</v>
      </c>
      <c r="AJ2492" t="str">
        <f t="shared" si="1593"/>
        <v>Porcentaje II</v>
      </c>
      <c r="AK2492" t="str">
        <f t="shared" si="1594"/>
        <v>Foto</v>
      </c>
      <c r="AL2492" t="str">
        <f>"{\rtf1\ansi\ansicpg1252\deff0\deflang11274{\fonttbl{\f0\fnil\fcharset0 MS Sans Serif}} \viewkind4\uc1\pard\f0\fs16 LAMPARA 3156 12V 21W FORD RANGER\par } "</f>
        <v xml:space="preserve">{\rtf1\ansi\ansicpg1252\deff0\deflang11274{\fonttbl{\f0\fnil\fcharset0 MS Sans Serif}} \viewkind4\uc1\pard\f0\fs16 LAMPARA 3156 12V 21W FORD RANGER\par } </v>
      </c>
      <c r="AM2492" t="str">
        <f t="shared" si="1618"/>
        <v xml:space="preserve"> </v>
      </c>
    </row>
    <row r="2493" spans="1:39" x14ac:dyDescent="0.25">
      <c r="A2493" t="str">
        <f>"3157KO"</f>
        <v>3157KO</v>
      </c>
      <c r="B2493" t="str">
        <f>"LAMPARA 3157 12V 21/5W"</f>
        <v>LAMPARA 3157 12V 21/5W</v>
      </c>
      <c r="C2493" t="str">
        <f>"$ 2460,00"</f>
        <v>$ 2460,00</v>
      </c>
      <c r="D2493" t="str">
        <f>"$ 2460,00"</f>
        <v>$ 2460,00</v>
      </c>
      <c r="E2493" t="str">
        <f>"$ 2460,00"</f>
        <v>$ 2460,00</v>
      </c>
      <c r="F2493" t="str">
        <f>"$ 2460,00"</f>
        <v>$ 2460,00</v>
      </c>
      <c r="G2493" t="str">
        <f>"$ 2460,00"</f>
        <v>$ 2460,00</v>
      </c>
      <c r="H2493" t="str">
        <f t="shared" si="1577"/>
        <v>$ 0,00</v>
      </c>
      <c r="I2493" t="str">
        <f>"LAMPARAS SEÑALIZACION"</f>
        <v>LAMPARAS SEÑALIZACION</v>
      </c>
      <c r="J2493" t="str">
        <f t="shared" si="1578"/>
        <v>1</v>
      </c>
      <c r="K2493" t="str">
        <f t="shared" si="1602"/>
        <v>0</v>
      </c>
      <c r="L2493" t="str">
        <f>"6,000"</f>
        <v>6,000</v>
      </c>
      <c r="M2493" t="str">
        <f t="shared" si="1579"/>
        <v xml:space="preserve"> </v>
      </c>
      <c r="N2493" t="str">
        <f t="shared" si="1619"/>
        <v>KOBO</v>
      </c>
      <c r="O2493" t="str">
        <f t="shared" si="1613"/>
        <v>LAMPARAS</v>
      </c>
      <c r="P2493" t="str">
        <f t="shared" si="1614"/>
        <v>0</v>
      </c>
      <c r="Q2493" t="str">
        <f t="shared" si="1614"/>
        <v>0</v>
      </c>
      <c r="R2493" t="str">
        <f t="shared" si="1615"/>
        <v>0,00</v>
      </c>
      <c r="S2493" t="str">
        <f t="shared" si="1615"/>
        <v>0,00</v>
      </c>
      <c r="T2493" t="str">
        <f t="shared" si="1574"/>
        <v xml:space="preserve"> </v>
      </c>
      <c r="U2493" t="str">
        <f t="shared" si="1576"/>
        <v xml:space="preserve"> </v>
      </c>
      <c r="V2493" t="str">
        <f>"6,000"</f>
        <v>6,000</v>
      </c>
      <c r="W2493" t="str">
        <f t="shared" si="1580"/>
        <v>Lista 4</v>
      </c>
      <c r="X2493" t="str">
        <f t="shared" si="1581"/>
        <v>Lista 5</v>
      </c>
      <c r="Y2493" t="str">
        <f t="shared" si="1582"/>
        <v>Oferta Gral.</v>
      </c>
      <c r="Z2493" t="str">
        <f t="shared" si="1583"/>
        <v>Rubro</v>
      </c>
      <c r="AA2493" t="str">
        <f t="shared" si="1584"/>
        <v>Cantidad por Bulto</v>
      </c>
      <c r="AB2493" t="str">
        <f t="shared" si="1585"/>
        <v>INNER</v>
      </c>
      <c r="AC2493" t="str">
        <f t="shared" si="1586"/>
        <v>Stock en Bultos</v>
      </c>
      <c r="AD2493" t="str">
        <f t="shared" si="1587"/>
        <v>SubDepósito</v>
      </c>
      <c r="AE2493" t="str">
        <f t="shared" si="1588"/>
        <v>Marca</v>
      </c>
      <c r="AF2493" t="str">
        <f t="shared" si="1589"/>
        <v>Super Rubro</v>
      </c>
      <c r="AG2493" t="str">
        <f t="shared" si="1590"/>
        <v>ComercioExterior</v>
      </c>
      <c r="AH2493" t="str">
        <f t="shared" si="1591"/>
        <v>PrecioFOB</v>
      </c>
      <c r="AI2493" t="str">
        <f t="shared" si="1592"/>
        <v>Monto II</v>
      </c>
      <c r="AJ2493" t="str">
        <f t="shared" si="1593"/>
        <v>Porcentaje II</v>
      </c>
      <c r="AK2493" t="str">
        <f t="shared" si="1594"/>
        <v>Foto</v>
      </c>
      <c r="AL2493" t="str">
        <f>"{\rtf1\ansi\ansicpg1252\deff0\deflang11274{\fonttbl{\f0\fnil\fcharset0 MS Sans Serif}} \viewkind4\uc1\pard\f0\fs16 LAMPARA 3157 12V 21/5W\par } "</f>
        <v xml:space="preserve">{\rtf1\ansi\ansicpg1252\deff0\deflang11274{\fonttbl{\f0\fnil\fcharset0 MS Sans Serif}} \viewkind4\uc1\pard\f0\fs16 LAMPARA 3157 12V 21/5W\par } </v>
      </c>
      <c r="AM2493" t="str">
        <f t="shared" si="1618"/>
        <v xml:space="preserve"> </v>
      </c>
    </row>
    <row r="2494" spans="1:39" x14ac:dyDescent="0.25">
      <c r="A2494" t="str">
        <f>"3157KOAMB"</f>
        <v>3157KOAMB</v>
      </c>
      <c r="B2494" t="str">
        <f>"LAMPARA 3157 12V 21/5W AMBAR"</f>
        <v>LAMPARA 3157 12V 21/5W AMBAR</v>
      </c>
      <c r="C2494" t="str">
        <f>"$ 5078,37"</f>
        <v>$ 5078,37</v>
      </c>
      <c r="D2494" t="str">
        <f>"$ 5078,37"</f>
        <v>$ 5078,37</v>
      </c>
      <c r="E2494" t="str">
        <f>"$ 5078,37"</f>
        <v>$ 5078,37</v>
      </c>
      <c r="F2494" t="str">
        <f>"$ 5078,37"</f>
        <v>$ 5078,37</v>
      </c>
      <c r="G2494" t="str">
        <f>"$ 5078,37"</f>
        <v>$ 5078,37</v>
      </c>
      <c r="H2494" t="str">
        <f t="shared" si="1577"/>
        <v>$ 0,00</v>
      </c>
      <c r="I2494" t="str">
        <f>"LAMPARAS SEÑALIZACION"</f>
        <v>LAMPARAS SEÑALIZACION</v>
      </c>
      <c r="J2494" t="str">
        <f t="shared" si="1578"/>
        <v>1</v>
      </c>
      <c r="K2494" t="str">
        <f t="shared" si="1602"/>
        <v>0</v>
      </c>
      <c r="L2494" t="str">
        <f>"-10,000"</f>
        <v>-10,000</v>
      </c>
      <c r="M2494" t="str">
        <f t="shared" si="1579"/>
        <v xml:space="preserve"> </v>
      </c>
      <c r="N2494" t="str">
        <f t="shared" si="1619"/>
        <v>KOBO</v>
      </c>
      <c r="O2494" t="str">
        <f t="shared" si="1613"/>
        <v>LAMPARAS</v>
      </c>
      <c r="P2494" t="str">
        <f t="shared" si="1614"/>
        <v>0</v>
      </c>
      <c r="Q2494" t="str">
        <f t="shared" si="1614"/>
        <v>0</v>
      </c>
      <c r="R2494" t="str">
        <f t="shared" si="1615"/>
        <v>0,00</v>
      </c>
      <c r="S2494" t="str">
        <f t="shared" si="1615"/>
        <v>0,00</v>
      </c>
      <c r="T2494" t="str">
        <f t="shared" si="1574"/>
        <v xml:space="preserve"> </v>
      </c>
      <c r="U2494" t="str">
        <f t="shared" si="1576"/>
        <v xml:space="preserve"> </v>
      </c>
      <c r="V2494" t="str">
        <f>"-10,000"</f>
        <v>-10,000</v>
      </c>
      <c r="W2494" t="str">
        <f t="shared" si="1580"/>
        <v>Lista 4</v>
      </c>
      <c r="X2494" t="str">
        <f t="shared" si="1581"/>
        <v>Lista 5</v>
      </c>
      <c r="Y2494" t="str">
        <f t="shared" si="1582"/>
        <v>Oferta Gral.</v>
      </c>
      <c r="Z2494" t="str">
        <f t="shared" si="1583"/>
        <v>Rubro</v>
      </c>
      <c r="AA2494" t="str">
        <f t="shared" si="1584"/>
        <v>Cantidad por Bulto</v>
      </c>
      <c r="AB2494" t="str">
        <f t="shared" si="1585"/>
        <v>INNER</v>
      </c>
      <c r="AC2494" t="str">
        <f t="shared" si="1586"/>
        <v>Stock en Bultos</v>
      </c>
      <c r="AD2494" t="str">
        <f t="shared" si="1587"/>
        <v>SubDepósito</v>
      </c>
      <c r="AE2494" t="str">
        <f t="shared" si="1588"/>
        <v>Marca</v>
      </c>
      <c r="AF2494" t="str">
        <f t="shared" si="1589"/>
        <v>Super Rubro</v>
      </c>
      <c r="AG2494" t="str">
        <f t="shared" si="1590"/>
        <v>ComercioExterior</v>
      </c>
      <c r="AH2494" t="str">
        <f t="shared" si="1591"/>
        <v>PrecioFOB</v>
      </c>
      <c r="AI2494" t="str">
        <f t="shared" si="1592"/>
        <v>Monto II</v>
      </c>
      <c r="AJ2494" t="str">
        <f t="shared" si="1593"/>
        <v>Porcentaje II</v>
      </c>
      <c r="AK2494" t="str">
        <f t="shared" si="1594"/>
        <v>Foto</v>
      </c>
      <c r="AL2494" t="str">
        <f>"{\rtf1\ansi\ansicpg1252\deff0\deflang11274{\fonttbl{\f0\fnil\fcharset0 MS Sans Serif}} \viewkind4\uc1\pard\f0\fs16 LAMPARA 3157 12V 21/5W AMBAR\par } "</f>
        <v xml:space="preserve">{\rtf1\ansi\ansicpg1252\deff0\deflang11274{\fonttbl{\f0\fnil\fcharset0 MS Sans Serif}} \viewkind4\uc1\pard\f0\fs16 LAMPARA 3157 12V 21/5W AMBAR\par } </v>
      </c>
      <c r="AM2494" t="str">
        <f t="shared" si="1618"/>
        <v xml:space="preserve"> </v>
      </c>
    </row>
    <row r="2495" spans="1:39" x14ac:dyDescent="0.25">
      <c r="A2495" t="str">
        <f>"9005KO"</f>
        <v>9005KO</v>
      </c>
      <c r="B2495" t="str">
        <f>"LAMPARA 9005 HALOGENA 12V 60W"</f>
        <v>LAMPARA 9005 HALOGENA 12V 60W</v>
      </c>
      <c r="C2495" t="str">
        <f>"$ 7559,49"</f>
        <v>$ 7559,49</v>
      </c>
      <c r="D2495" t="str">
        <f>"$ 7559,49"</f>
        <v>$ 7559,49</v>
      </c>
      <c r="E2495" t="str">
        <f>"$ 7559,49"</f>
        <v>$ 7559,49</v>
      </c>
      <c r="F2495" t="str">
        <f>"$ 7559,49"</f>
        <v>$ 7559,49</v>
      </c>
      <c r="G2495" t="str">
        <f>"$ 7559,49"</f>
        <v>$ 7559,49</v>
      </c>
      <c r="H2495" t="str">
        <f t="shared" si="1577"/>
        <v>$ 0,00</v>
      </c>
      <c r="I2495" t="str">
        <f>"LAMPARAS HALOGENAS"</f>
        <v>LAMPARAS HALOGENAS</v>
      </c>
      <c r="J2495" t="str">
        <f t="shared" si="1578"/>
        <v>1</v>
      </c>
      <c r="K2495" t="str">
        <f t="shared" si="1602"/>
        <v>0</v>
      </c>
      <c r="L2495" t="str">
        <f>"4,000"</f>
        <v>4,000</v>
      </c>
      <c r="M2495" t="str">
        <f t="shared" si="1579"/>
        <v xml:space="preserve"> </v>
      </c>
      <c r="N2495" t="str">
        <f t="shared" si="1619"/>
        <v>KOBO</v>
      </c>
      <c r="O2495" t="str">
        <f t="shared" si="1613"/>
        <v>LAMPARAS</v>
      </c>
      <c r="P2495" t="str">
        <f t="shared" si="1614"/>
        <v>0</v>
      </c>
      <c r="Q2495" t="str">
        <f t="shared" si="1614"/>
        <v>0</v>
      </c>
      <c r="R2495" t="str">
        <f t="shared" si="1615"/>
        <v>0,00</v>
      </c>
      <c r="S2495" t="str">
        <f t="shared" si="1615"/>
        <v>0,00</v>
      </c>
      <c r="T2495" t="str">
        <f t="shared" ref="T2495:T2558" si="1620">" "</f>
        <v xml:space="preserve"> </v>
      </c>
      <c r="U2495" t="str">
        <f t="shared" si="1576"/>
        <v xml:space="preserve"> </v>
      </c>
      <c r="V2495" t="str">
        <f>"4,000"</f>
        <v>4,000</v>
      </c>
      <c r="W2495" t="str">
        <f t="shared" si="1580"/>
        <v>Lista 4</v>
      </c>
      <c r="X2495" t="str">
        <f t="shared" si="1581"/>
        <v>Lista 5</v>
      </c>
      <c r="Y2495" t="str">
        <f t="shared" si="1582"/>
        <v>Oferta Gral.</v>
      </c>
      <c r="Z2495" t="str">
        <f t="shared" si="1583"/>
        <v>Rubro</v>
      </c>
      <c r="AA2495" t="str">
        <f t="shared" si="1584"/>
        <v>Cantidad por Bulto</v>
      </c>
      <c r="AB2495" t="str">
        <f t="shared" si="1585"/>
        <v>INNER</v>
      </c>
      <c r="AC2495" t="str">
        <f t="shared" si="1586"/>
        <v>Stock en Bultos</v>
      </c>
      <c r="AD2495" t="str">
        <f t="shared" si="1587"/>
        <v>SubDepósito</v>
      </c>
      <c r="AE2495" t="str">
        <f t="shared" si="1588"/>
        <v>Marca</v>
      </c>
      <c r="AF2495" t="str">
        <f t="shared" si="1589"/>
        <v>Super Rubro</v>
      </c>
      <c r="AG2495" t="str">
        <f t="shared" si="1590"/>
        <v>ComercioExterior</v>
      </c>
      <c r="AH2495" t="str">
        <f t="shared" si="1591"/>
        <v>PrecioFOB</v>
      </c>
      <c r="AI2495" t="str">
        <f t="shared" si="1592"/>
        <v>Monto II</v>
      </c>
      <c r="AJ2495" t="str">
        <f t="shared" si="1593"/>
        <v>Porcentaje II</v>
      </c>
      <c r="AK2495" t="str">
        <f t="shared" si="1594"/>
        <v>Foto</v>
      </c>
      <c r="AL249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95" t="str">
        <f>"-"</f>
        <v>-</v>
      </c>
    </row>
    <row r="2496" spans="1:39" x14ac:dyDescent="0.25">
      <c r="A2496" t="str">
        <f>"9007KO"</f>
        <v>9007KO</v>
      </c>
      <c r="B2496" t="str">
        <f>"LAMPARA 9007 HALÓGENA 12V 65/45W"</f>
        <v>LAMPARA 9007 HALÓGENA 12V 65/45W</v>
      </c>
      <c r="C2496" t="str">
        <f>"$ 10420,71"</f>
        <v>$ 10420,71</v>
      </c>
      <c r="D2496" t="str">
        <f>"$ 10420,71"</f>
        <v>$ 10420,71</v>
      </c>
      <c r="E2496" t="str">
        <f>"$ 10420,71"</f>
        <v>$ 10420,71</v>
      </c>
      <c r="F2496" t="str">
        <f>"$ 10420,71"</f>
        <v>$ 10420,71</v>
      </c>
      <c r="G2496" t="str">
        <f>"$ 10420,71"</f>
        <v>$ 10420,71</v>
      </c>
      <c r="H2496" t="str">
        <f t="shared" si="1577"/>
        <v>$ 0,00</v>
      </c>
      <c r="I2496" t="str">
        <f>"LAMPARAS HALOGENAS"</f>
        <v>LAMPARAS HALOGENAS</v>
      </c>
      <c r="J2496" t="str">
        <f t="shared" si="1578"/>
        <v>1</v>
      </c>
      <c r="K2496" t="str">
        <f t="shared" si="1602"/>
        <v>0</v>
      </c>
      <c r="L2496" t="str">
        <f>"6,000"</f>
        <v>6,000</v>
      </c>
      <c r="M2496" t="str">
        <f t="shared" si="1579"/>
        <v xml:space="preserve"> </v>
      </c>
      <c r="N2496" t="str">
        <f t="shared" si="1619"/>
        <v>KOBO</v>
      </c>
      <c r="O2496" t="str">
        <f t="shared" si="1613"/>
        <v>LAMPARAS</v>
      </c>
      <c r="P2496" t="str">
        <f t="shared" si="1614"/>
        <v>0</v>
      </c>
      <c r="Q2496" t="str">
        <f t="shared" si="1614"/>
        <v>0</v>
      </c>
      <c r="R2496" t="str">
        <f t="shared" si="1615"/>
        <v>0,00</v>
      </c>
      <c r="S2496" t="str">
        <f t="shared" si="1615"/>
        <v>0,00</v>
      </c>
      <c r="T2496" t="str">
        <f t="shared" si="1620"/>
        <v xml:space="preserve"> </v>
      </c>
      <c r="U2496" t="str">
        <f t="shared" si="1576"/>
        <v xml:space="preserve"> </v>
      </c>
      <c r="V2496" t="str">
        <f>"6,000"</f>
        <v>6,000</v>
      </c>
      <c r="W2496" t="str">
        <f t="shared" si="1580"/>
        <v>Lista 4</v>
      </c>
      <c r="X2496" t="str">
        <f t="shared" si="1581"/>
        <v>Lista 5</v>
      </c>
      <c r="Y2496" t="str">
        <f t="shared" si="1582"/>
        <v>Oferta Gral.</v>
      </c>
      <c r="Z2496" t="str">
        <f t="shared" si="1583"/>
        <v>Rubro</v>
      </c>
      <c r="AA2496" t="str">
        <f t="shared" si="1584"/>
        <v>Cantidad por Bulto</v>
      </c>
      <c r="AB2496" t="str">
        <f t="shared" si="1585"/>
        <v>INNER</v>
      </c>
      <c r="AC2496" t="str">
        <f t="shared" si="1586"/>
        <v>Stock en Bultos</v>
      </c>
      <c r="AD2496" t="str">
        <f t="shared" si="1587"/>
        <v>SubDepósito</v>
      </c>
      <c r="AE2496" t="str">
        <f t="shared" si="1588"/>
        <v>Marca</v>
      </c>
      <c r="AF2496" t="str">
        <f t="shared" si="1589"/>
        <v>Super Rubro</v>
      </c>
      <c r="AG2496" t="str">
        <f t="shared" si="1590"/>
        <v>ComercioExterior</v>
      </c>
      <c r="AH2496" t="str">
        <f t="shared" si="1591"/>
        <v>PrecioFOB</v>
      </c>
      <c r="AI2496" t="str">
        <f t="shared" si="1592"/>
        <v>Monto II</v>
      </c>
      <c r="AJ2496" t="str">
        <f t="shared" si="1593"/>
        <v>Porcentaje II</v>
      </c>
      <c r="AK2496" t="str">
        <f t="shared" si="1594"/>
        <v>Foto</v>
      </c>
      <c r="AL249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96" t="str">
        <f>"-"</f>
        <v>-</v>
      </c>
    </row>
    <row r="2497" spans="1:39" x14ac:dyDescent="0.25">
      <c r="A2497" t="str">
        <f>"M5BV"</f>
        <v>M5BV</v>
      </c>
      <c r="B2497" t="str">
        <f>"LAMPARA BLUE VISION"</f>
        <v>LAMPARA BLUE VISION</v>
      </c>
      <c r="C2497" t="str">
        <f>"$ 3916,99"</f>
        <v>$ 3916,99</v>
      </c>
      <c r="D2497" t="str">
        <f>"$ 3916,99"</f>
        <v>$ 3916,99</v>
      </c>
      <c r="E2497" t="str">
        <f>"$ 3916,99"</f>
        <v>$ 3916,99</v>
      </c>
      <c r="F2497" t="str">
        <f>"$ 3916,99"</f>
        <v>$ 3916,99</v>
      </c>
      <c r="G2497" t="str">
        <f>"$ 3916,99"</f>
        <v>$ 3916,99</v>
      </c>
      <c r="H2497" t="str">
        <f t="shared" si="1577"/>
        <v>$ 0,00</v>
      </c>
      <c r="I2497" t="str">
        <f>"LAMPARAS BLUEVISION"</f>
        <v>LAMPARAS BLUEVISION</v>
      </c>
      <c r="J2497" t="str">
        <f t="shared" si="1578"/>
        <v>1</v>
      </c>
      <c r="K2497" t="str">
        <f t="shared" si="1602"/>
        <v>0</v>
      </c>
      <c r="L2497" t="str">
        <f>"0,000"</f>
        <v>0,000</v>
      </c>
      <c r="M2497" t="str">
        <f t="shared" si="1579"/>
        <v xml:space="preserve"> </v>
      </c>
      <c r="N2497" t="str">
        <f t="shared" si="1619"/>
        <v>KOBO</v>
      </c>
      <c r="O2497" t="str">
        <f t="shared" si="1613"/>
        <v>LAMPARAS</v>
      </c>
      <c r="P2497" t="str">
        <f t="shared" si="1614"/>
        <v>0</v>
      </c>
      <c r="Q2497" t="str">
        <f t="shared" si="1614"/>
        <v>0</v>
      </c>
      <c r="R2497" t="str">
        <f t="shared" si="1615"/>
        <v>0,00</v>
      </c>
      <c r="S2497" t="str">
        <f t="shared" si="1615"/>
        <v>0,00</v>
      </c>
      <c r="T2497" t="str">
        <f t="shared" si="1620"/>
        <v xml:space="preserve"> </v>
      </c>
      <c r="U2497" t="str">
        <f t="shared" si="1576"/>
        <v xml:space="preserve"> </v>
      </c>
      <c r="V2497" t="str">
        <f>"0,000"</f>
        <v>0,000</v>
      </c>
      <c r="W2497" t="str">
        <f t="shared" si="1580"/>
        <v>Lista 4</v>
      </c>
      <c r="X2497" t="str">
        <f t="shared" si="1581"/>
        <v>Lista 5</v>
      </c>
      <c r="Y2497" t="str">
        <f t="shared" si="1582"/>
        <v>Oferta Gral.</v>
      </c>
      <c r="Z2497" t="str">
        <f t="shared" si="1583"/>
        <v>Rubro</v>
      </c>
      <c r="AA2497" t="str">
        <f t="shared" si="1584"/>
        <v>Cantidad por Bulto</v>
      </c>
      <c r="AB2497" t="str">
        <f t="shared" si="1585"/>
        <v>INNER</v>
      </c>
      <c r="AC2497" t="str">
        <f t="shared" si="1586"/>
        <v>Stock en Bultos</v>
      </c>
      <c r="AD2497" t="str">
        <f t="shared" si="1587"/>
        <v>SubDepósito</v>
      </c>
      <c r="AE2497" t="str">
        <f t="shared" si="1588"/>
        <v>Marca</v>
      </c>
      <c r="AF2497" t="str">
        <f t="shared" si="1589"/>
        <v>Super Rubro</v>
      </c>
      <c r="AG2497" t="str">
        <f t="shared" si="1590"/>
        <v>ComercioExterior</v>
      </c>
      <c r="AH2497" t="str">
        <f t="shared" si="1591"/>
        <v>PrecioFOB</v>
      </c>
      <c r="AI2497" t="str">
        <f t="shared" si="1592"/>
        <v>Monto II</v>
      </c>
      <c r="AJ2497" t="str">
        <f t="shared" si="1593"/>
        <v>Porcentaje II</v>
      </c>
      <c r="AK2497" t="str">
        <f t="shared" si="1594"/>
        <v>Foto</v>
      </c>
      <c r="AL2497" t="str">
        <f>"{\rtf1\ansi\ansicpg1252\deff0\deflang11274{\fonttbl{\f0\fnil\fcharset0 MS Sans Serif}} \viewkind4\uc1\pard\f0\fs16 LAMPARA BLUE VISION\par } "</f>
        <v xml:space="preserve">{\rtf1\ansi\ansicpg1252\deff0\deflang11274{\fonttbl{\f0\fnil\fcharset0 MS Sans Serif}} \viewkind4\uc1\pard\f0\fs16 LAMPARA BLUE VISION\par } </v>
      </c>
      <c r="AM2497" t="str">
        <f>" "</f>
        <v xml:space="preserve"> </v>
      </c>
    </row>
    <row r="2498" spans="1:39" x14ac:dyDescent="0.25">
      <c r="A2498" t="str">
        <f>"VELED"</f>
        <v>VELED</v>
      </c>
      <c r="B2498" t="str">
        <f>"LAMPARA DE ESCRITORIO LED USB 3 INTENSIDADES"</f>
        <v>LAMPARA DE ESCRITORIO LED USB 3 INTENSIDADES</v>
      </c>
      <c r="C2498" t="str">
        <f>"$ 9776,66"</f>
        <v>$ 9776,66</v>
      </c>
      <c r="D2498" t="str">
        <f>"$ 9776,66"</f>
        <v>$ 9776,66</v>
      </c>
      <c r="E2498" t="str">
        <f>"$ 9776,66"</f>
        <v>$ 9776,66</v>
      </c>
      <c r="F2498" t="str">
        <f>"$ 9776,66"</f>
        <v>$ 9776,66</v>
      </c>
      <c r="G2498" t="str">
        <f>"$ 9776,66"</f>
        <v>$ 9776,66</v>
      </c>
      <c r="H2498" t="str">
        <f t="shared" si="1577"/>
        <v>$ 0,00</v>
      </c>
      <c r="I2498" t="str">
        <f>"LED"</f>
        <v>LED</v>
      </c>
      <c r="J2498" t="str">
        <f t="shared" si="1578"/>
        <v>1</v>
      </c>
      <c r="K2498" t="str">
        <f t="shared" si="1602"/>
        <v>0</v>
      </c>
      <c r="L2498" t="str">
        <f>"5,000"</f>
        <v>5,000</v>
      </c>
      <c r="M2498" t="str">
        <f t="shared" si="1579"/>
        <v xml:space="preserve"> </v>
      </c>
      <c r="N2498" t="str">
        <f>"LUX LED"</f>
        <v>LUX LED</v>
      </c>
      <c r="O2498" t="str">
        <f t="shared" si="1613"/>
        <v>LAMPARAS</v>
      </c>
      <c r="P2498" t="str">
        <f t="shared" si="1614"/>
        <v>0</v>
      </c>
      <c r="Q2498" t="str">
        <f t="shared" si="1614"/>
        <v>0</v>
      </c>
      <c r="R2498" t="str">
        <f t="shared" si="1615"/>
        <v>0,00</v>
      </c>
      <c r="S2498" t="str">
        <f t="shared" si="1615"/>
        <v>0,00</v>
      </c>
      <c r="T2498" t="str">
        <f t="shared" si="1620"/>
        <v xml:space="preserve"> </v>
      </c>
      <c r="U2498" t="str">
        <f t="shared" ref="U2498:U2561" si="1621">" "</f>
        <v xml:space="preserve"> </v>
      </c>
      <c r="V2498" t="str">
        <f>"5,000"</f>
        <v>5,000</v>
      </c>
      <c r="W2498" t="str">
        <f t="shared" si="1580"/>
        <v>Lista 4</v>
      </c>
      <c r="X2498" t="str">
        <f t="shared" si="1581"/>
        <v>Lista 5</v>
      </c>
      <c r="Y2498" t="str">
        <f t="shared" si="1582"/>
        <v>Oferta Gral.</v>
      </c>
      <c r="Z2498" t="str">
        <f t="shared" si="1583"/>
        <v>Rubro</v>
      </c>
      <c r="AA2498" t="str">
        <f t="shared" si="1584"/>
        <v>Cantidad por Bulto</v>
      </c>
      <c r="AB2498" t="str">
        <f t="shared" si="1585"/>
        <v>INNER</v>
      </c>
      <c r="AC2498" t="str">
        <f t="shared" si="1586"/>
        <v>Stock en Bultos</v>
      </c>
      <c r="AD2498" t="str">
        <f t="shared" si="1587"/>
        <v>SubDepósito</v>
      </c>
      <c r="AE2498" t="str">
        <f t="shared" si="1588"/>
        <v>Marca</v>
      </c>
      <c r="AF2498" t="str">
        <f t="shared" si="1589"/>
        <v>Super Rubro</v>
      </c>
      <c r="AG2498" t="str">
        <f t="shared" si="1590"/>
        <v>ComercioExterior</v>
      </c>
      <c r="AH2498" t="str">
        <f t="shared" si="1591"/>
        <v>PrecioFOB</v>
      </c>
      <c r="AI2498" t="str">
        <f t="shared" si="1592"/>
        <v>Monto II</v>
      </c>
      <c r="AJ2498" t="str">
        <f t="shared" si="1593"/>
        <v>Porcentaje II</v>
      </c>
      <c r="AK2498" t="str">
        <f t="shared" si="1594"/>
        <v>Foto</v>
      </c>
      <c r="AL2498" t="str">
        <f>"{\rtf1\ansi\ansicpg1252\deff0\deflang11274{\fonttbl{\f0\fnil\fcharset0 MS Sans Serif}} \viewkind4\uc1\pard\f0\fs16 LAMPARA DE ESCRITORIO LED USB 3 INTENSIDADES\par } "</f>
        <v xml:space="preserve">{\rtf1\ansi\ansicpg1252\deff0\deflang11274{\fonttbl{\f0\fnil\fcharset0 MS Sans Serif}} \viewkind4\uc1\pard\f0\fs16 LAMPARA DE ESCRITORIO LED USB 3 INTENSIDADES\par } </v>
      </c>
      <c r="AM2498" t="str">
        <f>" "</f>
        <v xml:space="preserve"> </v>
      </c>
    </row>
    <row r="2499" spans="1:39" x14ac:dyDescent="0.25">
      <c r="A2499" t="str">
        <f>"12336KO"</f>
        <v>12336KO</v>
      </c>
      <c r="B2499" t="str">
        <f>"LAMPARA H3 HALOGENA 12V 55W"</f>
        <v>LAMPARA H3 HALOGENA 12V 55W</v>
      </c>
      <c r="C2499" t="str">
        <f>"$ 2153,83"</f>
        <v>$ 2153,83</v>
      </c>
      <c r="D2499" t="str">
        <f>"$ 2153,83"</f>
        <v>$ 2153,83</v>
      </c>
      <c r="E2499" t="str">
        <f>"$ 2153,83"</f>
        <v>$ 2153,83</v>
      </c>
      <c r="F2499" t="str">
        <f>"$ 2153,83"</f>
        <v>$ 2153,83</v>
      </c>
      <c r="G2499" t="str">
        <f>"$ 2153,83"</f>
        <v>$ 2153,83</v>
      </c>
      <c r="H2499" t="str">
        <f t="shared" ref="H2499:H2562" si="1622">"$ 0,00"</f>
        <v>$ 0,00</v>
      </c>
      <c r="I2499" t="str">
        <f>"LAMPARAS HALOGENAS"</f>
        <v>LAMPARAS HALOGENAS</v>
      </c>
      <c r="J2499" t="str">
        <f t="shared" ref="J2499:J2562" si="1623">"1"</f>
        <v>1</v>
      </c>
      <c r="K2499" t="str">
        <f t="shared" si="1602"/>
        <v>0</v>
      </c>
      <c r="L2499" t="str">
        <f>"558,000"</f>
        <v>558,000</v>
      </c>
      <c r="M2499" t="str">
        <f t="shared" ref="M2499:M2562" si="1624">" "</f>
        <v xml:space="preserve"> </v>
      </c>
      <c r="N2499" t="str">
        <f t="shared" ref="N2499:N2540" si="1625">"KOBO"</f>
        <v>KOBO</v>
      </c>
      <c r="O2499" t="str">
        <f t="shared" si="1613"/>
        <v>LAMPARAS</v>
      </c>
      <c r="P2499" t="str">
        <f t="shared" si="1614"/>
        <v>0</v>
      </c>
      <c r="Q2499" t="str">
        <f t="shared" si="1614"/>
        <v>0</v>
      </c>
      <c r="R2499" t="str">
        <f t="shared" si="1615"/>
        <v>0,00</v>
      </c>
      <c r="S2499" t="str">
        <f t="shared" si="1615"/>
        <v>0,00</v>
      </c>
      <c r="T2499" t="str">
        <f t="shared" si="1620"/>
        <v xml:space="preserve"> </v>
      </c>
      <c r="U2499" t="str">
        <f t="shared" si="1621"/>
        <v xml:space="preserve"> </v>
      </c>
      <c r="V2499" t="str">
        <f>"558,000"</f>
        <v>558,000</v>
      </c>
      <c r="W2499" t="str">
        <f t="shared" ref="W2499:W2562" si="1626">"Lista 4"</f>
        <v>Lista 4</v>
      </c>
      <c r="X2499" t="str">
        <f t="shared" ref="X2499:X2562" si="1627">"Lista 5"</f>
        <v>Lista 5</v>
      </c>
      <c r="Y2499" t="str">
        <f t="shared" ref="Y2499:Y2562" si="1628">"Oferta Gral."</f>
        <v>Oferta Gral.</v>
      </c>
      <c r="Z2499" t="str">
        <f t="shared" ref="Z2499:Z2562" si="1629">"Rubro"</f>
        <v>Rubro</v>
      </c>
      <c r="AA2499" t="str">
        <f t="shared" ref="AA2499:AA2562" si="1630">"Cantidad por Bulto"</f>
        <v>Cantidad por Bulto</v>
      </c>
      <c r="AB2499" t="str">
        <f t="shared" ref="AB2499:AB2562" si="1631">"INNER"</f>
        <v>INNER</v>
      </c>
      <c r="AC2499" t="str">
        <f t="shared" ref="AC2499:AC2562" si="1632">"Stock en Bultos"</f>
        <v>Stock en Bultos</v>
      </c>
      <c r="AD2499" t="str">
        <f t="shared" ref="AD2499:AD2562" si="1633">"SubDepósito"</f>
        <v>SubDepósito</v>
      </c>
      <c r="AE2499" t="str">
        <f t="shared" ref="AE2499:AE2562" si="1634">"Marca"</f>
        <v>Marca</v>
      </c>
      <c r="AF2499" t="str">
        <f t="shared" ref="AF2499:AF2562" si="1635">"Super Rubro"</f>
        <v>Super Rubro</v>
      </c>
      <c r="AG2499" t="str">
        <f t="shared" ref="AG2499:AG2562" si="1636">"ComercioExterior"</f>
        <v>ComercioExterior</v>
      </c>
      <c r="AH2499" t="str">
        <f t="shared" ref="AH2499:AH2562" si="1637">"PrecioFOB"</f>
        <v>PrecioFOB</v>
      </c>
      <c r="AI2499" t="str">
        <f t="shared" ref="AI2499:AI2562" si="1638">"Monto II"</f>
        <v>Monto II</v>
      </c>
      <c r="AJ2499" t="str">
        <f t="shared" ref="AJ2499:AJ2562" si="1639">"Porcentaje II"</f>
        <v>Porcentaje II</v>
      </c>
      <c r="AK2499" t="str">
        <f t="shared" ref="AK2499:AK2562" si="1640">"Foto"</f>
        <v>Foto</v>
      </c>
      <c r="AL249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99" t="str">
        <f>"-"</f>
        <v>-</v>
      </c>
    </row>
    <row r="2500" spans="1:39" x14ac:dyDescent="0.25">
      <c r="A2500" t="str">
        <f>"13258KO"</f>
        <v>13258KO</v>
      </c>
      <c r="B2500" t="str">
        <f>"LAMPARA HALOGENA H1 24V "</f>
        <v xml:space="preserve">LAMPARA HALOGENA H1 24V </v>
      </c>
      <c r="C2500" t="str">
        <f>"$ 2671,16"</f>
        <v>$ 2671,16</v>
      </c>
      <c r="D2500" t="str">
        <f>"$ 2671,16"</f>
        <v>$ 2671,16</v>
      </c>
      <c r="E2500" t="str">
        <f>"$ 2671,16"</f>
        <v>$ 2671,16</v>
      </c>
      <c r="F2500" t="str">
        <f>"$ 2671,16"</f>
        <v>$ 2671,16</v>
      </c>
      <c r="G2500" t="str">
        <f>"$ 2671,16"</f>
        <v>$ 2671,16</v>
      </c>
      <c r="H2500" t="str">
        <f t="shared" si="1622"/>
        <v>$ 0,00</v>
      </c>
      <c r="I2500" t="str">
        <f>"LAMPARAS HALOGENAS"</f>
        <v>LAMPARAS HALOGENAS</v>
      </c>
      <c r="J2500" t="str">
        <f t="shared" si="1623"/>
        <v>1</v>
      </c>
      <c r="K2500" t="str">
        <f t="shared" si="1602"/>
        <v>0</v>
      </c>
      <c r="L2500" t="str">
        <f>"20,000"</f>
        <v>20,000</v>
      </c>
      <c r="M2500" t="str">
        <f t="shared" si="1624"/>
        <v xml:space="preserve"> </v>
      </c>
      <c r="N2500" t="str">
        <f t="shared" si="1625"/>
        <v>KOBO</v>
      </c>
      <c r="O2500" t="str">
        <f t="shared" si="1613"/>
        <v>LAMPARAS</v>
      </c>
      <c r="P2500" t="str">
        <f t="shared" si="1614"/>
        <v>0</v>
      </c>
      <c r="Q2500" t="str">
        <f t="shared" si="1614"/>
        <v>0</v>
      </c>
      <c r="R2500" t="str">
        <f t="shared" si="1615"/>
        <v>0,00</v>
      </c>
      <c r="S2500" t="str">
        <f t="shared" si="1615"/>
        <v>0,00</v>
      </c>
      <c r="T2500" t="str">
        <f t="shared" si="1620"/>
        <v xml:space="preserve"> </v>
      </c>
      <c r="U2500" t="str">
        <f t="shared" si="1621"/>
        <v xml:space="preserve"> </v>
      </c>
      <c r="V2500" t="str">
        <f>"20,000"</f>
        <v>20,000</v>
      </c>
      <c r="W2500" t="str">
        <f t="shared" si="1626"/>
        <v>Lista 4</v>
      </c>
      <c r="X2500" t="str">
        <f t="shared" si="1627"/>
        <v>Lista 5</v>
      </c>
      <c r="Y2500" t="str">
        <f t="shared" si="1628"/>
        <v>Oferta Gral.</v>
      </c>
      <c r="Z2500" t="str">
        <f t="shared" si="1629"/>
        <v>Rubro</v>
      </c>
      <c r="AA2500" t="str">
        <f t="shared" si="1630"/>
        <v>Cantidad por Bulto</v>
      </c>
      <c r="AB2500" t="str">
        <f t="shared" si="1631"/>
        <v>INNER</v>
      </c>
      <c r="AC2500" t="str">
        <f t="shared" si="1632"/>
        <v>Stock en Bultos</v>
      </c>
      <c r="AD2500" t="str">
        <f t="shared" si="1633"/>
        <v>SubDepósito</v>
      </c>
      <c r="AE2500" t="str">
        <f t="shared" si="1634"/>
        <v>Marca</v>
      </c>
      <c r="AF2500" t="str">
        <f t="shared" si="1635"/>
        <v>Super Rubro</v>
      </c>
      <c r="AG2500" t="str">
        <f t="shared" si="1636"/>
        <v>ComercioExterior</v>
      </c>
      <c r="AH2500" t="str">
        <f t="shared" si="1637"/>
        <v>PrecioFOB</v>
      </c>
      <c r="AI2500" t="str">
        <f t="shared" si="1638"/>
        <v>Monto II</v>
      </c>
      <c r="AJ2500" t="str">
        <f t="shared" si="1639"/>
        <v>Porcentaje II</v>
      </c>
      <c r="AK2500" t="str">
        <f t="shared" si="1640"/>
        <v>Foto</v>
      </c>
      <c r="AL2500" t="str">
        <f>"{\rtf1\ansi\ansicpg1252\deff0\deflang11274{\fonttbl{\f0\fnil\fcharset0 MS Sans Serif}} \viewkind4\uc1\pard\f0\fs16 LAMPARA HALOGENA H1 24V \par } "</f>
        <v xml:space="preserve">{\rtf1\ansi\ansicpg1252\deff0\deflang11274{\fonttbl{\f0\fnil\fcharset0 MS Sans Serif}} \viewkind4\uc1\pard\f0\fs16 LAMPARA HALOGENA H1 24V \par } </v>
      </c>
      <c r="AM2500" t="str">
        <f>"-"</f>
        <v>-</v>
      </c>
    </row>
    <row r="2501" spans="1:39" x14ac:dyDescent="0.25">
      <c r="A2501" t="str">
        <f>"13342KO"</f>
        <v>13342KO</v>
      </c>
      <c r="B2501" t="str">
        <f>"LAMPARA HALOGENA H4 24V"</f>
        <v>LAMPARA HALOGENA H4 24V</v>
      </c>
      <c r="C2501" t="str">
        <f>"$ 5405,68"</f>
        <v>$ 5405,68</v>
      </c>
      <c r="D2501" t="str">
        <f>"$ 5405,68"</f>
        <v>$ 5405,68</v>
      </c>
      <c r="E2501" t="str">
        <f>"$ 5405,68"</f>
        <v>$ 5405,68</v>
      </c>
      <c r="F2501" t="str">
        <f>"$ 5405,68"</f>
        <v>$ 5405,68</v>
      </c>
      <c r="G2501" t="str">
        <f>"$ 5405,68"</f>
        <v>$ 5405,68</v>
      </c>
      <c r="H2501" t="str">
        <f t="shared" si="1622"/>
        <v>$ 0,00</v>
      </c>
      <c r="I2501" t="str">
        <f>"LAMPARAS HALOGENAS"</f>
        <v>LAMPARAS HALOGENAS</v>
      </c>
      <c r="J2501" t="str">
        <f t="shared" si="1623"/>
        <v>1</v>
      </c>
      <c r="K2501" t="str">
        <f t="shared" si="1602"/>
        <v>0</v>
      </c>
      <c r="L2501" t="str">
        <f>"40,000"</f>
        <v>40,000</v>
      </c>
      <c r="M2501" t="str">
        <f t="shared" si="1624"/>
        <v xml:space="preserve"> </v>
      </c>
      <c r="N2501" t="str">
        <f t="shared" si="1625"/>
        <v>KOBO</v>
      </c>
      <c r="O2501" t="str">
        <f t="shared" si="1613"/>
        <v>LAMPARAS</v>
      </c>
      <c r="P2501" t="str">
        <f t="shared" si="1614"/>
        <v>0</v>
      </c>
      <c r="Q2501" t="str">
        <f t="shared" si="1614"/>
        <v>0</v>
      </c>
      <c r="R2501" t="str">
        <f t="shared" si="1615"/>
        <v>0,00</v>
      </c>
      <c r="S2501" t="str">
        <f t="shared" si="1615"/>
        <v>0,00</v>
      </c>
      <c r="T2501" t="str">
        <f t="shared" si="1620"/>
        <v xml:space="preserve"> </v>
      </c>
      <c r="U2501" t="str">
        <f t="shared" si="1621"/>
        <v xml:space="preserve"> </v>
      </c>
      <c r="V2501" t="str">
        <f>"40,000"</f>
        <v>40,000</v>
      </c>
      <c r="W2501" t="str">
        <f t="shared" si="1626"/>
        <v>Lista 4</v>
      </c>
      <c r="X2501" t="str">
        <f t="shared" si="1627"/>
        <v>Lista 5</v>
      </c>
      <c r="Y2501" t="str">
        <f t="shared" si="1628"/>
        <v>Oferta Gral.</v>
      </c>
      <c r="Z2501" t="str">
        <f t="shared" si="1629"/>
        <v>Rubro</v>
      </c>
      <c r="AA2501" t="str">
        <f t="shared" si="1630"/>
        <v>Cantidad por Bulto</v>
      </c>
      <c r="AB2501" t="str">
        <f t="shared" si="1631"/>
        <v>INNER</v>
      </c>
      <c r="AC2501" t="str">
        <f t="shared" si="1632"/>
        <v>Stock en Bultos</v>
      </c>
      <c r="AD2501" t="str">
        <f t="shared" si="1633"/>
        <v>SubDepósito</v>
      </c>
      <c r="AE2501" t="str">
        <f t="shared" si="1634"/>
        <v>Marca</v>
      </c>
      <c r="AF2501" t="str">
        <f t="shared" si="1635"/>
        <v>Super Rubro</v>
      </c>
      <c r="AG2501" t="str">
        <f t="shared" si="1636"/>
        <v>ComercioExterior</v>
      </c>
      <c r="AH2501" t="str">
        <f t="shared" si="1637"/>
        <v>PrecioFOB</v>
      </c>
      <c r="AI2501" t="str">
        <f t="shared" si="1638"/>
        <v>Monto II</v>
      </c>
      <c r="AJ2501" t="str">
        <f t="shared" si="1639"/>
        <v>Porcentaje II</v>
      </c>
      <c r="AK2501" t="str">
        <f t="shared" si="1640"/>
        <v>Foto</v>
      </c>
      <c r="AL2501" t="str">
        <f>"{\rtf1\ansi\ansicpg1252\deff0\deflang11274{\fonttbl{\f0\fnil\fcharset0 MS Sans Serif}} \viewkind4\uc1\pard\f0\fs16 LAMPARA HALOGENA H4 24V\par } "</f>
        <v xml:space="preserve">{\rtf1\ansi\ansicpg1252\deff0\deflang11274{\fonttbl{\f0\fnil\fcharset0 MS Sans Serif}} \viewkind4\uc1\pard\f0\fs16 LAMPARA HALOGENA H4 24V\par } </v>
      </c>
      <c r="AM2501" t="str">
        <f>"-"</f>
        <v>-</v>
      </c>
    </row>
    <row r="2502" spans="1:39" x14ac:dyDescent="0.25">
      <c r="A2502" t="str">
        <f>"13972KO"</f>
        <v>13972KO</v>
      </c>
      <c r="B2502" t="str">
        <f>"LAMPARA HALOGENA H7 24V"</f>
        <v>LAMPARA HALOGENA H7 24V</v>
      </c>
      <c r="C2502" t="str">
        <f>"$ 6619,85"</f>
        <v>$ 6619,85</v>
      </c>
      <c r="D2502" t="str">
        <f>"$ 6619,85"</f>
        <v>$ 6619,85</v>
      </c>
      <c r="E2502" t="str">
        <f>"$ 6619,85"</f>
        <v>$ 6619,85</v>
      </c>
      <c r="F2502" t="str">
        <f>"$ 6619,85"</f>
        <v>$ 6619,85</v>
      </c>
      <c r="G2502" t="str">
        <f>"$ 6619,85"</f>
        <v>$ 6619,85</v>
      </c>
      <c r="H2502" t="str">
        <f t="shared" si="1622"/>
        <v>$ 0,00</v>
      </c>
      <c r="I2502" t="str">
        <f>"LAMPARAS HALOGENAS"</f>
        <v>LAMPARAS HALOGENAS</v>
      </c>
      <c r="J2502" t="str">
        <f t="shared" si="1623"/>
        <v>1</v>
      </c>
      <c r="K2502" t="str">
        <f t="shared" si="1602"/>
        <v>0</v>
      </c>
      <c r="L2502" t="str">
        <f>"40,000"</f>
        <v>40,000</v>
      </c>
      <c r="M2502" t="str">
        <f t="shared" si="1624"/>
        <v xml:space="preserve"> </v>
      </c>
      <c r="N2502" t="str">
        <f t="shared" si="1625"/>
        <v>KOBO</v>
      </c>
      <c r="O2502" t="str">
        <f t="shared" si="1613"/>
        <v>LAMPARAS</v>
      </c>
      <c r="P2502" t="str">
        <f t="shared" si="1614"/>
        <v>0</v>
      </c>
      <c r="Q2502" t="str">
        <f t="shared" si="1614"/>
        <v>0</v>
      </c>
      <c r="R2502" t="str">
        <f t="shared" si="1615"/>
        <v>0,00</v>
      </c>
      <c r="S2502" t="str">
        <f t="shared" si="1615"/>
        <v>0,00</v>
      </c>
      <c r="T2502" t="str">
        <f t="shared" si="1620"/>
        <v xml:space="preserve"> </v>
      </c>
      <c r="U2502" t="str">
        <f t="shared" si="1621"/>
        <v xml:space="preserve"> </v>
      </c>
      <c r="V2502" t="str">
        <f>"40,000"</f>
        <v>40,000</v>
      </c>
      <c r="W2502" t="str">
        <f t="shared" si="1626"/>
        <v>Lista 4</v>
      </c>
      <c r="X2502" t="str">
        <f t="shared" si="1627"/>
        <v>Lista 5</v>
      </c>
      <c r="Y2502" t="str">
        <f t="shared" si="1628"/>
        <v>Oferta Gral.</v>
      </c>
      <c r="Z2502" t="str">
        <f t="shared" si="1629"/>
        <v>Rubro</v>
      </c>
      <c r="AA2502" t="str">
        <f t="shared" si="1630"/>
        <v>Cantidad por Bulto</v>
      </c>
      <c r="AB2502" t="str">
        <f t="shared" si="1631"/>
        <v>INNER</v>
      </c>
      <c r="AC2502" t="str">
        <f t="shared" si="1632"/>
        <v>Stock en Bultos</v>
      </c>
      <c r="AD2502" t="str">
        <f t="shared" si="1633"/>
        <v>SubDepósito</v>
      </c>
      <c r="AE2502" t="str">
        <f t="shared" si="1634"/>
        <v>Marca</v>
      </c>
      <c r="AF2502" t="str">
        <f t="shared" si="1635"/>
        <v>Super Rubro</v>
      </c>
      <c r="AG2502" t="str">
        <f t="shared" si="1636"/>
        <v>ComercioExterior</v>
      </c>
      <c r="AH2502" t="str">
        <f t="shared" si="1637"/>
        <v>PrecioFOB</v>
      </c>
      <c r="AI2502" t="str">
        <f t="shared" si="1638"/>
        <v>Monto II</v>
      </c>
      <c r="AJ2502" t="str">
        <f t="shared" si="1639"/>
        <v>Porcentaje II</v>
      </c>
      <c r="AK2502" t="str">
        <f t="shared" si="1640"/>
        <v>Foto</v>
      </c>
      <c r="AL2502" t="str">
        <f>"{\rtf1\ansi\ansicpg1252\deff0\deflang11274{\fonttbl{\f0\fnil\fcharset0 MS Sans Serif}} \viewkind4\uc1\pard\f0\fs16 LAMPARA HALOGENA H7 24V\par } "</f>
        <v xml:space="preserve">{\rtf1\ansi\ansicpg1252\deff0\deflang11274{\fonttbl{\f0\fnil\fcharset0 MS Sans Serif}} \viewkind4\uc1\pard\f0\fs16 LAMPARA HALOGENA H7 24V\par } </v>
      </c>
      <c r="AM2502" t="str">
        <f>"-"</f>
        <v>-</v>
      </c>
    </row>
    <row r="2503" spans="1:39" x14ac:dyDescent="0.25">
      <c r="A2503" t="str">
        <f>"12499KO"</f>
        <v>12499KO</v>
      </c>
      <c r="B2503" t="str">
        <f>"LAMPARA KOBO 1034 21/5W"</f>
        <v>LAMPARA KOBO 1034 21/5W</v>
      </c>
      <c r="C2503" t="str">
        <f>"$ 665,15"</f>
        <v>$ 665,15</v>
      </c>
      <c r="D2503" t="str">
        <f>"$ 665,15"</f>
        <v>$ 665,15</v>
      </c>
      <c r="E2503" t="str">
        <f>"$ 665,15"</f>
        <v>$ 665,15</v>
      </c>
      <c r="F2503" t="str">
        <f>"$ 665,15"</f>
        <v>$ 665,15</v>
      </c>
      <c r="G2503" t="str">
        <f>"$ 665,15"</f>
        <v>$ 665,15</v>
      </c>
      <c r="H2503" t="str">
        <f t="shared" si="1622"/>
        <v>$ 0,00</v>
      </c>
      <c r="I2503" t="str">
        <f>"LAMPARAS SEÑALIZACION"</f>
        <v>LAMPARAS SEÑALIZACION</v>
      </c>
      <c r="J2503" t="str">
        <f t="shared" si="1623"/>
        <v>1</v>
      </c>
      <c r="K2503" t="str">
        <f t="shared" si="1602"/>
        <v>0</v>
      </c>
      <c r="L2503" t="str">
        <f>"258,000"</f>
        <v>258,000</v>
      </c>
      <c r="M2503" t="str">
        <f t="shared" si="1624"/>
        <v xml:space="preserve"> </v>
      </c>
      <c r="N2503" t="str">
        <f t="shared" si="1625"/>
        <v>KOBO</v>
      </c>
      <c r="O2503" t="str">
        <f t="shared" si="1613"/>
        <v>LAMPARAS</v>
      </c>
      <c r="P2503" t="str">
        <f t="shared" ref="P2503:Q2522" si="1641">"0"</f>
        <v>0</v>
      </c>
      <c r="Q2503" t="str">
        <f t="shared" si="1641"/>
        <v>0</v>
      </c>
      <c r="R2503" t="str">
        <f t="shared" ref="R2503:S2522" si="1642">"0,00"</f>
        <v>0,00</v>
      </c>
      <c r="S2503" t="str">
        <f t="shared" si="1642"/>
        <v>0,00</v>
      </c>
      <c r="T2503" t="str">
        <f t="shared" si="1620"/>
        <v xml:space="preserve"> </v>
      </c>
      <c r="U2503" t="str">
        <f t="shared" si="1621"/>
        <v xml:space="preserve"> </v>
      </c>
      <c r="V2503" t="str">
        <f>"258,000"</f>
        <v>258,000</v>
      </c>
      <c r="W2503" t="str">
        <f t="shared" si="1626"/>
        <v>Lista 4</v>
      </c>
      <c r="X2503" t="str">
        <f t="shared" si="1627"/>
        <v>Lista 5</v>
      </c>
      <c r="Y2503" t="str">
        <f t="shared" si="1628"/>
        <v>Oferta Gral.</v>
      </c>
      <c r="Z2503" t="str">
        <f t="shared" si="1629"/>
        <v>Rubro</v>
      </c>
      <c r="AA2503" t="str">
        <f t="shared" si="1630"/>
        <v>Cantidad por Bulto</v>
      </c>
      <c r="AB2503" t="str">
        <f t="shared" si="1631"/>
        <v>INNER</v>
      </c>
      <c r="AC2503" t="str">
        <f t="shared" si="1632"/>
        <v>Stock en Bultos</v>
      </c>
      <c r="AD2503" t="str">
        <f t="shared" si="1633"/>
        <v>SubDepósito</v>
      </c>
      <c r="AE2503" t="str">
        <f t="shared" si="1634"/>
        <v>Marca</v>
      </c>
      <c r="AF2503" t="str">
        <f t="shared" si="1635"/>
        <v>Super Rubro</v>
      </c>
      <c r="AG2503" t="str">
        <f t="shared" si="1636"/>
        <v>ComercioExterior</v>
      </c>
      <c r="AH2503" t="str">
        <f t="shared" si="1637"/>
        <v>PrecioFOB</v>
      </c>
      <c r="AI2503" t="str">
        <f t="shared" si="1638"/>
        <v>Monto II</v>
      </c>
      <c r="AJ2503" t="str">
        <f t="shared" si="1639"/>
        <v>Porcentaje II</v>
      </c>
      <c r="AK2503" t="str">
        <f t="shared" si="1640"/>
        <v>Foto</v>
      </c>
      <c r="AL2503" t="str">
        <f>"{\rtf1\ansi\ansicpg1252\deff0\deflang11274{\fonttbl{\f0\fnil\fcharset0 MS Sans Serif}} \viewkind4\uc1\pard\f0\fs16 LAMPARA KOBO 1034 21/5W\par } "</f>
        <v xml:space="preserve">{\rtf1\ansi\ansicpg1252\deff0\deflang11274{\fonttbl{\f0\fnil\fcharset0 MS Sans Serif}} \viewkind4\uc1\pard\f0\fs16 LAMPARA KOBO 1034 21/5W\par } </v>
      </c>
      <c r="AM2503" t="str">
        <f t="shared" ref="AM2503:AM2532" si="1643">" "</f>
        <v xml:space="preserve"> </v>
      </c>
    </row>
    <row r="2504" spans="1:39" x14ac:dyDescent="0.25">
      <c r="A2504" t="str">
        <f>"12502KO"</f>
        <v>12502KO</v>
      </c>
      <c r="B2504" t="str">
        <f>"LAMPARA KOBO 1176 P21/5W"</f>
        <v>LAMPARA KOBO 1176 P21/5W</v>
      </c>
      <c r="C2504" t="str">
        <f>"$ 886,88"</f>
        <v>$ 886,88</v>
      </c>
      <c r="D2504" t="str">
        <f>"$ 886,88"</f>
        <v>$ 886,88</v>
      </c>
      <c r="E2504" t="str">
        <f>"$ 886,88"</f>
        <v>$ 886,88</v>
      </c>
      <c r="F2504" t="str">
        <f>"$ 886,88"</f>
        <v>$ 886,88</v>
      </c>
      <c r="G2504" t="str">
        <f>"$ 886,88"</f>
        <v>$ 886,88</v>
      </c>
      <c r="H2504" t="str">
        <f t="shared" si="1622"/>
        <v>$ 0,00</v>
      </c>
      <c r="I2504" t="str">
        <f>"LAMPARAS SEÑALIZACION"</f>
        <v>LAMPARAS SEÑALIZACION</v>
      </c>
      <c r="J2504" t="str">
        <f t="shared" si="1623"/>
        <v>1</v>
      </c>
      <c r="K2504" t="str">
        <f t="shared" si="1602"/>
        <v>0</v>
      </c>
      <c r="L2504" t="str">
        <f>"70,000"</f>
        <v>70,000</v>
      </c>
      <c r="M2504" t="str">
        <f t="shared" si="1624"/>
        <v xml:space="preserve"> </v>
      </c>
      <c r="N2504" t="str">
        <f t="shared" si="1625"/>
        <v>KOBO</v>
      </c>
      <c r="O2504" t="str">
        <f t="shared" si="1613"/>
        <v>LAMPARAS</v>
      </c>
      <c r="P2504" t="str">
        <f t="shared" si="1641"/>
        <v>0</v>
      </c>
      <c r="Q2504" t="str">
        <f t="shared" si="1641"/>
        <v>0</v>
      </c>
      <c r="R2504" t="str">
        <f t="shared" si="1642"/>
        <v>0,00</v>
      </c>
      <c r="S2504" t="str">
        <f t="shared" si="1642"/>
        <v>0,00</v>
      </c>
      <c r="T2504" t="str">
        <f t="shared" si="1620"/>
        <v xml:space="preserve"> </v>
      </c>
      <c r="U2504" t="str">
        <f t="shared" si="1621"/>
        <v xml:space="preserve"> </v>
      </c>
      <c r="V2504" t="str">
        <f>"70,000"</f>
        <v>70,000</v>
      </c>
      <c r="W2504" t="str">
        <f t="shared" si="1626"/>
        <v>Lista 4</v>
      </c>
      <c r="X2504" t="str">
        <f t="shared" si="1627"/>
        <v>Lista 5</v>
      </c>
      <c r="Y2504" t="str">
        <f t="shared" si="1628"/>
        <v>Oferta Gral.</v>
      </c>
      <c r="Z2504" t="str">
        <f t="shared" si="1629"/>
        <v>Rubro</v>
      </c>
      <c r="AA2504" t="str">
        <f t="shared" si="1630"/>
        <v>Cantidad por Bulto</v>
      </c>
      <c r="AB2504" t="str">
        <f t="shared" si="1631"/>
        <v>INNER</v>
      </c>
      <c r="AC2504" t="str">
        <f t="shared" si="1632"/>
        <v>Stock en Bultos</v>
      </c>
      <c r="AD2504" t="str">
        <f t="shared" si="1633"/>
        <v>SubDepósito</v>
      </c>
      <c r="AE2504" t="str">
        <f t="shared" si="1634"/>
        <v>Marca</v>
      </c>
      <c r="AF2504" t="str">
        <f t="shared" si="1635"/>
        <v>Super Rubro</v>
      </c>
      <c r="AG2504" t="str">
        <f t="shared" si="1636"/>
        <v>ComercioExterior</v>
      </c>
      <c r="AH2504" t="str">
        <f t="shared" si="1637"/>
        <v>PrecioFOB</v>
      </c>
      <c r="AI2504" t="str">
        <f t="shared" si="1638"/>
        <v>Monto II</v>
      </c>
      <c r="AJ2504" t="str">
        <f t="shared" si="1639"/>
        <v>Porcentaje II</v>
      </c>
      <c r="AK2504" t="str">
        <f t="shared" si="1640"/>
        <v>Foto</v>
      </c>
      <c r="AL2504" t="str">
        <f>"{\rtf1\ansi\ansicpg1252\deff0\deflang11274{\fonttbl{\f0\fnil\fcharset0 MS Sans Serif}} \viewkind4\uc1\pard\f0\fs16 LAMPARA KOBO 1176 P21/5W\par } "</f>
        <v xml:space="preserve">{\rtf1\ansi\ansicpg1252\deff0\deflang11274{\fonttbl{\f0\fnil\fcharset0 MS Sans Serif}} \viewkind4\uc1\pard\f0\fs16 LAMPARA KOBO 1176 P21/5W\par } </v>
      </c>
      <c r="AM2504" t="str">
        <f t="shared" si="1643"/>
        <v xml:space="preserve"> </v>
      </c>
    </row>
    <row r="2505" spans="1:39" x14ac:dyDescent="0.25">
      <c r="A2505" t="str">
        <f>"12496KO"</f>
        <v>12496KO</v>
      </c>
      <c r="B2505" t="str">
        <f>"LAMPARA KOBO 12V 21W AMBAR PATAS DESFASADAS"</f>
        <v>LAMPARA KOBO 12V 21W AMBAR PATAS DESFASADAS</v>
      </c>
      <c r="C2505" t="str">
        <f>"$ 876,31"</f>
        <v>$ 876,31</v>
      </c>
      <c r="D2505" t="str">
        <f>"$ 876,31"</f>
        <v>$ 876,31</v>
      </c>
      <c r="E2505" t="str">
        <f>"$ 876,31"</f>
        <v>$ 876,31</v>
      </c>
      <c r="F2505" t="str">
        <f>"$ 876,31"</f>
        <v>$ 876,31</v>
      </c>
      <c r="G2505" t="str">
        <f>"$ 876,31"</f>
        <v>$ 876,31</v>
      </c>
      <c r="H2505" t="str">
        <f t="shared" si="1622"/>
        <v>$ 0,00</v>
      </c>
      <c r="I2505" t="str">
        <f>"LAMPARAS SEÑALIZACION"</f>
        <v>LAMPARAS SEÑALIZACION</v>
      </c>
      <c r="J2505" t="str">
        <f t="shared" si="1623"/>
        <v>1</v>
      </c>
      <c r="K2505" t="str">
        <f t="shared" si="1602"/>
        <v>0</v>
      </c>
      <c r="L2505" t="str">
        <f>"-253,000"</f>
        <v>-253,000</v>
      </c>
      <c r="M2505" t="str">
        <f t="shared" si="1624"/>
        <v xml:space="preserve"> </v>
      </c>
      <c r="N2505" t="str">
        <f t="shared" si="1625"/>
        <v>KOBO</v>
      </c>
      <c r="O2505" t="str">
        <f t="shared" si="1613"/>
        <v>LAMPARAS</v>
      </c>
      <c r="P2505" t="str">
        <f t="shared" si="1641"/>
        <v>0</v>
      </c>
      <c r="Q2505" t="str">
        <f t="shared" si="1641"/>
        <v>0</v>
      </c>
      <c r="R2505" t="str">
        <f t="shared" si="1642"/>
        <v>0,00</v>
      </c>
      <c r="S2505" t="str">
        <f t="shared" si="1642"/>
        <v>0,00</v>
      </c>
      <c r="T2505" t="str">
        <f t="shared" si="1620"/>
        <v xml:space="preserve"> </v>
      </c>
      <c r="U2505" t="str">
        <f t="shared" si="1621"/>
        <v xml:space="preserve"> </v>
      </c>
      <c r="V2505" t="str">
        <f>"-253,000"</f>
        <v>-253,000</v>
      </c>
      <c r="W2505" t="str">
        <f t="shared" si="1626"/>
        <v>Lista 4</v>
      </c>
      <c r="X2505" t="str">
        <f t="shared" si="1627"/>
        <v>Lista 5</v>
      </c>
      <c r="Y2505" t="str">
        <f t="shared" si="1628"/>
        <v>Oferta Gral.</v>
      </c>
      <c r="Z2505" t="str">
        <f t="shared" si="1629"/>
        <v>Rubro</v>
      </c>
      <c r="AA2505" t="str">
        <f t="shared" si="1630"/>
        <v>Cantidad por Bulto</v>
      </c>
      <c r="AB2505" t="str">
        <f t="shared" si="1631"/>
        <v>INNER</v>
      </c>
      <c r="AC2505" t="str">
        <f t="shared" si="1632"/>
        <v>Stock en Bultos</v>
      </c>
      <c r="AD2505" t="str">
        <f t="shared" si="1633"/>
        <v>SubDepósito</v>
      </c>
      <c r="AE2505" t="str">
        <f t="shared" si="1634"/>
        <v>Marca</v>
      </c>
      <c r="AF2505" t="str">
        <f t="shared" si="1635"/>
        <v>Super Rubro</v>
      </c>
      <c r="AG2505" t="str">
        <f t="shared" si="1636"/>
        <v>ComercioExterior</v>
      </c>
      <c r="AH2505" t="str">
        <f t="shared" si="1637"/>
        <v>PrecioFOB</v>
      </c>
      <c r="AI2505" t="str">
        <f t="shared" si="1638"/>
        <v>Monto II</v>
      </c>
      <c r="AJ2505" t="str">
        <f t="shared" si="1639"/>
        <v>Porcentaje II</v>
      </c>
      <c r="AK2505" t="str">
        <f t="shared" si="1640"/>
        <v>Foto</v>
      </c>
      <c r="AL2505" t="str">
        <f>"{\rtf1\ansi\ansicpg1252\deff0\deflang11274{\fonttbl{\f0\fnil\fcharset0 MS Sans Serif}} \viewkind4\uc1\pard\f0\fs16 LAMPARA KOBO 12V 21W AMBAR PATAS DESFASADAS\par } "</f>
        <v xml:space="preserve">{\rtf1\ansi\ansicpg1252\deff0\deflang11274{\fonttbl{\f0\fnil\fcharset0 MS Sans Serif}} \viewkind4\uc1\pard\f0\fs16 LAMPARA KOBO 12V 21W AMBAR PATAS DESFASADAS\par } </v>
      </c>
      <c r="AM2505" t="str">
        <f t="shared" si="1643"/>
        <v xml:space="preserve"> </v>
      </c>
    </row>
    <row r="2506" spans="1:39" x14ac:dyDescent="0.25">
      <c r="A2506" t="str">
        <f>"9004KO"</f>
        <v>9004KO</v>
      </c>
      <c r="B2506" t="str">
        <f>"LAMPARA KOBO 9004 12V 65/45W"</f>
        <v>LAMPARA KOBO 9004 12V 65/45W</v>
      </c>
      <c r="C2506" t="str">
        <f>"$ 10420,71"</f>
        <v>$ 10420,71</v>
      </c>
      <c r="D2506" t="str">
        <f>"$ 10420,71"</f>
        <v>$ 10420,71</v>
      </c>
      <c r="E2506" t="str">
        <f>"$ 10420,71"</f>
        <v>$ 10420,71</v>
      </c>
      <c r="F2506" t="str">
        <f>"$ 10420,71"</f>
        <v>$ 10420,71</v>
      </c>
      <c r="G2506" t="str">
        <f>"$ 10420,71"</f>
        <v>$ 10420,71</v>
      </c>
      <c r="H2506" t="str">
        <f t="shared" si="1622"/>
        <v>$ 0,00</v>
      </c>
      <c r="I2506" t="str">
        <f>"LAMPARAS HALOGENAS"</f>
        <v>LAMPARAS HALOGENAS</v>
      </c>
      <c r="J2506" t="str">
        <f t="shared" si="1623"/>
        <v>1</v>
      </c>
      <c r="K2506" t="str">
        <f t="shared" si="1602"/>
        <v>0</v>
      </c>
      <c r="L2506" t="str">
        <f>"16,000"</f>
        <v>16,000</v>
      </c>
      <c r="M2506" t="str">
        <f t="shared" si="1624"/>
        <v xml:space="preserve"> </v>
      </c>
      <c r="N2506" t="str">
        <f t="shared" si="1625"/>
        <v>KOBO</v>
      </c>
      <c r="O2506" t="str">
        <f t="shared" si="1613"/>
        <v>LAMPARAS</v>
      </c>
      <c r="P2506" t="str">
        <f t="shared" si="1641"/>
        <v>0</v>
      </c>
      <c r="Q2506" t="str">
        <f t="shared" si="1641"/>
        <v>0</v>
      </c>
      <c r="R2506" t="str">
        <f t="shared" si="1642"/>
        <v>0,00</v>
      </c>
      <c r="S2506" t="str">
        <f t="shared" si="1642"/>
        <v>0,00</v>
      </c>
      <c r="T2506" t="str">
        <f t="shared" si="1620"/>
        <v xml:space="preserve"> </v>
      </c>
      <c r="U2506" t="str">
        <f t="shared" si="1621"/>
        <v xml:space="preserve"> </v>
      </c>
      <c r="V2506" t="str">
        <f>"16,000"</f>
        <v>16,000</v>
      </c>
      <c r="W2506" t="str">
        <f t="shared" si="1626"/>
        <v>Lista 4</v>
      </c>
      <c r="X2506" t="str">
        <f t="shared" si="1627"/>
        <v>Lista 5</v>
      </c>
      <c r="Y2506" t="str">
        <f t="shared" si="1628"/>
        <v>Oferta Gral.</v>
      </c>
      <c r="Z2506" t="str">
        <f t="shared" si="1629"/>
        <v>Rubro</v>
      </c>
      <c r="AA2506" t="str">
        <f t="shared" si="1630"/>
        <v>Cantidad por Bulto</v>
      </c>
      <c r="AB2506" t="str">
        <f t="shared" si="1631"/>
        <v>INNER</v>
      </c>
      <c r="AC2506" t="str">
        <f t="shared" si="1632"/>
        <v>Stock en Bultos</v>
      </c>
      <c r="AD2506" t="str">
        <f t="shared" si="1633"/>
        <v>SubDepósito</v>
      </c>
      <c r="AE2506" t="str">
        <f t="shared" si="1634"/>
        <v>Marca</v>
      </c>
      <c r="AF2506" t="str">
        <f t="shared" si="1635"/>
        <v>Super Rubro</v>
      </c>
      <c r="AG2506" t="str">
        <f t="shared" si="1636"/>
        <v>ComercioExterior</v>
      </c>
      <c r="AH2506" t="str">
        <f t="shared" si="1637"/>
        <v>PrecioFOB</v>
      </c>
      <c r="AI2506" t="str">
        <f t="shared" si="1638"/>
        <v>Monto II</v>
      </c>
      <c r="AJ2506" t="str">
        <f t="shared" si="1639"/>
        <v>Porcentaje II</v>
      </c>
      <c r="AK2506" t="str">
        <f t="shared" si="1640"/>
        <v>Foto</v>
      </c>
      <c r="AL2506" t="str">
        <f>"{\rtf1\ansi\ansicpg1252\deff0\deflang11274{\fonttbl{\f0\fnil\fcharset0 MS Sans Serif}} \viewkind4\uc1\pard\f0\fs16 LAMPARA KOBO 9004 12V 65/45W\par } "</f>
        <v xml:space="preserve">{\rtf1\ansi\ansicpg1252\deff0\deflang11274{\fonttbl{\f0\fnil\fcharset0 MS Sans Serif}} \viewkind4\uc1\pard\f0\fs16 LAMPARA KOBO 9004 12V 65/45W\par } </v>
      </c>
      <c r="AM2506" t="str">
        <f t="shared" si="1643"/>
        <v xml:space="preserve"> </v>
      </c>
    </row>
    <row r="2507" spans="1:39" x14ac:dyDescent="0.25">
      <c r="A2507" t="str">
        <f>"9004BV"</f>
        <v>9004BV</v>
      </c>
      <c r="B2507" t="str">
        <f>"LAMPARA KOBO 9004 BLUEVISION 55W BLISTER X 2"</f>
        <v>LAMPARA KOBO 9004 BLUEVISION 55W BLISTER X 2</v>
      </c>
      <c r="C2507" t="str">
        <f>"$ 15097,88"</f>
        <v>$ 15097,88</v>
      </c>
      <c r="D2507" t="str">
        <f>"$ 15097,88"</f>
        <v>$ 15097,88</v>
      </c>
      <c r="E2507" t="str">
        <f>"$ 15097,88"</f>
        <v>$ 15097,88</v>
      </c>
      <c r="F2507" t="str">
        <f>"$ 15097,88"</f>
        <v>$ 15097,88</v>
      </c>
      <c r="G2507" t="str">
        <f>"$ 15097,88"</f>
        <v>$ 15097,88</v>
      </c>
      <c r="H2507" t="str">
        <f t="shared" si="1622"/>
        <v>$ 0,00</v>
      </c>
      <c r="I2507" t="str">
        <f>"LAMPARAS BLUEVISION"</f>
        <v>LAMPARAS BLUEVISION</v>
      </c>
      <c r="J2507" t="str">
        <f t="shared" si="1623"/>
        <v>1</v>
      </c>
      <c r="K2507" t="str">
        <f t="shared" si="1602"/>
        <v>0</v>
      </c>
      <c r="L2507" t="str">
        <f>"5,000"</f>
        <v>5,000</v>
      </c>
      <c r="M2507" t="str">
        <f t="shared" si="1624"/>
        <v xml:space="preserve"> </v>
      </c>
      <c r="N2507" t="str">
        <f t="shared" si="1625"/>
        <v>KOBO</v>
      </c>
      <c r="O2507" t="str">
        <f t="shared" si="1613"/>
        <v>LAMPARAS</v>
      </c>
      <c r="P2507" t="str">
        <f t="shared" si="1641"/>
        <v>0</v>
      </c>
      <c r="Q2507" t="str">
        <f t="shared" si="1641"/>
        <v>0</v>
      </c>
      <c r="R2507" t="str">
        <f t="shared" si="1642"/>
        <v>0,00</v>
      </c>
      <c r="S2507" t="str">
        <f t="shared" si="1642"/>
        <v>0,00</v>
      </c>
      <c r="T2507" t="str">
        <f t="shared" si="1620"/>
        <v xml:space="preserve"> </v>
      </c>
      <c r="U2507" t="str">
        <f t="shared" si="1621"/>
        <v xml:space="preserve"> </v>
      </c>
      <c r="V2507" t="str">
        <f>"5,000"</f>
        <v>5,000</v>
      </c>
      <c r="W2507" t="str">
        <f t="shared" si="1626"/>
        <v>Lista 4</v>
      </c>
      <c r="X2507" t="str">
        <f t="shared" si="1627"/>
        <v>Lista 5</v>
      </c>
      <c r="Y2507" t="str">
        <f t="shared" si="1628"/>
        <v>Oferta Gral.</v>
      </c>
      <c r="Z2507" t="str">
        <f t="shared" si="1629"/>
        <v>Rubro</v>
      </c>
      <c r="AA2507" t="str">
        <f t="shared" si="1630"/>
        <v>Cantidad por Bulto</v>
      </c>
      <c r="AB2507" t="str">
        <f t="shared" si="1631"/>
        <v>INNER</v>
      </c>
      <c r="AC2507" t="str">
        <f t="shared" si="1632"/>
        <v>Stock en Bultos</v>
      </c>
      <c r="AD2507" t="str">
        <f t="shared" si="1633"/>
        <v>SubDepósito</v>
      </c>
      <c r="AE2507" t="str">
        <f t="shared" si="1634"/>
        <v>Marca</v>
      </c>
      <c r="AF2507" t="str">
        <f t="shared" si="1635"/>
        <v>Super Rubro</v>
      </c>
      <c r="AG2507" t="str">
        <f t="shared" si="1636"/>
        <v>ComercioExterior</v>
      </c>
      <c r="AH2507" t="str">
        <f t="shared" si="1637"/>
        <v>PrecioFOB</v>
      </c>
      <c r="AI2507" t="str">
        <f t="shared" si="1638"/>
        <v>Monto II</v>
      </c>
      <c r="AJ2507" t="str">
        <f t="shared" si="1639"/>
        <v>Porcentaje II</v>
      </c>
      <c r="AK2507" t="str">
        <f t="shared" si="1640"/>
        <v>Foto</v>
      </c>
      <c r="AL2507" t="str">
        <f>"{\rtf1\ansi\ansicpg1252\deff0\deflang11274{\fonttbl{\f0\fnil\fcharset0 MS Sans Serif}} \viewkind4\uc1\pard\f0\fs16 LAMPARA KOBO 9004 BLUEVISION 55W BLISTER X 2\par \par \par \par \par } "</f>
        <v xml:space="preserve">{\rtf1\ansi\ansicpg1252\deff0\deflang11274{\fonttbl{\f0\fnil\fcharset0 MS Sans Serif}} \viewkind4\uc1\pard\f0\fs16 LAMPARA KOBO 9004 BLUEVISION 55W BLISTER X 2\par \par \par \par \par } </v>
      </c>
      <c r="AM2507" t="str">
        <f t="shared" si="1643"/>
        <v xml:space="preserve"> </v>
      </c>
    </row>
    <row r="2508" spans="1:39" x14ac:dyDescent="0.25">
      <c r="A2508" t="str">
        <f>"9006KO"</f>
        <v>9006KO</v>
      </c>
      <c r="B2508" t="str">
        <f>"LAMPARA KOBO 9006 12V 51W"</f>
        <v>LAMPARA KOBO 9006 12V 51W</v>
      </c>
      <c r="C2508" t="str">
        <f>"$ 7950,14"</f>
        <v>$ 7950,14</v>
      </c>
      <c r="D2508" t="str">
        <f>"$ 7950,14"</f>
        <v>$ 7950,14</v>
      </c>
      <c r="E2508" t="str">
        <f>"$ 7950,14"</f>
        <v>$ 7950,14</v>
      </c>
      <c r="F2508" t="str">
        <f>"$ 7950,14"</f>
        <v>$ 7950,14</v>
      </c>
      <c r="G2508" t="str">
        <f>"$ 7950,14"</f>
        <v>$ 7950,14</v>
      </c>
      <c r="H2508" t="str">
        <f t="shared" si="1622"/>
        <v>$ 0,00</v>
      </c>
      <c r="I2508" t="str">
        <f>"LAMPARAS HALOGENAS"</f>
        <v>LAMPARAS HALOGENAS</v>
      </c>
      <c r="J2508" t="str">
        <f t="shared" si="1623"/>
        <v>1</v>
      </c>
      <c r="K2508" t="str">
        <f t="shared" si="1602"/>
        <v>0</v>
      </c>
      <c r="L2508" t="str">
        <f>"10,000"</f>
        <v>10,000</v>
      </c>
      <c r="M2508" t="str">
        <f t="shared" si="1624"/>
        <v xml:space="preserve"> </v>
      </c>
      <c r="N2508" t="str">
        <f t="shared" si="1625"/>
        <v>KOBO</v>
      </c>
      <c r="O2508" t="str">
        <f t="shared" si="1613"/>
        <v>LAMPARAS</v>
      </c>
      <c r="P2508" t="str">
        <f t="shared" si="1641"/>
        <v>0</v>
      </c>
      <c r="Q2508" t="str">
        <f t="shared" si="1641"/>
        <v>0</v>
      </c>
      <c r="R2508" t="str">
        <f t="shared" si="1642"/>
        <v>0,00</v>
      </c>
      <c r="S2508" t="str">
        <f t="shared" si="1642"/>
        <v>0,00</v>
      </c>
      <c r="T2508" t="str">
        <f t="shared" si="1620"/>
        <v xml:space="preserve"> </v>
      </c>
      <c r="U2508" t="str">
        <f t="shared" si="1621"/>
        <v xml:space="preserve"> </v>
      </c>
      <c r="V2508" t="str">
        <f>"10,000"</f>
        <v>10,000</v>
      </c>
      <c r="W2508" t="str">
        <f t="shared" si="1626"/>
        <v>Lista 4</v>
      </c>
      <c r="X2508" t="str">
        <f t="shared" si="1627"/>
        <v>Lista 5</v>
      </c>
      <c r="Y2508" t="str">
        <f t="shared" si="1628"/>
        <v>Oferta Gral.</v>
      </c>
      <c r="Z2508" t="str">
        <f t="shared" si="1629"/>
        <v>Rubro</v>
      </c>
      <c r="AA2508" t="str">
        <f t="shared" si="1630"/>
        <v>Cantidad por Bulto</v>
      </c>
      <c r="AB2508" t="str">
        <f t="shared" si="1631"/>
        <v>INNER</v>
      </c>
      <c r="AC2508" t="str">
        <f t="shared" si="1632"/>
        <v>Stock en Bultos</v>
      </c>
      <c r="AD2508" t="str">
        <f t="shared" si="1633"/>
        <v>SubDepósito</v>
      </c>
      <c r="AE2508" t="str">
        <f t="shared" si="1634"/>
        <v>Marca</v>
      </c>
      <c r="AF2508" t="str">
        <f t="shared" si="1635"/>
        <v>Super Rubro</v>
      </c>
      <c r="AG2508" t="str">
        <f t="shared" si="1636"/>
        <v>ComercioExterior</v>
      </c>
      <c r="AH2508" t="str">
        <f t="shared" si="1637"/>
        <v>PrecioFOB</v>
      </c>
      <c r="AI2508" t="str">
        <f t="shared" si="1638"/>
        <v>Monto II</v>
      </c>
      <c r="AJ2508" t="str">
        <f t="shared" si="1639"/>
        <v>Porcentaje II</v>
      </c>
      <c r="AK2508" t="str">
        <f t="shared" si="1640"/>
        <v>Foto</v>
      </c>
      <c r="AL2508" t="str">
        <f>"{\rtf1\ansi\ansicpg1252\deff0\deflang11274{\fonttbl{\f0\fnil\fcharset0 MS Sans Serif}} \viewkind4\uc1\pard\f0\fs16 LAMPARA KOBO 9006 12V 51W\par } "</f>
        <v xml:space="preserve">{\rtf1\ansi\ansicpg1252\deff0\deflang11274{\fonttbl{\f0\fnil\fcharset0 MS Sans Serif}} \viewkind4\uc1\pard\f0\fs16 LAMPARA KOBO 9006 12V 51W\par } </v>
      </c>
      <c r="AM2508" t="str">
        <f t="shared" si="1643"/>
        <v xml:space="preserve"> </v>
      </c>
    </row>
    <row r="2509" spans="1:39" x14ac:dyDescent="0.25">
      <c r="A2509" t="str">
        <f>"9005BV"</f>
        <v>9005BV</v>
      </c>
      <c r="B2509" t="str">
        <f>"LAMPARA KOBO BLUEVISION 9005 55W BLISTER X 2"</f>
        <v>LAMPARA KOBO BLUEVISION 9005 55W BLISTER X 2</v>
      </c>
      <c r="C2509" t="str">
        <f t="shared" ref="C2509:G2510" si="1644">"$ 13640,89"</f>
        <v>$ 13640,89</v>
      </c>
      <c r="D2509" t="str">
        <f t="shared" si="1644"/>
        <v>$ 13640,89</v>
      </c>
      <c r="E2509" t="str">
        <f t="shared" si="1644"/>
        <v>$ 13640,89</v>
      </c>
      <c r="F2509" t="str">
        <f t="shared" si="1644"/>
        <v>$ 13640,89</v>
      </c>
      <c r="G2509" t="str">
        <f t="shared" si="1644"/>
        <v>$ 13640,89</v>
      </c>
      <c r="H2509" t="str">
        <f t="shared" si="1622"/>
        <v>$ 0,00</v>
      </c>
      <c r="I2509" t="str">
        <f t="shared" ref="I2509:I2519" si="1645">"LAMPARAS BLUEVISION"</f>
        <v>LAMPARAS BLUEVISION</v>
      </c>
      <c r="J2509" t="str">
        <f t="shared" si="1623"/>
        <v>1</v>
      </c>
      <c r="K2509" t="str">
        <f t="shared" si="1602"/>
        <v>0</v>
      </c>
      <c r="L2509" t="str">
        <f>"9,000"</f>
        <v>9,000</v>
      </c>
      <c r="M2509" t="str">
        <f t="shared" si="1624"/>
        <v xml:space="preserve"> </v>
      </c>
      <c r="N2509" t="str">
        <f t="shared" si="1625"/>
        <v>KOBO</v>
      </c>
      <c r="O2509" t="str">
        <f t="shared" si="1613"/>
        <v>LAMPARAS</v>
      </c>
      <c r="P2509" t="str">
        <f t="shared" si="1641"/>
        <v>0</v>
      </c>
      <c r="Q2509" t="str">
        <f t="shared" si="1641"/>
        <v>0</v>
      </c>
      <c r="R2509" t="str">
        <f t="shared" si="1642"/>
        <v>0,00</v>
      </c>
      <c r="S2509" t="str">
        <f t="shared" si="1642"/>
        <v>0,00</v>
      </c>
      <c r="T2509" t="str">
        <f t="shared" si="1620"/>
        <v xml:space="preserve"> </v>
      </c>
      <c r="U2509" t="str">
        <f t="shared" si="1621"/>
        <v xml:space="preserve"> </v>
      </c>
      <c r="V2509" t="str">
        <f>"9,000"</f>
        <v>9,000</v>
      </c>
      <c r="W2509" t="str">
        <f t="shared" si="1626"/>
        <v>Lista 4</v>
      </c>
      <c r="X2509" t="str">
        <f t="shared" si="1627"/>
        <v>Lista 5</v>
      </c>
      <c r="Y2509" t="str">
        <f t="shared" si="1628"/>
        <v>Oferta Gral.</v>
      </c>
      <c r="Z2509" t="str">
        <f t="shared" si="1629"/>
        <v>Rubro</v>
      </c>
      <c r="AA2509" t="str">
        <f t="shared" si="1630"/>
        <v>Cantidad por Bulto</v>
      </c>
      <c r="AB2509" t="str">
        <f t="shared" si="1631"/>
        <v>INNER</v>
      </c>
      <c r="AC2509" t="str">
        <f t="shared" si="1632"/>
        <v>Stock en Bultos</v>
      </c>
      <c r="AD2509" t="str">
        <f t="shared" si="1633"/>
        <v>SubDepósito</v>
      </c>
      <c r="AE2509" t="str">
        <f t="shared" si="1634"/>
        <v>Marca</v>
      </c>
      <c r="AF2509" t="str">
        <f t="shared" si="1635"/>
        <v>Super Rubro</v>
      </c>
      <c r="AG2509" t="str">
        <f t="shared" si="1636"/>
        <v>ComercioExterior</v>
      </c>
      <c r="AH2509" t="str">
        <f t="shared" si="1637"/>
        <v>PrecioFOB</v>
      </c>
      <c r="AI2509" t="str">
        <f t="shared" si="1638"/>
        <v>Monto II</v>
      </c>
      <c r="AJ2509" t="str">
        <f t="shared" si="1639"/>
        <v>Porcentaje II</v>
      </c>
      <c r="AK2509" t="str">
        <f t="shared" si="1640"/>
        <v>Foto</v>
      </c>
      <c r="AL2509" t="str">
        <f>"{\rtf1\ansi\ansicpg1252\deff0\deflang11274{\fonttbl{\f0\fnil\fcharset0 MS Sans Serif}} \viewkind4\uc1\pard\f0\fs16 LAMPARA KOBO BLUEVISION 9005 55W BLISTER X 2\par } "</f>
        <v xml:space="preserve">{\rtf1\ansi\ansicpg1252\deff0\deflang11274{\fonttbl{\f0\fnil\fcharset0 MS Sans Serif}} \viewkind4\uc1\pard\f0\fs16 LAMPARA KOBO BLUEVISION 9005 55W BLISTER X 2\par } </v>
      </c>
      <c r="AM2509" t="str">
        <f t="shared" si="1643"/>
        <v xml:space="preserve"> </v>
      </c>
    </row>
    <row r="2510" spans="1:39" x14ac:dyDescent="0.25">
      <c r="A2510" t="str">
        <f>"9006BV"</f>
        <v>9006BV</v>
      </c>
      <c r="B2510" t="str">
        <f>"LAMPARA KOBO BLUEVISION 9006 55W BLISTER X 2"</f>
        <v>LAMPARA KOBO BLUEVISION 9006 55W BLISTER X 2</v>
      </c>
      <c r="C2510" t="str">
        <f t="shared" si="1644"/>
        <v>$ 13640,89</v>
      </c>
      <c r="D2510" t="str">
        <f t="shared" si="1644"/>
        <v>$ 13640,89</v>
      </c>
      <c r="E2510" t="str">
        <f t="shared" si="1644"/>
        <v>$ 13640,89</v>
      </c>
      <c r="F2510" t="str">
        <f t="shared" si="1644"/>
        <v>$ 13640,89</v>
      </c>
      <c r="G2510" t="str">
        <f t="shared" si="1644"/>
        <v>$ 13640,89</v>
      </c>
      <c r="H2510" t="str">
        <f t="shared" si="1622"/>
        <v>$ 0,00</v>
      </c>
      <c r="I2510" t="str">
        <f t="shared" si="1645"/>
        <v>LAMPARAS BLUEVISION</v>
      </c>
      <c r="J2510" t="str">
        <f t="shared" si="1623"/>
        <v>1</v>
      </c>
      <c r="K2510" t="str">
        <f t="shared" si="1602"/>
        <v>0</v>
      </c>
      <c r="L2510" t="str">
        <f>"3,000"</f>
        <v>3,000</v>
      </c>
      <c r="M2510" t="str">
        <f t="shared" si="1624"/>
        <v xml:space="preserve"> </v>
      </c>
      <c r="N2510" t="str">
        <f t="shared" si="1625"/>
        <v>KOBO</v>
      </c>
      <c r="O2510" t="str">
        <f t="shared" si="1613"/>
        <v>LAMPARAS</v>
      </c>
      <c r="P2510" t="str">
        <f t="shared" si="1641"/>
        <v>0</v>
      </c>
      <c r="Q2510" t="str">
        <f t="shared" si="1641"/>
        <v>0</v>
      </c>
      <c r="R2510" t="str">
        <f t="shared" si="1642"/>
        <v>0,00</v>
      </c>
      <c r="S2510" t="str">
        <f t="shared" si="1642"/>
        <v>0,00</v>
      </c>
      <c r="T2510" t="str">
        <f t="shared" si="1620"/>
        <v xml:space="preserve"> </v>
      </c>
      <c r="U2510" t="str">
        <f t="shared" si="1621"/>
        <v xml:space="preserve"> </v>
      </c>
      <c r="V2510" t="str">
        <f>"3,000"</f>
        <v>3,000</v>
      </c>
      <c r="W2510" t="str">
        <f t="shared" si="1626"/>
        <v>Lista 4</v>
      </c>
      <c r="X2510" t="str">
        <f t="shared" si="1627"/>
        <v>Lista 5</v>
      </c>
      <c r="Y2510" t="str">
        <f t="shared" si="1628"/>
        <v>Oferta Gral.</v>
      </c>
      <c r="Z2510" t="str">
        <f t="shared" si="1629"/>
        <v>Rubro</v>
      </c>
      <c r="AA2510" t="str">
        <f t="shared" si="1630"/>
        <v>Cantidad por Bulto</v>
      </c>
      <c r="AB2510" t="str">
        <f t="shared" si="1631"/>
        <v>INNER</v>
      </c>
      <c r="AC2510" t="str">
        <f t="shared" si="1632"/>
        <v>Stock en Bultos</v>
      </c>
      <c r="AD2510" t="str">
        <f t="shared" si="1633"/>
        <v>SubDepósito</v>
      </c>
      <c r="AE2510" t="str">
        <f t="shared" si="1634"/>
        <v>Marca</v>
      </c>
      <c r="AF2510" t="str">
        <f t="shared" si="1635"/>
        <v>Super Rubro</v>
      </c>
      <c r="AG2510" t="str">
        <f t="shared" si="1636"/>
        <v>ComercioExterior</v>
      </c>
      <c r="AH2510" t="str">
        <f t="shared" si="1637"/>
        <v>PrecioFOB</v>
      </c>
      <c r="AI2510" t="str">
        <f t="shared" si="1638"/>
        <v>Monto II</v>
      </c>
      <c r="AJ2510" t="str">
        <f t="shared" si="1639"/>
        <v>Porcentaje II</v>
      </c>
      <c r="AK2510" t="str">
        <f t="shared" si="1640"/>
        <v>Foto</v>
      </c>
      <c r="AL2510" t="str">
        <f>"{\rtf1\ansi\ansicpg1252\deff0\deflang11274{\fonttbl{\f0\fnil\fcharset0 MS Sans Serif}} \viewkind4\uc1\pard\f0\fs16 LAMPARA KOBO BLUEVISION 9006 55W BLISTER X 2\par } "</f>
        <v xml:space="preserve">{\rtf1\ansi\ansicpg1252\deff0\deflang11274{\fonttbl{\f0\fnil\fcharset0 MS Sans Serif}} \viewkind4\uc1\pard\f0\fs16 LAMPARA KOBO BLUEVISION 9006 55W BLISTER X 2\par } </v>
      </c>
      <c r="AM2510" t="str">
        <f t="shared" si="1643"/>
        <v xml:space="preserve"> </v>
      </c>
    </row>
    <row r="2511" spans="1:39" x14ac:dyDescent="0.25">
      <c r="A2511" t="str">
        <f>"9007BV"</f>
        <v>9007BV</v>
      </c>
      <c r="B2511" t="str">
        <f>"LAMPARA KOBO BLUEVISION 9007 55W BLISTER X 2"</f>
        <v>LAMPARA KOBO BLUEVISION 9007 55W BLISTER X 2</v>
      </c>
      <c r="C2511" t="str">
        <f>"$ 15097,88"</f>
        <v>$ 15097,88</v>
      </c>
      <c r="D2511" t="str">
        <f>"$ 15097,88"</f>
        <v>$ 15097,88</v>
      </c>
      <c r="E2511" t="str">
        <f>"$ 15097,88"</f>
        <v>$ 15097,88</v>
      </c>
      <c r="F2511" t="str">
        <f>"$ 15097,88"</f>
        <v>$ 15097,88</v>
      </c>
      <c r="G2511" t="str">
        <f>"$ 15097,88"</f>
        <v>$ 15097,88</v>
      </c>
      <c r="H2511" t="str">
        <f t="shared" si="1622"/>
        <v>$ 0,00</v>
      </c>
      <c r="I2511" t="str">
        <f t="shared" si="1645"/>
        <v>LAMPARAS BLUEVISION</v>
      </c>
      <c r="J2511" t="str">
        <f t="shared" si="1623"/>
        <v>1</v>
      </c>
      <c r="K2511" t="str">
        <f t="shared" si="1602"/>
        <v>0</v>
      </c>
      <c r="L2511" t="str">
        <f>"2,000"</f>
        <v>2,000</v>
      </c>
      <c r="M2511" t="str">
        <f t="shared" si="1624"/>
        <v xml:space="preserve"> </v>
      </c>
      <c r="N2511" t="str">
        <f t="shared" si="1625"/>
        <v>KOBO</v>
      </c>
      <c r="O2511" t="str">
        <f t="shared" si="1613"/>
        <v>LAMPARAS</v>
      </c>
      <c r="P2511" t="str">
        <f t="shared" si="1641"/>
        <v>0</v>
      </c>
      <c r="Q2511" t="str">
        <f t="shared" si="1641"/>
        <v>0</v>
      </c>
      <c r="R2511" t="str">
        <f t="shared" si="1642"/>
        <v>0,00</v>
      </c>
      <c r="S2511" t="str">
        <f t="shared" si="1642"/>
        <v>0,00</v>
      </c>
      <c r="T2511" t="str">
        <f t="shared" si="1620"/>
        <v xml:space="preserve"> </v>
      </c>
      <c r="U2511" t="str">
        <f t="shared" si="1621"/>
        <v xml:space="preserve"> </v>
      </c>
      <c r="V2511" t="str">
        <f>"2,000"</f>
        <v>2,000</v>
      </c>
      <c r="W2511" t="str">
        <f t="shared" si="1626"/>
        <v>Lista 4</v>
      </c>
      <c r="X2511" t="str">
        <f t="shared" si="1627"/>
        <v>Lista 5</v>
      </c>
      <c r="Y2511" t="str">
        <f t="shared" si="1628"/>
        <v>Oferta Gral.</v>
      </c>
      <c r="Z2511" t="str">
        <f t="shared" si="1629"/>
        <v>Rubro</v>
      </c>
      <c r="AA2511" t="str">
        <f t="shared" si="1630"/>
        <v>Cantidad por Bulto</v>
      </c>
      <c r="AB2511" t="str">
        <f t="shared" si="1631"/>
        <v>INNER</v>
      </c>
      <c r="AC2511" t="str">
        <f t="shared" si="1632"/>
        <v>Stock en Bultos</v>
      </c>
      <c r="AD2511" t="str">
        <f t="shared" si="1633"/>
        <v>SubDepósito</v>
      </c>
      <c r="AE2511" t="str">
        <f t="shared" si="1634"/>
        <v>Marca</v>
      </c>
      <c r="AF2511" t="str">
        <f t="shared" si="1635"/>
        <v>Super Rubro</v>
      </c>
      <c r="AG2511" t="str">
        <f t="shared" si="1636"/>
        <v>ComercioExterior</v>
      </c>
      <c r="AH2511" t="str">
        <f t="shared" si="1637"/>
        <v>PrecioFOB</v>
      </c>
      <c r="AI2511" t="str">
        <f t="shared" si="1638"/>
        <v>Monto II</v>
      </c>
      <c r="AJ2511" t="str">
        <f t="shared" si="1639"/>
        <v>Porcentaje II</v>
      </c>
      <c r="AK2511" t="str">
        <f t="shared" si="1640"/>
        <v>Foto</v>
      </c>
      <c r="AL2511" t="str">
        <f>"{\rtf1\ansi\ansicpg1252\deff0\deflang11274{\fonttbl{\f0\fnil\fcharset0 MS Sans Serif}} \viewkind4\uc1\pard\f0\fs16 LAMPARA KOBO BLUEVISION 9007 55W BLISTER X 2\par } "</f>
        <v xml:space="preserve">{\rtf1\ansi\ansicpg1252\deff0\deflang11274{\fonttbl{\f0\fnil\fcharset0 MS Sans Serif}} \viewkind4\uc1\pard\f0\fs16 LAMPARA KOBO BLUEVISION 9007 55W BLISTER X 2\par } </v>
      </c>
      <c r="AM2511" t="str">
        <f t="shared" si="1643"/>
        <v xml:space="preserve"> </v>
      </c>
    </row>
    <row r="2512" spans="1:39" x14ac:dyDescent="0.25">
      <c r="A2512" t="str">
        <f>"12258BV"</f>
        <v>12258BV</v>
      </c>
      <c r="B2512" t="str">
        <f>"LAMPARA KOBO BLUEVISION H1 55W BLISTER X 2"</f>
        <v>LAMPARA KOBO BLUEVISION H1 55W BLISTER X 2</v>
      </c>
      <c r="C2512" t="str">
        <f>"$ 9702,78"</f>
        <v>$ 9702,78</v>
      </c>
      <c r="D2512" t="str">
        <f>"$ 9702,78"</f>
        <v>$ 9702,78</v>
      </c>
      <c r="E2512" t="str">
        <f>"$ 9702,78"</f>
        <v>$ 9702,78</v>
      </c>
      <c r="F2512" t="str">
        <f>"$ 9702,78"</f>
        <v>$ 9702,78</v>
      </c>
      <c r="G2512" t="str">
        <f>"$ 9702,78"</f>
        <v>$ 9702,78</v>
      </c>
      <c r="H2512" t="str">
        <f t="shared" si="1622"/>
        <v>$ 0,00</v>
      </c>
      <c r="I2512" t="str">
        <f t="shared" si="1645"/>
        <v>LAMPARAS BLUEVISION</v>
      </c>
      <c r="J2512" t="str">
        <f t="shared" si="1623"/>
        <v>1</v>
      </c>
      <c r="K2512" t="str">
        <f t="shared" si="1602"/>
        <v>0</v>
      </c>
      <c r="L2512" t="str">
        <f>"11,000"</f>
        <v>11,000</v>
      </c>
      <c r="M2512" t="str">
        <f t="shared" si="1624"/>
        <v xml:space="preserve"> </v>
      </c>
      <c r="N2512" t="str">
        <f t="shared" si="1625"/>
        <v>KOBO</v>
      </c>
      <c r="O2512" t="str">
        <f t="shared" ref="O2512:O2543" si="1646">"LAMPARAS"</f>
        <v>LAMPARAS</v>
      </c>
      <c r="P2512" t="str">
        <f t="shared" si="1641"/>
        <v>0</v>
      </c>
      <c r="Q2512" t="str">
        <f t="shared" si="1641"/>
        <v>0</v>
      </c>
      <c r="R2512" t="str">
        <f t="shared" si="1642"/>
        <v>0,00</v>
      </c>
      <c r="S2512" t="str">
        <f t="shared" si="1642"/>
        <v>0,00</v>
      </c>
      <c r="T2512" t="str">
        <f t="shared" si="1620"/>
        <v xml:space="preserve"> </v>
      </c>
      <c r="U2512" t="str">
        <f t="shared" si="1621"/>
        <v xml:space="preserve"> </v>
      </c>
      <c r="V2512" t="str">
        <f>"11,000"</f>
        <v>11,000</v>
      </c>
      <c r="W2512" t="str">
        <f t="shared" si="1626"/>
        <v>Lista 4</v>
      </c>
      <c r="X2512" t="str">
        <f t="shared" si="1627"/>
        <v>Lista 5</v>
      </c>
      <c r="Y2512" t="str">
        <f t="shared" si="1628"/>
        <v>Oferta Gral.</v>
      </c>
      <c r="Z2512" t="str">
        <f t="shared" si="1629"/>
        <v>Rubro</v>
      </c>
      <c r="AA2512" t="str">
        <f t="shared" si="1630"/>
        <v>Cantidad por Bulto</v>
      </c>
      <c r="AB2512" t="str">
        <f t="shared" si="1631"/>
        <v>INNER</v>
      </c>
      <c r="AC2512" t="str">
        <f t="shared" si="1632"/>
        <v>Stock en Bultos</v>
      </c>
      <c r="AD2512" t="str">
        <f t="shared" si="1633"/>
        <v>SubDepósito</v>
      </c>
      <c r="AE2512" t="str">
        <f t="shared" si="1634"/>
        <v>Marca</v>
      </c>
      <c r="AF2512" t="str">
        <f t="shared" si="1635"/>
        <v>Super Rubro</v>
      </c>
      <c r="AG2512" t="str">
        <f t="shared" si="1636"/>
        <v>ComercioExterior</v>
      </c>
      <c r="AH2512" t="str">
        <f t="shared" si="1637"/>
        <v>PrecioFOB</v>
      </c>
      <c r="AI2512" t="str">
        <f t="shared" si="1638"/>
        <v>Monto II</v>
      </c>
      <c r="AJ2512" t="str">
        <f t="shared" si="1639"/>
        <v>Porcentaje II</v>
      </c>
      <c r="AK2512" t="str">
        <f t="shared" si="1640"/>
        <v>Foto</v>
      </c>
      <c r="AL2512" t="str">
        <f>"{\rtf1\ansi\ansicpg1252\deff0\deflang11274{\fonttbl{\f0\fnil\fcharset0 MS Sans Serif}} \viewkind4\uc1\pard\f0\fs16 LAMPARA KOBO BLUEVISION H1 55W BLISTER X 2\par } "</f>
        <v xml:space="preserve">{\rtf1\ansi\ansicpg1252\deff0\deflang11274{\fonttbl{\f0\fnil\fcharset0 MS Sans Serif}} \viewkind4\uc1\pard\f0\fs16 LAMPARA KOBO BLUEVISION H1 55W BLISTER X 2\par } </v>
      </c>
      <c r="AM2512" t="str">
        <f t="shared" si="1643"/>
        <v xml:space="preserve"> </v>
      </c>
    </row>
    <row r="2513" spans="1:39" x14ac:dyDescent="0.25">
      <c r="A2513" t="str">
        <f>"12362BV"</f>
        <v>12362BV</v>
      </c>
      <c r="B2513" t="str">
        <f>"LAMPARA KOBO BLUEVISION H11 55W BLISTER X 2 "</f>
        <v xml:space="preserve">LAMPARA KOBO BLUEVISION H11 55W BLISTER X 2 </v>
      </c>
      <c r="C2513" t="str">
        <f>"$ 15330,16"</f>
        <v>$ 15330,16</v>
      </c>
      <c r="D2513" t="str">
        <f>"$ 15330,16"</f>
        <v>$ 15330,16</v>
      </c>
      <c r="E2513" t="str">
        <f>"$ 15330,16"</f>
        <v>$ 15330,16</v>
      </c>
      <c r="F2513" t="str">
        <f>"$ 15330,16"</f>
        <v>$ 15330,16</v>
      </c>
      <c r="G2513" t="str">
        <f>"$ 15330,16"</f>
        <v>$ 15330,16</v>
      </c>
      <c r="H2513" t="str">
        <f t="shared" si="1622"/>
        <v>$ 0,00</v>
      </c>
      <c r="I2513" t="str">
        <f t="shared" si="1645"/>
        <v>LAMPARAS BLUEVISION</v>
      </c>
      <c r="J2513" t="str">
        <f t="shared" si="1623"/>
        <v>1</v>
      </c>
      <c r="K2513" t="str">
        <f t="shared" si="1602"/>
        <v>0</v>
      </c>
      <c r="L2513" t="str">
        <f>"11,000"</f>
        <v>11,000</v>
      </c>
      <c r="M2513" t="str">
        <f t="shared" si="1624"/>
        <v xml:space="preserve"> </v>
      </c>
      <c r="N2513" t="str">
        <f t="shared" si="1625"/>
        <v>KOBO</v>
      </c>
      <c r="O2513" t="str">
        <f t="shared" si="1646"/>
        <v>LAMPARAS</v>
      </c>
      <c r="P2513" t="str">
        <f t="shared" si="1641"/>
        <v>0</v>
      </c>
      <c r="Q2513" t="str">
        <f t="shared" si="1641"/>
        <v>0</v>
      </c>
      <c r="R2513" t="str">
        <f t="shared" si="1642"/>
        <v>0,00</v>
      </c>
      <c r="S2513" t="str">
        <f t="shared" si="1642"/>
        <v>0,00</v>
      </c>
      <c r="T2513" t="str">
        <f t="shared" si="1620"/>
        <v xml:space="preserve"> </v>
      </c>
      <c r="U2513" t="str">
        <f t="shared" si="1621"/>
        <v xml:space="preserve"> </v>
      </c>
      <c r="V2513" t="str">
        <f>"11,000"</f>
        <v>11,000</v>
      </c>
      <c r="W2513" t="str">
        <f t="shared" si="1626"/>
        <v>Lista 4</v>
      </c>
      <c r="X2513" t="str">
        <f t="shared" si="1627"/>
        <v>Lista 5</v>
      </c>
      <c r="Y2513" t="str">
        <f t="shared" si="1628"/>
        <v>Oferta Gral.</v>
      </c>
      <c r="Z2513" t="str">
        <f t="shared" si="1629"/>
        <v>Rubro</v>
      </c>
      <c r="AA2513" t="str">
        <f t="shared" si="1630"/>
        <v>Cantidad por Bulto</v>
      </c>
      <c r="AB2513" t="str">
        <f t="shared" si="1631"/>
        <v>INNER</v>
      </c>
      <c r="AC2513" t="str">
        <f t="shared" si="1632"/>
        <v>Stock en Bultos</v>
      </c>
      <c r="AD2513" t="str">
        <f t="shared" si="1633"/>
        <v>SubDepósito</v>
      </c>
      <c r="AE2513" t="str">
        <f t="shared" si="1634"/>
        <v>Marca</v>
      </c>
      <c r="AF2513" t="str">
        <f t="shared" si="1635"/>
        <v>Super Rubro</v>
      </c>
      <c r="AG2513" t="str">
        <f t="shared" si="1636"/>
        <v>ComercioExterior</v>
      </c>
      <c r="AH2513" t="str">
        <f t="shared" si="1637"/>
        <v>PrecioFOB</v>
      </c>
      <c r="AI2513" t="str">
        <f t="shared" si="1638"/>
        <v>Monto II</v>
      </c>
      <c r="AJ2513" t="str">
        <f t="shared" si="1639"/>
        <v>Porcentaje II</v>
      </c>
      <c r="AK2513" t="str">
        <f t="shared" si="1640"/>
        <v>Foto</v>
      </c>
      <c r="AL2513" t="str">
        <f>"{\rtf1\ansi\ansicpg1252\deff0\deflang11274{\fonttbl{\f0\fnil\fcharset0 MS Sans Serif}} \viewkind4\uc1\pard\f0\fs16 LAMPARA KOBO BLUEVISION H11 55W BLISTER X 2 \par } "</f>
        <v xml:space="preserve">{\rtf1\ansi\ansicpg1252\deff0\deflang11274{\fonttbl{\f0\fnil\fcharset0 MS Sans Serif}} \viewkind4\uc1\pard\f0\fs16 LAMPARA KOBO BLUEVISION H11 55W BLISTER X 2 \par } </v>
      </c>
      <c r="AM2513" t="str">
        <f t="shared" si="1643"/>
        <v xml:space="preserve"> </v>
      </c>
    </row>
    <row r="2514" spans="1:39" x14ac:dyDescent="0.25">
      <c r="A2514" t="str">
        <f>"H16BV"</f>
        <v>H16BV</v>
      </c>
      <c r="B2514" t="str">
        <f>"LAMPARA KOBO BLUEVISION H16 12V 24W BLISTER X 2"</f>
        <v>LAMPARA KOBO BLUEVISION H16 12V 24W BLISTER X 2</v>
      </c>
      <c r="C2514" t="str">
        <f>"$ 34777,93"</f>
        <v>$ 34777,93</v>
      </c>
      <c r="D2514" t="str">
        <f>"$ 34777,93"</f>
        <v>$ 34777,93</v>
      </c>
      <c r="E2514" t="str">
        <f>"$ 34777,93"</f>
        <v>$ 34777,93</v>
      </c>
      <c r="F2514" t="str">
        <f>"$ 34777,93"</f>
        <v>$ 34777,93</v>
      </c>
      <c r="G2514" t="str">
        <f>"$ 34777,93"</f>
        <v>$ 34777,93</v>
      </c>
      <c r="H2514" t="str">
        <f t="shared" si="1622"/>
        <v>$ 0,00</v>
      </c>
      <c r="I2514" t="str">
        <f t="shared" si="1645"/>
        <v>LAMPARAS BLUEVISION</v>
      </c>
      <c r="J2514" t="str">
        <f t="shared" si="1623"/>
        <v>1</v>
      </c>
      <c r="K2514" t="str">
        <f t="shared" si="1602"/>
        <v>0</v>
      </c>
      <c r="L2514" t="str">
        <f>"0,000"</f>
        <v>0,000</v>
      </c>
      <c r="M2514" t="str">
        <f t="shared" si="1624"/>
        <v xml:space="preserve"> </v>
      </c>
      <c r="N2514" t="str">
        <f t="shared" si="1625"/>
        <v>KOBO</v>
      </c>
      <c r="O2514" t="str">
        <f t="shared" si="1646"/>
        <v>LAMPARAS</v>
      </c>
      <c r="P2514" t="str">
        <f t="shared" si="1641"/>
        <v>0</v>
      </c>
      <c r="Q2514" t="str">
        <f t="shared" si="1641"/>
        <v>0</v>
      </c>
      <c r="R2514" t="str">
        <f t="shared" si="1642"/>
        <v>0,00</v>
      </c>
      <c r="S2514" t="str">
        <f t="shared" si="1642"/>
        <v>0,00</v>
      </c>
      <c r="T2514" t="str">
        <f t="shared" si="1620"/>
        <v xml:space="preserve"> </v>
      </c>
      <c r="U2514" t="str">
        <f t="shared" si="1621"/>
        <v xml:space="preserve"> </v>
      </c>
      <c r="V2514" t="str">
        <f>"0,000"</f>
        <v>0,000</v>
      </c>
      <c r="W2514" t="str">
        <f t="shared" si="1626"/>
        <v>Lista 4</v>
      </c>
      <c r="X2514" t="str">
        <f t="shared" si="1627"/>
        <v>Lista 5</v>
      </c>
      <c r="Y2514" t="str">
        <f t="shared" si="1628"/>
        <v>Oferta Gral.</v>
      </c>
      <c r="Z2514" t="str">
        <f t="shared" si="1629"/>
        <v>Rubro</v>
      </c>
      <c r="AA2514" t="str">
        <f t="shared" si="1630"/>
        <v>Cantidad por Bulto</v>
      </c>
      <c r="AB2514" t="str">
        <f t="shared" si="1631"/>
        <v>INNER</v>
      </c>
      <c r="AC2514" t="str">
        <f t="shared" si="1632"/>
        <v>Stock en Bultos</v>
      </c>
      <c r="AD2514" t="str">
        <f t="shared" si="1633"/>
        <v>SubDepósito</v>
      </c>
      <c r="AE2514" t="str">
        <f t="shared" si="1634"/>
        <v>Marca</v>
      </c>
      <c r="AF2514" t="str">
        <f t="shared" si="1635"/>
        <v>Super Rubro</v>
      </c>
      <c r="AG2514" t="str">
        <f t="shared" si="1636"/>
        <v>ComercioExterior</v>
      </c>
      <c r="AH2514" t="str">
        <f t="shared" si="1637"/>
        <v>PrecioFOB</v>
      </c>
      <c r="AI2514" t="str">
        <f t="shared" si="1638"/>
        <v>Monto II</v>
      </c>
      <c r="AJ2514" t="str">
        <f t="shared" si="1639"/>
        <v>Porcentaje II</v>
      </c>
      <c r="AK2514" t="str">
        <f t="shared" si="1640"/>
        <v>Foto</v>
      </c>
      <c r="AL2514" t="str">
        <f>"{\rtf1\ansi\ansicpg1252\deff0\deflang11274{\fonttbl{\f0\fnil\fcharset0 MS Sans Serif}} \viewkind4\uc1\pard\f0\fs16 LAMPARA KOBO BLUEVISION H16 12V 24W BLISTER X 2\par } "</f>
        <v xml:space="preserve">{\rtf1\ansi\ansicpg1252\deff0\deflang11274{\fonttbl{\f0\fnil\fcharset0 MS Sans Serif}} \viewkind4\uc1\pard\f0\fs16 LAMPARA KOBO BLUEVISION H16 12V 24W BLISTER X 2\par } </v>
      </c>
      <c r="AM2514" t="str">
        <f t="shared" si="1643"/>
        <v xml:space="preserve"> </v>
      </c>
    </row>
    <row r="2515" spans="1:39" x14ac:dyDescent="0.25">
      <c r="A2515" t="str">
        <f>"12336BV"</f>
        <v>12336BV</v>
      </c>
      <c r="B2515" t="str">
        <f>"LAMPARA KOBO BLUEVISION H3 55W BLISTER X 2"</f>
        <v>LAMPARA KOBO BLUEVISION H3 55W BLISTER X 2</v>
      </c>
      <c r="C2515" t="str">
        <f>"$ 9702,78"</f>
        <v>$ 9702,78</v>
      </c>
      <c r="D2515" t="str">
        <f>"$ 9702,78"</f>
        <v>$ 9702,78</v>
      </c>
      <c r="E2515" t="str">
        <f>"$ 9702,78"</f>
        <v>$ 9702,78</v>
      </c>
      <c r="F2515" t="str">
        <f>"$ 9702,78"</f>
        <v>$ 9702,78</v>
      </c>
      <c r="G2515" t="str">
        <f>"$ 9702,78"</f>
        <v>$ 9702,78</v>
      </c>
      <c r="H2515" t="str">
        <f t="shared" si="1622"/>
        <v>$ 0,00</v>
      </c>
      <c r="I2515" t="str">
        <f t="shared" si="1645"/>
        <v>LAMPARAS BLUEVISION</v>
      </c>
      <c r="J2515" t="str">
        <f t="shared" si="1623"/>
        <v>1</v>
      </c>
      <c r="K2515" t="str">
        <f t="shared" si="1602"/>
        <v>0</v>
      </c>
      <c r="L2515" t="str">
        <f>"17,000"</f>
        <v>17,000</v>
      </c>
      <c r="M2515" t="str">
        <f t="shared" si="1624"/>
        <v xml:space="preserve"> </v>
      </c>
      <c r="N2515" t="str">
        <f t="shared" si="1625"/>
        <v>KOBO</v>
      </c>
      <c r="O2515" t="str">
        <f t="shared" si="1646"/>
        <v>LAMPARAS</v>
      </c>
      <c r="P2515" t="str">
        <f t="shared" si="1641"/>
        <v>0</v>
      </c>
      <c r="Q2515" t="str">
        <f t="shared" si="1641"/>
        <v>0</v>
      </c>
      <c r="R2515" t="str">
        <f t="shared" si="1642"/>
        <v>0,00</v>
      </c>
      <c r="S2515" t="str">
        <f t="shared" si="1642"/>
        <v>0,00</v>
      </c>
      <c r="T2515" t="str">
        <f t="shared" si="1620"/>
        <v xml:space="preserve"> </v>
      </c>
      <c r="U2515" t="str">
        <f t="shared" si="1621"/>
        <v xml:space="preserve"> </v>
      </c>
      <c r="V2515" t="str">
        <f>"17,000"</f>
        <v>17,000</v>
      </c>
      <c r="W2515" t="str">
        <f t="shared" si="1626"/>
        <v>Lista 4</v>
      </c>
      <c r="X2515" t="str">
        <f t="shared" si="1627"/>
        <v>Lista 5</v>
      </c>
      <c r="Y2515" t="str">
        <f t="shared" si="1628"/>
        <v>Oferta Gral.</v>
      </c>
      <c r="Z2515" t="str">
        <f t="shared" si="1629"/>
        <v>Rubro</v>
      </c>
      <c r="AA2515" t="str">
        <f t="shared" si="1630"/>
        <v>Cantidad por Bulto</v>
      </c>
      <c r="AB2515" t="str">
        <f t="shared" si="1631"/>
        <v>INNER</v>
      </c>
      <c r="AC2515" t="str">
        <f t="shared" si="1632"/>
        <v>Stock en Bultos</v>
      </c>
      <c r="AD2515" t="str">
        <f t="shared" si="1633"/>
        <v>SubDepósito</v>
      </c>
      <c r="AE2515" t="str">
        <f t="shared" si="1634"/>
        <v>Marca</v>
      </c>
      <c r="AF2515" t="str">
        <f t="shared" si="1635"/>
        <v>Super Rubro</v>
      </c>
      <c r="AG2515" t="str">
        <f t="shared" si="1636"/>
        <v>ComercioExterior</v>
      </c>
      <c r="AH2515" t="str">
        <f t="shared" si="1637"/>
        <v>PrecioFOB</v>
      </c>
      <c r="AI2515" t="str">
        <f t="shared" si="1638"/>
        <v>Monto II</v>
      </c>
      <c r="AJ2515" t="str">
        <f t="shared" si="1639"/>
        <v>Porcentaje II</v>
      </c>
      <c r="AK2515" t="str">
        <f t="shared" si="1640"/>
        <v>Foto</v>
      </c>
      <c r="AL2515" t="str">
        <f>"{\rtf1\ansi\ansicpg1252\deff0\deflang11274{\fonttbl{\f0\fnil\fcharset0 MS Sans Serif}} \viewkind4\uc1\pard\f0\fs16 LAMPARA KOBO BLUEVISION H3 55W BLISTER X 2\par } "</f>
        <v xml:space="preserve">{\rtf1\ansi\ansicpg1252\deff0\deflang11274{\fonttbl{\f0\fnil\fcharset0 MS Sans Serif}} \viewkind4\uc1\pard\f0\fs16 LAMPARA KOBO BLUEVISION H3 55W BLISTER X 2\par } </v>
      </c>
      <c r="AM2515" t="str">
        <f t="shared" si="1643"/>
        <v xml:space="preserve"> </v>
      </c>
    </row>
    <row r="2516" spans="1:39" x14ac:dyDescent="0.25">
      <c r="A2516" t="str">
        <f>"12569BV"</f>
        <v>12569BV</v>
      </c>
      <c r="B2516" t="str">
        <f>"LAMPARA KOBO BLUEVISION H4 100/90W BLISTER X 2"</f>
        <v>LAMPARA KOBO BLUEVISION H4 100/90W BLISTER X 2</v>
      </c>
      <c r="C2516" t="str">
        <f>"$ 12901,83"</f>
        <v>$ 12901,83</v>
      </c>
      <c r="D2516" t="str">
        <f>"$ 12901,83"</f>
        <v>$ 12901,83</v>
      </c>
      <c r="E2516" t="str">
        <f>"$ 12901,83"</f>
        <v>$ 12901,83</v>
      </c>
      <c r="F2516" t="str">
        <f>"$ 12901,83"</f>
        <v>$ 12901,83</v>
      </c>
      <c r="G2516" t="str">
        <f>"$ 12901,83"</f>
        <v>$ 12901,83</v>
      </c>
      <c r="H2516" t="str">
        <f t="shared" si="1622"/>
        <v>$ 0,00</v>
      </c>
      <c r="I2516" t="str">
        <f t="shared" si="1645"/>
        <v>LAMPARAS BLUEVISION</v>
      </c>
      <c r="J2516" t="str">
        <f t="shared" si="1623"/>
        <v>1</v>
      </c>
      <c r="K2516" t="str">
        <f t="shared" si="1602"/>
        <v>0</v>
      </c>
      <c r="L2516" t="str">
        <f>"21,000"</f>
        <v>21,000</v>
      </c>
      <c r="M2516" t="str">
        <f t="shared" si="1624"/>
        <v xml:space="preserve"> </v>
      </c>
      <c r="N2516" t="str">
        <f t="shared" si="1625"/>
        <v>KOBO</v>
      </c>
      <c r="O2516" t="str">
        <f t="shared" si="1646"/>
        <v>LAMPARAS</v>
      </c>
      <c r="P2516" t="str">
        <f t="shared" si="1641"/>
        <v>0</v>
      </c>
      <c r="Q2516" t="str">
        <f t="shared" si="1641"/>
        <v>0</v>
      </c>
      <c r="R2516" t="str">
        <f t="shared" si="1642"/>
        <v>0,00</v>
      </c>
      <c r="S2516" t="str">
        <f t="shared" si="1642"/>
        <v>0,00</v>
      </c>
      <c r="T2516" t="str">
        <f t="shared" si="1620"/>
        <v xml:space="preserve"> </v>
      </c>
      <c r="U2516" t="str">
        <f t="shared" si="1621"/>
        <v xml:space="preserve"> </v>
      </c>
      <c r="V2516" t="str">
        <f>"21,000"</f>
        <v>21,000</v>
      </c>
      <c r="W2516" t="str">
        <f t="shared" si="1626"/>
        <v>Lista 4</v>
      </c>
      <c r="X2516" t="str">
        <f t="shared" si="1627"/>
        <v>Lista 5</v>
      </c>
      <c r="Y2516" t="str">
        <f t="shared" si="1628"/>
        <v>Oferta Gral.</v>
      </c>
      <c r="Z2516" t="str">
        <f t="shared" si="1629"/>
        <v>Rubro</v>
      </c>
      <c r="AA2516" t="str">
        <f t="shared" si="1630"/>
        <v>Cantidad por Bulto</v>
      </c>
      <c r="AB2516" t="str">
        <f t="shared" si="1631"/>
        <v>INNER</v>
      </c>
      <c r="AC2516" t="str">
        <f t="shared" si="1632"/>
        <v>Stock en Bultos</v>
      </c>
      <c r="AD2516" t="str">
        <f t="shared" si="1633"/>
        <v>SubDepósito</v>
      </c>
      <c r="AE2516" t="str">
        <f t="shared" si="1634"/>
        <v>Marca</v>
      </c>
      <c r="AF2516" t="str">
        <f t="shared" si="1635"/>
        <v>Super Rubro</v>
      </c>
      <c r="AG2516" t="str">
        <f t="shared" si="1636"/>
        <v>ComercioExterior</v>
      </c>
      <c r="AH2516" t="str">
        <f t="shared" si="1637"/>
        <v>PrecioFOB</v>
      </c>
      <c r="AI2516" t="str">
        <f t="shared" si="1638"/>
        <v>Monto II</v>
      </c>
      <c r="AJ2516" t="str">
        <f t="shared" si="1639"/>
        <v>Porcentaje II</v>
      </c>
      <c r="AK2516" t="str">
        <f t="shared" si="1640"/>
        <v>Foto</v>
      </c>
      <c r="AL2516" t="str">
        <f>"{\rtf1\ansi\ansicpg1252\deff0\deflang11274{\fonttbl{\f0\fnil\fcharset0 MS Sans Serif}} \viewkind4\uc1\pard\f0\fs16 LAMPARA KOBO BLUEVISION H4 100/90W BLISTER X 2\par } "</f>
        <v xml:space="preserve">{\rtf1\ansi\ansicpg1252\deff0\deflang11274{\fonttbl{\f0\fnil\fcharset0 MS Sans Serif}} \viewkind4\uc1\pard\f0\fs16 LAMPARA KOBO BLUEVISION H4 100/90W BLISTER X 2\par } </v>
      </c>
      <c r="AM2516" t="str">
        <f t="shared" si="1643"/>
        <v xml:space="preserve"> </v>
      </c>
    </row>
    <row r="2517" spans="1:39" x14ac:dyDescent="0.25">
      <c r="A2517" t="str">
        <f>"12342BV"</f>
        <v>12342BV</v>
      </c>
      <c r="B2517" t="str">
        <f>"LAMPARA KOBO BLUEVISION H4 60/55W BLISTER X 2"</f>
        <v>LAMPARA KOBO BLUEVISION H4 60/55W BLISTER X 2</v>
      </c>
      <c r="C2517" t="str">
        <f>"$ 12120,53"</f>
        <v>$ 12120,53</v>
      </c>
      <c r="D2517" t="str">
        <f>"$ 12120,53"</f>
        <v>$ 12120,53</v>
      </c>
      <c r="E2517" t="str">
        <f>"$ 12120,53"</f>
        <v>$ 12120,53</v>
      </c>
      <c r="F2517" t="str">
        <f>"$ 12120,53"</f>
        <v>$ 12120,53</v>
      </c>
      <c r="G2517" t="str">
        <f>"$ 12120,53"</f>
        <v>$ 12120,53</v>
      </c>
      <c r="H2517" t="str">
        <f t="shared" si="1622"/>
        <v>$ 0,00</v>
      </c>
      <c r="I2517" t="str">
        <f t="shared" si="1645"/>
        <v>LAMPARAS BLUEVISION</v>
      </c>
      <c r="J2517" t="str">
        <f t="shared" si="1623"/>
        <v>1</v>
      </c>
      <c r="K2517" t="str">
        <f t="shared" ref="K2517:K2580" si="1647">"0"</f>
        <v>0</v>
      </c>
      <c r="L2517" t="str">
        <f>"93,000"</f>
        <v>93,000</v>
      </c>
      <c r="M2517" t="str">
        <f t="shared" si="1624"/>
        <v xml:space="preserve"> </v>
      </c>
      <c r="N2517" t="str">
        <f t="shared" si="1625"/>
        <v>KOBO</v>
      </c>
      <c r="O2517" t="str">
        <f t="shared" si="1646"/>
        <v>LAMPARAS</v>
      </c>
      <c r="P2517" t="str">
        <f t="shared" si="1641"/>
        <v>0</v>
      </c>
      <c r="Q2517" t="str">
        <f t="shared" si="1641"/>
        <v>0</v>
      </c>
      <c r="R2517" t="str">
        <f t="shared" si="1642"/>
        <v>0,00</v>
      </c>
      <c r="S2517" t="str">
        <f t="shared" si="1642"/>
        <v>0,00</v>
      </c>
      <c r="T2517" t="str">
        <f t="shared" si="1620"/>
        <v xml:space="preserve"> </v>
      </c>
      <c r="U2517" t="str">
        <f t="shared" si="1621"/>
        <v xml:space="preserve"> </v>
      </c>
      <c r="V2517" t="str">
        <f>"93,000"</f>
        <v>93,000</v>
      </c>
      <c r="W2517" t="str">
        <f t="shared" si="1626"/>
        <v>Lista 4</v>
      </c>
      <c r="X2517" t="str">
        <f t="shared" si="1627"/>
        <v>Lista 5</v>
      </c>
      <c r="Y2517" t="str">
        <f t="shared" si="1628"/>
        <v>Oferta Gral.</v>
      </c>
      <c r="Z2517" t="str">
        <f t="shared" si="1629"/>
        <v>Rubro</v>
      </c>
      <c r="AA2517" t="str">
        <f t="shared" si="1630"/>
        <v>Cantidad por Bulto</v>
      </c>
      <c r="AB2517" t="str">
        <f t="shared" si="1631"/>
        <v>INNER</v>
      </c>
      <c r="AC2517" t="str">
        <f t="shared" si="1632"/>
        <v>Stock en Bultos</v>
      </c>
      <c r="AD2517" t="str">
        <f t="shared" si="1633"/>
        <v>SubDepósito</v>
      </c>
      <c r="AE2517" t="str">
        <f t="shared" si="1634"/>
        <v>Marca</v>
      </c>
      <c r="AF2517" t="str">
        <f t="shared" si="1635"/>
        <v>Super Rubro</v>
      </c>
      <c r="AG2517" t="str">
        <f t="shared" si="1636"/>
        <v>ComercioExterior</v>
      </c>
      <c r="AH2517" t="str">
        <f t="shared" si="1637"/>
        <v>PrecioFOB</v>
      </c>
      <c r="AI2517" t="str">
        <f t="shared" si="1638"/>
        <v>Monto II</v>
      </c>
      <c r="AJ2517" t="str">
        <f t="shared" si="1639"/>
        <v>Porcentaje II</v>
      </c>
      <c r="AK2517" t="str">
        <f t="shared" si="1640"/>
        <v>Foto</v>
      </c>
      <c r="AL2517" t="str">
        <f>"{\rtf1\ansi\ansicpg1252\deff0\deflang11274{\fonttbl{\f0\fnil\fcharset0 MS Sans Serif}} \viewkind4\uc1\pard\f0\fs16 LAMPARA KOBO BLUEVISION H4 60/55W BLISTER X 2\par } "</f>
        <v xml:space="preserve">{\rtf1\ansi\ansicpg1252\deff0\deflang11274{\fonttbl{\f0\fnil\fcharset0 MS Sans Serif}} \viewkind4\uc1\pard\f0\fs16 LAMPARA KOBO BLUEVISION H4 60/55W BLISTER X 2\par } </v>
      </c>
      <c r="AM2517" t="str">
        <f t="shared" si="1643"/>
        <v xml:space="preserve"> </v>
      </c>
    </row>
    <row r="2518" spans="1:39" x14ac:dyDescent="0.25">
      <c r="A2518" t="str">
        <f>"12972BV"</f>
        <v>12972BV</v>
      </c>
      <c r="B2518" t="str">
        <f>"LAMPARA KOBO BLUEVISION H7 55W BLISTER X 2"</f>
        <v>LAMPARA KOBO BLUEVISION H7 55W BLISTER X 2</v>
      </c>
      <c r="C2518" t="str">
        <f>"$ 11877,71"</f>
        <v>$ 11877,71</v>
      </c>
      <c r="D2518" t="str">
        <f>"$ 11877,71"</f>
        <v>$ 11877,71</v>
      </c>
      <c r="E2518" t="str">
        <f>"$ 11877,71"</f>
        <v>$ 11877,71</v>
      </c>
      <c r="F2518" t="str">
        <f>"$ 11877,71"</f>
        <v>$ 11877,71</v>
      </c>
      <c r="G2518" t="str">
        <f>"$ 11877,71"</f>
        <v>$ 11877,71</v>
      </c>
      <c r="H2518" t="str">
        <f t="shared" si="1622"/>
        <v>$ 0,00</v>
      </c>
      <c r="I2518" t="str">
        <f t="shared" si="1645"/>
        <v>LAMPARAS BLUEVISION</v>
      </c>
      <c r="J2518" t="str">
        <f t="shared" si="1623"/>
        <v>1</v>
      </c>
      <c r="K2518" t="str">
        <f t="shared" si="1647"/>
        <v>0</v>
      </c>
      <c r="L2518" t="str">
        <f>"13,000"</f>
        <v>13,000</v>
      </c>
      <c r="M2518" t="str">
        <f t="shared" si="1624"/>
        <v xml:space="preserve"> </v>
      </c>
      <c r="N2518" t="str">
        <f t="shared" si="1625"/>
        <v>KOBO</v>
      </c>
      <c r="O2518" t="str">
        <f t="shared" si="1646"/>
        <v>LAMPARAS</v>
      </c>
      <c r="P2518" t="str">
        <f t="shared" si="1641"/>
        <v>0</v>
      </c>
      <c r="Q2518" t="str">
        <f t="shared" si="1641"/>
        <v>0</v>
      </c>
      <c r="R2518" t="str">
        <f t="shared" si="1642"/>
        <v>0,00</v>
      </c>
      <c r="S2518" t="str">
        <f t="shared" si="1642"/>
        <v>0,00</v>
      </c>
      <c r="T2518" t="str">
        <f t="shared" si="1620"/>
        <v xml:space="preserve"> </v>
      </c>
      <c r="U2518" t="str">
        <f t="shared" si="1621"/>
        <v xml:space="preserve"> </v>
      </c>
      <c r="V2518" t="str">
        <f>"13,000"</f>
        <v>13,000</v>
      </c>
      <c r="W2518" t="str">
        <f t="shared" si="1626"/>
        <v>Lista 4</v>
      </c>
      <c r="X2518" t="str">
        <f t="shared" si="1627"/>
        <v>Lista 5</v>
      </c>
      <c r="Y2518" t="str">
        <f t="shared" si="1628"/>
        <v>Oferta Gral.</v>
      </c>
      <c r="Z2518" t="str">
        <f t="shared" si="1629"/>
        <v>Rubro</v>
      </c>
      <c r="AA2518" t="str">
        <f t="shared" si="1630"/>
        <v>Cantidad por Bulto</v>
      </c>
      <c r="AB2518" t="str">
        <f t="shared" si="1631"/>
        <v>INNER</v>
      </c>
      <c r="AC2518" t="str">
        <f t="shared" si="1632"/>
        <v>Stock en Bultos</v>
      </c>
      <c r="AD2518" t="str">
        <f t="shared" si="1633"/>
        <v>SubDepósito</v>
      </c>
      <c r="AE2518" t="str">
        <f t="shared" si="1634"/>
        <v>Marca</v>
      </c>
      <c r="AF2518" t="str">
        <f t="shared" si="1635"/>
        <v>Super Rubro</v>
      </c>
      <c r="AG2518" t="str">
        <f t="shared" si="1636"/>
        <v>ComercioExterior</v>
      </c>
      <c r="AH2518" t="str">
        <f t="shared" si="1637"/>
        <v>PrecioFOB</v>
      </c>
      <c r="AI2518" t="str">
        <f t="shared" si="1638"/>
        <v>Monto II</v>
      </c>
      <c r="AJ2518" t="str">
        <f t="shared" si="1639"/>
        <v>Porcentaje II</v>
      </c>
      <c r="AK2518" t="str">
        <f t="shared" si="1640"/>
        <v>Foto</v>
      </c>
      <c r="AL2518" t="str">
        <f>"{\rtf1\ansi\ansicpg1252\deff0\deflang11274{\fonttbl{\f0\fnil\fcharset0 MS Sans Serif}} \viewkind4\uc1\pard\f0\fs16 LAMPARA KOBO BLUEVISION H7 55W BLISTER X 2\par } "</f>
        <v xml:space="preserve">{\rtf1\ansi\ansicpg1252\deff0\deflang11274{\fonttbl{\f0\fnil\fcharset0 MS Sans Serif}} \viewkind4\uc1\pard\f0\fs16 LAMPARA KOBO BLUEVISION H7 55W BLISTER X 2\par } </v>
      </c>
      <c r="AM2518" t="str">
        <f t="shared" si="1643"/>
        <v xml:space="preserve"> </v>
      </c>
    </row>
    <row r="2519" spans="1:39" x14ac:dyDescent="0.25">
      <c r="A2519" t="str">
        <f>"H8BV"</f>
        <v>H8BV</v>
      </c>
      <c r="B2519" t="str">
        <f>"LAMPARA KOBO BLUEVISION H8 BLISTER X 2"</f>
        <v>LAMPARA KOBO BLUEVISION H8 BLISTER X 2</v>
      </c>
      <c r="C2519" t="str">
        <f>"$ 16671,03"</f>
        <v>$ 16671,03</v>
      </c>
      <c r="D2519" t="str">
        <f>"$ 16671,03"</f>
        <v>$ 16671,03</v>
      </c>
      <c r="E2519" t="str">
        <f>"$ 16671,03"</f>
        <v>$ 16671,03</v>
      </c>
      <c r="F2519" t="str">
        <f>"$ 16671,03"</f>
        <v>$ 16671,03</v>
      </c>
      <c r="G2519" t="str">
        <f>"$ 16671,03"</f>
        <v>$ 16671,03</v>
      </c>
      <c r="H2519" t="str">
        <f t="shared" si="1622"/>
        <v>$ 0,00</v>
      </c>
      <c r="I2519" t="str">
        <f t="shared" si="1645"/>
        <v>LAMPARAS BLUEVISION</v>
      </c>
      <c r="J2519" t="str">
        <f t="shared" si="1623"/>
        <v>1</v>
      </c>
      <c r="K2519" t="str">
        <f t="shared" si="1647"/>
        <v>0</v>
      </c>
      <c r="L2519" t="str">
        <f>"0,000"</f>
        <v>0,000</v>
      </c>
      <c r="M2519" t="str">
        <f t="shared" si="1624"/>
        <v xml:space="preserve"> </v>
      </c>
      <c r="N2519" t="str">
        <f t="shared" si="1625"/>
        <v>KOBO</v>
      </c>
      <c r="O2519" t="str">
        <f t="shared" si="1646"/>
        <v>LAMPARAS</v>
      </c>
      <c r="P2519" t="str">
        <f t="shared" si="1641"/>
        <v>0</v>
      </c>
      <c r="Q2519" t="str">
        <f t="shared" si="1641"/>
        <v>0</v>
      </c>
      <c r="R2519" t="str">
        <f t="shared" si="1642"/>
        <v>0,00</v>
      </c>
      <c r="S2519" t="str">
        <f t="shared" si="1642"/>
        <v>0,00</v>
      </c>
      <c r="T2519" t="str">
        <f t="shared" si="1620"/>
        <v xml:space="preserve"> </v>
      </c>
      <c r="U2519" t="str">
        <f t="shared" si="1621"/>
        <v xml:space="preserve"> </v>
      </c>
      <c r="V2519" t="str">
        <f>"0,000"</f>
        <v>0,000</v>
      </c>
      <c r="W2519" t="str">
        <f t="shared" si="1626"/>
        <v>Lista 4</v>
      </c>
      <c r="X2519" t="str">
        <f t="shared" si="1627"/>
        <v>Lista 5</v>
      </c>
      <c r="Y2519" t="str">
        <f t="shared" si="1628"/>
        <v>Oferta Gral.</v>
      </c>
      <c r="Z2519" t="str">
        <f t="shared" si="1629"/>
        <v>Rubro</v>
      </c>
      <c r="AA2519" t="str">
        <f t="shared" si="1630"/>
        <v>Cantidad por Bulto</v>
      </c>
      <c r="AB2519" t="str">
        <f t="shared" si="1631"/>
        <v>INNER</v>
      </c>
      <c r="AC2519" t="str">
        <f t="shared" si="1632"/>
        <v>Stock en Bultos</v>
      </c>
      <c r="AD2519" t="str">
        <f t="shared" si="1633"/>
        <v>SubDepósito</v>
      </c>
      <c r="AE2519" t="str">
        <f t="shared" si="1634"/>
        <v>Marca</v>
      </c>
      <c r="AF2519" t="str">
        <f t="shared" si="1635"/>
        <v>Super Rubro</v>
      </c>
      <c r="AG2519" t="str">
        <f t="shared" si="1636"/>
        <v>ComercioExterior</v>
      </c>
      <c r="AH2519" t="str">
        <f t="shared" si="1637"/>
        <v>PrecioFOB</v>
      </c>
      <c r="AI2519" t="str">
        <f t="shared" si="1638"/>
        <v>Monto II</v>
      </c>
      <c r="AJ2519" t="str">
        <f t="shared" si="1639"/>
        <v>Porcentaje II</v>
      </c>
      <c r="AK2519" t="str">
        <f t="shared" si="1640"/>
        <v>Foto</v>
      </c>
      <c r="AL2519" t="str">
        <f>"{\rtf1\ansi\ansicpg1252\deff0\deflang11274{\fonttbl{\f0\fnil\fcharset0 MS Sans Serif}} \viewkind4\uc1\pard\f0\fs16 LAMPARA KOBO BLUEVISION H8 BLISTER X 2\par } "</f>
        <v xml:space="preserve">{\rtf1\ansi\ansicpg1252\deff0\deflang11274{\fonttbl{\f0\fnil\fcharset0 MS Sans Serif}} \viewkind4\uc1\pard\f0\fs16 LAMPARA KOBO BLUEVISION H8 BLISTER X 2\par } </v>
      </c>
      <c r="AM2519" t="str">
        <f t="shared" si="1643"/>
        <v xml:space="preserve"> </v>
      </c>
    </row>
    <row r="2520" spans="1:39" x14ac:dyDescent="0.25">
      <c r="A2520" t="str">
        <f>"12844KO"</f>
        <v>12844KO</v>
      </c>
      <c r="B2520" t="str">
        <f>"LAMPARA KOBO C5W"</f>
        <v>LAMPARA KOBO C5W</v>
      </c>
      <c r="C2520" t="str">
        <f>"$ 496,23"</f>
        <v>$ 496,23</v>
      </c>
      <c r="D2520" t="str">
        <f>"$ 496,23"</f>
        <v>$ 496,23</v>
      </c>
      <c r="E2520" t="str">
        <f>"$ 496,23"</f>
        <v>$ 496,23</v>
      </c>
      <c r="F2520" t="str">
        <f>"$ 496,23"</f>
        <v>$ 496,23</v>
      </c>
      <c r="G2520" t="str">
        <f>"$ 496,23"</f>
        <v>$ 496,23</v>
      </c>
      <c r="H2520" t="str">
        <f t="shared" si="1622"/>
        <v>$ 0,00</v>
      </c>
      <c r="I2520" t="str">
        <f>"LAMPARAS SEÑALIZACION"</f>
        <v>LAMPARAS SEÑALIZACION</v>
      </c>
      <c r="J2520" t="str">
        <f t="shared" si="1623"/>
        <v>1</v>
      </c>
      <c r="K2520" t="str">
        <f t="shared" si="1647"/>
        <v>0</v>
      </c>
      <c r="L2520" t="str">
        <f>"570,000"</f>
        <v>570,000</v>
      </c>
      <c r="M2520" t="str">
        <f t="shared" si="1624"/>
        <v xml:space="preserve"> </v>
      </c>
      <c r="N2520" t="str">
        <f t="shared" si="1625"/>
        <v>KOBO</v>
      </c>
      <c r="O2520" t="str">
        <f t="shared" si="1646"/>
        <v>LAMPARAS</v>
      </c>
      <c r="P2520" t="str">
        <f t="shared" si="1641"/>
        <v>0</v>
      </c>
      <c r="Q2520" t="str">
        <f t="shared" si="1641"/>
        <v>0</v>
      </c>
      <c r="R2520" t="str">
        <f t="shared" si="1642"/>
        <v>0,00</v>
      </c>
      <c r="S2520" t="str">
        <f t="shared" si="1642"/>
        <v>0,00</v>
      </c>
      <c r="T2520" t="str">
        <f t="shared" si="1620"/>
        <v xml:space="preserve"> </v>
      </c>
      <c r="U2520" t="str">
        <f t="shared" si="1621"/>
        <v xml:space="preserve"> </v>
      </c>
      <c r="V2520" t="str">
        <f>"570,000"</f>
        <v>570,000</v>
      </c>
      <c r="W2520" t="str">
        <f t="shared" si="1626"/>
        <v>Lista 4</v>
      </c>
      <c r="X2520" t="str">
        <f t="shared" si="1627"/>
        <v>Lista 5</v>
      </c>
      <c r="Y2520" t="str">
        <f t="shared" si="1628"/>
        <v>Oferta Gral.</v>
      </c>
      <c r="Z2520" t="str">
        <f t="shared" si="1629"/>
        <v>Rubro</v>
      </c>
      <c r="AA2520" t="str">
        <f t="shared" si="1630"/>
        <v>Cantidad por Bulto</v>
      </c>
      <c r="AB2520" t="str">
        <f t="shared" si="1631"/>
        <v>INNER</v>
      </c>
      <c r="AC2520" t="str">
        <f t="shared" si="1632"/>
        <v>Stock en Bultos</v>
      </c>
      <c r="AD2520" t="str">
        <f t="shared" si="1633"/>
        <v>SubDepósito</v>
      </c>
      <c r="AE2520" t="str">
        <f t="shared" si="1634"/>
        <v>Marca</v>
      </c>
      <c r="AF2520" t="str">
        <f t="shared" si="1635"/>
        <v>Super Rubro</v>
      </c>
      <c r="AG2520" t="str">
        <f t="shared" si="1636"/>
        <v>ComercioExterior</v>
      </c>
      <c r="AH2520" t="str">
        <f t="shared" si="1637"/>
        <v>PrecioFOB</v>
      </c>
      <c r="AI2520" t="str">
        <f t="shared" si="1638"/>
        <v>Monto II</v>
      </c>
      <c r="AJ2520" t="str">
        <f t="shared" si="1639"/>
        <v>Porcentaje II</v>
      </c>
      <c r="AK2520" t="str">
        <f t="shared" si="1640"/>
        <v>Foto</v>
      </c>
      <c r="AL2520" t="str">
        <f>"{\rtf1\ansi\ansicpg1252\deff0\deflang11274{\fonttbl{\f0\fnil\fcharset0 MS Sans Serif}} \viewkind4\uc1\pard\f0\fs16 LAMPARA KOBO C5W\par } "</f>
        <v xml:space="preserve">{\rtf1\ansi\ansicpg1252\deff0\deflang11274{\fonttbl{\f0\fnil\fcharset0 MS Sans Serif}} \viewkind4\uc1\pard\f0\fs16 LAMPARA KOBO C5W\par } </v>
      </c>
      <c r="AM2520" t="str">
        <f t="shared" si="1643"/>
        <v xml:space="preserve"> </v>
      </c>
    </row>
    <row r="2521" spans="1:39" x14ac:dyDescent="0.25">
      <c r="A2521" t="str">
        <f>"12258KO"</f>
        <v>12258KO</v>
      </c>
      <c r="B2521" t="str">
        <f>"LAMPARA KOBO H1 12V 55W"</f>
        <v>LAMPARA KOBO H1 12V 55W</v>
      </c>
      <c r="C2521" t="str">
        <f>"$ 2343,87"</f>
        <v>$ 2343,87</v>
      </c>
      <c r="D2521" t="str">
        <f>"$ 2343,87"</f>
        <v>$ 2343,87</v>
      </c>
      <c r="E2521" t="str">
        <f>"$ 2343,87"</f>
        <v>$ 2343,87</v>
      </c>
      <c r="F2521" t="str">
        <f>"$ 2343,87"</f>
        <v>$ 2343,87</v>
      </c>
      <c r="G2521" t="str">
        <f>"$ 2343,87"</f>
        <v>$ 2343,87</v>
      </c>
      <c r="H2521" t="str">
        <f t="shared" si="1622"/>
        <v>$ 0,00</v>
      </c>
      <c r="I2521" t="str">
        <f t="shared" ref="I2521:I2529" si="1648">"LAMPARAS HALOGENAS"</f>
        <v>LAMPARAS HALOGENAS</v>
      </c>
      <c r="J2521" t="str">
        <f t="shared" si="1623"/>
        <v>1</v>
      </c>
      <c r="K2521" t="str">
        <f t="shared" si="1647"/>
        <v>0</v>
      </c>
      <c r="L2521" t="str">
        <f>"56,000"</f>
        <v>56,000</v>
      </c>
      <c r="M2521" t="str">
        <f t="shared" si="1624"/>
        <v xml:space="preserve"> </v>
      </c>
      <c r="N2521" t="str">
        <f t="shared" si="1625"/>
        <v>KOBO</v>
      </c>
      <c r="O2521" t="str">
        <f t="shared" si="1646"/>
        <v>LAMPARAS</v>
      </c>
      <c r="P2521" t="str">
        <f t="shared" si="1641"/>
        <v>0</v>
      </c>
      <c r="Q2521" t="str">
        <f t="shared" si="1641"/>
        <v>0</v>
      </c>
      <c r="R2521" t="str">
        <f t="shared" si="1642"/>
        <v>0,00</v>
      </c>
      <c r="S2521" t="str">
        <f t="shared" si="1642"/>
        <v>0,00</v>
      </c>
      <c r="T2521" t="str">
        <f t="shared" si="1620"/>
        <v xml:space="preserve"> </v>
      </c>
      <c r="U2521" t="str">
        <f t="shared" si="1621"/>
        <v xml:space="preserve"> </v>
      </c>
      <c r="V2521" t="str">
        <f>"56,000"</f>
        <v>56,000</v>
      </c>
      <c r="W2521" t="str">
        <f t="shared" si="1626"/>
        <v>Lista 4</v>
      </c>
      <c r="X2521" t="str">
        <f t="shared" si="1627"/>
        <v>Lista 5</v>
      </c>
      <c r="Y2521" t="str">
        <f t="shared" si="1628"/>
        <v>Oferta Gral.</v>
      </c>
      <c r="Z2521" t="str">
        <f t="shared" si="1629"/>
        <v>Rubro</v>
      </c>
      <c r="AA2521" t="str">
        <f t="shared" si="1630"/>
        <v>Cantidad por Bulto</v>
      </c>
      <c r="AB2521" t="str">
        <f t="shared" si="1631"/>
        <v>INNER</v>
      </c>
      <c r="AC2521" t="str">
        <f t="shared" si="1632"/>
        <v>Stock en Bultos</v>
      </c>
      <c r="AD2521" t="str">
        <f t="shared" si="1633"/>
        <v>SubDepósito</v>
      </c>
      <c r="AE2521" t="str">
        <f t="shared" si="1634"/>
        <v>Marca</v>
      </c>
      <c r="AF2521" t="str">
        <f t="shared" si="1635"/>
        <v>Super Rubro</v>
      </c>
      <c r="AG2521" t="str">
        <f t="shared" si="1636"/>
        <v>ComercioExterior</v>
      </c>
      <c r="AH2521" t="str">
        <f t="shared" si="1637"/>
        <v>PrecioFOB</v>
      </c>
      <c r="AI2521" t="str">
        <f t="shared" si="1638"/>
        <v>Monto II</v>
      </c>
      <c r="AJ2521" t="str">
        <f t="shared" si="1639"/>
        <v>Porcentaje II</v>
      </c>
      <c r="AK2521" t="str">
        <f t="shared" si="1640"/>
        <v>Foto</v>
      </c>
      <c r="AL2521" t="str">
        <f>"{\rtf1\ansi\ansicpg1252\deff0\deflang11274{\fonttbl{\f0\fnil\fcharset0 MS Sans Serif}} \viewkind4\uc1\pard\f0\fs16 LAMPARA KOBO H1 12V 55W\par } "</f>
        <v xml:space="preserve">{\rtf1\ansi\ansicpg1252\deff0\deflang11274{\fonttbl{\f0\fnil\fcharset0 MS Sans Serif}} \viewkind4\uc1\pard\f0\fs16 LAMPARA KOBO H1 12V 55W\par } </v>
      </c>
      <c r="AM2521" t="str">
        <f t="shared" si="1643"/>
        <v xml:space="preserve"> </v>
      </c>
    </row>
    <row r="2522" spans="1:39" x14ac:dyDescent="0.25">
      <c r="A2522" t="str">
        <f>"12362KO"</f>
        <v>12362KO</v>
      </c>
      <c r="B2522" t="str">
        <f>"LAMPARA KOBO H11 12V 55W"</f>
        <v>LAMPARA KOBO H11 12V 55W</v>
      </c>
      <c r="C2522" t="str">
        <f>"$ 9723,87"</f>
        <v>$ 9723,87</v>
      </c>
      <c r="D2522" t="str">
        <f>"$ 9723,87"</f>
        <v>$ 9723,87</v>
      </c>
      <c r="E2522" t="str">
        <f>"$ 9723,87"</f>
        <v>$ 9723,87</v>
      </c>
      <c r="F2522" t="str">
        <f>"$ 9723,87"</f>
        <v>$ 9723,87</v>
      </c>
      <c r="G2522" t="str">
        <f>"$ 9723,87"</f>
        <v>$ 9723,87</v>
      </c>
      <c r="H2522" t="str">
        <f t="shared" si="1622"/>
        <v>$ 0,00</v>
      </c>
      <c r="I2522" t="str">
        <f t="shared" si="1648"/>
        <v>LAMPARAS HALOGENAS</v>
      </c>
      <c r="J2522" t="str">
        <f t="shared" si="1623"/>
        <v>1</v>
      </c>
      <c r="K2522" t="str">
        <f t="shared" si="1647"/>
        <v>0</v>
      </c>
      <c r="L2522" t="str">
        <f>"44,000"</f>
        <v>44,000</v>
      </c>
      <c r="M2522" t="str">
        <f t="shared" si="1624"/>
        <v xml:space="preserve"> </v>
      </c>
      <c r="N2522" t="str">
        <f t="shared" si="1625"/>
        <v>KOBO</v>
      </c>
      <c r="O2522" t="str">
        <f t="shared" si="1646"/>
        <v>LAMPARAS</v>
      </c>
      <c r="P2522" t="str">
        <f t="shared" si="1641"/>
        <v>0</v>
      </c>
      <c r="Q2522" t="str">
        <f t="shared" si="1641"/>
        <v>0</v>
      </c>
      <c r="R2522" t="str">
        <f t="shared" si="1642"/>
        <v>0,00</v>
      </c>
      <c r="S2522" t="str">
        <f t="shared" si="1642"/>
        <v>0,00</v>
      </c>
      <c r="T2522" t="str">
        <f t="shared" si="1620"/>
        <v xml:space="preserve"> </v>
      </c>
      <c r="U2522" t="str">
        <f t="shared" si="1621"/>
        <v xml:space="preserve"> </v>
      </c>
      <c r="V2522" t="str">
        <f>"44,000"</f>
        <v>44,000</v>
      </c>
      <c r="W2522" t="str">
        <f t="shared" si="1626"/>
        <v>Lista 4</v>
      </c>
      <c r="X2522" t="str">
        <f t="shared" si="1627"/>
        <v>Lista 5</v>
      </c>
      <c r="Y2522" t="str">
        <f t="shared" si="1628"/>
        <v>Oferta Gral.</v>
      </c>
      <c r="Z2522" t="str">
        <f t="shared" si="1629"/>
        <v>Rubro</v>
      </c>
      <c r="AA2522" t="str">
        <f t="shared" si="1630"/>
        <v>Cantidad por Bulto</v>
      </c>
      <c r="AB2522" t="str">
        <f t="shared" si="1631"/>
        <v>INNER</v>
      </c>
      <c r="AC2522" t="str">
        <f t="shared" si="1632"/>
        <v>Stock en Bultos</v>
      </c>
      <c r="AD2522" t="str">
        <f t="shared" si="1633"/>
        <v>SubDepósito</v>
      </c>
      <c r="AE2522" t="str">
        <f t="shared" si="1634"/>
        <v>Marca</v>
      </c>
      <c r="AF2522" t="str">
        <f t="shared" si="1635"/>
        <v>Super Rubro</v>
      </c>
      <c r="AG2522" t="str">
        <f t="shared" si="1636"/>
        <v>ComercioExterior</v>
      </c>
      <c r="AH2522" t="str">
        <f t="shared" si="1637"/>
        <v>PrecioFOB</v>
      </c>
      <c r="AI2522" t="str">
        <f t="shared" si="1638"/>
        <v>Monto II</v>
      </c>
      <c r="AJ2522" t="str">
        <f t="shared" si="1639"/>
        <v>Porcentaje II</v>
      </c>
      <c r="AK2522" t="str">
        <f t="shared" si="1640"/>
        <v>Foto</v>
      </c>
      <c r="AL2522" t="str">
        <f>"{\rtf1\ansi\ansicpg1252\deff0\deflang11274{\fonttbl{\f0\fnil\fcharset0 MS Sans Serif}} \viewkind4\uc1\pard\f0\fs16 LAMPARA KOBO H11 12V 55W\par } "</f>
        <v xml:space="preserve">{\rtf1\ansi\ansicpg1252\deff0\deflang11274{\fonttbl{\f0\fnil\fcharset0 MS Sans Serif}} \viewkind4\uc1\pard\f0\fs16 LAMPARA KOBO H11 12V 55W\par } </v>
      </c>
      <c r="AM2522" t="str">
        <f t="shared" si="1643"/>
        <v xml:space="preserve"> </v>
      </c>
    </row>
    <row r="2523" spans="1:39" x14ac:dyDescent="0.25">
      <c r="A2523" t="str">
        <f>"H15KO"</f>
        <v>H15KO</v>
      </c>
      <c r="B2523" t="str">
        <f>"LAMPARA KOBO H15 12V 55W VW AMAROK"</f>
        <v>LAMPARA KOBO H15 12V 55W VW AMAROK</v>
      </c>
      <c r="C2523" t="str">
        <f>"$ 33996,64"</f>
        <v>$ 33996,64</v>
      </c>
      <c r="D2523" t="str">
        <f>"$ 33996,64"</f>
        <v>$ 33996,64</v>
      </c>
      <c r="E2523" t="str">
        <f>"$ 33996,64"</f>
        <v>$ 33996,64</v>
      </c>
      <c r="F2523" t="str">
        <f>"$ 33996,64"</f>
        <v>$ 33996,64</v>
      </c>
      <c r="G2523" t="str">
        <f>"$ 33996,64"</f>
        <v>$ 33996,64</v>
      </c>
      <c r="H2523" t="str">
        <f t="shared" si="1622"/>
        <v>$ 0,00</v>
      </c>
      <c r="I2523" t="str">
        <f t="shared" si="1648"/>
        <v>LAMPARAS HALOGENAS</v>
      </c>
      <c r="J2523" t="str">
        <f t="shared" si="1623"/>
        <v>1</v>
      </c>
      <c r="K2523" t="str">
        <f t="shared" si="1647"/>
        <v>0</v>
      </c>
      <c r="L2523" t="str">
        <f>"14,000"</f>
        <v>14,000</v>
      </c>
      <c r="M2523" t="str">
        <f t="shared" si="1624"/>
        <v xml:space="preserve"> </v>
      </c>
      <c r="N2523" t="str">
        <f t="shared" si="1625"/>
        <v>KOBO</v>
      </c>
      <c r="O2523" t="str">
        <f t="shared" si="1646"/>
        <v>LAMPARAS</v>
      </c>
      <c r="P2523" t="str">
        <f t="shared" ref="P2523:Q2542" si="1649">"0"</f>
        <v>0</v>
      </c>
      <c r="Q2523" t="str">
        <f t="shared" si="1649"/>
        <v>0</v>
      </c>
      <c r="R2523" t="str">
        <f t="shared" ref="R2523:S2542" si="1650">"0,00"</f>
        <v>0,00</v>
      </c>
      <c r="S2523" t="str">
        <f t="shared" si="1650"/>
        <v>0,00</v>
      </c>
      <c r="T2523" t="str">
        <f t="shared" si="1620"/>
        <v xml:space="preserve"> </v>
      </c>
      <c r="U2523" t="str">
        <f t="shared" si="1621"/>
        <v xml:space="preserve"> </v>
      </c>
      <c r="V2523" t="str">
        <f>"14,000"</f>
        <v>14,000</v>
      </c>
      <c r="W2523" t="str">
        <f t="shared" si="1626"/>
        <v>Lista 4</v>
      </c>
      <c r="X2523" t="str">
        <f t="shared" si="1627"/>
        <v>Lista 5</v>
      </c>
      <c r="Y2523" t="str">
        <f t="shared" si="1628"/>
        <v>Oferta Gral.</v>
      </c>
      <c r="Z2523" t="str">
        <f t="shared" si="1629"/>
        <v>Rubro</v>
      </c>
      <c r="AA2523" t="str">
        <f t="shared" si="1630"/>
        <v>Cantidad por Bulto</v>
      </c>
      <c r="AB2523" t="str">
        <f t="shared" si="1631"/>
        <v>INNER</v>
      </c>
      <c r="AC2523" t="str">
        <f t="shared" si="1632"/>
        <v>Stock en Bultos</v>
      </c>
      <c r="AD2523" t="str">
        <f t="shared" si="1633"/>
        <v>SubDepósito</v>
      </c>
      <c r="AE2523" t="str">
        <f t="shared" si="1634"/>
        <v>Marca</v>
      </c>
      <c r="AF2523" t="str">
        <f t="shared" si="1635"/>
        <v>Super Rubro</v>
      </c>
      <c r="AG2523" t="str">
        <f t="shared" si="1636"/>
        <v>ComercioExterior</v>
      </c>
      <c r="AH2523" t="str">
        <f t="shared" si="1637"/>
        <v>PrecioFOB</v>
      </c>
      <c r="AI2523" t="str">
        <f t="shared" si="1638"/>
        <v>Monto II</v>
      </c>
      <c r="AJ2523" t="str">
        <f t="shared" si="1639"/>
        <v>Porcentaje II</v>
      </c>
      <c r="AK2523" t="str">
        <f t="shared" si="1640"/>
        <v>Foto</v>
      </c>
      <c r="AL2523" t="str">
        <f>"{\rtf1\ansi\ansicpg1252\deff0\deflang11274{\fonttbl{\f0\fnil\fcharset0 MS Sans Serif}} \viewkind4\uc1\pard\f0\fs16 LAMPARA KOBO H15 12V 55W VW AMAROK\par \par \par \par } "</f>
        <v xml:space="preserve">{\rtf1\ansi\ansicpg1252\deff0\deflang11274{\fonttbl{\f0\fnil\fcharset0 MS Sans Serif}} \viewkind4\uc1\pard\f0\fs16 LAMPARA KOBO H15 12V 55W VW AMAROK\par \par \par \par } </v>
      </c>
      <c r="AM2523" t="str">
        <f t="shared" si="1643"/>
        <v xml:space="preserve"> </v>
      </c>
    </row>
    <row r="2524" spans="1:39" x14ac:dyDescent="0.25">
      <c r="A2524" t="str">
        <f>"PSX24WGLKO"</f>
        <v>PSX24WGLKO</v>
      </c>
      <c r="B2524" t="str">
        <f>"LAMPARA KOBO H16 12V BULBO TIPO GLOBO ORIGINAL"</f>
        <v>LAMPARA KOBO H16 12V BULBO TIPO GLOBO ORIGINAL</v>
      </c>
      <c r="C2524" t="str">
        <f>"$ 17937,99"</f>
        <v>$ 17937,99</v>
      </c>
      <c r="D2524" t="str">
        <f>"$ 17937,99"</f>
        <v>$ 17937,99</v>
      </c>
      <c r="E2524" t="str">
        <f>"$ 17937,99"</f>
        <v>$ 17937,99</v>
      </c>
      <c r="F2524" t="str">
        <f>"$ 17937,99"</f>
        <v>$ 17937,99</v>
      </c>
      <c r="G2524" t="str">
        <f>"$ 17937,99"</f>
        <v>$ 17937,99</v>
      </c>
      <c r="H2524" t="str">
        <f t="shared" si="1622"/>
        <v>$ 0,00</v>
      </c>
      <c r="I2524" t="str">
        <f t="shared" si="1648"/>
        <v>LAMPARAS HALOGENAS</v>
      </c>
      <c r="J2524" t="str">
        <f t="shared" si="1623"/>
        <v>1</v>
      </c>
      <c r="K2524" t="str">
        <f t="shared" si="1647"/>
        <v>0</v>
      </c>
      <c r="L2524" t="str">
        <f>"14,000"</f>
        <v>14,000</v>
      </c>
      <c r="M2524" t="str">
        <f t="shared" si="1624"/>
        <v xml:space="preserve"> </v>
      </c>
      <c r="N2524" t="str">
        <f t="shared" si="1625"/>
        <v>KOBO</v>
      </c>
      <c r="O2524" t="str">
        <f t="shared" si="1646"/>
        <v>LAMPARAS</v>
      </c>
      <c r="P2524" t="str">
        <f t="shared" si="1649"/>
        <v>0</v>
      </c>
      <c r="Q2524" t="str">
        <f t="shared" si="1649"/>
        <v>0</v>
      </c>
      <c r="R2524" t="str">
        <f t="shared" si="1650"/>
        <v>0,00</v>
      </c>
      <c r="S2524" t="str">
        <f t="shared" si="1650"/>
        <v>0,00</v>
      </c>
      <c r="T2524" t="str">
        <f t="shared" si="1620"/>
        <v xml:space="preserve"> </v>
      </c>
      <c r="U2524" t="str">
        <f t="shared" si="1621"/>
        <v xml:space="preserve"> </v>
      </c>
      <c r="V2524" t="str">
        <f>"14,000"</f>
        <v>14,000</v>
      </c>
      <c r="W2524" t="str">
        <f t="shared" si="1626"/>
        <v>Lista 4</v>
      </c>
      <c r="X2524" t="str">
        <f t="shared" si="1627"/>
        <v>Lista 5</v>
      </c>
      <c r="Y2524" t="str">
        <f t="shared" si="1628"/>
        <v>Oferta Gral.</v>
      </c>
      <c r="Z2524" t="str">
        <f t="shared" si="1629"/>
        <v>Rubro</v>
      </c>
      <c r="AA2524" t="str">
        <f t="shared" si="1630"/>
        <v>Cantidad por Bulto</v>
      </c>
      <c r="AB2524" t="str">
        <f t="shared" si="1631"/>
        <v>INNER</v>
      </c>
      <c r="AC2524" t="str">
        <f t="shared" si="1632"/>
        <v>Stock en Bultos</v>
      </c>
      <c r="AD2524" t="str">
        <f t="shared" si="1633"/>
        <v>SubDepósito</v>
      </c>
      <c r="AE2524" t="str">
        <f t="shared" si="1634"/>
        <v>Marca</v>
      </c>
      <c r="AF2524" t="str">
        <f t="shared" si="1635"/>
        <v>Super Rubro</v>
      </c>
      <c r="AG2524" t="str">
        <f t="shared" si="1636"/>
        <v>ComercioExterior</v>
      </c>
      <c r="AH2524" t="str">
        <f t="shared" si="1637"/>
        <v>PrecioFOB</v>
      </c>
      <c r="AI2524" t="str">
        <f t="shared" si="1638"/>
        <v>Monto II</v>
      </c>
      <c r="AJ2524" t="str">
        <f t="shared" si="1639"/>
        <v>Porcentaje II</v>
      </c>
      <c r="AK2524" t="str">
        <f t="shared" si="1640"/>
        <v>Foto</v>
      </c>
      <c r="AL2524" t="str">
        <f>"{\rtf1\ansi\ansicpg1252\deff0\deflang11274{\fonttbl{\f0\fnil\fcharset0 MS Sans Serif}} \viewkind4\uc1\pard\f0\fs16 LAMPARA KOBO H16 12V BULBO TIPO GLOBO ORIGINAL\par } "</f>
        <v xml:space="preserve">{\rtf1\ansi\ansicpg1252\deff0\deflang11274{\fonttbl{\f0\fnil\fcharset0 MS Sans Serif}} \viewkind4\uc1\pard\f0\fs16 LAMPARA KOBO H16 12V BULBO TIPO GLOBO ORIGINAL\par } </v>
      </c>
      <c r="AM2524" t="str">
        <f t="shared" si="1643"/>
        <v xml:space="preserve"> </v>
      </c>
    </row>
    <row r="2525" spans="1:39" x14ac:dyDescent="0.25">
      <c r="A2525" t="str">
        <f>"H16L"</f>
        <v>H16L</v>
      </c>
      <c r="B2525" t="str">
        <f>"LAMPARA KOBO H16L 12V 19W"</f>
        <v>LAMPARA KOBO H16L 12V 19W</v>
      </c>
      <c r="C2525" t="str">
        <f>"$ 18455,31"</f>
        <v>$ 18455,31</v>
      </c>
      <c r="D2525" t="str">
        <f>"$ 18455,31"</f>
        <v>$ 18455,31</v>
      </c>
      <c r="E2525" t="str">
        <f>"$ 18455,31"</f>
        <v>$ 18455,31</v>
      </c>
      <c r="F2525" t="str">
        <f>"$ 18455,31"</f>
        <v>$ 18455,31</v>
      </c>
      <c r="G2525" t="str">
        <f>"$ 18455,31"</f>
        <v>$ 18455,31</v>
      </c>
      <c r="H2525" t="str">
        <f t="shared" si="1622"/>
        <v>$ 0,00</v>
      </c>
      <c r="I2525" t="str">
        <f t="shared" si="1648"/>
        <v>LAMPARAS HALOGENAS</v>
      </c>
      <c r="J2525" t="str">
        <f t="shared" si="1623"/>
        <v>1</v>
      </c>
      <c r="K2525" t="str">
        <f t="shared" si="1647"/>
        <v>0</v>
      </c>
      <c r="L2525" t="str">
        <f>"22,000"</f>
        <v>22,000</v>
      </c>
      <c r="M2525" t="str">
        <f t="shared" si="1624"/>
        <v xml:space="preserve"> </v>
      </c>
      <c r="N2525" t="str">
        <f t="shared" si="1625"/>
        <v>KOBO</v>
      </c>
      <c r="O2525" t="str">
        <f t="shared" si="1646"/>
        <v>LAMPARAS</v>
      </c>
      <c r="P2525" t="str">
        <f t="shared" si="1649"/>
        <v>0</v>
      </c>
      <c r="Q2525" t="str">
        <f t="shared" si="1649"/>
        <v>0</v>
      </c>
      <c r="R2525" t="str">
        <f t="shared" si="1650"/>
        <v>0,00</v>
      </c>
      <c r="S2525" t="str">
        <f t="shared" si="1650"/>
        <v>0,00</v>
      </c>
      <c r="T2525" t="str">
        <f t="shared" si="1620"/>
        <v xml:space="preserve"> </v>
      </c>
      <c r="U2525" t="str">
        <f t="shared" si="1621"/>
        <v xml:space="preserve"> </v>
      </c>
      <c r="V2525" t="str">
        <f>"22,000"</f>
        <v>22,000</v>
      </c>
      <c r="W2525" t="str">
        <f t="shared" si="1626"/>
        <v>Lista 4</v>
      </c>
      <c r="X2525" t="str">
        <f t="shared" si="1627"/>
        <v>Lista 5</v>
      </c>
      <c r="Y2525" t="str">
        <f t="shared" si="1628"/>
        <v>Oferta Gral.</v>
      </c>
      <c r="Z2525" t="str">
        <f t="shared" si="1629"/>
        <v>Rubro</v>
      </c>
      <c r="AA2525" t="str">
        <f t="shared" si="1630"/>
        <v>Cantidad por Bulto</v>
      </c>
      <c r="AB2525" t="str">
        <f t="shared" si="1631"/>
        <v>INNER</v>
      </c>
      <c r="AC2525" t="str">
        <f t="shared" si="1632"/>
        <v>Stock en Bultos</v>
      </c>
      <c r="AD2525" t="str">
        <f t="shared" si="1633"/>
        <v>SubDepósito</v>
      </c>
      <c r="AE2525" t="str">
        <f t="shared" si="1634"/>
        <v>Marca</v>
      </c>
      <c r="AF2525" t="str">
        <f t="shared" si="1635"/>
        <v>Super Rubro</v>
      </c>
      <c r="AG2525" t="str">
        <f t="shared" si="1636"/>
        <v>ComercioExterior</v>
      </c>
      <c r="AH2525" t="str">
        <f t="shared" si="1637"/>
        <v>PrecioFOB</v>
      </c>
      <c r="AI2525" t="str">
        <f t="shared" si="1638"/>
        <v>Monto II</v>
      </c>
      <c r="AJ2525" t="str">
        <f t="shared" si="1639"/>
        <v>Porcentaje II</v>
      </c>
      <c r="AK2525" t="str">
        <f t="shared" si="1640"/>
        <v>Foto</v>
      </c>
      <c r="AL2525" t="str">
        <f>"{\rtf1\ansi\ansicpg1252\deff0\deflang11274{\fonttbl{\f0\fnil\fcharset0 MS Sans Serif}} \viewkind4\uc1\pard\f0\fs16 LAMPARA KOBO H16L 12V 19W\par } "</f>
        <v xml:space="preserve">{\rtf1\ansi\ansicpg1252\deff0\deflang11274{\fonttbl{\f0\fnil\fcharset0 MS Sans Serif}} \viewkind4\uc1\pard\f0\fs16 LAMPARA KOBO H16L 12V 19W\par } </v>
      </c>
      <c r="AM2525" t="str">
        <f t="shared" si="1643"/>
        <v xml:space="preserve"> </v>
      </c>
    </row>
    <row r="2526" spans="1:39" x14ac:dyDescent="0.25">
      <c r="A2526" t="str">
        <f>"12569KO"</f>
        <v>12569KO</v>
      </c>
      <c r="B2526" t="str">
        <f>"LAMPARA KOBO H4 100/90W 12V."</f>
        <v>LAMPARA KOBO H4 100/90W 12V.</v>
      </c>
      <c r="C2526" t="str">
        <f>"$ 5711,85"</f>
        <v>$ 5711,85</v>
      </c>
      <c r="D2526" t="str">
        <f>"$ 5711,85"</f>
        <v>$ 5711,85</v>
      </c>
      <c r="E2526" t="str">
        <f>"$ 5711,85"</f>
        <v>$ 5711,85</v>
      </c>
      <c r="F2526" t="str">
        <f>"$ 5711,85"</f>
        <v>$ 5711,85</v>
      </c>
      <c r="G2526" t="str">
        <f>"$ 5711,85"</f>
        <v>$ 5711,85</v>
      </c>
      <c r="H2526" t="str">
        <f t="shared" si="1622"/>
        <v>$ 0,00</v>
      </c>
      <c r="I2526" t="str">
        <f t="shared" si="1648"/>
        <v>LAMPARAS HALOGENAS</v>
      </c>
      <c r="J2526" t="str">
        <f t="shared" si="1623"/>
        <v>1</v>
      </c>
      <c r="K2526" t="str">
        <f t="shared" si="1647"/>
        <v>0</v>
      </c>
      <c r="L2526" t="str">
        <f>"40,000"</f>
        <v>40,000</v>
      </c>
      <c r="M2526" t="str">
        <f t="shared" si="1624"/>
        <v xml:space="preserve"> </v>
      </c>
      <c r="N2526" t="str">
        <f t="shared" si="1625"/>
        <v>KOBO</v>
      </c>
      <c r="O2526" t="str">
        <f t="shared" si="1646"/>
        <v>LAMPARAS</v>
      </c>
      <c r="P2526" t="str">
        <f t="shared" si="1649"/>
        <v>0</v>
      </c>
      <c r="Q2526" t="str">
        <f t="shared" si="1649"/>
        <v>0</v>
      </c>
      <c r="R2526" t="str">
        <f t="shared" si="1650"/>
        <v>0,00</v>
      </c>
      <c r="S2526" t="str">
        <f t="shared" si="1650"/>
        <v>0,00</v>
      </c>
      <c r="T2526" t="str">
        <f t="shared" si="1620"/>
        <v xml:space="preserve"> </v>
      </c>
      <c r="U2526" t="str">
        <f t="shared" si="1621"/>
        <v xml:space="preserve"> </v>
      </c>
      <c r="V2526" t="str">
        <f>"40,000"</f>
        <v>40,000</v>
      </c>
      <c r="W2526" t="str">
        <f t="shared" si="1626"/>
        <v>Lista 4</v>
      </c>
      <c r="X2526" t="str">
        <f t="shared" si="1627"/>
        <v>Lista 5</v>
      </c>
      <c r="Y2526" t="str">
        <f t="shared" si="1628"/>
        <v>Oferta Gral.</v>
      </c>
      <c r="Z2526" t="str">
        <f t="shared" si="1629"/>
        <v>Rubro</v>
      </c>
      <c r="AA2526" t="str">
        <f t="shared" si="1630"/>
        <v>Cantidad por Bulto</v>
      </c>
      <c r="AB2526" t="str">
        <f t="shared" si="1631"/>
        <v>INNER</v>
      </c>
      <c r="AC2526" t="str">
        <f t="shared" si="1632"/>
        <v>Stock en Bultos</v>
      </c>
      <c r="AD2526" t="str">
        <f t="shared" si="1633"/>
        <v>SubDepósito</v>
      </c>
      <c r="AE2526" t="str">
        <f t="shared" si="1634"/>
        <v>Marca</v>
      </c>
      <c r="AF2526" t="str">
        <f t="shared" si="1635"/>
        <v>Super Rubro</v>
      </c>
      <c r="AG2526" t="str">
        <f t="shared" si="1636"/>
        <v>ComercioExterior</v>
      </c>
      <c r="AH2526" t="str">
        <f t="shared" si="1637"/>
        <v>PrecioFOB</v>
      </c>
      <c r="AI2526" t="str">
        <f t="shared" si="1638"/>
        <v>Monto II</v>
      </c>
      <c r="AJ2526" t="str">
        <f t="shared" si="1639"/>
        <v>Porcentaje II</v>
      </c>
      <c r="AK2526" t="str">
        <f t="shared" si="1640"/>
        <v>Foto</v>
      </c>
      <c r="AL2526" t="str">
        <f>"{\rtf1\ansi\ansicpg1252\deff0\deflang11274{\fonttbl{\f0\fnil\fcharset0 MS Sans Serif}} \viewkind4\uc1\pard\f0\fs16 LAMPARA KOBO H4 100/90W 12V.\par } "</f>
        <v xml:space="preserve">{\rtf1\ansi\ansicpg1252\deff0\deflang11274{\fonttbl{\f0\fnil\fcharset0 MS Sans Serif}} \viewkind4\uc1\pard\f0\fs16 LAMPARA KOBO H4 100/90W 12V.\par } </v>
      </c>
      <c r="AM2526" t="str">
        <f t="shared" si="1643"/>
        <v xml:space="preserve"> </v>
      </c>
    </row>
    <row r="2527" spans="1:39" x14ac:dyDescent="0.25">
      <c r="A2527" t="str">
        <f>"12342KO"</f>
        <v>12342KO</v>
      </c>
      <c r="B2527" t="str">
        <f>"LAMPARA KOBO H4 60/55W 12V."</f>
        <v>LAMPARA KOBO H4 60/55W 12V.</v>
      </c>
      <c r="C2527" t="str">
        <f>"$ 3294,09"</f>
        <v>$ 3294,09</v>
      </c>
      <c r="D2527" t="str">
        <f>"$ 3294,09"</f>
        <v>$ 3294,09</v>
      </c>
      <c r="E2527" t="str">
        <f>"$ 3294,09"</f>
        <v>$ 3294,09</v>
      </c>
      <c r="F2527" t="str">
        <f>"$ 3294,09"</f>
        <v>$ 3294,09</v>
      </c>
      <c r="G2527" t="str">
        <f>"$ 3294,09"</f>
        <v>$ 3294,09</v>
      </c>
      <c r="H2527" t="str">
        <f t="shared" si="1622"/>
        <v>$ 0,00</v>
      </c>
      <c r="I2527" t="str">
        <f t="shared" si="1648"/>
        <v>LAMPARAS HALOGENAS</v>
      </c>
      <c r="J2527" t="str">
        <f t="shared" si="1623"/>
        <v>1</v>
      </c>
      <c r="K2527" t="str">
        <f t="shared" si="1647"/>
        <v>0</v>
      </c>
      <c r="L2527" t="str">
        <f>"364,000"</f>
        <v>364,000</v>
      </c>
      <c r="M2527" t="str">
        <f t="shared" si="1624"/>
        <v xml:space="preserve"> </v>
      </c>
      <c r="N2527" t="str">
        <f t="shared" si="1625"/>
        <v>KOBO</v>
      </c>
      <c r="O2527" t="str">
        <f t="shared" si="1646"/>
        <v>LAMPARAS</v>
      </c>
      <c r="P2527" t="str">
        <f t="shared" si="1649"/>
        <v>0</v>
      </c>
      <c r="Q2527" t="str">
        <f t="shared" si="1649"/>
        <v>0</v>
      </c>
      <c r="R2527" t="str">
        <f t="shared" si="1650"/>
        <v>0,00</v>
      </c>
      <c r="S2527" t="str">
        <f t="shared" si="1650"/>
        <v>0,00</v>
      </c>
      <c r="T2527" t="str">
        <f t="shared" si="1620"/>
        <v xml:space="preserve"> </v>
      </c>
      <c r="U2527" t="str">
        <f t="shared" si="1621"/>
        <v xml:space="preserve"> </v>
      </c>
      <c r="V2527" t="str">
        <f>"364,000"</f>
        <v>364,000</v>
      </c>
      <c r="W2527" t="str">
        <f t="shared" si="1626"/>
        <v>Lista 4</v>
      </c>
      <c r="X2527" t="str">
        <f t="shared" si="1627"/>
        <v>Lista 5</v>
      </c>
      <c r="Y2527" t="str">
        <f t="shared" si="1628"/>
        <v>Oferta Gral.</v>
      </c>
      <c r="Z2527" t="str">
        <f t="shared" si="1629"/>
        <v>Rubro</v>
      </c>
      <c r="AA2527" t="str">
        <f t="shared" si="1630"/>
        <v>Cantidad por Bulto</v>
      </c>
      <c r="AB2527" t="str">
        <f t="shared" si="1631"/>
        <v>INNER</v>
      </c>
      <c r="AC2527" t="str">
        <f t="shared" si="1632"/>
        <v>Stock en Bultos</v>
      </c>
      <c r="AD2527" t="str">
        <f t="shared" si="1633"/>
        <v>SubDepósito</v>
      </c>
      <c r="AE2527" t="str">
        <f t="shared" si="1634"/>
        <v>Marca</v>
      </c>
      <c r="AF2527" t="str">
        <f t="shared" si="1635"/>
        <v>Super Rubro</v>
      </c>
      <c r="AG2527" t="str">
        <f t="shared" si="1636"/>
        <v>ComercioExterior</v>
      </c>
      <c r="AH2527" t="str">
        <f t="shared" si="1637"/>
        <v>PrecioFOB</v>
      </c>
      <c r="AI2527" t="str">
        <f t="shared" si="1638"/>
        <v>Monto II</v>
      </c>
      <c r="AJ2527" t="str">
        <f t="shared" si="1639"/>
        <v>Porcentaje II</v>
      </c>
      <c r="AK2527" t="str">
        <f t="shared" si="1640"/>
        <v>Foto</v>
      </c>
      <c r="AL2527" t="str">
        <f>"{\rtf1\ansi\ansicpg1252\deff0\deflang11274{\fonttbl{\f0\fnil\fcharset0 MS Sans Serif}} \viewkind4\uc1\pard\f0\fs16 LAMPARA KOBO H4 60/55W 12V.\par } "</f>
        <v xml:space="preserve">{\rtf1\ansi\ansicpg1252\deff0\deflang11274{\fonttbl{\f0\fnil\fcharset0 MS Sans Serif}} \viewkind4\uc1\pard\f0\fs16 LAMPARA KOBO H4 60/55W 12V.\par } </v>
      </c>
      <c r="AM2527" t="str">
        <f t="shared" si="1643"/>
        <v xml:space="preserve"> </v>
      </c>
    </row>
    <row r="2528" spans="1:39" x14ac:dyDescent="0.25">
      <c r="A2528" t="str">
        <f>"12972KO"</f>
        <v>12972KO</v>
      </c>
      <c r="B2528" t="str">
        <f>"LAMPARA KOBO H7 55W 12V."</f>
        <v>LAMPARA KOBO H7 55W 12V.</v>
      </c>
      <c r="C2528" t="str">
        <f>"$ 4054,27"</f>
        <v>$ 4054,27</v>
      </c>
      <c r="D2528" t="str">
        <f>"$ 4054,27"</f>
        <v>$ 4054,27</v>
      </c>
      <c r="E2528" t="str">
        <f>"$ 4054,27"</f>
        <v>$ 4054,27</v>
      </c>
      <c r="F2528" t="str">
        <f>"$ 4054,27"</f>
        <v>$ 4054,27</v>
      </c>
      <c r="G2528" t="str">
        <f>"$ 4054,27"</f>
        <v>$ 4054,27</v>
      </c>
      <c r="H2528" t="str">
        <f t="shared" si="1622"/>
        <v>$ 0,00</v>
      </c>
      <c r="I2528" t="str">
        <f t="shared" si="1648"/>
        <v>LAMPARAS HALOGENAS</v>
      </c>
      <c r="J2528" t="str">
        <f t="shared" si="1623"/>
        <v>1</v>
      </c>
      <c r="K2528" t="str">
        <f t="shared" si="1647"/>
        <v>0</v>
      </c>
      <c r="L2528" t="str">
        <f>"961,000"</f>
        <v>961,000</v>
      </c>
      <c r="M2528" t="str">
        <f t="shared" si="1624"/>
        <v xml:space="preserve"> </v>
      </c>
      <c r="N2528" t="str">
        <f t="shared" si="1625"/>
        <v>KOBO</v>
      </c>
      <c r="O2528" t="str">
        <f t="shared" si="1646"/>
        <v>LAMPARAS</v>
      </c>
      <c r="P2528" t="str">
        <f t="shared" si="1649"/>
        <v>0</v>
      </c>
      <c r="Q2528" t="str">
        <f t="shared" si="1649"/>
        <v>0</v>
      </c>
      <c r="R2528" t="str">
        <f t="shared" si="1650"/>
        <v>0,00</v>
      </c>
      <c r="S2528" t="str">
        <f t="shared" si="1650"/>
        <v>0,00</v>
      </c>
      <c r="T2528" t="str">
        <f t="shared" si="1620"/>
        <v xml:space="preserve"> </v>
      </c>
      <c r="U2528" t="str">
        <f t="shared" si="1621"/>
        <v xml:space="preserve"> </v>
      </c>
      <c r="V2528" t="str">
        <f>"961,000"</f>
        <v>961,000</v>
      </c>
      <c r="W2528" t="str">
        <f t="shared" si="1626"/>
        <v>Lista 4</v>
      </c>
      <c r="X2528" t="str">
        <f t="shared" si="1627"/>
        <v>Lista 5</v>
      </c>
      <c r="Y2528" t="str">
        <f t="shared" si="1628"/>
        <v>Oferta Gral.</v>
      </c>
      <c r="Z2528" t="str">
        <f t="shared" si="1629"/>
        <v>Rubro</v>
      </c>
      <c r="AA2528" t="str">
        <f t="shared" si="1630"/>
        <v>Cantidad por Bulto</v>
      </c>
      <c r="AB2528" t="str">
        <f t="shared" si="1631"/>
        <v>INNER</v>
      </c>
      <c r="AC2528" t="str">
        <f t="shared" si="1632"/>
        <v>Stock en Bultos</v>
      </c>
      <c r="AD2528" t="str">
        <f t="shared" si="1633"/>
        <v>SubDepósito</v>
      </c>
      <c r="AE2528" t="str">
        <f t="shared" si="1634"/>
        <v>Marca</v>
      </c>
      <c r="AF2528" t="str">
        <f t="shared" si="1635"/>
        <v>Super Rubro</v>
      </c>
      <c r="AG2528" t="str">
        <f t="shared" si="1636"/>
        <v>ComercioExterior</v>
      </c>
      <c r="AH2528" t="str">
        <f t="shared" si="1637"/>
        <v>PrecioFOB</v>
      </c>
      <c r="AI2528" t="str">
        <f t="shared" si="1638"/>
        <v>Monto II</v>
      </c>
      <c r="AJ2528" t="str">
        <f t="shared" si="1639"/>
        <v>Porcentaje II</v>
      </c>
      <c r="AK2528" t="str">
        <f t="shared" si="1640"/>
        <v>Foto</v>
      </c>
      <c r="AL2528" t="str">
        <f>"{\rtf1\ansi\ansicpg1252\deff0\deflang11274{\fonttbl{\f0\fnil\fcharset0 MS Sans Serif}} \viewkind4\uc1\pard\f0\fs16 LAMPARA KOBO H7 55W 12V.\par } "</f>
        <v xml:space="preserve">{\rtf1\ansi\ansicpg1252\deff0\deflang11274{\fonttbl{\f0\fnil\fcharset0 MS Sans Serif}} \viewkind4\uc1\pard\f0\fs16 LAMPARA KOBO H7 55W 12V.\par } </v>
      </c>
      <c r="AM2528" t="str">
        <f t="shared" si="1643"/>
        <v xml:space="preserve"> </v>
      </c>
    </row>
    <row r="2529" spans="1:39" x14ac:dyDescent="0.25">
      <c r="A2529" t="str">
        <f>"H8KO"</f>
        <v>H8KO</v>
      </c>
      <c r="B2529" t="str">
        <f>"LAMPARA KOBO H8 12V 55W"</f>
        <v>LAMPARA KOBO H8 12V 55W</v>
      </c>
      <c r="C2529" t="str">
        <f>"$ 11085,86"</f>
        <v>$ 11085,86</v>
      </c>
      <c r="D2529" t="str">
        <f>"$ 11085,86"</f>
        <v>$ 11085,86</v>
      </c>
      <c r="E2529" t="str">
        <f>"$ 11085,86"</f>
        <v>$ 11085,86</v>
      </c>
      <c r="F2529" t="str">
        <f>"$ 11085,86"</f>
        <v>$ 11085,86</v>
      </c>
      <c r="G2529" t="str">
        <f>"$ 11085,86"</f>
        <v>$ 11085,86</v>
      </c>
      <c r="H2529" t="str">
        <f t="shared" si="1622"/>
        <v>$ 0,00</v>
      </c>
      <c r="I2529" t="str">
        <f t="shared" si="1648"/>
        <v>LAMPARAS HALOGENAS</v>
      </c>
      <c r="J2529" t="str">
        <f t="shared" si="1623"/>
        <v>1</v>
      </c>
      <c r="K2529" t="str">
        <f t="shared" si="1647"/>
        <v>0</v>
      </c>
      <c r="L2529" t="str">
        <f>"5,000"</f>
        <v>5,000</v>
      </c>
      <c r="M2529" t="str">
        <f t="shared" si="1624"/>
        <v xml:space="preserve"> </v>
      </c>
      <c r="N2529" t="str">
        <f t="shared" si="1625"/>
        <v>KOBO</v>
      </c>
      <c r="O2529" t="str">
        <f t="shared" si="1646"/>
        <v>LAMPARAS</v>
      </c>
      <c r="P2529" t="str">
        <f t="shared" si="1649"/>
        <v>0</v>
      </c>
      <c r="Q2529" t="str">
        <f t="shared" si="1649"/>
        <v>0</v>
      </c>
      <c r="R2529" t="str">
        <f t="shared" si="1650"/>
        <v>0,00</v>
      </c>
      <c r="S2529" t="str">
        <f t="shared" si="1650"/>
        <v>0,00</v>
      </c>
      <c r="T2529" t="str">
        <f t="shared" si="1620"/>
        <v xml:space="preserve"> </v>
      </c>
      <c r="U2529" t="str">
        <f t="shared" si="1621"/>
        <v xml:space="preserve"> </v>
      </c>
      <c r="V2529" t="str">
        <f>"5,000"</f>
        <v>5,000</v>
      </c>
      <c r="W2529" t="str">
        <f t="shared" si="1626"/>
        <v>Lista 4</v>
      </c>
      <c r="X2529" t="str">
        <f t="shared" si="1627"/>
        <v>Lista 5</v>
      </c>
      <c r="Y2529" t="str">
        <f t="shared" si="1628"/>
        <v>Oferta Gral.</v>
      </c>
      <c r="Z2529" t="str">
        <f t="shared" si="1629"/>
        <v>Rubro</v>
      </c>
      <c r="AA2529" t="str">
        <f t="shared" si="1630"/>
        <v>Cantidad por Bulto</v>
      </c>
      <c r="AB2529" t="str">
        <f t="shared" si="1631"/>
        <v>INNER</v>
      </c>
      <c r="AC2529" t="str">
        <f t="shared" si="1632"/>
        <v>Stock en Bultos</v>
      </c>
      <c r="AD2529" t="str">
        <f t="shared" si="1633"/>
        <v>SubDepósito</v>
      </c>
      <c r="AE2529" t="str">
        <f t="shared" si="1634"/>
        <v>Marca</v>
      </c>
      <c r="AF2529" t="str">
        <f t="shared" si="1635"/>
        <v>Super Rubro</v>
      </c>
      <c r="AG2529" t="str">
        <f t="shared" si="1636"/>
        <v>ComercioExterior</v>
      </c>
      <c r="AH2529" t="str">
        <f t="shared" si="1637"/>
        <v>PrecioFOB</v>
      </c>
      <c r="AI2529" t="str">
        <f t="shared" si="1638"/>
        <v>Monto II</v>
      </c>
      <c r="AJ2529" t="str">
        <f t="shared" si="1639"/>
        <v>Porcentaje II</v>
      </c>
      <c r="AK2529" t="str">
        <f t="shared" si="1640"/>
        <v>Foto</v>
      </c>
      <c r="AL2529" t="str">
        <f>"{\rtf1\ansi\ansicpg1252\deff0\deflang11274{\fonttbl{\f0\fnil\fcharset0 MS Sans Serif}} \viewkind4\uc1\pard\f0\fs16 LAMPARA KOBO H8 12V 55W\par } "</f>
        <v xml:space="preserve">{\rtf1\ansi\ansicpg1252\deff0\deflang11274{\fonttbl{\f0\fnil\fcharset0 MS Sans Serif}} \viewkind4\uc1\pard\f0\fs16 LAMPARA KOBO H8 12V 55W\par } </v>
      </c>
      <c r="AM2529" t="str">
        <f t="shared" si="1643"/>
        <v xml:space="preserve"> </v>
      </c>
    </row>
    <row r="2530" spans="1:39" x14ac:dyDescent="0.25">
      <c r="A2530" t="str">
        <f>"12403KO"</f>
        <v>12403KO</v>
      </c>
      <c r="B2530" t="str">
        <f>"LAMPARA KOBO P15W "</f>
        <v xml:space="preserve">LAMPARA KOBO P15W </v>
      </c>
      <c r="C2530" t="str">
        <f>"$ 907,98"</f>
        <v>$ 907,98</v>
      </c>
      <c r="D2530" t="str">
        <f>"$ 907,98"</f>
        <v>$ 907,98</v>
      </c>
      <c r="E2530" t="str">
        <f>"$ 907,98"</f>
        <v>$ 907,98</v>
      </c>
      <c r="F2530" t="str">
        <f>"$ 907,98"</f>
        <v>$ 907,98</v>
      </c>
      <c r="G2530" t="str">
        <f>"$ 907,98"</f>
        <v>$ 907,98</v>
      </c>
      <c r="H2530" t="str">
        <f t="shared" si="1622"/>
        <v>$ 0,00</v>
      </c>
      <c r="I2530" t="str">
        <f t="shared" ref="I2530:I2540" si="1651">"LAMPARAS SEÑALIZACION"</f>
        <v>LAMPARAS SEÑALIZACION</v>
      </c>
      <c r="J2530" t="str">
        <f t="shared" si="1623"/>
        <v>1</v>
      </c>
      <c r="K2530" t="str">
        <f t="shared" si="1647"/>
        <v>0</v>
      </c>
      <c r="L2530" t="str">
        <f>"60,000"</f>
        <v>60,000</v>
      </c>
      <c r="M2530" t="str">
        <f t="shared" si="1624"/>
        <v xml:space="preserve"> </v>
      </c>
      <c r="N2530" t="str">
        <f t="shared" si="1625"/>
        <v>KOBO</v>
      </c>
      <c r="O2530" t="str">
        <f t="shared" si="1646"/>
        <v>LAMPARAS</v>
      </c>
      <c r="P2530" t="str">
        <f t="shared" si="1649"/>
        <v>0</v>
      </c>
      <c r="Q2530" t="str">
        <f t="shared" si="1649"/>
        <v>0</v>
      </c>
      <c r="R2530" t="str">
        <f t="shared" si="1650"/>
        <v>0,00</v>
      </c>
      <c r="S2530" t="str">
        <f t="shared" si="1650"/>
        <v>0,00</v>
      </c>
      <c r="T2530" t="str">
        <f t="shared" si="1620"/>
        <v xml:space="preserve"> </v>
      </c>
      <c r="U2530" t="str">
        <f t="shared" si="1621"/>
        <v xml:space="preserve"> </v>
      </c>
      <c r="V2530" t="str">
        <f>"60,000"</f>
        <v>60,000</v>
      </c>
      <c r="W2530" t="str">
        <f t="shared" si="1626"/>
        <v>Lista 4</v>
      </c>
      <c r="X2530" t="str">
        <f t="shared" si="1627"/>
        <v>Lista 5</v>
      </c>
      <c r="Y2530" t="str">
        <f t="shared" si="1628"/>
        <v>Oferta Gral.</v>
      </c>
      <c r="Z2530" t="str">
        <f t="shared" si="1629"/>
        <v>Rubro</v>
      </c>
      <c r="AA2530" t="str">
        <f t="shared" si="1630"/>
        <v>Cantidad por Bulto</v>
      </c>
      <c r="AB2530" t="str">
        <f t="shared" si="1631"/>
        <v>INNER</v>
      </c>
      <c r="AC2530" t="str">
        <f t="shared" si="1632"/>
        <v>Stock en Bultos</v>
      </c>
      <c r="AD2530" t="str">
        <f t="shared" si="1633"/>
        <v>SubDepósito</v>
      </c>
      <c r="AE2530" t="str">
        <f t="shared" si="1634"/>
        <v>Marca</v>
      </c>
      <c r="AF2530" t="str">
        <f t="shared" si="1635"/>
        <v>Super Rubro</v>
      </c>
      <c r="AG2530" t="str">
        <f t="shared" si="1636"/>
        <v>ComercioExterior</v>
      </c>
      <c r="AH2530" t="str">
        <f t="shared" si="1637"/>
        <v>PrecioFOB</v>
      </c>
      <c r="AI2530" t="str">
        <f t="shared" si="1638"/>
        <v>Monto II</v>
      </c>
      <c r="AJ2530" t="str">
        <f t="shared" si="1639"/>
        <v>Porcentaje II</v>
      </c>
      <c r="AK2530" t="str">
        <f t="shared" si="1640"/>
        <v>Foto</v>
      </c>
      <c r="AL2530" t="str">
        <f>"{\rtf1\ansi\ansicpg1252\deff0\deflang11274{\fonttbl{\f0\fnil\fcharset0 MS Sans Serif}} \viewkind4\uc1\pard\f0\fs16 LAMPARA KOBO P15W \par } "</f>
        <v xml:space="preserve">{\rtf1\ansi\ansicpg1252\deff0\deflang11274{\fonttbl{\f0\fnil\fcharset0 MS Sans Serif}} \viewkind4\uc1\pard\f0\fs16 LAMPARA KOBO P15W \par } </v>
      </c>
      <c r="AM2530" t="str">
        <f t="shared" si="1643"/>
        <v xml:space="preserve"> </v>
      </c>
    </row>
    <row r="2531" spans="1:39" x14ac:dyDescent="0.25">
      <c r="A2531" t="str">
        <f>"12498KO"</f>
        <v>12498KO</v>
      </c>
      <c r="B2531" t="str">
        <f>"LAMPARA KOBO P21W"</f>
        <v>LAMPARA KOBO P21W</v>
      </c>
      <c r="C2531" t="str">
        <f>"$ 612,36"</f>
        <v>$ 612,36</v>
      </c>
      <c r="D2531" t="str">
        <f>"$ 612,36"</f>
        <v>$ 612,36</v>
      </c>
      <c r="E2531" t="str">
        <f>"$ 612,36"</f>
        <v>$ 612,36</v>
      </c>
      <c r="F2531" t="str">
        <f>"$ 612,36"</f>
        <v>$ 612,36</v>
      </c>
      <c r="G2531" t="str">
        <f>"$ 612,36"</f>
        <v>$ 612,36</v>
      </c>
      <c r="H2531" t="str">
        <f t="shared" si="1622"/>
        <v>$ 0,00</v>
      </c>
      <c r="I2531" t="str">
        <f t="shared" si="1651"/>
        <v>LAMPARAS SEÑALIZACION</v>
      </c>
      <c r="J2531" t="str">
        <f t="shared" si="1623"/>
        <v>1</v>
      </c>
      <c r="K2531" t="str">
        <f t="shared" si="1647"/>
        <v>0</v>
      </c>
      <c r="L2531" t="str">
        <f>"659,000"</f>
        <v>659,000</v>
      </c>
      <c r="M2531" t="str">
        <f t="shared" si="1624"/>
        <v xml:space="preserve"> </v>
      </c>
      <c r="N2531" t="str">
        <f t="shared" si="1625"/>
        <v>KOBO</v>
      </c>
      <c r="O2531" t="str">
        <f t="shared" si="1646"/>
        <v>LAMPARAS</v>
      </c>
      <c r="P2531" t="str">
        <f t="shared" si="1649"/>
        <v>0</v>
      </c>
      <c r="Q2531" t="str">
        <f t="shared" si="1649"/>
        <v>0</v>
      </c>
      <c r="R2531" t="str">
        <f t="shared" si="1650"/>
        <v>0,00</v>
      </c>
      <c r="S2531" t="str">
        <f t="shared" si="1650"/>
        <v>0,00</v>
      </c>
      <c r="T2531" t="str">
        <f t="shared" si="1620"/>
        <v xml:space="preserve"> </v>
      </c>
      <c r="U2531" t="str">
        <f t="shared" si="1621"/>
        <v xml:space="preserve"> </v>
      </c>
      <c r="V2531" t="str">
        <f>"659,000"</f>
        <v>659,000</v>
      </c>
      <c r="W2531" t="str">
        <f t="shared" si="1626"/>
        <v>Lista 4</v>
      </c>
      <c r="X2531" t="str">
        <f t="shared" si="1627"/>
        <v>Lista 5</v>
      </c>
      <c r="Y2531" t="str">
        <f t="shared" si="1628"/>
        <v>Oferta Gral.</v>
      </c>
      <c r="Z2531" t="str">
        <f t="shared" si="1629"/>
        <v>Rubro</v>
      </c>
      <c r="AA2531" t="str">
        <f t="shared" si="1630"/>
        <v>Cantidad por Bulto</v>
      </c>
      <c r="AB2531" t="str">
        <f t="shared" si="1631"/>
        <v>INNER</v>
      </c>
      <c r="AC2531" t="str">
        <f t="shared" si="1632"/>
        <v>Stock en Bultos</v>
      </c>
      <c r="AD2531" t="str">
        <f t="shared" si="1633"/>
        <v>SubDepósito</v>
      </c>
      <c r="AE2531" t="str">
        <f t="shared" si="1634"/>
        <v>Marca</v>
      </c>
      <c r="AF2531" t="str">
        <f t="shared" si="1635"/>
        <v>Super Rubro</v>
      </c>
      <c r="AG2531" t="str">
        <f t="shared" si="1636"/>
        <v>ComercioExterior</v>
      </c>
      <c r="AH2531" t="str">
        <f t="shared" si="1637"/>
        <v>PrecioFOB</v>
      </c>
      <c r="AI2531" t="str">
        <f t="shared" si="1638"/>
        <v>Monto II</v>
      </c>
      <c r="AJ2531" t="str">
        <f t="shared" si="1639"/>
        <v>Porcentaje II</v>
      </c>
      <c r="AK2531" t="str">
        <f t="shared" si="1640"/>
        <v>Foto</v>
      </c>
      <c r="AL2531" t="str">
        <f>"{\rtf1\ansi\ansicpg1252\deff0\deflang11274{\fonttbl{\f0\fnil\fcharset0 MS Sans Serif}} \viewkind4\uc1\pard\f0\fs16 LAMPARA KOBO P21W\par } "</f>
        <v xml:space="preserve">{\rtf1\ansi\ansicpg1252\deff0\deflang11274{\fonttbl{\f0\fnil\fcharset0 MS Sans Serif}} \viewkind4\uc1\pard\f0\fs16 LAMPARA KOBO P21W\par } </v>
      </c>
      <c r="AM2531" t="str">
        <f t="shared" si="1643"/>
        <v xml:space="preserve"> </v>
      </c>
    </row>
    <row r="2532" spans="1:39" x14ac:dyDescent="0.25">
      <c r="A2532" t="str">
        <f>"12516KO"</f>
        <v>12516KO</v>
      </c>
      <c r="B2532" t="str">
        <f>"LAMPARA KOBO PIOJITO 12V 1.2W"</f>
        <v>LAMPARA KOBO PIOJITO 12V 1.2W</v>
      </c>
      <c r="C2532" t="str">
        <f>"$ 432,87"</f>
        <v>$ 432,87</v>
      </c>
      <c r="D2532" t="str">
        <f>"$ 432,87"</f>
        <v>$ 432,87</v>
      </c>
      <c r="E2532" t="str">
        <f>"$ 432,87"</f>
        <v>$ 432,87</v>
      </c>
      <c r="F2532" t="str">
        <f>"$ 432,87"</f>
        <v>$ 432,87</v>
      </c>
      <c r="G2532" t="str">
        <f>"$ 432,87"</f>
        <v>$ 432,87</v>
      </c>
      <c r="H2532" t="str">
        <f t="shared" si="1622"/>
        <v>$ 0,00</v>
      </c>
      <c r="I2532" t="str">
        <f t="shared" si="1651"/>
        <v>LAMPARAS SEÑALIZACION</v>
      </c>
      <c r="J2532" t="str">
        <f t="shared" si="1623"/>
        <v>1</v>
      </c>
      <c r="K2532" t="str">
        <f t="shared" si="1647"/>
        <v>0</v>
      </c>
      <c r="L2532" t="str">
        <f>"-4,000"</f>
        <v>-4,000</v>
      </c>
      <c r="M2532" t="str">
        <f t="shared" si="1624"/>
        <v xml:space="preserve"> </v>
      </c>
      <c r="N2532" t="str">
        <f t="shared" si="1625"/>
        <v>KOBO</v>
      </c>
      <c r="O2532" t="str">
        <f t="shared" si="1646"/>
        <v>LAMPARAS</v>
      </c>
      <c r="P2532" t="str">
        <f t="shared" si="1649"/>
        <v>0</v>
      </c>
      <c r="Q2532" t="str">
        <f t="shared" si="1649"/>
        <v>0</v>
      </c>
      <c r="R2532" t="str">
        <f t="shared" si="1650"/>
        <v>0,00</v>
      </c>
      <c r="S2532" t="str">
        <f t="shared" si="1650"/>
        <v>0,00</v>
      </c>
      <c r="T2532" t="str">
        <f t="shared" si="1620"/>
        <v xml:space="preserve"> </v>
      </c>
      <c r="U2532" t="str">
        <f t="shared" si="1621"/>
        <v xml:space="preserve"> </v>
      </c>
      <c r="V2532" t="str">
        <f>"-4,000"</f>
        <v>-4,000</v>
      </c>
      <c r="W2532" t="str">
        <f t="shared" si="1626"/>
        <v>Lista 4</v>
      </c>
      <c r="X2532" t="str">
        <f t="shared" si="1627"/>
        <v>Lista 5</v>
      </c>
      <c r="Y2532" t="str">
        <f t="shared" si="1628"/>
        <v>Oferta Gral.</v>
      </c>
      <c r="Z2532" t="str">
        <f t="shared" si="1629"/>
        <v>Rubro</v>
      </c>
      <c r="AA2532" t="str">
        <f t="shared" si="1630"/>
        <v>Cantidad por Bulto</v>
      </c>
      <c r="AB2532" t="str">
        <f t="shared" si="1631"/>
        <v>INNER</v>
      </c>
      <c r="AC2532" t="str">
        <f t="shared" si="1632"/>
        <v>Stock en Bultos</v>
      </c>
      <c r="AD2532" t="str">
        <f t="shared" si="1633"/>
        <v>SubDepósito</v>
      </c>
      <c r="AE2532" t="str">
        <f t="shared" si="1634"/>
        <v>Marca</v>
      </c>
      <c r="AF2532" t="str">
        <f t="shared" si="1635"/>
        <v>Super Rubro</v>
      </c>
      <c r="AG2532" t="str">
        <f t="shared" si="1636"/>
        <v>ComercioExterior</v>
      </c>
      <c r="AH2532" t="str">
        <f t="shared" si="1637"/>
        <v>PrecioFOB</v>
      </c>
      <c r="AI2532" t="str">
        <f t="shared" si="1638"/>
        <v>Monto II</v>
      </c>
      <c r="AJ2532" t="str">
        <f t="shared" si="1639"/>
        <v>Porcentaje II</v>
      </c>
      <c r="AK2532" t="str">
        <f t="shared" si="1640"/>
        <v>Foto</v>
      </c>
      <c r="AL2532" t="str">
        <f>"{\rtf1\ansi\ansicpg1252\deff0\deflang11274{\fonttbl{\f0\fnil\fcharset0 MS Sans Serif}} \viewkind4\uc1\pard\f0\fs16 LAMPARA KOBO PIOJITO 12V 1.2W\par } "</f>
        <v xml:space="preserve">{\rtf1\ansi\ansicpg1252\deff0\deflang11274{\fonttbl{\f0\fnil\fcharset0 MS Sans Serif}} \viewkind4\uc1\pard\f0\fs16 LAMPARA KOBO PIOJITO 12V 1.2W\par } </v>
      </c>
      <c r="AM2532" t="str">
        <f t="shared" si="1643"/>
        <v xml:space="preserve"> </v>
      </c>
    </row>
    <row r="2533" spans="1:39" x14ac:dyDescent="0.25">
      <c r="A2533" t="str">
        <f>"12499AMB"</f>
        <v>12499AMB</v>
      </c>
      <c r="B2533" t="str">
        <f>"LAMPARA KOBO POSICION STOP 1034 12V 21/5W AMBAR"</f>
        <v>LAMPARA KOBO POSICION STOP 1034 12V 21/5W AMBAR</v>
      </c>
      <c r="C2533" t="str">
        <f>"$ 971,34"</f>
        <v>$ 971,34</v>
      </c>
      <c r="D2533" t="str">
        <f>"$ 971,34"</f>
        <v>$ 971,34</v>
      </c>
      <c r="E2533" t="str">
        <f>"$ 971,34"</f>
        <v>$ 971,34</v>
      </c>
      <c r="F2533" t="str">
        <f>"$ 971,34"</f>
        <v>$ 971,34</v>
      </c>
      <c r="G2533" t="str">
        <f>"$ 971,34"</f>
        <v>$ 971,34</v>
      </c>
      <c r="H2533" t="str">
        <f t="shared" si="1622"/>
        <v>$ 0,00</v>
      </c>
      <c r="I2533" t="str">
        <f t="shared" si="1651"/>
        <v>LAMPARAS SEÑALIZACION</v>
      </c>
      <c r="J2533" t="str">
        <f t="shared" si="1623"/>
        <v>1</v>
      </c>
      <c r="K2533" t="str">
        <f t="shared" si="1647"/>
        <v>0</v>
      </c>
      <c r="L2533" t="str">
        <f>"50,000"</f>
        <v>50,000</v>
      </c>
      <c r="M2533" t="str">
        <f t="shared" si="1624"/>
        <v xml:space="preserve"> </v>
      </c>
      <c r="N2533" t="str">
        <f t="shared" si="1625"/>
        <v>KOBO</v>
      </c>
      <c r="O2533" t="str">
        <f t="shared" si="1646"/>
        <v>LAMPARAS</v>
      </c>
      <c r="P2533" t="str">
        <f t="shared" si="1649"/>
        <v>0</v>
      </c>
      <c r="Q2533" t="str">
        <f t="shared" si="1649"/>
        <v>0</v>
      </c>
      <c r="R2533" t="str">
        <f t="shared" si="1650"/>
        <v>0,00</v>
      </c>
      <c r="S2533" t="str">
        <f t="shared" si="1650"/>
        <v>0,00</v>
      </c>
      <c r="T2533" t="str">
        <f t="shared" si="1620"/>
        <v xml:space="preserve"> </v>
      </c>
      <c r="U2533" t="str">
        <f t="shared" si="1621"/>
        <v xml:space="preserve"> </v>
      </c>
      <c r="V2533" t="str">
        <f>"50,000"</f>
        <v>50,000</v>
      </c>
      <c r="W2533" t="str">
        <f t="shared" si="1626"/>
        <v>Lista 4</v>
      </c>
      <c r="X2533" t="str">
        <f t="shared" si="1627"/>
        <v>Lista 5</v>
      </c>
      <c r="Y2533" t="str">
        <f t="shared" si="1628"/>
        <v>Oferta Gral.</v>
      </c>
      <c r="Z2533" t="str">
        <f t="shared" si="1629"/>
        <v>Rubro</v>
      </c>
      <c r="AA2533" t="str">
        <f t="shared" si="1630"/>
        <v>Cantidad por Bulto</v>
      </c>
      <c r="AB2533" t="str">
        <f t="shared" si="1631"/>
        <v>INNER</v>
      </c>
      <c r="AC2533" t="str">
        <f t="shared" si="1632"/>
        <v>Stock en Bultos</v>
      </c>
      <c r="AD2533" t="str">
        <f t="shared" si="1633"/>
        <v>SubDepósito</v>
      </c>
      <c r="AE2533" t="str">
        <f t="shared" si="1634"/>
        <v>Marca</v>
      </c>
      <c r="AF2533" t="str">
        <f t="shared" si="1635"/>
        <v>Super Rubro</v>
      </c>
      <c r="AG2533" t="str">
        <f t="shared" si="1636"/>
        <v>ComercioExterior</v>
      </c>
      <c r="AH2533" t="str">
        <f t="shared" si="1637"/>
        <v>PrecioFOB</v>
      </c>
      <c r="AI2533" t="str">
        <f t="shared" si="1638"/>
        <v>Monto II</v>
      </c>
      <c r="AJ2533" t="str">
        <f t="shared" si="1639"/>
        <v>Porcentaje II</v>
      </c>
      <c r="AK2533" t="str">
        <f t="shared" si="1640"/>
        <v>Foto</v>
      </c>
      <c r="AL2533" t="str">
        <f>"{\rtf1\ansi\ansicpg1252\deff0\deflang11274{\fonttbl{\f0\fnil\fcharset0 MS Sans Serif}} \viewkind4\uc1\pard\f0\fs16 LAMPARA KOBO POSICION STOP 1034 12V 21/5W AMBAR\par } "</f>
        <v xml:space="preserve">{\rtf1\ansi\ansicpg1252\deff0\deflang11274{\fonttbl{\f0\fnil\fcharset0 MS Sans Serif}} \viewkind4\uc1\pard\f0\fs16 LAMPARA KOBO POSICION STOP 1034 12V 21/5W AMBAR\par } </v>
      </c>
      <c r="AM2533" t="str">
        <f>"Lampara posicion stop 1034 Ambar"</f>
        <v>Lampara posicion stop 1034 Ambar</v>
      </c>
    </row>
    <row r="2534" spans="1:39" x14ac:dyDescent="0.25">
      <c r="A2534" t="str">
        <f>"12498AMB"</f>
        <v>12498AMB</v>
      </c>
      <c r="B2534" t="str">
        <f>"LAMPARA KOBO POSICION TRASERA 12V 21W AMBAR"</f>
        <v>LAMPARA KOBO POSICION TRASERA 12V 21W AMBAR</v>
      </c>
      <c r="C2534" t="str">
        <f>"$ 876,31"</f>
        <v>$ 876,31</v>
      </c>
      <c r="D2534" t="str">
        <f>"$ 876,31"</f>
        <v>$ 876,31</v>
      </c>
      <c r="E2534" t="str">
        <f>"$ 876,31"</f>
        <v>$ 876,31</v>
      </c>
      <c r="F2534" t="str">
        <f>"$ 876,31"</f>
        <v>$ 876,31</v>
      </c>
      <c r="G2534" t="str">
        <f>"$ 876,31"</f>
        <v>$ 876,31</v>
      </c>
      <c r="H2534" t="str">
        <f t="shared" si="1622"/>
        <v>$ 0,00</v>
      </c>
      <c r="I2534" t="str">
        <f t="shared" si="1651"/>
        <v>LAMPARAS SEÑALIZACION</v>
      </c>
      <c r="J2534" t="str">
        <f t="shared" si="1623"/>
        <v>1</v>
      </c>
      <c r="K2534" t="str">
        <f t="shared" si="1647"/>
        <v>0</v>
      </c>
      <c r="L2534" t="str">
        <f>"30,000"</f>
        <v>30,000</v>
      </c>
      <c r="M2534" t="str">
        <f t="shared" si="1624"/>
        <v xml:space="preserve"> </v>
      </c>
      <c r="N2534" t="str">
        <f t="shared" si="1625"/>
        <v>KOBO</v>
      </c>
      <c r="O2534" t="str">
        <f t="shared" si="1646"/>
        <v>LAMPARAS</v>
      </c>
      <c r="P2534" t="str">
        <f t="shared" si="1649"/>
        <v>0</v>
      </c>
      <c r="Q2534" t="str">
        <f t="shared" si="1649"/>
        <v>0</v>
      </c>
      <c r="R2534" t="str">
        <f t="shared" si="1650"/>
        <v>0,00</v>
      </c>
      <c r="S2534" t="str">
        <f t="shared" si="1650"/>
        <v>0,00</v>
      </c>
      <c r="T2534" t="str">
        <f t="shared" si="1620"/>
        <v xml:space="preserve"> </v>
      </c>
      <c r="U2534" t="str">
        <f t="shared" si="1621"/>
        <v xml:space="preserve"> </v>
      </c>
      <c r="V2534" t="str">
        <f>"30,000"</f>
        <v>30,000</v>
      </c>
      <c r="W2534" t="str">
        <f t="shared" si="1626"/>
        <v>Lista 4</v>
      </c>
      <c r="X2534" t="str">
        <f t="shared" si="1627"/>
        <v>Lista 5</v>
      </c>
      <c r="Y2534" t="str">
        <f t="shared" si="1628"/>
        <v>Oferta Gral.</v>
      </c>
      <c r="Z2534" t="str">
        <f t="shared" si="1629"/>
        <v>Rubro</v>
      </c>
      <c r="AA2534" t="str">
        <f t="shared" si="1630"/>
        <v>Cantidad por Bulto</v>
      </c>
      <c r="AB2534" t="str">
        <f t="shared" si="1631"/>
        <v>INNER</v>
      </c>
      <c r="AC2534" t="str">
        <f t="shared" si="1632"/>
        <v>Stock en Bultos</v>
      </c>
      <c r="AD2534" t="str">
        <f t="shared" si="1633"/>
        <v>SubDepósito</v>
      </c>
      <c r="AE2534" t="str">
        <f t="shared" si="1634"/>
        <v>Marca</v>
      </c>
      <c r="AF2534" t="str">
        <f t="shared" si="1635"/>
        <v>Super Rubro</v>
      </c>
      <c r="AG2534" t="str">
        <f t="shared" si="1636"/>
        <v>ComercioExterior</v>
      </c>
      <c r="AH2534" t="str">
        <f t="shared" si="1637"/>
        <v>PrecioFOB</v>
      </c>
      <c r="AI2534" t="str">
        <f t="shared" si="1638"/>
        <v>Monto II</v>
      </c>
      <c r="AJ2534" t="str">
        <f t="shared" si="1639"/>
        <v>Porcentaje II</v>
      </c>
      <c r="AK2534" t="str">
        <f t="shared" si="1640"/>
        <v>Foto</v>
      </c>
      <c r="AL2534" t="str">
        <f>"{\rtf1\ansi\ansicpg1252\deff0\deflang11274{\fonttbl{\f0\fnil\fcharset0 MS Sans Serif}} \viewkind4\uc1\pard\f0\fs16 M\'d3DULO ENC. V.W.-GOL-SENDA-GOLF-POLO-QUANTUM-SAVEIRO\par } "</f>
        <v xml:space="preserve">{\rtf1\ansi\ansicpg1252\deff0\deflang11274{\fonttbl{\f0\fnil\fcharset0 MS Sans Serif}} \viewkind4\uc1\pard\f0\fs16 M\'d3DULO ENC. V.W.-GOL-SENDA-GOLF-POLO-QUANTUM-SAVEIRO\par } </v>
      </c>
      <c r="AM2534" t="str">
        <f>"-"</f>
        <v>-</v>
      </c>
    </row>
    <row r="2535" spans="1:39" x14ac:dyDescent="0.25">
      <c r="A2535" t="str">
        <f>"12821KO"</f>
        <v>12821KO</v>
      </c>
      <c r="B2535" t="str">
        <f>"LAMPARA KOBO R5W "</f>
        <v xml:space="preserve">LAMPARA KOBO R5W </v>
      </c>
      <c r="C2535" t="str">
        <f>"$ 464,56"</f>
        <v>$ 464,56</v>
      </c>
      <c r="D2535" t="str">
        <f>"$ 464,56"</f>
        <v>$ 464,56</v>
      </c>
      <c r="E2535" t="str">
        <f>"$ 464,56"</f>
        <v>$ 464,56</v>
      </c>
      <c r="F2535" t="str">
        <f>"$ 464,56"</f>
        <v>$ 464,56</v>
      </c>
      <c r="G2535" t="str">
        <f>"$ 464,56"</f>
        <v>$ 464,56</v>
      </c>
      <c r="H2535" t="str">
        <f t="shared" si="1622"/>
        <v>$ 0,00</v>
      </c>
      <c r="I2535" t="str">
        <f t="shared" si="1651"/>
        <v>LAMPARAS SEÑALIZACION</v>
      </c>
      <c r="J2535" t="str">
        <f t="shared" si="1623"/>
        <v>1</v>
      </c>
      <c r="K2535" t="str">
        <f t="shared" si="1647"/>
        <v>0</v>
      </c>
      <c r="L2535" t="str">
        <f>"83,000"</f>
        <v>83,000</v>
      </c>
      <c r="M2535" t="str">
        <f t="shared" si="1624"/>
        <v xml:space="preserve"> </v>
      </c>
      <c r="N2535" t="str">
        <f t="shared" si="1625"/>
        <v>KOBO</v>
      </c>
      <c r="O2535" t="str">
        <f t="shared" si="1646"/>
        <v>LAMPARAS</v>
      </c>
      <c r="P2535" t="str">
        <f t="shared" si="1649"/>
        <v>0</v>
      </c>
      <c r="Q2535" t="str">
        <f t="shared" si="1649"/>
        <v>0</v>
      </c>
      <c r="R2535" t="str">
        <f t="shared" si="1650"/>
        <v>0,00</v>
      </c>
      <c r="S2535" t="str">
        <f t="shared" si="1650"/>
        <v>0,00</v>
      </c>
      <c r="T2535" t="str">
        <f t="shared" si="1620"/>
        <v xml:space="preserve"> </v>
      </c>
      <c r="U2535" t="str">
        <f t="shared" si="1621"/>
        <v xml:space="preserve"> </v>
      </c>
      <c r="V2535" t="str">
        <f>"83,000"</f>
        <v>83,000</v>
      </c>
      <c r="W2535" t="str">
        <f t="shared" si="1626"/>
        <v>Lista 4</v>
      </c>
      <c r="X2535" t="str">
        <f t="shared" si="1627"/>
        <v>Lista 5</v>
      </c>
      <c r="Y2535" t="str">
        <f t="shared" si="1628"/>
        <v>Oferta Gral.</v>
      </c>
      <c r="Z2535" t="str">
        <f t="shared" si="1629"/>
        <v>Rubro</v>
      </c>
      <c r="AA2535" t="str">
        <f t="shared" si="1630"/>
        <v>Cantidad por Bulto</v>
      </c>
      <c r="AB2535" t="str">
        <f t="shared" si="1631"/>
        <v>INNER</v>
      </c>
      <c r="AC2535" t="str">
        <f t="shared" si="1632"/>
        <v>Stock en Bultos</v>
      </c>
      <c r="AD2535" t="str">
        <f t="shared" si="1633"/>
        <v>SubDepósito</v>
      </c>
      <c r="AE2535" t="str">
        <f t="shared" si="1634"/>
        <v>Marca</v>
      </c>
      <c r="AF2535" t="str">
        <f t="shared" si="1635"/>
        <v>Super Rubro</v>
      </c>
      <c r="AG2535" t="str">
        <f t="shared" si="1636"/>
        <v>ComercioExterior</v>
      </c>
      <c r="AH2535" t="str">
        <f t="shared" si="1637"/>
        <v>PrecioFOB</v>
      </c>
      <c r="AI2535" t="str">
        <f t="shared" si="1638"/>
        <v>Monto II</v>
      </c>
      <c r="AJ2535" t="str">
        <f t="shared" si="1639"/>
        <v>Porcentaje II</v>
      </c>
      <c r="AK2535" t="str">
        <f t="shared" si="1640"/>
        <v>Foto</v>
      </c>
      <c r="AL2535" t="str">
        <f>"{\rtf1\ansi\ansicpg1252\deff0\deflang11274{\fonttbl{\f0\fnil\fcharset0 MS Sans Serif}} \viewkind4\uc1\pard\f0\fs16 LAMPARA KOBO R5W \par } "</f>
        <v xml:space="preserve">{\rtf1\ansi\ansicpg1252\deff0\deflang11274{\fonttbl{\f0\fnil\fcharset0 MS Sans Serif}} \viewkind4\uc1\pard\f0\fs16 LAMPARA KOBO R5W \par } </v>
      </c>
      <c r="AM2535" t="str">
        <f>" "</f>
        <v xml:space="preserve"> </v>
      </c>
    </row>
    <row r="2536" spans="1:39" x14ac:dyDescent="0.25">
      <c r="A2536" t="str">
        <f>"12067KO"</f>
        <v>12067KO</v>
      </c>
      <c r="B2536" t="str">
        <f>"LAMPARA KOBO S/CULOTE  12V 12W "</f>
        <v xml:space="preserve">LAMPARA KOBO S/CULOTE  12V 12W </v>
      </c>
      <c r="C2536" t="str">
        <f>"$ 865,76"</f>
        <v>$ 865,76</v>
      </c>
      <c r="D2536" t="str">
        <f>"$ 865,76"</f>
        <v>$ 865,76</v>
      </c>
      <c r="E2536" t="str">
        <f>"$ 865,76"</f>
        <v>$ 865,76</v>
      </c>
      <c r="F2536" t="str">
        <f>"$ 865,76"</f>
        <v>$ 865,76</v>
      </c>
      <c r="G2536" t="str">
        <f>"$ 865,76"</f>
        <v>$ 865,76</v>
      </c>
      <c r="H2536" t="str">
        <f t="shared" si="1622"/>
        <v>$ 0,00</v>
      </c>
      <c r="I2536" t="str">
        <f t="shared" si="1651"/>
        <v>LAMPARAS SEÑALIZACION</v>
      </c>
      <c r="J2536" t="str">
        <f t="shared" si="1623"/>
        <v>1</v>
      </c>
      <c r="K2536" t="str">
        <f t="shared" si="1647"/>
        <v>0</v>
      </c>
      <c r="L2536" t="str">
        <f>"66,000"</f>
        <v>66,000</v>
      </c>
      <c r="M2536" t="str">
        <f t="shared" si="1624"/>
        <v xml:space="preserve"> </v>
      </c>
      <c r="N2536" t="str">
        <f t="shared" si="1625"/>
        <v>KOBO</v>
      </c>
      <c r="O2536" t="str">
        <f t="shared" si="1646"/>
        <v>LAMPARAS</v>
      </c>
      <c r="P2536" t="str">
        <f t="shared" si="1649"/>
        <v>0</v>
      </c>
      <c r="Q2536" t="str">
        <f t="shared" si="1649"/>
        <v>0</v>
      </c>
      <c r="R2536" t="str">
        <f t="shared" si="1650"/>
        <v>0,00</v>
      </c>
      <c r="S2536" t="str">
        <f t="shared" si="1650"/>
        <v>0,00</v>
      </c>
      <c r="T2536" t="str">
        <f t="shared" si="1620"/>
        <v xml:space="preserve"> </v>
      </c>
      <c r="U2536" t="str">
        <f t="shared" si="1621"/>
        <v xml:space="preserve"> </v>
      </c>
      <c r="V2536" t="str">
        <f>"66,000"</f>
        <v>66,000</v>
      </c>
      <c r="W2536" t="str">
        <f t="shared" si="1626"/>
        <v>Lista 4</v>
      </c>
      <c r="X2536" t="str">
        <f t="shared" si="1627"/>
        <v>Lista 5</v>
      </c>
      <c r="Y2536" t="str">
        <f t="shared" si="1628"/>
        <v>Oferta Gral.</v>
      </c>
      <c r="Z2536" t="str">
        <f t="shared" si="1629"/>
        <v>Rubro</v>
      </c>
      <c r="AA2536" t="str">
        <f t="shared" si="1630"/>
        <v>Cantidad por Bulto</v>
      </c>
      <c r="AB2536" t="str">
        <f t="shared" si="1631"/>
        <v>INNER</v>
      </c>
      <c r="AC2536" t="str">
        <f t="shared" si="1632"/>
        <v>Stock en Bultos</v>
      </c>
      <c r="AD2536" t="str">
        <f t="shared" si="1633"/>
        <v>SubDepósito</v>
      </c>
      <c r="AE2536" t="str">
        <f t="shared" si="1634"/>
        <v>Marca</v>
      </c>
      <c r="AF2536" t="str">
        <f t="shared" si="1635"/>
        <v>Super Rubro</v>
      </c>
      <c r="AG2536" t="str">
        <f t="shared" si="1636"/>
        <v>ComercioExterior</v>
      </c>
      <c r="AH2536" t="str">
        <f t="shared" si="1637"/>
        <v>PrecioFOB</v>
      </c>
      <c r="AI2536" t="str">
        <f t="shared" si="1638"/>
        <v>Monto II</v>
      </c>
      <c r="AJ2536" t="str">
        <f t="shared" si="1639"/>
        <v>Porcentaje II</v>
      </c>
      <c r="AK2536" t="str">
        <f t="shared" si="1640"/>
        <v>Foto</v>
      </c>
      <c r="AL2536" t="str">
        <f>"{\rtf1\ansi\ansicpg1252\deff0\deflang11274{\fonttbl{\f0\fnil\fcharset0 MS Sans Serif}} \viewkind4\uc1\pard\f0\fs16 LAMPARA KOBO S/CULOTE  12V 12W \par } "</f>
        <v xml:space="preserve">{\rtf1\ansi\ansicpg1252\deff0\deflang11274{\fonttbl{\f0\fnil\fcharset0 MS Sans Serif}} \viewkind4\uc1\pard\f0\fs16 LAMPARA KOBO S/CULOTE  12V 12W \par } </v>
      </c>
      <c r="AM2536" t="str">
        <f>" "</f>
        <v xml:space="preserve"> </v>
      </c>
    </row>
    <row r="2537" spans="1:39" x14ac:dyDescent="0.25">
      <c r="A2537" t="str">
        <f>"12066KO"</f>
        <v>12066KO</v>
      </c>
      <c r="B2537" t="str">
        <f>"LAMPARA KOBO S/CULOTE 12V 21/5 W"</f>
        <v>LAMPARA KOBO S/CULOTE 12V 21/5 W</v>
      </c>
      <c r="C2537" t="str">
        <f>"$ 2829,53"</f>
        <v>$ 2829,53</v>
      </c>
      <c r="D2537" t="str">
        <f>"$ 2829,53"</f>
        <v>$ 2829,53</v>
      </c>
      <c r="E2537" t="str">
        <f>"$ 2829,53"</f>
        <v>$ 2829,53</v>
      </c>
      <c r="F2537" t="str">
        <f>"$ 2829,53"</f>
        <v>$ 2829,53</v>
      </c>
      <c r="G2537" t="str">
        <f>"$ 2829,53"</f>
        <v>$ 2829,53</v>
      </c>
      <c r="H2537" t="str">
        <f t="shared" si="1622"/>
        <v>$ 0,00</v>
      </c>
      <c r="I2537" t="str">
        <f t="shared" si="1651"/>
        <v>LAMPARAS SEÑALIZACION</v>
      </c>
      <c r="J2537" t="str">
        <f t="shared" si="1623"/>
        <v>1</v>
      </c>
      <c r="K2537" t="str">
        <f t="shared" si="1647"/>
        <v>0</v>
      </c>
      <c r="L2537" t="str">
        <f>"58,000"</f>
        <v>58,000</v>
      </c>
      <c r="M2537" t="str">
        <f t="shared" si="1624"/>
        <v xml:space="preserve"> </v>
      </c>
      <c r="N2537" t="str">
        <f t="shared" si="1625"/>
        <v>KOBO</v>
      </c>
      <c r="O2537" t="str">
        <f t="shared" si="1646"/>
        <v>LAMPARAS</v>
      </c>
      <c r="P2537" t="str">
        <f t="shared" si="1649"/>
        <v>0</v>
      </c>
      <c r="Q2537" t="str">
        <f t="shared" si="1649"/>
        <v>0</v>
      </c>
      <c r="R2537" t="str">
        <f t="shared" si="1650"/>
        <v>0,00</v>
      </c>
      <c r="S2537" t="str">
        <f t="shared" si="1650"/>
        <v>0,00</v>
      </c>
      <c r="T2537" t="str">
        <f t="shared" si="1620"/>
        <v xml:space="preserve"> </v>
      </c>
      <c r="U2537" t="str">
        <f t="shared" si="1621"/>
        <v xml:space="preserve"> </v>
      </c>
      <c r="V2537" t="str">
        <f>"58,000"</f>
        <v>58,000</v>
      </c>
      <c r="W2537" t="str">
        <f t="shared" si="1626"/>
        <v>Lista 4</v>
      </c>
      <c r="X2537" t="str">
        <f t="shared" si="1627"/>
        <v>Lista 5</v>
      </c>
      <c r="Y2537" t="str">
        <f t="shared" si="1628"/>
        <v>Oferta Gral.</v>
      </c>
      <c r="Z2537" t="str">
        <f t="shared" si="1629"/>
        <v>Rubro</v>
      </c>
      <c r="AA2537" t="str">
        <f t="shared" si="1630"/>
        <v>Cantidad por Bulto</v>
      </c>
      <c r="AB2537" t="str">
        <f t="shared" si="1631"/>
        <v>INNER</v>
      </c>
      <c r="AC2537" t="str">
        <f t="shared" si="1632"/>
        <v>Stock en Bultos</v>
      </c>
      <c r="AD2537" t="str">
        <f t="shared" si="1633"/>
        <v>SubDepósito</v>
      </c>
      <c r="AE2537" t="str">
        <f t="shared" si="1634"/>
        <v>Marca</v>
      </c>
      <c r="AF2537" t="str">
        <f t="shared" si="1635"/>
        <v>Super Rubro</v>
      </c>
      <c r="AG2537" t="str">
        <f t="shared" si="1636"/>
        <v>ComercioExterior</v>
      </c>
      <c r="AH2537" t="str">
        <f t="shared" si="1637"/>
        <v>PrecioFOB</v>
      </c>
      <c r="AI2537" t="str">
        <f t="shared" si="1638"/>
        <v>Monto II</v>
      </c>
      <c r="AJ2537" t="str">
        <f t="shared" si="1639"/>
        <v>Porcentaje II</v>
      </c>
      <c r="AK2537" t="str">
        <f t="shared" si="1640"/>
        <v>Foto</v>
      </c>
      <c r="AL2537" t="str">
        <f>"{\rtf1\ansi\ansicpg1252\deff0\deflang11274{\fonttbl{\f0\fnil\fcharset0 MS Sans Serif}} \viewkind4\uc1\pard\f0\fs16 LAMPARA KOBO S/CULOTE 12V 21/5 W\par } "</f>
        <v xml:space="preserve">{\rtf1\ansi\ansicpg1252\deff0\deflang11274{\fonttbl{\f0\fnil\fcharset0 MS Sans Serif}} \viewkind4\uc1\pard\f0\fs16 LAMPARA KOBO S/CULOTE 12V 21/5 W\par } </v>
      </c>
      <c r="AM2537" t="str">
        <f>" "</f>
        <v xml:space="preserve"> </v>
      </c>
    </row>
    <row r="2538" spans="1:39" x14ac:dyDescent="0.25">
      <c r="A2538" t="str">
        <f>"12065KO"</f>
        <v>12065KO</v>
      </c>
      <c r="B2538" t="str">
        <f>"LAMPARA KOBO S/CULOTE 12V 21W "</f>
        <v xml:space="preserve">LAMPARA KOBO S/CULOTE 12V 21W </v>
      </c>
      <c r="C2538" t="str">
        <f>"$ 2660,61"</f>
        <v>$ 2660,61</v>
      </c>
      <c r="D2538" t="str">
        <f>"$ 2660,61"</f>
        <v>$ 2660,61</v>
      </c>
      <c r="E2538" t="str">
        <f>"$ 2660,61"</f>
        <v>$ 2660,61</v>
      </c>
      <c r="F2538" t="str">
        <f>"$ 2660,61"</f>
        <v>$ 2660,61</v>
      </c>
      <c r="G2538" t="str">
        <f>"$ 2660,61"</f>
        <v>$ 2660,61</v>
      </c>
      <c r="H2538" t="str">
        <f t="shared" si="1622"/>
        <v>$ 0,00</v>
      </c>
      <c r="I2538" t="str">
        <f t="shared" si="1651"/>
        <v>LAMPARAS SEÑALIZACION</v>
      </c>
      <c r="J2538" t="str">
        <f t="shared" si="1623"/>
        <v>1</v>
      </c>
      <c r="K2538" t="str">
        <f t="shared" si="1647"/>
        <v>0</v>
      </c>
      <c r="L2538" t="str">
        <f>"160,000"</f>
        <v>160,000</v>
      </c>
      <c r="M2538" t="str">
        <f t="shared" si="1624"/>
        <v xml:space="preserve"> </v>
      </c>
      <c r="N2538" t="str">
        <f t="shared" si="1625"/>
        <v>KOBO</v>
      </c>
      <c r="O2538" t="str">
        <f t="shared" si="1646"/>
        <v>LAMPARAS</v>
      </c>
      <c r="P2538" t="str">
        <f t="shared" si="1649"/>
        <v>0</v>
      </c>
      <c r="Q2538" t="str">
        <f t="shared" si="1649"/>
        <v>0</v>
      </c>
      <c r="R2538" t="str">
        <f t="shared" si="1650"/>
        <v>0,00</v>
      </c>
      <c r="S2538" t="str">
        <f t="shared" si="1650"/>
        <v>0,00</v>
      </c>
      <c r="T2538" t="str">
        <f t="shared" si="1620"/>
        <v xml:space="preserve"> </v>
      </c>
      <c r="U2538" t="str">
        <f t="shared" si="1621"/>
        <v xml:space="preserve"> </v>
      </c>
      <c r="V2538" t="str">
        <f>"160,000"</f>
        <v>160,000</v>
      </c>
      <c r="W2538" t="str">
        <f t="shared" si="1626"/>
        <v>Lista 4</v>
      </c>
      <c r="X2538" t="str">
        <f t="shared" si="1627"/>
        <v>Lista 5</v>
      </c>
      <c r="Y2538" t="str">
        <f t="shared" si="1628"/>
        <v>Oferta Gral.</v>
      </c>
      <c r="Z2538" t="str">
        <f t="shared" si="1629"/>
        <v>Rubro</v>
      </c>
      <c r="AA2538" t="str">
        <f t="shared" si="1630"/>
        <v>Cantidad por Bulto</v>
      </c>
      <c r="AB2538" t="str">
        <f t="shared" si="1631"/>
        <v>INNER</v>
      </c>
      <c r="AC2538" t="str">
        <f t="shared" si="1632"/>
        <v>Stock en Bultos</v>
      </c>
      <c r="AD2538" t="str">
        <f t="shared" si="1633"/>
        <v>SubDepósito</v>
      </c>
      <c r="AE2538" t="str">
        <f t="shared" si="1634"/>
        <v>Marca</v>
      </c>
      <c r="AF2538" t="str">
        <f t="shared" si="1635"/>
        <v>Super Rubro</v>
      </c>
      <c r="AG2538" t="str">
        <f t="shared" si="1636"/>
        <v>ComercioExterior</v>
      </c>
      <c r="AH2538" t="str">
        <f t="shared" si="1637"/>
        <v>PrecioFOB</v>
      </c>
      <c r="AI2538" t="str">
        <f t="shared" si="1638"/>
        <v>Monto II</v>
      </c>
      <c r="AJ2538" t="str">
        <f t="shared" si="1639"/>
        <v>Porcentaje II</v>
      </c>
      <c r="AK2538" t="str">
        <f t="shared" si="1640"/>
        <v>Foto</v>
      </c>
      <c r="AL2538" t="str">
        <f>"{\rtf1\ansi\ansicpg1252\deff0\deflang11274{\fonttbl{\f0\fnil\fcharset0 MS Sans Serif}} \viewkind4\uc1\pard\f0\fs16 LAMPARA KOBO S/CULOTE 12V 21W \par } "</f>
        <v xml:space="preserve">{\rtf1\ansi\ansicpg1252\deff0\deflang11274{\fonttbl{\f0\fnil\fcharset0 MS Sans Serif}} \viewkind4\uc1\pard\f0\fs16 LAMPARA KOBO S/CULOTE 12V 21W \par } </v>
      </c>
      <c r="AM2538" t="str">
        <f>" "</f>
        <v xml:space="preserve"> </v>
      </c>
    </row>
    <row r="2539" spans="1:39" x14ac:dyDescent="0.25">
      <c r="A2539" t="str">
        <f>"12067AMB"</f>
        <v>12067AMB</v>
      </c>
      <c r="B2539" t="str">
        <f>"LAMPARA KOBO SIN CULOTE 12V 12W AMBAR"</f>
        <v>LAMPARA KOBO SIN CULOTE 12V 12W AMBAR</v>
      </c>
      <c r="C2539" t="str">
        <f>"$ 2533,91"</f>
        <v>$ 2533,91</v>
      </c>
      <c r="D2539" t="str">
        <f>"$ 2533,91"</f>
        <v>$ 2533,91</v>
      </c>
      <c r="E2539" t="str">
        <f>"$ 2533,91"</f>
        <v>$ 2533,91</v>
      </c>
      <c r="F2539" t="str">
        <f>"$ 2533,91"</f>
        <v>$ 2533,91</v>
      </c>
      <c r="G2539" t="str">
        <f>"$ 2533,91"</f>
        <v>$ 2533,91</v>
      </c>
      <c r="H2539" t="str">
        <f t="shared" si="1622"/>
        <v>$ 0,00</v>
      </c>
      <c r="I2539" t="str">
        <f t="shared" si="1651"/>
        <v>LAMPARAS SEÑALIZACION</v>
      </c>
      <c r="J2539" t="str">
        <f t="shared" si="1623"/>
        <v>1</v>
      </c>
      <c r="K2539" t="str">
        <f t="shared" si="1647"/>
        <v>0</v>
      </c>
      <c r="L2539" t="str">
        <f>"20,000"</f>
        <v>20,000</v>
      </c>
      <c r="M2539" t="str">
        <f t="shared" si="1624"/>
        <v xml:space="preserve"> </v>
      </c>
      <c r="N2539" t="str">
        <f t="shared" si="1625"/>
        <v>KOBO</v>
      </c>
      <c r="O2539" t="str">
        <f t="shared" si="1646"/>
        <v>LAMPARAS</v>
      </c>
      <c r="P2539" t="str">
        <f t="shared" si="1649"/>
        <v>0</v>
      </c>
      <c r="Q2539" t="str">
        <f t="shared" si="1649"/>
        <v>0</v>
      </c>
      <c r="R2539" t="str">
        <f t="shared" si="1650"/>
        <v>0,00</v>
      </c>
      <c r="S2539" t="str">
        <f t="shared" si="1650"/>
        <v>0,00</v>
      </c>
      <c r="T2539" t="str">
        <f t="shared" si="1620"/>
        <v xml:space="preserve"> </v>
      </c>
      <c r="U2539" t="str">
        <f t="shared" si="1621"/>
        <v xml:space="preserve"> </v>
      </c>
      <c r="V2539" t="str">
        <f>"20,000"</f>
        <v>20,000</v>
      </c>
      <c r="W2539" t="str">
        <f t="shared" si="1626"/>
        <v>Lista 4</v>
      </c>
      <c r="X2539" t="str">
        <f t="shared" si="1627"/>
        <v>Lista 5</v>
      </c>
      <c r="Y2539" t="str">
        <f t="shared" si="1628"/>
        <v>Oferta Gral.</v>
      </c>
      <c r="Z2539" t="str">
        <f t="shared" si="1629"/>
        <v>Rubro</v>
      </c>
      <c r="AA2539" t="str">
        <f t="shared" si="1630"/>
        <v>Cantidad por Bulto</v>
      </c>
      <c r="AB2539" t="str">
        <f t="shared" si="1631"/>
        <v>INNER</v>
      </c>
      <c r="AC2539" t="str">
        <f t="shared" si="1632"/>
        <v>Stock en Bultos</v>
      </c>
      <c r="AD2539" t="str">
        <f t="shared" si="1633"/>
        <v>SubDepósito</v>
      </c>
      <c r="AE2539" t="str">
        <f t="shared" si="1634"/>
        <v>Marca</v>
      </c>
      <c r="AF2539" t="str">
        <f t="shared" si="1635"/>
        <v>Super Rubro</v>
      </c>
      <c r="AG2539" t="str">
        <f t="shared" si="1636"/>
        <v>ComercioExterior</v>
      </c>
      <c r="AH2539" t="str">
        <f t="shared" si="1637"/>
        <v>PrecioFOB</v>
      </c>
      <c r="AI2539" t="str">
        <f t="shared" si="1638"/>
        <v>Monto II</v>
      </c>
      <c r="AJ2539" t="str">
        <f t="shared" si="1639"/>
        <v>Porcentaje II</v>
      </c>
      <c r="AK2539" t="str">
        <f t="shared" si="1640"/>
        <v>Foto</v>
      </c>
      <c r="AL2539" t="str">
        <f>"{\rtf1\ansi\ansicpg1252\deff0\deflang11274{\fonttbl{\f0\fnil\fcharset0 MS Sans Serif}} \viewkind4\uc1\pard\f0\fs16 LAMPARA KOBO SIN CULOTE 12V 12W AMBAR\par } "</f>
        <v xml:space="preserve">{\rtf1\ansi\ansicpg1252\deff0\deflang11274{\fonttbl{\f0\fnil\fcharset0 MS Sans Serif}} \viewkind4\uc1\pard\f0\fs16 LAMPARA KOBO SIN CULOTE 12V 12W AMBAR\par } </v>
      </c>
      <c r="AM2539" t="str">
        <f>"-"</f>
        <v>-</v>
      </c>
    </row>
    <row r="2540" spans="1:39" x14ac:dyDescent="0.25">
      <c r="A2540" t="str">
        <f>"12961KO"</f>
        <v>12961KO</v>
      </c>
      <c r="B2540" t="str">
        <f>"LAMPARA KOBO W5W 12V."</f>
        <v>LAMPARA KOBO W5W 12V.</v>
      </c>
      <c r="C2540" t="str">
        <f>"$ 306,19"</f>
        <v>$ 306,19</v>
      </c>
      <c r="D2540" t="str">
        <f>"$ 306,19"</f>
        <v>$ 306,19</v>
      </c>
      <c r="E2540" t="str">
        <f>"$ 306,19"</f>
        <v>$ 306,19</v>
      </c>
      <c r="F2540" t="str">
        <f>"$ 306,19"</f>
        <v>$ 306,19</v>
      </c>
      <c r="G2540" t="str">
        <f>"$ 306,19"</f>
        <v>$ 306,19</v>
      </c>
      <c r="H2540" t="str">
        <f t="shared" si="1622"/>
        <v>$ 0,00</v>
      </c>
      <c r="I2540" t="str">
        <f t="shared" si="1651"/>
        <v>LAMPARAS SEÑALIZACION</v>
      </c>
      <c r="J2540" t="str">
        <f t="shared" si="1623"/>
        <v>1</v>
      </c>
      <c r="K2540" t="str">
        <f t="shared" si="1647"/>
        <v>0</v>
      </c>
      <c r="L2540" t="str">
        <f>"2403,000"</f>
        <v>2403,000</v>
      </c>
      <c r="M2540" t="str">
        <f t="shared" si="1624"/>
        <v xml:space="preserve"> </v>
      </c>
      <c r="N2540" t="str">
        <f t="shared" si="1625"/>
        <v>KOBO</v>
      </c>
      <c r="O2540" t="str">
        <f t="shared" si="1646"/>
        <v>LAMPARAS</v>
      </c>
      <c r="P2540" t="str">
        <f t="shared" si="1649"/>
        <v>0</v>
      </c>
      <c r="Q2540" t="str">
        <f t="shared" si="1649"/>
        <v>0</v>
      </c>
      <c r="R2540" t="str">
        <f t="shared" si="1650"/>
        <v>0,00</v>
      </c>
      <c r="S2540" t="str">
        <f t="shared" si="1650"/>
        <v>0,00</v>
      </c>
      <c r="T2540" t="str">
        <f t="shared" si="1620"/>
        <v xml:space="preserve"> </v>
      </c>
      <c r="U2540" t="str">
        <f t="shared" si="1621"/>
        <v xml:space="preserve"> </v>
      </c>
      <c r="V2540" t="str">
        <f>"2403,000"</f>
        <v>2403,000</v>
      </c>
      <c r="W2540" t="str">
        <f t="shared" si="1626"/>
        <v>Lista 4</v>
      </c>
      <c r="X2540" t="str">
        <f t="shared" si="1627"/>
        <v>Lista 5</v>
      </c>
      <c r="Y2540" t="str">
        <f t="shared" si="1628"/>
        <v>Oferta Gral.</v>
      </c>
      <c r="Z2540" t="str">
        <f t="shared" si="1629"/>
        <v>Rubro</v>
      </c>
      <c r="AA2540" t="str">
        <f t="shared" si="1630"/>
        <v>Cantidad por Bulto</v>
      </c>
      <c r="AB2540" t="str">
        <f t="shared" si="1631"/>
        <v>INNER</v>
      </c>
      <c r="AC2540" t="str">
        <f t="shared" si="1632"/>
        <v>Stock en Bultos</v>
      </c>
      <c r="AD2540" t="str">
        <f t="shared" si="1633"/>
        <v>SubDepósito</v>
      </c>
      <c r="AE2540" t="str">
        <f t="shared" si="1634"/>
        <v>Marca</v>
      </c>
      <c r="AF2540" t="str">
        <f t="shared" si="1635"/>
        <v>Super Rubro</v>
      </c>
      <c r="AG2540" t="str">
        <f t="shared" si="1636"/>
        <v>ComercioExterior</v>
      </c>
      <c r="AH2540" t="str">
        <f t="shared" si="1637"/>
        <v>PrecioFOB</v>
      </c>
      <c r="AI2540" t="str">
        <f t="shared" si="1638"/>
        <v>Monto II</v>
      </c>
      <c r="AJ2540" t="str">
        <f t="shared" si="1639"/>
        <v>Porcentaje II</v>
      </c>
      <c r="AK2540" t="str">
        <f t="shared" si="1640"/>
        <v>Foto</v>
      </c>
      <c r="AL2540" t="str">
        <f>"{\rtf1\ansi\ansicpg1252\deff0\deflang11274{\fonttbl{\f0\fnil\fcharset0 MS Sans Serif}} \viewkind4\uc1\pard\f0\fs16 LAMPARA KOBO W5W 12V.\par } "</f>
        <v xml:space="preserve">{\rtf1\ansi\ansicpg1252\deff0\deflang11274{\fonttbl{\f0\fnil\fcharset0 MS Sans Serif}} \viewkind4\uc1\pard\f0\fs16 LAMPARA KOBO W5W 12V.\par } </v>
      </c>
      <c r="AM2540" t="str">
        <f>" "</f>
        <v xml:space="preserve"> </v>
      </c>
    </row>
    <row r="2541" spans="1:39" x14ac:dyDescent="0.25">
      <c r="A2541" t="str">
        <f>"12066SMD13"</f>
        <v>12066SMD13</v>
      </c>
      <c r="B2541" t="str">
        <f>"LAMPARA LED 1034 2 POLOS 12V"</f>
        <v>LAMPARA LED 1034 2 POLOS 12V</v>
      </c>
      <c r="C2541" t="str">
        <f>"$ 3684,74"</f>
        <v>$ 3684,74</v>
      </c>
      <c r="D2541" t="str">
        <f>"$ 3684,74"</f>
        <v>$ 3684,74</v>
      </c>
      <c r="E2541" t="str">
        <f>"$ 3684,74"</f>
        <v>$ 3684,74</v>
      </c>
      <c r="F2541" t="str">
        <f>"$ 3684,74"</f>
        <v>$ 3684,74</v>
      </c>
      <c r="G2541" t="str">
        <f>"$ 3684,74"</f>
        <v>$ 3684,74</v>
      </c>
      <c r="H2541" t="str">
        <f t="shared" si="1622"/>
        <v>$ 0,00</v>
      </c>
      <c r="I2541" t="str">
        <f t="shared" ref="I2541:I2548" si="1652">"LED"</f>
        <v>LED</v>
      </c>
      <c r="J2541" t="str">
        <f t="shared" si="1623"/>
        <v>1</v>
      </c>
      <c r="K2541" t="str">
        <f t="shared" si="1647"/>
        <v>0</v>
      </c>
      <c r="L2541" t="str">
        <f>"21,000"</f>
        <v>21,000</v>
      </c>
      <c r="M2541" t="str">
        <f t="shared" si="1624"/>
        <v xml:space="preserve"> </v>
      </c>
      <c r="N2541" t="str">
        <f t="shared" ref="N2541:N2548" si="1653">"LUX LED"</f>
        <v>LUX LED</v>
      </c>
      <c r="O2541" t="str">
        <f t="shared" si="1646"/>
        <v>LAMPARAS</v>
      </c>
      <c r="P2541" t="str">
        <f t="shared" si="1649"/>
        <v>0</v>
      </c>
      <c r="Q2541" t="str">
        <f t="shared" si="1649"/>
        <v>0</v>
      </c>
      <c r="R2541" t="str">
        <f t="shared" si="1650"/>
        <v>0,00</v>
      </c>
      <c r="S2541" t="str">
        <f t="shared" si="1650"/>
        <v>0,00</v>
      </c>
      <c r="T2541" t="str">
        <f t="shared" si="1620"/>
        <v xml:space="preserve"> </v>
      </c>
      <c r="U2541" t="str">
        <f t="shared" si="1621"/>
        <v xml:space="preserve"> </v>
      </c>
      <c r="V2541" t="str">
        <f>"21,000"</f>
        <v>21,000</v>
      </c>
      <c r="W2541" t="str">
        <f t="shared" si="1626"/>
        <v>Lista 4</v>
      </c>
      <c r="X2541" t="str">
        <f t="shared" si="1627"/>
        <v>Lista 5</v>
      </c>
      <c r="Y2541" t="str">
        <f t="shared" si="1628"/>
        <v>Oferta Gral.</v>
      </c>
      <c r="Z2541" t="str">
        <f t="shared" si="1629"/>
        <v>Rubro</v>
      </c>
      <c r="AA2541" t="str">
        <f t="shared" si="1630"/>
        <v>Cantidad por Bulto</v>
      </c>
      <c r="AB2541" t="str">
        <f t="shared" si="1631"/>
        <v>INNER</v>
      </c>
      <c r="AC2541" t="str">
        <f t="shared" si="1632"/>
        <v>Stock en Bultos</v>
      </c>
      <c r="AD2541" t="str">
        <f t="shared" si="1633"/>
        <v>SubDepósito</v>
      </c>
      <c r="AE2541" t="str">
        <f t="shared" si="1634"/>
        <v>Marca</v>
      </c>
      <c r="AF2541" t="str">
        <f t="shared" si="1635"/>
        <v>Super Rubro</v>
      </c>
      <c r="AG2541" t="str">
        <f t="shared" si="1636"/>
        <v>ComercioExterior</v>
      </c>
      <c r="AH2541" t="str">
        <f t="shared" si="1637"/>
        <v>PrecioFOB</v>
      </c>
      <c r="AI2541" t="str">
        <f t="shared" si="1638"/>
        <v>Monto II</v>
      </c>
      <c r="AJ2541" t="str">
        <f t="shared" si="1639"/>
        <v>Porcentaje II</v>
      </c>
      <c r="AK2541" t="str">
        <f t="shared" si="1640"/>
        <v>Foto</v>
      </c>
      <c r="AL2541" t="str">
        <f>"{\rtf1\ansi\ansicpg1252\deff0\deflang11274{\fonttbl{\f0\fnil\fcharset0 MS Sans Serif}} \viewkind4\uc1\pard\f0\fs16 LAMPARA LED 1034 2 POLOS 12V\par } "</f>
        <v xml:space="preserve">{\rtf1\ansi\ansicpg1252\deff0\deflang11274{\fonttbl{\f0\fnil\fcharset0 MS Sans Serif}} \viewkind4\uc1\pard\f0\fs16 LAMPARA LED 1034 2 POLOS 12V\par } </v>
      </c>
      <c r="AM2541" t="str">
        <f>"-"</f>
        <v>-</v>
      </c>
    </row>
    <row r="2542" spans="1:39" x14ac:dyDescent="0.25">
      <c r="A2542" t="str">
        <f>"12929LED"</f>
        <v>12929LED</v>
      </c>
      <c r="B2542" t="str">
        <f>"LAMPARA LED 12929 CON CULOTE"</f>
        <v>LAMPARA LED 12929 CON CULOTE</v>
      </c>
      <c r="C2542" t="str">
        <f>"$ 1467,57"</f>
        <v>$ 1467,57</v>
      </c>
      <c r="D2542" t="str">
        <f>"$ 1467,57"</f>
        <v>$ 1467,57</v>
      </c>
      <c r="E2542" t="str">
        <f>"$ 1467,57"</f>
        <v>$ 1467,57</v>
      </c>
      <c r="F2542" t="str">
        <f>"$ 1467,57"</f>
        <v>$ 1467,57</v>
      </c>
      <c r="G2542" t="str">
        <f>"$ 1467,57"</f>
        <v>$ 1467,57</v>
      </c>
      <c r="H2542" t="str">
        <f t="shared" si="1622"/>
        <v>$ 0,00</v>
      </c>
      <c r="I2542" t="str">
        <f t="shared" si="1652"/>
        <v>LED</v>
      </c>
      <c r="J2542" t="str">
        <f t="shared" si="1623"/>
        <v>1</v>
      </c>
      <c r="K2542" t="str">
        <f t="shared" si="1647"/>
        <v>0</v>
      </c>
      <c r="L2542" t="str">
        <f>"1,000"</f>
        <v>1,000</v>
      </c>
      <c r="M2542" t="str">
        <f t="shared" si="1624"/>
        <v xml:space="preserve"> </v>
      </c>
      <c r="N2542" t="str">
        <f t="shared" si="1653"/>
        <v>LUX LED</v>
      </c>
      <c r="O2542" t="str">
        <f t="shared" si="1646"/>
        <v>LAMPARAS</v>
      </c>
      <c r="P2542" t="str">
        <f t="shared" si="1649"/>
        <v>0</v>
      </c>
      <c r="Q2542" t="str">
        <f t="shared" si="1649"/>
        <v>0</v>
      </c>
      <c r="R2542" t="str">
        <f t="shared" si="1650"/>
        <v>0,00</v>
      </c>
      <c r="S2542" t="str">
        <f t="shared" si="1650"/>
        <v>0,00</v>
      </c>
      <c r="T2542" t="str">
        <f t="shared" si="1620"/>
        <v xml:space="preserve"> </v>
      </c>
      <c r="U2542" t="str">
        <f t="shared" si="1621"/>
        <v xml:space="preserve"> </v>
      </c>
      <c r="V2542" t="str">
        <f>"1,000"</f>
        <v>1,000</v>
      </c>
      <c r="W2542" t="str">
        <f t="shared" si="1626"/>
        <v>Lista 4</v>
      </c>
      <c r="X2542" t="str">
        <f t="shared" si="1627"/>
        <v>Lista 5</v>
      </c>
      <c r="Y2542" t="str">
        <f t="shared" si="1628"/>
        <v>Oferta Gral.</v>
      </c>
      <c r="Z2542" t="str">
        <f t="shared" si="1629"/>
        <v>Rubro</v>
      </c>
      <c r="AA2542" t="str">
        <f t="shared" si="1630"/>
        <v>Cantidad por Bulto</v>
      </c>
      <c r="AB2542" t="str">
        <f t="shared" si="1631"/>
        <v>INNER</v>
      </c>
      <c r="AC2542" t="str">
        <f t="shared" si="1632"/>
        <v>Stock en Bultos</v>
      </c>
      <c r="AD2542" t="str">
        <f t="shared" si="1633"/>
        <v>SubDepósito</v>
      </c>
      <c r="AE2542" t="str">
        <f t="shared" si="1634"/>
        <v>Marca</v>
      </c>
      <c r="AF2542" t="str">
        <f t="shared" si="1635"/>
        <v>Super Rubro</v>
      </c>
      <c r="AG2542" t="str">
        <f t="shared" si="1636"/>
        <v>ComercioExterior</v>
      </c>
      <c r="AH2542" t="str">
        <f t="shared" si="1637"/>
        <v>PrecioFOB</v>
      </c>
      <c r="AI2542" t="str">
        <f t="shared" si="1638"/>
        <v>Monto II</v>
      </c>
      <c r="AJ2542" t="str">
        <f t="shared" si="1639"/>
        <v>Porcentaje II</v>
      </c>
      <c r="AK2542" t="str">
        <f t="shared" si="1640"/>
        <v>Foto</v>
      </c>
      <c r="AL2542" t="str">
        <f>"{\rtf1\ansi\ansicpg1252\deff0\deflang11274{\fonttbl{\f0\fnil\fcharset0 MS Sans Serif}} \viewkind4\uc1\pard\f0\fs16 LAMPARA LED 12929 CON CULOTE\par } "</f>
        <v xml:space="preserve">{\rtf1\ansi\ansicpg1252\deff0\deflang11274{\fonttbl{\f0\fnil\fcharset0 MS Sans Serif}} \viewkind4\uc1\pard\f0\fs16 LAMPARA LED 12929 CON CULOTE\par } </v>
      </c>
      <c r="AM2542" t="str">
        <f>" "</f>
        <v xml:space="preserve"> </v>
      </c>
    </row>
    <row r="2543" spans="1:39" x14ac:dyDescent="0.25">
      <c r="A2543" t="str">
        <f>"12929MULTI5"</f>
        <v>12929MULTI5</v>
      </c>
      <c r="B2543" t="str">
        <f>"LAMPARA LED 5 PUNTAS CON CULOTE 12929"</f>
        <v>LAMPARA LED 5 PUNTAS CON CULOTE 12929</v>
      </c>
      <c r="C2543" t="str">
        <f>"$ 1794,85"</f>
        <v>$ 1794,85</v>
      </c>
      <c r="D2543" t="str">
        <f>"$ 1794,85"</f>
        <v>$ 1794,85</v>
      </c>
      <c r="E2543" t="str">
        <f>"$ 1794,85"</f>
        <v>$ 1794,85</v>
      </c>
      <c r="F2543" t="str">
        <f>"$ 1794,85"</f>
        <v>$ 1794,85</v>
      </c>
      <c r="G2543" t="str">
        <f>"$ 1794,85"</f>
        <v>$ 1794,85</v>
      </c>
      <c r="H2543" t="str">
        <f t="shared" si="1622"/>
        <v>$ 0,00</v>
      </c>
      <c r="I2543" t="str">
        <f t="shared" si="1652"/>
        <v>LED</v>
      </c>
      <c r="J2543" t="str">
        <f t="shared" si="1623"/>
        <v>1</v>
      </c>
      <c r="K2543" t="str">
        <f t="shared" si="1647"/>
        <v>0</v>
      </c>
      <c r="L2543" t="str">
        <f>"22,000"</f>
        <v>22,000</v>
      </c>
      <c r="M2543" t="str">
        <f t="shared" si="1624"/>
        <v xml:space="preserve"> </v>
      </c>
      <c r="N2543" t="str">
        <f t="shared" si="1653"/>
        <v>LUX LED</v>
      </c>
      <c r="O2543" t="str">
        <f t="shared" si="1646"/>
        <v>LAMPARAS</v>
      </c>
      <c r="P2543" t="str">
        <f t="shared" ref="P2543:Q2562" si="1654">"0"</f>
        <v>0</v>
      </c>
      <c r="Q2543" t="str">
        <f t="shared" si="1654"/>
        <v>0</v>
      </c>
      <c r="R2543" t="str">
        <f t="shared" ref="R2543:S2562" si="1655">"0,00"</f>
        <v>0,00</v>
      </c>
      <c r="S2543" t="str">
        <f t="shared" si="1655"/>
        <v>0,00</v>
      </c>
      <c r="T2543" t="str">
        <f t="shared" si="1620"/>
        <v xml:space="preserve"> </v>
      </c>
      <c r="U2543" t="str">
        <f t="shared" si="1621"/>
        <v xml:space="preserve"> </v>
      </c>
      <c r="V2543" t="str">
        <f>"22,000"</f>
        <v>22,000</v>
      </c>
      <c r="W2543" t="str">
        <f t="shared" si="1626"/>
        <v>Lista 4</v>
      </c>
      <c r="X2543" t="str">
        <f t="shared" si="1627"/>
        <v>Lista 5</v>
      </c>
      <c r="Y2543" t="str">
        <f t="shared" si="1628"/>
        <v>Oferta Gral.</v>
      </c>
      <c r="Z2543" t="str">
        <f t="shared" si="1629"/>
        <v>Rubro</v>
      </c>
      <c r="AA2543" t="str">
        <f t="shared" si="1630"/>
        <v>Cantidad por Bulto</v>
      </c>
      <c r="AB2543" t="str">
        <f t="shared" si="1631"/>
        <v>INNER</v>
      </c>
      <c r="AC2543" t="str">
        <f t="shared" si="1632"/>
        <v>Stock en Bultos</v>
      </c>
      <c r="AD2543" t="str">
        <f t="shared" si="1633"/>
        <v>SubDepósito</v>
      </c>
      <c r="AE2543" t="str">
        <f t="shared" si="1634"/>
        <v>Marca</v>
      </c>
      <c r="AF2543" t="str">
        <f t="shared" si="1635"/>
        <v>Super Rubro</v>
      </c>
      <c r="AG2543" t="str">
        <f t="shared" si="1636"/>
        <v>ComercioExterior</v>
      </c>
      <c r="AH2543" t="str">
        <f t="shared" si="1637"/>
        <v>PrecioFOB</v>
      </c>
      <c r="AI2543" t="str">
        <f t="shared" si="1638"/>
        <v>Monto II</v>
      </c>
      <c r="AJ2543" t="str">
        <f t="shared" si="1639"/>
        <v>Porcentaje II</v>
      </c>
      <c r="AK2543" t="str">
        <f t="shared" si="1640"/>
        <v>Foto</v>
      </c>
      <c r="AL2543" t="str">
        <f>"{\rtf1\ansi\ansicpg1252\deff0\deflang11274{\fonttbl{\f0\fnil\fcharset0 MS Sans Serif}} \viewkind4\uc1\pard\f0\fs16 LAMPARA LED 5 PUNTAS CON CULOTE 12929\par } "</f>
        <v xml:space="preserve">{\rtf1\ansi\ansicpg1252\deff0\deflang11274{\fonttbl{\f0\fnil\fcharset0 MS Sans Serif}} \viewkind4\uc1\pard\f0\fs16 LAMPARA LED 5 PUNTAS CON CULOTE 12929\par } </v>
      </c>
      <c r="AM2543" t="str">
        <f>" "</f>
        <v xml:space="preserve"> </v>
      </c>
    </row>
    <row r="2544" spans="1:39" x14ac:dyDescent="0.25">
      <c r="A2544" t="str">
        <f>"12498SILBLA"</f>
        <v>12498SILBLA</v>
      </c>
      <c r="B2544" t="str">
        <f>"LAMPARA LED SILICONA 12V 1 POLO BLANCA"</f>
        <v>LAMPARA LED SILICONA 12V 1 POLO BLANCA</v>
      </c>
      <c r="C2544" t="str">
        <f t="shared" ref="C2544:G2545" si="1656">"$ 3558,04"</f>
        <v>$ 3558,04</v>
      </c>
      <c r="D2544" t="str">
        <f t="shared" si="1656"/>
        <v>$ 3558,04</v>
      </c>
      <c r="E2544" t="str">
        <f t="shared" si="1656"/>
        <v>$ 3558,04</v>
      </c>
      <c r="F2544" t="str">
        <f t="shared" si="1656"/>
        <v>$ 3558,04</v>
      </c>
      <c r="G2544" t="str">
        <f t="shared" si="1656"/>
        <v>$ 3558,04</v>
      </c>
      <c r="H2544" t="str">
        <f t="shared" si="1622"/>
        <v>$ 0,00</v>
      </c>
      <c r="I2544" t="str">
        <f t="shared" si="1652"/>
        <v>LED</v>
      </c>
      <c r="J2544" t="str">
        <f t="shared" si="1623"/>
        <v>1</v>
      </c>
      <c r="K2544" t="str">
        <f t="shared" si="1647"/>
        <v>0</v>
      </c>
      <c r="L2544" t="str">
        <f>"0,000"</f>
        <v>0,000</v>
      </c>
      <c r="M2544" t="str">
        <f t="shared" si="1624"/>
        <v xml:space="preserve"> </v>
      </c>
      <c r="N2544" t="str">
        <f t="shared" si="1653"/>
        <v>LUX LED</v>
      </c>
      <c r="O2544" t="str">
        <f t="shared" ref="O2544:O2551" si="1657">"LAMPARAS"</f>
        <v>LAMPARAS</v>
      </c>
      <c r="P2544" t="str">
        <f t="shared" si="1654"/>
        <v>0</v>
      </c>
      <c r="Q2544" t="str">
        <f t="shared" si="1654"/>
        <v>0</v>
      </c>
      <c r="R2544" t="str">
        <f t="shared" si="1655"/>
        <v>0,00</v>
      </c>
      <c r="S2544" t="str">
        <f t="shared" si="1655"/>
        <v>0,00</v>
      </c>
      <c r="T2544" t="str">
        <f t="shared" si="1620"/>
        <v xml:space="preserve"> </v>
      </c>
      <c r="U2544" t="str">
        <f t="shared" si="1621"/>
        <v xml:space="preserve"> </v>
      </c>
      <c r="V2544" t="str">
        <f>"0,000"</f>
        <v>0,000</v>
      </c>
      <c r="W2544" t="str">
        <f t="shared" si="1626"/>
        <v>Lista 4</v>
      </c>
      <c r="X2544" t="str">
        <f t="shared" si="1627"/>
        <v>Lista 5</v>
      </c>
      <c r="Y2544" t="str">
        <f t="shared" si="1628"/>
        <v>Oferta Gral.</v>
      </c>
      <c r="Z2544" t="str">
        <f t="shared" si="1629"/>
        <v>Rubro</v>
      </c>
      <c r="AA2544" t="str">
        <f t="shared" si="1630"/>
        <v>Cantidad por Bulto</v>
      </c>
      <c r="AB2544" t="str">
        <f t="shared" si="1631"/>
        <v>INNER</v>
      </c>
      <c r="AC2544" t="str">
        <f t="shared" si="1632"/>
        <v>Stock en Bultos</v>
      </c>
      <c r="AD2544" t="str">
        <f t="shared" si="1633"/>
        <v>SubDepósito</v>
      </c>
      <c r="AE2544" t="str">
        <f t="shared" si="1634"/>
        <v>Marca</v>
      </c>
      <c r="AF2544" t="str">
        <f t="shared" si="1635"/>
        <v>Super Rubro</v>
      </c>
      <c r="AG2544" t="str">
        <f t="shared" si="1636"/>
        <v>ComercioExterior</v>
      </c>
      <c r="AH2544" t="str">
        <f t="shared" si="1637"/>
        <v>PrecioFOB</v>
      </c>
      <c r="AI2544" t="str">
        <f t="shared" si="1638"/>
        <v>Monto II</v>
      </c>
      <c r="AJ2544" t="str">
        <f t="shared" si="1639"/>
        <v>Porcentaje II</v>
      </c>
      <c r="AK2544" t="str">
        <f t="shared" si="1640"/>
        <v>Foto</v>
      </c>
      <c r="AL2544" t="str">
        <f>"{\rtf1\ansi\ansicpg1252\deff0\deflang11274{\fonttbl{\f0\fnil\fcharset0 MS Sans Serif}} \viewkind4\uc1\pard\f0\fs16 LAMPARA LED SILICONA 12V 1 POLO BLANCA\par } "</f>
        <v xml:space="preserve">{\rtf1\ansi\ansicpg1252\deff0\deflang11274{\fonttbl{\f0\fnil\fcharset0 MS Sans Serif}} \viewkind4\uc1\pard\f0\fs16 LAMPARA LED SILICONA 12V 1 POLO BLANCA\par } </v>
      </c>
      <c r="AM2544" t="str">
        <f>"-"</f>
        <v>-</v>
      </c>
    </row>
    <row r="2545" spans="1:39" x14ac:dyDescent="0.25">
      <c r="A2545" t="str">
        <f>"12499SILBLA"</f>
        <v>12499SILBLA</v>
      </c>
      <c r="B2545" t="str">
        <f>"LAMPARA LED SILICONA 12V 2 POLOS BLANCA"</f>
        <v>LAMPARA LED SILICONA 12V 2 POLOS BLANCA</v>
      </c>
      <c r="C2545" t="str">
        <f t="shared" si="1656"/>
        <v>$ 3558,04</v>
      </c>
      <c r="D2545" t="str">
        <f t="shared" si="1656"/>
        <v>$ 3558,04</v>
      </c>
      <c r="E2545" t="str">
        <f t="shared" si="1656"/>
        <v>$ 3558,04</v>
      </c>
      <c r="F2545" t="str">
        <f t="shared" si="1656"/>
        <v>$ 3558,04</v>
      </c>
      <c r="G2545" t="str">
        <f t="shared" si="1656"/>
        <v>$ 3558,04</v>
      </c>
      <c r="H2545" t="str">
        <f t="shared" si="1622"/>
        <v>$ 0,00</v>
      </c>
      <c r="I2545" t="str">
        <f t="shared" si="1652"/>
        <v>LED</v>
      </c>
      <c r="J2545" t="str">
        <f t="shared" si="1623"/>
        <v>1</v>
      </c>
      <c r="K2545" t="str">
        <f t="shared" si="1647"/>
        <v>0</v>
      </c>
      <c r="L2545" t="str">
        <f>"-12,000"</f>
        <v>-12,000</v>
      </c>
      <c r="M2545" t="str">
        <f t="shared" si="1624"/>
        <v xml:space="preserve"> </v>
      </c>
      <c r="N2545" t="str">
        <f t="shared" si="1653"/>
        <v>LUX LED</v>
      </c>
      <c r="O2545" t="str">
        <f t="shared" si="1657"/>
        <v>LAMPARAS</v>
      </c>
      <c r="P2545" t="str">
        <f t="shared" si="1654"/>
        <v>0</v>
      </c>
      <c r="Q2545" t="str">
        <f t="shared" si="1654"/>
        <v>0</v>
      </c>
      <c r="R2545" t="str">
        <f t="shared" si="1655"/>
        <v>0,00</v>
      </c>
      <c r="S2545" t="str">
        <f t="shared" si="1655"/>
        <v>0,00</v>
      </c>
      <c r="T2545" t="str">
        <f t="shared" si="1620"/>
        <v xml:space="preserve"> </v>
      </c>
      <c r="U2545" t="str">
        <f t="shared" si="1621"/>
        <v xml:space="preserve"> </v>
      </c>
      <c r="V2545" t="str">
        <f>"-12,000"</f>
        <v>-12,000</v>
      </c>
      <c r="W2545" t="str">
        <f t="shared" si="1626"/>
        <v>Lista 4</v>
      </c>
      <c r="X2545" t="str">
        <f t="shared" si="1627"/>
        <v>Lista 5</v>
      </c>
      <c r="Y2545" t="str">
        <f t="shared" si="1628"/>
        <v>Oferta Gral.</v>
      </c>
      <c r="Z2545" t="str">
        <f t="shared" si="1629"/>
        <v>Rubro</v>
      </c>
      <c r="AA2545" t="str">
        <f t="shared" si="1630"/>
        <v>Cantidad por Bulto</v>
      </c>
      <c r="AB2545" t="str">
        <f t="shared" si="1631"/>
        <v>INNER</v>
      </c>
      <c r="AC2545" t="str">
        <f t="shared" si="1632"/>
        <v>Stock en Bultos</v>
      </c>
      <c r="AD2545" t="str">
        <f t="shared" si="1633"/>
        <v>SubDepósito</v>
      </c>
      <c r="AE2545" t="str">
        <f t="shared" si="1634"/>
        <v>Marca</v>
      </c>
      <c r="AF2545" t="str">
        <f t="shared" si="1635"/>
        <v>Super Rubro</v>
      </c>
      <c r="AG2545" t="str">
        <f t="shared" si="1636"/>
        <v>ComercioExterior</v>
      </c>
      <c r="AH2545" t="str">
        <f t="shared" si="1637"/>
        <v>PrecioFOB</v>
      </c>
      <c r="AI2545" t="str">
        <f t="shared" si="1638"/>
        <v>Monto II</v>
      </c>
      <c r="AJ2545" t="str">
        <f t="shared" si="1639"/>
        <v>Porcentaje II</v>
      </c>
      <c r="AK2545" t="str">
        <f t="shared" si="1640"/>
        <v>Foto</v>
      </c>
      <c r="AL2545" t="str">
        <f>"{\rtf1\ansi\ansicpg1252\deff0\deflang11274{\fonttbl{\f0\fnil\fcharset0 MS Sans Serif}} \viewkind4\uc1\pard\f0\fs16 LAMPARA LED SILICONA 12V 2 POLOS BLANCA\par } "</f>
        <v xml:space="preserve">{\rtf1\ansi\ansicpg1252\deff0\deflang11274{\fonttbl{\f0\fnil\fcharset0 MS Sans Serif}} \viewkind4\uc1\pard\f0\fs16 LAMPARA LED SILICONA 12V 2 POLOS BLANCA\par } </v>
      </c>
      <c r="AM2545" t="str">
        <f>"-"</f>
        <v>-</v>
      </c>
    </row>
    <row r="2546" spans="1:39" x14ac:dyDescent="0.25">
      <c r="A2546" t="str">
        <f>"12065SMD13"</f>
        <v>12065SMD13</v>
      </c>
      <c r="B2546" t="str">
        <f>"LAMPARA LED T20 SIN CULOTE 1 POLO 12V"</f>
        <v>LAMPARA LED T20 SIN CULOTE 1 POLO 12V</v>
      </c>
      <c r="C2546" t="str">
        <f>"$ 3135,72"</f>
        <v>$ 3135,72</v>
      </c>
      <c r="D2546" t="str">
        <f>"$ 3135,72"</f>
        <v>$ 3135,72</v>
      </c>
      <c r="E2546" t="str">
        <f>"$ 3135,72"</f>
        <v>$ 3135,72</v>
      </c>
      <c r="F2546" t="str">
        <f>"$ 3135,72"</f>
        <v>$ 3135,72</v>
      </c>
      <c r="G2546" t="str">
        <f>"$ 3135,72"</f>
        <v>$ 3135,72</v>
      </c>
      <c r="H2546" t="str">
        <f t="shared" si="1622"/>
        <v>$ 0,00</v>
      </c>
      <c r="I2546" t="str">
        <f t="shared" si="1652"/>
        <v>LED</v>
      </c>
      <c r="J2546" t="str">
        <f t="shared" si="1623"/>
        <v>1</v>
      </c>
      <c r="K2546" t="str">
        <f t="shared" si="1647"/>
        <v>0</v>
      </c>
      <c r="L2546" t="str">
        <f>"16,000"</f>
        <v>16,000</v>
      </c>
      <c r="M2546" t="str">
        <f t="shared" si="1624"/>
        <v xml:space="preserve"> </v>
      </c>
      <c r="N2546" t="str">
        <f t="shared" si="1653"/>
        <v>LUX LED</v>
      </c>
      <c r="O2546" t="str">
        <f t="shared" si="1657"/>
        <v>LAMPARAS</v>
      </c>
      <c r="P2546" t="str">
        <f t="shared" si="1654"/>
        <v>0</v>
      </c>
      <c r="Q2546" t="str">
        <f t="shared" si="1654"/>
        <v>0</v>
      </c>
      <c r="R2546" t="str">
        <f t="shared" si="1655"/>
        <v>0,00</v>
      </c>
      <c r="S2546" t="str">
        <f t="shared" si="1655"/>
        <v>0,00</v>
      </c>
      <c r="T2546" t="str">
        <f t="shared" si="1620"/>
        <v xml:space="preserve"> </v>
      </c>
      <c r="U2546" t="str">
        <f t="shared" si="1621"/>
        <v xml:space="preserve"> </v>
      </c>
      <c r="V2546" t="str">
        <f>"16,000"</f>
        <v>16,000</v>
      </c>
      <c r="W2546" t="str">
        <f t="shared" si="1626"/>
        <v>Lista 4</v>
      </c>
      <c r="X2546" t="str">
        <f t="shared" si="1627"/>
        <v>Lista 5</v>
      </c>
      <c r="Y2546" t="str">
        <f t="shared" si="1628"/>
        <v>Oferta Gral.</v>
      </c>
      <c r="Z2546" t="str">
        <f t="shared" si="1629"/>
        <v>Rubro</v>
      </c>
      <c r="AA2546" t="str">
        <f t="shared" si="1630"/>
        <v>Cantidad por Bulto</v>
      </c>
      <c r="AB2546" t="str">
        <f t="shared" si="1631"/>
        <v>INNER</v>
      </c>
      <c r="AC2546" t="str">
        <f t="shared" si="1632"/>
        <v>Stock en Bultos</v>
      </c>
      <c r="AD2546" t="str">
        <f t="shared" si="1633"/>
        <v>SubDepósito</v>
      </c>
      <c r="AE2546" t="str">
        <f t="shared" si="1634"/>
        <v>Marca</v>
      </c>
      <c r="AF2546" t="str">
        <f t="shared" si="1635"/>
        <v>Super Rubro</v>
      </c>
      <c r="AG2546" t="str">
        <f t="shared" si="1636"/>
        <v>ComercioExterior</v>
      </c>
      <c r="AH2546" t="str">
        <f t="shared" si="1637"/>
        <v>PrecioFOB</v>
      </c>
      <c r="AI2546" t="str">
        <f t="shared" si="1638"/>
        <v>Monto II</v>
      </c>
      <c r="AJ2546" t="str">
        <f t="shared" si="1639"/>
        <v>Porcentaje II</v>
      </c>
      <c r="AK2546" t="str">
        <f t="shared" si="1640"/>
        <v>Foto</v>
      </c>
      <c r="AL2546" t="str">
        <f>"{\rtf1\ansi\ansicpg1252\deff0\deflang11274{\fonttbl{\f0\fnil\fcharset0 MS Sans Serif}} \viewkind4\uc1\pard\f0\fs16 LAMPARA LED T20 SIN CULOTE 1 POLO 12V\par } "</f>
        <v xml:space="preserve">{\rtf1\ansi\ansicpg1252\deff0\deflang11274{\fonttbl{\f0\fnil\fcharset0 MS Sans Serif}} \viewkind4\uc1\pard\f0\fs16 LAMPARA LED T20 SIN CULOTE 1 POLO 12V\par } </v>
      </c>
      <c r="AM2546" t="str">
        <f>"-"</f>
        <v>-</v>
      </c>
    </row>
    <row r="2547" spans="1:39" x14ac:dyDescent="0.25">
      <c r="A2547" t="str">
        <f>"TUB3CAN3912"</f>
        <v>TUB3CAN3912</v>
      </c>
      <c r="B2547" t="str">
        <f>"LAMPARA LED TUBULAR 39MM CANBUS 12V"</f>
        <v>LAMPARA LED TUBULAR 39MM CANBUS 12V</v>
      </c>
      <c r="C2547" t="str">
        <f>"$ 1256,41"</f>
        <v>$ 1256,41</v>
      </c>
      <c r="D2547" t="str">
        <f>"$ 1256,41"</f>
        <v>$ 1256,41</v>
      </c>
      <c r="E2547" t="str">
        <f>"$ 1256,41"</f>
        <v>$ 1256,41</v>
      </c>
      <c r="F2547" t="str">
        <f>"$ 1256,41"</f>
        <v>$ 1256,41</v>
      </c>
      <c r="G2547" t="str">
        <f>"$ 1256,41"</f>
        <v>$ 1256,41</v>
      </c>
      <c r="H2547" t="str">
        <f t="shared" si="1622"/>
        <v>$ 0,00</v>
      </c>
      <c r="I2547" t="str">
        <f t="shared" si="1652"/>
        <v>LED</v>
      </c>
      <c r="J2547" t="str">
        <f t="shared" si="1623"/>
        <v>1</v>
      </c>
      <c r="K2547" t="str">
        <f t="shared" si="1647"/>
        <v>0</v>
      </c>
      <c r="L2547" t="str">
        <f>"21,000"</f>
        <v>21,000</v>
      </c>
      <c r="M2547" t="str">
        <f t="shared" si="1624"/>
        <v xml:space="preserve"> </v>
      </c>
      <c r="N2547" t="str">
        <f t="shared" si="1653"/>
        <v>LUX LED</v>
      </c>
      <c r="O2547" t="str">
        <f t="shared" si="1657"/>
        <v>LAMPARAS</v>
      </c>
      <c r="P2547" t="str">
        <f t="shared" si="1654"/>
        <v>0</v>
      </c>
      <c r="Q2547" t="str">
        <f t="shared" si="1654"/>
        <v>0</v>
      </c>
      <c r="R2547" t="str">
        <f t="shared" si="1655"/>
        <v>0,00</v>
      </c>
      <c r="S2547" t="str">
        <f t="shared" si="1655"/>
        <v>0,00</v>
      </c>
      <c r="T2547" t="str">
        <f t="shared" si="1620"/>
        <v xml:space="preserve"> </v>
      </c>
      <c r="U2547" t="str">
        <f t="shared" si="1621"/>
        <v xml:space="preserve"> </v>
      </c>
      <c r="V2547" t="str">
        <f>"21,000"</f>
        <v>21,000</v>
      </c>
      <c r="W2547" t="str">
        <f t="shared" si="1626"/>
        <v>Lista 4</v>
      </c>
      <c r="X2547" t="str">
        <f t="shared" si="1627"/>
        <v>Lista 5</v>
      </c>
      <c r="Y2547" t="str">
        <f t="shared" si="1628"/>
        <v>Oferta Gral.</v>
      </c>
      <c r="Z2547" t="str">
        <f t="shared" si="1629"/>
        <v>Rubro</v>
      </c>
      <c r="AA2547" t="str">
        <f t="shared" si="1630"/>
        <v>Cantidad por Bulto</v>
      </c>
      <c r="AB2547" t="str">
        <f t="shared" si="1631"/>
        <v>INNER</v>
      </c>
      <c r="AC2547" t="str">
        <f t="shared" si="1632"/>
        <v>Stock en Bultos</v>
      </c>
      <c r="AD2547" t="str">
        <f t="shared" si="1633"/>
        <v>SubDepósito</v>
      </c>
      <c r="AE2547" t="str">
        <f t="shared" si="1634"/>
        <v>Marca</v>
      </c>
      <c r="AF2547" t="str">
        <f t="shared" si="1635"/>
        <v>Super Rubro</v>
      </c>
      <c r="AG2547" t="str">
        <f t="shared" si="1636"/>
        <v>ComercioExterior</v>
      </c>
      <c r="AH2547" t="str">
        <f t="shared" si="1637"/>
        <v>PrecioFOB</v>
      </c>
      <c r="AI2547" t="str">
        <f t="shared" si="1638"/>
        <v>Monto II</v>
      </c>
      <c r="AJ2547" t="str">
        <f t="shared" si="1639"/>
        <v>Porcentaje II</v>
      </c>
      <c r="AK2547" t="str">
        <f t="shared" si="1640"/>
        <v>Foto</v>
      </c>
      <c r="AL2547" t="str">
        <f>"{\rtf1\ansi\ansicpg1252\deff0\deflang11274{\fonttbl{\f0\fnil\fcharset0 MS Sans Serif}} \viewkind4\uc1\pard\f0\fs16 LAMPARA LED TUBULAR 39MM CANBUS 12V\par } "</f>
        <v xml:space="preserve">{\rtf1\ansi\ansicpg1252\deff0\deflang11274{\fonttbl{\f0\fnil\fcharset0 MS Sans Serif}} \viewkind4\uc1\pard\f0\fs16 LAMPARA LED TUBULAR 39MM CANBUS 12V\par } </v>
      </c>
      <c r="AM2547" t="str">
        <f>"-"</f>
        <v>-</v>
      </c>
    </row>
    <row r="2548" spans="1:39" x14ac:dyDescent="0.25">
      <c r="A2548" t="str">
        <f>"12961MULTI13"</f>
        <v>12961MULTI13</v>
      </c>
      <c r="B2548" t="str">
        <f>"LAMPARA MULTILED 13 PUNTAS SIN CULOTE"</f>
        <v>LAMPARA MULTILED 13 PUNTAS SIN CULOTE</v>
      </c>
      <c r="C2548" t="str">
        <f>"$ 1435,87"</f>
        <v>$ 1435,87</v>
      </c>
      <c r="D2548" t="str">
        <f>"$ 1435,87"</f>
        <v>$ 1435,87</v>
      </c>
      <c r="E2548" t="str">
        <f>"$ 1435,87"</f>
        <v>$ 1435,87</v>
      </c>
      <c r="F2548" t="str">
        <f>"$ 1435,87"</f>
        <v>$ 1435,87</v>
      </c>
      <c r="G2548" t="str">
        <f>"$ 1435,87"</f>
        <v>$ 1435,87</v>
      </c>
      <c r="H2548" t="str">
        <f t="shared" si="1622"/>
        <v>$ 0,00</v>
      </c>
      <c r="I2548" t="str">
        <f t="shared" si="1652"/>
        <v>LED</v>
      </c>
      <c r="J2548" t="str">
        <f t="shared" si="1623"/>
        <v>1</v>
      </c>
      <c r="K2548" t="str">
        <f t="shared" si="1647"/>
        <v>0</v>
      </c>
      <c r="L2548" t="str">
        <f>"67,000"</f>
        <v>67,000</v>
      </c>
      <c r="M2548" t="str">
        <f t="shared" si="1624"/>
        <v xml:space="preserve"> </v>
      </c>
      <c r="N2548" t="str">
        <f t="shared" si="1653"/>
        <v>LUX LED</v>
      </c>
      <c r="O2548" t="str">
        <f t="shared" si="1657"/>
        <v>LAMPARAS</v>
      </c>
      <c r="P2548" t="str">
        <f t="shared" si="1654"/>
        <v>0</v>
      </c>
      <c r="Q2548" t="str">
        <f t="shared" si="1654"/>
        <v>0</v>
      </c>
      <c r="R2548" t="str">
        <f t="shared" si="1655"/>
        <v>0,00</v>
      </c>
      <c r="S2548" t="str">
        <f t="shared" si="1655"/>
        <v>0,00</v>
      </c>
      <c r="T2548" t="str">
        <f t="shared" si="1620"/>
        <v xml:space="preserve"> </v>
      </c>
      <c r="U2548" t="str">
        <f t="shared" si="1621"/>
        <v xml:space="preserve"> </v>
      </c>
      <c r="V2548" t="str">
        <f>"67,000"</f>
        <v>67,000</v>
      </c>
      <c r="W2548" t="str">
        <f t="shared" si="1626"/>
        <v>Lista 4</v>
      </c>
      <c r="X2548" t="str">
        <f t="shared" si="1627"/>
        <v>Lista 5</v>
      </c>
      <c r="Y2548" t="str">
        <f t="shared" si="1628"/>
        <v>Oferta Gral.</v>
      </c>
      <c r="Z2548" t="str">
        <f t="shared" si="1629"/>
        <v>Rubro</v>
      </c>
      <c r="AA2548" t="str">
        <f t="shared" si="1630"/>
        <v>Cantidad por Bulto</v>
      </c>
      <c r="AB2548" t="str">
        <f t="shared" si="1631"/>
        <v>INNER</v>
      </c>
      <c r="AC2548" t="str">
        <f t="shared" si="1632"/>
        <v>Stock en Bultos</v>
      </c>
      <c r="AD2548" t="str">
        <f t="shared" si="1633"/>
        <v>SubDepósito</v>
      </c>
      <c r="AE2548" t="str">
        <f t="shared" si="1634"/>
        <v>Marca</v>
      </c>
      <c r="AF2548" t="str">
        <f t="shared" si="1635"/>
        <v>Super Rubro</v>
      </c>
      <c r="AG2548" t="str">
        <f t="shared" si="1636"/>
        <v>ComercioExterior</v>
      </c>
      <c r="AH2548" t="str">
        <f t="shared" si="1637"/>
        <v>PrecioFOB</v>
      </c>
      <c r="AI2548" t="str">
        <f t="shared" si="1638"/>
        <v>Monto II</v>
      </c>
      <c r="AJ2548" t="str">
        <f t="shared" si="1639"/>
        <v>Porcentaje II</v>
      </c>
      <c r="AK2548" t="str">
        <f t="shared" si="1640"/>
        <v>Foto</v>
      </c>
      <c r="AL2548" t="str">
        <f>"{\rtf1\ansi\ansicpg1252\deff0\deflang11274{\fonttbl{\f0\fnil\fcharset0 MS Sans Serif}} \viewkind4\uc1\pard\f0\fs16 LAMPARA MULTILED 13 PUNTAS SIN CULOTE\par } "</f>
        <v xml:space="preserve">{\rtf1\ansi\ansicpg1252\deff0\deflang11274{\fonttbl{\f0\fnil\fcharset0 MS Sans Serif}} \viewkind4\uc1\pard\f0\fs16 LAMPARA MULTILED 13 PUNTAS SIN CULOTE\par } </v>
      </c>
      <c r="AM2548" t="str">
        <f>" "</f>
        <v xml:space="preserve"> </v>
      </c>
    </row>
    <row r="2549" spans="1:39" x14ac:dyDescent="0.25">
      <c r="A2549" t="str">
        <f>"12961AMB"</f>
        <v>12961AMB</v>
      </c>
      <c r="B2549" t="str">
        <f>"LAMPARA SIN CULOTE 12V 5W AMBAR"</f>
        <v>LAMPARA SIN CULOTE 12V 5W AMBAR</v>
      </c>
      <c r="C2549" t="str">
        <f>"$ 422,32"</f>
        <v>$ 422,32</v>
      </c>
      <c r="D2549" t="str">
        <f>"$ 422,32"</f>
        <v>$ 422,32</v>
      </c>
      <c r="E2549" t="str">
        <f>"$ 422,32"</f>
        <v>$ 422,32</v>
      </c>
      <c r="F2549" t="str">
        <f>"$ 422,32"</f>
        <v>$ 422,32</v>
      </c>
      <c r="G2549" t="str">
        <f>"$ 422,32"</f>
        <v>$ 422,32</v>
      </c>
      <c r="H2549" t="str">
        <f t="shared" si="1622"/>
        <v>$ 0,00</v>
      </c>
      <c r="I2549" t="str">
        <f>"LAMPARAS SEÑALIZACION"</f>
        <v>LAMPARAS SEÑALIZACION</v>
      </c>
      <c r="J2549" t="str">
        <f t="shared" si="1623"/>
        <v>1</v>
      </c>
      <c r="K2549" t="str">
        <f t="shared" si="1647"/>
        <v>0</v>
      </c>
      <c r="L2549" t="str">
        <f>"28,000"</f>
        <v>28,000</v>
      </c>
      <c r="M2549" t="str">
        <f t="shared" si="1624"/>
        <v xml:space="preserve"> </v>
      </c>
      <c r="N2549" t="str">
        <f>"KOBO"</f>
        <v>KOBO</v>
      </c>
      <c r="O2549" t="str">
        <f t="shared" si="1657"/>
        <v>LAMPARAS</v>
      </c>
      <c r="P2549" t="str">
        <f t="shared" si="1654"/>
        <v>0</v>
      </c>
      <c r="Q2549" t="str">
        <f t="shared" si="1654"/>
        <v>0</v>
      </c>
      <c r="R2549" t="str">
        <f t="shared" si="1655"/>
        <v>0,00</v>
      </c>
      <c r="S2549" t="str">
        <f t="shared" si="1655"/>
        <v>0,00</v>
      </c>
      <c r="T2549" t="str">
        <f t="shared" si="1620"/>
        <v xml:space="preserve"> </v>
      </c>
      <c r="U2549" t="str">
        <f t="shared" si="1621"/>
        <v xml:space="preserve"> </v>
      </c>
      <c r="V2549" t="str">
        <f>"28,000"</f>
        <v>28,000</v>
      </c>
      <c r="W2549" t="str">
        <f t="shared" si="1626"/>
        <v>Lista 4</v>
      </c>
      <c r="X2549" t="str">
        <f t="shared" si="1627"/>
        <v>Lista 5</v>
      </c>
      <c r="Y2549" t="str">
        <f t="shared" si="1628"/>
        <v>Oferta Gral.</v>
      </c>
      <c r="Z2549" t="str">
        <f t="shared" si="1629"/>
        <v>Rubro</v>
      </c>
      <c r="AA2549" t="str">
        <f t="shared" si="1630"/>
        <v>Cantidad por Bulto</v>
      </c>
      <c r="AB2549" t="str">
        <f t="shared" si="1631"/>
        <v>INNER</v>
      </c>
      <c r="AC2549" t="str">
        <f t="shared" si="1632"/>
        <v>Stock en Bultos</v>
      </c>
      <c r="AD2549" t="str">
        <f t="shared" si="1633"/>
        <v>SubDepósito</v>
      </c>
      <c r="AE2549" t="str">
        <f t="shared" si="1634"/>
        <v>Marca</v>
      </c>
      <c r="AF2549" t="str">
        <f t="shared" si="1635"/>
        <v>Super Rubro</v>
      </c>
      <c r="AG2549" t="str">
        <f t="shared" si="1636"/>
        <v>ComercioExterior</v>
      </c>
      <c r="AH2549" t="str">
        <f t="shared" si="1637"/>
        <v>PrecioFOB</v>
      </c>
      <c r="AI2549" t="str">
        <f t="shared" si="1638"/>
        <v>Monto II</v>
      </c>
      <c r="AJ2549" t="str">
        <f t="shared" si="1639"/>
        <v>Porcentaje II</v>
      </c>
      <c r="AK2549" t="str">
        <f t="shared" si="1640"/>
        <v>Foto</v>
      </c>
      <c r="AL2549" t="str">
        <f>"{\rtf1\ansi\ansicpg1252\deff0\deflang11274{\fonttbl{\f0\fnil\fcharset0 MS Sans Serif}} \viewkind4\uc1\pard\f0\fs16 LAMPARA SIN CULOTE 12V 5W AMBAR\par } "</f>
        <v xml:space="preserve">{\rtf1\ansi\ansicpg1252\deff0\deflang11274{\fonttbl{\f0\fnil\fcharset0 MS Sans Serif}} \viewkind4\uc1\pard\f0\fs16 LAMPARA SIN CULOTE 12V 5W AMBAR\par } </v>
      </c>
      <c r="AM2549" t="str">
        <f>"-"</f>
        <v>-</v>
      </c>
    </row>
    <row r="2550" spans="1:39" x14ac:dyDescent="0.25">
      <c r="A2550" t="str">
        <f>"TUB3SMD"</f>
        <v>TUB3SMD</v>
      </c>
      <c r="B2550" t="str">
        <f>"LAMPARA TUBULAR 3 LED "</f>
        <v xml:space="preserve">LAMPARA TUBULAR 3 LED </v>
      </c>
      <c r="C2550" t="str">
        <f>"$ 453,99"</f>
        <v>$ 453,99</v>
      </c>
      <c r="D2550" t="str">
        <f>"$ 453,99"</f>
        <v>$ 453,99</v>
      </c>
      <c r="E2550" t="str">
        <f>"$ 453,99"</f>
        <v>$ 453,99</v>
      </c>
      <c r="F2550" t="str">
        <f>"$ 453,99"</f>
        <v>$ 453,99</v>
      </c>
      <c r="G2550" t="str">
        <f>"$ 453,99"</f>
        <v>$ 453,99</v>
      </c>
      <c r="H2550" t="str">
        <f t="shared" si="1622"/>
        <v>$ 0,00</v>
      </c>
      <c r="I2550" t="str">
        <f>"LED"</f>
        <v>LED</v>
      </c>
      <c r="J2550" t="str">
        <f t="shared" si="1623"/>
        <v>1</v>
      </c>
      <c r="K2550" t="str">
        <f t="shared" si="1647"/>
        <v>0</v>
      </c>
      <c r="L2550" t="str">
        <f>"76,000"</f>
        <v>76,000</v>
      </c>
      <c r="M2550" t="str">
        <f t="shared" si="1624"/>
        <v xml:space="preserve"> </v>
      </c>
      <c r="N2550" t="str">
        <f>"LUX LED"</f>
        <v>LUX LED</v>
      </c>
      <c r="O2550" t="str">
        <f t="shared" si="1657"/>
        <v>LAMPARAS</v>
      </c>
      <c r="P2550" t="str">
        <f t="shared" si="1654"/>
        <v>0</v>
      </c>
      <c r="Q2550" t="str">
        <f t="shared" si="1654"/>
        <v>0</v>
      </c>
      <c r="R2550" t="str">
        <f t="shared" si="1655"/>
        <v>0,00</v>
      </c>
      <c r="S2550" t="str">
        <f t="shared" si="1655"/>
        <v>0,00</v>
      </c>
      <c r="T2550" t="str">
        <f t="shared" si="1620"/>
        <v xml:space="preserve"> </v>
      </c>
      <c r="U2550" t="str">
        <f t="shared" si="1621"/>
        <v xml:space="preserve"> </v>
      </c>
      <c r="V2550" t="str">
        <f>"76,000"</f>
        <v>76,000</v>
      </c>
      <c r="W2550" t="str">
        <f t="shared" si="1626"/>
        <v>Lista 4</v>
      </c>
      <c r="X2550" t="str">
        <f t="shared" si="1627"/>
        <v>Lista 5</v>
      </c>
      <c r="Y2550" t="str">
        <f t="shared" si="1628"/>
        <v>Oferta Gral.</v>
      </c>
      <c r="Z2550" t="str">
        <f t="shared" si="1629"/>
        <v>Rubro</v>
      </c>
      <c r="AA2550" t="str">
        <f t="shared" si="1630"/>
        <v>Cantidad por Bulto</v>
      </c>
      <c r="AB2550" t="str">
        <f t="shared" si="1631"/>
        <v>INNER</v>
      </c>
      <c r="AC2550" t="str">
        <f t="shared" si="1632"/>
        <v>Stock en Bultos</v>
      </c>
      <c r="AD2550" t="str">
        <f t="shared" si="1633"/>
        <v>SubDepósito</v>
      </c>
      <c r="AE2550" t="str">
        <f t="shared" si="1634"/>
        <v>Marca</v>
      </c>
      <c r="AF2550" t="str">
        <f t="shared" si="1635"/>
        <v>Super Rubro</v>
      </c>
      <c r="AG2550" t="str">
        <f t="shared" si="1636"/>
        <v>ComercioExterior</v>
      </c>
      <c r="AH2550" t="str">
        <f t="shared" si="1637"/>
        <v>PrecioFOB</v>
      </c>
      <c r="AI2550" t="str">
        <f t="shared" si="1638"/>
        <v>Monto II</v>
      </c>
      <c r="AJ2550" t="str">
        <f t="shared" si="1639"/>
        <v>Porcentaje II</v>
      </c>
      <c r="AK2550" t="str">
        <f t="shared" si="1640"/>
        <v>Foto</v>
      </c>
      <c r="AL2550" t="str">
        <f>"{\rtf1\ansi\ansicpg1252\deff0\deflang11274{\fonttbl{\f0\fnil\fcharset0 MS Sans Serif}} \viewkind4\uc1\pard\f0\fs16 LAMPARA TUBULAR 3 LED \par } "</f>
        <v xml:space="preserve">{\rtf1\ansi\ansicpg1252\deff0\deflang11274{\fonttbl{\f0\fnil\fcharset0 MS Sans Serif}} \viewkind4\uc1\pard\f0\fs16 LAMPARA TUBULAR 3 LED \par } </v>
      </c>
      <c r="AM2550" t="str">
        <f t="shared" ref="AM2550:AM2572" si="1658">" "</f>
        <v xml:space="preserve"> </v>
      </c>
    </row>
    <row r="2551" spans="1:39" x14ac:dyDescent="0.25">
      <c r="A2551" t="str">
        <f>"TUB6SMD"</f>
        <v>TUB6SMD</v>
      </c>
      <c r="B2551" t="str">
        <f>"LAMPARA TUBULAR 6 LED 12V."</f>
        <v>LAMPARA TUBULAR 6 LED 12V.</v>
      </c>
      <c r="C2551" t="str">
        <f>"$ 559,57"</f>
        <v>$ 559,57</v>
      </c>
      <c r="D2551" t="str">
        <f>"$ 559,57"</f>
        <v>$ 559,57</v>
      </c>
      <c r="E2551" t="str">
        <f>"$ 559,57"</f>
        <v>$ 559,57</v>
      </c>
      <c r="F2551" t="str">
        <f>"$ 559,57"</f>
        <v>$ 559,57</v>
      </c>
      <c r="G2551" t="str">
        <f>"$ 559,57"</f>
        <v>$ 559,57</v>
      </c>
      <c r="H2551" t="str">
        <f t="shared" si="1622"/>
        <v>$ 0,00</v>
      </c>
      <c r="I2551" t="str">
        <f>"LED"</f>
        <v>LED</v>
      </c>
      <c r="J2551" t="str">
        <f t="shared" si="1623"/>
        <v>1</v>
      </c>
      <c r="K2551" t="str">
        <f t="shared" si="1647"/>
        <v>0</v>
      </c>
      <c r="L2551" t="str">
        <f>"6,000"</f>
        <v>6,000</v>
      </c>
      <c r="M2551" t="str">
        <f t="shared" si="1624"/>
        <v xml:space="preserve"> </v>
      </c>
      <c r="N2551" t="str">
        <f>"LUX LED"</f>
        <v>LUX LED</v>
      </c>
      <c r="O2551" t="str">
        <f t="shared" si="1657"/>
        <v>LAMPARAS</v>
      </c>
      <c r="P2551" t="str">
        <f t="shared" si="1654"/>
        <v>0</v>
      </c>
      <c r="Q2551" t="str">
        <f t="shared" si="1654"/>
        <v>0</v>
      </c>
      <c r="R2551" t="str">
        <f t="shared" si="1655"/>
        <v>0,00</v>
      </c>
      <c r="S2551" t="str">
        <f t="shared" si="1655"/>
        <v>0,00</v>
      </c>
      <c r="T2551" t="str">
        <f t="shared" si="1620"/>
        <v xml:space="preserve"> </v>
      </c>
      <c r="U2551" t="str">
        <f t="shared" si="1621"/>
        <v xml:space="preserve"> </v>
      </c>
      <c r="V2551" t="str">
        <f>"6,000"</f>
        <v>6,000</v>
      </c>
      <c r="W2551" t="str">
        <f t="shared" si="1626"/>
        <v>Lista 4</v>
      </c>
      <c r="X2551" t="str">
        <f t="shared" si="1627"/>
        <v>Lista 5</v>
      </c>
      <c r="Y2551" t="str">
        <f t="shared" si="1628"/>
        <v>Oferta Gral.</v>
      </c>
      <c r="Z2551" t="str">
        <f t="shared" si="1629"/>
        <v>Rubro</v>
      </c>
      <c r="AA2551" t="str">
        <f t="shared" si="1630"/>
        <v>Cantidad por Bulto</v>
      </c>
      <c r="AB2551" t="str">
        <f t="shared" si="1631"/>
        <v>INNER</v>
      </c>
      <c r="AC2551" t="str">
        <f t="shared" si="1632"/>
        <v>Stock en Bultos</v>
      </c>
      <c r="AD2551" t="str">
        <f t="shared" si="1633"/>
        <v>SubDepósito</v>
      </c>
      <c r="AE2551" t="str">
        <f t="shared" si="1634"/>
        <v>Marca</v>
      </c>
      <c r="AF2551" t="str">
        <f t="shared" si="1635"/>
        <v>Super Rubro</v>
      </c>
      <c r="AG2551" t="str">
        <f t="shared" si="1636"/>
        <v>ComercioExterior</v>
      </c>
      <c r="AH2551" t="str">
        <f t="shared" si="1637"/>
        <v>PrecioFOB</v>
      </c>
      <c r="AI2551" t="str">
        <f t="shared" si="1638"/>
        <v>Monto II</v>
      </c>
      <c r="AJ2551" t="str">
        <f t="shared" si="1639"/>
        <v>Porcentaje II</v>
      </c>
      <c r="AK2551" t="str">
        <f t="shared" si="1640"/>
        <v>Foto</v>
      </c>
      <c r="AL2551" t="str">
        <f>"{\rtf1\ansi\ansicpg1252\deff0\deflang11274{\fonttbl{\f0\fnil\fcharset0 MS Sans Serif}} \viewkind4\uc1\pard\f0\fs16 LAMPARA TUBULAR 6 LED 12V.\par } "</f>
        <v xml:space="preserve">{\rtf1\ansi\ansicpg1252\deff0\deflang11274{\fonttbl{\f0\fnil\fcharset0 MS Sans Serif}} \viewkind4\uc1\pard\f0\fs16 LAMPARA TUBULAR 6 LED 12V.\par } </v>
      </c>
      <c r="AM2551" t="str">
        <f t="shared" si="1658"/>
        <v xml:space="preserve"> </v>
      </c>
    </row>
    <row r="2552" spans="1:39" x14ac:dyDescent="0.25">
      <c r="A2552" t="str">
        <f>"20214"</f>
        <v>20214</v>
      </c>
      <c r="B2552" t="str">
        <f>"LLAVE CONTACTO ARRANQUE CLIO II LOGAN SANDERO LLAVE ENTRADA EX DV2142"</f>
        <v>LLAVE CONTACTO ARRANQUE CLIO II LOGAN SANDERO LLAVE ENTRADA EX DV2142</v>
      </c>
      <c r="C2552" t="str">
        <f>"$ 26088,71"</f>
        <v>$ 26088,71</v>
      </c>
      <c r="D2552" t="str">
        <f>"$ 26088,71"</f>
        <v>$ 26088,71</v>
      </c>
      <c r="E2552" t="str">
        <f>"$ 26088,71"</f>
        <v>$ 26088,71</v>
      </c>
      <c r="F2552" t="str">
        <f>"$ 26088,71"</f>
        <v>$ 26088,71</v>
      </c>
      <c r="G2552" t="str">
        <f>"$ 26088,71"</f>
        <v>$ 26088,71</v>
      </c>
      <c r="H2552" t="str">
        <f t="shared" si="1622"/>
        <v>$ 0,00</v>
      </c>
      <c r="I2552" t="str">
        <f t="shared" ref="I2552:I2578" si="1659">"LLAVE CONTACTO-ARRANQUE"</f>
        <v>LLAVE CONTACTO-ARRANQUE</v>
      </c>
      <c r="J2552" t="str">
        <f t="shared" si="1623"/>
        <v>1</v>
      </c>
      <c r="K2552" t="str">
        <f t="shared" si="1647"/>
        <v>0</v>
      </c>
      <c r="L2552" t="str">
        <f>"16,000"</f>
        <v>16,000</v>
      </c>
      <c r="M2552" t="str">
        <f t="shared" si="1624"/>
        <v xml:space="preserve"> </v>
      </c>
      <c r="N2552" t="str">
        <f t="shared" ref="N2552:N2572" si="1660">"DIVAIO"</f>
        <v>DIVAIO</v>
      </c>
      <c r="O2552" t="str">
        <f t="shared" ref="O2552:O2578" si="1661">"LLAVE"</f>
        <v>LLAVE</v>
      </c>
      <c r="P2552" t="str">
        <f t="shared" si="1654"/>
        <v>0</v>
      </c>
      <c r="Q2552" t="str">
        <f t="shared" si="1654"/>
        <v>0</v>
      </c>
      <c r="R2552" t="str">
        <f t="shared" si="1655"/>
        <v>0,00</v>
      </c>
      <c r="S2552" t="str">
        <f t="shared" si="1655"/>
        <v>0,00</v>
      </c>
      <c r="T2552" t="str">
        <f t="shared" si="1620"/>
        <v xml:space="preserve"> </v>
      </c>
      <c r="U2552" t="str">
        <f t="shared" si="1621"/>
        <v xml:space="preserve"> </v>
      </c>
      <c r="V2552" t="str">
        <f>"16,000"</f>
        <v>16,000</v>
      </c>
      <c r="W2552" t="str">
        <f t="shared" si="1626"/>
        <v>Lista 4</v>
      </c>
      <c r="X2552" t="str">
        <f t="shared" si="1627"/>
        <v>Lista 5</v>
      </c>
      <c r="Y2552" t="str">
        <f t="shared" si="1628"/>
        <v>Oferta Gral.</v>
      </c>
      <c r="Z2552" t="str">
        <f t="shared" si="1629"/>
        <v>Rubro</v>
      </c>
      <c r="AA2552" t="str">
        <f t="shared" si="1630"/>
        <v>Cantidad por Bulto</v>
      </c>
      <c r="AB2552" t="str">
        <f t="shared" si="1631"/>
        <v>INNER</v>
      </c>
      <c r="AC2552" t="str">
        <f t="shared" si="1632"/>
        <v>Stock en Bultos</v>
      </c>
      <c r="AD2552" t="str">
        <f t="shared" si="1633"/>
        <v>SubDepósito</v>
      </c>
      <c r="AE2552" t="str">
        <f t="shared" si="1634"/>
        <v>Marca</v>
      </c>
      <c r="AF2552" t="str">
        <f t="shared" si="1635"/>
        <v>Super Rubro</v>
      </c>
      <c r="AG2552" t="str">
        <f t="shared" si="1636"/>
        <v>ComercioExterior</v>
      </c>
      <c r="AH2552" t="str">
        <f t="shared" si="1637"/>
        <v>PrecioFOB</v>
      </c>
      <c r="AI2552" t="str">
        <f t="shared" si="1638"/>
        <v>Monto II</v>
      </c>
      <c r="AJ2552" t="str">
        <f t="shared" si="1639"/>
        <v>Porcentaje II</v>
      </c>
      <c r="AK2552" t="str">
        <f t="shared" si="1640"/>
        <v>Foto</v>
      </c>
      <c r="AL2552" t="str">
        <f>"{\rtf1\ansi\ansicpg1252\deff0\deflang11274{\fonttbl{\f0\fnil\fcharset0 MS Sans Serif}} \viewkind4\uc1\pard\f0\fs16 LLAVE CONTACTO ARRANQUE CLIO II LOGAN SANDERO LLAVE ENTRADA EX DV2142\par } "</f>
        <v xml:space="preserve">{\rtf1\ansi\ansicpg1252\deff0\deflang11274{\fonttbl{\f0\fnil\fcharset0 MS Sans Serif}} \viewkind4\uc1\pard\f0\fs16 LLAVE CONTACTO ARRANQUE CLIO II LOGAN SANDERO LLAVE ENTRADA EX DV2142\par } </v>
      </c>
      <c r="AM2552" t="str">
        <f t="shared" si="1658"/>
        <v xml:space="preserve"> </v>
      </c>
    </row>
    <row r="2553" spans="1:39" x14ac:dyDescent="0.25">
      <c r="A2553" t="str">
        <f>"20405"</f>
        <v>20405</v>
      </c>
      <c r="B2553" t="str">
        <f>"LLAVE CONTACTO ARRANQUE FIAT 128 COMPLETA CON COLLAR EX DV1325"</f>
        <v>LLAVE CONTACTO ARRANQUE FIAT 128 COMPLETA CON COLLAR EX DV1325</v>
      </c>
      <c r="C2553" t="str">
        <f>"$ 34218,34"</f>
        <v>$ 34218,34</v>
      </c>
      <c r="D2553" t="str">
        <f>"$ 34218,34"</f>
        <v>$ 34218,34</v>
      </c>
      <c r="E2553" t="str">
        <f>"$ 34218,34"</f>
        <v>$ 34218,34</v>
      </c>
      <c r="F2553" t="str">
        <f>"$ 14176,13"</f>
        <v>$ 14176,13</v>
      </c>
      <c r="G2553" t="str">
        <f>"$ 14176,13"</f>
        <v>$ 14176,13</v>
      </c>
      <c r="H2553" t="str">
        <f t="shared" si="1622"/>
        <v>$ 0,00</v>
      </c>
      <c r="I2553" t="str">
        <f t="shared" si="1659"/>
        <v>LLAVE CONTACTO-ARRANQUE</v>
      </c>
      <c r="J2553" t="str">
        <f t="shared" si="1623"/>
        <v>1</v>
      </c>
      <c r="K2553" t="str">
        <f t="shared" si="1647"/>
        <v>0</v>
      </c>
      <c r="L2553" t="str">
        <f>"2,000"</f>
        <v>2,000</v>
      </c>
      <c r="M2553" t="str">
        <f t="shared" si="1624"/>
        <v xml:space="preserve"> </v>
      </c>
      <c r="N2553" t="str">
        <f t="shared" si="1660"/>
        <v>DIVAIO</v>
      </c>
      <c r="O2553" t="str">
        <f t="shared" si="1661"/>
        <v>LLAVE</v>
      </c>
      <c r="P2553" t="str">
        <f t="shared" si="1654"/>
        <v>0</v>
      </c>
      <c r="Q2553" t="str">
        <f t="shared" si="1654"/>
        <v>0</v>
      </c>
      <c r="R2553" t="str">
        <f t="shared" si="1655"/>
        <v>0,00</v>
      </c>
      <c r="S2553" t="str">
        <f t="shared" si="1655"/>
        <v>0,00</v>
      </c>
      <c r="T2553" t="str">
        <f t="shared" si="1620"/>
        <v xml:space="preserve"> </v>
      </c>
      <c r="U2553" t="str">
        <f t="shared" si="1621"/>
        <v xml:space="preserve"> </v>
      </c>
      <c r="V2553" t="str">
        <f>"2,000"</f>
        <v>2,000</v>
      </c>
      <c r="W2553" t="str">
        <f t="shared" si="1626"/>
        <v>Lista 4</v>
      </c>
      <c r="X2553" t="str">
        <f t="shared" si="1627"/>
        <v>Lista 5</v>
      </c>
      <c r="Y2553" t="str">
        <f t="shared" si="1628"/>
        <v>Oferta Gral.</v>
      </c>
      <c r="Z2553" t="str">
        <f t="shared" si="1629"/>
        <v>Rubro</v>
      </c>
      <c r="AA2553" t="str">
        <f t="shared" si="1630"/>
        <v>Cantidad por Bulto</v>
      </c>
      <c r="AB2553" t="str">
        <f t="shared" si="1631"/>
        <v>INNER</v>
      </c>
      <c r="AC2553" t="str">
        <f t="shared" si="1632"/>
        <v>Stock en Bultos</v>
      </c>
      <c r="AD2553" t="str">
        <f t="shared" si="1633"/>
        <v>SubDepósito</v>
      </c>
      <c r="AE2553" t="str">
        <f t="shared" si="1634"/>
        <v>Marca</v>
      </c>
      <c r="AF2553" t="str">
        <f t="shared" si="1635"/>
        <v>Super Rubro</v>
      </c>
      <c r="AG2553" t="str">
        <f t="shared" si="1636"/>
        <v>ComercioExterior</v>
      </c>
      <c r="AH2553" t="str">
        <f t="shared" si="1637"/>
        <v>PrecioFOB</v>
      </c>
      <c r="AI2553" t="str">
        <f t="shared" si="1638"/>
        <v>Monto II</v>
      </c>
      <c r="AJ2553" t="str">
        <f t="shared" si="1639"/>
        <v>Porcentaje II</v>
      </c>
      <c r="AK2553" t="str">
        <f t="shared" si="1640"/>
        <v>Foto</v>
      </c>
      <c r="AL2553" t="str">
        <f>"{\rtf1\ansi\ansicpg1252\deff0\deflang2058{\fonttbl{\f0\fnil\fcharset0 MS Sans Serif}} \viewkind4\uc1\pard\f0\fs16 LLAVE CONTACTO ARRANQUE FIAT 128 COMPLETA CON COLLAR EX DV1325\par } "</f>
        <v xml:space="preserve">{\rtf1\ansi\ansicpg1252\deff0\deflang2058{\fonttbl{\f0\fnil\fcharset0 MS Sans Serif}} \viewkind4\uc1\pard\f0\fs16 LLAVE CONTACTO ARRANQUE FIAT 128 COMPLETA CON COLLAR EX DV1325\par } </v>
      </c>
      <c r="AM2553" t="str">
        <f t="shared" si="1658"/>
        <v xml:space="preserve"> </v>
      </c>
    </row>
    <row r="2554" spans="1:39" x14ac:dyDescent="0.25">
      <c r="A2554" t="str">
        <f>"20407"</f>
        <v>20407</v>
      </c>
      <c r="B2554" t="str">
        <f>"LLAVE CONTACTO ARRANQUE FIAT 128 EX DV1311"</f>
        <v>LLAVE CONTACTO ARRANQUE FIAT 128 EX DV1311</v>
      </c>
      <c r="C2554" t="str">
        <f>"$ 21327,08"</f>
        <v>$ 21327,08</v>
      </c>
      <c r="D2554" t="str">
        <f>"$ 21327,08"</f>
        <v>$ 21327,08</v>
      </c>
      <c r="E2554" t="str">
        <f>"$ 21327,08"</f>
        <v>$ 21327,08</v>
      </c>
      <c r="F2554" t="str">
        <f>"$ 21327,08"</f>
        <v>$ 21327,08</v>
      </c>
      <c r="G2554" t="str">
        <f>"$ 21327,08"</f>
        <v>$ 21327,08</v>
      </c>
      <c r="H2554" t="str">
        <f t="shared" si="1622"/>
        <v>$ 0,00</v>
      </c>
      <c r="I2554" t="str">
        <f t="shared" si="1659"/>
        <v>LLAVE CONTACTO-ARRANQUE</v>
      </c>
      <c r="J2554" t="str">
        <f t="shared" si="1623"/>
        <v>1</v>
      </c>
      <c r="K2554" t="str">
        <f t="shared" si="1647"/>
        <v>0</v>
      </c>
      <c r="L2554" t="str">
        <f>"-1,000"</f>
        <v>-1,000</v>
      </c>
      <c r="M2554" t="str">
        <f t="shared" si="1624"/>
        <v xml:space="preserve"> </v>
      </c>
      <c r="N2554" t="str">
        <f t="shared" si="1660"/>
        <v>DIVAIO</v>
      </c>
      <c r="O2554" t="str">
        <f t="shared" si="1661"/>
        <v>LLAVE</v>
      </c>
      <c r="P2554" t="str">
        <f t="shared" si="1654"/>
        <v>0</v>
      </c>
      <c r="Q2554" t="str">
        <f t="shared" si="1654"/>
        <v>0</v>
      </c>
      <c r="R2554" t="str">
        <f t="shared" si="1655"/>
        <v>0,00</v>
      </c>
      <c r="S2554" t="str">
        <f t="shared" si="1655"/>
        <v>0,00</v>
      </c>
      <c r="T2554" t="str">
        <f t="shared" si="1620"/>
        <v xml:space="preserve"> </v>
      </c>
      <c r="U2554" t="str">
        <f t="shared" si="1621"/>
        <v xml:space="preserve"> </v>
      </c>
      <c r="V2554" t="str">
        <f>"-1,000"</f>
        <v>-1,000</v>
      </c>
      <c r="W2554" t="str">
        <f t="shared" si="1626"/>
        <v>Lista 4</v>
      </c>
      <c r="X2554" t="str">
        <f t="shared" si="1627"/>
        <v>Lista 5</v>
      </c>
      <c r="Y2554" t="str">
        <f t="shared" si="1628"/>
        <v>Oferta Gral.</v>
      </c>
      <c r="Z2554" t="str">
        <f t="shared" si="1629"/>
        <v>Rubro</v>
      </c>
      <c r="AA2554" t="str">
        <f t="shared" si="1630"/>
        <v>Cantidad por Bulto</v>
      </c>
      <c r="AB2554" t="str">
        <f t="shared" si="1631"/>
        <v>INNER</v>
      </c>
      <c r="AC2554" t="str">
        <f t="shared" si="1632"/>
        <v>Stock en Bultos</v>
      </c>
      <c r="AD2554" t="str">
        <f t="shared" si="1633"/>
        <v>SubDepósito</v>
      </c>
      <c r="AE2554" t="str">
        <f t="shared" si="1634"/>
        <v>Marca</v>
      </c>
      <c r="AF2554" t="str">
        <f t="shared" si="1635"/>
        <v>Super Rubro</v>
      </c>
      <c r="AG2554" t="str">
        <f t="shared" si="1636"/>
        <v>ComercioExterior</v>
      </c>
      <c r="AH2554" t="str">
        <f t="shared" si="1637"/>
        <v>PrecioFOB</v>
      </c>
      <c r="AI2554" t="str">
        <f t="shared" si="1638"/>
        <v>Monto II</v>
      </c>
      <c r="AJ2554" t="str">
        <f t="shared" si="1639"/>
        <v>Porcentaje II</v>
      </c>
      <c r="AK2554" t="str">
        <f t="shared" si="1640"/>
        <v>Foto</v>
      </c>
      <c r="AL2554" t="str">
        <f>"{\rtf1\ansi\ansicpg1252\deff0\deflang11274{\fonttbl{\f0\fnil\fcharset0 MS Sans Serif}} \viewkind4\uc1\pard\f0\fs16 LLAVE CONTACTO ARRANQUE FIAT 128 EX DV1311\par \par } "</f>
        <v xml:space="preserve">{\rtf1\ansi\ansicpg1252\deff0\deflang11274{\fonttbl{\f0\fnil\fcharset0 MS Sans Serif}} \viewkind4\uc1\pard\f0\fs16 LLAVE CONTACTO ARRANQUE FIAT 128 EX DV1311\par \par } </v>
      </c>
      <c r="AM2554" t="str">
        <f t="shared" si="1658"/>
        <v xml:space="preserve"> </v>
      </c>
    </row>
    <row r="2555" spans="1:39" x14ac:dyDescent="0.25">
      <c r="A2555" t="str">
        <f>"20402"</f>
        <v>20402</v>
      </c>
      <c r="B2555" t="str">
        <f>"LLAVE CONTACTO ARRANQUE FIAT DUNA UNO EX DV1317"</f>
        <v>LLAVE CONTACTO ARRANQUE FIAT DUNA UNO EX DV1317</v>
      </c>
      <c r="C2555" t="str">
        <f>"$ 37618,01"</f>
        <v>$ 37618,01</v>
      </c>
      <c r="D2555" t="str">
        <f>"$ 37618,01"</f>
        <v>$ 37618,01</v>
      </c>
      <c r="E2555" t="str">
        <f>"$ 37618,01"</f>
        <v>$ 37618,01</v>
      </c>
      <c r="F2555" t="str">
        <f>"$ 37618,01"</f>
        <v>$ 37618,01</v>
      </c>
      <c r="G2555" t="str">
        <f>"$ 37618,01"</f>
        <v>$ 37618,01</v>
      </c>
      <c r="H2555" t="str">
        <f t="shared" si="1622"/>
        <v>$ 0,00</v>
      </c>
      <c r="I2555" t="str">
        <f t="shared" si="1659"/>
        <v>LLAVE CONTACTO-ARRANQUE</v>
      </c>
      <c r="J2555" t="str">
        <f t="shared" si="1623"/>
        <v>1</v>
      </c>
      <c r="K2555" t="str">
        <f t="shared" si="1647"/>
        <v>0</v>
      </c>
      <c r="L2555" t="str">
        <f>"17,000"</f>
        <v>17,000</v>
      </c>
      <c r="M2555" t="str">
        <f t="shared" si="1624"/>
        <v xml:space="preserve"> </v>
      </c>
      <c r="N2555" t="str">
        <f t="shared" si="1660"/>
        <v>DIVAIO</v>
      </c>
      <c r="O2555" t="str">
        <f t="shared" si="1661"/>
        <v>LLAVE</v>
      </c>
      <c r="P2555" t="str">
        <f t="shared" si="1654"/>
        <v>0</v>
      </c>
      <c r="Q2555" t="str">
        <f t="shared" si="1654"/>
        <v>0</v>
      </c>
      <c r="R2555" t="str">
        <f t="shared" si="1655"/>
        <v>0,00</v>
      </c>
      <c r="S2555" t="str">
        <f t="shared" si="1655"/>
        <v>0,00</v>
      </c>
      <c r="T2555" t="str">
        <f t="shared" si="1620"/>
        <v xml:space="preserve"> </v>
      </c>
      <c r="U2555" t="str">
        <f t="shared" si="1621"/>
        <v xml:space="preserve"> </v>
      </c>
      <c r="V2555" t="str">
        <f>"17,000"</f>
        <v>17,000</v>
      </c>
      <c r="W2555" t="str">
        <f t="shared" si="1626"/>
        <v>Lista 4</v>
      </c>
      <c r="X2555" t="str">
        <f t="shared" si="1627"/>
        <v>Lista 5</v>
      </c>
      <c r="Y2555" t="str">
        <f t="shared" si="1628"/>
        <v>Oferta Gral.</v>
      </c>
      <c r="Z2555" t="str">
        <f t="shared" si="1629"/>
        <v>Rubro</v>
      </c>
      <c r="AA2555" t="str">
        <f t="shared" si="1630"/>
        <v>Cantidad por Bulto</v>
      </c>
      <c r="AB2555" t="str">
        <f t="shared" si="1631"/>
        <v>INNER</v>
      </c>
      <c r="AC2555" t="str">
        <f t="shared" si="1632"/>
        <v>Stock en Bultos</v>
      </c>
      <c r="AD2555" t="str">
        <f t="shared" si="1633"/>
        <v>SubDepósito</v>
      </c>
      <c r="AE2555" t="str">
        <f t="shared" si="1634"/>
        <v>Marca</v>
      </c>
      <c r="AF2555" t="str">
        <f t="shared" si="1635"/>
        <v>Super Rubro</v>
      </c>
      <c r="AG2555" t="str">
        <f t="shared" si="1636"/>
        <v>ComercioExterior</v>
      </c>
      <c r="AH2555" t="str">
        <f t="shared" si="1637"/>
        <v>PrecioFOB</v>
      </c>
      <c r="AI2555" t="str">
        <f t="shared" si="1638"/>
        <v>Monto II</v>
      </c>
      <c r="AJ2555" t="str">
        <f t="shared" si="1639"/>
        <v>Porcentaje II</v>
      </c>
      <c r="AK2555" t="str">
        <f t="shared" si="1640"/>
        <v>Foto</v>
      </c>
      <c r="AL2555" t="str">
        <f>"{\rtf1\ansi\ansicpg1252\deff0\deflang11274{\fonttbl{\f0\fnil\fcharset0 MS Sans Serif}} \viewkind4\uc1\pard\f0\fs16 LLAVE CONTACTO ARRANQUE FIAT DUNA UNO EX DV1317\par } "</f>
        <v xml:space="preserve">{\rtf1\ansi\ansicpg1252\deff0\deflang11274{\fonttbl{\f0\fnil\fcharset0 MS Sans Serif}} \viewkind4\uc1\pard\f0\fs16 LLAVE CONTACTO ARRANQUE FIAT DUNA UNO EX DV1317\par } </v>
      </c>
      <c r="AM2555" t="str">
        <f t="shared" si="1658"/>
        <v xml:space="preserve"> </v>
      </c>
    </row>
    <row r="2556" spans="1:39" x14ac:dyDescent="0.25">
      <c r="A2556" t="str">
        <f>"20401"</f>
        <v>20401</v>
      </c>
      <c r="B2556" t="str">
        <f>"LLAVE CONTACTO ARRANQUE FIAT REGATTA EX DV1318"</f>
        <v>LLAVE CONTACTO ARRANQUE FIAT REGATTA EX DV1318</v>
      </c>
      <c r="C2556" t="str">
        <f>"$ 46750,65"</f>
        <v>$ 46750,65</v>
      </c>
      <c r="D2556" t="str">
        <f>"$ 46750,65"</f>
        <v>$ 46750,65</v>
      </c>
      <c r="E2556" t="str">
        <f>"$ 46750,65"</f>
        <v>$ 46750,65</v>
      </c>
      <c r="F2556" t="str">
        <f>"$ 46750,65"</f>
        <v>$ 46750,65</v>
      </c>
      <c r="G2556" t="str">
        <f>"$ 46750,65"</f>
        <v>$ 46750,65</v>
      </c>
      <c r="H2556" t="str">
        <f t="shared" si="1622"/>
        <v>$ 0,00</v>
      </c>
      <c r="I2556" t="str">
        <f t="shared" si="1659"/>
        <v>LLAVE CONTACTO-ARRANQUE</v>
      </c>
      <c r="J2556" t="str">
        <f t="shared" si="1623"/>
        <v>1</v>
      </c>
      <c r="K2556" t="str">
        <f t="shared" si="1647"/>
        <v>0</v>
      </c>
      <c r="L2556" t="str">
        <f>"7,000"</f>
        <v>7,000</v>
      </c>
      <c r="M2556" t="str">
        <f t="shared" si="1624"/>
        <v xml:space="preserve"> </v>
      </c>
      <c r="N2556" t="str">
        <f t="shared" si="1660"/>
        <v>DIVAIO</v>
      </c>
      <c r="O2556" t="str">
        <f t="shared" si="1661"/>
        <v>LLAVE</v>
      </c>
      <c r="P2556" t="str">
        <f t="shared" si="1654"/>
        <v>0</v>
      </c>
      <c r="Q2556" t="str">
        <f t="shared" si="1654"/>
        <v>0</v>
      </c>
      <c r="R2556" t="str">
        <f t="shared" si="1655"/>
        <v>0,00</v>
      </c>
      <c r="S2556" t="str">
        <f t="shared" si="1655"/>
        <v>0,00</v>
      </c>
      <c r="T2556" t="str">
        <f t="shared" si="1620"/>
        <v xml:space="preserve"> </v>
      </c>
      <c r="U2556" t="str">
        <f t="shared" si="1621"/>
        <v xml:space="preserve"> </v>
      </c>
      <c r="V2556" t="str">
        <f>"7,000"</f>
        <v>7,000</v>
      </c>
      <c r="W2556" t="str">
        <f t="shared" si="1626"/>
        <v>Lista 4</v>
      </c>
      <c r="X2556" t="str">
        <f t="shared" si="1627"/>
        <v>Lista 5</v>
      </c>
      <c r="Y2556" t="str">
        <f t="shared" si="1628"/>
        <v>Oferta Gral.</v>
      </c>
      <c r="Z2556" t="str">
        <f t="shared" si="1629"/>
        <v>Rubro</v>
      </c>
      <c r="AA2556" t="str">
        <f t="shared" si="1630"/>
        <v>Cantidad por Bulto</v>
      </c>
      <c r="AB2556" t="str">
        <f t="shared" si="1631"/>
        <v>INNER</v>
      </c>
      <c r="AC2556" t="str">
        <f t="shared" si="1632"/>
        <v>Stock en Bultos</v>
      </c>
      <c r="AD2556" t="str">
        <f t="shared" si="1633"/>
        <v>SubDepósito</v>
      </c>
      <c r="AE2556" t="str">
        <f t="shared" si="1634"/>
        <v>Marca</v>
      </c>
      <c r="AF2556" t="str">
        <f t="shared" si="1635"/>
        <v>Super Rubro</v>
      </c>
      <c r="AG2556" t="str">
        <f t="shared" si="1636"/>
        <v>ComercioExterior</v>
      </c>
      <c r="AH2556" t="str">
        <f t="shared" si="1637"/>
        <v>PrecioFOB</v>
      </c>
      <c r="AI2556" t="str">
        <f t="shared" si="1638"/>
        <v>Monto II</v>
      </c>
      <c r="AJ2556" t="str">
        <f t="shared" si="1639"/>
        <v>Porcentaje II</v>
      </c>
      <c r="AK2556" t="str">
        <f t="shared" si="1640"/>
        <v>Foto</v>
      </c>
      <c r="AL2556" t="str">
        <f>"{\rtf1\ansi\ansicpg1252\deff0\deflang11274{\fonttbl{\f0\fnil\fcharset0 MS Sans Serif}} \viewkind4\uc1\pard\f0\fs16 LLAVE CONTACTO ARRANQUE FIAT REGATTA EX DV1318\par } "</f>
        <v xml:space="preserve">{\rtf1\ansi\ansicpg1252\deff0\deflang11274{\fonttbl{\f0\fnil\fcharset0 MS Sans Serif}} \viewkind4\uc1\pard\f0\fs16 LLAVE CONTACTO ARRANQUE FIAT REGATTA EX DV1318\par } </v>
      </c>
      <c r="AM2556" t="str">
        <f t="shared" si="1658"/>
        <v xml:space="preserve"> </v>
      </c>
    </row>
    <row r="2557" spans="1:39" x14ac:dyDescent="0.25">
      <c r="A2557" t="str">
        <f>"20404"</f>
        <v>20404</v>
      </c>
      <c r="B2557" t="str">
        <f>"LLAVE CONTACTO ARRANQUE PALIO SIENA MODELO NUEVO EX DV1321"</f>
        <v>LLAVE CONTACTO ARRANQUE PALIO SIENA MODELO NUEVO EX DV1321</v>
      </c>
      <c r="C2557" t="str">
        <f>"$ 56031,10"</f>
        <v>$ 56031,10</v>
      </c>
      <c r="D2557" t="str">
        <f>"$ 56031,10"</f>
        <v>$ 56031,10</v>
      </c>
      <c r="E2557" t="str">
        <f>"$ 56031,10"</f>
        <v>$ 56031,10</v>
      </c>
      <c r="F2557" t="str">
        <f>"$ 56031,10"</f>
        <v>$ 56031,10</v>
      </c>
      <c r="G2557" t="str">
        <f>"$ 56031,10"</f>
        <v>$ 56031,10</v>
      </c>
      <c r="H2557" t="str">
        <f t="shared" si="1622"/>
        <v>$ 0,00</v>
      </c>
      <c r="I2557" t="str">
        <f t="shared" si="1659"/>
        <v>LLAVE CONTACTO-ARRANQUE</v>
      </c>
      <c r="J2557" t="str">
        <f t="shared" si="1623"/>
        <v>1</v>
      </c>
      <c r="K2557" t="str">
        <f t="shared" si="1647"/>
        <v>0</v>
      </c>
      <c r="L2557" t="str">
        <f>"6,000"</f>
        <v>6,000</v>
      </c>
      <c r="M2557" t="str">
        <f t="shared" si="1624"/>
        <v xml:space="preserve"> </v>
      </c>
      <c r="N2557" t="str">
        <f t="shared" si="1660"/>
        <v>DIVAIO</v>
      </c>
      <c r="O2557" t="str">
        <f t="shared" si="1661"/>
        <v>LLAVE</v>
      </c>
      <c r="P2557" t="str">
        <f t="shared" si="1654"/>
        <v>0</v>
      </c>
      <c r="Q2557" t="str">
        <f t="shared" si="1654"/>
        <v>0</v>
      </c>
      <c r="R2557" t="str">
        <f t="shared" si="1655"/>
        <v>0,00</v>
      </c>
      <c r="S2557" t="str">
        <f t="shared" si="1655"/>
        <v>0,00</v>
      </c>
      <c r="T2557" t="str">
        <f t="shared" si="1620"/>
        <v xml:space="preserve"> </v>
      </c>
      <c r="U2557" t="str">
        <f t="shared" si="1621"/>
        <v xml:space="preserve"> </v>
      </c>
      <c r="V2557" t="str">
        <f>"6,000"</f>
        <v>6,000</v>
      </c>
      <c r="W2557" t="str">
        <f t="shared" si="1626"/>
        <v>Lista 4</v>
      </c>
      <c r="X2557" t="str">
        <f t="shared" si="1627"/>
        <v>Lista 5</v>
      </c>
      <c r="Y2557" t="str">
        <f t="shared" si="1628"/>
        <v>Oferta Gral.</v>
      </c>
      <c r="Z2557" t="str">
        <f t="shared" si="1629"/>
        <v>Rubro</v>
      </c>
      <c r="AA2557" t="str">
        <f t="shared" si="1630"/>
        <v>Cantidad por Bulto</v>
      </c>
      <c r="AB2557" t="str">
        <f t="shared" si="1631"/>
        <v>INNER</v>
      </c>
      <c r="AC2557" t="str">
        <f t="shared" si="1632"/>
        <v>Stock en Bultos</v>
      </c>
      <c r="AD2557" t="str">
        <f t="shared" si="1633"/>
        <v>SubDepósito</v>
      </c>
      <c r="AE2557" t="str">
        <f t="shared" si="1634"/>
        <v>Marca</v>
      </c>
      <c r="AF2557" t="str">
        <f t="shared" si="1635"/>
        <v>Super Rubro</v>
      </c>
      <c r="AG2557" t="str">
        <f t="shared" si="1636"/>
        <v>ComercioExterior</v>
      </c>
      <c r="AH2557" t="str">
        <f t="shared" si="1637"/>
        <v>PrecioFOB</v>
      </c>
      <c r="AI2557" t="str">
        <f t="shared" si="1638"/>
        <v>Monto II</v>
      </c>
      <c r="AJ2557" t="str">
        <f t="shared" si="1639"/>
        <v>Porcentaje II</v>
      </c>
      <c r="AK2557" t="str">
        <f t="shared" si="1640"/>
        <v>Foto</v>
      </c>
      <c r="AL2557" t="str">
        <f>"{\rtf1\ansi\ansicpg1252\deff0\deflang11274{\fonttbl{\f0\fnil\fcharset0 MS Sans Serif}} \viewkind4\uc1\pard\f0\fs16 LLAVE CONTACTO ARRANQUE PALIO SIENA MODELO NUEVO EX DV1321\par } "</f>
        <v xml:space="preserve">{\rtf1\ansi\ansicpg1252\deff0\deflang11274{\fonttbl{\f0\fnil\fcharset0 MS Sans Serif}} \viewkind4\uc1\pard\f0\fs16 LLAVE CONTACTO ARRANQUE PALIO SIENA MODELO NUEVO EX DV1321\par } </v>
      </c>
      <c r="AM2557" t="str">
        <f t="shared" si="1658"/>
        <v xml:space="preserve"> </v>
      </c>
    </row>
    <row r="2558" spans="1:39" x14ac:dyDescent="0.25">
      <c r="A2558" t="str">
        <f>"20403"</f>
        <v>20403</v>
      </c>
      <c r="B2558" t="str">
        <f>"LLAVE CONTACTO ARRANQUE PALIO SIENA MODELO VIEJO EX DV1320"</f>
        <v>LLAVE CONTACTO ARRANQUE PALIO SIENA MODELO VIEJO EX DV1320</v>
      </c>
      <c r="C2558" t="str">
        <f>"$ 51617,88"</f>
        <v>$ 51617,88</v>
      </c>
      <c r="D2558" t="str">
        <f>"$ 51617,88"</f>
        <v>$ 51617,88</v>
      </c>
      <c r="E2558" t="str">
        <f>"$ 51617,88"</f>
        <v>$ 51617,88</v>
      </c>
      <c r="F2558" t="str">
        <f>"$ 51617,88"</f>
        <v>$ 51617,88</v>
      </c>
      <c r="G2558" t="str">
        <f>"$ 51617,88"</f>
        <v>$ 51617,88</v>
      </c>
      <c r="H2558" t="str">
        <f t="shared" si="1622"/>
        <v>$ 0,00</v>
      </c>
      <c r="I2558" t="str">
        <f t="shared" si="1659"/>
        <v>LLAVE CONTACTO-ARRANQUE</v>
      </c>
      <c r="J2558" t="str">
        <f t="shared" si="1623"/>
        <v>1</v>
      </c>
      <c r="K2558" t="str">
        <f t="shared" si="1647"/>
        <v>0</v>
      </c>
      <c r="L2558" t="str">
        <f>"7,000"</f>
        <v>7,000</v>
      </c>
      <c r="M2558" t="str">
        <f t="shared" si="1624"/>
        <v xml:space="preserve"> </v>
      </c>
      <c r="N2558" t="str">
        <f t="shared" si="1660"/>
        <v>DIVAIO</v>
      </c>
      <c r="O2558" t="str">
        <f t="shared" si="1661"/>
        <v>LLAVE</v>
      </c>
      <c r="P2558" t="str">
        <f t="shared" si="1654"/>
        <v>0</v>
      </c>
      <c r="Q2558" t="str">
        <f t="shared" si="1654"/>
        <v>0</v>
      </c>
      <c r="R2558" t="str">
        <f t="shared" si="1655"/>
        <v>0,00</v>
      </c>
      <c r="S2558" t="str">
        <f t="shared" si="1655"/>
        <v>0,00</v>
      </c>
      <c r="T2558" t="str">
        <f t="shared" si="1620"/>
        <v xml:space="preserve"> </v>
      </c>
      <c r="U2558" t="str">
        <f t="shared" si="1621"/>
        <v xml:space="preserve"> </v>
      </c>
      <c r="V2558" t="str">
        <f>"7,000"</f>
        <v>7,000</v>
      </c>
      <c r="W2558" t="str">
        <f t="shared" si="1626"/>
        <v>Lista 4</v>
      </c>
      <c r="X2558" t="str">
        <f t="shared" si="1627"/>
        <v>Lista 5</v>
      </c>
      <c r="Y2558" t="str">
        <f t="shared" si="1628"/>
        <v>Oferta Gral.</v>
      </c>
      <c r="Z2558" t="str">
        <f t="shared" si="1629"/>
        <v>Rubro</v>
      </c>
      <c r="AA2558" t="str">
        <f t="shared" si="1630"/>
        <v>Cantidad por Bulto</v>
      </c>
      <c r="AB2558" t="str">
        <f t="shared" si="1631"/>
        <v>INNER</v>
      </c>
      <c r="AC2558" t="str">
        <f t="shared" si="1632"/>
        <v>Stock en Bultos</v>
      </c>
      <c r="AD2558" t="str">
        <f t="shared" si="1633"/>
        <v>SubDepósito</v>
      </c>
      <c r="AE2558" t="str">
        <f t="shared" si="1634"/>
        <v>Marca</v>
      </c>
      <c r="AF2558" t="str">
        <f t="shared" si="1635"/>
        <v>Super Rubro</v>
      </c>
      <c r="AG2558" t="str">
        <f t="shared" si="1636"/>
        <v>ComercioExterior</v>
      </c>
      <c r="AH2558" t="str">
        <f t="shared" si="1637"/>
        <v>PrecioFOB</v>
      </c>
      <c r="AI2558" t="str">
        <f t="shared" si="1638"/>
        <v>Monto II</v>
      </c>
      <c r="AJ2558" t="str">
        <f t="shared" si="1639"/>
        <v>Porcentaje II</v>
      </c>
      <c r="AK2558" t="str">
        <f t="shared" si="1640"/>
        <v>Foto</v>
      </c>
      <c r="AL2558" t="str">
        <f>"{\rtf1\ansi\ansicpg1252\deff0\deflang11274{\fonttbl{\f0\fnil\fcharset0 MS Sans Serif}} \viewkind4\uc1\pard\f0\fs16 LLAVE CONTACTO ARRANQUE PALIO SIENA MODELO VIEJO EX DV1320\par } "</f>
        <v xml:space="preserve">{\rtf1\ansi\ansicpg1252\deff0\deflang11274{\fonttbl{\f0\fnil\fcharset0 MS Sans Serif}} \viewkind4\uc1\pard\f0\fs16 LLAVE CONTACTO ARRANQUE PALIO SIENA MODELO VIEJO EX DV1320\par } </v>
      </c>
      <c r="AM2558" t="str">
        <f t="shared" si="1658"/>
        <v xml:space="preserve"> </v>
      </c>
    </row>
    <row r="2559" spans="1:39" x14ac:dyDescent="0.25">
      <c r="A2559" t="str">
        <f>"20408"</f>
        <v>20408</v>
      </c>
      <c r="B2559" t="str">
        <f>"LLAVE CONTACTO ARRANQUE PEUGEOT 504 1990 A 1993"</f>
        <v>LLAVE CONTACTO ARRANQUE PEUGEOT 504 1990 A 1993</v>
      </c>
      <c r="C2559" t="str">
        <f>"$ 19321,07"</f>
        <v>$ 19321,07</v>
      </c>
      <c r="D2559" t="str">
        <f>"$ 19321,07"</f>
        <v>$ 19321,07</v>
      </c>
      <c r="E2559" t="str">
        <f>"$ 19321,07"</f>
        <v>$ 19321,07</v>
      </c>
      <c r="F2559" t="str">
        <f>"$ 8004,42"</f>
        <v>$ 8004,42</v>
      </c>
      <c r="G2559" t="str">
        <f>"$ 8004,42"</f>
        <v>$ 8004,42</v>
      </c>
      <c r="H2559" t="str">
        <f t="shared" si="1622"/>
        <v>$ 0,00</v>
      </c>
      <c r="I2559" t="str">
        <f t="shared" si="1659"/>
        <v>LLAVE CONTACTO-ARRANQUE</v>
      </c>
      <c r="J2559" t="str">
        <f t="shared" si="1623"/>
        <v>1</v>
      </c>
      <c r="K2559" t="str">
        <f t="shared" si="1647"/>
        <v>0</v>
      </c>
      <c r="L2559" t="str">
        <f>"6,000"</f>
        <v>6,000</v>
      </c>
      <c r="M2559" t="str">
        <f t="shared" si="1624"/>
        <v xml:space="preserve"> </v>
      </c>
      <c r="N2559" t="str">
        <f t="shared" si="1660"/>
        <v>DIVAIO</v>
      </c>
      <c r="O2559" t="str">
        <f t="shared" si="1661"/>
        <v>LLAVE</v>
      </c>
      <c r="P2559" t="str">
        <f t="shared" si="1654"/>
        <v>0</v>
      </c>
      <c r="Q2559" t="str">
        <f t="shared" si="1654"/>
        <v>0</v>
      </c>
      <c r="R2559" t="str">
        <f t="shared" si="1655"/>
        <v>0,00</v>
      </c>
      <c r="S2559" t="str">
        <f t="shared" si="1655"/>
        <v>0,00</v>
      </c>
      <c r="T2559" t="str">
        <f t="shared" ref="T2559:T2622" si="1662">" "</f>
        <v xml:space="preserve"> </v>
      </c>
      <c r="U2559" t="str">
        <f t="shared" si="1621"/>
        <v xml:space="preserve"> </v>
      </c>
      <c r="V2559" t="str">
        <f>"6,000"</f>
        <v>6,000</v>
      </c>
      <c r="W2559" t="str">
        <f t="shared" si="1626"/>
        <v>Lista 4</v>
      </c>
      <c r="X2559" t="str">
        <f t="shared" si="1627"/>
        <v>Lista 5</v>
      </c>
      <c r="Y2559" t="str">
        <f t="shared" si="1628"/>
        <v>Oferta Gral.</v>
      </c>
      <c r="Z2559" t="str">
        <f t="shared" si="1629"/>
        <v>Rubro</v>
      </c>
      <c r="AA2559" t="str">
        <f t="shared" si="1630"/>
        <v>Cantidad por Bulto</v>
      </c>
      <c r="AB2559" t="str">
        <f t="shared" si="1631"/>
        <v>INNER</v>
      </c>
      <c r="AC2559" t="str">
        <f t="shared" si="1632"/>
        <v>Stock en Bultos</v>
      </c>
      <c r="AD2559" t="str">
        <f t="shared" si="1633"/>
        <v>SubDepósito</v>
      </c>
      <c r="AE2559" t="str">
        <f t="shared" si="1634"/>
        <v>Marca</v>
      </c>
      <c r="AF2559" t="str">
        <f t="shared" si="1635"/>
        <v>Super Rubro</v>
      </c>
      <c r="AG2559" t="str">
        <f t="shared" si="1636"/>
        <v>ComercioExterior</v>
      </c>
      <c r="AH2559" t="str">
        <f t="shared" si="1637"/>
        <v>PrecioFOB</v>
      </c>
      <c r="AI2559" t="str">
        <f t="shared" si="1638"/>
        <v>Monto II</v>
      </c>
      <c r="AJ2559" t="str">
        <f t="shared" si="1639"/>
        <v>Porcentaje II</v>
      </c>
      <c r="AK2559" t="str">
        <f t="shared" si="1640"/>
        <v>Foto</v>
      </c>
      <c r="AL2559" t="str">
        <f>"{\rtf1\ansi\ansicpg1252\deff0\deflang2058{\fonttbl{\f0\fnil\fcharset0 MS Sans Serif}} \viewkind4\uc1\pard\f0\fs16 LLAVE CONTACTO ARRANQUE PEUGEOT 504 1990 A 1993\par } "</f>
        <v xml:space="preserve">{\rtf1\ansi\ansicpg1252\deff0\deflang2058{\fonttbl{\f0\fnil\fcharset0 MS Sans Serif}} \viewkind4\uc1\pard\f0\fs16 LLAVE CONTACTO ARRANQUE PEUGEOT 504 1990 A 1993\par } </v>
      </c>
      <c r="AM2559" t="str">
        <f t="shared" si="1658"/>
        <v xml:space="preserve"> </v>
      </c>
    </row>
    <row r="2560" spans="1:39" x14ac:dyDescent="0.25">
      <c r="A2560" t="str">
        <f>"20409"</f>
        <v>20409</v>
      </c>
      <c r="B2560" t="str">
        <f>"LLAVE CONTACTO ARRANQUE PEUGEOT 504 94/95 EX DV4317"</f>
        <v>LLAVE CONTACTO ARRANQUE PEUGEOT 504 94/95 EX DV4317</v>
      </c>
      <c r="C2560" t="str">
        <f>"$ 19796,18"</f>
        <v>$ 19796,18</v>
      </c>
      <c r="D2560" t="str">
        <f>"$ 19796,18"</f>
        <v>$ 19796,18</v>
      </c>
      <c r="E2560" t="str">
        <f>"$ 19796,18"</f>
        <v>$ 19796,18</v>
      </c>
      <c r="F2560" t="str">
        <f>"$ 19796,18"</f>
        <v>$ 19796,18</v>
      </c>
      <c r="G2560" t="str">
        <f>"$ 19796,18"</f>
        <v>$ 19796,18</v>
      </c>
      <c r="H2560" t="str">
        <f t="shared" si="1622"/>
        <v>$ 0,00</v>
      </c>
      <c r="I2560" t="str">
        <f t="shared" si="1659"/>
        <v>LLAVE CONTACTO-ARRANQUE</v>
      </c>
      <c r="J2560" t="str">
        <f t="shared" si="1623"/>
        <v>1</v>
      </c>
      <c r="K2560" t="str">
        <f t="shared" si="1647"/>
        <v>0</v>
      </c>
      <c r="L2560" t="str">
        <f>"4,000"</f>
        <v>4,000</v>
      </c>
      <c r="M2560" t="str">
        <f t="shared" si="1624"/>
        <v xml:space="preserve"> </v>
      </c>
      <c r="N2560" t="str">
        <f t="shared" si="1660"/>
        <v>DIVAIO</v>
      </c>
      <c r="O2560" t="str">
        <f t="shared" si="1661"/>
        <v>LLAVE</v>
      </c>
      <c r="P2560" t="str">
        <f t="shared" si="1654"/>
        <v>0</v>
      </c>
      <c r="Q2560" t="str">
        <f t="shared" si="1654"/>
        <v>0</v>
      </c>
      <c r="R2560" t="str">
        <f t="shared" si="1655"/>
        <v>0,00</v>
      </c>
      <c r="S2560" t="str">
        <f t="shared" si="1655"/>
        <v>0,00</v>
      </c>
      <c r="T2560" t="str">
        <f t="shared" si="1662"/>
        <v xml:space="preserve"> </v>
      </c>
      <c r="U2560" t="str">
        <f t="shared" si="1621"/>
        <v xml:space="preserve"> </v>
      </c>
      <c r="V2560" t="str">
        <f>"4,000"</f>
        <v>4,000</v>
      </c>
      <c r="W2560" t="str">
        <f t="shared" si="1626"/>
        <v>Lista 4</v>
      </c>
      <c r="X2560" t="str">
        <f t="shared" si="1627"/>
        <v>Lista 5</v>
      </c>
      <c r="Y2560" t="str">
        <f t="shared" si="1628"/>
        <v>Oferta Gral.</v>
      </c>
      <c r="Z2560" t="str">
        <f t="shared" si="1629"/>
        <v>Rubro</v>
      </c>
      <c r="AA2560" t="str">
        <f t="shared" si="1630"/>
        <v>Cantidad por Bulto</v>
      </c>
      <c r="AB2560" t="str">
        <f t="shared" si="1631"/>
        <v>INNER</v>
      </c>
      <c r="AC2560" t="str">
        <f t="shared" si="1632"/>
        <v>Stock en Bultos</v>
      </c>
      <c r="AD2560" t="str">
        <f t="shared" si="1633"/>
        <v>SubDepósito</v>
      </c>
      <c r="AE2560" t="str">
        <f t="shared" si="1634"/>
        <v>Marca</v>
      </c>
      <c r="AF2560" t="str">
        <f t="shared" si="1635"/>
        <v>Super Rubro</v>
      </c>
      <c r="AG2560" t="str">
        <f t="shared" si="1636"/>
        <v>ComercioExterior</v>
      </c>
      <c r="AH2560" t="str">
        <f t="shared" si="1637"/>
        <v>PrecioFOB</v>
      </c>
      <c r="AI2560" t="str">
        <f t="shared" si="1638"/>
        <v>Monto II</v>
      </c>
      <c r="AJ2560" t="str">
        <f t="shared" si="1639"/>
        <v>Porcentaje II</v>
      </c>
      <c r="AK2560" t="str">
        <f t="shared" si="1640"/>
        <v>Foto</v>
      </c>
      <c r="AL2560" t="str">
        <f>"{\rtf1\ansi\ansicpg1252\deff0\deflang11274{\fonttbl{\f0\fnil\fcharset0 MS Sans Serif}} \viewkind4\uc1\pard\f0\fs16 LLAVE CONTACTO ARRANQUE PEUGEOT 504 94/95 EX DV4317\par } "</f>
        <v xml:space="preserve">{\rtf1\ansi\ansicpg1252\deff0\deflang11274{\fonttbl{\f0\fnil\fcharset0 MS Sans Serif}} \viewkind4\uc1\pard\f0\fs16 LLAVE CONTACTO ARRANQUE PEUGEOT 504 94/95 EX DV4317\par } </v>
      </c>
      <c r="AM2560" t="str">
        <f t="shared" si="1658"/>
        <v xml:space="preserve"> </v>
      </c>
    </row>
    <row r="2561" spans="1:39" x14ac:dyDescent="0.25">
      <c r="A2561" t="str">
        <f>"20107"</f>
        <v>20107</v>
      </c>
      <c r="B2561" t="str">
        <f>"LLAVE CONTACTO ARRANQUE PEUGEOT 504 95/96 EX DV4318"</f>
        <v>LLAVE CONTACTO ARRANQUE PEUGEOT 504 95/96 EX DV4318</v>
      </c>
      <c r="C2561" t="str">
        <f>"$ 20746,39"</f>
        <v>$ 20746,39</v>
      </c>
      <c r="D2561" t="str">
        <f>"$ 20746,39"</f>
        <v>$ 20746,39</v>
      </c>
      <c r="E2561" t="str">
        <f>"$ 20746,39"</f>
        <v>$ 20746,39</v>
      </c>
      <c r="F2561" t="str">
        <f>"$ 20746,39"</f>
        <v>$ 20746,39</v>
      </c>
      <c r="G2561" t="str">
        <f>"$ 20746,39"</f>
        <v>$ 20746,39</v>
      </c>
      <c r="H2561" t="str">
        <f t="shared" si="1622"/>
        <v>$ 0,00</v>
      </c>
      <c r="I2561" t="str">
        <f t="shared" si="1659"/>
        <v>LLAVE CONTACTO-ARRANQUE</v>
      </c>
      <c r="J2561" t="str">
        <f t="shared" si="1623"/>
        <v>1</v>
      </c>
      <c r="K2561" t="str">
        <f t="shared" si="1647"/>
        <v>0</v>
      </c>
      <c r="L2561" t="str">
        <f>"8,000"</f>
        <v>8,000</v>
      </c>
      <c r="M2561" t="str">
        <f t="shared" si="1624"/>
        <v xml:space="preserve"> </v>
      </c>
      <c r="N2561" t="str">
        <f t="shared" si="1660"/>
        <v>DIVAIO</v>
      </c>
      <c r="O2561" t="str">
        <f t="shared" si="1661"/>
        <v>LLAVE</v>
      </c>
      <c r="P2561" t="str">
        <f t="shared" si="1654"/>
        <v>0</v>
      </c>
      <c r="Q2561" t="str">
        <f t="shared" si="1654"/>
        <v>0</v>
      </c>
      <c r="R2561" t="str">
        <f t="shared" si="1655"/>
        <v>0,00</v>
      </c>
      <c r="S2561" t="str">
        <f t="shared" si="1655"/>
        <v>0,00</v>
      </c>
      <c r="T2561" t="str">
        <f t="shared" si="1662"/>
        <v xml:space="preserve"> </v>
      </c>
      <c r="U2561" t="str">
        <f t="shared" si="1621"/>
        <v xml:space="preserve"> </v>
      </c>
      <c r="V2561" t="str">
        <f>"8,000"</f>
        <v>8,000</v>
      </c>
      <c r="W2561" t="str">
        <f t="shared" si="1626"/>
        <v>Lista 4</v>
      </c>
      <c r="X2561" t="str">
        <f t="shared" si="1627"/>
        <v>Lista 5</v>
      </c>
      <c r="Y2561" t="str">
        <f t="shared" si="1628"/>
        <v>Oferta Gral.</v>
      </c>
      <c r="Z2561" t="str">
        <f t="shared" si="1629"/>
        <v>Rubro</v>
      </c>
      <c r="AA2561" t="str">
        <f t="shared" si="1630"/>
        <v>Cantidad por Bulto</v>
      </c>
      <c r="AB2561" t="str">
        <f t="shared" si="1631"/>
        <v>INNER</v>
      </c>
      <c r="AC2561" t="str">
        <f t="shared" si="1632"/>
        <v>Stock en Bultos</v>
      </c>
      <c r="AD2561" t="str">
        <f t="shared" si="1633"/>
        <v>SubDepósito</v>
      </c>
      <c r="AE2561" t="str">
        <f t="shared" si="1634"/>
        <v>Marca</v>
      </c>
      <c r="AF2561" t="str">
        <f t="shared" si="1635"/>
        <v>Super Rubro</v>
      </c>
      <c r="AG2561" t="str">
        <f t="shared" si="1636"/>
        <v>ComercioExterior</v>
      </c>
      <c r="AH2561" t="str">
        <f t="shared" si="1637"/>
        <v>PrecioFOB</v>
      </c>
      <c r="AI2561" t="str">
        <f t="shared" si="1638"/>
        <v>Monto II</v>
      </c>
      <c r="AJ2561" t="str">
        <f t="shared" si="1639"/>
        <v>Porcentaje II</v>
      </c>
      <c r="AK2561" t="str">
        <f t="shared" si="1640"/>
        <v>Foto</v>
      </c>
      <c r="AL2561" t="str">
        <f>"{\rtf1\ansi\ansicpg1252\deff0\deflang11274{\fonttbl{\f0\fnil\fcharset0 MS Sans Serif}} \viewkind4\uc1\pard\f0\fs16 LLAVE CONTACTO ARRANQUE PEUGEOT 504 95/96 EX DV4318\par } "</f>
        <v xml:space="preserve">{\rtf1\ansi\ansicpg1252\deff0\deflang11274{\fonttbl{\f0\fnil\fcharset0 MS Sans Serif}} \viewkind4\uc1\pard\f0\fs16 LLAVE CONTACTO ARRANQUE PEUGEOT 504 95/96 EX DV4318\par } </v>
      </c>
      <c r="AM2561" t="str">
        <f t="shared" si="1658"/>
        <v xml:space="preserve"> </v>
      </c>
    </row>
    <row r="2562" spans="1:39" x14ac:dyDescent="0.25">
      <c r="A2562" t="str">
        <f>"20207"</f>
        <v>20207</v>
      </c>
      <c r="B2562" t="str">
        <f>"LLAVE CONTACTO ARRANQUE R-12 HASTA 1979 EX DV2121"</f>
        <v>LLAVE CONTACTO ARRANQUE R-12 HASTA 1979 EX DV2121</v>
      </c>
      <c r="C2562" t="str">
        <f>"$ 19944,00"</f>
        <v>$ 19944,00</v>
      </c>
      <c r="D2562" t="str">
        <f>"$ 19944,00"</f>
        <v>$ 19944,00</v>
      </c>
      <c r="E2562" t="str">
        <f>"$ 19944,00"</f>
        <v>$ 19944,00</v>
      </c>
      <c r="F2562" t="str">
        <f>"$ 19944,00"</f>
        <v>$ 19944,00</v>
      </c>
      <c r="G2562" t="str">
        <f>"$ 19944,00"</f>
        <v>$ 19944,00</v>
      </c>
      <c r="H2562" t="str">
        <f t="shared" si="1622"/>
        <v>$ 0,00</v>
      </c>
      <c r="I2562" t="str">
        <f t="shared" si="1659"/>
        <v>LLAVE CONTACTO-ARRANQUE</v>
      </c>
      <c r="J2562" t="str">
        <f t="shared" si="1623"/>
        <v>1</v>
      </c>
      <c r="K2562" t="str">
        <f t="shared" si="1647"/>
        <v>0</v>
      </c>
      <c r="L2562" t="str">
        <f>"11,000"</f>
        <v>11,000</v>
      </c>
      <c r="M2562" t="str">
        <f t="shared" si="1624"/>
        <v xml:space="preserve"> </v>
      </c>
      <c r="N2562" t="str">
        <f t="shared" si="1660"/>
        <v>DIVAIO</v>
      </c>
      <c r="O2562" t="str">
        <f t="shared" si="1661"/>
        <v>LLAVE</v>
      </c>
      <c r="P2562" t="str">
        <f t="shared" si="1654"/>
        <v>0</v>
      </c>
      <c r="Q2562" t="str">
        <f t="shared" si="1654"/>
        <v>0</v>
      </c>
      <c r="R2562" t="str">
        <f t="shared" si="1655"/>
        <v>0,00</v>
      </c>
      <c r="S2562" t="str">
        <f t="shared" si="1655"/>
        <v>0,00</v>
      </c>
      <c r="T2562" t="str">
        <f t="shared" si="1662"/>
        <v xml:space="preserve"> </v>
      </c>
      <c r="U2562" t="str">
        <f t="shared" ref="U2562:U2625" si="1663">" "</f>
        <v xml:space="preserve"> </v>
      </c>
      <c r="V2562" t="str">
        <f>"11,000"</f>
        <v>11,000</v>
      </c>
      <c r="W2562" t="str">
        <f t="shared" si="1626"/>
        <v>Lista 4</v>
      </c>
      <c r="X2562" t="str">
        <f t="shared" si="1627"/>
        <v>Lista 5</v>
      </c>
      <c r="Y2562" t="str">
        <f t="shared" si="1628"/>
        <v>Oferta Gral.</v>
      </c>
      <c r="Z2562" t="str">
        <f t="shared" si="1629"/>
        <v>Rubro</v>
      </c>
      <c r="AA2562" t="str">
        <f t="shared" si="1630"/>
        <v>Cantidad por Bulto</v>
      </c>
      <c r="AB2562" t="str">
        <f t="shared" si="1631"/>
        <v>INNER</v>
      </c>
      <c r="AC2562" t="str">
        <f t="shared" si="1632"/>
        <v>Stock en Bultos</v>
      </c>
      <c r="AD2562" t="str">
        <f t="shared" si="1633"/>
        <v>SubDepósito</v>
      </c>
      <c r="AE2562" t="str">
        <f t="shared" si="1634"/>
        <v>Marca</v>
      </c>
      <c r="AF2562" t="str">
        <f t="shared" si="1635"/>
        <v>Super Rubro</v>
      </c>
      <c r="AG2562" t="str">
        <f t="shared" si="1636"/>
        <v>ComercioExterior</v>
      </c>
      <c r="AH2562" t="str">
        <f t="shared" si="1637"/>
        <v>PrecioFOB</v>
      </c>
      <c r="AI2562" t="str">
        <f t="shared" si="1638"/>
        <v>Monto II</v>
      </c>
      <c r="AJ2562" t="str">
        <f t="shared" si="1639"/>
        <v>Porcentaje II</v>
      </c>
      <c r="AK2562" t="str">
        <f t="shared" si="1640"/>
        <v>Foto</v>
      </c>
      <c r="AL2562" t="str">
        <f>"{\rtf1\ansi\ansicpg1252\deff0\deflang11274{\fonttbl{\f0\fnil\fcharset0 MS Sans Serif}} \viewkind4\uc1\pard\f0\fs16 LLAVE CONTACTO ARRANQUE R-12 HASTA 1979 EX DV2121\par } "</f>
        <v xml:space="preserve">{\rtf1\ansi\ansicpg1252\deff0\deflang11274{\fonttbl{\f0\fnil\fcharset0 MS Sans Serif}} \viewkind4\uc1\pard\f0\fs16 LLAVE CONTACTO ARRANQUE R-12 HASTA 1979 EX DV2121\par } </v>
      </c>
      <c r="AM2562" t="str">
        <f t="shared" si="1658"/>
        <v xml:space="preserve"> </v>
      </c>
    </row>
    <row r="2563" spans="1:39" x14ac:dyDescent="0.25">
      <c r="A2563" t="str">
        <f>"20210"</f>
        <v>20210</v>
      </c>
      <c r="B2563" t="str">
        <f>"LLAVE CONTACTO ARRANQUE R-21 EX DV2132"</f>
        <v>LLAVE CONTACTO ARRANQUE R-21 EX DV2132</v>
      </c>
      <c r="C2563" t="str">
        <f>"$ 19289,40"</f>
        <v>$ 19289,40</v>
      </c>
      <c r="D2563" t="str">
        <f>"$ 19289,40"</f>
        <v>$ 19289,40</v>
      </c>
      <c r="E2563" t="str">
        <f>"$ 19289,40"</f>
        <v>$ 19289,40</v>
      </c>
      <c r="F2563" t="str">
        <f>"$ 19289,40"</f>
        <v>$ 19289,40</v>
      </c>
      <c r="G2563" t="str">
        <f>"$ 19289,40"</f>
        <v>$ 19289,40</v>
      </c>
      <c r="H2563" t="str">
        <f t="shared" ref="H2563:H2626" si="1664">"$ 0,00"</f>
        <v>$ 0,00</v>
      </c>
      <c r="I2563" t="str">
        <f t="shared" si="1659"/>
        <v>LLAVE CONTACTO-ARRANQUE</v>
      </c>
      <c r="J2563" t="str">
        <f t="shared" ref="J2563:J2626" si="1665">"1"</f>
        <v>1</v>
      </c>
      <c r="K2563" t="str">
        <f t="shared" si="1647"/>
        <v>0</v>
      </c>
      <c r="L2563" t="str">
        <f>"15,000"</f>
        <v>15,000</v>
      </c>
      <c r="M2563" t="str">
        <f t="shared" ref="M2563:M2626" si="1666">" "</f>
        <v xml:space="preserve"> </v>
      </c>
      <c r="N2563" t="str">
        <f t="shared" si="1660"/>
        <v>DIVAIO</v>
      </c>
      <c r="O2563" t="str">
        <f t="shared" si="1661"/>
        <v>LLAVE</v>
      </c>
      <c r="P2563" t="str">
        <f t="shared" ref="P2563:Q2582" si="1667">"0"</f>
        <v>0</v>
      </c>
      <c r="Q2563" t="str">
        <f t="shared" si="1667"/>
        <v>0</v>
      </c>
      <c r="R2563" t="str">
        <f t="shared" ref="R2563:S2582" si="1668">"0,00"</f>
        <v>0,00</v>
      </c>
      <c r="S2563" t="str">
        <f t="shared" si="1668"/>
        <v>0,00</v>
      </c>
      <c r="T2563" t="str">
        <f t="shared" si="1662"/>
        <v xml:space="preserve"> </v>
      </c>
      <c r="U2563" t="str">
        <f t="shared" si="1663"/>
        <v xml:space="preserve"> </v>
      </c>
      <c r="V2563" t="str">
        <f>"15,000"</f>
        <v>15,000</v>
      </c>
      <c r="W2563" t="str">
        <f t="shared" ref="W2563:W2626" si="1669">"Lista 4"</f>
        <v>Lista 4</v>
      </c>
      <c r="X2563" t="str">
        <f t="shared" ref="X2563:X2626" si="1670">"Lista 5"</f>
        <v>Lista 5</v>
      </c>
      <c r="Y2563" t="str">
        <f t="shared" ref="Y2563:Y2626" si="1671">"Oferta Gral."</f>
        <v>Oferta Gral.</v>
      </c>
      <c r="Z2563" t="str">
        <f t="shared" ref="Z2563:Z2626" si="1672">"Rubro"</f>
        <v>Rubro</v>
      </c>
      <c r="AA2563" t="str">
        <f t="shared" ref="AA2563:AA2626" si="1673">"Cantidad por Bulto"</f>
        <v>Cantidad por Bulto</v>
      </c>
      <c r="AB2563" t="str">
        <f t="shared" ref="AB2563:AB2626" si="1674">"INNER"</f>
        <v>INNER</v>
      </c>
      <c r="AC2563" t="str">
        <f t="shared" ref="AC2563:AC2626" si="1675">"Stock en Bultos"</f>
        <v>Stock en Bultos</v>
      </c>
      <c r="AD2563" t="str">
        <f t="shared" ref="AD2563:AD2626" si="1676">"SubDepósito"</f>
        <v>SubDepósito</v>
      </c>
      <c r="AE2563" t="str">
        <f t="shared" ref="AE2563:AE2626" si="1677">"Marca"</f>
        <v>Marca</v>
      </c>
      <c r="AF2563" t="str">
        <f t="shared" ref="AF2563:AF2626" si="1678">"Super Rubro"</f>
        <v>Super Rubro</v>
      </c>
      <c r="AG2563" t="str">
        <f t="shared" ref="AG2563:AG2626" si="1679">"ComercioExterior"</f>
        <v>ComercioExterior</v>
      </c>
      <c r="AH2563" t="str">
        <f t="shared" ref="AH2563:AH2626" si="1680">"PrecioFOB"</f>
        <v>PrecioFOB</v>
      </c>
      <c r="AI2563" t="str">
        <f t="shared" ref="AI2563:AI2626" si="1681">"Monto II"</f>
        <v>Monto II</v>
      </c>
      <c r="AJ2563" t="str">
        <f t="shared" ref="AJ2563:AJ2626" si="1682">"Porcentaje II"</f>
        <v>Porcentaje II</v>
      </c>
      <c r="AK2563" t="str">
        <f t="shared" ref="AK2563:AK2626" si="1683">"Foto"</f>
        <v>Foto</v>
      </c>
      <c r="AL2563" t="str">
        <f>"{\rtf1\ansi\ansicpg1252\deff0\deflang11274{\fonttbl{\f0\fnil\fcharset0 MS Sans Serif}} \viewkind4\uc1\pard\f0\fs16 LLAVE CONTACTO ARRANQUE R-21 EX DV2132\par } "</f>
        <v xml:space="preserve">{\rtf1\ansi\ansicpg1252\deff0\deflang11274{\fonttbl{\f0\fnil\fcharset0 MS Sans Serif}} \viewkind4\uc1\pard\f0\fs16 LLAVE CONTACTO ARRANQUE R-21 EX DV2132\par } </v>
      </c>
      <c r="AM2563" t="str">
        <f t="shared" si="1658"/>
        <v xml:space="preserve"> </v>
      </c>
    </row>
    <row r="2564" spans="1:39" x14ac:dyDescent="0.25">
      <c r="A2564" t="str">
        <f>"20206"</f>
        <v>20206</v>
      </c>
      <c r="B2564" t="str">
        <f>"LLAVE CONTACTO ARRANQUE R12 DESDE 81 EX DV2122"</f>
        <v>LLAVE CONTACTO ARRANQUE R12 DESDE 81 EX DV2122</v>
      </c>
      <c r="C2564" t="str">
        <f t="shared" ref="C2564:G2565" si="1684">"$ 19099,36"</f>
        <v>$ 19099,36</v>
      </c>
      <c r="D2564" t="str">
        <f t="shared" si="1684"/>
        <v>$ 19099,36</v>
      </c>
      <c r="E2564" t="str">
        <f t="shared" si="1684"/>
        <v>$ 19099,36</v>
      </c>
      <c r="F2564" t="str">
        <f t="shared" si="1684"/>
        <v>$ 19099,36</v>
      </c>
      <c r="G2564" t="str">
        <f t="shared" si="1684"/>
        <v>$ 19099,36</v>
      </c>
      <c r="H2564" t="str">
        <f t="shared" si="1664"/>
        <v>$ 0,00</v>
      </c>
      <c r="I2564" t="str">
        <f t="shared" si="1659"/>
        <v>LLAVE CONTACTO-ARRANQUE</v>
      </c>
      <c r="J2564" t="str">
        <f t="shared" si="1665"/>
        <v>1</v>
      </c>
      <c r="K2564" t="str">
        <f t="shared" si="1647"/>
        <v>0</v>
      </c>
      <c r="L2564" t="str">
        <f>"23,000"</f>
        <v>23,000</v>
      </c>
      <c r="M2564" t="str">
        <f t="shared" si="1666"/>
        <v xml:space="preserve"> </v>
      </c>
      <c r="N2564" t="str">
        <f t="shared" si="1660"/>
        <v>DIVAIO</v>
      </c>
      <c r="O2564" t="str">
        <f t="shared" si="1661"/>
        <v>LLAVE</v>
      </c>
      <c r="P2564" t="str">
        <f t="shared" si="1667"/>
        <v>0</v>
      </c>
      <c r="Q2564" t="str">
        <f t="shared" si="1667"/>
        <v>0</v>
      </c>
      <c r="R2564" t="str">
        <f t="shared" si="1668"/>
        <v>0,00</v>
      </c>
      <c r="S2564" t="str">
        <f t="shared" si="1668"/>
        <v>0,00</v>
      </c>
      <c r="T2564" t="str">
        <f t="shared" si="1662"/>
        <v xml:space="preserve"> </v>
      </c>
      <c r="U2564" t="str">
        <f t="shared" si="1663"/>
        <v xml:space="preserve"> </v>
      </c>
      <c r="V2564" t="str">
        <f>"23,000"</f>
        <v>23,000</v>
      </c>
      <c r="W2564" t="str">
        <f t="shared" si="1669"/>
        <v>Lista 4</v>
      </c>
      <c r="X2564" t="str">
        <f t="shared" si="1670"/>
        <v>Lista 5</v>
      </c>
      <c r="Y2564" t="str">
        <f t="shared" si="1671"/>
        <v>Oferta Gral.</v>
      </c>
      <c r="Z2564" t="str">
        <f t="shared" si="1672"/>
        <v>Rubro</v>
      </c>
      <c r="AA2564" t="str">
        <f t="shared" si="1673"/>
        <v>Cantidad por Bulto</v>
      </c>
      <c r="AB2564" t="str">
        <f t="shared" si="1674"/>
        <v>INNER</v>
      </c>
      <c r="AC2564" t="str">
        <f t="shared" si="1675"/>
        <v>Stock en Bultos</v>
      </c>
      <c r="AD2564" t="str">
        <f t="shared" si="1676"/>
        <v>SubDepósito</v>
      </c>
      <c r="AE2564" t="str">
        <f t="shared" si="1677"/>
        <v>Marca</v>
      </c>
      <c r="AF2564" t="str">
        <f t="shared" si="1678"/>
        <v>Super Rubro</v>
      </c>
      <c r="AG2564" t="str">
        <f t="shared" si="1679"/>
        <v>ComercioExterior</v>
      </c>
      <c r="AH2564" t="str">
        <f t="shared" si="1680"/>
        <v>PrecioFOB</v>
      </c>
      <c r="AI2564" t="str">
        <f t="shared" si="1681"/>
        <v>Monto II</v>
      </c>
      <c r="AJ2564" t="str">
        <f t="shared" si="1682"/>
        <v>Porcentaje II</v>
      </c>
      <c r="AK2564" t="str">
        <f t="shared" si="1683"/>
        <v>Foto</v>
      </c>
      <c r="AL2564" t="str">
        <f>"{\rtf1\ansi\ansicpg1252\deff0\deflang11274{\fonttbl{\f0\fnil\fcharset0 MS Sans Serif}} \viewkind4\uc1\pard\f0\fs16 LLAVE CONTACTO ARRANQUE R12 DESDE 81 EX DV2122\par } "</f>
        <v xml:space="preserve">{\rtf1\ansi\ansicpg1252\deff0\deflang11274{\fonttbl{\f0\fnil\fcharset0 MS Sans Serif}} \viewkind4\uc1\pard\f0\fs16 LLAVE CONTACTO ARRANQUE R12 DESDE 81 EX DV2122\par } </v>
      </c>
      <c r="AM2564" t="str">
        <f t="shared" si="1658"/>
        <v xml:space="preserve"> </v>
      </c>
    </row>
    <row r="2565" spans="1:39" x14ac:dyDescent="0.25">
      <c r="A2565" t="str">
        <f>"20208"</f>
        <v>20208</v>
      </c>
      <c r="B2565" t="str">
        <f>"LLAVE CONTACTO ARRANQUE R18 FUEGO EX DV2129"</f>
        <v>LLAVE CONTACTO ARRANQUE R18 FUEGO EX DV2129</v>
      </c>
      <c r="C2565" t="str">
        <f t="shared" si="1684"/>
        <v>$ 19099,36</v>
      </c>
      <c r="D2565" t="str">
        <f t="shared" si="1684"/>
        <v>$ 19099,36</v>
      </c>
      <c r="E2565" t="str">
        <f t="shared" si="1684"/>
        <v>$ 19099,36</v>
      </c>
      <c r="F2565" t="str">
        <f t="shared" si="1684"/>
        <v>$ 19099,36</v>
      </c>
      <c r="G2565" t="str">
        <f t="shared" si="1684"/>
        <v>$ 19099,36</v>
      </c>
      <c r="H2565" t="str">
        <f t="shared" si="1664"/>
        <v>$ 0,00</v>
      </c>
      <c r="I2565" t="str">
        <f t="shared" si="1659"/>
        <v>LLAVE CONTACTO-ARRANQUE</v>
      </c>
      <c r="J2565" t="str">
        <f t="shared" si="1665"/>
        <v>1</v>
      </c>
      <c r="K2565" t="str">
        <f t="shared" si="1647"/>
        <v>0</v>
      </c>
      <c r="L2565" t="str">
        <f>"25,000"</f>
        <v>25,000</v>
      </c>
      <c r="M2565" t="str">
        <f t="shared" si="1666"/>
        <v xml:space="preserve"> </v>
      </c>
      <c r="N2565" t="str">
        <f t="shared" si="1660"/>
        <v>DIVAIO</v>
      </c>
      <c r="O2565" t="str">
        <f t="shared" si="1661"/>
        <v>LLAVE</v>
      </c>
      <c r="P2565" t="str">
        <f t="shared" si="1667"/>
        <v>0</v>
      </c>
      <c r="Q2565" t="str">
        <f t="shared" si="1667"/>
        <v>0</v>
      </c>
      <c r="R2565" t="str">
        <f t="shared" si="1668"/>
        <v>0,00</v>
      </c>
      <c r="S2565" t="str">
        <f t="shared" si="1668"/>
        <v>0,00</v>
      </c>
      <c r="T2565" t="str">
        <f t="shared" si="1662"/>
        <v xml:space="preserve"> </v>
      </c>
      <c r="U2565" t="str">
        <f t="shared" si="1663"/>
        <v xml:space="preserve"> </v>
      </c>
      <c r="V2565" t="str">
        <f>"25,000"</f>
        <v>25,000</v>
      </c>
      <c r="W2565" t="str">
        <f t="shared" si="1669"/>
        <v>Lista 4</v>
      </c>
      <c r="X2565" t="str">
        <f t="shared" si="1670"/>
        <v>Lista 5</v>
      </c>
      <c r="Y2565" t="str">
        <f t="shared" si="1671"/>
        <v>Oferta Gral.</v>
      </c>
      <c r="Z2565" t="str">
        <f t="shared" si="1672"/>
        <v>Rubro</v>
      </c>
      <c r="AA2565" t="str">
        <f t="shared" si="1673"/>
        <v>Cantidad por Bulto</v>
      </c>
      <c r="AB2565" t="str">
        <f t="shared" si="1674"/>
        <v>INNER</v>
      </c>
      <c r="AC2565" t="str">
        <f t="shared" si="1675"/>
        <v>Stock en Bultos</v>
      </c>
      <c r="AD2565" t="str">
        <f t="shared" si="1676"/>
        <v>SubDepósito</v>
      </c>
      <c r="AE2565" t="str">
        <f t="shared" si="1677"/>
        <v>Marca</v>
      </c>
      <c r="AF2565" t="str">
        <f t="shared" si="1678"/>
        <v>Super Rubro</v>
      </c>
      <c r="AG2565" t="str">
        <f t="shared" si="1679"/>
        <v>ComercioExterior</v>
      </c>
      <c r="AH2565" t="str">
        <f t="shared" si="1680"/>
        <v>PrecioFOB</v>
      </c>
      <c r="AI2565" t="str">
        <f t="shared" si="1681"/>
        <v>Monto II</v>
      </c>
      <c r="AJ2565" t="str">
        <f t="shared" si="1682"/>
        <v>Porcentaje II</v>
      </c>
      <c r="AK2565" t="str">
        <f t="shared" si="1683"/>
        <v>Foto</v>
      </c>
      <c r="AL2565" t="str">
        <f>"{\rtf1\ansi\ansicpg1252\deff0\deflang11274{\fonttbl{\f0\fnil\fcharset0 MS Sans Serif}} \viewkind4\uc1\pard\f0\fs16 LLAVE CONTACTO ARRANQUE R18 FUEGO EX DV2129\par } "</f>
        <v xml:space="preserve">{\rtf1\ansi\ansicpg1252\deff0\deflang11274{\fonttbl{\f0\fnil\fcharset0 MS Sans Serif}} \viewkind4\uc1\pard\f0\fs16 LLAVE CONTACTO ARRANQUE R18 FUEGO EX DV2129\par } </v>
      </c>
      <c r="AM2565" t="str">
        <f t="shared" si="1658"/>
        <v xml:space="preserve"> </v>
      </c>
    </row>
    <row r="2566" spans="1:39" x14ac:dyDescent="0.25">
      <c r="A2566" t="str">
        <f>"20212"</f>
        <v>20212</v>
      </c>
      <c r="B2566" t="str">
        <f>"LLAVE CONTACTO ARRANQUE R19 CLIO EX DV2137"</f>
        <v>LLAVE CONTACTO ARRANQUE R19 CLIO EX DV2137</v>
      </c>
      <c r="C2566" t="str">
        <f>"$ 25170,19"</f>
        <v>$ 25170,19</v>
      </c>
      <c r="D2566" t="str">
        <f>"$ 25170,19"</f>
        <v>$ 25170,19</v>
      </c>
      <c r="E2566" t="str">
        <f>"$ 25170,19"</f>
        <v>$ 25170,19</v>
      </c>
      <c r="F2566" t="str">
        <f>"$ 25170,19"</f>
        <v>$ 25170,19</v>
      </c>
      <c r="G2566" t="str">
        <f>"$ 25170,19"</f>
        <v>$ 25170,19</v>
      </c>
      <c r="H2566" t="str">
        <f t="shared" si="1664"/>
        <v>$ 0,00</v>
      </c>
      <c r="I2566" t="str">
        <f t="shared" si="1659"/>
        <v>LLAVE CONTACTO-ARRANQUE</v>
      </c>
      <c r="J2566" t="str">
        <f t="shared" si="1665"/>
        <v>1</v>
      </c>
      <c r="K2566" t="str">
        <f t="shared" si="1647"/>
        <v>0</v>
      </c>
      <c r="L2566" t="str">
        <f>"20,000"</f>
        <v>20,000</v>
      </c>
      <c r="M2566" t="str">
        <f t="shared" si="1666"/>
        <v xml:space="preserve"> </v>
      </c>
      <c r="N2566" t="str">
        <f t="shared" si="1660"/>
        <v>DIVAIO</v>
      </c>
      <c r="O2566" t="str">
        <f t="shared" si="1661"/>
        <v>LLAVE</v>
      </c>
      <c r="P2566" t="str">
        <f t="shared" si="1667"/>
        <v>0</v>
      </c>
      <c r="Q2566" t="str">
        <f t="shared" si="1667"/>
        <v>0</v>
      </c>
      <c r="R2566" t="str">
        <f t="shared" si="1668"/>
        <v>0,00</v>
      </c>
      <c r="S2566" t="str">
        <f t="shared" si="1668"/>
        <v>0,00</v>
      </c>
      <c r="T2566" t="str">
        <f t="shared" si="1662"/>
        <v xml:space="preserve"> </v>
      </c>
      <c r="U2566" t="str">
        <f t="shared" si="1663"/>
        <v xml:space="preserve"> </v>
      </c>
      <c r="V2566" t="str">
        <f>"20,000"</f>
        <v>20,000</v>
      </c>
      <c r="W2566" t="str">
        <f t="shared" si="1669"/>
        <v>Lista 4</v>
      </c>
      <c r="X2566" t="str">
        <f t="shared" si="1670"/>
        <v>Lista 5</v>
      </c>
      <c r="Y2566" t="str">
        <f t="shared" si="1671"/>
        <v>Oferta Gral.</v>
      </c>
      <c r="Z2566" t="str">
        <f t="shared" si="1672"/>
        <v>Rubro</v>
      </c>
      <c r="AA2566" t="str">
        <f t="shared" si="1673"/>
        <v>Cantidad por Bulto</v>
      </c>
      <c r="AB2566" t="str">
        <f t="shared" si="1674"/>
        <v>INNER</v>
      </c>
      <c r="AC2566" t="str">
        <f t="shared" si="1675"/>
        <v>Stock en Bultos</v>
      </c>
      <c r="AD2566" t="str">
        <f t="shared" si="1676"/>
        <v>SubDepósito</v>
      </c>
      <c r="AE2566" t="str">
        <f t="shared" si="1677"/>
        <v>Marca</v>
      </c>
      <c r="AF2566" t="str">
        <f t="shared" si="1678"/>
        <v>Super Rubro</v>
      </c>
      <c r="AG2566" t="str">
        <f t="shared" si="1679"/>
        <v>ComercioExterior</v>
      </c>
      <c r="AH2566" t="str">
        <f t="shared" si="1680"/>
        <v>PrecioFOB</v>
      </c>
      <c r="AI2566" t="str">
        <f t="shared" si="1681"/>
        <v>Monto II</v>
      </c>
      <c r="AJ2566" t="str">
        <f t="shared" si="1682"/>
        <v>Porcentaje II</v>
      </c>
      <c r="AK2566" t="str">
        <f t="shared" si="1683"/>
        <v>Foto</v>
      </c>
      <c r="AL2566" t="str">
        <f>"{\rtf1\ansi\ansicpg1252\deff0\deflang11274{\fonttbl{\f0\fnil\fcharset0 MS Sans Serif}} \viewkind4\uc1\pard\f0\fs16 LLAVE CONTACTO ARRANQUE R19 CLIO EX DV2137\par } "</f>
        <v xml:space="preserve">{\rtf1\ansi\ansicpg1252\deff0\deflang11274{\fonttbl{\f0\fnil\fcharset0 MS Sans Serif}} \viewkind4\uc1\pard\f0\fs16 LLAVE CONTACTO ARRANQUE R19 CLIO EX DV2137\par } </v>
      </c>
      <c r="AM2566" t="str">
        <f t="shared" si="1658"/>
        <v xml:space="preserve"> </v>
      </c>
    </row>
    <row r="2567" spans="1:39" x14ac:dyDescent="0.25">
      <c r="A2567" t="str">
        <f>"20209"</f>
        <v>20209</v>
      </c>
      <c r="B2567" t="str">
        <f>"LLAVE CONTACTO ARRANQUE R9/11 EX DV2131 "</f>
        <v xml:space="preserve">LLAVE CONTACTO ARRANQUE R9/11 EX DV2131 </v>
      </c>
      <c r="C2567" t="str">
        <f>"$ 19373,86"</f>
        <v>$ 19373,86</v>
      </c>
      <c r="D2567" t="str">
        <f>"$ 19373,86"</f>
        <v>$ 19373,86</v>
      </c>
      <c r="E2567" t="str">
        <f>"$ 19373,86"</f>
        <v>$ 19373,86</v>
      </c>
      <c r="F2567" t="str">
        <f>"$ 19373,86"</f>
        <v>$ 19373,86</v>
      </c>
      <c r="G2567" t="str">
        <f>"$ 19373,86"</f>
        <v>$ 19373,86</v>
      </c>
      <c r="H2567" t="str">
        <f t="shared" si="1664"/>
        <v>$ 0,00</v>
      </c>
      <c r="I2567" t="str">
        <f t="shared" si="1659"/>
        <v>LLAVE CONTACTO-ARRANQUE</v>
      </c>
      <c r="J2567" t="str">
        <f t="shared" si="1665"/>
        <v>1</v>
      </c>
      <c r="K2567" t="str">
        <f t="shared" si="1647"/>
        <v>0</v>
      </c>
      <c r="L2567" t="str">
        <f>"17,000"</f>
        <v>17,000</v>
      </c>
      <c r="M2567" t="str">
        <f t="shared" si="1666"/>
        <v xml:space="preserve"> </v>
      </c>
      <c r="N2567" t="str">
        <f t="shared" si="1660"/>
        <v>DIVAIO</v>
      </c>
      <c r="O2567" t="str">
        <f t="shared" si="1661"/>
        <v>LLAVE</v>
      </c>
      <c r="P2567" t="str">
        <f t="shared" si="1667"/>
        <v>0</v>
      </c>
      <c r="Q2567" t="str">
        <f t="shared" si="1667"/>
        <v>0</v>
      </c>
      <c r="R2567" t="str">
        <f t="shared" si="1668"/>
        <v>0,00</v>
      </c>
      <c r="S2567" t="str">
        <f t="shared" si="1668"/>
        <v>0,00</v>
      </c>
      <c r="T2567" t="str">
        <f t="shared" si="1662"/>
        <v xml:space="preserve"> </v>
      </c>
      <c r="U2567" t="str">
        <f t="shared" si="1663"/>
        <v xml:space="preserve"> </v>
      </c>
      <c r="V2567" t="str">
        <f>"17,000"</f>
        <v>17,000</v>
      </c>
      <c r="W2567" t="str">
        <f t="shared" si="1669"/>
        <v>Lista 4</v>
      </c>
      <c r="X2567" t="str">
        <f t="shared" si="1670"/>
        <v>Lista 5</v>
      </c>
      <c r="Y2567" t="str">
        <f t="shared" si="1671"/>
        <v>Oferta Gral.</v>
      </c>
      <c r="Z2567" t="str">
        <f t="shared" si="1672"/>
        <v>Rubro</v>
      </c>
      <c r="AA2567" t="str">
        <f t="shared" si="1673"/>
        <v>Cantidad por Bulto</v>
      </c>
      <c r="AB2567" t="str">
        <f t="shared" si="1674"/>
        <v>INNER</v>
      </c>
      <c r="AC2567" t="str">
        <f t="shared" si="1675"/>
        <v>Stock en Bultos</v>
      </c>
      <c r="AD2567" t="str">
        <f t="shared" si="1676"/>
        <v>SubDepósito</v>
      </c>
      <c r="AE2567" t="str">
        <f t="shared" si="1677"/>
        <v>Marca</v>
      </c>
      <c r="AF2567" t="str">
        <f t="shared" si="1678"/>
        <v>Super Rubro</v>
      </c>
      <c r="AG2567" t="str">
        <f t="shared" si="1679"/>
        <v>ComercioExterior</v>
      </c>
      <c r="AH2567" t="str">
        <f t="shared" si="1680"/>
        <v>PrecioFOB</v>
      </c>
      <c r="AI2567" t="str">
        <f t="shared" si="1681"/>
        <v>Monto II</v>
      </c>
      <c r="AJ2567" t="str">
        <f t="shared" si="1682"/>
        <v>Porcentaje II</v>
      </c>
      <c r="AK2567" t="str">
        <f t="shared" si="1683"/>
        <v>Foto</v>
      </c>
      <c r="AL2567" t="str">
        <f>"{\rtf1\ansi\ansicpg1252\deff0\deflang11274{\fonttbl{\f0\fnil\fcharset0 MS Sans Serif}} \viewkind4\uc1\pard\f0\fs16 LLAVE CONTACTO ARRANQUE R9/11 EX DV2131 \par } "</f>
        <v xml:space="preserve">{\rtf1\ansi\ansicpg1252\deff0\deflang11274{\fonttbl{\f0\fnil\fcharset0 MS Sans Serif}} \viewkind4\uc1\pard\f0\fs16 LLAVE CONTACTO ARRANQUE R9/11 EX DV2131 \par } </v>
      </c>
      <c r="AM2567" t="str">
        <f t="shared" si="1658"/>
        <v xml:space="preserve"> </v>
      </c>
    </row>
    <row r="2568" spans="1:39" x14ac:dyDescent="0.25">
      <c r="A2568" t="str">
        <f>"20213"</f>
        <v>20213</v>
      </c>
      <c r="B2568" t="str">
        <f>"LLAVE CONTACTO ARRANQUE RENAULT CLIO II EX DV2140"</f>
        <v>LLAVE CONTACTO ARRANQUE RENAULT CLIO II EX DV2140</v>
      </c>
      <c r="C2568" t="str">
        <f>"$ 27060,05"</f>
        <v>$ 27060,05</v>
      </c>
      <c r="D2568" t="str">
        <f>"$ 27060,05"</f>
        <v>$ 27060,05</v>
      </c>
      <c r="E2568" t="str">
        <f>"$ 27060,05"</f>
        <v>$ 27060,05</v>
      </c>
      <c r="F2568" t="str">
        <f>"$ 27060,05"</f>
        <v>$ 27060,05</v>
      </c>
      <c r="G2568" t="str">
        <f>"$ 27060,05"</f>
        <v>$ 27060,05</v>
      </c>
      <c r="H2568" t="str">
        <f t="shared" si="1664"/>
        <v>$ 0,00</v>
      </c>
      <c r="I2568" t="str">
        <f t="shared" si="1659"/>
        <v>LLAVE CONTACTO-ARRANQUE</v>
      </c>
      <c r="J2568" t="str">
        <f t="shared" si="1665"/>
        <v>1</v>
      </c>
      <c r="K2568" t="str">
        <f t="shared" si="1647"/>
        <v>0</v>
      </c>
      <c r="L2568" t="str">
        <f>"0,000"</f>
        <v>0,000</v>
      </c>
      <c r="M2568" t="str">
        <f t="shared" si="1666"/>
        <v xml:space="preserve"> </v>
      </c>
      <c r="N2568" t="str">
        <f t="shared" si="1660"/>
        <v>DIVAIO</v>
      </c>
      <c r="O2568" t="str">
        <f t="shared" si="1661"/>
        <v>LLAVE</v>
      </c>
      <c r="P2568" t="str">
        <f t="shared" si="1667"/>
        <v>0</v>
      </c>
      <c r="Q2568" t="str">
        <f t="shared" si="1667"/>
        <v>0</v>
      </c>
      <c r="R2568" t="str">
        <f t="shared" si="1668"/>
        <v>0,00</v>
      </c>
      <c r="S2568" t="str">
        <f t="shared" si="1668"/>
        <v>0,00</v>
      </c>
      <c r="T2568" t="str">
        <f t="shared" si="1662"/>
        <v xml:space="preserve"> </v>
      </c>
      <c r="U2568" t="str">
        <f t="shared" si="1663"/>
        <v xml:space="preserve"> </v>
      </c>
      <c r="V2568" t="str">
        <f>"0,000"</f>
        <v>0,000</v>
      </c>
      <c r="W2568" t="str">
        <f t="shared" si="1669"/>
        <v>Lista 4</v>
      </c>
      <c r="X2568" t="str">
        <f t="shared" si="1670"/>
        <v>Lista 5</v>
      </c>
      <c r="Y2568" t="str">
        <f t="shared" si="1671"/>
        <v>Oferta Gral.</v>
      </c>
      <c r="Z2568" t="str">
        <f t="shared" si="1672"/>
        <v>Rubro</v>
      </c>
      <c r="AA2568" t="str">
        <f t="shared" si="1673"/>
        <v>Cantidad por Bulto</v>
      </c>
      <c r="AB2568" t="str">
        <f t="shared" si="1674"/>
        <v>INNER</v>
      </c>
      <c r="AC2568" t="str">
        <f t="shared" si="1675"/>
        <v>Stock en Bultos</v>
      </c>
      <c r="AD2568" t="str">
        <f t="shared" si="1676"/>
        <v>SubDepósito</v>
      </c>
      <c r="AE2568" t="str">
        <f t="shared" si="1677"/>
        <v>Marca</v>
      </c>
      <c r="AF2568" t="str">
        <f t="shared" si="1678"/>
        <v>Super Rubro</v>
      </c>
      <c r="AG2568" t="str">
        <f t="shared" si="1679"/>
        <v>ComercioExterior</v>
      </c>
      <c r="AH2568" t="str">
        <f t="shared" si="1680"/>
        <v>PrecioFOB</v>
      </c>
      <c r="AI2568" t="str">
        <f t="shared" si="1681"/>
        <v>Monto II</v>
      </c>
      <c r="AJ2568" t="str">
        <f t="shared" si="1682"/>
        <v>Porcentaje II</v>
      </c>
      <c r="AK2568" t="str">
        <f t="shared" si="1683"/>
        <v>Foto</v>
      </c>
      <c r="AL2568" t="str">
        <f>"{\rtf1\ansi\ansicpg1252\deff0\deflang11274{\fonttbl{\f0\fnil\fcharset0 MS Sans Serif}} \viewkind4\uc1\pard\f0\fs16 LLAVE CONTACTO ARRANQUE RENAULT CLIO II EX DV2140\par } "</f>
        <v xml:space="preserve">{\rtf1\ansi\ansicpg1252\deff0\deflang11274{\fonttbl{\f0\fnil\fcharset0 MS Sans Serif}} \viewkind4\uc1\pard\f0\fs16 LLAVE CONTACTO ARRANQUE RENAULT CLIO II EX DV2140\par } </v>
      </c>
      <c r="AM2568" t="str">
        <f t="shared" si="1658"/>
        <v xml:space="preserve"> </v>
      </c>
    </row>
    <row r="2569" spans="1:39" x14ac:dyDescent="0.25">
      <c r="A2569" t="str">
        <f>"20204"</f>
        <v>20204</v>
      </c>
      <c r="B2569" t="str">
        <f>"LLAVE CONTACTO ARRANQUE RENAULT EXPRESS EX DV2136"</f>
        <v>LLAVE CONTACTO ARRANQUE RENAULT EXPRESS EX DV2136</v>
      </c>
      <c r="C2569" t="str">
        <f>"$ 26057,04"</f>
        <v>$ 26057,04</v>
      </c>
      <c r="D2569" t="str">
        <f>"$ 26057,04"</f>
        <v>$ 26057,04</v>
      </c>
      <c r="E2569" t="str">
        <f>"$ 26057,04"</f>
        <v>$ 26057,04</v>
      </c>
      <c r="F2569" t="str">
        <f>"$ 26057,04"</f>
        <v>$ 26057,04</v>
      </c>
      <c r="G2569" t="str">
        <f>"$ 26057,04"</f>
        <v>$ 26057,04</v>
      </c>
      <c r="H2569" t="str">
        <f t="shared" si="1664"/>
        <v>$ 0,00</v>
      </c>
      <c r="I2569" t="str">
        <f t="shared" si="1659"/>
        <v>LLAVE CONTACTO-ARRANQUE</v>
      </c>
      <c r="J2569" t="str">
        <f t="shared" si="1665"/>
        <v>1</v>
      </c>
      <c r="K2569" t="str">
        <f t="shared" si="1647"/>
        <v>0</v>
      </c>
      <c r="L2569" t="str">
        <f>"16,000"</f>
        <v>16,000</v>
      </c>
      <c r="M2569" t="str">
        <f t="shared" si="1666"/>
        <v xml:space="preserve"> </v>
      </c>
      <c r="N2569" t="str">
        <f t="shared" si="1660"/>
        <v>DIVAIO</v>
      </c>
      <c r="O2569" t="str">
        <f t="shared" si="1661"/>
        <v>LLAVE</v>
      </c>
      <c r="P2569" t="str">
        <f t="shared" si="1667"/>
        <v>0</v>
      </c>
      <c r="Q2569" t="str">
        <f t="shared" si="1667"/>
        <v>0</v>
      </c>
      <c r="R2569" t="str">
        <f t="shared" si="1668"/>
        <v>0,00</v>
      </c>
      <c r="S2569" t="str">
        <f t="shared" si="1668"/>
        <v>0,00</v>
      </c>
      <c r="T2569" t="str">
        <f t="shared" si="1662"/>
        <v xml:space="preserve"> </v>
      </c>
      <c r="U2569" t="str">
        <f t="shared" si="1663"/>
        <v xml:space="preserve"> </v>
      </c>
      <c r="V2569" t="str">
        <f>"16,000"</f>
        <v>16,000</v>
      </c>
      <c r="W2569" t="str">
        <f t="shared" si="1669"/>
        <v>Lista 4</v>
      </c>
      <c r="X2569" t="str">
        <f t="shared" si="1670"/>
        <v>Lista 5</v>
      </c>
      <c r="Y2569" t="str">
        <f t="shared" si="1671"/>
        <v>Oferta Gral.</v>
      </c>
      <c r="Z2569" t="str">
        <f t="shared" si="1672"/>
        <v>Rubro</v>
      </c>
      <c r="AA2569" t="str">
        <f t="shared" si="1673"/>
        <v>Cantidad por Bulto</v>
      </c>
      <c r="AB2569" t="str">
        <f t="shared" si="1674"/>
        <v>INNER</v>
      </c>
      <c r="AC2569" t="str">
        <f t="shared" si="1675"/>
        <v>Stock en Bultos</v>
      </c>
      <c r="AD2569" t="str">
        <f t="shared" si="1676"/>
        <v>SubDepósito</v>
      </c>
      <c r="AE2569" t="str">
        <f t="shared" si="1677"/>
        <v>Marca</v>
      </c>
      <c r="AF2569" t="str">
        <f t="shared" si="1678"/>
        <v>Super Rubro</v>
      </c>
      <c r="AG2569" t="str">
        <f t="shared" si="1679"/>
        <v>ComercioExterior</v>
      </c>
      <c r="AH2569" t="str">
        <f t="shared" si="1680"/>
        <v>PrecioFOB</v>
      </c>
      <c r="AI2569" t="str">
        <f t="shared" si="1681"/>
        <v>Monto II</v>
      </c>
      <c r="AJ2569" t="str">
        <f t="shared" si="1682"/>
        <v>Porcentaje II</v>
      </c>
      <c r="AK2569" t="str">
        <f t="shared" si="1683"/>
        <v>Foto</v>
      </c>
      <c r="AL2569" t="str">
        <f>"{\rtf1\ansi\ansicpg1252\deff0\deflang11274{\fonttbl{\f0\fnil\fcharset0 MS Sans Serif}} \viewkind4\uc1\pard\f0\fs16 LLAVE CONTACTO ARRANQUE RENAULT EXPRESS EX DV2136\par } "</f>
        <v xml:space="preserve">{\rtf1\ansi\ansicpg1252\deff0\deflang11274{\fonttbl{\f0\fnil\fcharset0 MS Sans Serif}} \viewkind4\uc1\pard\f0\fs16 LLAVE CONTACTO ARRANQUE RENAULT EXPRESS EX DV2136\par } </v>
      </c>
      <c r="AM2569" t="str">
        <f t="shared" si="1658"/>
        <v xml:space="preserve"> </v>
      </c>
    </row>
    <row r="2570" spans="1:39" x14ac:dyDescent="0.25">
      <c r="A2570" t="str">
        <f>"20205"</f>
        <v>20205</v>
      </c>
      <c r="B2570" t="str">
        <f>"LLAVE CONTACTO ARRANQUE RENAULT KANGOO TIPO VALEO EX DV2143"</f>
        <v>LLAVE CONTACTO ARRANQUE RENAULT KANGOO TIPO VALEO EX DV2143</v>
      </c>
      <c r="C2570" t="str">
        <f>"$ 35675,36"</f>
        <v>$ 35675,36</v>
      </c>
      <c r="D2570" t="str">
        <f>"$ 35675,36"</f>
        <v>$ 35675,36</v>
      </c>
      <c r="E2570" t="str">
        <f>"$ 35675,36"</f>
        <v>$ 35675,36</v>
      </c>
      <c r="F2570" t="str">
        <f>"$ 35675,36"</f>
        <v>$ 35675,36</v>
      </c>
      <c r="G2570" t="str">
        <f>"$ 35675,36"</f>
        <v>$ 35675,36</v>
      </c>
      <c r="H2570" t="str">
        <f t="shared" si="1664"/>
        <v>$ 0,00</v>
      </c>
      <c r="I2570" t="str">
        <f t="shared" si="1659"/>
        <v>LLAVE CONTACTO-ARRANQUE</v>
      </c>
      <c r="J2570" t="str">
        <f t="shared" si="1665"/>
        <v>1</v>
      </c>
      <c r="K2570" t="str">
        <f t="shared" si="1647"/>
        <v>0</v>
      </c>
      <c r="L2570" t="str">
        <f>"14,000"</f>
        <v>14,000</v>
      </c>
      <c r="M2570" t="str">
        <f t="shared" si="1666"/>
        <v xml:space="preserve"> </v>
      </c>
      <c r="N2570" t="str">
        <f t="shared" si="1660"/>
        <v>DIVAIO</v>
      </c>
      <c r="O2570" t="str">
        <f t="shared" si="1661"/>
        <v>LLAVE</v>
      </c>
      <c r="P2570" t="str">
        <f t="shared" si="1667"/>
        <v>0</v>
      </c>
      <c r="Q2570" t="str">
        <f t="shared" si="1667"/>
        <v>0</v>
      </c>
      <c r="R2570" t="str">
        <f t="shared" si="1668"/>
        <v>0,00</v>
      </c>
      <c r="S2570" t="str">
        <f t="shared" si="1668"/>
        <v>0,00</v>
      </c>
      <c r="T2570" t="str">
        <f t="shared" si="1662"/>
        <v xml:space="preserve"> </v>
      </c>
      <c r="U2570" t="str">
        <f t="shared" si="1663"/>
        <v xml:space="preserve"> </v>
      </c>
      <c r="V2570" t="str">
        <f>"14,000"</f>
        <v>14,000</v>
      </c>
      <c r="W2570" t="str">
        <f t="shared" si="1669"/>
        <v>Lista 4</v>
      </c>
      <c r="X2570" t="str">
        <f t="shared" si="1670"/>
        <v>Lista 5</v>
      </c>
      <c r="Y2570" t="str">
        <f t="shared" si="1671"/>
        <v>Oferta Gral.</v>
      </c>
      <c r="Z2570" t="str">
        <f t="shared" si="1672"/>
        <v>Rubro</v>
      </c>
      <c r="AA2570" t="str">
        <f t="shared" si="1673"/>
        <v>Cantidad por Bulto</v>
      </c>
      <c r="AB2570" t="str">
        <f t="shared" si="1674"/>
        <v>INNER</v>
      </c>
      <c r="AC2570" t="str">
        <f t="shared" si="1675"/>
        <v>Stock en Bultos</v>
      </c>
      <c r="AD2570" t="str">
        <f t="shared" si="1676"/>
        <v>SubDepósito</v>
      </c>
      <c r="AE2570" t="str">
        <f t="shared" si="1677"/>
        <v>Marca</v>
      </c>
      <c r="AF2570" t="str">
        <f t="shared" si="1678"/>
        <v>Super Rubro</v>
      </c>
      <c r="AG2570" t="str">
        <f t="shared" si="1679"/>
        <v>ComercioExterior</v>
      </c>
      <c r="AH2570" t="str">
        <f t="shared" si="1680"/>
        <v>PrecioFOB</v>
      </c>
      <c r="AI2570" t="str">
        <f t="shared" si="1681"/>
        <v>Monto II</v>
      </c>
      <c r="AJ2570" t="str">
        <f t="shared" si="1682"/>
        <v>Porcentaje II</v>
      </c>
      <c r="AK2570" t="str">
        <f t="shared" si="1683"/>
        <v>Foto</v>
      </c>
      <c r="AL2570" t="str">
        <f>"{\rtf1\ansi\ansicpg1252\deff0\deflang11274{\fonttbl{\f0\fnil\fcharset0 MS Sans Serif}} \viewkind4\uc1\pard\f0\fs16 LLAVE CONTACTO ARRANQUE RENAULT KANGOO TIPO VALEO EX DV2143\par } "</f>
        <v xml:space="preserve">{\rtf1\ansi\ansicpg1252\deff0\deflang11274{\fonttbl{\f0\fnil\fcharset0 MS Sans Serif}} \viewkind4\uc1\pard\f0\fs16 LLAVE CONTACTO ARRANQUE RENAULT KANGOO TIPO VALEO EX DV2143\par } </v>
      </c>
      <c r="AM2570" t="str">
        <f t="shared" si="1658"/>
        <v xml:space="preserve"> </v>
      </c>
    </row>
    <row r="2571" spans="1:39" x14ac:dyDescent="0.25">
      <c r="A2571" t="str">
        <f>"20211"</f>
        <v>20211</v>
      </c>
      <c r="B2571" t="str">
        <f>"LLAVE CONTACTO ARRANQUE RENAULT MEGANE EX DV2138"</f>
        <v>LLAVE CONTACTO ARRANQUE RENAULT MEGANE EX DV2138</v>
      </c>
      <c r="C2571" t="str">
        <f>"$ 28897,14"</f>
        <v>$ 28897,14</v>
      </c>
      <c r="D2571" t="str">
        <f>"$ 28897,14"</f>
        <v>$ 28897,14</v>
      </c>
      <c r="E2571" t="str">
        <f>"$ 28897,14"</f>
        <v>$ 28897,14</v>
      </c>
      <c r="F2571" t="str">
        <f>"$ 28897,14"</f>
        <v>$ 28897,14</v>
      </c>
      <c r="G2571" t="str">
        <f>"$ 28897,14"</f>
        <v>$ 28897,14</v>
      </c>
      <c r="H2571" t="str">
        <f t="shared" si="1664"/>
        <v>$ 0,00</v>
      </c>
      <c r="I2571" t="str">
        <f t="shared" si="1659"/>
        <v>LLAVE CONTACTO-ARRANQUE</v>
      </c>
      <c r="J2571" t="str">
        <f t="shared" si="1665"/>
        <v>1</v>
      </c>
      <c r="K2571" t="str">
        <f t="shared" si="1647"/>
        <v>0</v>
      </c>
      <c r="L2571" t="str">
        <f>"16,000"</f>
        <v>16,000</v>
      </c>
      <c r="M2571" t="str">
        <f t="shared" si="1666"/>
        <v xml:space="preserve"> </v>
      </c>
      <c r="N2571" t="str">
        <f t="shared" si="1660"/>
        <v>DIVAIO</v>
      </c>
      <c r="O2571" t="str">
        <f t="shared" si="1661"/>
        <v>LLAVE</v>
      </c>
      <c r="P2571" t="str">
        <f t="shared" si="1667"/>
        <v>0</v>
      </c>
      <c r="Q2571" t="str">
        <f t="shared" si="1667"/>
        <v>0</v>
      </c>
      <c r="R2571" t="str">
        <f t="shared" si="1668"/>
        <v>0,00</v>
      </c>
      <c r="S2571" t="str">
        <f t="shared" si="1668"/>
        <v>0,00</v>
      </c>
      <c r="T2571" t="str">
        <f t="shared" si="1662"/>
        <v xml:space="preserve"> </v>
      </c>
      <c r="U2571" t="str">
        <f t="shared" si="1663"/>
        <v xml:space="preserve"> </v>
      </c>
      <c r="V2571" t="str">
        <f>"16,000"</f>
        <v>16,000</v>
      </c>
      <c r="W2571" t="str">
        <f t="shared" si="1669"/>
        <v>Lista 4</v>
      </c>
      <c r="X2571" t="str">
        <f t="shared" si="1670"/>
        <v>Lista 5</v>
      </c>
      <c r="Y2571" t="str">
        <f t="shared" si="1671"/>
        <v>Oferta Gral.</v>
      </c>
      <c r="Z2571" t="str">
        <f t="shared" si="1672"/>
        <v>Rubro</v>
      </c>
      <c r="AA2571" t="str">
        <f t="shared" si="1673"/>
        <v>Cantidad por Bulto</v>
      </c>
      <c r="AB2571" t="str">
        <f t="shared" si="1674"/>
        <v>INNER</v>
      </c>
      <c r="AC2571" t="str">
        <f t="shared" si="1675"/>
        <v>Stock en Bultos</v>
      </c>
      <c r="AD2571" t="str">
        <f t="shared" si="1676"/>
        <v>SubDepósito</v>
      </c>
      <c r="AE2571" t="str">
        <f t="shared" si="1677"/>
        <v>Marca</v>
      </c>
      <c r="AF2571" t="str">
        <f t="shared" si="1678"/>
        <v>Super Rubro</v>
      </c>
      <c r="AG2571" t="str">
        <f t="shared" si="1679"/>
        <v>ComercioExterior</v>
      </c>
      <c r="AH2571" t="str">
        <f t="shared" si="1680"/>
        <v>PrecioFOB</v>
      </c>
      <c r="AI2571" t="str">
        <f t="shared" si="1681"/>
        <v>Monto II</v>
      </c>
      <c r="AJ2571" t="str">
        <f t="shared" si="1682"/>
        <v>Porcentaje II</v>
      </c>
      <c r="AK2571" t="str">
        <f t="shared" si="1683"/>
        <v>Foto</v>
      </c>
      <c r="AL2571" t="str">
        <f>"{\rtf1\ansi\ansicpg1252\deff0\deflang11274{\fonttbl{\f0\fnil\fcharset0 MS Sans Serif}} \viewkind4\uc1\pard\f0\fs16 LLAVE CONTACTO ARRANQUE RENAULT MEGANE EX DV2138\par } "</f>
        <v xml:space="preserve">{\rtf1\ansi\ansicpg1252\deff0\deflang11274{\fonttbl{\f0\fnil\fcharset0 MS Sans Serif}} \viewkind4\uc1\pard\f0\fs16 LLAVE CONTACTO ARRANQUE RENAULT MEGANE EX DV2138\par } </v>
      </c>
      <c r="AM2571" t="str">
        <f t="shared" si="1658"/>
        <v xml:space="preserve"> </v>
      </c>
    </row>
    <row r="2572" spans="1:39" x14ac:dyDescent="0.25">
      <c r="A2572" t="str">
        <f>"20203"</f>
        <v>20203</v>
      </c>
      <c r="B2572" t="str">
        <f>"LLAVE CONTACTO ARRANQUE TRAFIC R9 DESDE1997 EX DV2135"</f>
        <v>LLAVE CONTACTO ARRANQUE TRAFIC R9 DESDE1997 EX DV2135</v>
      </c>
      <c r="C2572" t="str">
        <f>"$ 25814,22"</f>
        <v>$ 25814,22</v>
      </c>
      <c r="D2572" t="str">
        <f>"$ 25814,22"</f>
        <v>$ 25814,22</v>
      </c>
      <c r="E2572" t="str">
        <f>"$ 25814,22"</f>
        <v>$ 25814,22</v>
      </c>
      <c r="F2572" t="str">
        <f>"$ 25814,22"</f>
        <v>$ 25814,22</v>
      </c>
      <c r="G2572" t="str">
        <f>"$ 25814,22"</f>
        <v>$ 25814,22</v>
      </c>
      <c r="H2572" t="str">
        <f t="shared" si="1664"/>
        <v>$ 0,00</v>
      </c>
      <c r="I2572" t="str">
        <f t="shared" si="1659"/>
        <v>LLAVE CONTACTO-ARRANQUE</v>
      </c>
      <c r="J2572" t="str">
        <f t="shared" si="1665"/>
        <v>1</v>
      </c>
      <c r="K2572" t="str">
        <f t="shared" si="1647"/>
        <v>0</v>
      </c>
      <c r="L2572" t="str">
        <f>"0,000"</f>
        <v>0,000</v>
      </c>
      <c r="M2572" t="str">
        <f t="shared" si="1666"/>
        <v xml:space="preserve"> </v>
      </c>
      <c r="N2572" t="str">
        <f t="shared" si="1660"/>
        <v>DIVAIO</v>
      </c>
      <c r="O2572" t="str">
        <f t="shared" si="1661"/>
        <v>LLAVE</v>
      </c>
      <c r="P2572" t="str">
        <f t="shared" si="1667"/>
        <v>0</v>
      </c>
      <c r="Q2572" t="str">
        <f t="shared" si="1667"/>
        <v>0</v>
      </c>
      <c r="R2572" t="str">
        <f t="shared" si="1668"/>
        <v>0,00</v>
      </c>
      <c r="S2572" t="str">
        <f t="shared" si="1668"/>
        <v>0,00</v>
      </c>
      <c r="T2572" t="str">
        <f t="shared" si="1662"/>
        <v xml:space="preserve"> </v>
      </c>
      <c r="U2572" t="str">
        <f t="shared" si="1663"/>
        <v xml:space="preserve"> </v>
      </c>
      <c r="V2572" t="str">
        <f>"0,000"</f>
        <v>0,000</v>
      </c>
      <c r="W2572" t="str">
        <f t="shared" si="1669"/>
        <v>Lista 4</v>
      </c>
      <c r="X2572" t="str">
        <f t="shared" si="1670"/>
        <v>Lista 5</v>
      </c>
      <c r="Y2572" t="str">
        <f t="shared" si="1671"/>
        <v>Oferta Gral.</v>
      </c>
      <c r="Z2572" t="str">
        <f t="shared" si="1672"/>
        <v>Rubro</v>
      </c>
      <c r="AA2572" t="str">
        <f t="shared" si="1673"/>
        <v>Cantidad por Bulto</v>
      </c>
      <c r="AB2572" t="str">
        <f t="shared" si="1674"/>
        <v>INNER</v>
      </c>
      <c r="AC2572" t="str">
        <f t="shared" si="1675"/>
        <v>Stock en Bultos</v>
      </c>
      <c r="AD2572" t="str">
        <f t="shared" si="1676"/>
        <v>SubDepósito</v>
      </c>
      <c r="AE2572" t="str">
        <f t="shared" si="1677"/>
        <v>Marca</v>
      </c>
      <c r="AF2572" t="str">
        <f t="shared" si="1678"/>
        <v>Super Rubro</v>
      </c>
      <c r="AG2572" t="str">
        <f t="shared" si="1679"/>
        <v>ComercioExterior</v>
      </c>
      <c r="AH2572" t="str">
        <f t="shared" si="1680"/>
        <v>PrecioFOB</v>
      </c>
      <c r="AI2572" t="str">
        <f t="shared" si="1681"/>
        <v>Monto II</v>
      </c>
      <c r="AJ2572" t="str">
        <f t="shared" si="1682"/>
        <v>Porcentaje II</v>
      </c>
      <c r="AK2572" t="str">
        <f t="shared" si="1683"/>
        <v>Foto</v>
      </c>
      <c r="AL2572" t="str">
        <f>"{\rtf1\ansi\ansicpg1252\deff0\deflang11274{\fonttbl{\f0\fnil\fcharset0 MS Sans Serif}} \viewkind4\uc1\pard\f0\fs16 LLAVE CONTACTO ARRANQUE TRAFIC R9 DESDE1997 EX DV2135\par } "</f>
        <v xml:space="preserve">{\rtf1\ansi\ansicpg1252\deff0\deflang11274{\fonttbl{\f0\fnil\fcharset0 MS Sans Serif}} \viewkind4\uc1\pard\f0\fs16 LLAVE CONTACTO ARRANQUE TRAFIC R9 DESDE1997 EX DV2135\par } </v>
      </c>
      <c r="AM2572" t="str">
        <f t="shared" si="1658"/>
        <v xml:space="preserve"> </v>
      </c>
    </row>
    <row r="2573" spans="1:39" x14ac:dyDescent="0.25">
      <c r="A2573" t="str">
        <f>"LCA410"</f>
        <v>LCA410</v>
      </c>
      <c r="B2573" t="str">
        <f>"LLAVE CONTACTO-ARRANQUE  PEUGEOT 306 ... SISTEMA K7 (Y)"</f>
        <v>LLAVE CONTACTO-ARRANQUE  PEUGEOT 306 ... SISTEMA K7 (Y)</v>
      </c>
      <c r="C2573" t="str">
        <f>"$ 35281,18"</f>
        <v>$ 35281,18</v>
      </c>
      <c r="D2573" t="str">
        <f>"$ 35281,18"</f>
        <v>$ 35281,18</v>
      </c>
      <c r="E2573" t="str">
        <f>"$ 35281,18"</f>
        <v>$ 35281,18</v>
      </c>
      <c r="F2573" t="str">
        <f>"$ 35281,18"</f>
        <v>$ 35281,18</v>
      </c>
      <c r="G2573" t="str">
        <f>"$ 35281,18"</f>
        <v>$ 35281,18</v>
      </c>
      <c r="H2573" t="str">
        <f t="shared" si="1664"/>
        <v>$ 0,00</v>
      </c>
      <c r="I2573" t="str">
        <f t="shared" si="1659"/>
        <v>LLAVE CONTACTO-ARRANQUE</v>
      </c>
      <c r="J2573" t="str">
        <f t="shared" si="1665"/>
        <v>1</v>
      </c>
      <c r="K2573" t="str">
        <f t="shared" si="1647"/>
        <v>0</v>
      </c>
      <c r="L2573" t="str">
        <f>"1,000"</f>
        <v>1,000</v>
      </c>
      <c r="M2573" t="str">
        <f t="shared" si="1666"/>
        <v xml:space="preserve"> </v>
      </c>
      <c r="N2573" t="str">
        <f>"OYSTER"</f>
        <v>OYSTER</v>
      </c>
      <c r="O2573" t="str">
        <f t="shared" si="1661"/>
        <v>LLAVE</v>
      </c>
      <c r="P2573" t="str">
        <f t="shared" si="1667"/>
        <v>0</v>
      </c>
      <c r="Q2573" t="str">
        <f t="shared" si="1667"/>
        <v>0</v>
      </c>
      <c r="R2573" t="str">
        <f t="shared" si="1668"/>
        <v>0,00</v>
      </c>
      <c r="S2573" t="str">
        <f t="shared" si="1668"/>
        <v>0,00</v>
      </c>
      <c r="T2573" t="str">
        <f t="shared" si="1662"/>
        <v xml:space="preserve"> </v>
      </c>
      <c r="U2573" t="str">
        <f t="shared" si="1663"/>
        <v xml:space="preserve"> </v>
      </c>
      <c r="V2573" t="str">
        <f>"1,000"</f>
        <v>1,000</v>
      </c>
      <c r="W2573" t="str">
        <f t="shared" si="1669"/>
        <v>Lista 4</v>
      </c>
      <c r="X2573" t="str">
        <f t="shared" si="1670"/>
        <v>Lista 5</v>
      </c>
      <c r="Y2573" t="str">
        <f t="shared" si="1671"/>
        <v>Oferta Gral.</v>
      </c>
      <c r="Z2573" t="str">
        <f t="shared" si="1672"/>
        <v>Rubro</v>
      </c>
      <c r="AA2573" t="str">
        <f t="shared" si="1673"/>
        <v>Cantidad por Bulto</v>
      </c>
      <c r="AB2573" t="str">
        <f t="shared" si="1674"/>
        <v>INNER</v>
      </c>
      <c r="AC2573" t="str">
        <f t="shared" si="1675"/>
        <v>Stock en Bultos</v>
      </c>
      <c r="AD2573" t="str">
        <f t="shared" si="1676"/>
        <v>SubDepósito</v>
      </c>
      <c r="AE2573" t="str">
        <f t="shared" si="1677"/>
        <v>Marca</v>
      </c>
      <c r="AF2573" t="str">
        <f t="shared" si="1678"/>
        <v>Super Rubro</v>
      </c>
      <c r="AG2573" t="str">
        <f t="shared" si="1679"/>
        <v>ComercioExterior</v>
      </c>
      <c r="AH2573" t="str">
        <f t="shared" si="1680"/>
        <v>PrecioFOB</v>
      </c>
      <c r="AI2573" t="str">
        <f t="shared" si="1681"/>
        <v>Monto II</v>
      </c>
      <c r="AJ2573" t="str">
        <f t="shared" si="1682"/>
        <v>Porcentaje II</v>
      </c>
      <c r="AK2573" t="str">
        <f t="shared" si="1683"/>
        <v>Foto</v>
      </c>
      <c r="AL2573" t="str">
        <f>"{\rtf1\ansi\ansicpg1252\deff0\deflang11274{\fonttbl{\f0\fnil\fcharset0 MS Sans Serif}} \viewkind4\uc1\pard\f0\fs16 LLAVE CONTACTO-ARRANQUE  PEUGEOT 306 ... SISTEMA K7 (Y)\par } "</f>
        <v xml:space="preserve">{\rtf1\ansi\ansicpg1252\deff0\deflang11274{\fonttbl{\f0\fnil\fcharset0 MS Sans Serif}} \viewkind4\uc1\pard\f0\fs16 LLAVE CONTACTO-ARRANQUE  PEUGEOT 306 ... SISTEMA K7 (Y)\par } </v>
      </c>
      <c r="AM2573" t="str">
        <f>"-"</f>
        <v>-</v>
      </c>
    </row>
    <row r="2574" spans="1:39" x14ac:dyDescent="0.25">
      <c r="A2574" t="str">
        <f>"LCA398"</f>
        <v>LCA398</v>
      </c>
      <c r="B2574" t="str">
        <f>"LLAVE CONTACTO-ARRANQUE  PEUGEOT 405 HASTA ’93"</f>
        <v>LLAVE CONTACTO-ARRANQUE  PEUGEOT 405 HASTA ’93</v>
      </c>
      <c r="C2574" t="str">
        <f>"$ 43486,10"</f>
        <v>$ 43486,10</v>
      </c>
      <c r="D2574" t="str">
        <f>"$ 43486,10"</f>
        <v>$ 43486,10</v>
      </c>
      <c r="E2574" t="str">
        <f>"$ 43486,10"</f>
        <v>$ 43486,10</v>
      </c>
      <c r="F2574" t="str">
        <f>"$ 43486,10"</f>
        <v>$ 43486,10</v>
      </c>
      <c r="G2574" t="str">
        <f>"$ 43486,10"</f>
        <v>$ 43486,10</v>
      </c>
      <c r="H2574" t="str">
        <f t="shared" si="1664"/>
        <v>$ 0,00</v>
      </c>
      <c r="I2574" t="str">
        <f t="shared" si="1659"/>
        <v>LLAVE CONTACTO-ARRANQUE</v>
      </c>
      <c r="J2574" t="str">
        <f t="shared" si="1665"/>
        <v>1</v>
      </c>
      <c r="K2574" t="str">
        <f t="shared" si="1647"/>
        <v>0</v>
      </c>
      <c r="L2574" t="str">
        <f>"1,000"</f>
        <v>1,000</v>
      </c>
      <c r="M2574" t="str">
        <f t="shared" si="1666"/>
        <v xml:space="preserve"> </v>
      </c>
      <c r="N2574" t="str">
        <f>"OYSTER"</f>
        <v>OYSTER</v>
      </c>
      <c r="O2574" t="str">
        <f t="shared" si="1661"/>
        <v>LLAVE</v>
      </c>
      <c r="P2574" t="str">
        <f t="shared" si="1667"/>
        <v>0</v>
      </c>
      <c r="Q2574" t="str">
        <f t="shared" si="1667"/>
        <v>0</v>
      </c>
      <c r="R2574" t="str">
        <f t="shared" si="1668"/>
        <v>0,00</v>
      </c>
      <c r="S2574" t="str">
        <f t="shared" si="1668"/>
        <v>0,00</v>
      </c>
      <c r="T2574" t="str">
        <f t="shared" si="1662"/>
        <v xml:space="preserve"> </v>
      </c>
      <c r="U2574" t="str">
        <f t="shared" si="1663"/>
        <v xml:space="preserve"> </v>
      </c>
      <c r="V2574" t="str">
        <f>"1,000"</f>
        <v>1,000</v>
      </c>
      <c r="W2574" t="str">
        <f t="shared" si="1669"/>
        <v>Lista 4</v>
      </c>
      <c r="X2574" t="str">
        <f t="shared" si="1670"/>
        <v>Lista 5</v>
      </c>
      <c r="Y2574" t="str">
        <f t="shared" si="1671"/>
        <v>Oferta Gral.</v>
      </c>
      <c r="Z2574" t="str">
        <f t="shared" si="1672"/>
        <v>Rubro</v>
      </c>
      <c r="AA2574" t="str">
        <f t="shared" si="1673"/>
        <v>Cantidad por Bulto</v>
      </c>
      <c r="AB2574" t="str">
        <f t="shared" si="1674"/>
        <v>INNER</v>
      </c>
      <c r="AC2574" t="str">
        <f t="shared" si="1675"/>
        <v>Stock en Bultos</v>
      </c>
      <c r="AD2574" t="str">
        <f t="shared" si="1676"/>
        <v>SubDepósito</v>
      </c>
      <c r="AE2574" t="str">
        <f t="shared" si="1677"/>
        <v>Marca</v>
      </c>
      <c r="AF2574" t="str">
        <f t="shared" si="1678"/>
        <v>Super Rubro</v>
      </c>
      <c r="AG2574" t="str">
        <f t="shared" si="1679"/>
        <v>ComercioExterior</v>
      </c>
      <c r="AH2574" t="str">
        <f t="shared" si="1680"/>
        <v>PrecioFOB</v>
      </c>
      <c r="AI2574" t="str">
        <f t="shared" si="1681"/>
        <v>Monto II</v>
      </c>
      <c r="AJ2574" t="str">
        <f t="shared" si="1682"/>
        <v>Porcentaje II</v>
      </c>
      <c r="AK2574" t="str">
        <f t="shared" si="1683"/>
        <v>Foto</v>
      </c>
      <c r="AL2574" t="str">
        <f>"{\rtf1\ansi\ansicpg1252\deff0\deflang11274{\fonttbl{\f0\fnil\fcharset0 MS Sans Serif}} \viewkind4\uc1\pard\f0\fs16 LLAVE CONTACTO-ARRANQUE  PEUGEOT 405 HASTA \rquote 93\par } "</f>
        <v xml:space="preserve">{\rtf1\ansi\ansicpg1252\deff0\deflang11274{\fonttbl{\f0\fnil\fcharset0 MS Sans Serif}} \viewkind4\uc1\pard\f0\fs16 LLAVE CONTACTO-ARRANQUE  PEUGEOT 405 HASTA \rquote 93\par } </v>
      </c>
      <c r="AM2574" t="str">
        <f>"-"</f>
        <v>-</v>
      </c>
    </row>
    <row r="2575" spans="1:39" x14ac:dyDescent="0.25">
      <c r="A2575" t="str">
        <f>"LCA383"</f>
        <v>LCA383</v>
      </c>
      <c r="B2575" t="str">
        <f>"LLAVE CONTACTO-ARRANQUE  PEUGEOT 505 `80 - `85"</f>
        <v>LLAVE CONTACTO-ARRANQUE  PEUGEOT 505 `80 - `85</v>
      </c>
      <c r="C2575" t="str">
        <f>"$ 24127,61"</f>
        <v>$ 24127,61</v>
      </c>
      <c r="D2575" t="str">
        <f>"$ 24127,61"</f>
        <v>$ 24127,61</v>
      </c>
      <c r="E2575" t="str">
        <f>"$ 24127,61"</f>
        <v>$ 24127,61</v>
      </c>
      <c r="F2575" t="str">
        <f>"$ 24127,61"</f>
        <v>$ 24127,61</v>
      </c>
      <c r="G2575" t="str">
        <f>"$ 24127,61"</f>
        <v>$ 24127,61</v>
      </c>
      <c r="H2575" t="str">
        <f t="shared" si="1664"/>
        <v>$ 0,00</v>
      </c>
      <c r="I2575" t="str">
        <f t="shared" si="1659"/>
        <v>LLAVE CONTACTO-ARRANQUE</v>
      </c>
      <c r="J2575" t="str">
        <f t="shared" si="1665"/>
        <v>1</v>
      </c>
      <c r="K2575" t="str">
        <f t="shared" si="1647"/>
        <v>0</v>
      </c>
      <c r="L2575" t="str">
        <f>"5,000"</f>
        <v>5,000</v>
      </c>
      <c r="M2575" t="str">
        <f t="shared" si="1666"/>
        <v xml:space="preserve"> </v>
      </c>
      <c r="N2575" t="str">
        <f>"OYSTER"</f>
        <v>OYSTER</v>
      </c>
      <c r="O2575" t="str">
        <f t="shared" si="1661"/>
        <v>LLAVE</v>
      </c>
      <c r="P2575" t="str">
        <f t="shared" si="1667"/>
        <v>0</v>
      </c>
      <c r="Q2575" t="str">
        <f t="shared" si="1667"/>
        <v>0</v>
      </c>
      <c r="R2575" t="str">
        <f t="shared" si="1668"/>
        <v>0,00</v>
      </c>
      <c r="S2575" t="str">
        <f t="shared" si="1668"/>
        <v>0,00</v>
      </c>
      <c r="T2575" t="str">
        <f t="shared" si="1662"/>
        <v xml:space="preserve"> </v>
      </c>
      <c r="U2575" t="str">
        <f t="shared" si="1663"/>
        <v xml:space="preserve"> </v>
      </c>
      <c r="V2575" t="str">
        <f>"5,000"</f>
        <v>5,000</v>
      </c>
      <c r="W2575" t="str">
        <f t="shared" si="1669"/>
        <v>Lista 4</v>
      </c>
      <c r="X2575" t="str">
        <f t="shared" si="1670"/>
        <v>Lista 5</v>
      </c>
      <c r="Y2575" t="str">
        <f t="shared" si="1671"/>
        <v>Oferta Gral.</v>
      </c>
      <c r="Z2575" t="str">
        <f t="shared" si="1672"/>
        <v>Rubro</v>
      </c>
      <c r="AA2575" t="str">
        <f t="shared" si="1673"/>
        <v>Cantidad por Bulto</v>
      </c>
      <c r="AB2575" t="str">
        <f t="shared" si="1674"/>
        <v>INNER</v>
      </c>
      <c r="AC2575" t="str">
        <f t="shared" si="1675"/>
        <v>Stock en Bultos</v>
      </c>
      <c r="AD2575" t="str">
        <f t="shared" si="1676"/>
        <v>SubDepósito</v>
      </c>
      <c r="AE2575" t="str">
        <f t="shared" si="1677"/>
        <v>Marca</v>
      </c>
      <c r="AF2575" t="str">
        <f t="shared" si="1678"/>
        <v>Super Rubro</v>
      </c>
      <c r="AG2575" t="str">
        <f t="shared" si="1679"/>
        <v>ComercioExterior</v>
      </c>
      <c r="AH2575" t="str">
        <f t="shared" si="1680"/>
        <v>PrecioFOB</v>
      </c>
      <c r="AI2575" t="str">
        <f t="shared" si="1681"/>
        <v>Monto II</v>
      </c>
      <c r="AJ2575" t="str">
        <f t="shared" si="1682"/>
        <v>Porcentaje II</v>
      </c>
      <c r="AK2575" t="str">
        <f t="shared" si="1683"/>
        <v>Foto</v>
      </c>
      <c r="AL2575" t="str">
        <f>"{\rtf1\ansi\ansicpg1252\deff0\deflang11274{\fonttbl{\f0\fnil\fcharset0 MS Sans Serif}} \viewkind4\uc1\pard\f0\fs16 LLAVE CONTACTO-ARRANQUE  PEUGEOT 505 `80 - `85\par } "</f>
        <v xml:space="preserve">{\rtf1\ansi\ansicpg1252\deff0\deflang11274{\fonttbl{\f0\fnil\fcharset0 MS Sans Serif}} \viewkind4\uc1\pard\f0\fs16 LLAVE CONTACTO-ARRANQUE  PEUGEOT 505 `80 - `85\par } </v>
      </c>
      <c r="AM2575" t="str">
        <f>"-"</f>
        <v>-</v>
      </c>
    </row>
    <row r="2576" spans="1:39" x14ac:dyDescent="0.25">
      <c r="A2576" t="str">
        <f>"LCA386"</f>
        <v>LCA386</v>
      </c>
      <c r="B2576" t="str">
        <f>"LLAVE CONTACTO-ARRANQUE  RENAULT 18"</f>
        <v>LLAVE CONTACTO-ARRANQUE  RENAULT 18</v>
      </c>
      <c r="C2576" t="str">
        <f>"$ 23191,74"</f>
        <v>$ 23191,74</v>
      </c>
      <c r="D2576" t="str">
        <f>"$ 23191,74"</f>
        <v>$ 23191,74</v>
      </c>
      <c r="E2576" t="str">
        <f>"$ 23191,74"</f>
        <v>$ 23191,74</v>
      </c>
      <c r="F2576" t="str">
        <f>"$ 23191,74"</f>
        <v>$ 23191,74</v>
      </c>
      <c r="G2576" t="str">
        <f>"$ 23191,74"</f>
        <v>$ 23191,74</v>
      </c>
      <c r="H2576" t="str">
        <f t="shared" si="1664"/>
        <v>$ 0,00</v>
      </c>
      <c r="I2576" t="str">
        <f t="shared" si="1659"/>
        <v>LLAVE CONTACTO-ARRANQUE</v>
      </c>
      <c r="J2576" t="str">
        <f t="shared" si="1665"/>
        <v>1</v>
      </c>
      <c r="K2576" t="str">
        <f t="shared" si="1647"/>
        <v>0</v>
      </c>
      <c r="L2576" t="str">
        <f>"2,000"</f>
        <v>2,000</v>
      </c>
      <c r="M2576" t="str">
        <f t="shared" si="1666"/>
        <v xml:space="preserve"> </v>
      </c>
      <c r="N2576" t="str">
        <f>"OYSTER"</f>
        <v>OYSTER</v>
      </c>
      <c r="O2576" t="str">
        <f t="shared" si="1661"/>
        <v>LLAVE</v>
      </c>
      <c r="P2576" t="str">
        <f t="shared" si="1667"/>
        <v>0</v>
      </c>
      <c r="Q2576" t="str">
        <f t="shared" si="1667"/>
        <v>0</v>
      </c>
      <c r="R2576" t="str">
        <f t="shared" si="1668"/>
        <v>0,00</v>
      </c>
      <c r="S2576" t="str">
        <f t="shared" si="1668"/>
        <v>0,00</v>
      </c>
      <c r="T2576" t="str">
        <f t="shared" si="1662"/>
        <v xml:space="preserve"> </v>
      </c>
      <c r="U2576" t="str">
        <f t="shared" si="1663"/>
        <v xml:space="preserve"> </v>
      </c>
      <c r="V2576" t="str">
        <f>"2,000"</f>
        <v>2,000</v>
      </c>
      <c r="W2576" t="str">
        <f t="shared" si="1669"/>
        <v>Lista 4</v>
      </c>
      <c r="X2576" t="str">
        <f t="shared" si="1670"/>
        <v>Lista 5</v>
      </c>
      <c r="Y2576" t="str">
        <f t="shared" si="1671"/>
        <v>Oferta Gral.</v>
      </c>
      <c r="Z2576" t="str">
        <f t="shared" si="1672"/>
        <v>Rubro</v>
      </c>
      <c r="AA2576" t="str">
        <f t="shared" si="1673"/>
        <v>Cantidad por Bulto</v>
      </c>
      <c r="AB2576" t="str">
        <f t="shared" si="1674"/>
        <v>INNER</v>
      </c>
      <c r="AC2576" t="str">
        <f t="shared" si="1675"/>
        <v>Stock en Bultos</v>
      </c>
      <c r="AD2576" t="str">
        <f t="shared" si="1676"/>
        <v>SubDepósito</v>
      </c>
      <c r="AE2576" t="str">
        <f t="shared" si="1677"/>
        <v>Marca</v>
      </c>
      <c r="AF2576" t="str">
        <f t="shared" si="1678"/>
        <v>Super Rubro</v>
      </c>
      <c r="AG2576" t="str">
        <f t="shared" si="1679"/>
        <v>ComercioExterior</v>
      </c>
      <c r="AH2576" t="str">
        <f t="shared" si="1680"/>
        <v>PrecioFOB</v>
      </c>
      <c r="AI2576" t="str">
        <f t="shared" si="1681"/>
        <v>Monto II</v>
      </c>
      <c r="AJ2576" t="str">
        <f t="shared" si="1682"/>
        <v>Porcentaje II</v>
      </c>
      <c r="AK2576" t="str">
        <f t="shared" si="1683"/>
        <v>Foto</v>
      </c>
      <c r="AL2576" t="str">
        <f>"{\rtf1\ansi\ansicpg1252\deff0\deflang11274{\fonttbl{\f0\fnil\fcharset0 MS Sans Serif}} \viewkind4\uc1\pard\f0\fs16 LLAVE CONTACTO-ARRANQUE  RENAULT 18\par } "</f>
        <v xml:space="preserve">{\rtf1\ansi\ansicpg1252\deff0\deflang11274{\fonttbl{\f0\fnil\fcharset0 MS Sans Serif}} \viewkind4\uc1\pard\f0\fs16 LLAVE CONTACTO-ARRANQUE  RENAULT 18\par } </v>
      </c>
      <c r="AM2576" t="str">
        <f>"-"</f>
        <v>-</v>
      </c>
    </row>
    <row r="2577" spans="1:39" x14ac:dyDescent="0.25">
      <c r="A2577" t="str">
        <f>"LCA409"</f>
        <v>LCA409</v>
      </c>
      <c r="B2577" t="str">
        <f>"LLAVE CONTACTO-ARRANQUE  TWINGO .................. SISTEMA K7 (Y)"</f>
        <v>LLAVE CONTACTO-ARRANQUE  TWINGO .................. SISTEMA K7 (Y)</v>
      </c>
      <c r="C2577" t="str">
        <f>"$ 31088,97"</f>
        <v>$ 31088,97</v>
      </c>
      <c r="D2577" t="str">
        <f>"$ 31088,97"</f>
        <v>$ 31088,97</v>
      </c>
      <c r="E2577" t="str">
        <f>"$ 31088,97"</f>
        <v>$ 31088,97</v>
      </c>
      <c r="F2577" t="str">
        <f>"$ 31088,97"</f>
        <v>$ 31088,97</v>
      </c>
      <c r="G2577" t="str">
        <f>"$ 31088,97"</f>
        <v>$ 31088,97</v>
      </c>
      <c r="H2577" t="str">
        <f t="shared" si="1664"/>
        <v>$ 0,00</v>
      </c>
      <c r="I2577" t="str">
        <f t="shared" si="1659"/>
        <v>LLAVE CONTACTO-ARRANQUE</v>
      </c>
      <c r="J2577" t="str">
        <f t="shared" si="1665"/>
        <v>1</v>
      </c>
      <c r="K2577" t="str">
        <f t="shared" si="1647"/>
        <v>0</v>
      </c>
      <c r="L2577" t="str">
        <f>"1,000"</f>
        <v>1,000</v>
      </c>
      <c r="M2577" t="str">
        <f t="shared" si="1666"/>
        <v xml:space="preserve"> </v>
      </c>
      <c r="N2577" t="str">
        <f>"OYSTER"</f>
        <v>OYSTER</v>
      </c>
      <c r="O2577" t="str">
        <f t="shared" si="1661"/>
        <v>LLAVE</v>
      </c>
      <c r="P2577" t="str">
        <f t="shared" si="1667"/>
        <v>0</v>
      </c>
      <c r="Q2577" t="str">
        <f t="shared" si="1667"/>
        <v>0</v>
      </c>
      <c r="R2577" t="str">
        <f t="shared" si="1668"/>
        <v>0,00</v>
      </c>
      <c r="S2577" t="str">
        <f t="shared" si="1668"/>
        <v>0,00</v>
      </c>
      <c r="T2577" t="str">
        <f t="shared" si="1662"/>
        <v xml:space="preserve"> </v>
      </c>
      <c r="U2577" t="str">
        <f t="shared" si="1663"/>
        <v xml:space="preserve"> </v>
      </c>
      <c r="V2577" t="str">
        <f>"1,000"</f>
        <v>1,000</v>
      </c>
      <c r="W2577" t="str">
        <f t="shared" si="1669"/>
        <v>Lista 4</v>
      </c>
      <c r="X2577" t="str">
        <f t="shared" si="1670"/>
        <v>Lista 5</v>
      </c>
      <c r="Y2577" t="str">
        <f t="shared" si="1671"/>
        <v>Oferta Gral.</v>
      </c>
      <c r="Z2577" t="str">
        <f t="shared" si="1672"/>
        <v>Rubro</v>
      </c>
      <c r="AA2577" t="str">
        <f t="shared" si="1673"/>
        <v>Cantidad por Bulto</v>
      </c>
      <c r="AB2577" t="str">
        <f t="shared" si="1674"/>
        <v>INNER</v>
      </c>
      <c r="AC2577" t="str">
        <f t="shared" si="1675"/>
        <v>Stock en Bultos</v>
      </c>
      <c r="AD2577" t="str">
        <f t="shared" si="1676"/>
        <v>SubDepósito</v>
      </c>
      <c r="AE2577" t="str">
        <f t="shared" si="1677"/>
        <v>Marca</v>
      </c>
      <c r="AF2577" t="str">
        <f t="shared" si="1678"/>
        <v>Super Rubro</v>
      </c>
      <c r="AG2577" t="str">
        <f t="shared" si="1679"/>
        <v>ComercioExterior</v>
      </c>
      <c r="AH2577" t="str">
        <f t="shared" si="1680"/>
        <v>PrecioFOB</v>
      </c>
      <c r="AI2577" t="str">
        <f t="shared" si="1681"/>
        <v>Monto II</v>
      </c>
      <c r="AJ2577" t="str">
        <f t="shared" si="1682"/>
        <v>Porcentaje II</v>
      </c>
      <c r="AK2577" t="str">
        <f t="shared" si="1683"/>
        <v>Foto</v>
      </c>
      <c r="AL2577" t="str">
        <f>"{\rtf1\ansi\ansicpg1252\deff0\deflang11274{\fonttbl{\f0\fnil\fcharset0 MS Sans Serif}} \viewkind4\uc1\pard\f0\fs16 LLAVE CONTACTO-ARRANQUE  TWINGO .................. SISTEMA K7 (Y)\par } "</f>
        <v xml:space="preserve">{\rtf1\ansi\ansicpg1252\deff0\deflang11274{\fonttbl{\f0\fnil\fcharset0 MS Sans Serif}} \viewkind4\uc1\pard\f0\fs16 LLAVE CONTACTO-ARRANQUE  TWINGO .................. SISTEMA K7 (Y)\par } </v>
      </c>
      <c r="AM2577" t="str">
        <f>"-"</f>
        <v>-</v>
      </c>
    </row>
    <row r="2578" spans="1:39" x14ac:dyDescent="0.25">
      <c r="A2578" t="str">
        <f>"LIN390"</f>
        <v>LIN390</v>
      </c>
      <c r="B2578" t="str">
        <f>"LLAVE CONTACTO-ARRANQUE FIAT DUNA/UNO"</f>
        <v>LLAVE CONTACTO-ARRANQUE FIAT DUNA/UNO</v>
      </c>
      <c r="C2578" t="str">
        <f>"$ 45140,68"</f>
        <v>$ 45140,68</v>
      </c>
      <c r="D2578" t="str">
        <f>"$ 45140,68"</f>
        <v>$ 45140,68</v>
      </c>
      <c r="E2578" t="str">
        <f>"$ 45140,68"</f>
        <v>$ 45140,68</v>
      </c>
      <c r="F2578" t="str">
        <f>"$ 45140,68"</f>
        <v>$ 45140,68</v>
      </c>
      <c r="G2578" t="str">
        <f>"$ 45140,68"</f>
        <v>$ 45140,68</v>
      </c>
      <c r="H2578" t="str">
        <f t="shared" si="1664"/>
        <v>$ 0,00</v>
      </c>
      <c r="I2578" t="str">
        <f t="shared" si="1659"/>
        <v>LLAVE CONTACTO-ARRANQUE</v>
      </c>
      <c r="J2578" t="str">
        <f t="shared" si="1665"/>
        <v>1</v>
      </c>
      <c r="K2578" t="str">
        <f t="shared" si="1647"/>
        <v>0</v>
      </c>
      <c r="L2578" t="str">
        <f>"1,000"</f>
        <v>1,000</v>
      </c>
      <c r="M2578" t="str">
        <f t="shared" si="1666"/>
        <v xml:space="preserve"> </v>
      </c>
      <c r="N2578" t="str">
        <f>"INDIEL"</f>
        <v>INDIEL</v>
      </c>
      <c r="O2578" t="str">
        <f t="shared" si="1661"/>
        <v>LLAVE</v>
      </c>
      <c r="P2578" t="str">
        <f t="shared" si="1667"/>
        <v>0</v>
      </c>
      <c r="Q2578" t="str">
        <f t="shared" si="1667"/>
        <v>0</v>
      </c>
      <c r="R2578" t="str">
        <f t="shared" si="1668"/>
        <v>0,00</v>
      </c>
      <c r="S2578" t="str">
        <f t="shared" si="1668"/>
        <v>0,00</v>
      </c>
      <c r="T2578" t="str">
        <f t="shared" si="1662"/>
        <v xml:space="preserve"> </v>
      </c>
      <c r="U2578" t="str">
        <f t="shared" si="1663"/>
        <v xml:space="preserve"> </v>
      </c>
      <c r="V2578" t="str">
        <f>"1,000"</f>
        <v>1,000</v>
      </c>
      <c r="W2578" t="str">
        <f t="shared" si="1669"/>
        <v>Lista 4</v>
      </c>
      <c r="X2578" t="str">
        <f t="shared" si="1670"/>
        <v>Lista 5</v>
      </c>
      <c r="Y2578" t="str">
        <f t="shared" si="1671"/>
        <v>Oferta Gral.</v>
      </c>
      <c r="Z2578" t="str">
        <f t="shared" si="1672"/>
        <v>Rubro</v>
      </c>
      <c r="AA2578" t="str">
        <f t="shared" si="1673"/>
        <v>Cantidad por Bulto</v>
      </c>
      <c r="AB2578" t="str">
        <f t="shared" si="1674"/>
        <v>INNER</v>
      </c>
      <c r="AC2578" t="str">
        <f t="shared" si="1675"/>
        <v>Stock en Bultos</v>
      </c>
      <c r="AD2578" t="str">
        <f t="shared" si="1676"/>
        <v>SubDepósito</v>
      </c>
      <c r="AE2578" t="str">
        <f t="shared" si="1677"/>
        <v>Marca</v>
      </c>
      <c r="AF2578" t="str">
        <f t="shared" si="1678"/>
        <v>Super Rubro</v>
      </c>
      <c r="AG2578" t="str">
        <f t="shared" si="1679"/>
        <v>ComercioExterior</v>
      </c>
      <c r="AH2578" t="str">
        <f t="shared" si="1680"/>
        <v>PrecioFOB</v>
      </c>
      <c r="AI2578" t="str">
        <f t="shared" si="1681"/>
        <v>Monto II</v>
      </c>
      <c r="AJ2578" t="str">
        <f t="shared" si="1682"/>
        <v>Porcentaje II</v>
      </c>
      <c r="AK2578" t="str">
        <f t="shared" si="1683"/>
        <v>Foto</v>
      </c>
      <c r="AL2578" t="str">
        <f>"{\rtf1\ansi\ansicpg1252\deff0\deflang11274{\fonttbl{\f0\fnil\fcharset0 MS Sans Serif}} \viewkind4\uc1\pard\f0\fs16 LLAVE CONTACTO-ARRANQUE FIAT DUNA/UNO\par } "</f>
        <v xml:space="preserve">{\rtf1\ansi\ansicpg1252\deff0\deflang11274{\fonttbl{\f0\fnil\fcharset0 MS Sans Serif}} \viewkind4\uc1\pard\f0\fs16 LLAVE CONTACTO-ARRANQUE FIAT DUNA/UNO\par } </v>
      </c>
      <c r="AM2578" t="str">
        <f t="shared" ref="AM2578:AM2583" si="1685">" "</f>
        <v xml:space="preserve"> </v>
      </c>
    </row>
    <row r="2579" spans="1:39" x14ac:dyDescent="0.25">
      <c r="A2579" t="str">
        <f>"LC002"</f>
        <v>LC002</v>
      </c>
      <c r="B2579" t="str">
        <f>"LLAVE CRUZ PLEGABLE CROMADA 14´´"</f>
        <v>LLAVE CRUZ PLEGABLE CROMADA 14´´</v>
      </c>
      <c r="C2579" t="str">
        <f>"$ 23660,38"</f>
        <v>$ 23660,38</v>
      </c>
      <c r="D2579" t="str">
        <f>"$ 23660,38"</f>
        <v>$ 23660,38</v>
      </c>
      <c r="E2579" t="str">
        <f>"$ 23660,38"</f>
        <v>$ 23660,38</v>
      </c>
      <c r="F2579" t="str">
        <f>"$ 9802,13"</f>
        <v>$ 9802,13</v>
      </c>
      <c r="G2579" t="str">
        <f>"$ 9802,13"</f>
        <v>$ 9802,13</v>
      </c>
      <c r="H2579" t="str">
        <f t="shared" si="1664"/>
        <v>$ 0,00</v>
      </c>
      <c r="I2579" t="str">
        <f>"LLAVE CRUZ"</f>
        <v>LLAVE CRUZ</v>
      </c>
      <c r="J2579" t="str">
        <f t="shared" si="1665"/>
        <v>1</v>
      </c>
      <c r="K2579" t="str">
        <f t="shared" si="1647"/>
        <v>0</v>
      </c>
      <c r="L2579" t="str">
        <f>"19,000"</f>
        <v>19,000</v>
      </c>
      <c r="M2579" t="str">
        <f t="shared" si="1666"/>
        <v xml:space="preserve"> </v>
      </c>
      <c r="N2579" t="str">
        <f>"OREGON"</f>
        <v>OREGON</v>
      </c>
      <c r="O2579" t="str">
        <f>"LLAVES"</f>
        <v>LLAVES</v>
      </c>
      <c r="P2579" t="str">
        <f t="shared" si="1667"/>
        <v>0</v>
      </c>
      <c r="Q2579" t="str">
        <f t="shared" si="1667"/>
        <v>0</v>
      </c>
      <c r="R2579" t="str">
        <f t="shared" si="1668"/>
        <v>0,00</v>
      </c>
      <c r="S2579" t="str">
        <f t="shared" si="1668"/>
        <v>0,00</v>
      </c>
      <c r="T2579" t="str">
        <f t="shared" si="1662"/>
        <v xml:space="preserve"> </v>
      </c>
      <c r="U2579" t="str">
        <f t="shared" si="1663"/>
        <v xml:space="preserve"> </v>
      </c>
      <c r="V2579" t="str">
        <f>"19,000"</f>
        <v>19,000</v>
      </c>
      <c r="W2579" t="str">
        <f t="shared" si="1669"/>
        <v>Lista 4</v>
      </c>
      <c r="X2579" t="str">
        <f t="shared" si="1670"/>
        <v>Lista 5</v>
      </c>
      <c r="Y2579" t="str">
        <f t="shared" si="1671"/>
        <v>Oferta Gral.</v>
      </c>
      <c r="Z2579" t="str">
        <f t="shared" si="1672"/>
        <v>Rubro</v>
      </c>
      <c r="AA2579" t="str">
        <f t="shared" si="1673"/>
        <v>Cantidad por Bulto</v>
      </c>
      <c r="AB2579" t="str">
        <f t="shared" si="1674"/>
        <v>INNER</v>
      </c>
      <c r="AC2579" t="str">
        <f t="shared" si="1675"/>
        <v>Stock en Bultos</v>
      </c>
      <c r="AD2579" t="str">
        <f t="shared" si="1676"/>
        <v>SubDepósito</v>
      </c>
      <c r="AE2579" t="str">
        <f t="shared" si="1677"/>
        <v>Marca</v>
      </c>
      <c r="AF2579" t="str">
        <f t="shared" si="1678"/>
        <v>Super Rubro</v>
      </c>
      <c r="AG2579" t="str">
        <f t="shared" si="1679"/>
        <v>ComercioExterior</v>
      </c>
      <c r="AH2579" t="str">
        <f t="shared" si="1680"/>
        <v>PrecioFOB</v>
      </c>
      <c r="AI2579" t="str">
        <f t="shared" si="1681"/>
        <v>Monto II</v>
      </c>
      <c r="AJ2579" t="str">
        <f t="shared" si="1682"/>
        <v>Porcentaje II</v>
      </c>
      <c r="AK2579" t="str">
        <f t="shared" si="1683"/>
        <v>Foto</v>
      </c>
      <c r="AL257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579" t="str">
        <f t="shared" si="1685"/>
        <v xml:space="preserve"> </v>
      </c>
    </row>
    <row r="2580" spans="1:39" x14ac:dyDescent="0.25">
      <c r="A2580" t="str">
        <f>"LC001"</f>
        <v>LC001</v>
      </c>
      <c r="B2580" t="str">
        <f>"LLAVE CRUZ RUEDA CROMADA 14´´"</f>
        <v>LLAVE CRUZ RUEDA CROMADA 14´´</v>
      </c>
      <c r="C2580" t="str">
        <f>"$ 17209,48"</f>
        <v>$ 17209,48</v>
      </c>
      <c r="D2580" t="str">
        <f>"$ 17209,48"</f>
        <v>$ 17209,48</v>
      </c>
      <c r="E2580" t="str">
        <f>"$ 17209,48"</f>
        <v>$ 17209,48</v>
      </c>
      <c r="F2580" t="str">
        <f>"$ 17209,48"</f>
        <v>$ 17209,48</v>
      </c>
      <c r="G2580" t="str">
        <f>"$ 17209,48"</f>
        <v>$ 17209,48</v>
      </c>
      <c r="H2580" t="str">
        <f t="shared" si="1664"/>
        <v>$ 0,00</v>
      </c>
      <c r="I2580" t="str">
        <f>"LLAVE CRUZ"</f>
        <v>LLAVE CRUZ</v>
      </c>
      <c r="J2580" t="str">
        <f t="shared" si="1665"/>
        <v>1</v>
      </c>
      <c r="K2580" t="str">
        <f t="shared" si="1647"/>
        <v>0</v>
      </c>
      <c r="L2580" t="str">
        <f>"37,000"</f>
        <v>37,000</v>
      </c>
      <c r="M2580" t="str">
        <f t="shared" si="1666"/>
        <v xml:space="preserve"> </v>
      </c>
      <c r="N2580" t="str">
        <f>"OREGON"</f>
        <v>OREGON</v>
      </c>
      <c r="O2580" t="str">
        <f>"LLAVES"</f>
        <v>LLAVES</v>
      </c>
      <c r="P2580" t="str">
        <f t="shared" si="1667"/>
        <v>0</v>
      </c>
      <c r="Q2580" t="str">
        <f t="shared" si="1667"/>
        <v>0</v>
      </c>
      <c r="R2580" t="str">
        <f t="shared" si="1668"/>
        <v>0,00</v>
      </c>
      <c r="S2580" t="str">
        <f t="shared" si="1668"/>
        <v>0,00</v>
      </c>
      <c r="T2580" t="str">
        <f t="shared" si="1662"/>
        <v xml:space="preserve"> </v>
      </c>
      <c r="U2580" t="str">
        <f t="shared" si="1663"/>
        <v xml:space="preserve"> </v>
      </c>
      <c r="V2580" t="str">
        <f>"37,000"</f>
        <v>37,000</v>
      </c>
      <c r="W2580" t="str">
        <f t="shared" si="1669"/>
        <v>Lista 4</v>
      </c>
      <c r="X2580" t="str">
        <f t="shared" si="1670"/>
        <v>Lista 5</v>
      </c>
      <c r="Y2580" t="str">
        <f t="shared" si="1671"/>
        <v>Oferta Gral.</v>
      </c>
      <c r="Z2580" t="str">
        <f t="shared" si="1672"/>
        <v>Rubro</v>
      </c>
      <c r="AA2580" t="str">
        <f t="shared" si="1673"/>
        <v>Cantidad por Bulto</v>
      </c>
      <c r="AB2580" t="str">
        <f t="shared" si="1674"/>
        <v>INNER</v>
      </c>
      <c r="AC2580" t="str">
        <f t="shared" si="1675"/>
        <v>Stock en Bultos</v>
      </c>
      <c r="AD2580" t="str">
        <f t="shared" si="1676"/>
        <v>SubDepósito</v>
      </c>
      <c r="AE2580" t="str">
        <f t="shared" si="1677"/>
        <v>Marca</v>
      </c>
      <c r="AF2580" t="str">
        <f t="shared" si="1678"/>
        <v>Super Rubro</v>
      </c>
      <c r="AG2580" t="str">
        <f t="shared" si="1679"/>
        <v>ComercioExterior</v>
      </c>
      <c r="AH2580" t="str">
        <f t="shared" si="1680"/>
        <v>PrecioFOB</v>
      </c>
      <c r="AI2580" t="str">
        <f t="shared" si="1681"/>
        <v>Monto II</v>
      </c>
      <c r="AJ2580" t="str">
        <f t="shared" si="1682"/>
        <v>Porcentaje II</v>
      </c>
      <c r="AK2580" t="str">
        <f t="shared" si="1683"/>
        <v>Foto</v>
      </c>
      <c r="AL2580" t="str">
        <f>"{\rtf1\ansi\ansicpg1252\deff0\deflang11274{\fonttbl{\f0\fnil\fcharset0 MS Sans Serif}} \viewkind4\uc1\pard\f0\fs16 LLAVE CRUZ RUEDA CROMADA 14\'b4\'b4\par } "</f>
        <v xml:space="preserve">{\rtf1\ansi\ansicpg1252\deff0\deflang11274{\fonttbl{\f0\fnil\fcharset0 MS Sans Serif}} \viewkind4\uc1\pard\f0\fs16 LLAVE CRUZ RUEDA CROMADA 14\'b4\'b4\par } </v>
      </c>
      <c r="AM2580" t="str">
        <f t="shared" si="1685"/>
        <v xml:space="preserve"> </v>
      </c>
    </row>
    <row r="2581" spans="1:39" x14ac:dyDescent="0.25">
      <c r="A2581" t="str">
        <f>"10001"</f>
        <v>10001</v>
      </c>
      <c r="B2581" t="str">
        <f>"LLAVE DE CONTACTO ARRANQUE UNIVERSAL GRANDE TIPO USA EX DV8031"</f>
        <v>LLAVE DE CONTACTO ARRANQUE UNIVERSAL GRANDE TIPO USA EX DV8031</v>
      </c>
      <c r="C2581" t="str">
        <f>"$ 9523,29"</f>
        <v>$ 9523,29</v>
      </c>
      <c r="D2581" t="str">
        <f>"$ 9523,29"</f>
        <v>$ 9523,29</v>
      </c>
      <c r="E2581" t="str">
        <f>"$ 9523,29"</f>
        <v>$ 9523,29</v>
      </c>
      <c r="F2581" t="str">
        <f>"$ 9523,29"</f>
        <v>$ 9523,29</v>
      </c>
      <c r="G2581" t="str">
        <f>"$ 9523,29"</f>
        <v>$ 9523,29</v>
      </c>
      <c r="H2581" t="str">
        <f t="shared" si="1664"/>
        <v>$ 0,00</v>
      </c>
      <c r="I2581" t="str">
        <f>"LLAVE CONTACTO-ARRANQUE"</f>
        <v>LLAVE CONTACTO-ARRANQUE</v>
      </c>
      <c r="J2581" t="str">
        <f t="shared" si="1665"/>
        <v>1</v>
      </c>
      <c r="K2581" t="str">
        <f t="shared" ref="K2581:K2644" si="1686">"0"</f>
        <v>0</v>
      </c>
      <c r="L2581" t="str">
        <f>"26,000"</f>
        <v>26,000</v>
      </c>
      <c r="M2581" t="str">
        <f t="shared" si="1666"/>
        <v xml:space="preserve"> </v>
      </c>
      <c r="N2581" t="str">
        <f>"DIVAIO"</f>
        <v>DIVAIO</v>
      </c>
      <c r="O2581" t="str">
        <f>"LLAVE"</f>
        <v>LLAVE</v>
      </c>
      <c r="P2581" t="str">
        <f t="shared" si="1667"/>
        <v>0</v>
      </c>
      <c r="Q2581" t="str">
        <f t="shared" si="1667"/>
        <v>0</v>
      </c>
      <c r="R2581" t="str">
        <f t="shared" si="1668"/>
        <v>0,00</v>
      </c>
      <c r="S2581" t="str">
        <f t="shared" si="1668"/>
        <v>0,00</v>
      </c>
      <c r="T2581" t="str">
        <f t="shared" si="1662"/>
        <v xml:space="preserve"> </v>
      </c>
      <c r="U2581" t="str">
        <f t="shared" si="1663"/>
        <v xml:space="preserve"> </v>
      </c>
      <c r="V2581" t="str">
        <f>"26,000"</f>
        <v>26,000</v>
      </c>
      <c r="W2581" t="str">
        <f t="shared" si="1669"/>
        <v>Lista 4</v>
      </c>
      <c r="X2581" t="str">
        <f t="shared" si="1670"/>
        <v>Lista 5</v>
      </c>
      <c r="Y2581" t="str">
        <f t="shared" si="1671"/>
        <v>Oferta Gral.</v>
      </c>
      <c r="Z2581" t="str">
        <f t="shared" si="1672"/>
        <v>Rubro</v>
      </c>
      <c r="AA2581" t="str">
        <f t="shared" si="1673"/>
        <v>Cantidad por Bulto</v>
      </c>
      <c r="AB2581" t="str">
        <f t="shared" si="1674"/>
        <v>INNER</v>
      </c>
      <c r="AC2581" t="str">
        <f t="shared" si="1675"/>
        <v>Stock en Bultos</v>
      </c>
      <c r="AD2581" t="str">
        <f t="shared" si="1676"/>
        <v>SubDepósito</v>
      </c>
      <c r="AE2581" t="str">
        <f t="shared" si="1677"/>
        <v>Marca</v>
      </c>
      <c r="AF2581" t="str">
        <f t="shared" si="1678"/>
        <v>Super Rubro</v>
      </c>
      <c r="AG2581" t="str">
        <f t="shared" si="1679"/>
        <v>ComercioExterior</v>
      </c>
      <c r="AH2581" t="str">
        <f t="shared" si="1680"/>
        <v>PrecioFOB</v>
      </c>
      <c r="AI2581" t="str">
        <f t="shared" si="1681"/>
        <v>Monto II</v>
      </c>
      <c r="AJ2581" t="str">
        <f t="shared" si="1682"/>
        <v>Porcentaje II</v>
      </c>
      <c r="AK2581" t="str">
        <f t="shared" si="1683"/>
        <v>Foto</v>
      </c>
      <c r="AL2581" t="str">
        <f>"{\rtf1\ansi\ansicpg1252\deff0\deflang11274{\fonttbl{\f0\fnil\fcharset0 MS Sans Serif}} \viewkind4\uc1\pard\f0\fs16 LLAVE DE CONTACTO ARRANQUE UNIVERSAL GRANDE TIPO USA EX DV8031\par } "</f>
        <v xml:space="preserve">{\rtf1\ansi\ansicpg1252\deff0\deflang11274{\fonttbl{\f0\fnil\fcharset0 MS Sans Serif}} \viewkind4\uc1\pard\f0\fs16 LLAVE DE CONTACTO ARRANQUE UNIVERSAL GRANDE TIPO USA EX DV8031\par } </v>
      </c>
      <c r="AM2581" t="str">
        <f t="shared" si="1685"/>
        <v xml:space="preserve"> </v>
      </c>
    </row>
    <row r="2582" spans="1:39" x14ac:dyDescent="0.25">
      <c r="A2582" t="str">
        <f>"DV10217"</f>
        <v>DV10217</v>
      </c>
      <c r="B2582" t="str">
        <f>"LLAVE LIMPIAPARABRISAS RENAULT 9/11 EX DV8046"</f>
        <v>LLAVE LIMPIAPARABRISAS RENAULT 9/11 EX DV8046</v>
      </c>
      <c r="C2582" t="str">
        <f>"$ 19901,76"</f>
        <v>$ 19901,76</v>
      </c>
      <c r="D2582" t="str">
        <f>"$ 19901,76"</f>
        <v>$ 19901,76</v>
      </c>
      <c r="E2582" t="str">
        <f>"$ 19901,76"</f>
        <v>$ 19901,76</v>
      </c>
      <c r="F2582" t="str">
        <f>"$ 19901,76"</f>
        <v>$ 19901,76</v>
      </c>
      <c r="G2582" t="str">
        <f>"$ 19901,76"</f>
        <v>$ 19901,76</v>
      </c>
      <c r="H2582" t="str">
        <f t="shared" si="1664"/>
        <v>$ 0,00</v>
      </c>
      <c r="I2582" t="str">
        <f>"CONMUTADOR DE LUCES"</f>
        <v>CONMUTADOR DE LUCES</v>
      </c>
      <c r="J2582" t="str">
        <f t="shared" si="1665"/>
        <v>1</v>
      </c>
      <c r="K2582" t="str">
        <f t="shared" si="1686"/>
        <v>0</v>
      </c>
      <c r="L2582" t="str">
        <f>"1,000"</f>
        <v>1,000</v>
      </c>
      <c r="M2582" t="str">
        <f t="shared" si="1666"/>
        <v xml:space="preserve"> </v>
      </c>
      <c r="N2582" t="str">
        <f>"DIVAIO"</f>
        <v>DIVAIO</v>
      </c>
      <c r="O2582" t="str">
        <f>"CONMUTADORES"</f>
        <v>CONMUTADORES</v>
      </c>
      <c r="P2582" t="str">
        <f t="shared" si="1667"/>
        <v>0</v>
      </c>
      <c r="Q2582" t="str">
        <f t="shared" si="1667"/>
        <v>0</v>
      </c>
      <c r="R2582" t="str">
        <f t="shared" si="1668"/>
        <v>0,00</v>
      </c>
      <c r="S2582" t="str">
        <f t="shared" si="1668"/>
        <v>0,00</v>
      </c>
      <c r="T2582" t="str">
        <f t="shared" si="1662"/>
        <v xml:space="preserve"> </v>
      </c>
      <c r="U2582" t="str">
        <f t="shared" si="1663"/>
        <v xml:space="preserve"> </v>
      </c>
      <c r="V2582" t="str">
        <f>"1,000"</f>
        <v>1,000</v>
      </c>
      <c r="W2582" t="str">
        <f t="shared" si="1669"/>
        <v>Lista 4</v>
      </c>
      <c r="X2582" t="str">
        <f t="shared" si="1670"/>
        <v>Lista 5</v>
      </c>
      <c r="Y2582" t="str">
        <f t="shared" si="1671"/>
        <v>Oferta Gral.</v>
      </c>
      <c r="Z2582" t="str">
        <f t="shared" si="1672"/>
        <v>Rubro</v>
      </c>
      <c r="AA2582" t="str">
        <f t="shared" si="1673"/>
        <v>Cantidad por Bulto</v>
      </c>
      <c r="AB2582" t="str">
        <f t="shared" si="1674"/>
        <v>INNER</v>
      </c>
      <c r="AC2582" t="str">
        <f t="shared" si="1675"/>
        <v>Stock en Bultos</v>
      </c>
      <c r="AD2582" t="str">
        <f t="shared" si="1676"/>
        <v>SubDepósito</v>
      </c>
      <c r="AE2582" t="str">
        <f t="shared" si="1677"/>
        <v>Marca</v>
      </c>
      <c r="AF2582" t="str">
        <f t="shared" si="1678"/>
        <v>Super Rubro</v>
      </c>
      <c r="AG2582" t="str">
        <f t="shared" si="1679"/>
        <v>ComercioExterior</v>
      </c>
      <c r="AH2582" t="str">
        <f t="shared" si="1680"/>
        <v>PrecioFOB</v>
      </c>
      <c r="AI2582" t="str">
        <f t="shared" si="1681"/>
        <v>Monto II</v>
      </c>
      <c r="AJ2582" t="str">
        <f t="shared" si="1682"/>
        <v>Porcentaje II</v>
      </c>
      <c r="AK2582" t="str">
        <f t="shared" si="1683"/>
        <v>Foto</v>
      </c>
      <c r="AL2582" t="str">
        <f>"{\rtf1\ansi\ansicpg1252\deff0\deflang2058{\fonttbl{\f0\fnil\fcharset0 MS Sans Serif}} \viewkind4\uc1\pard\f0\fs16 LLAVE LIMPIAPARABRISAS RENAULT 9/11 EX DV8046\par } "</f>
        <v xml:space="preserve">{\rtf1\ansi\ansicpg1252\deff0\deflang2058{\fonttbl{\f0\fnil\fcharset0 MS Sans Serif}} \viewkind4\uc1\pard\f0\fs16 LLAVE LIMPIAPARABRISAS RENAULT 9/11 EX DV8046\par } </v>
      </c>
      <c r="AM2582" t="str">
        <f t="shared" si="1685"/>
        <v xml:space="preserve"> </v>
      </c>
    </row>
    <row r="2583" spans="1:39" x14ac:dyDescent="0.25">
      <c r="A2583" t="str">
        <f>"LC004"</f>
        <v>LC004</v>
      </c>
      <c r="B2583" t="str">
        <f>"LLAVE SACABUJIAS CARDANICA 16MM"</f>
        <v>LLAVE SACABUJIAS CARDANICA 16MM</v>
      </c>
      <c r="C2583" t="str">
        <f>"$ 4888,33"</f>
        <v>$ 4888,33</v>
      </c>
      <c r="D2583" t="str">
        <f>"$ 4888,33"</f>
        <v>$ 4888,33</v>
      </c>
      <c r="E2583" t="str">
        <f>"$ 4888,33"</f>
        <v>$ 4888,33</v>
      </c>
      <c r="F2583" t="str">
        <f>"$ 4888,33"</f>
        <v>$ 4888,33</v>
      </c>
      <c r="G2583" t="str">
        <f>"$ 4888,33"</f>
        <v>$ 4888,33</v>
      </c>
      <c r="H2583" t="str">
        <f t="shared" si="1664"/>
        <v>$ 0,00</v>
      </c>
      <c r="I2583" t="str">
        <f>"LLAVE SACABUJIAS"</f>
        <v>LLAVE SACABUJIAS</v>
      </c>
      <c r="J2583" t="str">
        <f t="shared" si="1665"/>
        <v>1</v>
      </c>
      <c r="K2583" t="str">
        <f t="shared" si="1686"/>
        <v>0</v>
      </c>
      <c r="L2583" t="str">
        <f>"5,000"</f>
        <v>5,000</v>
      </c>
      <c r="M2583" t="str">
        <f t="shared" si="1666"/>
        <v xml:space="preserve"> </v>
      </c>
      <c r="N2583" t="str">
        <f>"OREGON"</f>
        <v>OREGON</v>
      </c>
      <c r="O2583" t="str">
        <f>"LLAVES"</f>
        <v>LLAVES</v>
      </c>
      <c r="P2583" t="str">
        <f t="shared" ref="P2583:Q2602" si="1687">"0"</f>
        <v>0</v>
      </c>
      <c r="Q2583" t="str">
        <f t="shared" si="1687"/>
        <v>0</v>
      </c>
      <c r="R2583" t="str">
        <f t="shared" ref="R2583:S2602" si="1688">"0,00"</f>
        <v>0,00</v>
      </c>
      <c r="S2583" t="str">
        <f t="shared" si="1688"/>
        <v>0,00</v>
      </c>
      <c r="T2583" t="str">
        <f t="shared" si="1662"/>
        <v xml:space="preserve"> </v>
      </c>
      <c r="U2583" t="str">
        <f t="shared" si="1663"/>
        <v xml:space="preserve"> </v>
      </c>
      <c r="V2583" t="str">
        <f>"5,000"</f>
        <v>5,000</v>
      </c>
      <c r="W2583" t="str">
        <f t="shared" si="1669"/>
        <v>Lista 4</v>
      </c>
      <c r="X2583" t="str">
        <f t="shared" si="1670"/>
        <v>Lista 5</v>
      </c>
      <c r="Y2583" t="str">
        <f t="shared" si="1671"/>
        <v>Oferta Gral.</v>
      </c>
      <c r="Z2583" t="str">
        <f t="shared" si="1672"/>
        <v>Rubro</v>
      </c>
      <c r="AA2583" t="str">
        <f t="shared" si="1673"/>
        <v>Cantidad por Bulto</v>
      </c>
      <c r="AB2583" t="str">
        <f t="shared" si="1674"/>
        <v>INNER</v>
      </c>
      <c r="AC2583" t="str">
        <f t="shared" si="1675"/>
        <v>Stock en Bultos</v>
      </c>
      <c r="AD2583" t="str">
        <f t="shared" si="1676"/>
        <v>SubDepósito</v>
      </c>
      <c r="AE2583" t="str">
        <f t="shared" si="1677"/>
        <v>Marca</v>
      </c>
      <c r="AF2583" t="str">
        <f t="shared" si="1678"/>
        <v>Super Rubro</v>
      </c>
      <c r="AG2583" t="str">
        <f t="shared" si="1679"/>
        <v>ComercioExterior</v>
      </c>
      <c r="AH2583" t="str">
        <f t="shared" si="1680"/>
        <v>PrecioFOB</v>
      </c>
      <c r="AI2583" t="str">
        <f t="shared" si="1681"/>
        <v>Monto II</v>
      </c>
      <c r="AJ2583" t="str">
        <f t="shared" si="1682"/>
        <v>Porcentaje II</v>
      </c>
      <c r="AK2583" t="str">
        <f t="shared" si="1683"/>
        <v>Foto</v>
      </c>
      <c r="AL2583" t="str">
        <f>"{\rtf1\ansi\ansicpg1252\deff0\deflang11274{\fonttbl{\f0\fnil\fcharset0 MS Sans Serif}} \viewkind4\uc1\pard\f0\fs16 LLAVE SACABUJIAS CARDANICA 16MM\par } "</f>
        <v xml:space="preserve">{\rtf1\ansi\ansicpg1252\deff0\deflang11274{\fonttbl{\f0\fnil\fcharset0 MS Sans Serif}} \viewkind4\uc1\pard\f0\fs16 LLAVE SACABUJIAS CARDANICA 16MM\par } </v>
      </c>
      <c r="AM2583" t="str">
        <f t="shared" si="1685"/>
        <v xml:space="preserve"> </v>
      </c>
    </row>
    <row r="2584" spans="1:39" x14ac:dyDescent="0.25">
      <c r="A2584" t="str">
        <f>"LC005"</f>
        <v>LC005</v>
      </c>
      <c r="B2584" t="str">
        <f>"LLAVE SACABUJIAS CARDANICA 21MM"</f>
        <v>LLAVE SACABUJIAS CARDANICA 21MM</v>
      </c>
      <c r="C2584" t="str">
        <f>"$ 6904,92"</f>
        <v>$ 6904,92</v>
      </c>
      <c r="D2584" t="str">
        <f>"$ 6904,92"</f>
        <v>$ 6904,92</v>
      </c>
      <c r="E2584" t="str">
        <f>"$ 6904,92"</f>
        <v>$ 6904,92</v>
      </c>
      <c r="F2584" t="str">
        <f>"$ 6904,92"</f>
        <v>$ 6904,92</v>
      </c>
      <c r="G2584" t="str">
        <f>"$ 6904,92"</f>
        <v>$ 6904,92</v>
      </c>
      <c r="H2584" t="str">
        <f t="shared" si="1664"/>
        <v>$ 0,00</v>
      </c>
      <c r="I2584" t="str">
        <f>"LLAVE SACABUJIAS"</f>
        <v>LLAVE SACABUJIAS</v>
      </c>
      <c r="J2584" t="str">
        <f t="shared" si="1665"/>
        <v>1</v>
      </c>
      <c r="K2584" t="str">
        <f t="shared" si="1686"/>
        <v>0</v>
      </c>
      <c r="L2584" t="str">
        <f>"25,000"</f>
        <v>25,000</v>
      </c>
      <c r="M2584" t="str">
        <f t="shared" si="1666"/>
        <v xml:space="preserve"> </v>
      </c>
      <c r="N2584" t="str">
        <f>"OREGON"</f>
        <v>OREGON</v>
      </c>
      <c r="O2584" t="str">
        <f>"LLAVES"</f>
        <v>LLAVES</v>
      </c>
      <c r="P2584" t="str">
        <f t="shared" si="1687"/>
        <v>0</v>
      </c>
      <c r="Q2584" t="str">
        <f t="shared" si="1687"/>
        <v>0</v>
      </c>
      <c r="R2584" t="str">
        <f t="shared" si="1688"/>
        <v>0,00</v>
      </c>
      <c r="S2584" t="str">
        <f t="shared" si="1688"/>
        <v>0,00</v>
      </c>
      <c r="T2584" t="str">
        <f t="shared" si="1662"/>
        <v xml:space="preserve"> </v>
      </c>
      <c r="U2584" t="str">
        <f t="shared" si="1663"/>
        <v xml:space="preserve"> </v>
      </c>
      <c r="V2584" t="str">
        <f>"25,000"</f>
        <v>25,000</v>
      </c>
      <c r="W2584" t="str">
        <f t="shared" si="1669"/>
        <v>Lista 4</v>
      </c>
      <c r="X2584" t="str">
        <f t="shared" si="1670"/>
        <v>Lista 5</v>
      </c>
      <c r="Y2584" t="str">
        <f t="shared" si="1671"/>
        <v>Oferta Gral.</v>
      </c>
      <c r="Z2584" t="str">
        <f t="shared" si="1672"/>
        <v>Rubro</v>
      </c>
      <c r="AA2584" t="str">
        <f t="shared" si="1673"/>
        <v>Cantidad por Bulto</v>
      </c>
      <c r="AB2584" t="str">
        <f t="shared" si="1674"/>
        <v>INNER</v>
      </c>
      <c r="AC2584" t="str">
        <f t="shared" si="1675"/>
        <v>Stock en Bultos</v>
      </c>
      <c r="AD2584" t="str">
        <f t="shared" si="1676"/>
        <v>SubDepósito</v>
      </c>
      <c r="AE2584" t="str">
        <f t="shared" si="1677"/>
        <v>Marca</v>
      </c>
      <c r="AF2584" t="str">
        <f t="shared" si="1678"/>
        <v>Super Rubro</v>
      </c>
      <c r="AG2584" t="str">
        <f t="shared" si="1679"/>
        <v>ComercioExterior</v>
      </c>
      <c r="AH2584" t="str">
        <f t="shared" si="1680"/>
        <v>PrecioFOB</v>
      </c>
      <c r="AI2584" t="str">
        <f t="shared" si="1681"/>
        <v>Monto II</v>
      </c>
      <c r="AJ2584" t="str">
        <f t="shared" si="1682"/>
        <v>Porcentaje II</v>
      </c>
      <c r="AK2584" t="str">
        <f t="shared" si="1683"/>
        <v>Foto</v>
      </c>
      <c r="AL2584" t="str">
        <f>"{\rtf1\ansi\ansicpg1252\deff0\deflang11274{\fonttbl{\f0\fnil\fcharset0 MS Sans Serif}} \viewkind4\uc1\pard\f0\fs16 LLAVE SACABUJIAS CARDANICA 21MM\par } "</f>
        <v xml:space="preserve">{\rtf1\ansi\ansicpg1252\deff0\deflang11274{\fonttbl{\f0\fnil\fcharset0 MS Sans Serif}} \viewkind4\uc1\pard\f0\fs16 LLAVE SACABUJIAS CARDANICA 21MM\par } </v>
      </c>
      <c r="AM2584" t="str">
        <f>"-"</f>
        <v>-</v>
      </c>
    </row>
    <row r="2585" spans="1:39" x14ac:dyDescent="0.25">
      <c r="A2585" t="str">
        <f>"30124"</f>
        <v>30124</v>
      </c>
      <c r="B2585" t="str">
        <f>"LLAVE TECLA BALIZA RENAULT KANGOO"</f>
        <v>LLAVE TECLA BALIZA RENAULT KANGOO</v>
      </c>
      <c r="C2585" t="str">
        <f>"$ 8583,62"</f>
        <v>$ 8583,62</v>
      </c>
      <c r="D2585" t="str">
        <f>"$ 8583,62"</f>
        <v>$ 8583,62</v>
      </c>
      <c r="E2585" t="str">
        <f>"$ 8583,62"</f>
        <v>$ 8583,62</v>
      </c>
      <c r="F2585" t="str">
        <f>"$ 8583,62"</f>
        <v>$ 8583,62</v>
      </c>
      <c r="G2585" t="str">
        <f>"$ 8583,62"</f>
        <v>$ 8583,62</v>
      </c>
      <c r="H2585" t="str">
        <f t="shared" si="1664"/>
        <v>$ 0,00</v>
      </c>
      <c r="I2585" t="str">
        <f>"CONMUTADOR DE LUCES"</f>
        <v>CONMUTADOR DE LUCES</v>
      </c>
      <c r="J2585" t="str">
        <f t="shared" si="1665"/>
        <v>1</v>
      </c>
      <c r="K2585" t="str">
        <f t="shared" si="1686"/>
        <v>0</v>
      </c>
      <c r="L2585" t="str">
        <f>"0,000"</f>
        <v>0,000</v>
      </c>
      <c r="M2585" t="str">
        <f t="shared" si="1666"/>
        <v xml:space="preserve"> </v>
      </c>
      <c r="N2585" t="str">
        <f>"DIVAIO"</f>
        <v>DIVAIO</v>
      </c>
      <c r="O2585" t="str">
        <f>"CONMUTADORES"</f>
        <v>CONMUTADORES</v>
      </c>
      <c r="P2585" t="str">
        <f t="shared" si="1687"/>
        <v>0</v>
      </c>
      <c r="Q2585" t="str">
        <f t="shared" si="1687"/>
        <v>0</v>
      </c>
      <c r="R2585" t="str">
        <f t="shared" si="1688"/>
        <v>0,00</v>
      </c>
      <c r="S2585" t="str">
        <f t="shared" si="1688"/>
        <v>0,00</v>
      </c>
      <c r="T2585" t="str">
        <f t="shared" si="1662"/>
        <v xml:space="preserve"> </v>
      </c>
      <c r="U2585" t="str">
        <f t="shared" si="1663"/>
        <v xml:space="preserve"> </v>
      </c>
      <c r="V2585" t="str">
        <f>"0,000"</f>
        <v>0,000</v>
      </c>
      <c r="W2585" t="str">
        <f t="shared" si="1669"/>
        <v>Lista 4</v>
      </c>
      <c r="X2585" t="str">
        <f t="shared" si="1670"/>
        <v>Lista 5</v>
      </c>
      <c r="Y2585" t="str">
        <f t="shared" si="1671"/>
        <v>Oferta Gral.</v>
      </c>
      <c r="Z2585" t="str">
        <f t="shared" si="1672"/>
        <v>Rubro</v>
      </c>
      <c r="AA2585" t="str">
        <f t="shared" si="1673"/>
        <v>Cantidad por Bulto</v>
      </c>
      <c r="AB2585" t="str">
        <f t="shared" si="1674"/>
        <v>INNER</v>
      </c>
      <c r="AC2585" t="str">
        <f t="shared" si="1675"/>
        <v>Stock en Bultos</v>
      </c>
      <c r="AD2585" t="str">
        <f t="shared" si="1676"/>
        <v>SubDepósito</v>
      </c>
      <c r="AE2585" t="str">
        <f t="shared" si="1677"/>
        <v>Marca</v>
      </c>
      <c r="AF2585" t="str">
        <f t="shared" si="1678"/>
        <v>Super Rubro</v>
      </c>
      <c r="AG2585" t="str">
        <f t="shared" si="1679"/>
        <v>ComercioExterior</v>
      </c>
      <c r="AH2585" t="str">
        <f t="shared" si="1680"/>
        <v>PrecioFOB</v>
      </c>
      <c r="AI2585" t="str">
        <f t="shared" si="1681"/>
        <v>Monto II</v>
      </c>
      <c r="AJ2585" t="str">
        <f t="shared" si="1682"/>
        <v>Porcentaje II</v>
      </c>
      <c r="AK2585" t="str">
        <f t="shared" si="1683"/>
        <v>Foto</v>
      </c>
      <c r="AL2585" t="str">
        <f>"{\rtf1\ansi\ansicpg1252\deff0\deflang11274{\fonttbl{\f0\fnil\fcharset0 MS Sans Serif}} \viewkind4\uc1\pard\f0\fs16 LLAVE TECLA BALIZA RENAULT KANGOO\par } "</f>
        <v xml:space="preserve">{\rtf1\ansi\ansicpg1252\deff0\deflang11274{\fonttbl{\f0\fnil\fcharset0 MS Sans Serif}} \viewkind4\uc1\pard\f0\fs16 LLAVE TECLA BALIZA RENAULT KANGOO\par } </v>
      </c>
      <c r="AM2585" t="str">
        <f>" "</f>
        <v xml:space="preserve"> </v>
      </c>
    </row>
    <row r="2586" spans="1:39" x14ac:dyDescent="0.25">
      <c r="A2586" t="str">
        <f>"FI13003"</f>
        <v>FI13003</v>
      </c>
      <c r="B2586" t="str">
        <f>"MANGUERA CORRUGADA 230MM DIAM 7,5MM"</f>
        <v>MANGUERA CORRUGADA 230MM DIAM 7,5MM</v>
      </c>
      <c r="C2586" t="str">
        <f>"$ 4138,33"</f>
        <v>$ 4138,33</v>
      </c>
      <c r="D2586" t="str">
        <f>"$ 4138,33"</f>
        <v>$ 4138,33</v>
      </c>
      <c r="E2586" t="str">
        <f>"$ 4138,33"</f>
        <v>$ 4138,33</v>
      </c>
      <c r="F2586" t="str">
        <f>"$ 4138,33"</f>
        <v>$ 4138,33</v>
      </c>
      <c r="G2586" t="str">
        <f>"$ 4138,33"</f>
        <v>$ 4138,33</v>
      </c>
      <c r="H2586" t="str">
        <f t="shared" si="1664"/>
        <v>$ 0,00</v>
      </c>
      <c r="I2586" t="str">
        <f>"MANGUERA CORRUGADA"</f>
        <v>MANGUERA CORRUGADA</v>
      </c>
      <c r="J2586" t="str">
        <f t="shared" si="1665"/>
        <v>1</v>
      </c>
      <c r="K2586" t="str">
        <f t="shared" si="1686"/>
        <v>0</v>
      </c>
      <c r="L2586" t="str">
        <f>"41,000"</f>
        <v>41,000</v>
      </c>
      <c r="M2586" t="str">
        <f t="shared" si="1666"/>
        <v xml:space="preserve"> </v>
      </c>
      <c r="N2586" t="str">
        <f>"FISPA"</f>
        <v>FISPA</v>
      </c>
      <c r="O2586" t="str">
        <f>"BOMBAS"</f>
        <v>BOMBAS</v>
      </c>
      <c r="P2586" t="str">
        <f t="shared" si="1687"/>
        <v>0</v>
      </c>
      <c r="Q2586" t="str">
        <f t="shared" si="1687"/>
        <v>0</v>
      </c>
      <c r="R2586" t="str">
        <f t="shared" si="1688"/>
        <v>0,00</v>
      </c>
      <c r="S2586" t="str">
        <f t="shared" si="1688"/>
        <v>0,00</v>
      </c>
      <c r="T2586" t="str">
        <f t="shared" si="1662"/>
        <v xml:space="preserve"> </v>
      </c>
      <c r="U2586" t="str">
        <f t="shared" si="1663"/>
        <v xml:space="preserve"> </v>
      </c>
      <c r="V2586" t="str">
        <f>"41,000"</f>
        <v>41,000</v>
      </c>
      <c r="W2586" t="str">
        <f t="shared" si="1669"/>
        <v>Lista 4</v>
      </c>
      <c r="X2586" t="str">
        <f t="shared" si="1670"/>
        <v>Lista 5</v>
      </c>
      <c r="Y2586" t="str">
        <f t="shared" si="1671"/>
        <v>Oferta Gral.</v>
      </c>
      <c r="Z2586" t="str">
        <f t="shared" si="1672"/>
        <v>Rubro</v>
      </c>
      <c r="AA2586" t="str">
        <f t="shared" si="1673"/>
        <v>Cantidad por Bulto</v>
      </c>
      <c r="AB2586" t="str">
        <f t="shared" si="1674"/>
        <v>INNER</v>
      </c>
      <c r="AC2586" t="str">
        <f t="shared" si="1675"/>
        <v>Stock en Bultos</v>
      </c>
      <c r="AD2586" t="str">
        <f t="shared" si="1676"/>
        <v>SubDepósito</v>
      </c>
      <c r="AE2586" t="str">
        <f t="shared" si="1677"/>
        <v>Marca</v>
      </c>
      <c r="AF2586" t="str">
        <f t="shared" si="1678"/>
        <v>Super Rubro</v>
      </c>
      <c r="AG2586" t="str">
        <f t="shared" si="1679"/>
        <v>ComercioExterior</v>
      </c>
      <c r="AH2586" t="str">
        <f t="shared" si="1680"/>
        <v>PrecioFOB</v>
      </c>
      <c r="AI2586" t="str">
        <f t="shared" si="1681"/>
        <v>Monto II</v>
      </c>
      <c r="AJ2586" t="str">
        <f t="shared" si="1682"/>
        <v>Porcentaje II</v>
      </c>
      <c r="AK2586" t="str">
        <f t="shared" si="1683"/>
        <v>Foto</v>
      </c>
      <c r="AL258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586" t="str">
        <f>"-"</f>
        <v>-</v>
      </c>
    </row>
    <row r="2587" spans="1:39" x14ac:dyDescent="0.25">
      <c r="A2587" t="str">
        <f>"FI13001"</f>
        <v>FI13001</v>
      </c>
      <c r="B2587" t="str">
        <f>"MANGUERA CORRUGADA 254MM BOCAS 7,5 MM"</f>
        <v>MANGUERA CORRUGADA 254MM BOCAS 7,5 MM</v>
      </c>
      <c r="C2587" t="str">
        <f>"$ 4455,33"</f>
        <v>$ 4455,33</v>
      </c>
      <c r="D2587" t="str">
        <f>"$ 4455,33"</f>
        <v>$ 4455,33</v>
      </c>
      <c r="E2587" t="str">
        <f>"$ 4455,33"</f>
        <v>$ 4455,33</v>
      </c>
      <c r="F2587" t="str">
        <f>"$ 4455,33"</f>
        <v>$ 4455,33</v>
      </c>
      <c r="G2587" t="str">
        <f>"$ 4455,33"</f>
        <v>$ 4455,33</v>
      </c>
      <c r="H2587" t="str">
        <f t="shared" si="1664"/>
        <v>$ 0,00</v>
      </c>
      <c r="I2587" t="str">
        <f>"MANGUERA CORRUGADA"</f>
        <v>MANGUERA CORRUGADA</v>
      </c>
      <c r="J2587" t="str">
        <f t="shared" si="1665"/>
        <v>1</v>
      </c>
      <c r="K2587" t="str">
        <f t="shared" si="1686"/>
        <v>0</v>
      </c>
      <c r="L2587" t="str">
        <f>"29,000"</f>
        <v>29,000</v>
      </c>
      <c r="M2587" t="str">
        <f t="shared" si="1666"/>
        <v xml:space="preserve"> </v>
      </c>
      <c r="N2587" t="str">
        <f>"FISPA"</f>
        <v>FISPA</v>
      </c>
      <c r="O2587" t="str">
        <f>"BOMBAS"</f>
        <v>BOMBAS</v>
      </c>
      <c r="P2587" t="str">
        <f t="shared" si="1687"/>
        <v>0</v>
      </c>
      <c r="Q2587" t="str">
        <f t="shared" si="1687"/>
        <v>0</v>
      </c>
      <c r="R2587" t="str">
        <f t="shared" si="1688"/>
        <v>0,00</v>
      </c>
      <c r="S2587" t="str">
        <f t="shared" si="1688"/>
        <v>0,00</v>
      </c>
      <c r="T2587" t="str">
        <f t="shared" si="1662"/>
        <v xml:space="preserve"> </v>
      </c>
      <c r="U2587" t="str">
        <f t="shared" si="1663"/>
        <v xml:space="preserve"> </v>
      </c>
      <c r="V2587" t="str">
        <f>"29,000"</f>
        <v>29,000</v>
      </c>
      <c r="W2587" t="str">
        <f t="shared" si="1669"/>
        <v>Lista 4</v>
      </c>
      <c r="X2587" t="str">
        <f t="shared" si="1670"/>
        <v>Lista 5</v>
      </c>
      <c r="Y2587" t="str">
        <f t="shared" si="1671"/>
        <v>Oferta Gral.</v>
      </c>
      <c r="Z2587" t="str">
        <f t="shared" si="1672"/>
        <v>Rubro</v>
      </c>
      <c r="AA2587" t="str">
        <f t="shared" si="1673"/>
        <v>Cantidad por Bulto</v>
      </c>
      <c r="AB2587" t="str">
        <f t="shared" si="1674"/>
        <v>INNER</v>
      </c>
      <c r="AC2587" t="str">
        <f t="shared" si="1675"/>
        <v>Stock en Bultos</v>
      </c>
      <c r="AD2587" t="str">
        <f t="shared" si="1676"/>
        <v>SubDepósito</v>
      </c>
      <c r="AE2587" t="str">
        <f t="shared" si="1677"/>
        <v>Marca</v>
      </c>
      <c r="AF2587" t="str">
        <f t="shared" si="1678"/>
        <v>Super Rubro</v>
      </c>
      <c r="AG2587" t="str">
        <f t="shared" si="1679"/>
        <v>ComercioExterior</v>
      </c>
      <c r="AH2587" t="str">
        <f t="shared" si="1680"/>
        <v>PrecioFOB</v>
      </c>
      <c r="AI2587" t="str">
        <f t="shared" si="1681"/>
        <v>Monto II</v>
      </c>
      <c r="AJ2587" t="str">
        <f t="shared" si="1682"/>
        <v>Porcentaje II</v>
      </c>
      <c r="AK2587" t="str">
        <f t="shared" si="1683"/>
        <v>Foto</v>
      </c>
      <c r="AL258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587" t="str">
        <f>"-"</f>
        <v>-</v>
      </c>
    </row>
    <row r="2588" spans="1:39" x14ac:dyDescent="0.25">
      <c r="A2588" t="str">
        <f>"FI13002"</f>
        <v>FI13002</v>
      </c>
      <c r="B2588" t="str">
        <f>"MANGUERA CORRUGADA 254MM BOCAS 7,5 Y 9 MM"</f>
        <v>MANGUERA CORRUGADA 254MM BOCAS 7,5 Y 9 MM</v>
      </c>
      <c r="C2588" t="str">
        <f>"$ 4366,17"</f>
        <v>$ 4366,17</v>
      </c>
      <c r="D2588" t="str">
        <f>"$ 4366,17"</f>
        <v>$ 4366,17</v>
      </c>
      <c r="E2588" t="str">
        <f>"$ 4366,17"</f>
        <v>$ 4366,17</v>
      </c>
      <c r="F2588" t="str">
        <f>"$ 4366,17"</f>
        <v>$ 4366,17</v>
      </c>
      <c r="G2588" t="str">
        <f>"$ 4366,17"</f>
        <v>$ 4366,17</v>
      </c>
      <c r="H2588" t="str">
        <f t="shared" si="1664"/>
        <v>$ 0,00</v>
      </c>
      <c r="I2588" t="str">
        <f>"MANGUERA CORRUGADA"</f>
        <v>MANGUERA CORRUGADA</v>
      </c>
      <c r="J2588" t="str">
        <f t="shared" si="1665"/>
        <v>1</v>
      </c>
      <c r="K2588" t="str">
        <f t="shared" si="1686"/>
        <v>0</v>
      </c>
      <c r="L2588" t="str">
        <f>"24,000"</f>
        <v>24,000</v>
      </c>
      <c r="M2588" t="str">
        <f t="shared" si="1666"/>
        <v xml:space="preserve"> </v>
      </c>
      <c r="N2588" t="str">
        <f>"FISPA"</f>
        <v>FISPA</v>
      </c>
      <c r="O2588" t="str">
        <f>"BOMBAS"</f>
        <v>BOMBAS</v>
      </c>
      <c r="P2588" t="str">
        <f t="shared" si="1687"/>
        <v>0</v>
      </c>
      <c r="Q2588" t="str">
        <f t="shared" si="1687"/>
        <v>0</v>
      </c>
      <c r="R2588" t="str">
        <f t="shared" si="1688"/>
        <v>0,00</v>
      </c>
      <c r="S2588" t="str">
        <f t="shared" si="1688"/>
        <v>0,00</v>
      </c>
      <c r="T2588" t="str">
        <f t="shared" si="1662"/>
        <v xml:space="preserve"> </v>
      </c>
      <c r="U2588" t="str">
        <f t="shared" si="1663"/>
        <v xml:space="preserve"> </v>
      </c>
      <c r="V2588" t="str">
        <f>"24,000"</f>
        <v>24,000</v>
      </c>
      <c r="W2588" t="str">
        <f t="shared" si="1669"/>
        <v>Lista 4</v>
      </c>
      <c r="X2588" t="str">
        <f t="shared" si="1670"/>
        <v>Lista 5</v>
      </c>
      <c r="Y2588" t="str">
        <f t="shared" si="1671"/>
        <v>Oferta Gral.</v>
      </c>
      <c r="Z2588" t="str">
        <f t="shared" si="1672"/>
        <v>Rubro</v>
      </c>
      <c r="AA2588" t="str">
        <f t="shared" si="1673"/>
        <v>Cantidad por Bulto</v>
      </c>
      <c r="AB2588" t="str">
        <f t="shared" si="1674"/>
        <v>INNER</v>
      </c>
      <c r="AC2588" t="str">
        <f t="shared" si="1675"/>
        <v>Stock en Bultos</v>
      </c>
      <c r="AD2588" t="str">
        <f t="shared" si="1676"/>
        <v>SubDepósito</v>
      </c>
      <c r="AE2588" t="str">
        <f t="shared" si="1677"/>
        <v>Marca</v>
      </c>
      <c r="AF2588" t="str">
        <f t="shared" si="1678"/>
        <v>Super Rubro</v>
      </c>
      <c r="AG2588" t="str">
        <f t="shared" si="1679"/>
        <v>ComercioExterior</v>
      </c>
      <c r="AH2588" t="str">
        <f t="shared" si="1680"/>
        <v>PrecioFOB</v>
      </c>
      <c r="AI2588" t="str">
        <f t="shared" si="1681"/>
        <v>Monto II</v>
      </c>
      <c r="AJ2588" t="str">
        <f t="shared" si="1682"/>
        <v>Porcentaje II</v>
      </c>
      <c r="AK2588" t="str">
        <f t="shared" si="1683"/>
        <v>Foto</v>
      </c>
      <c r="AL258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588" t="str">
        <f>"-"</f>
        <v>-</v>
      </c>
    </row>
    <row r="2589" spans="1:39" x14ac:dyDescent="0.25">
      <c r="A2589" t="str">
        <f>"FI13008"</f>
        <v>FI13008</v>
      </c>
      <c r="B2589" t="str">
        <f>"MANGUERA CORRUGADA 254MM BOCAS 9 MM"</f>
        <v>MANGUERA CORRUGADA 254MM BOCAS 9 MM</v>
      </c>
      <c r="C2589" t="str">
        <f>"$ 4428,09"</f>
        <v>$ 4428,09</v>
      </c>
      <c r="D2589" t="str">
        <f>"$ 4428,09"</f>
        <v>$ 4428,09</v>
      </c>
      <c r="E2589" t="str">
        <f>"$ 4428,09"</f>
        <v>$ 4428,09</v>
      </c>
      <c r="F2589" t="str">
        <f>"$ 4428,09"</f>
        <v>$ 4428,09</v>
      </c>
      <c r="G2589" t="str">
        <f>"$ 4428,09"</f>
        <v>$ 4428,09</v>
      </c>
      <c r="H2589" t="str">
        <f t="shared" si="1664"/>
        <v>$ 0,00</v>
      </c>
      <c r="I2589" t="str">
        <f>"MANGUERA CORRUGADA"</f>
        <v>MANGUERA CORRUGADA</v>
      </c>
      <c r="J2589" t="str">
        <f t="shared" si="1665"/>
        <v>1</v>
      </c>
      <c r="K2589" t="str">
        <f t="shared" si="1686"/>
        <v>0</v>
      </c>
      <c r="L2589" t="str">
        <f>"28,000"</f>
        <v>28,000</v>
      </c>
      <c r="M2589" t="str">
        <f t="shared" si="1666"/>
        <v xml:space="preserve"> </v>
      </c>
      <c r="N2589" t="str">
        <f>"FISPA"</f>
        <v>FISPA</v>
      </c>
      <c r="O2589" t="str">
        <f>"BOMBAS"</f>
        <v>BOMBAS</v>
      </c>
      <c r="P2589" t="str">
        <f t="shared" si="1687"/>
        <v>0</v>
      </c>
      <c r="Q2589" t="str">
        <f t="shared" si="1687"/>
        <v>0</v>
      </c>
      <c r="R2589" t="str">
        <f t="shared" si="1688"/>
        <v>0,00</v>
      </c>
      <c r="S2589" t="str">
        <f t="shared" si="1688"/>
        <v>0,00</v>
      </c>
      <c r="T2589" t="str">
        <f t="shared" si="1662"/>
        <v xml:space="preserve"> </v>
      </c>
      <c r="U2589" t="str">
        <f t="shared" si="1663"/>
        <v xml:space="preserve"> </v>
      </c>
      <c r="V2589" t="str">
        <f>"28,000"</f>
        <v>28,000</v>
      </c>
      <c r="W2589" t="str">
        <f t="shared" si="1669"/>
        <v>Lista 4</v>
      </c>
      <c r="X2589" t="str">
        <f t="shared" si="1670"/>
        <v>Lista 5</v>
      </c>
      <c r="Y2589" t="str">
        <f t="shared" si="1671"/>
        <v>Oferta Gral.</v>
      </c>
      <c r="Z2589" t="str">
        <f t="shared" si="1672"/>
        <v>Rubro</v>
      </c>
      <c r="AA2589" t="str">
        <f t="shared" si="1673"/>
        <v>Cantidad por Bulto</v>
      </c>
      <c r="AB2589" t="str">
        <f t="shared" si="1674"/>
        <v>INNER</v>
      </c>
      <c r="AC2589" t="str">
        <f t="shared" si="1675"/>
        <v>Stock en Bultos</v>
      </c>
      <c r="AD2589" t="str">
        <f t="shared" si="1676"/>
        <v>SubDepósito</v>
      </c>
      <c r="AE2589" t="str">
        <f t="shared" si="1677"/>
        <v>Marca</v>
      </c>
      <c r="AF2589" t="str">
        <f t="shared" si="1678"/>
        <v>Super Rubro</v>
      </c>
      <c r="AG2589" t="str">
        <f t="shared" si="1679"/>
        <v>ComercioExterior</v>
      </c>
      <c r="AH2589" t="str">
        <f t="shared" si="1680"/>
        <v>PrecioFOB</v>
      </c>
      <c r="AI2589" t="str">
        <f t="shared" si="1681"/>
        <v>Monto II</v>
      </c>
      <c r="AJ2589" t="str">
        <f t="shared" si="1682"/>
        <v>Porcentaje II</v>
      </c>
      <c r="AK2589" t="str">
        <f t="shared" si="1683"/>
        <v>Foto</v>
      </c>
      <c r="AL258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589" t="str">
        <f>"-"</f>
        <v>-</v>
      </c>
    </row>
    <row r="2590" spans="1:39" x14ac:dyDescent="0.25">
      <c r="A2590" t="str">
        <f>"FI13000"</f>
        <v>FI13000</v>
      </c>
      <c r="B2590" t="str">
        <f>"MANGUERA CORRUGADA 330MM BOCAS 7,5 MM"</f>
        <v>MANGUERA CORRUGADA 330MM BOCAS 7,5 MM</v>
      </c>
      <c r="C2590" t="str">
        <f>"$ 5407,57"</f>
        <v>$ 5407,57</v>
      </c>
      <c r="D2590" t="str">
        <f>"$ 5407,57"</f>
        <v>$ 5407,57</v>
      </c>
      <c r="E2590" t="str">
        <f>"$ 5407,57"</f>
        <v>$ 5407,57</v>
      </c>
      <c r="F2590" t="str">
        <f>"$ 5407,57"</f>
        <v>$ 5407,57</v>
      </c>
      <c r="G2590" t="str">
        <f>"$ 5407,57"</f>
        <v>$ 5407,57</v>
      </c>
      <c r="H2590" t="str">
        <f t="shared" si="1664"/>
        <v>$ 0,00</v>
      </c>
      <c r="I2590" t="str">
        <f>"MANGUERA CORRUGADA"</f>
        <v>MANGUERA CORRUGADA</v>
      </c>
      <c r="J2590" t="str">
        <f t="shared" si="1665"/>
        <v>1</v>
      </c>
      <c r="K2590" t="str">
        <f t="shared" si="1686"/>
        <v>0</v>
      </c>
      <c r="L2590" t="str">
        <f>"32,000"</f>
        <v>32,000</v>
      </c>
      <c r="M2590" t="str">
        <f t="shared" si="1666"/>
        <v xml:space="preserve"> </v>
      </c>
      <c r="N2590" t="str">
        <f>"FISPA"</f>
        <v>FISPA</v>
      </c>
      <c r="O2590" t="str">
        <f>"BOMBAS"</f>
        <v>BOMBAS</v>
      </c>
      <c r="P2590" t="str">
        <f t="shared" si="1687"/>
        <v>0</v>
      </c>
      <c r="Q2590" t="str">
        <f t="shared" si="1687"/>
        <v>0</v>
      </c>
      <c r="R2590" t="str">
        <f t="shared" si="1688"/>
        <v>0,00</v>
      </c>
      <c r="S2590" t="str">
        <f t="shared" si="1688"/>
        <v>0,00</v>
      </c>
      <c r="T2590" t="str">
        <f t="shared" si="1662"/>
        <v xml:space="preserve"> </v>
      </c>
      <c r="U2590" t="str">
        <f t="shared" si="1663"/>
        <v xml:space="preserve"> </v>
      </c>
      <c r="V2590" t="str">
        <f>"32,000"</f>
        <v>32,000</v>
      </c>
      <c r="W2590" t="str">
        <f t="shared" si="1669"/>
        <v>Lista 4</v>
      </c>
      <c r="X2590" t="str">
        <f t="shared" si="1670"/>
        <v>Lista 5</v>
      </c>
      <c r="Y2590" t="str">
        <f t="shared" si="1671"/>
        <v>Oferta Gral.</v>
      </c>
      <c r="Z2590" t="str">
        <f t="shared" si="1672"/>
        <v>Rubro</v>
      </c>
      <c r="AA2590" t="str">
        <f t="shared" si="1673"/>
        <v>Cantidad por Bulto</v>
      </c>
      <c r="AB2590" t="str">
        <f t="shared" si="1674"/>
        <v>INNER</v>
      </c>
      <c r="AC2590" t="str">
        <f t="shared" si="1675"/>
        <v>Stock en Bultos</v>
      </c>
      <c r="AD2590" t="str">
        <f t="shared" si="1676"/>
        <v>SubDepósito</v>
      </c>
      <c r="AE2590" t="str">
        <f t="shared" si="1677"/>
        <v>Marca</v>
      </c>
      <c r="AF2590" t="str">
        <f t="shared" si="1678"/>
        <v>Super Rubro</v>
      </c>
      <c r="AG2590" t="str">
        <f t="shared" si="1679"/>
        <v>ComercioExterior</v>
      </c>
      <c r="AH2590" t="str">
        <f t="shared" si="1680"/>
        <v>PrecioFOB</v>
      </c>
      <c r="AI2590" t="str">
        <f t="shared" si="1681"/>
        <v>Monto II</v>
      </c>
      <c r="AJ2590" t="str">
        <f t="shared" si="1682"/>
        <v>Porcentaje II</v>
      </c>
      <c r="AK2590" t="str">
        <f t="shared" si="1683"/>
        <v>Foto</v>
      </c>
      <c r="AL259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590" t="str">
        <f>"-"</f>
        <v>-</v>
      </c>
    </row>
    <row r="2591" spans="1:39" x14ac:dyDescent="0.25">
      <c r="A2591" t="str">
        <f>"ASP001"</f>
        <v>ASP001</v>
      </c>
      <c r="B2591" t="str">
        <f>"MINI ASPIRADORA 12V 60W"</f>
        <v>MINI ASPIRADORA 12V 60W</v>
      </c>
      <c r="C2591" t="str">
        <f>"$ 12416,15"</f>
        <v>$ 12416,15</v>
      </c>
      <c r="D2591" t="str">
        <f>"$ 12416,15"</f>
        <v>$ 12416,15</v>
      </c>
      <c r="E2591" t="str">
        <f>"$ 12416,15"</f>
        <v>$ 12416,15</v>
      </c>
      <c r="F2591" t="str">
        <f>"$ 12416,15"</f>
        <v>$ 12416,15</v>
      </c>
      <c r="G2591" t="str">
        <f>"$ 12416,15"</f>
        <v>$ 12416,15</v>
      </c>
      <c r="H2591" t="str">
        <f t="shared" si="1664"/>
        <v>$ 0,00</v>
      </c>
      <c r="I2591" t="str">
        <f>"MINI ASPIRADORAS"</f>
        <v>MINI ASPIRADORAS</v>
      </c>
      <c r="J2591" t="str">
        <f t="shared" si="1665"/>
        <v>1</v>
      </c>
      <c r="K2591" t="str">
        <f t="shared" si="1686"/>
        <v>0</v>
      </c>
      <c r="L2591" t="str">
        <f>"9,000"</f>
        <v>9,000</v>
      </c>
      <c r="M2591" t="str">
        <f t="shared" si="1666"/>
        <v xml:space="preserve"> </v>
      </c>
      <c r="N2591" t="str">
        <f>"OREGON"</f>
        <v>OREGON</v>
      </c>
      <c r="O2591" t="str">
        <f>"ASPIRADORAS"</f>
        <v>ASPIRADORAS</v>
      </c>
      <c r="P2591" t="str">
        <f t="shared" si="1687"/>
        <v>0</v>
      </c>
      <c r="Q2591" t="str">
        <f t="shared" si="1687"/>
        <v>0</v>
      </c>
      <c r="R2591" t="str">
        <f t="shared" si="1688"/>
        <v>0,00</v>
      </c>
      <c r="S2591" t="str">
        <f t="shared" si="1688"/>
        <v>0,00</v>
      </c>
      <c r="T2591" t="str">
        <f t="shared" si="1662"/>
        <v xml:space="preserve"> </v>
      </c>
      <c r="U2591" t="str">
        <f t="shared" si="1663"/>
        <v xml:space="preserve"> </v>
      </c>
      <c r="V2591" t="str">
        <f>"9,000"</f>
        <v>9,000</v>
      </c>
      <c r="W2591" t="str">
        <f t="shared" si="1669"/>
        <v>Lista 4</v>
      </c>
      <c r="X2591" t="str">
        <f t="shared" si="1670"/>
        <v>Lista 5</v>
      </c>
      <c r="Y2591" t="str">
        <f t="shared" si="1671"/>
        <v>Oferta Gral.</v>
      </c>
      <c r="Z2591" t="str">
        <f t="shared" si="1672"/>
        <v>Rubro</v>
      </c>
      <c r="AA2591" t="str">
        <f t="shared" si="1673"/>
        <v>Cantidad por Bulto</v>
      </c>
      <c r="AB2591" t="str">
        <f t="shared" si="1674"/>
        <v>INNER</v>
      </c>
      <c r="AC2591" t="str">
        <f t="shared" si="1675"/>
        <v>Stock en Bultos</v>
      </c>
      <c r="AD2591" t="str">
        <f t="shared" si="1676"/>
        <v>SubDepósito</v>
      </c>
      <c r="AE2591" t="str">
        <f t="shared" si="1677"/>
        <v>Marca</v>
      </c>
      <c r="AF2591" t="str">
        <f t="shared" si="1678"/>
        <v>Super Rubro</v>
      </c>
      <c r="AG2591" t="str">
        <f t="shared" si="1679"/>
        <v>ComercioExterior</v>
      </c>
      <c r="AH2591" t="str">
        <f t="shared" si="1680"/>
        <v>PrecioFOB</v>
      </c>
      <c r="AI2591" t="str">
        <f t="shared" si="1681"/>
        <v>Monto II</v>
      </c>
      <c r="AJ2591" t="str">
        <f t="shared" si="1682"/>
        <v>Porcentaje II</v>
      </c>
      <c r="AK2591" t="str">
        <f t="shared" si="1683"/>
        <v>Foto</v>
      </c>
      <c r="AL2591" t="str">
        <f>"{\rtf1\ansi\ansicpg1252\deff0\deflang11274{\fonttbl{\f0\fnil\fcharset0 MS Sans Serif}} \viewkind4\uc1\pard\f0\fs16 MINI ASPIRADORA 12V 60W\par } "</f>
        <v xml:space="preserve">{\rtf1\ansi\ansicpg1252\deff0\deflang11274{\fonttbl{\f0\fnil\fcharset0 MS Sans Serif}} \viewkind4\uc1\pard\f0\fs16 MINI ASPIRADORA 12V 60W\par } </v>
      </c>
      <c r="AM2591" t="str">
        <f>" "</f>
        <v xml:space="preserve"> </v>
      </c>
    </row>
    <row r="2592" spans="1:39" x14ac:dyDescent="0.25">
      <c r="A2592" t="str">
        <f>"MEC09"</f>
        <v>MEC09</v>
      </c>
      <c r="B2592" t="str">
        <f>"MODULO COMPETICION TIPO INDIEL "</f>
        <v xml:space="preserve">MODULO COMPETICION TIPO INDIEL </v>
      </c>
      <c r="C2592" t="str">
        <f>"$ 72693,62"</f>
        <v>$ 72693,62</v>
      </c>
      <c r="D2592" t="str">
        <f>"$ 72693,62"</f>
        <v>$ 72693,62</v>
      </c>
      <c r="E2592" t="str">
        <f>"$ 72693,62"</f>
        <v>$ 72693,62</v>
      </c>
      <c r="F2592" t="str">
        <f>"$ 33366,36"</f>
        <v>$ 33366,36</v>
      </c>
      <c r="G2592" t="str">
        <f>"$ 33366,36"</f>
        <v>$ 33366,36</v>
      </c>
      <c r="H2592" t="str">
        <f t="shared" si="1664"/>
        <v>$ 0,00</v>
      </c>
      <c r="I2592" t="str">
        <f t="shared" ref="I2592:I2597" si="1689">"MODULOS DE IGNICIÓN"</f>
        <v>MODULOS DE IGNICIÓN</v>
      </c>
      <c r="J2592" t="str">
        <f t="shared" si="1665"/>
        <v>1</v>
      </c>
      <c r="K2592" t="str">
        <f t="shared" si="1686"/>
        <v>0</v>
      </c>
      <c r="L2592" t="str">
        <f>"16,000"</f>
        <v>16,000</v>
      </c>
      <c r="M2592" t="str">
        <f t="shared" si="1666"/>
        <v xml:space="preserve"> </v>
      </c>
      <c r="N2592" t="str">
        <f>"FERRAZZI"</f>
        <v>FERRAZZI</v>
      </c>
      <c r="O2592" t="str">
        <f t="shared" ref="O2592:O2597" si="1690">"MÓDULOS"</f>
        <v>MÓDULOS</v>
      </c>
      <c r="P2592" t="str">
        <f t="shared" si="1687"/>
        <v>0</v>
      </c>
      <c r="Q2592" t="str">
        <f t="shared" si="1687"/>
        <v>0</v>
      </c>
      <c r="R2592" t="str">
        <f t="shared" si="1688"/>
        <v>0,00</v>
      </c>
      <c r="S2592" t="str">
        <f t="shared" si="1688"/>
        <v>0,00</v>
      </c>
      <c r="T2592" t="str">
        <f t="shared" si="1662"/>
        <v xml:space="preserve"> </v>
      </c>
      <c r="U2592" t="str">
        <f t="shared" si="1663"/>
        <v xml:space="preserve"> </v>
      </c>
      <c r="V2592" t="str">
        <f>"16,000"</f>
        <v>16,000</v>
      </c>
      <c r="W2592" t="str">
        <f t="shared" si="1669"/>
        <v>Lista 4</v>
      </c>
      <c r="X2592" t="str">
        <f t="shared" si="1670"/>
        <v>Lista 5</v>
      </c>
      <c r="Y2592" t="str">
        <f t="shared" si="1671"/>
        <v>Oferta Gral.</v>
      </c>
      <c r="Z2592" t="str">
        <f t="shared" si="1672"/>
        <v>Rubro</v>
      </c>
      <c r="AA2592" t="str">
        <f t="shared" si="1673"/>
        <v>Cantidad por Bulto</v>
      </c>
      <c r="AB2592" t="str">
        <f t="shared" si="1674"/>
        <v>INNER</v>
      </c>
      <c r="AC2592" t="str">
        <f t="shared" si="1675"/>
        <v>Stock en Bultos</v>
      </c>
      <c r="AD2592" t="str">
        <f t="shared" si="1676"/>
        <v>SubDepósito</v>
      </c>
      <c r="AE2592" t="str">
        <f t="shared" si="1677"/>
        <v>Marca</v>
      </c>
      <c r="AF2592" t="str">
        <f t="shared" si="1678"/>
        <v>Super Rubro</v>
      </c>
      <c r="AG2592" t="str">
        <f t="shared" si="1679"/>
        <v>ComercioExterior</v>
      </c>
      <c r="AH2592" t="str">
        <f t="shared" si="1680"/>
        <v>PrecioFOB</v>
      </c>
      <c r="AI2592" t="str">
        <f t="shared" si="1681"/>
        <v>Monto II</v>
      </c>
      <c r="AJ2592" t="str">
        <f t="shared" si="1682"/>
        <v>Porcentaje II</v>
      </c>
      <c r="AK2592" t="str">
        <f t="shared" si="1683"/>
        <v>Foto</v>
      </c>
      <c r="AL259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592" t="str">
        <f>" "</f>
        <v xml:space="preserve"> </v>
      </c>
    </row>
    <row r="2593" spans="1:39" x14ac:dyDescent="0.25">
      <c r="A2593" t="str">
        <f>"FT001"</f>
        <v>FT001</v>
      </c>
      <c r="B2593" t="str">
        <f>"MODULO DE ENCENDIDO TIPO MARELLI"</f>
        <v>MODULO DE ENCENDIDO TIPO MARELLI</v>
      </c>
      <c r="C2593" t="str">
        <f>"$ 22931,90"</f>
        <v>$ 22931,90</v>
      </c>
      <c r="D2593" t="str">
        <f>"$ 22931,90"</f>
        <v>$ 22931,90</v>
      </c>
      <c r="E2593" t="str">
        <f>"$ 22931,90"</f>
        <v>$ 22931,90</v>
      </c>
      <c r="F2593" t="str">
        <f>"$ 22931,90"</f>
        <v>$ 22931,90</v>
      </c>
      <c r="G2593" t="str">
        <f>"$ 22931,90"</f>
        <v>$ 22931,90</v>
      </c>
      <c r="H2593" t="str">
        <f t="shared" si="1664"/>
        <v>$ 0,00</v>
      </c>
      <c r="I2593" t="str">
        <f t="shared" si="1689"/>
        <v>MODULOS DE IGNICIÓN</v>
      </c>
      <c r="J2593" t="str">
        <f t="shared" si="1665"/>
        <v>1</v>
      </c>
      <c r="K2593" t="str">
        <f t="shared" si="1686"/>
        <v>0</v>
      </c>
      <c r="L2593" t="str">
        <f>"36,000"</f>
        <v>36,000</v>
      </c>
      <c r="M2593" t="str">
        <f t="shared" si="1666"/>
        <v xml:space="preserve"> </v>
      </c>
      <c r="N2593" t="str">
        <f>"REGITAR"</f>
        <v>REGITAR</v>
      </c>
      <c r="O2593" t="str">
        <f t="shared" si="1690"/>
        <v>MÓDULOS</v>
      </c>
      <c r="P2593" t="str">
        <f t="shared" si="1687"/>
        <v>0</v>
      </c>
      <c r="Q2593" t="str">
        <f t="shared" si="1687"/>
        <v>0</v>
      </c>
      <c r="R2593" t="str">
        <f t="shared" si="1688"/>
        <v>0,00</v>
      </c>
      <c r="S2593" t="str">
        <f t="shared" si="1688"/>
        <v>0,00</v>
      </c>
      <c r="T2593" t="str">
        <f t="shared" si="1662"/>
        <v xml:space="preserve"> </v>
      </c>
      <c r="U2593" t="str">
        <f t="shared" si="1663"/>
        <v xml:space="preserve"> </v>
      </c>
      <c r="V2593" t="str">
        <f>"36,000"</f>
        <v>36,000</v>
      </c>
      <c r="W2593" t="str">
        <f t="shared" si="1669"/>
        <v>Lista 4</v>
      </c>
      <c r="X2593" t="str">
        <f t="shared" si="1670"/>
        <v>Lista 5</v>
      </c>
      <c r="Y2593" t="str">
        <f t="shared" si="1671"/>
        <v>Oferta Gral.</v>
      </c>
      <c r="Z2593" t="str">
        <f t="shared" si="1672"/>
        <v>Rubro</v>
      </c>
      <c r="AA2593" t="str">
        <f t="shared" si="1673"/>
        <v>Cantidad por Bulto</v>
      </c>
      <c r="AB2593" t="str">
        <f t="shared" si="1674"/>
        <v>INNER</v>
      </c>
      <c r="AC2593" t="str">
        <f t="shared" si="1675"/>
        <v>Stock en Bultos</v>
      </c>
      <c r="AD2593" t="str">
        <f t="shared" si="1676"/>
        <v>SubDepósito</v>
      </c>
      <c r="AE2593" t="str">
        <f t="shared" si="1677"/>
        <v>Marca</v>
      </c>
      <c r="AF2593" t="str">
        <f t="shared" si="1678"/>
        <v>Super Rubro</v>
      </c>
      <c r="AG2593" t="str">
        <f t="shared" si="1679"/>
        <v>ComercioExterior</v>
      </c>
      <c r="AH2593" t="str">
        <f t="shared" si="1680"/>
        <v>PrecioFOB</v>
      </c>
      <c r="AI2593" t="str">
        <f t="shared" si="1681"/>
        <v>Monto II</v>
      </c>
      <c r="AJ2593" t="str">
        <f t="shared" si="1682"/>
        <v>Porcentaje II</v>
      </c>
      <c r="AK2593" t="str">
        <f t="shared" si="1683"/>
        <v>Foto</v>
      </c>
      <c r="AL2593" t="str">
        <f>"{\rtf1\ansi\ansicpg1252\deff0\deflang11274{\fonttbl{\f0\fnil\fcharset0 MS Sans Serif}} \viewkind4\uc1\pard\f0\fs16 BBA. NAFTA ELECTR. BMW SERIES 5 - 7 1989-1996 - 3 BAR - 12V - 140 L/H\par } "</f>
        <v xml:space="preserve">{\rtf1\ansi\ansicpg1252\deff0\deflang11274{\fonttbl{\f0\fnil\fcharset0 MS Sans Serif}} \viewkind4\uc1\pard\f0\fs16 BBA. NAFTA ELECTR. BMW SERIES 5 - 7 1989-1996 - 3 BAR - 12V - 140 L/H\par } </v>
      </c>
      <c r="AM2593" t="str">
        <f>"-"</f>
        <v>-</v>
      </c>
    </row>
    <row r="2594" spans="1:39" x14ac:dyDescent="0.25">
      <c r="A2594" t="str">
        <f>"FI50002"</f>
        <v>FI50002</v>
      </c>
      <c r="B2594" t="str">
        <f>"MODULO DE ENCENDIDO VW 7 PINES"</f>
        <v>MODULO DE ENCENDIDO VW 7 PINES</v>
      </c>
      <c r="C2594" t="str">
        <f>"$ 36363,31"</f>
        <v>$ 36363,31</v>
      </c>
      <c r="D2594" t="str">
        <f>"$ 36363,31"</f>
        <v>$ 36363,31</v>
      </c>
      <c r="E2594" t="str">
        <f>"$ 36363,31"</f>
        <v>$ 36363,31</v>
      </c>
      <c r="F2594" t="str">
        <f>"$ 36363,31"</f>
        <v>$ 36363,31</v>
      </c>
      <c r="G2594" t="str">
        <f>"$ 36363,31"</f>
        <v>$ 36363,31</v>
      </c>
      <c r="H2594" t="str">
        <f t="shared" si="1664"/>
        <v>$ 0,00</v>
      </c>
      <c r="I2594" t="str">
        <f t="shared" si="1689"/>
        <v>MODULOS DE IGNICIÓN</v>
      </c>
      <c r="J2594" t="str">
        <f t="shared" si="1665"/>
        <v>1</v>
      </c>
      <c r="K2594" t="str">
        <f t="shared" si="1686"/>
        <v>0</v>
      </c>
      <c r="L2594" t="str">
        <f>"0,000"</f>
        <v>0,000</v>
      </c>
      <c r="M2594" t="str">
        <f t="shared" si="1666"/>
        <v xml:space="preserve"> </v>
      </c>
      <c r="N2594" t="str">
        <f>"FISPA"</f>
        <v>FISPA</v>
      </c>
      <c r="O2594" t="str">
        <f t="shared" si="1690"/>
        <v>MÓDULOS</v>
      </c>
      <c r="P2594" t="str">
        <f t="shared" si="1687"/>
        <v>0</v>
      </c>
      <c r="Q2594" t="str">
        <f t="shared" si="1687"/>
        <v>0</v>
      </c>
      <c r="R2594" t="str">
        <f t="shared" si="1688"/>
        <v>0,00</v>
      </c>
      <c r="S2594" t="str">
        <f t="shared" si="1688"/>
        <v>0,00</v>
      </c>
      <c r="T2594" t="str">
        <f t="shared" si="1662"/>
        <v xml:space="preserve"> </v>
      </c>
      <c r="U2594" t="str">
        <f t="shared" si="1663"/>
        <v xml:space="preserve"> </v>
      </c>
      <c r="V2594" t="str">
        <f>"0,000"</f>
        <v>0,000</v>
      </c>
      <c r="W2594" t="str">
        <f t="shared" si="1669"/>
        <v>Lista 4</v>
      </c>
      <c r="X2594" t="str">
        <f t="shared" si="1670"/>
        <v>Lista 5</v>
      </c>
      <c r="Y2594" t="str">
        <f t="shared" si="1671"/>
        <v>Oferta Gral.</v>
      </c>
      <c r="Z2594" t="str">
        <f t="shared" si="1672"/>
        <v>Rubro</v>
      </c>
      <c r="AA2594" t="str">
        <f t="shared" si="1673"/>
        <v>Cantidad por Bulto</v>
      </c>
      <c r="AB2594" t="str">
        <f t="shared" si="1674"/>
        <v>INNER</v>
      </c>
      <c r="AC2594" t="str">
        <f t="shared" si="1675"/>
        <v>Stock en Bultos</v>
      </c>
      <c r="AD2594" t="str">
        <f t="shared" si="1676"/>
        <v>SubDepósito</v>
      </c>
      <c r="AE2594" t="str">
        <f t="shared" si="1677"/>
        <v>Marca</v>
      </c>
      <c r="AF2594" t="str">
        <f t="shared" si="1678"/>
        <v>Super Rubro</v>
      </c>
      <c r="AG2594" t="str">
        <f t="shared" si="1679"/>
        <v>ComercioExterior</v>
      </c>
      <c r="AH2594" t="str">
        <f t="shared" si="1680"/>
        <v>PrecioFOB</v>
      </c>
      <c r="AI2594" t="str">
        <f t="shared" si="1681"/>
        <v>Monto II</v>
      </c>
      <c r="AJ2594" t="str">
        <f t="shared" si="1682"/>
        <v>Porcentaje II</v>
      </c>
      <c r="AK2594" t="str">
        <f t="shared" si="1683"/>
        <v>Foto</v>
      </c>
      <c r="AL2594" t="str">
        <f>"{\rtf1\ansi\ansicpg1252\deff0\deflang11274{\fonttbl{\f0\fnil\fcharset0 MS Sans Serif}} \viewkind4\uc1\pard\f0\fs16 MODULO DE ENCENDIDO VW 7 PINES\par } "</f>
        <v xml:space="preserve">{\rtf1\ansi\ansicpg1252\deff0\deflang11274{\fonttbl{\f0\fnil\fcharset0 MS Sans Serif}} \viewkind4\uc1\pard\f0\fs16 MODULO DE ENCENDIDO VW 7 PINES\par } </v>
      </c>
      <c r="AM2594" t="str">
        <f>"Modulo de Ignición VW 7 pines"</f>
        <v>Modulo de Ignición VW 7 pines</v>
      </c>
    </row>
    <row r="2595" spans="1:39" x14ac:dyDescent="0.25">
      <c r="A2595" t="str">
        <f>"FI50003"</f>
        <v>FI50003</v>
      </c>
      <c r="B2595" t="str">
        <f>"MODULO ENCENDIDO TIPO INDIEL PEUGEOT FORD FIAT RENAULT IVA 10.5"</f>
        <v>MODULO ENCENDIDO TIPO INDIEL PEUGEOT FORD FIAT RENAULT IVA 10.5</v>
      </c>
      <c r="C2595" t="str">
        <f>"$ 29565,16"</f>
        <v>$ 29565,16</v>
      </c>
      <c r="D2595" t="str">
        <f>"$ 29565,16"</f>
        <v>$ 29565,16</v>
      </c>
      <c r="E2595" t="str">
        <f>"$ 29565,16"</f>
        <v>$ 29565,16</v>
      </c>
      <c r="F2595" t="str">
        <f>"$ 29565,16"</f>
        <v>$ 29565,16</v>
      </c>
      <c r="G2595" t="str">
        <f>"$ 29565,16"</f>
        <v>$ 29565,16</v>
      </c>
      <c r="H2595" t="str">
        <f t="shared" si="1664"/>
        <v>$ 0,00</v>
      </c>
      <c r="I2595" t="str">
        <f t="shared" si="1689"/>
        <v>MODULOS DE IGNICIÓN</v>
      </c>
      <c r="J2595" t="str">
        <f t="shared" si="1665"/>
        <v>1</v>
      </c>
      <c r="K2595" t="str">
        <f t="shared" si="1686"/>
        <v>0</v>
      </c>
      <c r="L2595" t="str">
        <f>"5,000"</f>
        <v>5,000</v>
      </c>
      <c r="M2595" t="str">
        <f t="shared" si="1666"/>
        <v xml:space="preserve"> </v>
      </c>
      <c r="N2595" t="str">
        <f>"FISPA"</f>
        <v>FISPA</v>
      </c>
      <c r="O2595" t="str">
        <f t="shared" si="1690"/>
        <v>MÓDULOS</v>
      </c>
      <c r="P2595" t="str">
        <f t="shared" si="1687"/>
        <v>0</v>
      </c>
      <c r="Q2595" t="str">
        <f t="shared" si="1687"/>
        <v>0</v>
      </c>
      <c r="R2595" t="str">
        <f t="shared" si="1688"/>
        <v>0,00</v>
      </c>
      <c r="S2595" t="str">
        <f t="shared" si="1688"/>
        <v>0,00</v>
      </c>
      <c r="T2595" t="str">
        <f t="shared" si="1662"/>
        <v xml:space="preserve"> </v>
      </c>
      <c r="U2595" t="str">
        <f t="shared" si="1663"/>
        <v xml:space="preserve"> </v>
      </c>
      <c r="V2595" t="str">
        <f>"5,000"</f>
        <v>5,000</v>
      </c>
      <c r="W2595" t="str">
        <f t="shared" si="1669"/>
        <v>Lista 4</v>
      </c>
      <c r="X2595" t="str">
        <f t="shared" si="1670"/>
        <v>Lista 5</v>
      </c>
      <c r="Y2595" t="str">
        <f t="shared" si="1671"/>
        <v>Oferta Gral.</v>
      </c>
      <c r="Z2595" t="str">
        <f t="shared" si="1672"/>
        <v>Rubro</v>
      </c>
      <c r="AA2595" t="str">
        <f t="shared" si="1673"/>
        <v>Cantidad por Bulto</v>
      </c>
      <c r="AB2595" t="str">
        <f t="shared" si="1674"/>
        <v>INNER</v>
      </c>
      <c r="AC2595" t="str">
        <f t="shared" si="1675"/>
        <v>Stock en Bultos</v>
      </c>
      <c r="AD2595" t="str">
        <f t="shared" si="1676"/>
        <v>SubDepósito</v>
      </c>
      <c r="AE2595" t="str">
        <f t="shared" si="1677"/>
        <v>Marca</v>
      </c>
      <c r="AF2595" t="str">
        <f t="shared" si="1678"/>
        <v>Super Rubro</v>
      </c>
      <c r="AG2595" t="str">
        <f t="shared" si="1679"/>
        <v>ComercioExterior</v>
      </c>
      <c r="AH2595" t="str">
        <f t="shared" si="1680"/>
        <v>PrecioFOB</v>
      </c>
      <c r="AI2595" t="str">
        <f t="shared" si="1681"/>
        <v>Monto II</v>
      </c>
      <c r="AJ2595" t="str">
        <f t="shared" si="1682"/>
        <v>Porcentaje II</v>
      </c>
      <c r="AK2595" t="str">
        <f t="shared" si="1683"/>
        <v>Foto</v>
      </c>
      <c r="AL2595" t="str">
        <f>"{\rtf1\ansi\ansicpg1252\deff0\deflang11274{\fonttbl{\f0\fnil\fcharset0 MS Sans Serif}} \viewkind4\uc1\pard\f0\fs16 MODULO ENCENDIDO TIPO INDIEL PEUGEOT FORD FIAT RENAULT IVA 10.5\par \par } "</f>
        <v xml:space="preserve">{\rtf1\ansi\ansicpg1252\deff0\deflang11274{\fonttbl{\f0\fnil\fcharset0 MS Sans Serif}} \viewkind4\uc1\pard\f0\fs16 MODULO ENCENDIDO TIPO INDIEL PEUGEOT FORD FIAT RENAULT IVA 10.5\par \par } </v>
      </c>
      <c r="AM2595" t="str">
        <f>"-"</f>
        <v>-</v>
      </c>
    </row>
    <row r="2596" spans="1:39" x14ac:dyDescent="0.25">
      <c r="A2596" t="str">
        <f>"KM421"</f>
        <v>KM421</v>
      </c>
      <c r="B2596" t="str">
        <f>"MODULO IGNICION SISTEMA MARELLI"</f>
        <v>MODULO IGNICION SISTEMA MARELLI</v>
      </c>
      <c r="C2596" t="str">
        <f>"$ 24934,60"</f>
        <v>$ 24934,60</v>
      </c>
      <c r="D2596" t="str">
        <f>"$ 24934,60"</f>
        <v>$ 24934,60</v>
      </c>
      <c r="E2596" t="str">
        <f>"$ 24934,60"</f>
        <v>$ 24934,60</v>
      </c>
      <c r="F2596" t="str">
        <f>"$ 24934,60"</f>
        <v>$ 24934,60</v>
      </c>
      <c r="G2596" t="str">
        <f>"$ 24934,60"</f>
        <v>$ 24934,60</v>
      </c>
      <c r="H2596" t="str">
        <f t="shared" si="1664"/>
        <v>$ 0,00</v>
      </c>
      <c r="I2596" t="str">
        <f t="shared" si="1689"/>
        <v>MODULOS DE IGNICIÓN</v>
      </c>
      <c r="J2596" t="str">
        <f t="shared" si="1665"/>
        <v>1</v>
      </c>
      <c r="K2596" t="str">
        <f t="shared" si="1686"/>
        <v>0</v>
      </c>
      <c r="L2596" t="str">
        <f>"166,000"</f>
        <v>166,000</v>
      </c>
      <c r="M2596" t="str">
        <f t="shared" si="1666"/>
        <v xml:space="preserve"> </v>
      </c>
      <c r="N2596" t="str">
        <f>"CADIC"</f>
        <v>CADIC</v>
      </c>
      <c r="O2596" t="str">
        <f t="shared" si="1690"/>
        <v>MÓDULOS</v>
      </c>
      <c r="P2596" t="str">
        <f t="shared" si="1687"/>
        <v>0</v>
      </c>
      <c r="Q2596" t="str">
        <f t="shared" si="1687"/>
        <v>0</v>
      </c>
      <c r="R2596" t="str">
        <f t="shared" si="1688"/>
        <v>0,00</v>
      </c>
      <c r="S2596" t="str">
        <f t="shared" si="1688"/>
        <v>0,00</v>
      </c>
      <c r="T2596" t="str">
        <f t="shared" si="1662"/>
        <v xml:space="preserve"> </v>
      </c>
      <c r="U2596" t="str">
        <f t="shared" si="1663"/>
        <v xml:space="preserve"> </v>
      </c>
      <c r="V2596" t="str">
        <f>"166,000"</f>
        <v>166,000</v>
      </c>
      <c r="W2596" t="str">
        <f t="shared" si="1669"/>
        <v>Lista 4</v>
      </c>
      <c r="X2596" t="str">
        <f t="shared" si="1670"/>
        <v>Lista 5</v>
      </c>
      <c r="Y2596" t="str">
        <f t="shared" si="1671"/>
        <v>Oferta Gral.</v>
      </c>
      <c r="Z2596" t="str">
        <f t="shared" si="1672"/>
        <v>Rubro</v>
      </c>
      <c r="AA2596" t="str">
        <f t="shared" si="1673"/>
        <v>Cantidad por Bulto</v>
      </c>
      <c r="AB2596" t="str">
        <f t="shared" si="1674"/>
        <v>INNER</v>
      </c>
      <c r="AC2596" t="str">
        <f t="shared" si="1675"/>
        <v>Stock en Bultos</v>
      </c>
      <c r="AD2596" t="str">
        <f t="shared" si="1676"/>
        <v>SubDepósito</v>
      </c>
      <c r="AE2596" t="str">
        <f t="shared" si="1677"/>
        <v>Marca</v>
      </c>
      <c r="AF2596" t="str">
        <f t="shared" si="1678"/>
        <v>Super Rubro</v>
      </c>
      <c r="AG2596" t="str">
        <f t="shared" si="1679"/>
        <v>ComercioExterior</v>
      </c>
      <c r="AH2596" t="str">
        <f t="shared" si="1680"/>
        <v>PrecioFOB</v>
      </c>
      <c r="AI2596" t="str">
        <f t="shared" si="1681"/>
        <v>Monto II</v>
      </c>
      <c r="AJ2596" t="str">
        <f t="shared" si="1682"/>
        <v>Porcentaje II</v>
      </c>
      <c r="AK2596" t="str">
        <f t="shared" si="1683"/>
        <v>Foto</v>
      </c>
      <c r="AL2596" t="str">
        <f>"{\rtf1\ansi\ansicpg1252\deff0\deflang11274{\fonttbl{\f0\fnil\fcharset0 MS Sans Serif}} \viewkind4\uc1\pard\f0\fs16 MODULO IGNICION SISTEMA MARELLI\par } "</f>
        <v xml:space="preserve">{\rtf1\ansi\ansicpg1252\deff0\deflang11274{\fonttbl{\f0\fnil\fcharset0 MS Sans Serif}} \viewkind4\uc1\pard\f0\fs16 MODULO IGNICION SISTEMA MARELLI\par } </v>
      </c>
      <c r="AM2596" t="str">
        <f>" "</f>
        <v xml:space="preserve"> </v>
      </c>
    </row>
    <row r="2597" spans="1:39" x14ac:dyDescent="0.25">
      <c r="A2597" t="str">
        <f>"KM342"</f>
        <v>KM342</v>
      </c>
      <c r="B2597" t="str">
        <f>"MODULO IGNICION VW 7 PINES"</f>
        <v>MODULO IGNICION VW 7 PINES</v>
      </c>
      <c r="C2597" t="str">
        <f>"$ 31239,90"</f>
        <v>$ 31239,90</v>
      </c>
      <c r="D2597" t="str">
        <f>"$ 31239,90"</f>
        <v>$ 31239,90</v>
      </c>
      <c r="E2597" t="str">
        <f>"$ 31239,90"</f>
        <v>$ 31239,90</v>
      </c>
      <c r="F2597" t="str">
        <f>"$ 31239,90"</f>
        <v>$ 31239,90</v>
      </c>
      <c r="G2597" t="str">
        <f>"$ 31239,90"</f>
        <v>$ 31239,90</v>
      </c>
      <c r="H2597" t="str">
        <f t="shared" si="1664"/>
        <v>$ 0,00</v>
      </c>
      <c r="I2597" t="str">
        <f t="shared" si="1689"/>
        <v>MODULOS DE IGNICIÓN</v>
      </c>
      <c r="J2597" t="str">
        <f t="shared" si="1665"/>
        <v>1</v>
      </c>
      <c r="K2597" t="str">
        <f t="shared" si="1686"/>
        <v>0</v>
      </c>
      <c r="L2597" t="str">
        <f>"87,000"</f>
        <v>87,000</v>
      </c>
      <c r="M2597" t="str">
        <f t="shared" si="1666"/>
        <v xml:space="preserve"> </v>
      </c>
      <c r="N2597" t="str">
        <f>"CADIC"</f>
        <v>CADIC</v>
      </c>
      <c r="O2597" t="str">
        <f t="shared" si="1690"/>
        <v>MÓDULOS</v>
      </c>
      <c r="P2597" t="str">
        <f t="shared" si="1687"/>
        <v>0</v>
      </c>
      <c r="Q2597" t="str">
        <f t="shared" si="1687"/>
        <v>0</v>
      </c>
      <c r="R2597" t="str">
        <f t="shared" si="1688"/>
        <v>0,00</v>
      </c>
      <c r="S2597" t="str">
        <f t="shared" si="1688"/>
        <v>0,00</v>
      </c>
      <c r="T2597" t="str">
        <f t="shared" si="1662"/>
        <v xml:space="preserve"> </v>
      </c>
      <c r="U2597" t="str">
        <f t="shared" si="1663"/>
        <v xml:space="preserve"> </v>
      </c>
      <c r="V2597" t="str">
        <f>"87,000"</f>
        <v>87,000</v>
      </c>
      <c r="W2597" t="str">
        <f t="shared" si="1669"/>
        <v>Lista 4</v>
      </c>
      <c r="X2597" t="str">
        <f t="shared" si="1670"/>
        <v>Lista 5</v>
      </c>
      <c r="Y2597" t="str">
        <f t="shared" si="1671"/>
        <v>Oferta Gral.</v>
      </c>
      <c r="Z2597" t="str">
        <f t="shared" si="1672"/>
        <v>Rubro</v>
      </c>
      <c r="AA2597" t="str">
        <f t="shared" si="1673"/>
        <v>Cantidad por Bulto</v>
      </c>
      <c r="AB2597" t="str">
        <f t="shared" si="1674"/>
        <v>INNER</v>
      </c>
      <c r="AC2597" t="str">
        <f t="shared" si="1675"/>
        <v>Stock en Bultos</v>
      </c>
      <c r="AD2597" t="str">
        <f t="shared" si="1676"/>
        <v>SubDepósito</v>
      </c>
      <c r="AE2597" t="str">
        <f t="shared" si="1677"/>
        <v>Marca</v>
      </c>
      <c r="AF2597" t="str">
        <f t="shared" si="1678"/>
        <v>Super Rubro</v>
      </c>
      <c r="AG2597" t="str">
        <f t="shared" si="1679"/>
        <v>ComercioExterior</v>
      </c>
      <c r="AH2597" t="str">
        <f t="shared" si="1680"/>
        <v>PrecioFOB</v>
      </c>
      <c r="AI2597" t="str">
        <f t="shared" si="1681"/>
        <v>Monto II</v>
      </c>
      <c r="AJ2597" t="str">
        <f t="shared" si="1682"/>
        <v>Porcentaje II</v>
      </c>
      <c r="AK2597" t="str">
        <f t="shared" si="1683"/>
        <v>Foto</v>
      </c>
      <c r="AL2597" t="str">
        <f>"{\rtf1\ansi\ansicpg1252\deff0\deflang11274{\fonttbl{\f0\fnil\fcharset0 MS Sans Serif}} \viewkind4\uc1\pard\f0\fs16 MODULO IGNICION VW 7 PINES\par } "</f>
        <v xml:space="preserve">{\rtf1\ansi\ansicpg1252\deff0\deflang11274{\fonttbl{\f0\fnil\fcharset0 MS Sans Serif}} \viewkind4\uc1\pard\f0\fs16 MODULO IGNICION VW 7 PINES\par } </v>
      </c>
      <c r="AM2597" t="str">
        <f>" "</f>
        <v xml:space="preserve"> </v>
      </c>
    </row>
    <row r="2598" spans="1:39" x14ac:dyDescent="0.25">
      <c r="A2598" t="str">
        <f>"M1002"</f>
        <v>M1002</v>
      </c>
      <c r="B2598" t="str">
        <f>"MONZA - KADETT - BLAZER - CORSA EFI"</f>
        <v>MONZA - KADETT - BLAZER - CORSA EFI</v>
      </c>
      <c r="C2598" t="str">
        <f>"$ 11276,95"</f>
        <v>$ 11276,95</v>
      </c>
      <c r="D2598" t="str">
        <f>"$ 11276,95"</f>
        <v>$ 11276,95</v>
      </c>
      <c r="E2598" t="str">
        <f>"$ 11276,95"</f>
        <v>$ 11276,95</v>
      </c>
      <c r="F2598" t="str">
        <f>"$ 11276,95"</f>
        <v>$ 11276,95</v>
      </c>
      <c r="G2598" t="str">
        <f>"$ 11276,95"</f>
        <v>$ 11276,95</v>
      </c>
      <c r="H2598" t="str">
        <f t="shared" si="1664"/>
        <v>$ 0,00</v>
      </c>
      <c r="I2598" t="str">
        <f>"SENSOR MARIPOSA TPS"</f>
        <v>SENSOR MARIPOSA TPS</v>
      </c>
      <c r="J2598" t="str">
        <f t="shared" si="1665"/>
        <v>1</v>
      </c>
      <c r="K2598" t="str">
        <f t="shared" si="1686"/>
        <v>0</v>
      </c>
      <c r="L2598" t="str">
        <f>"0,000"</f>
        <v>0,000</v>
      </c>
      <c r="M2598" t="str">
        <f t="shared" si="1666"/>
        <v xml:space="preserve"> </v>
      </c>
      <c r="N2598" t="str">
        <f>"FISPA"</f>
        <v>FISPA</v>
      </c>
      <c r="O2598" t="str">
        <f>"SENSORES"</f>
        <v>SENSORES</v>
      </c>
      <c r="P2598" t="str">
        <f t="shared" si="1687"/>
        <v>0</v>
      </c>
      <c r="Q2598" t="str">
        <f t="shared" si="1687"/>
        <v>0</v>
      </c>
      <c r="R2598" t="str">
        <f t="shared" si="1688"/>
        <v>0,00</v>
      </c>
      <c r="S2598" t="str">
        <f t="shared" si="1688"/>
        <v>0,00</v>
      </c>
      <c r="T2598" t="str">
        <f t="shared" si="1662"/>
        <v xml:space="preserve"> </v>
      </c>
      <c r="U2598" t="str">
        <f t="shared" si="1663"/>
        <v xml:space="preserve"> </v>
      </c>
      <c r="V2598" t="str">
        <f>"0,000"</f>
        <v>0,000</v>
      </c>
      <c r="W2598" t="str">
        <f t="shared" si="1669"/>
        <v>Lista 4</v>
      </c>
      <c r="X2598" t="str">
        <f t="shared" si="1670"/>
        <v>Lista 5</v>
      </c>
      <c r="Y2598" t="str">
        <f t="shared" si="1671"/>
        <v>Oferta Gral.</v>
      </c>
      <c r="Z2598" t="str">
        <f t="shared" si="1672"/>
        <v>Rubro</v>
      </c>
      <c r="AA2598" t="str">
        <f t="shared" si="1673"/>
        <v>Cantidad por Bulto</v>
      </c>
      <c r="AB2598" t="str">
        <f t="shared" si="1674"/>
        <v>INNER</v>
      </c>
      <c r="AC2598" t="str">
        <f t="shared" si="1675"/>
        <v>Stock en Bultos</v>
      </c>
      <c r="AD2598" t="str">
        <f t="shared" si="1676"/>
        <v>SubDepósito</v>
      </c>
      <c r="AE2598" t="str">
        <f t="shared" si="1677"/>
        <v>Marca</v>
      </c>
      <c r="AF2598" t="str">
        <f t="shared" si="1678"/>
        <v>Super Rubro</v>
      </c>
      <c r="AG2598" t="str">
        <f t="shared" si="1679"/>
        <v>ComercioExterior</v>
      </c>
      <c r="AH2598" t="str">
        <f t="shared" si="1680"/>
        <v>PrecioFOB</v>
      </c>
      <c r="AI2598" t="str">
        <f t="shared" si="1681"/>
        <v>Monto II</v>
      </c>
      <c r="AJ2598" t="str">
        <f t="shared" si="1682"/>
        <v>Porcentaje II</v>
      </c>
      <c r="AK2598" t="str">
        <f t="shared" si="1683"/>
        <v>Foto</v>
      </c>
      <c r="AL2598" t="str">
        <f>" "</f>
        <v xml:space="preserve"> </v>
      </c>
      <c r="AM2598" t="str">
        <f>"-"</f>
        <v>-</v>
      </c>
    </row>
    <row r="2599" spans="1:39" x14ac:dyDescent="0.25">
      <c r="A2599" t="str">
        <f>"NQD0036"</f>
        <v>NQD0036</v>
      </c>
      <c r="B2599" t="str">
        <f>"MOTOR DE ARRANQUE CHEVROLET CORSA TIPO VALEO"</f>
        <v>MOTOR DE ARRANQUE CHEVROLET CORSA TIPO VALEO</v>
      </c>
      <c r="C2599" t="str">
        <f t="shared" ref="C2599:G2600" si="1691">"$ 172305,93"</f>
        <v>$ 172305,93</v>
      </c>
      <c r="D2599" t="str">
        <f t="shared" si="1691"/>
        <v>$ 172305,93</v>
      </c>
      <c r="E2599" t="str">
        <f t="shared" si="1691"/>
        <v>$ 172305,93</v>
      </c>
      <c r="F2599" t="str">
        <f t="shared" si="1691"/>
        <v>$ 172305,93</v>
      </c>
      <c r="G2599" t="str">
        <f t="shared" si="1691"/>
        <v>$ 172305,93</v>
      </c>
      <c r="H2599" t="str">
        <f t="shared" si="1664"/>
        <v>$ 0,00</v>
      </c>
      <c r="I2599" t="str">
        <f>"MOTOR DE ARRANQUE"</f>
        <v>MOTOR DE ARRANQUE</v>
      </c>
      <c r="J2599" t="str">
        <f t="shared" si="1665"/>
        <v>1</v>
      </c>
      <c r="K2599" t="str">
        <f t="shared" si="1686"/>
        <v>0</v>
      </c>
      <c r="L2599" t="str">
        <f>"0,000"</f>
        <v>0,000</v>
      </c>
      <c r="M2599" t="str">
        <f t="shared" si="1666"/>
        <v xml:space="preserve"> </v>
      </c>
      <c r="N2599" t="str">
        <f>"NQD"</f>
        <v>NQD</v>
      </c>
      <c r="O2599" t="str">
        <f>"ARRANQUES"</f>
        <v>ARRANQUES</v>
      </c>
      <c r="P2599" t="str">
        <f t="shared" si="1687"/>
        <v>0</v>
      </c>
      <c r="Q2599" t="str">
        <f t="shared" si="1687"/>
        <v>0</v>
      </c>
      <c r="R2599" t="str">
        <f t="shared" si="1688"/>
        <v>0,00</v>
      </c>
      <c r="S2599" t="str">
        <f t="shared" si="1688"/>
        <v>0,00</v>
      </c>
      <c r="T2599" t="str">
        <f t="shared" si="1662"/>
        <v xml:space="preserve"> </v>
      </c>
      <c r="U2599" t="str">
        <f t="shared" si="1663"/>
        <v xml:space="preserve"> </v>
      </c>
      <c r="V2599" t="str">
        <f>"0,000"</f>
        <v>0,000</v>
      </c>
      <c r="W2599" t="str">
        <f t="shared" si="1669"/>
        <v>Lista 4</v>
      </c>
      <c r="X2599" t="str">
        <f t="shared" si="1670"/>
        <v>Lista 5</v>
      </c>
      <c r="Y2599" t="str">
        <f t="shared" si="1671"/>
        <v>Oferta Gral.</v>
      </c>
      <c r="Z2599" t="str">
        <f t="shared" si="1672"/>
        <v>Rubro</v>
      </c>
      <c r="AA2599" t="str">
        <f t="shared" si="1673"/>
        <v>Cantidad por Bulto</v>
      </c>
      <c r="AB2599" t="str">
        <f t="shared" si="1674"/>
        <v>INNER</v>
      </c>
      <c r="AC2599" t="str">
        <f t="shared" si="1675"/>
        <v>Stock en Bultos</v>
      </c>
      <c r="AD2599" t="str">
        <f t="shared" si="1676"/>
        <v>SubDepósito</v>
      </c>
      <c r="AE2599" t="str">
        <f t="shared" si="1677"/>
        <v>Marca</v>
      </c>
      <c r="AF2599" t="str">
        <f t="shared" si="1678"/>
        <v>Super Rubro</v>
      </c>
      <c r="AG2599" t="str">
        <f t="shared" si="1679"/>
        <v>ComercioExterior</v>
      </c>
      <c r="AH2599" t="str">
        <f t="shared" si="1680"/>
        <v>PrecioFOB</v>
      </c>
      <c r="AI2599" t="str">
        <f t="shared" si="1681"/>
        <v>Monto II</v>
      </c>
      <c r="AJ2599" t="str">
        <f t="shared" si="1682"/>
        <v>Porcentaje II</v>
      </c>
      <c r="AK2599" t="str">
        <f t="shared" si="1683"/>
        <v>Foto</v>
      </c>
      <c r="AL2599" t="str">
        <f>"{\rtf1\ansi\ansicpg1252\deff0\deflang11274{\fonttbl{\f0\fnil\fcharset0 MS Sans Serif}} \viewkind4\uc1\pard\f0\fs16 MOTOR DE ARRANQUE CHEVROLET CORSA TIPO VALEO\par } "</f>
        <v xml:space="preserve">{\rtf1\ansi\ansicpg1252\deff0\deflang11274{\fonttbl{\f0\fnil\fcharset0 MS Sans Serif}} \viewkind4\uc1\pard\f0\fs16 MOTOR DE ARRANQUE CHEVROLET CORSA TIPO VALEO\par } </v>
      </c>
      <c r="AM2599" t="str">
        <f t="shared" ref="AM2599:AM2604" si="1692">" "</f>
        <v xml:space="preserve"> </v>
      </c>
    </row>
    <row r="2600" spans="1:39" x14ac:dyDescent="0.25">
      <c r="A2600" t="str">
        <f>"NQD0037"</f>
        <v>NQD0037</v>
      </c>
      <c r="B2600" t="str">
        <f>"MOTOR DE ARRANQUE R19 TIPO VALEO"</f>
        <v>MOTOR DE ARRANQUE R19 TIPO VALEO</v>
      </c>
      <c r="C2600" t="str">
        <f t="shared" si="1691"/>
        <v>$ 172305,93</v>
      </c>
      <c r="D2600" t="str">
        <f t="shared" si="1691"/>
        <v>$ 172305,93</v>
      </c>
      <c r="E2600" t="str">
        <f t="shared" si="1691"/>
        <v>$ 172305,93</v>
      </c>
      <c r="F2600" t="str">
        <f t="shared" si="1691"/>
        <v>$ 172305,93</v>
      </c>
      <c r="G2600" t="str">
        <f t="shared" si="1691"/>
        <v>$ 172305,93</v>
      </c>
      <c r="H2600" t="str">
        <f t="shared" si="1664"/>
        <v>$ 0,00</v>
      </c>
      <c r="I2600" t="str">
        <f>"MOTOR DE ARRANQUE"</f>
        <v>MOTOR DE ARRANQUE</v>
      </c>
      <c r="J2600" t="str">
        <f t="shared" si="1665"/>
        <v>1</v>
      </c>
      <c r="K2600" t="str">
        <f t="shared" si="1686"/>
        <v>0</v>
      </c>
      <c r="L2600" t="str">
        <f>"0,000"</f>
        <v>0,000</v>
      </c>
      <c r="M2600" t="str">
        <f t="shared" si="1666"/>
        <v xml:space="preserve"> </v>
      </c>
      <c r="N2600" t="str">
        <f>"NQD"</f>
        <v>NQD</v>
      </c>
      <c r="O2600" t="str">
        <f>"ARRANQUES"</f>
        <v>ARRANQUES</v>
      </c>
      <c r="P2600" t="str">
        <f t="shared" si="1687"/>
        <v>0</v>
      </c>
      <c r="Q2600" t="str">
        <f t="shared" si="1687"/>
        <v>0</v>
      </c>
      <c r="R2600" t="str">
        <f t="shared" si="1688"/>
        <v>0,00</v>
      </c>
      <c r="S2600" t="str">
        <f t="shared" si="1688"/>
        <v>0,00</v>
      </c>
      <c r="T2600" t="str">
        <f t="shared" si="1662"/>
        <v xml:space="preserve"> </v>
      </c>
      <c r="U2600" t="str">
        <f t="shared" si="1663"/>
        <v xml:space="preserve"> </v>
      </c>
      <c r="V2600" t="str">
        <f>"0,000"</f>
        <v>0,000</v>
      </c>
      <c r="W2600" t="str">
        <f t="shared" si="1669"/>
        <v>Lista 4</v>
      </c>
      <c r="X2600" t="str">
        <f t="shared" si="1670"/>
        <v>Lista 5</v>
      </c>
      <c r="Y2600" t="str">
        <f t="shared" si="1671"/>
        <v>Oferta Gral.</v>
      </c>
      <c r="Z2600" t="str">
        <f t="shared" si="1672"/>
        <v>Rubro</v>
      </c>
      <c r="AA2600" t="str">
        <f t="shared" si="1673"/>
        <v>Cantidad por Bulto</v>
      </c>
      <c r="AB2600" t="str">
        <f t="shared" si="1674"/>
        <v>INNER</v>
      </c>
      <c r="AC2600" t="str">
        <f t="shared" si="1675"/>
        <v>Stock en Bultos</v>
      </c>
      <c r="AD2600" t="str">
        <f t="shared" si="1676"/>
        <v>SubDepósito</v>
      </c>
      <c r="AE2600" t="str">
        <f t="shared" si="1677"/>
        <v>Marca</v>
      </c>
      <c r="AF2600" t="str">
        <f t="shared" si="1678"/>
        <v>Super Rubro</v>
      </c>
      <c r="AG2600" t="str">
        <f t="shared" si="1679"/>
        <v>ComercioExterior</v>
      </c>
      <c r="AH2600" t="str">
        <f t="shared" si="1680"/>
        <v>PrecioFOB</v>
      </c>
      <c r="AI2600" t="str">
        <f t="shared" si="1681"/>
        <v>Monto II</v>
      </c>
      <c r="AJ2600" t="str">
        <f t="shared" si="1682"/>
        <v>Porcentaje II</v>
      </c>
      <c r="AK2600" t="str">
        <f t="shared" si="1683"/>
        <v>Foto</v>
      </c>
      <c r="AL2600" t="str">
        <f>"{\rtf1\ansi\ansicpg1252\deff0\deflang11274{\fonttbl{\f0\fnil\fcharset0 MS Sans Serif}} \viewkind4\uc1\pard\f0\fs16 MOTOR DE ARRANQUE R19 TIPO VALEO\par } "</f>
        <v xml:space="preserve">{\rtf1\ansi\ansicpg1252\deff0\deflang11274{\fonttbl{\f0\fnil\fcharset0 MS Sans Serif}} \viewkind4\uc1\pard\f0\fs16 MOTOR DE ARRANQUE R19 TIPO VALEO\par } </v>
      </c>
      <c r="AM2600" t="str">
        <f t="shared" si="1692"/>
        <v xml:space="preserve"> </v>
      </c>
    </row>
    <row r="2601" spans="1:39" x14ac:dyDescent="0.25">
      <c r="A2601" t="str">
        <f>"NQD0002"</f>
        <v>NQD0002</v>
      </c>
      <c r="B2601" t="str">
        <f>"MOTOR DE ARRANQUE VW GOL TIPO VALEO"</f>
        <v>MOTOR DE ARRANQUE VW GOL TIPO VALEO</v>
      </c>
      <c r="C2601" t="str">
        <f>"$ 176222,92"</f>
        <v>$ 176222,92</v>
      </c>
      <c r="D2601" t="str">
        <f>"$ 176222,92"</f>
        <v>$ 176222,92</v>
      </c>
      <c r="E2601" t="str">
        <f>"$ 176222,92"</f>
        <v>$ 176222,92</v>
      </c>
      <c r="F2601" t="str">
        <f>"$ 176222,92"</f>
        <v>$ 176222,92</v>
      </c>
      <c r="G2601" t="str">
        <f>"$ 176222,92"</f>
        <v>$ 176222,92</v>
      </c>
      <c r="H2601" t="str">
        <f t="shared" si="1664"/>
        <v>$ 0,00</v>
      </c>
      <c r="I2601" t="str">
        <f>"MOTOR DE ARRANQUE"</f>
        <v>MOTOR DE ARRANQUE</v>
      </c>
      <c r="J2601" t="str">
        <f t="shared" si="1665"/>
        <v>1</v>
      </c>
      <c r="K2601" t="str">
        <f t="shared" si="1686"/>
        <v>0</v>
      </c>
      <c r="L2601" t="str">
        <f>"0,000"</f>
        <v>0,000</v>
      </c>
      <c r="M2601" t="str">
        <f t="shared" si="1666"/>
        <v xml:space="preserve"> </v>
      </c>
      <c r="N2601" t="str">
        <f>"NQD"</f>
        <v>NQD</v>
      </c>
      <c r="O2601" t="str">
        <f>"ARRANQUES"</f>
        <v>ARRANQUES</v>
      </c>
      <c r="P2601" t="str">
        <f t="shared" si="1687"/>
        <v>0</v>
      </c>
      <c r="Q2601" t="str">
        <f t="shared" si="1687"/>
        <v>0</v>
      </c>
      <c r="R2601" t="str">
        <f t="shared" si="1688"/>
        <v>0,00</v>
      </c>
      <c r="S2601" t="str">
        <f t="shared" si="1688"/>
        <v>0,00</v>
      </c>
      <c r="T2601" t="str">
        <f t="shared" si="1662"/>
        <v xml:space="preserve"> </v>
      </c>
      <c r="U2601" t="str">
        <f t="shared" si="1663"/>
        <v xml:space="preserve"> </v>
      </c>
      <c r="V2601" t="str">
        <f>"0,000"</f>
        <v>0,000</v>
      </c>
      <c r="W2601" t="str">
        <f t="shared" si="1669"/>
        <v>Lista 4</v>
      </c>
      <c r="X2601" t="str">
        <f t="shared" si="1670"/>
        <v>Lista 5</v>
      </c>
      <c r="Y2601" t="str">
        <f t="shared" si="1671"/>
        <v>Oferta Gral.</v>
      </c>
      <c r="Z2601" t="str">
        <f t="shared" si="1672"/>
        <v>Rubro</v>
      </c>
      <c r="AA2601" t="str">
        <f t="shared" si="1673"/>
        <v>Cantidad por Bulto</v>
      </c>
      <c r="AB2601" t="str">
        <f t="shared" si="1674"/>
        <v>INNER</v>
      </c>
      <c r="AC2601" t="str">
        <f t="shared" si="1675"/>
        <v>Stock en Bultos</v>
      </c>
      <c r="AD2601" t="str">
        <f t="shared" si="1676"/>
        <v>SubDepósito</v>
      </c>
      <c r="AE2601" t="str">
        <f t="shared" si="1677"/>
        <v>Marca</v>
      </c>
      <c r="AF2601" t="str">
        <f t="shared" si="1678"/>
        <v>Super Rubro</v>
      </c>
      <c r="AG2601" t="str">
        <f t="shared" si="1679"/>
        <v>ComercioExterior</v>
      </c>
      <c r="AH2601" t="str">
        <f t="shared" si="1680"/>
        <v>PrecioFOB</v>
      </c>
      <c r="AI2601" t="str">
        <f t="shared" si="1681"/>
        <v>Monto II</v>
      </c>
      <c r="AJ2601" t="str">
        <f t="shared" si="1682"/>
        <v>Porcentaje II</v>
      </c>
      <c r="AK2601" t="str">
        <f t="shared" si="1683"/>
        <v>Foto</v>
      </c>
      <c r="AL2601" t="str">
        <f>"{\rtf1\ansi\ansicpg1252\deff0\deflang11274{\fonttbl{\f0\fnil\fcharset0 MS Sans Serif}} \viewkind4\uc1\pard\f0\fs16 MOTOR DE ARRANQUE VW GOL TIPO VALEO\par } "</f>
        <v xml:space="preserve">{\rtf1\ansi\ansicpg1252\deff0\deflang11274{\fonttbl{\f0\fnil\fcharset0 MS Sans Serif}} \viewkind4\uc1\pard\f0\fs16 MOTOR DE ARRANQUE VW GOL TIPO VALEO\par } </v>
      </c>
      <c r="AM2601" t="str">
        <f t="shared" si="1692"/>
        <v xml:space="preserve"> </v>
      </c>
    </row>
    <row r="2602" spans="1:39" x14ac:dyDescent="0.25">
      <c r="A2602" t="str">
        <f>"RGU15303"</f>
        <v>RGU15303</v>
      </c>
      <c r="B2602" t="str">
        <f>"MOTOR PASO A PASO CHEVROLET CORSA 1.6 8V"</f>
        <v>MOTOR PASO A PASO CHEVROLET CORSA 1.6 8V</v>
      </c>
      <c r="C2602" t="str">
        <f t="shared" ref="C2602:E2603" si="1693">"$ 15879,18"</f>
        <v>$ 15879,18</v>
      </c>
      <c r="D2602" t="str">
        <f t="shared" si="1693"/>
        <v>$ 15879,18</v>
      </c>
      <c r="E2602" t="str">
        <f t="shared" si="1693"/>
        <v>$ 15879,18</v>
      </c>
      <c r="F2602" t="str">
        <f>"$ 6578,50"</f>
        <v>$ 6578,50</v>
      </c>
      <c r="G2602" t="str">
        <f>"$ 6578,50"</f>
        <v>$ 6578,50</v>
      </c>
      <c r="H2602" t="str">
        <f t="shared" si="1664"/>
        <v>$ 0,00</v>
      </c>
      <c r="I2602" t="str">
        <f t="shared" ref="I2602:I2609" si="1694">"MOTOR PASO A PASO"</f>
        <v>MOTOR PASO A PASO</v>
      </c>
      <c r="J2602" t="str">
        <f t="shared" si="1665"/>
        <v>1</v>
      </c>
      <c r="K2602" t="str">
        <f t="shared" si="1686"/>
        <v>0</v>
      </c>
      <c r="L2602" t="str">
        <f>"8,000"</f>
        <v>8,000</v>
      </c>
      <c r="M2602" t="str">
        <f t="shared" si="1666"/>
        <v xml:space="preserve"> </v>
      </c>
      <c r="N2602" t="str">
        <f>"REGITAR"</f>
        <v>REGITAR</v>
      </c>
      <c r="O2602" t="str">
        <f t="shared" ref="O2602:O2609" si="1695">"SENSORES"</f>
        <v>SENSORES</v>
      </c>
      <c r="P2602" t="str">
        <f t="shared" si="1687"/>
        <v>0</v>
      </c>
      <c r="Q2602" t="str">
        <f t="shared" si="1687"/>
        <v>0</v>
      </c>
      <c r="R2602" t="str">
        <f t="shared" si="1688"/>
        <v>0,00</v>
      </c>
      <c r="S2602" t="str">
        <f t="shared" si="1688"/>
        <v>0,00</v>
      </c>
      <c r="T2602" t="str">
        <f t="shared" si="1662"/>
        <v xml:space="preserve"> </v>
      </c>
      <c r="U2602" t="str">
        <f t="shared" si="1663"/>
        <v xml:space="preserve"> </v>
      </c>
      <c r="V2602" t="str">
        <f>"8,000"</f>
        <v>8,000</v>
      </c>
      <c r="W2602" t="str">
        <f t="shared" si="1669"/>
        <v>Lista 4</v>
      </c>
      <c r="X2602" t="str">
        <f t="shared" si="1670"/>
        <v>Lista 5</v>
      </c>
      <c r="Y2602" t="str">
        <f t="shared" si="1671"/>
        <v>Oferta Gral.</v>
      </c>
      <c r="Z2602" t="str">
        <f t="shared" si="1672"/>
        <v>Rubro</v>
      </c>
      <c r="AA2602" t="str">
        <f t="shared" si="1673"/>
        <v>Cantidad por Bulto</v>
      </c>
      <c r="AB2602" t="str">
        <f t="shared" si="1674"/>
        <v>INNER</v>
      </c>
      <c r="AC2602" t="str">
        <f t="shared" si="1675"/>
        <v>Stock en Bultos</v>
      </c>
      <c r="AD2602" t="str">
        <f t="shared" si="1676"/>
        <v>SubDepósito</v>
      </c>
      <c r="AE2602" t="str">
        <f t="shared" si="1677"/>
        <v>Marca</v>
      </c>
      <c r="AF2602" t="str">
        <f t="shared" si="1678"/>
        <v>Super Rubro</v>
      </c>
      <c r="AG2602" t="str">
        <f t="shared" si="1679"/>
        <v>ComercioExterior</v>
      </c>
      <c r="AH2602" t="str">
        <f t="shared" si="1680"/>
        <v>PrecioFOB</v>
      </c>
      <c r="AI2602" t="str">
        <f t="shared" si="1681"/>
        <v>Monto II</v>
      </c>
      <c r="AJ2602" t="str">
        <f t="shared" si="1682"/>
        <v>Porcentaje II</v>
      </c>
      <c r="AK2602" t="str">
        <f t="shared" si="1683"/>
        <v>Foto</v>
      </c>
      <c r="AL260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602" t="str">
        <f t="shared" si="1692"/>
        <v xml:space="preserve"> </v>
      </c>
    </row>
    <row r="2603" spans="1:39" x14ac:dyDescent="0.25">
      <c r="A2603" t="str">
        <f>"RGU15019"</f>
        <v>RGU15019</v>
      </c>
      <c r="B2603" t="str">
        <f>"MOTOR PASO A PASO CHEVROLET CORSA CELTA 1.6 8V MPFI"</f>
        <v>MOTOR PASO A PASO CHEVROLET CORSA CELTA 1.6 8V MPFI</v>
      </c>
      <c r="C2603" t="str">
        <f t="shared" si="1693"/>
        <v>$ 15879,18</v>
      </c>
      <c r="D2603" t="str">
        <f t="shared" si="1693"/>
        <v>$ 15879,18</v>
      </c>
      <c r="E2603" t="str">
        <f t="shared" si="1693"/>
        <v>$ 15879,18</v>
      </c>
      <c r="F2603" t="str">
        <f>"$ 6578,50"</f>
        <v>$ 6578,50</v>
      </c>
      <c r="G2603" t="str">
        <f>"$ 6578,50"</f>
        <v>$ 6578,50</v>
      </c>
      <c r="H2603" t="str">
        <f t="shared" si="1664"/>
        <v>$ 0,00</v>
      </c>
      <c r="I2603" t="str">
        <f t="shared" si="1694"/>
        <v>MOTOR PASO A PASO</v>
      </c>
      <c r="J2603" t="str">
        <f t="shared" si="1665"/>
        <v>1</v>
      </c>
      <c r="K2603" t="str">
        <f t="shared" si="1686"/>
        <v>0</v>
      </c>
      <c r="L2603" t="str">
        <f>"3,000"</f>
        <v>3,000</v>
      </c>
      <c r="M2603" t="str">
        <f t="shared" si="1666"/>
        <v xml:space="preserve"> </v>
      </c>
      <c r="N2603" t="str">
        <f>"REGITAR"</f>
        <v>REGITAR</v>
      </c>
      <c r="O2603" t="str">
        <f t="shared" si="1695"/>
        <v>SENSORES</v>
      </c>
      <c r="P2603" t="str">
        <f t="shared" ref="P2603:Q2622" si="1696">"0"</f>
        <v>0</v>
      </c>
      <c r="Q2603" t="str">
        <f t="shared" si="1696"/>
        <v>0</v>
      </c>
      <c r="R2603" t="str">
        <f t="shared" ref="R2603:S2622" si="1697">"0,00"</f>
        <v>0,00</v>
      </c>
      <c r="S2603" t="str">
        <f t="shared" si="1697"/>
        <v>0,00</v>
      </c>
      <c r="T2603" t="str">
        <f t="shared" si="1662"/>
        <v xml:space="preserve"> </v>
      </c>
      <c r="U2603" t="str">
        <f t="shared" si="1663"/>
        <v xml:space="preserve"> </v>
      </c>
      <c r="V2603" t="str">
        <f>"3,000"</f>
        <v>3,000</v>
      </c>
      <c r="W2603" t="str">
        <f t="shared" si="1669"/>
        <v>Lista 4</v>
      </c>
      <c r="X2603" t="str">
        <f t="shared" si="1670"/>
        <v>Lista 5</v>
      </c>
      <c r="Y2603" t="str">
        <f t="shared" si="1671"/>
        <v>Oferta Gral.</v>
      </c>
      <c r="Z2603" t="str">
        <f t="shared" si="1672"/>
        <v>Rubro</v>
      </c>
      <c r="AA2603" t="str">
        <f t="shared" si="1673"/>
        <v>Cantidad por Bulto</v>
      </c>
      <c r="AB2603" t="str">
        <f t="shared" si="1674"/>
        <v>INNER</v>
      </c>
      <c r="AC2603" t="str">
        <f t="shared" si="1675"/>
        <v>Stock en Bultos</v>
      </c>
      <c r="AD2603" t="str">
        <f t="shared" si="1676"/>
        <v>SubDepósito</v>
      </c>
      <c r="AE2603" t="str">
        <f t="shared" si="1677"/>
        <v>Marca</v>
      </c>
      <c r="AF2603" t="str">
        <f t="shared" si="1678"/>
        <v>Super Rubro</v>
      </c>
      <c r="AG2603" t="str">
        <f t="shared" si="1679"/>
        <v>ComercioExterior</v>
      </c>
      <c r="AH2603" t="str">
        <f t="shared" si="1680"/>
        <v>PrecioFOB</v>
      </c>
      <c r="AI2603" t="str">
        <f t="shared" si="1681"/>
        <v>Monto II</v>
      </c>
      <c r="AJ2603" t="str">
        <f t="shared" si="1682"/>
        <v>Porcentaje II</v>
      </c>
      <c r="AK2603" t="str">
        <f t="shared" si="1683"/>
        <v>Foto</v>
      </c>
      <c r="AL260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603" t="str">
        <f t="shared" si="1692"/>
        <v xml:space="preserve"> </v>
      </c>
    </row>
    <row r="2604" spans="1:39" x14ac:dyDescent="0.25">
      <c r="A2604" t="str">
        <f>"VKD8187"</f>
        <v>VKD8187</v>
      </c>
      <c r="B2604" t="str">
        <f>"MOTOR PASO A PASO CHEVROLET CORSA ICD00124"</f>
        <v>MOTOR PASO A PASO CHEVROLET CORSA ICD00124</v>
      </c>
      <c r="C2604" t="str">
        <f>"$ 15877,57"</f>
        <v>$ 15877,57</v>
      </c>
      <c r="D2604" t="str">
        <f>"$ 15877,57"</f>
        <v>$ 15877,57</v>
      </c>
      <c r="E2604" t="str">
        <f>"$ 15877,57"</f>
        <v>$ 15877,57</v>
      </c>
      <c r="F2604" t="str">
        <f>"$ 15877,57"</f>
        <v>$ 15877,57</v>
      </c>
      <c r="G2604" t="str">
        <f>"$ 18145,60"</f>
        <v>$ 18145,60</v>
      </c>
      <c r="H2604" t="str">
        <f t="shared" si="1664"/>
        <v>$ 0,00</v>
      </c>
      <c r="I2604" t="str">
        <f t="shared" si="1694"/>
        <v>MOTOR PASO A PASO</v>
      </c>
      <c r="J2604" t="str">
        <f t="shared" si="1665"/>
        <v>1</v>
      </c>
      <c r="K2604" t="str">
        <f t="shared" si="1686"/>
        <v>0</v>
      </c>
      <c r="L2604" t="str">
        <f>"-1,000"</f>
        <v>-1,000</v>
      </c>
      <c r="M2604" t="str">
        <f t="shared" si="1666"/>
        <v xml:space="preserve"> </v>
      </c>
      <c r="N2604" t="str">
        <f>"VERKEHR"</f>
        <v>VERKEHR</v>
      </c>
      <c r="O2604" t="str">
        <f t="shared" si="1695"/>
        <v>SENSORES</v>
      </c>
      <c r="P2604" t="str">
        <f t="shared" si="1696"/>
        <v>0</v>
      </c>
      <c r="Q2604" t="str">
        <f t="shared" si="1696"/>
        <v>0</v>
      </c>
      <c r="R2604" t="str">
        <f t="shared" si="1697"/>
        <v>0,00</v>
      </c>
      <c r="S2604" t="str">
        <f t="shared" si="1697"/>
        <v>0,00</v>
      </c>
      <c r="T2604" t="str">
        <f t="shared" si="1662"/>
        <v xml:space="preserve"> </v>
      </c>
      <c r="U2604" t="str">
        <f t="shared" si="1663"/>
        <v xml:space="preserve"> </v>
      </c>
      <c r="V2604" t="str">
        <f>"-1,000"</f>
        <v>-1,000</v>
      </c>
      <c r="W2604" t="str">
        <f t="shared" si="1669"/>
        <v>Lista 4</v>
      </c>
      <c r="X2604" t="str">
        <f t="shared" si="1670"/>
        <v>Lista 5</v>
      </c>
      <c r="Y2604" t="str">
        <f t="shared" si="1671"/>
        <v>Oferta Gral.</v>
      </c>
      <c r="Z2604" t="str">
        <f t="shared" si="1672"/>
        <v>Rubro</v>
      </c>
      <c r="AA2604" t="str">
        <f t="shared" si="1673"/>
        <v>Cantidad por Bulto</v>
      </c>
      <c r="AB2604" t="str">
        <f t="shared" si="1674"/>
        <v>INNER</v>
      </c>
      <c r="AC2604" t="str">
        <f t="shared" si="1675"/>
        <v>Stock en Bultos</v>
      </c>
      <c r="AD2604" t="str">
        <f t="shared" si="1676"/>
        <v>SubDepósito</v>
      </c>
      <c r="AE2604" t="str">
        <f t="shared" si="1677"/>
        <v>Marca</v>
      </c>
      <c r="AF2604" t="str">
        <f t="shared" si="1678"/>
        <v>Super Rubro</v>
      </c>
      <c r="AG2604" t="str">
        <f t="shared" si="1679"/>
        <v>ComercioExterior</v>
      </c>
      <c r="AH2604" t="str">
        <f t="shared" si="1680"/>
        <v>PrecioFOB</v>
      </c>
      <c r="AI2604" t="str">
        <f t="shared" si="1681"/>
        <v>Monto II</v>
      </c>
      <c r="AJ2604" t="str">
        <f t="shared" si="1682"/>
        <v>Porcentaje II</v>
      </c>
      <c r="AK2604" t="str">
        <f t="shared" si="1683"/>
        <v>Foto</v>
      </c>
      <c r="AL2604" t="str">
        <f>"{\rtf1\ansi\ansicpg1252\deff0\deflang11274{\fonttbl{\f0\fnil\fcharset0 MS Sans Serif}} \viewkind4\uc1\pard\f0\fs16 MOTOR PASO A PASO CHEVROLET CORSA ICD00124\par } "</f>
        <v xml:space="preserve">{\rtf1\ansi\ansicpg1252\deff0\deflang11274{\fonttbl{\f0\fnil\fcharset0 MS Sans Serif}} \viewkind4\uc1\pard\f0\fs16 MOTOR PASO A PASO CHEVROLET CORSA ICD00124\par } </v>
      </c>
      <c r="AM2604" t="str">
        <f t="shared" si="1692"/>
        <v xml:space="preserve"> </v>
      </c>
    </row>
    <row r="2605" spans="1:39" x14ac:dyDescent="0.25">
      <c r="A2605" t="str">
        <f>"FI10029"</f>
        <v>FI10029</v>
      </c>
      <c r="B2605" t="str">
        <f>"MOTOR PASO A PASO FIAT/RENAULT/PEUGEOT BOSCH 0132008600"</f>
        <v>MOTOR PASO A PASO FIAT/RENAULT/PEUGEOT BOSCH 0132008600</v>
      </c>
      <c r="C2605" t="str">
        <f>"$ 56216,29"</f>
        <v>$ 56216,29</v>
      </c>
      <c r="D2605" t="str">
        <f>"$ 56216,29"</f>
        <v>$ 56216,29</v>
      </c>
      <c r="E2605" t="str">
        <f>"$ 56216,29"</f>
        <v>$ 56216,29</v>
      </c>
      <c r="F2605" t="str">
        <f>"$ 56216,29"</f>
        <v>$ 56216,29</v>
      </c>
      <c r="G2605" t="str">
        <f>"$ 56216,29"</f>
        <v>$ 56216,29</v>
      </c>
      <c r="H2605" t="str">
        <f t="shared" si="1664"/>
        <v>$ 0,00</v>
      </c>
      <c r="I2605" t="str">
        <f t="shared" si="1694"/>
        <v>MOTOR PASO A PASO</v>
      </c>
      <c r="J2605" t="str">
        <f t="shared" si="1665"/>
        <v>1</v>
      </c>
      <c r="K2605" t="str">
        <f t="shared" si="1686"/>
        <v>0</v>
      </c>
      <c r="L2605" t="str">
        <f>"0,000"</f>
        <v>0,000</v>
      </c>
      <c r="M2605" t="str">
        <f t="shared" si="1666"/>
        <v xml:space="preserve"> </v>
      </c>
      <c r="N2605" t="str">
        <f>"FISPA"</f>
        <v>FISPA</v>
      </c>
      <c r="O2605" t="str">
        <f t="shared" si="1695"/>
        <v>SENSORES</v>
      </c>
      <c r="P2605" t="str">
        <f t="shared" si="1696"/>
        <v>0</v>
      </c>
      <c r="Q2605" t="str">
        <f t="shared" si="1696"/>
        <v>0</v>
      </c>
      <c r="R2605" t="str">
        <f t="shared" si="1697"/>
        <v>0,00</v>
      </c>
      <c r="S2605" t="str">
        <f t="shared" si="1697"/>
        <v>0,00</v>
      </c>
      <c r="T2605" t="str">
        <f t="shared" si="1662"/>
        <v xml:space="preserve"> </v>
      </c>
      <c r="U2605" t="str">
        <f t="shared" si="1663"/>
        <v xml:space="preserve"> </v>
      </c>
      <c r="V2605" t="str">
        <f>"0,000"</f>
        <v>0,000</v>
      </c>
      <c r="W2605" t="str">
        <f t="shared" si="1669"/>
        <v>Lista 4</v>
      </c>
      <c r="X2605" t="str">
        <f t="shared" si="1670"/>
        <v>Lista 5</v>
      </c>
      <c r="Y2605" t="str">
        <f t="shared" si="1671"/>
        <v>Oferta Gral.</v>
      </c>
      <c r="Z2605" t="str">
        <f t="shared" si="1672"/>
        <v>Rubro</v>
      </c>
      <c r="AA2605" t="str">
        <f t="shared" si="1673"/>
        <v>Cantidad por Bulto</v>
      </c>
      <c r="AB2605" t="str">
        <f t="shared" si="1674"/>
        <v>INNER</v>
      </c>
      <c r="AC2605" t="str">
        <f t="shared" si="1675"/>
        <v>Stock en Bultos</v>
      </c>
      <c r="AD2605" t="str">
        <f t="shared" si="1676"/>
        <v>SubDepósito</v>
      </c>
      <c r="AE2605" t="str">
        <f t="shared" si="1677"/>
        <v>Marca</v>
      </c>
      <c r="AF2605" t="str">
        <f t="shared" si="1678"/>
        <v>Super Rubro</v>
      </c>
      <c r="AG2605" t="str">
        <f t="shared" si="1679"/>
        <v>ComercioExterior</v>
      </c>
      <c r="AH2605" t="str">
        <f t="shared" si="1680"/>
        <v>PrecioFOB</v>
      </c>
      <c r="AI2605" t="str">
        <f t="shared" si="1681"/>
        <v>Monto II</v>
      </c>
      <c r="AJ2605" t="str">
        <f t="shared" si="1682"/>
        <v>Porcentaje II</v>
      </c>
      <c r="AK2605" t="str">
        <f t="shared" si="1683"/>
        <v>Foto</v>
      </c>
      <c r="AL2605" t="str">
        <f>"{\rtf1\ansi\ansicpg1252\deff0\deflang11274{\fonttbl{\f0\fnil\fcharset0 MS Sans Serif}} \viewkind4\uc1\pard\f0\fs16 MOTOR PASO A PASO FIAT/RENAULT/PEUGEOT BOSCH 0132008600\par } "</f>
        <v xml:space="preserve">{\rtf1\ansi\ansicpg1252\deff0\deflang11274{\fonttbl{\f0\fnil\fcharset0 MS Sans Serif}} \viewkind4\uc1\pard\f0\fs16 MOTOR PASO A PASO FIAT/RENAULT/PEUGEOT BOSCH 0132008600\par } </v>
      </c>
      <c r="AM2605" t="str">
        <f>"-"</f>
        <v>-</v>
      </c>
    </row>
    <row r="2606" spans="1:39" x14ac:dyDescent="0.25">
      <c r="A2606" t="str">
        <f>"VKD5174"</f>
        <v>VKD5174</v>
      </c>
      <c r="B2606" t="str">
        <f>"MOTOR PASO A PASO MEGANE 1.6 8V 7701047909"</f>
        <v>MOTOR PASO A PASO MEGANE 1.6 8V 7701047909</v>
      </c>
      <c r="C2606" t="str">
        <f>"$ 15877,57"</f>
        <v>$ 15877,57</v>
      </c>
      <c r="D2606" t="str">
        <f>"$ 15877,57"</f>
        <v>$ 15877,57</v>
      </c>
      <c r="E2606" t="str">
        <f>"$ 15877,57"</f>
        <v>$ 15877,57</v>
      </c>
      <c r="F2606" t="str">
        <f>"$ 15877,57"</f>
        <v>$ 15877,57</v>
      </c>
      <c r="G2606" t="str">
        <f>"$ 18145,60"</f>
        <v>$ 18145,60</v>
      </c>
      <c r="H2606" t="str">
        <f t="shared" si="1664"/>
        <v>$ 0,00</v>
      </c>
      <c r="I2606" t="str">
        <f t="shared" si="1694"/>
        <v>MOTOR PASO A PASO</v>
      </c>
      <c r="J2606" t="str">
        <f t="shared" si="1665"/>
        <v>1</v>
      </c>
      <c r="K2606" t="str">
        <f t="shared" si="1686"/>
        <v>0</v>
      </c>
      <c r="L2606" t="str">
        <f>"5,000"</f>
        <v>5,000</v>
      </c>
      <c r="M2606" t="str">
        <f t="shared" si="1666"/>
        <v xml:space="preserve"> </v>
      </c>
      <c r="N2606" t="str">
        <f>"VERKEHR"</f>
        <v>VERKEHR</v>
      </c>
      <c r="O2606" t="str">
        <f t="shared" si="1695"/>
        <v>SENSORES</v>
      </c>
      <c r="P2606" t="str">
        <f t="shared" si="1696"/>
        <v>0</v>
      </c>
      <c r="Q2606" t="str">
        <f t="shared" si="1696"/>
        <v>0</v>
      </c>
      <c r="R2606" t="str">
        <f t="shared" si="1697"/>
        <v>0,00</v>
      </c>
      <c r="S2606" t="str">
        <f t="shared" si="1697"/>
        <v>0,00</v>
      </c>
      <c r="T2606" t="str">
        <f t="shared" si="1662"/>
        <v xml:space="preserve"> </v>
      </c>
      <c r="U2606" t="str">
        <f t="shared" si="1663"/>
        <v xml:space="preserve"> </v>
      </c>
      <c r="V2606" t="str">
        <f>"5,000"</f>
        <v>5,000</v>
      </c>
      <c r="W2606" t="str">
        <f t="shared" si="1669"/>
        <v>Lista 4</v>
      </c>
      <c r="X2606" t="str">
        <f t="shared" si="1670"/>
        <v>Lista 5</v>
      </c>
      <c r="Y2606" t="str">
        <f t="shared" si="1671"/>
        <v>Oferta Gral.</v>
      </c>
      <c r="Z2606" t="str">
        <f t="shared" si="1672"/>
        <v>Rubro</v>
      </c>
      <c r="AA2606" t="str">
        <f t="shared" si="1673"/>
        <v>Cantidad por Bulto</v>
      </c>
      <c r="AB2606" t="str">
        <f t="shared" si="1674"/>
        <v>INNER</v>
      </c>
      <c r="AC2606" t="str">
        <f t="shared" si="1675"/>
        <v>Stock en Bultos</v>
      </c>
      <c r="AD2606" t="str">
        <f t="shared" si="1676"/>
        <v>SubDepósito</v>
      </c>
      <c r="AE2606" t="str">
        <f t="shared" si="1677"/>
        <v>Marca</v>
      </c>
      <c r="AF2606" t="str">
        <f t="shared" si="1678"/>
        <v>Super Rubro</v>
      </c>
      <c r="AG2606" t="str">
        <f t="shared" si="1679"/>
        <v>ComercioExterior</v>
      </c>
      <c r="AH2606" t="str">
        <f t="shared" si="1680"/>
        <v>PrecioFOB</v>
      </c>
      <c r="AI2606" t="str">
        <f t="shared" si="1681"/>
        <v>Monto II</v>
      </c>
      <c r="AJ2606" t="str">
        <f t="shared" si="1682"/>
        <v>Porcentaje II</v>
      </c>
      <c r="AK2606" t="str">
        <f t="shared" si="1683"/>
        <v>Foto</v>
      </c>
      <c r="AL2606" t="str">
        <f>"{\rtf1\ansi\ansicpg1252\deff0\deflang11274{\fonttbl{\f0\fnil\fcharset0 MS Sans Serif}} \viewkind4\uc1\pard\f0\fs16 MOTOR PASO A PASO MEGANE 1.6 8V 7701047909\par } "</f>
        <v xml:space="preserve">{\rtf1\ansi\ansicpg1252\deff0\deflang11274{\fonttbl{\f0\fnil\fcharset0 MS Sans Serif}} \viewkind4\uc1\pard\f0\fs16 MOTOR PASO A PASO MEGANE 1.6 8V 7701047909\par } </v>
      </c>
      <c r="AM2606" t="str">
        <f>" "</f>
        <v xml:space="preserve"> </v>
      </c>
    </row>
    <row r="2607" spans="1:39" x14ac:dyDescent="0.25">
      <c r="A2607" t="str">
        <f>"VKD5177"</f>
        <v>VKD5177</v>
      </c>
      <c r="B2607" t="str">
        <f>"MOTOR PASO A PASO RENAULT KANGOO 1.6 8V"</f>
        <v>MOTOR PASO A PASO RENAULT KANGOO 1.6 8V</v>
      </c>
      <c r="C2607" t="str">
        <f t="shared" ref="C2607:E2609" si="1698">"$ 15877,57"</f>
        <v>$ 15877,57</v>
      </c>
      <c r="D2607" t="str">
        <f t="shared" si="1698"/>
        <v>$ 15877,57</v>
      </c>
      <c r="E2607" t="str">
        <f t="shared" si="1698"/>
        <v>$ 15877,57</v>
      </c>
      <c r="F2607" t="str">
        <f>"$ 18145,60"</f>
        <v>$ 18145,60</v>
      </c>
      <c r="G2607" t="str">
        <f>"$ 18145,60"</f>
        <v>$ 18145,60</v>
      </c>
      <c r="H2607" t="str">
        <f t="shared" si="1664"/>
        <v>$ 0,00</v>
      </c>
      <c r="I2607" t="str">
        <f t="shared" si="1694"/>
        <v>MOTOR PASO A PASO</v>
      </c>
      <c r="J2607" t="str">
        <f t="shared" si="1665"/>
        <v>1</v>
      </c>
      <c r="K2607" t="str">
        <f t="shared" si="1686"/>
        <v>0</v>
      </c>
      <c r="L2607" t="str">
        <f>"8,000"</f>
        <v>8,000</v>
      </c>
      <c r="M2607" t="str">
        <f t="shared" si="1666"/>
        <v xml:space="preserve"> </v>
      </c>
      <c r="N2607" t="str">
        <f>"VERKEHR"</f>
        <v>VERKEHR</v>
      </c>
      <c r="O2607" t="str">
        <f t="shared" si="1695"/>
        <v>SENSORES</v>
      </c>
      <c r="P2607" t="str">
        <f t="shared" si="1696"/>
        <v>0</v>
      </c>
      <c r="Q2607" t="str">
        <f t="shared" si="1696"/>
        <v>0</v>
      </c>
      <c r="R2607" t="str">
        <f t="shared" si="1697"/>
        <v>0,00</v>
      </c>
      <c r="S2607" t="str">
        <f t="shared" si="1697"/>
        <v>0,00</v>
      </c>
      <c r="T2607" t="str">
        <f t="shared" si="1662"/>
        <v xml:space="preserve"> </v>
      </c>
      <c r="U2607" t="str">
        <f t="shared" si="1663"/>
        <v xml:space="preserve"> </v>
      </c>
      <c r="V2607" t="str">
        <f>"8,000"</f>
        <v>8,000</v>
      </c>
      <c r="W2607" t="str">
        <f t="shared" si="1669"/>
        <v>Lista 4</v>
      </c>
      <c r="X2607" t="str">
        <f t="shared" si="1670"/>
        <v>Lista 5</v>
      </c>
      <c r="Y2607" t="str">
        <f t="shared" si="1671"/>
        <v>Oferta Gral.</v>
      </c>
      <c r="Z2607" t="str">
        <f t="shared" si="1672"/>
        <v>Rubro</v>
      </c>
      <c r="AA2607" t="str">
        <f t="shared" si="1673"/>
        <v>Cantidad por Bulto</v>
      </c>
      <c r="AB2607" t="str">
        <f t="shared" si="1674"/>
        <v>INNER</v>
      </c>
      <c r="AC2607" t="str">
        <f t="shared" si="1675"/>
        <v>Stock en Bultos</v>
      </c>
      <c r="AD2607" t="str">
        <f t="shared" si="1676"/>
        <v>SubDepósito</v>
      </c>
      <c r="AE2607" t="str">
        <f t="shared" si="1677"/>
        <v>Marca</v>
      </c>
      <c r="AF2607" t="str">
        <f t="shared" si="1678"/>
        <v>Super Rubro</v>
      </c>
      <c r="AG2607" t="str">
        <f t="shared" si="1679"/>
        <v>ComercioExterior</v>
      </c>
      <c r="AH2607" t="str">
        <f t="shared" si="1680"/>
        <v>PrecioFOB</v>
      </c>
      <c r="AI2607" t="str">
        <f t="shared" si="1681"/>
        <v>Monto II</v>
      </c>
      <c r="AJ2607" t="str">
        <f t="shared" si="1682"/>
        <v>Porcentaje II</v>
      </c>
      <c r="AK2607" t="str">
        <f t="shared" si="1683"/>
        <v>Foto</v>
      </c>
      <c r="AL2607" t="str">
        <f>"{\rtf1\ansi\ansicpg1252\deff0\deflang11274{\fonttbl{\f0\fnil\fcharset0 MS Sans Serif}} \viewkind4\uc1\pard\f0\fs16 MOTOR PASO A PASO RENAULT KANGOO 1.6 8V\par } "</f>
        <v xml:space="preserve">{\rtf1\ansi\ansicpg1252\deff0\deflang11274{\fonttbl{\f0\fnil\fcharset0 MS Sans Serif}} \viewkind4\uc1\pard\f0\fs16 MOTOR PASO A PASO RENAULT KANGOO 1.6 8V\par } </v>
      </c>
      <c r="AM2607" t="str">
        <f>" "</f>
        <v xml:space="preserve"> </v>
      </c>
    </row>
    <row r="2608" spans="1:39" x14ac:dyDescent="0.25">
      <c r="A2608" t="str">
        <f>"VKB2800"</f>
        <v>VKB2800</v>
      </c>
      <c r="B2608" t="str">
        <f>"MOTOR PASO A PASO RENAULT MEGANE/CLIO 1.2 7700102539"</f>
        <v>MOTOR PASO A PASO RENAULT MEGANE/CLIO 1.2 7700102539</v>
      </c>
      <c r="C2608" t="str">
        <f t="shared" si="1698"/>
        <v>$ 15877,57</v>
      </c>
      <c r="D2608" t="str">
        <f t="shared" si="1698"/>
        <v>$ 15877,57</v>
      </c>
      <c r="E2608" t="str">
        <f t="shared" si="1698"/>
        <v>$ 15877,57</v>
      </c>
      <c r="F2608" t="str">
        <f>"$ 18145,60"</f>
        <v>$ 18145,60</v>
      </c>
      <c r="G2608" t="str">
        <f>"$ 18145,60"</f>
        <v>$ 18145,60</v>
      </c>
      <c r="H2608" t="str">
        <f t="shared" si="1664"/>
        <v>$ 0,00</v>
      </c>
      <c r="I2608" t="str">
        <f t="shared" si="1694"/>
        <v>MOTOR PASO A PASO</v>
      </c>
      <c r="J2608" t="str">
        <f t="shared" si="1665"/>
        <v>1</v>
      </c>
      <c r="K2608" t="str">
        <f t="shared" si="1686"/>
        <v>0</v>
      </c>
      <c r="L2608" t="str">
        <f>"9,000"</f>
        <v>9,000</v>
      </c>
      <c r="M2608" t="str">
        <f t="shared" si="1666"/>
        <v xml:space="preserve"> </v>
      </c>
      <c r="N2608" t="str">
        <f>"VERKEHR"</f>
        <v>VERKEHR</v>
      </c>
      <c r="O2608" t="str">
        <f t="shared" si="1695"/>
        <v>SENSORES</v>
      </c>
      <c r="P2608" t="str">
        <f t="shared" si="1696"/>
        <v>0</v>
      </c>
      <c r="Q2608" t="str">
        <f t="shared" si="1696"/>
        <v>0</v>
      </c>
      <c r="R2608" t="str">
        <f t="shared" si="1697"/>
        <v>0,00</v>
      </c>
      <c r="S2608" t="str">
        <f t="shared" si="1697"/>
        <v>0,00</v>
      </c>
      <c r="T2608" t="str">
        <f t="shared" si="1662"/>
        <v xml:space="preserve"> </v>
      </c>
      <c r="U2608" t="str">
        <f t="shared" si="1663"/>
        <v xml:space="preserve"> </v>
      </c>
      <c r="V2608" t="str">
        <f>"9,000"</f>
        <v>9,000</v>
      </c>
      <c r="W2608" t="str">
        <f t="shared" si="1669"/>
        <v>Lista 4</v>
      </c>
      <c r="X2608" t="str">
        <f t="shared" si="1670"/>
        <v>Lista 5</v>
      </c>
      <c r="Y2608" t="str">
        <f t="shared" si="1671"/>
        <v>Oferta Gral.</v>
      </c>
      <c r="Z2608" t="str">
        <f t="shared" si="1672"/>
        <v>Rubro</v>
      </c>
      <c r="AA2608" t="str">
        <f t="shared" si="1673"/>
        <v>Cantidad por Bulto</v>
      </c>
      <c r="AB2608" t="str">
        <f t="shared" si="1674"/>
        <v>INNER</v>
      </c>
      <c r="AC2608" t="str">
        <f t="shared" si="1675"/>
        <v>Stock en Bultos</v>
      </c>
      <c r="AD2608" t="str">
        <f t="shared" si="1676"/>
        <v>SubDepósito</v>
      </c>
      <c r="AE2608" t="str">
        <f t="shared" si="1677"/>
        <v>Marca</v>
      </c>
      <c r="AF2608" t="str">
        <f t="shared" si="1678"/>
        <v>Super Rubro</v>
      </c>
      <c r="AG2608" t="str">
        <f t="shared" si="1679"/>
        <v>ComercioExterior</v>
      </c>
      <c r="AH2608" t="str">
        <f t="shared" si="1680"/>
        <v>PrecioFOB</v>
      </c>
      <c r="AI2608" t="str">
        <f t="shared" si="1681"/>
        <v>Monto II</v>
      </c>
      <c r="AJ2608" t="str">
        <f t="shared" si="1682"/>
        <v>Porcentaje II</v>
      </c>
      <c r="AK2608" t="str">
        <f t="shared" si="1683"/>
        <v>Foto</v>
      </c>
      <c r="AL2608" t="str">
        <f>"{\rtf1\ansi\ansicpg1252\deff0\deflang11274{\fonttbl{\f0\fnil\fcharset0 MS Sans Serif}} \viewkind4\uc1\pard\f0\fs16 MOTOR PASO A PASO RENAULT MEGANE/CLIO 1.2 7700102539\par } "</f>
        <v xml:space="preserve">{\rtf1\ansi\ansicpg1252\deff0\deflang11274{\fonttbl{\f0\fnil\fcharset0 MS Sans Serif}} \viewkind4\uc1\pard\f0\fs16 MOTOR PASO A PASO RENAULT MEGANE/CLIO 1.2 7700102539\par } </v>
      </c>
      <c r="AM2608" t="str">
        <f>" "</f>
        <v xml:space="preserve"> </v>
      </c>
    </row>
    <row r="2609" spans="1:39" x14ac:dyDescent="0.25">
      <c r="A2609" t="str">
        <f>"VKD5150"</f>
        <v>VKD5150</v>
      </c>
      <c r="B2609" t="str">
        <f>"MOTOR PASO A PASO VW POLO/GOL"</f>
        <v>MOTOR PASO A PASO VW POLO/GOL</v>
      </c>
      <c r="C2609" t="str">
        <f t="shared" si="1698"/>
        <v>$ 15877,57</v>
      </c>
      <c r="D2609" t="str">
        <f t="shared" si="1698"/>
        <v>$ 15877,57</v>
      </c>
      <c r="E2609" t="str">
        <f t="shared" si="1698"/>
        <v>$ 15877,57</v>
      </c>
      <c r="F2609" t="str">
        <f>"$ 18145,60"</f>
        <v>$ 18145,60</v>
      </c>
      <c r="G2609" t="str">
        <f>"$ 18145,60"</f>
        <v>$ 18145,60</v>
      </c>
      <c r="H2609" t="str">
        <f t="shared" si="1664"/>
        <v>$ 0,00</v>
      </c>
      <c r="I2609" t="str">
        <f t="shared" si="1694"/>
        <v>MOTOR PASO A PASO</v>
      </c>
      <c r="J2609" t="str">
        <f t="shared" si="1665"/>
        <v>1</v>
      </c>
      <c r="K2609" t="str">
        <f t="shared" si="1686"/>
        <v>0</v>
      </c>
      <c r="L2609" t="str">
        <f>"8,000"</f>
        <v>8,000</v>
      </c>
      <c r="M2609" t="str">
        <f t="shared" si="1666"/>
        <v xml:space="preserve"> </v>
      </c>
      <c r="N2609" t="str">
        <f>"VERKEHR"</f>
        <v>VERKEHR</v>
      </c>
      <c r="O2609" t="str">
        <f t="shared" si="1695"/>
        <v>SENSORES</v>
      </c>
      <c r="P2609" t="str">
        <f t="shared" si="1696"/>
        <v>0</v>
      </c>
      <c r="Q2609" t="str">
        <f t="shared" si="1696"/>
        <v>0</v>
      </c>
      <c r="R2609" t="str">
        <f t="shared" si="1697"/>
        <v>0,00</v>
      </c>
      <c r="S2609" t="str">
        <f t="shared" si="1697"/>
        <v>0,00</v>
      </c>
      <c r="T2609" t="str">
        <f t="shared" si="1662"/>
        <v xml:space="preserve"> </v>
      </c>
      <c r="U2609" t="str">
        <f t="shared" si="1663"/>
        <v xml:space="preserve"> </v>
      </c>
      <c r="V2609" t="str">
        <f>"8,000"</f>
        <v>8,000</v>
      </c>
      <c r="W2609" t="str">
        <f t="shared" si="1669"/>
        <v>Lista 4</v>
      </c>
      <c r="X2609" t="str">
        <f t="shared" si="1670"/>
        <v>Lista 5</v>
      </c>
      <c r="Y2609" t="str">
        <f t="shared" si="1671"/>
        <v>Oferta Gral.</v>
      </c>
      <c r="Z2609" t="str">
        <f t="shared" si="1672"/>
        <v>Rubro</v>
      </c>
      <c r="AA2609" t="str">
        <f t="shared" si="1673"/>
        <v>Cantidad por Bulto</v>
      </c>
      <c r="AB2609" t="str">
        <f t="shared" si="1674"/>
        <v>INNER</v>
      </c>
      <c r="AC2609" t="str">
        <f t="shared" si="1675"/>
        <v>Stock en Bultos</v>
      </c>
      <c r="AD2609" t="str">
        <f t="shared" si="1676"/>
        <v>SubDepósito</v>
      </c>
      <c r="AE2609" t="str">
        <f t="shared" si="1677"/>
        <v>Marca</v>
      </c>
      <c r="AF2609" t="str">
        <f t="shared" si="1678"/>
        <v>Super Rubro</v>
      </c>
      <c r="AG2609" t="str">
        <f t="shared" si="1679"/>
        <v>ComercioExterior</v>
      </c>
      <c r="AH2609" t="str">
        <f t="shared" si="1680"/>
        <v>PrecioFOB</v>
      </c>
      <c r="AI2609" t="str">
        <f t="shared" si="1681"/>
        <v>Monto II</v>
      </c>
      <c r="AJ2609" t="str">
        <f t="shared" si="1682"/>
        <v>Porcentaje II</v>
      </c>
      <c r="AK2609" t="str">
        <f t="shared" si="1683"/>
        <v>Foto</v>
      </c>
      <c r="AL2609" t="str">
        <f>"{\rtf1\ansi\ansicpg1252\deff0\deflang11274{\fonttbl{\f0\fnil\fcharset0 MS Sans Serif}} \viewkind4\uc1\pard\f0\fs16 MOTOR PASO A PASO VW POLO/GOL\par } "</f>
        <v xml:space="preserve">{\rtf1\ansi\ansicpg1252\deff0\deflang11274{\fonttbl{\f0\fnil\fcharset0 MS Sans Serif}} \viewkind4\uc1\pard\f0\fs16 MOTOR PASO A PASO VW POLO/GOL\par } </v>
      </c>
      <c r="AM2609" t="str">
        <f>" "</f>
        <v xml:space="preserve"> </v>
      </c>
    </row>
    <row r="2610" spans="1:39" x14ac:dyDescent="0.25">
      <c r="A2610" t="str">
        <f>"DM1908"</f>
        <v>DM1908</v>
      </c>
      <c r="B2610" t="str">
        <f>"MÓDULO ENC. FORD-PEUGEOT-FIAT-RENAULT TIPO INDIEL"</f>
        <v>MÓDULO ENC. FORD-PEUGEOT-FIAT-RENAULT TIPO INDIEL</v>
      </c>
      <c r="C2610" t="str">
        <f>"$ 22931,90"</f>
        <v>$ 22931,90</v>
      </c>
      <c r="D2610" t="str">
        <f>"$ 22931,90"</f>
        <v>$ 22931,90</v>
      </c>
      <c r="E2610" t="str">
        <f>"$ 22931,90"</f>
        <v>$ 22931,90</v>
      </c>
      <c r="F2610" t="str">
        <f>"$ 22931,90"</f>
        <v>$ 22931,90</v>
      </c>
      <c r="G2610" t="str">
        <f>"$ 22931,90"</f>
        <v>$ 22931,90</v>
      </c>
      <c r="H2610" t="str">
        <f t="shared" si="1664"/>
        <v>$ 0,00</v>
      </c>
      <c r="I2610" t="str">
        <f t="shared" ref="I2610:I2615" si="1699">"MODULOS DE IGNICIÓN"</f>
        <v>MODULOS DE IGNICIÓN</v>
      </c>
      <c r="J2610" t="str">
        <f t="shared" si="1665"/>
        <v>1</v>
      </c>
      <c r="K2610" t="str">
        <f t="shared" si="1686"/>
        <v>0</v>
      </c>
      <c r="L2610" t="str">
        <f>"1,000"</f>
        <v>1,000</v>
      </c>
      <c r="M2610" t="str">
        <f t="shared" si="1666"/>
        <v xml:space="preserve"> </v>
      </c>
      <c r="N2610" t="str">
        <f>"REGITAR"</f>
        <v>REGITAR</v>
      </c>
      <c r="O2610" t="str">
        <f t="shared" ref="O2610:O2615" si="1700">"MÓDULOS"</f>
        <v>MÓDULOS</v>
      </c>
      <c r="P2610" t="str">
        <f t="shared" si="1696"/>
        <v>0</v>
      </c>
      <c r="Q2610" t="str">
        <f t="shared" si="1696"/>
        <v>0</v>
      </c>
      <c r="R2610" t="str">
        <f t="shared" si="1697"/>
        <v>0,00</v>
      </c>
      <c r="S2610" t="str">
        <f t="shared" si="1697"/>
        <v>0,00</v>
      </c>
      <c r="T2610" t="str">
        <f t="shared" si="1662"/>
        <v xml:space="preserve"> </v>
      </c>
      <c r="U2610" t="str">
        <f t="shared" si="1663"/>
        <v xml:space="preserve"> </v>
      </c>
      <c r="V2610" t="str">
        <f>"1,000"</f>
        <v>1,000</v>
      </c>
      <c r="W2610" t="str">
        <f t="shared" si="1669"/>
        <v>Lista 4</v>
      </c>
      <c r="X2610" t="str">
        <f t="shared" si="1670"/>
        <v>Lista 5</v>
      </c>
      <c r="Y2610" t="str">
        <f t="shared" si="1671"/>
        <v>Oferta Gral.</v>
      </c>
      <c r="Z2610" t="str">
        <f t="shared" si="1672"/>
        <v>Rubro</v>
      </c>
      <c r="AA2610" t="str">
        <f t="shared" si="1673"/>
        <v>Cantidad por Bulto</v>
      </c>
      <c r="AB2610" t="str">
        <f t="shared" si="1674"/>
        <v>INNER</v>
      </c>
      <c r="AC2610" t="str">
        <f t="shared" si="1675"/>
        <v>Stock en Bultos</v>
      </c>
      <c r="AD2610" t="str">
        <f t="shared" si="1676"/>
        <v>SubDepósito</v>
      </c>
      <c r="AE2610" t="str">
        <f t="shared" si="1677"/>
        <v>Marca</v>
      </c>
      <c r="AF2610" t="str">
        <f t="shared" si="1678"/>
        <v>Super Rubro</v>
      </c>
      <c r="AG2610" t="str">
        <f t="shared" si="1679"/>
        <v>ComercioExterior</v>
      </c>
      <c r="AH2610" t="str">
        <f t="shared" si="1680"/>
        <v>PrecioFOB</v>
      </c>
      <c r="AI2610" t="str">
        <f t="shared" si="1681"/>
        <v>Monto II</v>
      </c>
      <c r="AJ2610" t="str">
        <f t="shared" si="1682"/>
        <v>Porcentaje II</v>
      </c>
      <c r="AK2610" t="str">
        <f t="shared" si="1683"/>
        <v>Foto</v>
      </c>
      <c r="AL2610" t="str">
        <f>"{\rtf1\ansi\ansicpg1252\deff0\deflang11274{\fonttbl{\f0\fnil\fcharset0 MS Sans Serif}} \viewkind4\uc1\pard\f0\fs16 M\'d3DULO ENC. FORD-PEUGEOT-FIAT-RENAULT TIPO INDIEL\par } "</f>
        <v xml:space="preserve">{\rtf1\ansi\ansicpg1252\deff0\deflang11274{\fonttbl{\f0\fnil\fcharset0 MS Sans Serif}} \viewkind4\uc1\pard\f0\fs16 M\'d3DULO ENC. FORD-PEUGEOT-FIAT-RENAULT TIPO INDIEL\par } </v>
      </c>
      <c r="AM2610" t="str">
        <f t="shared" ref="AM2610:AM2620" si="1701">"-"</f>
        <v>-</v>
      </c>
    </row>
    <row r="2611" spans="1:39" x14ac:dyDescent="0.25">
      <c r="A2611" t="str">
        <f>"VK11907"</f>
        <v>VK11907</v>
      </c>
      <c r="B2611" t="str">
        <f>"MÓDULO ENC. G.M. (VARIOS)"</f>
        <v>MÓDULO ENC. G.M. (VARIOS)</v>
      </c>
      <c r="C2611" t="str">
        <f>"$ 18774,87"</f>
        <v>$ 18774,87</v>
      </c>
      <c r="D2611" t="str">
        <f>"$ 18774,87"</f>
        <v>$ 18774,87</v>
      </c>
      <c r="E2611" t="str">
        <f>"$ 18774,87"</f>
        <v>$ 18774,87</v>
      </c>
      <c r="F2611" t="str">
        <f>"$ 18774,87"</f>
        <v>$ 18774,87</v>
      </c>
      <c r="G2611" t="str">
        <f>"$ 18774,87"</f>
        <v>$ 18774,87</v>
      </c>
      <c r="H2611" t="str">
        <f t="shared" si="1664"/>
        <v>$ 0,00</v>
      </c>
      <c r="I2611" t="str">
        <f t="shared" si="1699"/>
        <v>MODULOS DE IGNICIÓN</v>
      </c>
      <c r="J2611" t="str">
        <f t="shared" si="1665"/>
        <v>1</v>
      </c>
      <c r="K2611" t="str">
        <f t="shared" si="1686"/>
        <v>0</v>
      </c>
      <c r="L2611" t="str">
        <f>"0,000"</f>
        <v>0,000</v>
      </c>
      <c r="M2611" t="str">
        <f t="shared" si="1666"/>
        <v xml:space="preserve"> </v>
      </c>
      <c r="N2611" t="str">
        <f>"VERKEHR"</f>
        <v>VERKEHR</v>
      </c>
      <c r="O2611" t="str">
        <f t="shared" si="1700"/>
        <v>MÓDULOS</v>
      </c>
      <c r="P2611" t="str">
        <f t="shared" si="1696"/>
        <v>0</v>
      </c>
      <c r="Q2611" t="str">
        <f t="shared" si="1696"/>
        <v>0</v>
      </c>
      <c r="R2611" t="str">
        <f t="shared" si="1697"/>
        <v>0,00</v>
      </c>
      <c r="S2611" t="str">
        <f t="shared" si="1697"/>
        <v>0,00</v>
      </c>
      <c r="T2611" t="str">
        <f t="shared" si="1662"/>
        <v xml:space="preserve"> </v>
      </c>
      <c r="U2611" t="str">
        <f t="shared" si="1663"/>
        <v xml:space="preserve"> </v>
      </c>
      <c r="V2611" t="str">
        <f>"0,000"</f>
        <v>0,000</v>
      </c>
      <c r="W2611" t="str">
        <f t="shared" si="1669"/>
        <v>Lista 4</v>
      </c>
      <c r="X2611" t="str">
        <f t="shared" si="1670"/>
        <v>Lista 5</v>
      </c>
      <c r="Y2611" t="str">
        <f t="shared" si="1671"/>
        <v>Oferta Gral.</v>
      </c>
      <c r="Z2611" t="str">
        <f t="shared" si="1672"/>
        <v>Rubro</v>
      </c>
      <c r="AA2611" t="str">
        <f t="shared" si="1673"/>
        <v>Cantidad por Bulto</v>
      </c>
      <c r="AB2611" t="str">
        <f t="shared" si="1674"/>
        <v>INNER</v>
      </c>
      <c r="AC2611" t="str">
        <f t="shared" si="1675"/>
        <v>Stock en Bultos</v>
      </c>
      <c r="AD2611" t="str">
        <f t="shared" si="1676"/>
        <v>SubDepósito</v>
      </c>
      <c r="AE2611" t="str">
        <f t="shared" si="1677"/>
        <v>Marca</v>
      </c>
      <c r="AF2611" t="str">
        <f t="shared" si="1678"/>
        <v>Super Rubro</v>
      </c>
      <c r="AG2611" t="str">
        <f t="shared" si="1679"/>
        <v>ComercioExterior</v>
      </c>
      <c r="AH2611" t="str">
        <f t="shared" si="1680"/>
        <v>PrecioFOB</v>
      </c>
      <c r="AI2611" t="str">
        <f t="shared" si="1681"/>
        <v>Monto II</v>
      </c>
      <c r="AJ2611" t="str">
        <f t="shared" si="1682"/>
        <v>Porcentaje II</v>
      </c>
      <c r="AK2611" t="str">
        <f t="shared" si="1683"/>
        <v>Foto</v>
      </c>
      <c r="AL2611" t="str">
        <f>"{\rtf1\ansi\ansicpg1252\deff0\deflang11274{\fonttbl{\f0\fnil\fcharset0 MS Sans Serif}} \viewkind4\uc1\pard\f0\fs16 M\'d3DULO ENC. G.M. (VARIOS)\par } "</f>
        <v xml:space="preserve">{\rtf1\ansi\ansicpg1252\deff0\deflang11274{\fonttbl{\f0\fnil\fcharset0 MS Sans Serif}} \viewkind4\uc1\pard\f0\fs16 M\'d3DULO ENC. G.M. (VARIOS)\par } </v>
      </c>
      <c r="AM2611" t="str">
        <f t="shared" si="1701"/>
        <v>-</v>
      </c>
    </row>
    <row r="2612" spans="1:39" x14ac:dyDescent="0.25">
      <c r="A2612" t="str">
        <f>"MIG900"</f>
        <v>MIG900</v>
      </c>
      <c r="B2612" t="str">
        <f>"MÓDULO ENC. RENAULT  9/11/12/18/19/21 P504/505 FIAT DUNA/SPAZIO/REGATTA"</f>
        <v>MÓDULO ENC. RENAULT  9/11/12/18/19/21 P504/505 FIAT DUNA/SPAZIO/REGATTA</v>
      </c>
      <c r="C2612" t="str">
        <f>"$ 14197,86"</f>
        <v>$ 14197,86</v>
      </c>
      <c r="D2612" t="str">
        <f>"$ 14197,86"</f>
        <v>$ 14197,86</v>
      </c>
      <c r="E2612" t="str">
        <f>"$ 14197,86"</f>
        <v>$ 14197,86</v>
      </c>
      <c r="F2612" t="str">
        <f>"$ 14197,86"</f>
        <v>$ 14197,86</v>
      </c>
      <c r="G2612" t="str">
        <f>"$ 14197,86"</f>
        <v>$ 14197,86</v>
      </c>
      <c r="H2612" t="str">
        <f t="shared" si="1664"/>
        <v>$ 0,00</v>
      </c>
      <c r="I2612" t="str">
        <f t="shared" si="1699"/>
        <v>MODULOS DE IGNICIÓN</v>
      </c>
      <c r="J2612" t="str">
        <f t="shared" si="1665"/>
        <v>1</v>
      </c>
      <c r="K2612" t="str">
        <f t="shared" si="1686"/>
        <v>0</v>
      </c>
      <c r="L2612" t="str">
        <f>"0,000"</f>
        <v>0,000</v>
      </c>
      <c r="M2612" t="str">
        <f t="shared" si="1666"/>
        <v xml:space="preserve"> </v>
      </c>
      <c r="N2612" t="str">
        <f>"BLUE STREAK"</f>
        <v>BLUE STREAK</v>
      </c>
      <c r="O2612" t="str">
        <f t="shared" si="1700"/>
        <v>MÓDULOS</v>
      </c>
      <c r="P2612" t="str">
        <f t="shared" si="1696"/>
        <v>0</v>
      </c>
      <c r="Q2612" t="str">
        <f t="shared" si="1696"/>
        <v>0</v>
      </c>
      <c r="R2612" t="str">
        <f t="shared" si="1697"/>
        <v>0,00</v>
      </c>
      <c r="S2612" t="str">
        <f t="shared" si="1697"/>
        <v>0,00</v>
      </c>
      <c r="T2612" t="str">
        <f t="shared" si="1662"/>
        <v xml:space="preserve"> </v>
      </c>
      <c r="U2612" t="str">
        <f t="shared" si="1663"/>
        <v xml:space="preserve"> </v>
      </c>
      <c r="V2612" t="str">
        <f>"0,000"</f>
        <v>0,000</v>
      </c>
      <c r="W2612" t="str">
        <f t="shared" si="1669"/>
        <v>Lista 4</v>
      </c>
      <c r="X2612" t="str">
        <f t="shared" si="1670"/>
        <v>Lista 5</v>
      </c>
      <c r="Y2612" t="str">
        <f t="shared" si="1671"/>
        <v>Oferta Gral.</v>
      </c>
      <c r="Z2612" t="str">
        <f t="shared" si="1672"/>
        <v>Rubro</v>
      </c>
      <c r="AA2612" t="str">
        <f t="shared" si="1673"/>
        <v>Cantidad por Bulto</v>
      </c>
      <c r="AB2612" t="str">
        <f t="shared" si="1674"/>
        <v>INNER</v>
      </c>
      <c r="AC2612" t="str">
        <f t="shared" si="1675"/>
        <v>Stock en Bultos</v>
      </c>
      <c r="AD2612" t="str">
        <f t="shared" si="1676"/>
        <v>SubDepósito</v>
      </c>
      <c r="AE2612" t="str">
        <f t="shared" si="1677"/>
        <v>Marca</v>
      </c>
      <c r="AF2612" t="str">
        <f t="shared" si="1678"/>
        <v>Super Rubro</v>
      </c>
      <c r="AG2612" t="str">
        <f t="shared" si="1679"/>
        <v>ComercioExterior</v>
      </c>
      <c r="AH2612" t="str">
        <f t="shared" si="1680"/>
        <v>PrecioFOB</v>
      </c>
      <c r="AI2612" t="str">
        <f t="shared" si="1681"/>
        <v>Monto II</v>
      </c>
      <c r="AJ2612" t="str">
        <f t="shared" si="1682"/>
        <v>Porcentaje II</v>
      </c>
      <c r="AK2612" t="str">
        <f t="shared" si="1683"/>
        <v>Foto</v>
      </c>
      <c r="AL2612" t="str">
        <f>"{\rtf1\ansi\ansicpg1252\deff0\deflang11274{\fonttbl{\f0\fnil\fcharset0 MS Sans Serif}} \viewkind4\uc1\pard\f0\fs16 M\'d3DULO ENC. RENAULT  9/11/12/18/19/21 P504/505 FIAT DUNA/SPAZIO/REGATTA\par } "</f>
        <v xml:space="preserve">{\rtf1\ansi\ansicpg1252\deff0\deflang11274{\fonttbl{\f0\fnil\fcharset0 MS Sans Serif}} \viewkind4\uc1\pard\f0\fs16 M\'d3DULO ENC. RENAULT  9/11/12/18/19/21 P504/505 FIAT DUNA/SPAZIO/REGATTA\par } </v>
      </c>
      <c r="AM2612" t="str">
        <f t="shared" si="1701"/>
        <v>-</v>
      </c>
    </row>
    <row r="2613" spans="1:39" x14ac:dyDescent="0.25">
      <c r="A2613" t="str">
        <f>"MIG902"</f>
        <v>MIG902</v>
      </c>
      <c r="B2613" t="str">
        <f>"MÓDULO ENC. TIPO INDIEL FORD-PEUGEOT-FIAT-RENAULT"</f>
        <v>MÓDULO ENC. TIPO INDIEL FORD-PEUGEOT-FIAT-RENAULT</v>
      </c>
      <c r="C2613" t="str">
        <f>"$ 14983,52"</f>
        <v>$ 14983,52</v>
      </c>
      <c r="D2613" t="str">
        <f>"$ 14983,52"</f>
        <v>$ 14983,52</v>
      </c>
      <c r="E2613" t="str">
        <f>"$ 14983,52"</f>
        <v>$ 14983,52</v>
      </c>
      <c r="F2613" t="str">
        <f>"$ 14983,52"</f>
        <v>$ 14983,52</v>
      </c>
      <c r="G2613" t="str">
        <f>"$ 14983,52"</f>
        <v>$ 14983,52</v>
      </c>
      <c r="H2613" t="str">
        <f t="shared" si="1664"/>
        <v>$ 0,00</v>
      </c>
      <c r="I2613" t="str">
        <f t="shared" si="1699"/>
        <v>MODULOS DE IGNICIÓN</v>
      </c>
      <c r="J2613" t="str">
        <f t="shared" si="1665"/>
        <v>1</v>
      </c>
      <c r="K2613" t="str">
        <f t="shared" si="1686"/>
        <v>0</v>
      </c>
      <c r="L2613" t="str">
        <f>"0,000"</f>
        <v>0,000</v>
      </c>
      <c r="M2613" t="str">
        <f t="shared" si="1666"/>
        <v xml:space="preserve"> </v>
      </c>
      <c r="N2613" t="str">
        <f>"BLUE STREAK"</f>
        <v>BLUE STREAK</v>
      </c>
      <c r="O2613" t="str">
        <f t="shared" si="1700"/>
        <v>MÓDULOS</v>
      </c>
      <c r="P2613" t="str">
        <f t="shared" si="1696"/>
        <v>0</v>
      </c>
      <c r="Q2613" t="str">
        <f t="shared" si="1696"/>
        <v>0</v>
      </c>
      <c r="R2613" t="str">
        <f t="shared" si="1697"/>
        <v>0,00</v>
      </c>
      <c r="S2613" t="str">
        <f t="shared" si="1697"/>
        <v>0,00</v>
      </c>
      <c r="T2613" t="str">
        <f t="shared" si="1662"/>
        <v xml:space="preserve"> </v>
      </c>
      <c r="U2613" t="str">
        <f t="shared" si="1663"/>
        <v xml:space="preserve"> </v>
      </c>
      <c r="V2613" t="str">
        <f>"0,000"</f>
        <v>0,000</v>
      </c>
      <c r="W2613" t="str">
        <f t="shared" si="1669"/>
        <v>Lista 4</v>
      </c>
      <c r="X2613" t="str">
        <f t="shared" si="1670"/>
        <v>Lista 5</v>
      </c>
      <c r="Y2613" t="str">
        <f t="shared" si="1671"/>
        <v>Oferta Gral.</v>
      </c>
      <c r="Z2613" t="str">
        <f t="shared" si="1672"/>
        <v>Rubro</v>
      </c>
      <c r="AA2613" t="str">
        <f t="shared" si="1673"/>
        <v>Cantidad por Bulto</v>
      </c>
      <c r="AB2613" t="str">
        <f t="shared" si="1674"/>
        <v>INNER</v>
      </c>
      <c r="AC2613" t="str">
        <f t="shared" si="1675"/>
        <v>Stock en Bultos</v>
      </c>
      <c r="AD2613" t="str">
        <f t="shared" si="1676"/>
        <v>SubDepósito</v>
      </c>
      <c r="AE2613" t="str">
        <f t="shared" si="1677"/>
        <v>Marca</v>
      </c>
      <c r="AF2613" t="str">
        <f t="shared" si="1678"/>
        <v>Super Rubro</v>
      </c>
      <c r="AG2613" t="str">
        <f t="shared" si="1679"/>
        <v>ComercioExterior</v>
      </c>
      <c r="AH2613" t="str">
        <f t="shared" si="1680"/>
        <v>PrecioFOB</v>
      </c>
      <c r="AI2613" t="str">
        <f t="shared" si="1681"/>
        <v>Monto II</v>
      </c>
      <c r="AJ2613" t="str">
        <f t="shared" si="1682"/>
        <v>Porcentaje II</v>
      </c>
      <c r="AK2613" t="str">
        <f t="shared" si="1683"/>
        <v>Foto</v>
      </c>
      <c r="AL2613" t="str">
        <f>"{\rtf1\ansi\ansicpg1252\deff0\deflang11274{\fonttbl{\f0\fnil\fcharset0 MS Sans Serif}} \viewkind4\uc1\pard\f0\fs16 M\'d3DULO ENC. TIPO INDIEL FORD-PEUGEOT-FIAT-RENAULT\par } "</f>
        <v xml:space="preserve">{\rtf1\ansi\ansicpg1252\deff0\deflang11274{\fonttbl{\f0\fnil\fcharset0 MS Sans Serif}} \viewkind4\uc1\pard\f0\fs16 M\'d3DULO ENC. TIPO INDIEL FORD-PEUGEOT-FIAT-RENAULT\par } </v>
      </c>
      <c r="AM2613" t="str">
        <f t="shared" si="1701"/>
        <v>-</v>
      </c>
    </row>
    <row r="2614" spans="1:39" x14ac:dyDescent="0.25">
      <c r="A2614" t="str">
        <f>"MIG914"</f>
        <v>MIG914</v>
      </c>
      <c r="B2614" t="str">
        <f>"MÓDULO ENC. V.W.-POINTER-FORD ORION-VERONA-ESCORT"</f>
        <v>MÓDULO ENC. V.W.-POINTER-FORD ORION-VERONA-ESCORT</v>
      </c>
      <c r="C2614" t="str">
        <f>"$ 15446,49"</f>
        <v>$ 15446,49</v>
      </c>
      <c r="D2614" t="str">
        <f>"$ 15446,49"</f>
        <v>$ 15446,49</v>
      </c>
      <c r="E2614" t="str">
        <f>"$ 15446,49"</f>
        <v>$ 15446,49</v>
      </c>
      <c r="F2614" t="str">
        <f>"$ 15446,49"</f>
        <v>$ 15446,49</v>
      </c>
      <c r="G2614" t="str">
        <f>"$ 15446,49"</f>
        <v>$ 15446,49</v>
      </c>
      <c r="H2614" t="str">
        <f t="shared" si="1664"/>
        <v>$ 0,00</v>
      </c>
      <c r="I2614" t="str">
        <f t="shared" si="1699"/>
        <v>MODULOS DE IGNICIÓN</v>
      </c>
      <c r="J2614" t="str">
        <f t="shared" si="1665"/>
        <v>1</v>
      </c>
      <c r="K2614" t="str">
        <f t="shared" si="1686"/>
        <v>0</v>
      </c>
      <c r="L2614" t="str">
        <f>"0,000"</f>
        <v>0,000</v>
      </c>
      <c r="M2614" t="str">
        <f t="shared" si="1666"/>
        <v xml:space="preserve"> </v>
      </c>
      <c r="N2614" t="str">
        <f>"BLUE STREAK"</f>
        <v>BLUE STREAK</v>
      </c>
      <c r="O2614" t="str">
        <f t="shared" si="1700"/>
        <v>MÓDULOS</v>
      </c>
      <c r="P2614" t="str">
        <f t="shared" si="1696"/>
        <v>0</v>
      </c>
      <c r="Q2614" t="str">
        <f t="shared" si="1696"/>
        <v>0</v>
      </c>
      <c r="R2614" t="str">
        <f t="shared" si="1697"/>
        <v>0,00</v>
      </c>
      <c r="S2614" t="str">
        <f t="shared" si="1697"/>
        <v>0,00</v>
      </c>
      <c r="T2614" t="str">
        <f t="shared" si="1662"/>
        <v xml:space="preserve"> </v>
      </c>
      <c r="U2614" t="str">
        <f t="shared" si="1663"/>
        <v xml:space="preserve"> </v>
      </c>
      <c r="V2614" t="str">
        <f>"0,000"</f>
        <v>0,000</v>
      </c>
      <c r="W2614" t="str">
        <f t="shared" si="1669"/>
        <v>Lista 4</v>
      </c>
      <c r="X2614" t="str">
        <f t="shared" si="1670"/>
        <v>Lista 5</v>
      </c>
      <c r="Y2614" t="str">
        <f t="shared" si="1671"/>
        <v>Oferta Gral.</v>
      </c>
      <c r="Z2614" t="str">
        <f t="shared" si="1672"/>
        <v>Rubro</v>
      </c>
      <c r="AA2614" t="str">
        <f t="shared" si="1673"/>
        <v>Cantidad por Bulto</v>
      </c>
      <c r="AB2614" t="str">
        <f t="shared" si="1674"/>
        <v>INNER</v>
      </c>
      <c r="AC2614" t="str">
        <f t="shared" si="1675"/>
        <v>Stock en Bultos</v>
      </c>
      <c r="AD2614" t="str">
        <f t="shared" si="1676"/>
        <v>SubDepósito</v>
      </c>
      <c r="AE2614" t="str">
        <f t="shared" si="1677"/>
        <v>Marca</v>
      </c>
      <c r="AF2614" t="str">
        <f t="shared" si="1678"/>
        <v>Super Rubro</v>
      </c>
      <c r="AG2614" t="str">
        <f t="shared" si="1679"/>
        <v>ComercioExterior</v>
      </c>
      <c r="AH2614" t="str">
        <f t="shared" si="1680"/>
        <v>PrecioFOB</v>
      </c>
      <c r="AI2614" t="str">
        <f t="shared" si="1681"/>
        <v>Monto II</v>
      </c>
      <c r="AJ2614" t="str">
        <f t="shared" si="1682"/>
        <v>Porcentaje II</v>
      </c>
      <c r="AK2614" t="str">
        <f t="shared" si="1683"/>
        <v>Foto</v>
      </c>
      <c r="AL2614" t="str">
        <f>"{\rtf1\ansi\ansicpg1252\deff0\deflang11274{\fonttbl{\f0\fnil\fcharset0 MS Sans Serif}} \viewkind4\uc1\pard\f0\fs16 M\'d3DULO ENC. V.W.-POINTER-FORD ORION-VERONA-ESCORT\par } "</f>
        <v xml:space="preserve">{\rtf1\ansi\ansicpg1252\deff0\deflang11274{\fonttbl{\f0\fnil\fcharset0 MS Sans Serif}} \viewkind4\uc1\pard\f0\fs16 M\'d3DULO ENC. V.W.-POINTER-FORD ORION-VERONA-ESCORT\par } </v>
      </c>
      <c r="AM2614" t="str">
        <f t="shared" si="1701"/>
        <v>-</v>
      </c>
    </row>
    <row r="2615" spans="1:39" x14ac:dyDescent="0.25">
      <c r="A2615" t="str">
        <f>"MIG915"</f>
        <v>MIG915</v>
      </c>
      <c r="B2615" t="str">
        <f>"MÓDULO ENC. V.W.-POLO-GOLF-PASSAT"</f>
        <v>MÓDULO ENC. V.W.-POLO-GOLF-PASSAT</v>
      </c>
      <c r="C2615" t="str">
        <f>"$ 15236,05"</f>
        <v>$ 15236,05</v>
      </c>
      <c r="D2615" t="str">
        <f>"$ 15236,05"</f>
        <v>$ 15236,05</v>
      </c>
      <c r="E2615" t="str">
        <f>"$ 15236,05"</f>
        <v>$ 15236,05</v>
      </c>
      <c r="F2615" t="str">
        <f>"$ 15236,05"</f>
        <v>$ 15236,05</v>
      </c>
      <c r="G2615" t="str">
        <f>"$ 15236,05"</f>
        <v>$ 15236,05</v>
      </c>
      <c r="H2615" t="str">
        <f t="shared" si="1664"/>
        <v>$ 0,00</v>
      </c>
      <c r="I2615" t="str">
        <f t="shared" si="1699"/>
        <v>MODULOS DE IGNICIÓN</v>
      </c>
      <c r="J2615" t="str">
        <f t="shared" si="1665"/>
        <v>1</v>
      </c>
      <c r="K2615" t="str">
        <f t="shared" si="1686"/>
        <v>0</v>
      </c>
      <c r="L2615" t="str">
        <f>"3,000"</f>
        <v>3,000</v>
      </c>
      <c r="M2615" t="str">
        <f t="shared" si="1666"/>
        <v xml:space="preserve"> </v>
      </c>
      <c r="N2615" t="str">
        <f>"BLUE STREAK"</f>
        <v>BLUE STREAK</v>
      </c>
      <c r="O2615" t="str">
        <f t="shared" si="1700"/>
        <v>MÓDULOS</v>
      </c>
      <c r="P2615" t="str">
        <f t="shared" si="1696"/>
        <v>0</v>
      </c>
      <c r="Q2615" t="str">
        <f t="shared" si="1696"/>
        <v>0</v>
      </c>
      <c r="R2615" t="str">
        <f t="shared" si="1697"/>
        <v>0,00</v>
      </c>
      <c r="S2615" t="str">
        <f t="shared" si="1697"/>
        <v>0,00</v>
      </c>
      <c r="T2615" t="str">
        <f t="shared" si="1662"/>
        <v xml:space="preserve"> </v>
      </c>
      <c r="U2615" t="str">
        <f t="shared" si="1663"/>
        <v xml:space="preserve"> </v>
      </c>
      <c r="V2615" t="str">
        <f>"3,000"</f>
        <v>3,000</v>
      </c>
      <c r="W2615" t="str">
        <f t="shared" si="1669"/>
        <v>Lista 4</v>
      </c>
      <c r="X2615" t="str">
        <f t="shared" si="1670"/>
        <v>Lista 5</v>
      </c>
      <c r="Y2615" t="str">
        <f t="shared" si="1671"/>
        <v>Oferta Gral.</v>
      </c>
      <c r="Z2615" t="str">
        <f t="shared" si="1672"/>
        <v>Rubro</v>
      </c>
      <c r="AA2615" t="str">
        <f t="shared" si="1673"/>
        <v>Cantidad por Bulto</v>
      </c>
      <c r="AB2615" t="str">
        <f t="shared" si="1674"/>
        <v>INNER</v>
      </c>
      <c r="AC2615" t="str">
        <f t="shared" si="1675"/>
        <v>Stock en Bultos</v>
      </c>
      <c r="AD2615" t="str">
        <f t="shared" si="1676"/>
        <v>SubDepósito</v>
      </c>
      <c r="AE2615" t="str">
        <f t="shared" si="1677"/>
        <v>Marca</v>
      </c>
      <c r="AF2615" t="str">
        <f t="shared" si="1678"/>
        <v>Super Rubro</v>
      </c>
      <c r="AG2615" t="str">
        <f t="shared" si="1679"/>
        <v>ComercioExterior</v>
      </c>
      <c r="AH2615" t="str">
        <f t="shared" si="1680"/>
        <v>PrecioFOB</v>
      </c>
      <c r="AI2615" t="str">
        <f t="shared" si="1681"/>
        <v>Monto II</v>
      </c>
      <c r="AJ2615" t="str">
        <f t="shared" si="1682"/>
        <v>Porcentaje II</v>
      </c>
      <c r="AK2615" t="str">
        <f t="shared" si="1683"/>
        <v>Foto</v>
      </c>
      <c r="AL2615" t="str">
        <f>"{\rtf1\ansi\ansicpg1252\deff0\deflang11274{\fonttbl{\f0\fnil\fcharset0 MS Sans Serif}} \viewkind4\uc1\pard\f0\fs16 M\'d3DULO ENC. V.W.-POLO-GOLF-PASSAT\par } "</f>
        <v xml:space="preserve">{\rtf1\ansi\ansicpg1252\deff0\deflang11274{\fonttbl{\f0\fnil\fcharset0 MS Sans Serif}} \viewkind4\uc1\pard\f0\fs16 M\'d3DULO ENC. V.W.-POLO-GOLF-PASSAT\par } </v>
      </c>
      <c r="AM2615" t="str">
        <f t="shared" si="1701"/>
        <v>-</v>
      </c>
    </row>
    <row r="2616" spans="1:39" x14ac:dyDescent="0.25">
      <c r="A2616" t="str">
        <f>"M1017"</f>
        <v>M1017</v>
      </c>
      <c r="B2616" t="str">
        <f>"NEON - STRATUS"</f>
        <v>NEON - STRATUS</v>
      </c>
      <c r="C2616" t="str">
        <f>"$ 27587,57"</f>
        <v>$ 27587,57</v>
      </c>
      <c r="D2616" t="str">
        <f>"$ 27587,57"</f>
        <v>$ 27587,57</v>
      </c>
      <c r="E2616" t="str">
        <f>"$ 27587,57"</f>
        <v>$ 27587,57</v>
      </c>
      <c r="F2616" t="str">
        <f>"$ 27587,57"</f>
        <v>$ 27587,57</v>
      </c>
      <c r="G2616" t="str">
        <f>"$ 27587,57"</f>
        <v>$ 27587,57</v>
      </c>
      <c r="H2616" t="str">
        <f t="shared" si="1664"/>
        <v>$ 0,00</v>
      </c>
      <c r="I2616" t="str">
        <f>"SENSOR MARIPOSA TPS"</f>
        <v>SENSOR MARIPOSA TPS</v>
      </c>
      <c r="J2616" t="str">
        <f t="shared" si="1665"/>
        <v>1</v>
      </c>
      <c r="K2616" t="str">
        <f t="shared" si="1686"/>
        <v>0</v>
      </c>
      <c r="L2616" t="str">
        <f>"0,000"</f>
        <v>0,000</v>
      </c>
      <c r="M2616" t="str">
        <f t="shared" si="1666"/>
        <v xml:space="preserve"> </v>
      </c>
      <c r="N2616" t="str">
        <f>"FISPA"</f>
        <v>FISPA</v>
      </c>
      <c r="O2616" t="str">
        <f>"SENSORES"</f>
        <v>SENSORES</v>
      </c>
      <c r="P2616" t="str">
        <f t="shared" si="1696"/>
        <v>0</v>
      </c>
      <c r="Q2616" t="str">
        <f t="shared" si="1696"/>
        <v>0</v>
      </c>
      <c r="R2616" t="str">
        <f t="shared" si="1697"/>
        <v>0,00</v>
      </c>
      <c r="S2616" t="str">
        <f t="shared" si="1697"/>
        <v>0,00</v>
      </c>
      <c r="T2616" t="str">
        <f t="shared" si="1662"/>
        <v xml:space="preserve"> </v>
      </c>
      <c r="U2616" t="str">
        <f t="shared" si="1663"/>
        <v xml:space="preserve"> </v>
      </c>
      <c r="V2616" t="str">
        <f>"0,000"</f>
        <v>0,000</v>
      </c>
      <c r="W2616" t="str">
        <f t="shared" si="1669"/>
        <v>Lista 4</v>
      </c>
      <c r="X2616" t="str">
        <f t="shared" si="1670"/>
        <v>Lista 5</v>
      </c>
      <c r="Y2616" t="str">
        <f t="shared" si="1671"/>
        <v>Oferta Gral.</v>
      </c>
      <c r="Z2616" t="str">
        <f t="shared" si="1672"/>
        <v>Rubro</v>
      </c>
      <c r="AA2616" t="str">
        <f t="shared" si="1673"/>
        <v>Cantidad por Bulto</v>
      </c>
      <c r="AB2616" t="str">
        <f t="shared" si="1674"/>
        <v>INNER</v>
      </c>
      <c r="AC2616" t="str">
        <f t="shared" si="1675"/>
        <v>Stock en Bultos</v>
      </c>
      <c r="AD2616" t="str">
        <f t="shared" si="1676"/>
        <v>SubDepósito</v>
      </c>
      <c r="AE2616" t="str">
        <f t="shared" si="1677"/>
        <v>Marca</v>
      </c>
      <c r="AF2616" t="str">
        <f t="shared" si="1678"/>
        <v>Super Rubro</v>
      </c>
      <c r="AG2616" t="str">
        <f t="shared" si="1679"/>
        <v>ComercioExterior</v>
      </c>
      <c r="AH2616" t="str">
        <f t="shared" si="1680"/>
        <v>PrecioFOB</v>
      </c>
      <c r="AI2616" t="str">
        <f t="shared" si="1681"/>
        <v>Monto II</v>
      </c>
      <c r="AJ2616" t="str">
        <f t="shared" si="1682"/>
        <v>Porcentaje II</v>
      </c>
      <c r="AK2616" t="str">
        <f t="shared" si="1683"/>
        <v>Foto</v>
      </c>
      <c r="AL2616" t="str">
        <f>" "</f>
        <v xml:space="preserve"> </v>
      </c>
      <c r="AM2616" t="str">
        <f t="shared" si="1701"/>
        <v>-</v>
      </c>
    </row>
    <row r="2617" spans="1:39" x14ac:dyDescent="0.25">
      <c r="A2617" t="str">
        <f>"M1041"</f>
        <v>M1041</v>
      </c>
      <c r="B2617" t="str">
        <f>"NISSAN FRONTIER (99-04) - PATHFINDER (96-00) - XTERRA (00)"</f>
        <v>NISSAN FRONTIER (99-04) - PATHFINDER (96-00) - XTERRA (00)</v>
      </c>
      <c r="C2617" t="str">
        <f>"$ 34457,00"</f>
        <v>$ 34457,00</v>
      </c>
      <c r="D2617" t="str">
        <f>"$ 34457,00"</f>
        <v>$ 34457,00</v>
      </c>
      <c r="E2617" t="str">
        <f>"$ 34457,00"</f>
        <v>$ 34457,00</v>
      </c>
      <c r="F2617" t="str">
        <f>"$ 34457,00"</f>
        <v>$ 34457,00</v>
      </c>
      <c r="G2617" t="str">
        <f>"$ 34457,00"</f>
        <v>$ 34457,00</v>
      </c>
      <c r="H2617" t="str">
        <f t="shared" si="1664"/>
        <v>$ 0,00</v>
      </c>
      <c r="I2617" t="str">
        <f>"SENSOR MARIPOSA TPS"</f>
        <v>SENSOR MARIPOSA TPS</v>
      </c>
      <c r="J2617" t="str">
        <f t="shared" si="1665"/>
        <v>1</v>
      </c>
      <c r="K2617" t="str">
        <f t="shared" si="1686"/>
        <v>0</v>
      </c>
      <c r="L2617" t="str">
        <f>"0,000"</f>
        <v>0,000</v>
      </c>
      <c r="M2617" t="str">
        <f t="shared" si="1666"/>
        <v xml:space="preserve"> </v>
      </c>
      <c r="N2617" t="str">
        <f>"FISPA"</f>
        <v>FISPA</v>
      </c>
      <c r="O2617" t="str">
        <f>"SENSORES"</f>
        <v>SENSORES</v>
      </c>
      <c r="P2617" t="str">
        <f t="shared" si="1696"/>
        <v>0</v>
      </c>
      <c r="Q2617" t="str">
        <f t="shared" si="1696"/>
        <v>0</v>
      </c>
      <c r="R2617" t="str">
        <f t="shared" si="1697"/>
        <v>0,00</v>
      </c>
      <c r="S2617" t="str">
        <f t="shared" si="1697"/>
        <v>0,00</v>
      </c>
      <c r="T2617" t="str">
        <f t="shared" si="1662"/>
        <v xml:space="preserve"> </v>
      </c>
      <c r="U2617" t="str">
        <f t="shared" si="1663"/>
        <v xml:space="preserve"> </v>
      </c>
      <c r="V2617" t="str">
        <f>"0,000"</f>
        <v>0,000</v>
      </c>
      <c r="W2617" t="str">
        <f t="shared" si="1669"/>
        <v>Lista 4</v>
      </c>
      <c r="X2617" t="str">
        <f t="shared" si="1670"/>
        <v>Lista 5</v>
      </c>
      <c r="Y2617" t="str">
        <f t="shared" si="1671"/>
        <v>Oferta Gral.</v>
      </c>
      <c r="Z2617" t="str">
        <f t="shared" si="1672"/>
        <v>Rubro</v>
      </c>
      <c r="AA2617" t="str">
        <f t="shared" si="1673"/>
        <v>Cantidad por Bulto</v>
      </c>
      <c r="AB2617" t="str">
        <f t="shared" si="1674"/>
        <v>INNER</v>
      </c>
      <c r="AC2617" t="str">
        <f t="shared" si="1675"/>
        <v>Stock en Bultos</v>
      </c>
      <c r="AD2617" t="str">
        <f t="shared" si="1676"/>
        <v>SubDepósito</v>
      </c>
      <c r="AE2617" t="str">
        <f t="shared" si="1677"/>
        <v>Marca</v>
      </c>
      <c r="AF2617" t="str">
        <f t="shared" si="1678"/>
        <v>Super Rubro</v>
      </c>
      <c r="AG2617" t="str">
        <f t="shared" si="1679"/>
        <v>ComercioExterior</v>
      </c>
      <c r="AH2617" t="str">
        <f t="shared" si="1680"/>
        <v>PrecioFOB</v>
      </c>
      <c r="AI2617" t="str">
        <f t="shared" si="1681"/>
        <v>Monto II</v>
      </c>
      <c r="AJ2617" t="str">
        <f t="shared" si="1682"/>
        <v>Porcentaje II</v>
      </c>
      <c r="AK2617" t="str">
        <f t="shared" si="1683"/>
        <v>Foto</v>
      </c>
      <c r="AL2617" t="str">
        <f>" "</f>
        <v xml:space="preserve"> </v>
      </c>
      <c r="AM2617" t="str">
        <f t="shared" si="1701"/>
        <v>-</v>
      </c>
    </row>
    <row r="2618" spans="1:39" x14ac:dyDescent="0.25">
      <c r="A2618" t="str">
        <f>"FI29000"</f>
        <v>FI29000</v>
      </c>
      <c r="B2618" t="str">
        <f>"O´RING BOMBA COMBUSTIBLE CHEVROLET CORSA 94/99 VECTRA 97/05"</f>
        <v>O´RING BOMBA COMBUSTIBLE CHEVROLET CORSA 94/99 VECTRA 97/05</v>
      </c>
      <c r="C2618" t="str">
        <f>"$ 5111,62"</f>
        <v>$ 5111,62</v>
      </c>
      <c r="D2618" t="str">
        <f>"$ 5111,62"</f>
        <v>$ 5111,62</v>
      </c>
      <c r="E2618" t="str">
        <f>"$ 5111,62"</f>
        <v>$ 5111,62</v>
      </c>
      <c r="F2618" t="str">
        <f>"$ 5111,62"</f>
        <v>$ 5111,62</v>
      </c>
      <c r="G2618" t="str">
        <f>"$ 5111,62"</f>
        <v>$ 5111,62</v>
      </c>
      <c r="H2618" t="str">
        <f t="shared" si="1664"/>
        <v>$ 0,00</v>
      </c>
      <c r="I2618" t="str">
        <f>"ACCESORIOS BOMBAS"</f>
        <v>ACCESORIOS BOMBAS</v>
      </c>
      <c r="J2618" t="str">
        <f t="shared" si="1665"/>
        <v>1</v>
      </c>
      <c r="K2618" t="str">
        <f t="shared" si="1686"/>
        <v>0</v>
      </c>
      <c r="L2618" t="str">
        <f>"8,000"</f>
        <v>8,000</v>
      </c>
      <c r="M2618" t="str">
        <f t="shared" si="1666"/>
        <v xml:space="preserve"> </v>
      </c>
      <c r="N2618" t="str">
        <f>"FISPA"</f>
        <v>FISPA</v>
      </c>
      <c r="O2618" t="str">
        <f>"BOMBAS"</f>
        <v>BOMBAS</v>
      </c>
      <c r="P2618" t="str">
        <f t="shared" si="1696"/>
        <v>0</v>
      </c>
      <c r="Q2618" t="str">
        <f t="shared" si="1696"/>
        <v>0</v>
      </c>
      <c r="R2618" t="str">
        <f t="shared" si="1697"/>
        <v>0,00</v>
      </c>
      <c r="S2618" t="str">
        <f t="shared" si="1697"/>
        <v>0,00</v>
      </c>
      <c r="T2618" t="str">
        <f t="shared" si="1662"/>
        <v xml:space="preserve"> </v>
      </c>
      <c r="U2618" t="str">
        <f t="shared" si="1663"/>
        <v xml:space="preserve"> </v>
      </c>
      <c r="V2618" t="str">
        <f>"8,000"</f>
        <v>8,000</v>
      </c>
      <c r="W2618" t="str">
        <f t="shared" si="1669"/>
        <v>Lista 4</v>
      </c>
      <c r="X2618" t="str">
        <f t="shared" si="1670"/>
        <v>Lista 5</v>
      </c>
      <c r="Y2618" t="str">
        <f t="shared" si="1671"/>
        <v>Oferta Gral.</v>
      </c>
      <c r="Z2618" t="str">
        <f t="shared" si="1672"/>
        <v>Rubro</v>
      </c>
      <c r="AA2618" t="str">
        <f t="shared" si="1673"/>
        <v>Cantidad por Bulto</v>
      </c>
      <c r="AB2618" t="str">
        <f t="shared" si="1674"/>
        <v>INNER</v>
      </c>
      <c r="AC2618" t="str">
        <f t="shared" si="1675"/>
        <v>Stock en Bultos</v>
      </c>
      <c r="AD2618" t="str">
        <f t="shared" si="1676"/>
        <v>SubDepósito</v>
      </c>
      <c r="AE2618" t="str">
        <f t="shared" si="1677"/>
        <v>Marca</v>
      </c>
      <c r="AF2618" t="str">
        <f t="shared" si="1678"/>
        <v>Super Rubro</v>
      </c>
      <c r="AG2618" t="str">
        <f t="shared" si="1679"/>
        <v>ComercioExterior</v>
      </c>
      <c r="AH2618" t="str">
        <f t="shared" si="1680"/>
        <v>PrecioFOB</v>
      </c>
      <c r="AI2618" t="str">
        <f t="shared" si="1681"/>
        <v>Monto II</v>
      </c>
      <c r="AJ2618" t="str">
        <f t="shared" si="1682"/>
        <v>Porcentaje II</v>
      </c>
      <c r="AK2618" t="str">
        <f t="shared" si="1683"/>
        <v>Foto</v>
      </c>
      <c r="AL261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18" t="str">
        <f t="shared" si="1701"/>
        <v>-</v>
      </c>
    </row>
    <row r="2619" spans="1:39" x14ac:dyDescent="0.25">
      <c r="A2619" t="str">
        <f>"FI29005"</f>
        <v>FI29005</v>
      </c>
      <c r="B2619" t="str">
        <f>"O´RING BOMBA COMBUSTIBLE CORSA/PRISMA/AGILE"</f>
        <v>O´RING BOMBA COMBUSTIBLE CORSA/PRISMA/AGILE</v>
      </c>
      <c r="C2619" t="str">
        <f>"$ 8378,20"</f>
        <v>$ 8378,20</v>
      </c>
      <c r="D2619" t="str">
        <f>"$ 8378,20"</f>
        <v>$ 8378,20</v>
      </c>
      <c r="E2619" t="str">
        <f>"$ 8378,20"</f>
        <v>$ 8378,20</v>
      </c>
      <c r="F2619" t="str">
        <f>"$ 8378,20"</f>
        <v>$ 8378,20</v>
      </c>
      <c r="G2619" t="str">
        <f>"$ 8378,20"</f>
        <v>$ 8378,20</v>
      </c>
      <c r="H2619" t="str">
        <f t="shared" si="1664"/>
        <v>$ 0,00</v>
      </c>
      <c r="I2619" t="str">
        <f>"ACCESORIOS BOMBAS"</f>
        <v>ACCESORIOS BOMBAS</v>
      </c>
      <c r="J2619" t="str">
        <f t="shared" si="1665"/>
        <v>1</v>
      </c>
      <c r="K2619" t="str">
        <f t="shared" si="1686"/>
        <v>0</v>
      </c>
      <c r="L2619" t="str">
        <f>"8,000"</f>
        <v>8,000</v>
      </c>
      <c r="M2619" t="str">
        <f t="shared" si="1666"/>
        <v xml:space="preserve"> </v>
      </c>
      <c r="N2619" t="str">
        <f>"FISPA"</f>
        <v>FISPA</v>
      </c>
      <c r="O2619" t="str">
        <f>"BOMBAS"</f>
        <v>BOMBAS</v>
      </c>
      <c r="P2619" t="str">
        <f t="shared" si="1696"/>
        <v>0</v>
      </c>
      <c r="Q2619" t="str">
        <f t="shared" si="1696"/>
        <v>0</v>
      </c>
      <c r="R2619" t="str">
        <f t="shared" si="1697"/>
        <v>0,00</v>
      </c>
      <c r="S2619" t="str">
        <f t="shared" si="1697"/>
        <v>0,00</v>
      </c>
      <c r="T2619" t="str">
        <f t="shared" si="1662"/>
        <v xml:space="preserve"> </v>
      </c>
      <c r="U2619" t="str">
        <f t="shared" si="1663"/>
        <v xml:space="preserve"> </v>
      </c>
      <c r="V2619" t="str">
        <f>"8,000"</f>
        <v>8,000</v>
      </c>
      <c r="W2619" t="str">
        <f t="shared" si="1669"/>
        <v>Lista 4</v>
      </c>
      <c r="X2619" t="str">
        <f t="shared" si="1670"/>
        <v>Lista 5</v>
      </c>
      <c r="Y2619" t="str">
        <f t="shared" si="1671"/>
        <v>Oferta Gral.</v>
      </c>
      <c r="Z2619" t="str">
        <f t="shared" si="1672"/>
        <v>Rubro</v>
      </c>
      <c r="AA2619" t="str">
        <f t="shared" si="1673"/>
        <v>Cantidad por Bulto</v>
      </c>
      <c r="AB2619" t="str">
        <f t="shared" si="1674"/>
        <v>INNER</v>
      </c>
      <c r="AC2619" t="str">
        <f t="shared" si="1675"/>
        <v>Stock en Bultos</v>
      </c>
      <c r="AD2619" t="str">
        <f t="shared" si="1676"/>
        <v>SubDepósito</v>
      </c>
      <c r="AE2619" t="str">
        <f t="shared" si="1677"/>
        <v>Marca</v>
      </c>
      <c r="AF2619" t="str">
        <f t="shared" si="1678"/>
        <v>Super Rubro</v>
      </c>
      <c r="AG2619" t="str">
        <f t="shared" si="1679"/>
        <v>ComercioExterior</v>
      </c>
      <c r="AH2619" t="str">
        <f t="shared" si="1680"/>
        <v>PrecioFOB</v>
      </c>
      <c r="AI2619" t="str">
        <f t="shared" si="1681"/>
        <v>Monto II</v>
      </c>
      <c r="AJ2619" t="str">
        <f t="shared" si="1682"/>
        <v>Porcentaje II</v>
      </c>
      <c r="AK2619" t="str">
        <f t="shared" si="1683"/>
        <v>Foto</v>
      </c>
      <c r="AL261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19" t="str">
        <f t="shared" si="1701"/>
        <v>-</v>
      </c>
    </row>
    <row r="2620" spans="1:39" x14ac:dyDescent="0.25">
      <c r="A2620" t="str">
        <f>"M1012"</f>
        <v>M1012</v>
      </c>
      <c r="B2620" t="str">
        <f>"PALIO/SIENA CLIO/R19/ 1,2 - 1,6 VW GOL ESCORT P 206/306/PARTNER"</f>
        <v>PALIO/SIENA CLIO/R19/ 1,2 - 1,6 VW GOL ESCORT P 206/306/PARTNER</v>
      </c>
      <c r="C2620" t="str">
        <f>"$ 16061,62"</f>
        <v>$ 16061,62</v>
      </c>
      <c r="D2620" t="str">
        <f>"$ 16061,62"</f>
        <v>$ 16061,62</v>
      </c>
      <c r="E2620" t="str">
        <f>"$ 16061,62"</f>
        <v>$ 16061,62</v>
      </c>
      <c r="F2620" t="str">
        <f>"$ 16061,62"</f>
        <v>$ 16061,62</v>
      </c>
      <c r="G2620" t="str">
        <f>"$ 16061,62"</f>
        <v>$ 16061,62</v>
      </c>
      <c r="H2620" t="str">
        <f t="shared" si="1664"/>
        <v>$ 0,00</v>
      </c>
      <c r="I2620" t="str">
        <f>"SENSOR MARIPOSA TPS"</f>
        <v>SENSOR MARIPOSA TPS</v>
      </c>
      <c r="J2620" t="str">
        <f t="shared" si="1665"/>
        <v>1</v>
      </c>
      <c r="K2620" t="str">
        <f t="shared" si="1686"/>
        <v>0</v>
      </c>
      <c r="L2620" t="str">
        <f>"3,000"</f>
        <v>3,000</v>
      </c>
      <c r="M2620" t="str">
        <f t="shared" si="1666"/>
        <v xml:space="preserve"> </v>
      </c>
      <c r="N2620" t="str">
        <f>"FISPA"</f>
        <v>FISPA</v>
      </c>
      <c r="O2620" t="str">
        <f>"SENSORES"</f>
        <v>SENSORES</v>
      </c>
      <c r="P2620" t="str">
        <f t="shared" si="1696"/>
        <v>0</v>
      </c>
      <c r="Q2620" t="str">
        <f t="shared" si="1696"/>
        <v>0</v>
      </c>
      <c r="R2620" t="str">
        <f t="shared" si="1697"/>
        <v>0,00</v>
      </c>
      <c r="S2620" t="str">
        <f t="shared" si="1697"/>
        <v>0,00</v>
      </c>
      <c r="T2620" t="str">
        <f t="shared" si="1662"/>
        <v xml:space="preserve"> </v>
      </c>
      <c r="U2620" t="str">
        <f t="shared" si="1663"/>
        <v xml:space="preserve"> </v>
      </c>
      <c r="V2620" t="str">
        <f>"3,000"</f>
        <v>3,000</v>
      </c>
      <c r="W2620" t="str">
        <f t="shared" si="1669"/>
        <v>Lista 4</v>
      </c>
      <c r="X2620" t="str">
        <f t="shared" si="1670"/>
        <v>Lista 5</v>
      </c>
      <c r="Y2620" t="str">
        <f t="shared" si="1671"/>
        <v>Oferta Gral.</v>
      </c>
      <c r="Z2620" t="str">
        <f t="shared" si="1672"/>
        <v>Rubro</v>
      </c>
      <c r="AA2620" t="str">
        <f t="shared" si="1673"/>
        <v>Cantidad por Bulto</v>
      </c>
      <c r="AB2620" t="str">
        <f t="shared" si="1674"/>
        <v>INNER</v>
      </c>
      <c r="AC2620" t="str">
        <f t="shared" si="1675"/>
        <v>Stock en Bultos</v>
      </c>
      <c r="AD2620" t="str">
        <f t="shared" si="1676"/>
        <v>SubDepósito</v>
      </c>
      <c r="AE2620" t="str">
        <f t="shared" si="1677"/>
        <v>Marca</v>
      </c>
      <c r="AF2620" t="str">
        <f t="shared" si="1678"/>
        <v>Super Rubro</v>
      </c>
      <c r="AG2620" t="str">
        <f t="shared" si="1679"/>
        <v>ComercioExterior</v>
      </c>
      <c r="AH2620" t="str">
        <f t="shared" si="1680"/>
        <v>PrecioFOB</v>
      </c>
      <c r="AI2620" t="str">
        <f t="shared" si="1681"/>
        <v>Monto II</v>
      </c>
      <c r="AJ2620" t="str">
        <f t="shared" si="1682"/>
        <v>Porcentaje II</v>
      </c>
      <c r="AK2620" t="str">
        <f t="shared" si="1683"/>
        <v>Foto</v>
      </c>
      <c r="AL262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20" t="str">
        <f t="shared" si="1701"/>
        <v>-</v>
      </c>
    </row>
    <row r="2621" spans="1:39" x14ac:dyDescent="0.25">
      <c r="A2621" t="str">
        <f>"PACHAM001"</f>
        <v>PACHAM001</v>
      </c>
      <c r="B2621" t="str">
        <f>"PAÑO ABSORBENTE CHAMOIS MEDIDA 43 X 32 X 0.2 CM USO UNIVERSAL"</f>
        <v>PAÑO ABSORBENTE CHAMOIS MEDIDA 43 X 32 X 0.2 CM USO UNIVERSAL</v>
      </c>
      <c r="C2621" t="str">
        <f>"$ 4318,22"</f>
        <v>$ 4318,22</v>
      </c>
      <c r="D2621" t="str">
        <f>"$ 4318,22"</f>
        <v>$ 4318,22</v>
      </c>
      <c r="E2621" t="str">
        <f>"$ 4318,22"</f>
        <v>$ 4318,22</v>
      </c>
      <c r="F2621" t="str">
        <f>"$ 4318,22"</f>
        <v>$ 4318,22</v>
      </c>
      <c r="G2621" t="str">
        <f>"$ 4318,22"</f>
        <v>$ 4318,22</v>
      </c>
      <c r="H2621" t="str">
        <f t="shared" si="1664"/>
        <v>$ 0,00</v>
      </c>
      <c r="I2621" t="str">
        <f>"PAÑOS ABSORBENTES"</f>
        <v>PAÑOS ABSORBENTES</v>
      </c>
      <c r="J2621" t="str">
        <f t="shared" si="1665"/>
        <v>1</v>
      </c>
      <c r="K2621" t="str">
        <f t="shared" si="1686"/>
        <v>0</v>
      </c>
      <c r="L2621" t="str">
        <f>"19,000"</f>
        <v>19,000</v>
      </c>
      <c r="M2621" t="str">
        <f t="shared" si="1666"/>
        <v xml:space="preserve"> </v>
      </c>
      <c r="N2621" t="str">
        <f>"OREGON"</f>
        <v>OREGON</v>
      </c>
      <c r="O2621" t="str">
        <f>"PAÑOS"</f>
        <v>PAÑOS</v>
      </c>
      <c r="P2621" t="str">
        <f t="shared" si="1696"/>
        <v>0</v>
      </c>
      <c r="Q2621" t="str">
        <f t="shared" si="1696"/>
        <v>0</v>
      </c>
      <c r="R2621" t="str">
        <f t="shared" si="1697"/>
        <v>0,00</v>
      </c>
      <c r="S2621" t="str">
        <f t="shared" si="1697"/>
        <v>0,00</v>
      </c>
      <c r="T2621" t="str">
        <f t="shared" si="1662"/>
        <v xml:space="preserve"> </v>
      </c>
      <c r="U2621" t="str">
        <f t="shared" si="1663"/>
        <v xml:space="preserve"> </v>
      </c>
      <c r="V2621" t="str">
        <f>"19,000"</f>
        <v>19,000</v>
      </c>
      <c r="W2621" t="str">
        <f t="shared" si="1669"/>
        <v>Lista 4</v>
      </c>
      <c r="X2621" t="str">
        <f t="shared" si="1670"/>
        <v>Lista 5</v>
      </c>
      <c r="Y2621" t="str">
        <f t="shared" si="1671"/>
        <v>Oferta Gral.</v>
      </c>
      <c r="Z2621" t="str">
        <f t="shared" si="1672"/>
        <v>Rubro</v>
      </c>
      <c r="AA2621" t="str">
        <f t="shared" si="1673"/>
        <v>Cantidad por Bulto</v>
      </c>
      <c r="AB2621" t="str">
        <f t="shared" si="1674"/>
        <v>INNER</v>
      </c>
      <c r="AC2621" t="str">
        <f t="shared" si="1675"/>
        <v>Stock en Bultos</v>
      </c>
      <c r="AD2621" t="str">
        <f t="shared" si="1676"/>
        <v>SubDepósito</v>
      </c>
      <c r="AE2621" t="str">
        <f t="shared" si="1677"/>
        <v>Marca</v>
      </c>
      <c r="AF2621" t="str">
        <f t="shared" si="1678"/>
        <v>Super Rubro</v>
      </c>
      <c r="AG2621" t="str">
        <f t="shared" si="1679"/>
        <v>ComercioExterior</v>
      </c>
      <c r="AH2621" t="str">
        <f t="shared" si="1680"/>
        <v>PrecioFOB</v>
      </c>
      <c r="AI2621" t="str">
        <f t="shared" si="1681"/>
        <v>Monto II</v>
      </c>
      <c r="AJ2621" t="str">
        <f t="shared" si="1682"/>
        <v>Porcentaje II</v>
      </c>
      <c r="AK2621" t="str">
        <f t="shared" si="1683"/>
        <v>Foto</v>
      </c>
      <c r="AL262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621" t="str">
        <f>" "</f>
        <v xml:space="preserve"> </v>
      </c>
    </row>
    <row r="2622" spans="1:39" x14ac:dyDescent="0.25">
      <c r="A2622" t="str">
        <f>"FI26007"</f>
        <v>FI26007</v>
      </c>
      <c r="B2622" t="str">
        <f>"PICO DE INYECCION TANCLICK `T` 5/16 X 5/16 LISO"</f>
        <v>PICO DE INYECCION TANCLICK `T` 5/16 X 5/16 LISO</v>
      </c>
      <c r="C2622" t="str">
        <f>"$ 3828,76"</f>
        <v>$ 3828,76</v>
      </c>
      <c r="D2622" t="str">
        <f>"$ 3828,76"</f>
        <v>$ 3828,76</v>
      </c>
      <c r="E2622" t="str">
        <f>"$ 3828,76"</f>
        <v>$ 3828,76</v>
      </c>
      <c r="F2622" t="str">
        <f>"$ 3828,76"</f>
        <v>$ 3828,76</v>
      </c>
      <c r="G2622" t="str">
        <f>"$ 3828,76"</f>
        <v>$ 3828,76</v>
      </c>
      <c r="H2622" t="str">
        <f t="shared" si="1664"/>
        <v>$ 0,00</v>
      </c>
      <c r="I2622" t="str">
        <f>"PICOS DE INYECCION TANCLICK"</f>
        <v>PICOS DE INYECCION TANCLICK</v>
      </c>
      <c r="J2622" t="str">
        <f t="shared" si="1665"/>
        <v>1</v>
      </c>
      <c r="K2622" t="str">
        <f t="shared" si="1686"/>
        <v>0</v>
      </c>
      <c r="L2622" t="str">
        <f>"9,000"</f>
        <v>9,000</v>
      </c>
      <c r="M2622" t="str">
        <f t="shared" si="1666"/>
        <v xml:space="preserve"> </v>
      </c>
      <c r="N2622" t="str">
        <f>"FISPA"</f>
        <v>FISPA</v>
      </c>
      <c r="O2622" t="str">
        <f>"CONECTORES"</f>
        <v>CONECTORES</v>
      </c>
      <c r="P2622" t="str">
        <f t="shared" si="1696"/>
        <v>0</v>
      </c>
      <c r="Q2622" t="str">
        <f t="shared" si="1696"/>
        <v>0</v>
      </c>
      <c r="R2622" t="str">
        <f t="shared" si="1697"/>
        <v>0,00</v>
      </c>
      <c r="S2622" t="str">
        <f t="shared" si="1697"/>
        <v>0,00</v>
      </c>
      <c r="T2622" t="str">
        <f t="shared" si="1662"/>
        <v xml:space="preserve"> </v>
      </c>
      <c r="U2622" t="str">
        <f t="shared" si="1663"/>
        <v xml:space="preserve"> </v>
      </c>
      <c r="V2622" t="str">
        <f>"9,000"</f>
        <v>9,000</v>
      </c>
      <c r="W2622" t="str">
        <f t="shared" si="1669"/>
        <v>Lista 4</v>
      </c>
      <c r="X2622" t="str">
        <f t="shared" si="1670"/>
        <v>Lista 5</v>
      </c>
      <c r="Y2622" t="str">
        <f t="shared" si="1671"/>
        <v>Oferta Gral.</v>
      </c>
      <c r="Z2622" t="str">
        <f t="shared" si="1672"/>
        <v>Rubro</v>
      </c>
      <c r="AA2622" t="str">
        <f t="shared" si="1673"/>
        <v>Cantidad por Bulto</v>
      </c>
      <c r="AB2622" t="str">
        <f t="shared" si="1674"/>
        <v>INNER</v>
      </c>
      <c r="AC2622" t="str">
        <f t="shared" si="1675"/>
        <v>Stock en Bultos</v>
      </c>
      <c r="AD2622" t="str">
        <f t="shared" si="1676"/>
        <v>SubDepósito</v>
      </c>
      <c r="AE2622" t="str">
        <f t="shared" si="1677"/>
        <v>Marca</v>
      </c>
      <c r="AF2622" t="str">
        <f t="shared" si="1678"/>
        <v>Super Rubro</v>
      </c>
      <c r="AG2622" t="str">
        <f t="shared" si="1679"/>
        <v>ComercioExterior</v>
      </c>
      <c r="AH2622" t="str">
        <f t="shared" si="1680"/>
        <v>PrecioFOB</v>
      </c>
      <c r="AI2622" t="str">
        <f t="shared" si="1681"/>
        <v>Monto II</v>
      </c>
      <c r="AJ2622" t="str">
        <f t="shared" si="1682"/>
        <v>Porcentaje II</v>
      </c>
      <c r="AK2622" t="str">
        <f t="shared" si="1683"/>
        <v>Foto</v>
      </c>
      <c r="AL26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22" t="str">
        <f>"-"</f>
        <v>-</v>
      </c>
    </row>
    <row r="2623" spans="1:39" x14ac:dyDescent="0.25">
      <c r="A2623" t="str">
        <f>"GM414"</f>
        <v>GM414</v>
      </c>
      <c r="B2623" t="str">
        <f>"PIÑON SENSOR VELOCIMETRO CHEVROLET CORSA "</f>
        <v xml:space="preserve">PIÑON SENSOR VELOCIMETRO CHEVROLET CORSA </v>
      </c>
      <c r="C2623" t="str">
        <f>"$ 7039,81"</f>
        <v>$ 7039,81</v>
      </c>
      <c r="D2623" t="str">
        <f>"$ 7039,81"</f>
        <v>$ 7039,81</v>
      </c>
      <c r="E2623" t="str">
        <f>"$ 7039,81"</f>
        <v>$ 7039,81</v>
      </c>
      <c r="F2623" t="str">
        <f>"$ 7039,81"</f>
        <v>$ 7039,81</v>
      </c>
      <c r="G2623" t="str">
        <f>"$ 7039,81"</f>
        <v>$ 7039,81</v>
      </c>
      <c r="H2623" t="str">
        <f t="shared" si="1664"/>
        <v>$ 0,00</v>
      </c>
      <c r="I2623" t="str">
        <f>"SENSOR DE VELOCIDAD"</f>
        <v>SENSOR DE VELOCIDAD</v>
      </c>
      <c r="J2623" t="str">
        <f t="shared" si="1665"/>
        <v>1</v>
      </c>
      <c r="K2623" t="str">
        <f t="shared" si="1686"/>
        <v>0</v>
      </c>
      <c r="L2623" t="str">
        <f>"0,000"</f>
        <v>0,000</v>
      </c>
      <c r="M2623" t="str">
        <f t="shared" si="1666"/>
        <v xml:space="preserve"> </v>
      </c>
      <c r="N2623" t="str">
        <f>"OSSCA"</f>
        <v>OSSCA</v>
      </c>
      <c r="O2623" t="str">
        <f>"SENSORES"</f>
        <v>SENSORES</v>
      </c>
      <c r="P2623" t="str">
        <f t="shared" ref="P2623:Q2642" si="1702">"0"</f>
        <v>0</v>
      </c>
      <c r="Q2623" t="str">
        <f t="shared" si="1702"/>
        <v>0</v>
      </c>
      <c r="R2623" t="str">
        <f t="shared" ref="R2623:S2642" si="1703">"0,00"</f>
        <v>0,00</v>
      </c>
      <c r="S2623" t="str">
        <f t="shared" si="1703"/>
        <v>0,00</v>
      </c>
      <c r="T2623" t="str">
        <f t="shared" ref="T2623:T2686" si="1704">" "</f>
        <v xml:space="preserve"> </v>
      </c>
      <c r="U2623" t="str">
        <f t="shared" si="1663"/>
        <v xml:space="preserve"> </v>
      </c>
      <c r="V2623" t="str">
        <f>"0,000"</f>
        <v>0,000</v>
      </c>
      <c r="W2623" t="str">
        <f t="shared" si="1669"/>
        <v>Lista 4</v>
      </c>
      <c r="X2623" t="str">
        <f t="shared" si="1670"/>
        <v>Lista 5</v>
      </c>
      <c r="Y2623" t="str">
        <f t="shared" si="1671"/>
        <v>Oferta Gral.</v>
      </c>
      <c r="Z2623" t="str">
        <f t="shared" si="1672"/>
        <v>Rubro</v>
      </c>
      <c r="AA2623" t="str">
        <f t="shared" si="1673"/>
        <v>Cantidad por Bulto</v>
      </c>
      <c r="AB2623" t="str">
        <f t="shared" si="1674"/>
        <v>INNER</v>
      </c>
      <c r="AC2623" t="str">
        <f t="shared" si="1675"/>
        <v>Stock en Bultos</v>
      </c>
      <c r="AD2623" t="str">
        <f t="shared" si="1676"/>
        <v>SubDepósito</v>
      </c>
      <c r="AE2623" t="str">
        <f t="shared" si="1677"/>
        <v>Marca</v>
      </c>
      <c r="AF2623" t="str">
        <f t="shared" si="1678"/>
        <v>Super Rubro</v>
      </c>
      <c r="AG2623" t="str">
        <f t="shared" si="1679"/>
        <v>ComercioExterior</v>
      </c>
      <c r="AH2623" t="str">
        <f t="shared" si="1680"/>
        <v>PrecioFOB</v>
      </c>
      <c r="AI2623" t="str">
        <f t="shared" si="1681"/>
        <v>Monto II</v>
      </c>
      <c r="AJ2623" t="str">
        <f t="shared" si="1682"/>
        <v>Porcentaje II</v>
      </c>
      <c r="AK2623" t="str">
        <f t="shared" si="1683"/>
        <v>Foto</v>
      </c>
      <c r="AL2623" t="str">
        <f>"{\rtf1\ansi\ansicpg1252\deff0\deflang11274{\fonttbl{\f0\fnil\fcharset0 MS Sans Serif}} \viewkind4\uc1\pard\f0\fs16 PI\'d1ON SENSOR VELOCIMETRO CHEVROLET CORSA \par } "</f>
        <v xml:space="preserve">{\rtf1\ansi\ansicpg1252\deff0\deflang11274{\fonttbl{\f0\fnil\fcharset0 MS Sans Serif}} \viewkind4\uc1\pard\f0\fs16 PI\'d1ON SENSOR VELOCIMETRO CHEVROLET CORSA \par } </v>
      </c>
      <c r="AM2623" t="str">
        <f>" "</f>
        <v xml:space="preserve"> </v>
      </c>
    </row>
    <row r="2624" spans="1:39" x14ac:dyDescent="0.25">
      <c r="A2624" t="str">
        <f>"FI455049"</f>
        <v>FI455049</v>
      </c>
      <c r="B2624" t="str">
        <f>"POLEA CHEVR. S10 MWM 2.8/ NISSAN FRONTIER 6 CANALES D. INT 17MM D. EXT. 61MM"</f>
        <v>POLEA CHEVR. S10 MWM 2.8/ NISSAN FRONTIER 6 CANALES D. INT 17MM D. EXT. 61MM</v>
      </c>
      <c r="C2624" t="str">
        <f>"$ 46109,81"</f>
        <v>$ 46109,81</v>
      </c>
      <c r="D2624" t="str">
        <f>"$ 46109,81"</f>
        <v>$ 46109,81</v>
      </c>
      <c r="E2624" t="str">
        <f>"$ 46109,81"</f>
        <v>$ 46109,81</v>
      </c>
      <c r="F2624" t="str">
        <f>"$ 46109,81"</f>
        <v>$ 46109,81</v>
      </c>
      <c r="G2624" t="str">
        <f>"$ 46109,81"</f>
        <v>$ 46109,81</v>
      </c>
      <c r="H2624" t="str">
        <f t="shared" si="1664"/>
        <v>$ 0,00</v>
      </c>
      <c r="I2624" t="str">
        <f>"POLEAS"</f>
        <v>POLEAS</v>
      </c>
      <c r="J2624" t="str">
        <f t="shared" si="1665"/>
        <v>1</v>
      </c>
      <c r="K2624" t="str">
        <f t="shared" si="1686"/>
        <v>0</v>
      </c>
      <c r="L2624" t="str">
        <f>"4,000"</f>
        <v>4,000</v>
      </c>
      <c r="M2624" t="str">
        <f t="shared" si="1666"/>
        <v xml:space="preserve"> </v>
      </c>
      <c r="N2624" t="str">
        <f>"FISPA"</f>
        <v>FISPA</v>
      </c>
      <c r="O2624" t="str">
        <f>"ALTERNADOR"</f>
        <v>ALTERNADOR</v>
      </c>
      <c r="P2624" t="str">
        <f t="shared" si="1702"/>
        <v>0</v>
      </c>
      <c r="Q2624" t="str">
        <f t="shared" si="1702"/>
        <v>0</v>
      </c>
      <c r="R2624" t="str">
        <f t="shared" si="1703"/>
        <v>0,00</v>
      </c>
      <c r="S2624" t="str">
        <f t="shared" si="1703"/>
        <v>0,00</v>
      </c>
      <c r="T2624" t="str">
        <f t="shared" si="1704"/>
        <v xml:space="preserve"> </v>
      </c>
      <c r="U2624" t="str">
        <f t="shared" si="1663"/>
        <v xml:space="preserve"> </v>
      </c>
      <c r="V2624" t="str">
        <f>"4,000"</f>
        <v>4,000</v>
      </c>
      <c r="W2624" t="str">
        <f t="shared" si="1669"/>
        <v>Lista 4</v>
      </c>
      <c r="X2624" t="str">
        <f t="shared" si="1670"/>
        <v>Lista 5</v>
      </c>
      <c r="Y2624" t="str">
        <f t="shared" si="1671"/>
        <v>Oferta Gral.</v>
      </c>
      <c r="Z2624" t="str">
        <f t="shared" si="1672"/>
        <v>Rubro</v>
      </c>
      <c r="AA2624" t="str">
        <f t="shared" si="1673"/>
        <v>Cantidad por Bulto</v>
      </c>
      <c r="AB2624" t="str">
        <f t="shared" si="1674"/>
        <v>INNER</v>
      </c>
      <c r="AC2624" t="str">
        <f t="shared" si="1675"/>
        <v>Stock en Bultos</v>
      </c>
      <c r="AD2624" t="str">
        <f t="shared" si="1676"/>
        <v>SubDepósito</v>
      </c>
      <c r="AE2624" t="str">
        <f t="shared" si="1677"/>
        <v>Marca</v>
      </c>
      <c r="AF2624" t="str">
        <f t="shared" si="1678"/>
        <v>Super Rubro</v>
      </c>
      <c r="AG2624" t="str">
        <f t="shared" si="1679"/>
        <v>ComercioExterior</v>
      </c>
      <c r="AH2624" t="str">
        <f t="shared" si="1680"/>
        <v>PrecioFOB</v>
      </c>
      <c r="AI2624" t="str">
        <f t="shared" si="1681"/>
        <v>Monto II</v>
      </c>
      <c r="AJ2624" t="str">
        <f t="shared" si="1682"/>
        <v>Porcentaje II</v>
      </c>
      <c r="AK2624" t="str">
        <f t="shared" si="1683"/>
        <v>Foto</v>
      </c>
      <c r="AL2624" t="str">
        <f>"{\rtf1\ansi\ansicpg1252\deff0\deflang11274{\fonttbl{\f0\fnil\fcharset0 MS Sans Serif}} \viewkind4\uc1\pard\f0\fs16 POLEA CHEVR. S10 MWM 2.8/ NISSAN FRONTIER 6 CANALES D. INT 17MM D. EXT. 61MM\par } "</f>
        <v xml:space="preserve">{\rtf1\ansi\ansicpg1252\deff0\deflang11274{\fonttbl{\f0\fnil\fcharset0 MS Sans Serif}} \viewkind4\uc1\pard\f0\fs16 POLEA CHEVR. S10 MWM 2.8/ NISSAN FRONTIER 6 CANALES D. INT 17MM D. EXT. 61MM\par } </v>
      </c>
      <c r="AM2624" t="str">
        <f>"-"</f>
        <v>-</v>
      </c>
    </row>
    <row r="2625" spans="1:39" x14ac:dyDescent="0.25">
      <c r="A2625" t="str">
        <f>"10427"</f>
        <v>10427</v>
      </c>
      <c r="B2625" t="str">
        <f>"PORTALÁMPARA SIN CULOTE PARA MUELITA"</f>
        <v>PORTALÁMPARA SIN CULOTE PARA MUELITA</v>
      </c>
      <c r="C2625" t="str">
        <f>"$ 1376,29"</f>
        <v>$ 1376,29</v>
      </c>
      <c r="D2625" t="str">
        <f>"$ 1376,29"</f>
        <v>$ 1376,29</v>
      </c>
      <c r="E2625" t="str">
        <f>"$ 1376,29"</f>
        <v>$ 1376,29</v>
      </c>
      <c r="F2625" t="str">
        <f>"$ 1376,29"</f>
        <v>$ 1376,29</v>
      </c>
      <c r="G2625" t="str">
        <f>"$ 1376,29"</f>
        <v>$ 1376,29</v>
      </c>
      <c r="H2625" t="str">
        <f t="shared" si="1664"/>
        <v>$ 0,00</v>
      </c>
      <c r="I2625" t="str">
        <f>"FICHA CONECTOR"</f>
        <v>FICHA CONECTOR</v>
      </c>
      <c r="J2625" t="str">
        <f t="shared" si="1665"/>
        <v>1</v>
      </c>
      <c r="K2625" t="str">
        <f t="shared" si="1686"/>
        <v>0</v>
      </c>
      <c r="L2625" t="str">
        <f>"0,000"</f>
        <v>0,000</v>
      </c>
      <c r="M2625" t="str">
        <f t="shared" si="1666"/>
        <v xml:space="preserve"> </v>
      </c>
      <c r="N2625" t="str">
        <f>"AUTRONIC"</f>
        <v>AUTRONIC</v>
      </c>
      <c r="O2625" t="str">
        <f>"CABLES"</f>
        <v>CABLES</v>
      </c>
      <c r="P2625" t="str">
        <f t="shared" si="1702"/>
        <v>0</v>
      </c>
      <c r="Q2625" t="str">
        <f t="shared" si="1702"/>
        <v>0</v>
      </c>
      <c r="R2625" t="str">
        <f t="shared" si="1703"/>
        <v>0,00</v>
      </c>
      <c r="S2625" t="str">
        <f t="shared" si="1703"/>
        <v>0,00</v>
      </c>
      <c r="T2625" t="str">
        <f t="shared" si="1704"/>
        <v xml:space="preserve"> </v>
      </c>
      <c r="U2625" t="str">
        <f t="shared" si="1663"/>
        <v xml:space="preserve"> </v>
      </c>
      <c r="V2625" t="str">
        <f>"0,000"</f>
        <v>0,000</v>
      </c>
      <c r="W2625" t="str">
        <f t="shared" si="1669"/>
        <v>Lista 4</v>
      </c>
      <c r="X2625" t="str">
        <f t="shared" si="1670"/>
        <v>Lista 5</v>
      </c>
      <c r="Y2625" t="str">
        <f t="shared" si="1671"/>
        <v>Oferta Gral.</v>
      </c>
      <c r="Z2625" t="str">
        <f t="shared" si="1672"/>
        <v>Rubro</v>
      </c>
      <c r="AA2625" t="str">
        <f t="shared" si="1673"/>
        <v>Cantidad por Bulto</v>
      </c>
      <c r="AB2625" t="str">
        <f t="shared" si="1674"/>
        <v>INNER</v>
      </c>
      <c r="AC2625" t="str">
        <f t="shared" si="1675"/>
        <v>Stock en Bultos</v>
      </c>
      <c r="AD2625" t="str">
        <f t="shared" si="1676"/>
        <v>SubDepósito</v>
      </c>
      <c r="AE2625" t="str">
        <f t="shared" si="1677"/>
        <v>Marca</v>
      </c>
      <c r="AF2625" t="str">
        <f t="shared" si="1678"/>
        <v>Super Rubro</v>
      </c>
      <c r="AG2625" t="str">
        <f t="shared" si="1679"/>
        <v>ComercioExterior</v>
      </c>
      <c r="AH2625" t="str">
        <f t="shared" si="1680"/>
        <v>PrecioFOB</v>
      </c>
      <c r="AI2625" t="str">
        <f t="shared" si="1681"/>
        <v>Monto II</v>
      </c>
      <c r="AJ2625" t="str">
        <f t="shared" si="1682"/>
        <v>Porcentaje II</v>
      </c>
      <c r="AK2625" t="str">
        <f t="shared" si="1683"/>
        <v>Foto</v>
      </c>
      <c r="AL2625" t="str">
        <f>"{\rtf1\ansi\ansicpg1252\deff0\deflang11274{\fonttbl{\f0\fnil\fcharset0 MS Sans Serif}} \viewkind4\uc1\pard\f0\fs16 PORTAL`c1MPARA SIN CULOTE PARA MUELITA\par } "</f>
        <v xml:space="preserve">{\rtf1\ansi\ansicpg1252\deff0\deflang11274{\fonttbl{\f0\fnil\fcharset0 MS Sans Serif}} \viewkind4\uc1\pard\f0\fs16 PORTAL`c1MPARA SIN CULOTE PARA MUELITA\par } </v>
      </c>
      <c r="AM2625" t="str">
        <f>" "</f>
        <v xml:space="preserve"> </v>
      </c>
    </row>
    <row r="2626" spans="1:39" x14ac:dyDescent="0.25">
      <c r="A2626" t="str">
        <f>"PLED12V"</f>
        <v>PLED12V</v>
      </c>
      <c r="B2626" t="str">
        <f>"PORTATIL 12V 64 LEDS"</f>
        <v>PORTATIL 12V 64 LEDS</v>
      </c>
      <c r="C2626" t="str">
        <f>"$ 24536,71"</f>
        <v>$ 24536,71</v>
      </c>
      <c r="D2626" t="str">
        <f>"$ 24536,71"</f>
        <v>$ 24536,71</v>
      </c>
      <c r="E2626" t="str">
        <f>"$ 24536,71"</f>
        <v>$ 24536,71</v>
      </c>
      <c r="F2626" t="str">
        <f>"$ 24536,71"</f>
        <v>$ 24536,71</v>
      </c>
      <c r="G2626" t="str">
        <f>"$ 24536,71"</f>
        <v>$ 24536,71</v>
      </c>
      <c r="H2626" t="str">
        <f t="shared" si="1664"/>
        <v>$ 0,00</v>
      </c>
      <c r="I2626" t="str">
        <f>"PORTATIL LED"</f>
        <v>PORTATIL LED</v>
      </c>
      <c r="J2626" t="str">
        <f t="shared" si="1665"/>
        <v>1</v>
      </c>
      <c r="K2626" t="str">
        <f t="shared" si="1686"/>
        <v>0</v>
      </c>
      <c r="L2626" t="str">
        <f>"31,000"</f>
        <v>31,000</v>
      </c>
      <c r="M2626" t="str">
        <f t="shared" si="1666"/>
        <v xml:space="preserve"> </v>
      </c>
      <c r="N2626" t="str">
        <f>"KUBE"</f>
        <v>KUBE</v>
      </c>
      <c r="O2626" t="str">
        <f>"LAMPARAS"</f>
        <v>LAMPARAS</v>
      </c>
      <c r="P2626" t="str">
        <f t="shared" si="1702"/>
        <v>0</v>
      </c>
      <c r="Q2626" t="str">
        <f t="shared" si="1702"/>
        <v>0</v>
      </c>
      <c r="R2626" t="str">
        <f t="shared" si="1703"/>
        <v>0,00</v>
      </c>
      <c r="S2626" t="str">
        <f t="shared" si="1703"/>
        <v>0,00</v>
      </c>
      <c r="T2626" t="str">
        <f t="shared" si="1704"/>
        <v xml:space="preserve"> </v>
      </c>
      <c r="U2626" t="str">
        <f t="shared" ref="U2626:U2689" si="1705">" "</f>
        <v xml:space="preserve"> </v>
      </c>
      <c r="V2626" t="str">
        <f>"31,000"</f>
        <v>31,000</v>
      </c>
      <c r="W2626" t="str">
        <f t="shared" si="1669"/>
        <v>Lista 4</v>
      </c>
      <c r="X2626" t="str">
        <f t="shared" si="1670"/>
        <v>Lista 5</v>
      </c>
      <c r="Y2626" t="str">
        <f t="shared" si="1671"/>
        <v>Oferta Gral.</v>
      </c>
      <c r="Z2626" t="str">
        <f t="shared" si="1672"/>
        <v>Rubro</v>
      </c>
      <c r="AA2626" t="str">
        <f t="shared" si="1673"/>
        <v>Cantidad por Bulto</v>
      </c>
      <c r="AB2626" t="str">
        <f t="shared" si="1674"/>
        <v>INNER</v>
      </c>
      <c r="AC2626" t="str">
        <f t="shared" si="1675"/>
        <v>Stock en Bultos</v>
      </c>
      <c r="AD2626" t="str">
        <f t="shared" si="1676"/>
        <v>SubDepósito</v>
      </c>
      <c r="AE2626" t="str">
        <f t="shared" si="1677"/>
        <v>Marca</v>
      </c>
      <c r="AF2626" t="str">
        <f t="shared" si="1678"/>
        <v>Super Rubro</v>
      </c>
      <c r="AG2626" t="str">
        <f t="shared" si="1679"/>
        <v>ComercioExterior</v>
      </c>
      <c r="AH2626" t="str">
        <f t="shared" si="1680"/>
        <v>PrecioFOB</v>
      </c>
      <c r="AI2626" t="str">
        <f t="shared" si="1681"/>
        <v>Monto II</v>
      </c>
      <c r="AJ2626" t="str">
        <f t="shared" si="1682"/>
        <v>Porcentaje II</v>
      </c>
      <c r="AK2626" t="str">
        <f t="shared" si="1683"/>
        <v>Foto</v>
      </c>
      <c r="AL2626" t="str">
        <f>"{\rtf1\ansi\ansicpg1252\deff0\deflang11274{\fonttbl{\f0\fnil\fcharset0 MS Sans Serif}} \viewkind4\uc1\pard\f0\fs16 PORTATIL 12V 64 LEDS\par } "</f>
        <v xml:space="preserve">{\rtf1\ansi\ansicpg1252\deff0\deflang11274{\fonttbl{\f0\fnil\fcharset0 MS Sans Serif}} \viewkind4\uc1\pard\f0\fs16 PORTATIL 12V 64 LEDS\par } </v>
      </c>
      <c r="AM2626" t="str">
        <f t="shared" ref="AM2626:AM2673" si="1706">"-"</f>
        <v>-</v>
      </c>
    </row>
    <row r="2627" spans="1:39" x14ac:dyDescent="0.25">
      <c r="A2627" t="str">
        <f>"LIN004"</f>
        <v>LIN004</v>
      </c>
      <c r="B2627" t="str">
        <f>"PORTATIL LED 12V RECARGABLE X USB"</f>
        <v>PORTATIL LED 12V RECARGABLE X USB</v>
      </c>
      <c r="C2627" t="str">
        <f>"$ 25771,97"</f>
        <v>$ 25771,97</v>
      </c>
      <c r="D2627" t="str">
        <f>"$ 25771,97"</f>
        <v>$ 25771,97</v>
      </c>
      <c r="E2627" t="str">
        <f>"$ 25771,97"</f>
        <v>$ 25771,97</v>
      </c>
      <c r="F2627" t="str">
        <f>"$ 25771,97"</f>
        <v>$ 25771,97</v>
      </c>
      <c r="G2627" t="str">
        <f>"$ 25771,97"</f>
        <v>$ 25771,97</v>
      </c>
      <c r="H2627" t="str">
        <f t="shared" ref="H2627:H2690" si="1707">"$ 0,00"</f>
        <v>$ 0,00</v>
      </c>
      <c r="I2627" t="str">
        <f>"PORTATIL LED"</f>
        <v>PORTATIL LED</v>
      </c>
      <c r="J2627" t="str">
        <f t="shared" ref="J2627:J2690" si="1708">"1"</f>
        <v>1</v>
      </c>
      <c r="K2627" t="str">
        <f t="shared" si="1686"/>
        <v>0</v>
      </c>
      <c r="L2627" t="str">
        <f>"19,000"</f>
        <v>19,000</v>
      </c>
      <c r="M2627" t="str">
        <f t="shared" ref="M2627:M2690" si="1709">" "</f>
        <v xml:space="preserve"> </v>
      </c>
      <c r="N2627" t="str">
        <f>"OREGON"</f>
        <v>OREGON</v>
      </c>
      <c r="O2627" t="str">
        <f>"LAMPARAS"</f>
        <v>LAMPARAS</v>
      </c>
      <c r="P2627" t="str">
        <f t="shared" si="1702"/>
        <v>0</v>
      </c>
      <c r="Q2627" t="str">
        <f t="shared" si="1702"/>
        <v>0</v>
      </c>
      <c r="R2627" t="str">
        <f t="shared" si="1703"/>
        <v>0,00</v>
      </c>
      <c r="S2627" t="str">
        <f t="shared" si="1703"/>
        <v>0,00</v>
      </c>
      <c r="T2627" t="str">
        <f t="shared" si="1704"/>
        <v xml:space="preserve"> </v>
      </c>
      <c r="U2627" t="str">
        <f t="shared" si="1705"/>
        <v xml:space="preserve"> </v>
      </c>
      <c r="V2627" t="str">
        <f>"19,000"</f>
        <v>19,000</v>
      </c>
      <c r="W2627" t="str">
        <f t="shared" ref="W2627:W2690" si="1710">"Lista 4"</f>
        <v>Lista 4</v>
      </c>
      <c r="X2627" t="str">
        <f t="shared" ref="X2627:X2690" si="1711">"Lista 5"</f>
        <v>Lista 5</v>
      </c>
      <c r="Y2627" t="str">
        <f t="shared" ref="Y2627:Y2690" si="1712">"Oferta Gral."</f>
        <v>Oferta Gral.</v>
      </c>
      <c r="Z2627" t="str">
        <f t="shared" ref="Z2627:Z2690" si="1713">"Rubro"</f>
        <v>Rubro</v>
      </c>
      <c r="AA2627" t="str">
        <f t="shared" ref="AA2627:AA2690" si="1714">"Cantidad por Bulto"</f>
        <v>Cantidad por Bulto</v>
      </c>
      <c r="AB2627" t="str">
        <f t="shared" ref="AB2627:AB2690" si="1715">"INNER"</f>
        <v>INNER</v>
      </c>
      <c r="AC2627" t="str">
        <f t="shared" ref="AC2627:AC2690" si="1716">"Stock en Bultos"</f>
        <v>Stock en Bultos</v>
      </c>
      <c r="AD2627" t="str">
        <f t="shared" ref="AD2627:AD2690" si="1717">"SubDepósito"</f>
        <v>SubDepósito</v>
      </c>
      <c r="AE2627" t="str">
        <f t="shared" ref="AE2627:AE2690" si="1718">"Marca"</f>
        <v>Marca</v>
      </c>
      <c r="AF2627" t="str">
        <f t="shared" ref="AF2627:AF2690" si="1719">"Super Rubro"</f>
        <v>Super Rubro</v>
      </c>
      <c r="AG2627" t="str">
        <f t="shared" ref="AG2627:AG2690" si="1720">"ComercioExterior"</f>
        <v>ComercioExterior</v>
      </c>
      <c r="AH2627" t="str">
        <f t="shared" ref="AH2627:AH2690" si="1721">"PrecioFOB"</f>
        <v>PrecioFOB</v>
      </c>
      <c r="AI2627" t="str">
        <f t="shared" ref="AI2627:AI2690" si="1722">"Monto II"</f>
        <v>Monto II</v>
      </c>
      <c r="AJ2627" t="str">
        <f t="shared" ref="AJ2627:AJ2690" si="1723">"Porcentaje II"</f>
        <v>Porcentaje II</v>
      </c>
      <c r="AK2627" t="str">
        <f t="shared" ref="AK2627:AK2690" si="1724">"Foto"</f>
        <v>Foto</v>
      </c>
      <c r="AL2627" t="str">
        <f>"{\rtf1\ansi\ansicpg1252\deff0\deflang11274{\fonttbl{\f0\fnil\fcharset0 MS Sans Serif}} \viewkind4\uc1\pard\f0\fs16 PORTATIL LED 12V RECARGABLE X USB\par } "</f>
        <v xml:space="preserve">{\rtf1\ansi\ansicpg1252\deff0\deflang11274{\fonttbl{\f0\fnil\fcharset0 MS Sans Serif}} \viewkind4\uc1\pard\f0\fs16 PORTATIL LED 12V RECARGABLE X USB\par } </v>
      </c>
      <c r="AM2627" t="str">
        <f t="shared" si="1706"/>
        <v>-</v>
      </c>
    </row>
    <row r="2628" spans="1:39" x14ac:dyDescent="0.25">
      <c r="A2628" t="str">
        <f>"FI24050"</f>
        <v>FI24050</v>
      </c>
      <c r="B2628" t="str">
        <f>"PREFILTRO BOMBA COMBUSTIBLE 64020"</f>
        <v>PREFILTRO BOMBA COMBUSTIBLE 64020</v>
      </c>
      <c r="C2628" t="str">
        <f>"$ 3577,39"</f>
        <v>$ 3577,39</v>
      </c>
      <c r="D2628" t="str">
        <f>"$ 3577,39"</f>
        <v>$ 3577,39</v>
      </c>
      <c r="E2628" t="str">
        <f>"$ 3577,39"</f>
        <v>$ 3577,39</v>
      </c>
      <c r="F2628" t="str">
        <f>"$ 3577,39"</f>
        <v>$ 3577,39</v>
      </c>
      <c r="G2628" t="str">
        <f>"$ 3577,39"</f>
        <v>$ 3577,39</v>
      </c>
      <c r="H2628" t="str">
        <f t="shared" si="1707"/>
        <v>$ 0,00</v>
      </c>
      <c r="I2628" t="str">
        <f t="shared" ref="I2628:I2636" si="1725">"PREFILTRO BOMBAS"</f>
        <v>PREFILTRO BOMBAS</v>
      </c>
      <c r="J2628" t="str">
        <f t="shared" si="1708"/>
        <v>1</v>
      </c>
      <c r="K2628" t="str">
        <f t="shared" si="1686"/>
        <v>0</v>
      </c>
      <c r="L2628" t="str">
        <f>"10,000"</f>
        <v>10,000</v>
      </c>
      <c r="M2628" t="str">
        <f t="shared" si="1709"/>
        <v xml:space="preserve"> </v>
      </c>
      <c r="N2628" t="str">
        <f t="shared" ref="N2628:N2638" si="1726">"FISPA"</f>
        <v>FISPA</v>
      </c>
      <c r="O2628" t="str">
        <f t="shared" ref="O2628:O2636" si="1727">"BOMBAS"</f>
        <v>BOMBAS</v>
      </c>
      <c r="P2628" t="str">
        <f t="shared" si="1702"/>
        <v>0</v>
      </c>
      <c r="Q2628" t="str">
        <f t="shared" si="1702"/>
        <v>0</v>
      </c>
      <c r="R2628" t="str">
        <f t="shared" si="1703"/>
        <v>0,00</v>
      </c>
      <c r="S2628" t="str">
        <f t="shared" si="1703"/>
        <v>0,00</v>
      </c>
      <c r="T2628" t="str">
        <f t="shared" si="1704"/>
        <v xml:space="preserve"> </v>
      </c>
      <c r="U2628" t="str">
        <f t="shared" si="1705"/>
        <v xml:space="preserve"> </v>
      </c>
      <c r="V2628" t="str">
        <f>"10,000"</f>
        <v>10,000</v>
      </c>
      <c r="W2628" t="str">
        <f t="shared" si="1710"/>
        <v>Lista 4</v>
      </c>
      <c r="X2628" t="str">
        <f t="shared" si="1711"/>
        <v>Lista 5</v>
      </c>
      <c r="Y2628" t="str">
        <f t="shared" si="1712"/>
        <v>Oferta Gral.</v>
      </c>
      <c r="Z2628" t="str">
        <f t="shared" si="1713"/>
        <v>Rubro</v>
      </c>
      <c r="AA2628" t="str">
        <f t="shared" si="1714"/>
        <v>Cantidad por Bulto</v>
      </c>
      <c r="AB2628" t="str">
        <f t="shared" si="1715"/>
        <v>INNER</v>
      </c>
      <c r="AC2628" t="str">
        <f t="shared" si="1716"/>
        <v>Stock en Bultos</v>
      </c>
      <c r="AD2628" t="str">
        <f t="shared" si="1717"/>
        <v>SubDepósito</v>
      </c>
      <c r="AE2628" t="str">
        <f t="shared" si="1718"/>
        <v>Marca</v>
      </c>
      <c r="AF2628" t="str">
        <f t="shared" si="1719"/>
        <v>Super Rubro</v>
      </c>
      <c r="AG2628" t="str">
        <f t="shared" si="1720"/>
        <v>ComercioExterior</v>
      </c>
      <c r="AH2628" t="str">
        <f t="shared" si="1721"/>
        <v>PrecioFOB</v>
      </c>
      <c r="AI2628" t="str">
        <f t="shared" si="1722"/>
        <v>Monto II</v>
      </c>
      <c r="AJ2628" t="str">
        <f t="shared" si="1723"/>
        <v>Porcentaje II</v>
      </c>
      <c r="AK2628" t="str">
        <f t="shared" si="1724"/>
        <v>Foto</v>
      </c>
      <c r="AL2628" t="str">
        <f>" "</f>
        <v xml:space="preserve"> </v>
      </c>
      <c r="AM2628" t="str">
        <f t="shared" si="1706"/>
        <v>-</v>
      </c>
    </row>
    <row r="2629" spans="1:39" x14ac:dyDescent="0.25">
      <c r="A2629" t="str">
        <f>"FI24057"</f>
        <v>FI24057</v>
      </c>
      <c r="B2629" t="str">
        <f>"PREFILTRO BOMBA COMBUSTIBLE FIAT/VW"</f>
        <v>PREFILTRO BOMBA COMBUSTIBLE FIAT/VW</v>
      </c>
      <c r="C2629" t="str">
        <f>"$ 5857,06"</f>
        <v>$ 5857,06</v>
      </c>
      <c r="D2629" t="str">
        <f>"$ 5857,06"</f>
        <v>$ 5857,06</v>
      </c>
      <c r="E2629" t="str">
        <f>"$ 5857,06"</f>
        <v>$ 5857,06</v>
      </c>
      <c r="F2629" t="str">
        <f>"$ 5857,06"</f>
        <v>$ 5857,06</v>
      </c>
      <c r="G2629" t="str">
        <f>"$ 5857,06"</f>
        <v>$ 5857,06</v>
      </c>
      <c r="H2629" t="str">
        <f t="shared" si="1707"/>
        <v>$ 0,00</v>
      </c>
      <c r="I2629" t="str">
        <f t="shared" si="1725"/>
        <v>PREFILTRO BOMBAS</v>
      </c>
      <c r="J2629" t="str">
        <f t="shared" si="1708"/>
        <v>1</v>
      </c>
      <c r="K2629" t="str">
        <f t="shared" si="1686"/>
        <v>0</v>
      </c>
      <c r="L2629" t="str">
        <f>"4,000"</f>
        <v>4,000</v>
      </c>
      <c r="M2629" t="str">
        <f t="shared" si="1709"/>
        <v xml:space="preserve"> </v>
      </c>
      <c r="N2629" t="str">
        <f t="shared" si="1726"/>
        <v>FISPA</v>
      </c>
      <c r="O2629" t="str">
        <f t="shared" si="1727"/>
        <v>BOMBAS</v>
      </c>
      <c r="P2629" t="str">
        <f t="shared" si="1702"/>
        <v>0</v>
      </c>
      <c r="Q2629" t="str">
        <f t="shared" si="1702"/>
        <v>0</v>
      </c>
      <c r="R2629" t="str">
        <f t="shared" si="1703"/>
        <v>0,00</v>
      </c>
      <c r="S2629" t="str">
        <f t="shared" si="1703"/>
        <v>0,00</v>
      </c>
      <c r="T2629" t="str">
        <f t="shared" si="1704"/>
        <v xml:space="preserve"> </v>
      </c>
      <c r="U2629" t="str">
        <f t="shared" si="1705"/>
        <v xml:space="preserve"> </v>
      </c>
      <c r="V2629" t="str">
        <f>"4,000"</f>
        <v>4,000</v>
      </c>
      <c r="W2629" t="str">
        <f t="shared" si="1710"/>
        <v>Lista 4</v>
      </c>
      <c r="X2629" t="str">
        <f t="shared" si="1711"/>
        <v>Lista 5</v>
      </c>
      <c r="Y2629" t="str">
        <f t="shared" si="1712"/>
        <v>Oferta Gral.</v>
      </c>
      <c r="Z2629" t="str">
        <f t="shared" si="1713"/>
        <v>Rubro</v>
      </c>
      <c r="AA2629" t="str">
        <f t="shared" si="1714"/>
        <v>Cantidad por Bulto</v>
      </c>
      <c r="AB2629" t="str">
        <f t="shared" si="1715"/>
        <v>INNER</v>
      </c>
      <c r="AC2629" t="str">
        <f t="shared" si="1716"/>
        <v>Stock en Bultos</v>
      </c>
      <c r="AD2629" t="str">
        <f t="shared" si="1717"/>
        <v>SubDepósito</v>
      </c>
      <c r="AE2629" t="str">
        <f t="shared" si="1718"/>
        <v>Marca</v>
      </c>
      <c r="AF2629" t="str">
        <f t="shared" si="1719"/>
        <v>Super Rubro</v>
      </c>
      <c r="AG2629" t="str">
        <f t="shared" si="1720"/>
        <v>ComercioExterior</v>
      </c>
      <c r="AH2629" t="str">
        <f t="shared" si="1721"/>
        <v>PrecioFOB</v>
      </c>
      <c r="AI2629" t="str">
        <f t="shared" si="1722"/>
        <v>Monto II</v>
      </c>
      <c r="AJ2629" t="str">
        <f t="shared" si="1723"/>
        <v>Porcentaje II</v>
      </c>
      <c r="AK2629" t="str">
        <f t="shared" si="1724"/>
        <v>Foto</v>
      </c>
      <c r="AL2629" t="str">
        <f>" "</f>
        <v xml:space="preserve"> </v>
      </c>
      <c r="AM2629" t="str">
        <f t="shared" si="1706"/>
        <v>-</v>
      </c>
    </row>
    <row r="2630" spans="1:39" x14ac:dyDescent="0.25">
      <c r="A2630" t="str">
        <f>"FI24032"</f>
        <v>FI24032</v>
      </c>
      <c r="B2630" t="str">
        <f>"PREFILTRO BOMBA CORSA/GOL 79,3 MM DIAM 24,2 MM"</f>
        <v>PREFILTRO BOMBA CORSA/GOL 79,3 MM DIAM 24,2 MM</v>
      </c>
      <c r="C2630" t="str">
        <f>"$ 5364,23"</f>
        <v>$ 5364,23</v>
      </c>
      <c r="D2630" t="str">
        <f>"$ 5364,23"</f>
        <v>$ 5364,23</v>
      </c>
      <c r="E2630" t="str">
        <f>"$ 5364,23"</f>
        <v>$ 5364,23</v>
      </c>
      <c r="F2630" t="str">
        <f>"$ 5364,23"</f>
        <v>$ 5364,23</v>
      </c>
      <c r="G2630" t="str">
        <f>"$ 5364,23"</f>
        <v>$ 5364,23</v>
      </c>
      <c r="H2630" t="str">
        <f t="shared" si="1707"/>
        <v>$ 0,00</v>
      </c>
      <c r="I2630" t="str">
        <f t="shared" si="1725"/>
        <v>PREFILTRO BOMBAS</v>
      </c>
      <c r="J2630" t="str">
        <f t="shared" si="1708"/>
        <v>1</v>
      </c>
      <c r="K2630" t="str">
        <f t="shared" si="1686"/>
        <v>0</v>
      </c>
      <c r="L2630" t="str">
        <f>"2,000"</f>
        <v>2,000</v>
      </c>
      <c r="M2630" t="str">
        <f t="shared" si="1709"/>
        <v xml:space="preserve"> </v>
      </c>
      <c r="N2630" t="str">
        <f t="shared" si="1726"/>
        <v>FISPA</v>
      </c>
      <c r="O2630" t="str">
        <f t="shared" si="1727"/>
        <v>BOMBAS</v>
      </c>
      <c r="P2630" t="str">
        <f t="shared" si="1702"/>
        <v>0</v>
      </c>
      <c r="Q2630" t="str">
        <f t="shared" si="1702"/>
        <v>0</v>
      </c>
      <c r="R2630" t="str">
        <f t="shared" si="1703"/>
        <v>0,00</v>
      </c>
      <c r="S2630" t="str">
        <f t="shared" si="1703"/>
        <v>0,00</v>
      </c>
      <c r="T2630" t="str">
        <f t="shared" si="1704"/>
        <v xml:space="preserve"> </v>
      </c>
      <c r="U2630" t="str">
        <f t="shared" si="1705"/>
        <v xml:space="preserve"> </v>
      </c>
      <c r="V2630" t="str">
        <f>"2,000"</f>
        <v>2,000</v>
      </c>
      <c r="W2630" t="str">
        <f t="shared" si="1710"/>
        <v>Lista 4</v>
      </c>
      <c r="X2630" t="str">
        <f t="shared" si="1711"/>
        <v>Lista 5</v>
      </c>
      <c r="Y2630" t="str">
        <f t="shared" si="1712"/>
        <v>Oferta Gral.</v>
      </c>
      <c r="Z2630" t="str">
        <f t="shared" si="1713"/>
        <v>Rubro</v>
      </c>
      <c r="AA2630" t="str">
        <f t="shared" si="1714"/>
        <v>Cantidad por Bulto</v>
      </c>
      <c r="AB2630" t="str">
        <f t="shared" si="1715"/>
        <v>INNER</v>
      </c>
      <c r="AC2630" t="str">
        <f t="shared" si="1716"/>
        <v>Stock en Bultos</v>
      </c>
      <c r="AD2630" t="str">
        <f t="shared" si="1717"/>
        <v>SubDepósito</v>
      </c>
      <c r="AE2630" t="str">
        <f t="shared" si="1718"/>
        <v>Marca</v>
      </c>
      <c r="AF2630" t="str">
        <f t="shared" si="1719"/>
        <v>Super Rubro</v>
      </c>
      <c r="AG2630" t="str">
        <f t="shared" si="1720"/>
        <v>ComercioExterior</v>
      </c>
      <c r="AH2630" t="str">
        <f t="shared" si="1721"/>
        <v>PrecioFOB</v>
      </c>
      <c r="AI2630" t="str">
        <f t="shared" si="1722"/>
        <v>Monto II</v>
      </c>
      <c r="AJ2630" t="str">
        <f t="shared" si="1723"/>
        <v>Porcentaje II</v>
      </c>
      <c r="AK2630" t="str">
        <f t="shared" si="1724"/>
        <v>Foto</v>
      </c>
      <c r="AL2630" t="str">
        <f>"{\rtf1\ansi\ansicpg1252\deff0\deflang11274{\fonttbl{\f0\fnil\fcharset0 MS Sans Serif}} \viewkind4\uc1\pard\f0\fs16 PREFILTRO BOMBA CORSA/GOL 79,3 MM DIAM 24,2 MM\par } "</f>
        <v xml:space="preserve">{\rtf1\ansi\ansicpg1252\deff0\deflang11274{\fonttbl{\f0\fnil\fcharset0 MS Sans Serif}} \viewkind4\uc1\pard\f0\fs16 PREFILTRO BOMBA CORSA/GOL 79,3 MM DIAM 24,2 MM\par } </v>
      </c>
      <c r="AM2630" t="str">
        <f t="shared" si="1706"/>
        <v>-</v>
      </c>
    </row>
    <row r="2631" spans="1:39" x14ac:dyDescent="0.25">
      <c r="A2631" t="str">
        <f>"FI24054"</f>
        <v>FI24054</v>
      </c>
      <c r="B2631" t="str">
        <f>"PREFILTRO BOMBA FORD  COURIER / FIESTA / FOCUS 1.6 / 1.8 /  KA"</f>
        <v>PREFILTRO BOMBA FORD  COURIER / FIESTA / FOCUS 1.6 / 1.8 /  KA</v>
      </c>
      <c r="C2631" t="str">
        <f>"$ 5215,63"</f>
        <v>$ 5215,63</v>
      </c>
      <c r="D2631" t="str">
        <f>"$ 5215,63"</f>
        <v>$ 5215,63</v>
      </c>
      <c r="E2631" t="str">
        <f>"$ 5215,63"</f>
        <v>$ 5215,63</v>
      </c>
      <c r="F2631" t="str">
        <f>"$ 5215,63"</f>
        <v>$ 5215,63</v>
      </c>
      <c r="G2631" t="str">
        <f>"$ 5215,63"</f>
        <v>$ 5215,63</v>
      </c>
      <c r="H2631" t="str">
        <f t="shared" si="1707"/>
        <v>$ 0,00</v>
      </c>
      <c r="I2631" t="str">
        <f t="shared" si="1725"/>
        <v>PREFILTRO BOMBAS</v>
      </c>
      <c r="J2631" t="str">
        <f t="shared" si="1708"/>
        <v>1</v>
      </c>
      <c r="K2631" t="str">
        <f t="shared" si="1686"/>
        <v>0</v>
      </c>
      <c r="L2631" t="str">
        <f>"5,000"</f>
        <v>5,000</v>
      </c>
      <c r="M2631" t="str">
        <f t="shared" si="1709"/>
        <v xml:space="preserve"> </v>
      </c>
      <c r="N2631" t="str">
        <f t="shared" si="1726"/>
        <v>FISPA</v>
      </c>
      <c r="O2631" t="str">
        <f t="shared" si="1727"/>
        <v>BOMBAS</v>
      </c>
      <c r="P2631" t="str">
        <f t="shared" si="1702"/>
        <v>0</v>
      </c>
      <c r="Q2631" t="str">
        <f t="shared" si="1702"/>
        <v>0</v>
      </c>
      <c r="R2631" t="str">
        <f t="shared" si="1703"/>
        <v>0,00</v>
      </c>
      <c r="S2631" t="str">
        <f t="shared" si="1703"/>
        <v>0,00</v>
      </c>
      <c r="T2631" t="str">
        <f t="shared" si="1704"/>
        <v xml:space="preserve"> </v>
      </c>
      <c r="U2631" t="str">
        <f t="shared" si="1705"/>
        <v xml:space="preserve"> </v>
      </c>
      <c r="V2631" t="str">
        <f>"5,000"</f>
        <v>5,000</v>
      </c>
      <c r="W2631" t="str">
        <f t="shared" si="1710"/>
        <v>Lista 4</v>
      </c>
      <c r="X2631" t="str">
        <f t="shared" si="1711"/>
        <v>Lista 5</v>
      </c>
      <c r="Y2631" t="str">
        <f t="shared" si="1712"/>
        <v>Oferta Gral.</v>
      </c>
      <c r="Z2631" t="str">
        <f t="shared" si="1713"/>
        <v>Rubro</v>
      </c>
      <c r="AA2631" t="str">
        <f t="shared" si="1714"/>
        <v>Cantidad por Bulto</v>
      </c>
      <c r="AB2631" t="str">
        <f t="shared" si="1715"/>
        <v>INNER</v>
      </c>
      <c r="AC2631" t="str">
        <f t="shared" si="1716"/>
        <v>Stock en Bultos</v>
      </c>
      <c r="AD2631" t="str">
        <f t="shared" si="1717"/>
        <v>SubDepósito</v>
      </c>
      <c r="AE2631" t="str">
        <f t="shared" si="1718"/>
        <v>Marca</v>
      </c>
      <c r="AF2631" t="str">
        <f t="shared" si="1719"/>
        <v>Super Rubro</v>
      </c>
      <c r="AG2631" t="str">
        <f t="shared" si="1720"/>
        <v>ComercioExterior</v>
      </c>
      <c r="AH2631" t="str">
        <f t="shared" si="1721"/>
        <v>PrecioFOB</v>
      </c>
      <c r="AI2631" t="str">
        <f t="shared" si="1722"/>
        <v>Monto II</v>
      </c>
      <c r="AJ2631" t="str">
        <f t="shared" si="1723"/>
        <v>Porcentaje II</v>
      </c>
      <c r="AK2631" t="str">
        <f t="shared" si="1724"/>
        <v>Foto</v>
      </c>
      <c r="AL263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31" t="str">
        <f t="shared" si="1706"/>
        <v>-</v>
      </c>
    </row>
    <row r="2632" spans="1:39" x14ac:dyDescent="0.25">
      <c r="A2632" t="str">
        <f>"FI24059"</f>
        <v>FI24059</v>
      </c>
      <c r="B2632" t="str">
        <f>"PREFILTRO BOMBA RENAULT CLIO II HASTA 2000"</f>
        <v>PREFILTRO BOMBA RENAULT CLIO II HASTA 2000</v>
      </c>
      <c r="C2632" t="str">
        <f>"$ 5660,18"</f>
        <v>$ 5660,18</v>
      </c>
      <c r="D2632" t="str">
        <f>"$ 5660,18"</f>
        <v>$ 5660,18</v>
      </c>
      <c r="E2632" t="str">
        <f>"$ 5660,18"</f>
        <v>$ 5660,18</v>
      </c>
      <c r="F2632" t="str">
        <f>"$ 5660,18"</f>
        <v>$ 5660,18</v>
      </c>
      <c r="G2632" t="str">
        <f>"$ 5660,18"</f>
        <v>$ 5660,18</v>
      </c>
      <c r="H2632" t="str">
        <f t="shared" si="1707"/>
        <v>$ 0,00</v>
      </c>
      <c r="I2632" t="str">
        <f t="shared" si="1725"/>
        <v>PREFILTRO BOMBAS</v>
      </c>
      <c r="J2632" t="str">
        <f t="shared" si="1708"/>
        <v>1</v>
      </c>
      <c r="K2632" t="str">
        <f t="shared" si="1686"/>
        <v>0</v>
      </c>
      <c r="L2632" t="str">
        <f>"9,000"</f>
        <v>9,000</v>
      </c>
      <c r="M2632" t="str">
        <f t="shared" si="1709"/>
        <v xml:space="preserve"> </v>
      </c>
      <c r="N2632" t="str">
        <f t="shared" si="1726"/>
        <v>FISPA</v>
      </c>
      <c r="O2632" t="str">
        <f t="shared" si="1727"/>
        <v>BOMBAS</v>
      </c>
      <c r="P2632" t="str">
        <f t="shared" si="1702"/>
        <v>0</v>
      </c>
      <c r="Q2632" t="str">
        <f t="shared" si="1702"/>
        <v>0</v>
      </c>
      <c r="R2632" t="str">
        <f t="shared" si="1703"/>
        <v>0,00</v>
      </c>
      <c r="S2632" t="str">
        <f t="shared" si="1703"/>
        <v>0,00</v>
      </c>
      <c r="T2632" t="str">
        <f t="shared" si="1704"/>
        <v xml:space="preserve"> </v>
      </c>
      <c r="U2632" t="str">
        <f t="shared" si="1705"/>
        <v xml:space="preserve"> </v>
      </c>
      <c r="V2632" t="str">
        <f>"9,000"</f>
        <v>9,000</v>
      </c>
      <c r="W2632" t="str">
        <f t="shared" si="1710"/>
        <v>Lista 4</v>
      </c>
      <c r="X2632" t="str">
        <f t="shared" si="1711"/>
        <v>Lista 5</v>
      </c>
      <c r="Y2632" t="str">
        <f t="shared" si="1712"/>
        <v>Oferta Gral.</v>
      </c>
      <c r="Z2632" t="str">
        <f t="shared" si="1713"/>
        <v>Rubro</v>
      </c>
      <c r="AA2632" t="str">
        <f t="shared" si="1714"/>
        <v>Cantidad por Bulto</v>
      </c>
      <c r="AB2632" t="str">
        <f t="shared" si="1715"/>
        <v>INNER</v>
      </c>
      <c r="AC2632" t="str">
        <f t="shared" si="1716"/>
        <v>Stock en Bultos</v>
      </c>
      <c r="AD2632" t="str">
        <f t="shared" si="1717"/>
        <v>SubDepósito</v>
      </c>
      <c r="AE2632" t="str">
        <f t="shared" si="1718"/>
        <v>Marca</v>
      </c>
      <c r="AF2632" t="str">
        <f t="shared" si="1719"/>
        <v>Super Rubro</v>
      </c>
      <c r="AG2632" t="str">
        <f t="shared" si="1720"/>
        <v>ComercioExterior</v>
      </c>
      <c r="AH2632" t="str">
        <f t="shared" si="1721"/>
        <v>PrecioFOB</v>
      </c>
      <c r="AI2632" t="str">
        <f t="shared" si="1722"/>
        <v>Monto II</v>
      </c>
      <c r="AJ2632" t="str">
        <f t="shared" si="1723"/>
        <v>Porcentaje II</v>
      </c>
      <c r="AK2632" t="str">
        <f t="shared" si="1724"/>
        <v>Foto</v>
      </c>
      <c r="AL2632" t="str">
        <f>" "</f>
        <v xml:space="preserve"> </v>
      </c>
      <c r="AM2632" t="str">
        <f t="shared" si="1706"/>
        <v>-</v>
      </c>
    </row>
    <row r="2633" spans="1:39" x14ac:dyDescent="0.25">
      <c r="A2633" t="str">
        <f>"FI24018"</f>
        <v>FI24018</v>
      </c>
      <c r="B2633" t="str">
        <f>"PREFILTRO BOMBA SIENA/PALIO BOSCH 75 X 50,5 MM DIAM. 11MM"</f>
        <v>PREFILTRO BOMBA SIENA/PALIO BOSCH 75 X 50,5 MM DIAM. 11MM</v>
      </c>
      <c r="C2633" t="str">
        <f>"$ 4071,46"</f>
        <v>$ 4071,46</v>
      </c>
      <c r="D2633" t="str">
        <f>"$ 4071,46"</f>
        <v>$ 4071,46</v>
      </c>
      <c r="E2633" t="str">
        <f>"$ 4071,46"</f>
        <v>$ 4071,46</v>
      </c>
      <c r="F2633" t="str">
        <f>"$ 4071,46"</f>
        <v>$ 4071,46</v>
      </c>
      <c r="G2633" t="str">
        <f>"$ 4071,46"</f>
        <v>$ 4071,46</v>
      </c>
      <c r="H2633" t="str">
        <f t="shared" si="1707"/>
        <v>$ 0,00</v>
      </c>
      <c r="I2633" t="str">
        <f t="shared" si="1725"/>
        <v>PREFILTRO BOMBAS</v>
      </c>
      <c r="J2633" t="str">
        <f t="shared" si="1708"/>
        <v>1</v>
      </c>
      <c r="K2633" t="str">
        <f t="shared" si="1686"/>
        <v>0</v>
      </c>
      <c r="L2633" t="str">
        <f>"10,000"</f>
        <v>10,000</v>
      </c>
      <c r="M2633" t="str">
        <f t="shared" si="1709"/>
        <v xml:space="preserve"> </v>
      </c>
      <c r="N2633" t="str">
        <f t="shared" si="1726"/>
        <v>FISPA</v>
      </c>
      <c r="O2633" t="str">
        <f t="shared" si="1727"/>
        <v>BOMBAS</v>
      </c>
      <c r="P2633" t="str">
        <f t="shared" si="1702"/>
        <v>0</v>
      </c>
      <c r="Q2633" t="str">
        <f t="shared" si="1702"/>
        <v>0</v>
      </c>
      <c r="R2633" t="str">
        <f t="shared" si="1703"/>
        <v>0,00</v>
      </c>
      <c r="S2633" t="str">
        <f t="shared" si="1703"/>
        <v>0,00</v>
      </c>
      <c r="T2633" t="str">
        <f t="shared" si="1704"/>
        <v xml:space="preserve"> </v>
      </c>
      <c r="U2633" t="str">
        <f t="shared" si="1705"/>
        <v xml:space="preserve"> </v>
      </c>
      <c r="V2633" t="str">
        <f>"10,000"</f>
        <v>10,000</v>
      </c>
      <c r="W2633" t="str">
        <f t="shared" si="1710"/>
        <v>Lista 4</v>
      </c>
      <c r="X2633" t="str">
        <f t="shared" si="1711"/>
        <v>Lista 5</v>
      </c>
      <c r="Y2633" t="str">
        <f t="shared" si="1712"/>
        <v>Oferta Gral.</v>
      </c>
      <c r="Z2633" t="str">
        <f t="shared" si="1713"/>
        <v>Rubro</v>
      </c>
      <c r="AA2633" t="str">
        <f t="shared" si="1714"/>
        <v>Cantidad por Bulto</v>
      </c>
      <c r="AB2633" t="str">
        <f t="shared" si="1715"/>
        <v>INNER</v>
      </c>
      <c r="AC2633" t="str">
        <f t="shared" si="1716"/>
        <v>Stock en Bultos</v>
      </c>
      <c r="AD2633" t="str">
        <f t="shared" si="1717"/>
        <v>SubDepósito</v>
      </c>
      <c r="AE2633" t="str">
        <f t="shared" si="1718"/>
        <v>Marca</v>
      </c>
      <c r="AF2633" t="str">
        <f t="shared" si="1719"/>
        <v>Super Rubro</v>
      </c>
      <c r="AG2633" t="str">
        <f t="shared" si="1720"/>
        <v>ComercioExterior</v>
      </c>
      <c r="AH2633" t="str">
        <f t="shared" si="1721"/>
        <v>PrecioFOB</v>
      </c>
      <c r="AI2633" t="str">
        <f t="shared" si="1722"/>
        <v>Monto II</v>
      </c>
      <c r="AJ2633" t="str">
        <f t="shared" si="1723"/>
        <v>Porcentaje II</v>
      </c>
      <c r="AK2633" t="str">
        <f t="shared" si="1724"/>
        <v>Foto</v>
      </c>
      <c r="AL2633" t="str">
        <f>" "</f>
        <v xml:space="preserve"> </v>
      </c>
      <c r="AM2633" t="str">
        <f t="shared" si="1706"/>
        <v>-</v>
      </c>
    </row>
    <row r="2634" spans="1:39" x14ac:dyDescent="0.25">
      <c r="A2634" t="str">
        <f>"FI24015"</f>
        <v>FI24015</v>
      </c>
      <c r="B2634" t="str">
        <f>"PREFILTRO BOMBA SISTEMA BOSCH - FILTRO REDONDO"</f>
        <v>PREFILTRO BOMBA SISTEMA BOSCH - FILTRO REDONDO</v>
      </c>
      <c r="C2634" t="str">
        <f>"$ 2652,39"</f>
        <v>$ 2652,39</v>
      </c>
      <c r="D2634" t="str">
        <f>"$ 2652,39"</f>
        <v>$ 2652,39</v>
      </c>
      <c r="E2634" t="str">
        <f>"$ 2652,39"</f>
        <v>$ 2652,39</v>
      </c>
      <c r="F2634" t="str">
        <f>"$ 2652,39"</f>
        <v>$ 2652,39</v>
      </c>
      <c r="G2634" t="str">
        <f>"$ 2652,39"</f>
        <v>$ 2652,39</v>
      </c>
      <c r="H2634" t="str">
        <f t="shared" si="1707"/>
        <v>$ 0,00</v>
      </c>
      <c r="I2634" t="str">
        <f t="shared" si="1725"/>
        <v>PREFILTRO BOMBAS</v>
      </c>
      <c r="J2634" t="str">
        <f t="shared" si="1708"/>
        <v>1</v>
      </c>
      <c r="K2634" t="str">
        <f t="shared" si="1686"/>
        <v>0</v>
      </c>
      <c r="L2634" t="str">
        <f>"13,000"</f>
        <v>13,000</v>
      </c>
      <c r="M2634" t="str">
        <f t="shared" si="1709"/>
        <v xml:space="preserve"> </v>
      </c>
      <c r="N2634" t="str">
        <f t="shared" si="1726"/>
        <v>FISPA</v>
      </c>
      <c r="O2634" t="str">
        <f t="shared" si="1727"/>
        <v>BOMBAS</v>
      </c>
      <c r="P2634" t="str">
        <f t="shared" si="1702"/>
        <v>0</v>
      </c>
      <c r="Q2634" t="str">
        <f t="shared" si="1702"/>
        <v>0</v>
      </c>
      <c r="R2634" t="str">
        <f t="shared" si="1703"/>
        <v>0,00</v>
      </c>
      <c r="S2634" t="str">
        <f t="shared" si="1703"/>
        <v>0,00</v>
      </c>
      <c r="T2634" t="str">
        <f t="shared" si="1704"/>
        <v xml:space="preserve"> </v>
      </c>
      <c r="U2634" t="str">
        <f t="shared" si="1705"/>
        <v xml:space="preserve"> </v>
      </c>
      <c r="V2634" t="str">
        <f>"13,000"</f>
        <v>13,000</v>
      </c>
      <c r="W2634" t="str">
        <f t="shared" si="1710"/>
        <v>Lista 4</v>
      </c>
      <c r="X2634" t="str">
        <f t="shared" si="1711"/>
        <v>Lista 5</v>
      </c>
      <c r="Y2634" t="str">
        <f t="shared" si="1712"/>
        <v>Oferta Gral.</v>
      </c>
      <c r="Z2634" t="str">
        <f t="shared" si="1713"/>
        <v>Rubro</v>
      </c>
      <c r="AA2634" t="str">
        <f t="shared" si="1714"/>
        <v>Cantidad por Bulto</v>
      </c>
      <c r="AB2634" t="str">
        <f t="shared" si="1715"/>
        <v>INNER</v>
      </c>
      <c r="AC2634" t="str">
        <f t="shared" si="1716"/>
        <v>Stock en Bultos</v>
      </c>
      <c r="AD2634" t="str">
        <f t="shared" si="1717"/>
        <v>SubDepósito</v>
      </c>
      <c r="AE2634" t="str">
        <f t="shared" si="1718"/>
        <v>Marca</v>
      </c>
      <c r="AF2634" t="str">
        <f t="shared" si="1719"/>
        <v>Super Rubro</v>
      </c>
      <c r="AG2634" t="str">
        <f t="shared" si="1720"/>
        <v>ComercioExterior</v>
      </c>
      <c r="AH2634" t="str">
        <f t="shared" si="1721"/>
        <v>PrecioFOB</v>
      </c>
      <c r="AI2634" t="str">
        <f t="shared" si="1722"/>
        <v>Monto II</v>
      </c>
      <c r="AJ2634" t="str">
        <f t="shared" si="1723"/>
        <v>Porcentaje II</v>
      </c>
      <c r="AK2634" t="str">
        <f t="shared" si="1724"/>
        <v>Foto</v>
      </c>
      <c r="AL263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34" t="str">
        <f t="shared" si="1706"/>
        <v>-</v>
      </c>
    </row>
    <row r="2635" spans="1:39" x14ac:dyDescent="0.25">
      <c r="A2635" t="str">
        <f>"FI24016"</f>
        <v>FI24016</v>
      </c>
      <c r="B2635" t="str">
        <f>"PREFILTRO BOMBA SISTEMA MARWAL"</f>
        <v>PREFILTRO BOMBA SISTEMA MARWAL</v>
      </c>
      <c r="C2635" t="str">
        <f>"$ 7689,72"</f>
        <v>$ 7689,72</v>
      </c>
      <c r="D2635" t="str">
        <f>"$ 7689,72"</f>
        <v>$ 7689,72</v>
      </c>
      <c r="E2635" t="str">
        <f>"$ 7689,72"</f>
        <v>$ 7689,72</v>
      </c>
      <c r="F2635" t="str">
        <f>"$ 7689,72"</f>
        <v>$ 7689,72</v>
      </c>
      <c r="G2635" t="str">
        <f>"$ 7689,72"</f>
        <v>$ 7689,72</v>
      </c>
      <c r="H2635" t="str">
        <f t="shared" si="1707"/>
        <v>$ 0,00</v>
      </c>
      <c r="I2635" t="str">
        <f t="shared" si="1725"/>
        <v>PREFILTRO BOMBAS</v>
      </c>
      <c r="J2635" t="str">
        <f t="shared" si="1708"/>
        <v>1</v>
      </c>
      <c r="K2635" t="str">
        <f t="shared" si="1686"/>
        <v>0</v>
      </c>
      <c r="L2635" t="str">
        <f>"9,000"</f>
        <v>9,000</v>
      </c>
      <c r="M2635" t="str">
        <f t="shared" si="1709"/>
        <v xml:space="preserve"> </v>
      </c>
      <c r="N2635" t="str">
        <f t="shared" si="1726"/>
        <v>FISPA</v>
      </c>
      <c r="O2635" t="str">
        <f t="shared" si="1727"/>
        <v>BOMBAS</v>
      </c>
      <c r="P2635" t="str">
        <f t="shared" si="1702"/>
        <v>0</v>
      </c>
      <c r="Q2635" t="str">
        <f t="shared" si="1702"/>
        <v>0</v>
      </c>
      <c r="R2635" t="str">
        <f t="shared" si="1703"/>
        <v>0,00</v>
      </c>
      <c r="S2635" t="str">
        <f t="shared" si="1703"/>
        <v>0,00</v>
      </c>
      <c r="T2635" t="str">
        <f t="shared" si="1704"/>
        <v xml:space="preserve"> </v>
      </c>
      <c r="U2635" t="str">
        <f t="shared" si="1705"/>
        <v xml:space="preserve"> </v>
      </c>
      <c r="V2635" t="str">
        <f>"9,000"</f>
        <v>9,000</v>
      </c>
      <c r="W2635" t="str">
        <f t="shared" si="1710"/>
        <v>Lista 4</v>
      </c>
      <c r="X2635" t="str">
        <f t="shared" si="1711"/>
        <v>Lista 5</v>
      </c>
      <c r="Y2635" t="str">
        <f t="shared" si="1712"/>
        <v>Oferta Gral.</v>
      </c>
      <c r="Z2635" t="str">
        <f t="shared" si="1713"/>
        <v>Rubro</v>
      </c>
      <c r="AA2635" t="str">
        <f t="shared" si="1714"/>
        <v>Cantidad por Bulto</v>
      </c>
      <c r="AB2635" t="str">
        <f t="shared" si="1715"/>
        <v>INNER</v>
      </c>
      <c r="AC2635" t="str">
        <f t="shared" si="1716"/>
        <v>Stock en Bultos</v>
      </c>
      <c r="AD2635" t="str">
        <f t="shared" si="1717"/>
        <v>SubDepósito</v>
      </c>
      <c r="AE2635" t="str">
        <f t="shared" si="1718"/>
        <v>Marca</v>
      </c>
      <c r="AF2635" t="str">
        <f t="shared" si="1719"/>
        <v>Super Rubro</v>
      </c>
      <c r="AG2635" t="str">
        <f t="shared" si="1720"/>
        <v>ComercioExterior</v>
      </c>
      <c r="AH2635" t="str">
        <f t="shared" si="1721"/>
        <v>PrecioFOB</v>
      </c>
      <c r="AI2635" t="str">
        <f t="shared" si="1722"/>
        <v>Monto II</v>
      </c>
      <c r="AJ2635" t="str">
        <f t="shared" si="1723"/>
        <v>Porcentaje II</v>
      </c>
      <c r="AK2635" t="str">
        <f t="shared" si="1724"/>
        <v>Foto</v>
      </c>
      <c r="AL263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35" t="str">
        <f t="shared" si="1706"/>
        <v>-</v>
      </c>
    </row>
    <row r="2636" spans="1:39" x14ac:dyDescent="0.25">
      <c r="A2636" t="str">
        <f>"FI24037"</f>
        <v>FI24037</v>
      </c>
      <c r="B2636" t="str">
        <f>"PREFILTRO BOMBA VDO POLO/GOLF IV"</f>
        <v>PREFILTRO BOMBA VDO POLO/GOLF IV</v>
      </c>
      <c r="C2636" t="str">
        <f>"$ 4106,13"</f>
        <v>$ 4106,13</v>
      </c>
      <c r="D2636" t="str">
        <f>"$ 4106,13"</f>
        <v>$ 4106,13</v>
      </c>
      <c r="E2636" t="str">
        <f>"$ 4106,13"</f>
        <v>$ 4106,13</v>
      </c>
      <c r="F2636" t="str">
        <f>"$ 4106,13"</f>
        <v>$ 4106,13</v>
      </c>
      <c r="G2636" t="str">
        <f>"$ 4106,13"</f>
        <v>$ 4106,13</v>
      </c>
      <c r="H2636" t="str">
        <f t="shared" si="1707"/>
        <v>$ 0,00</v>
      </c>
      <c r="I2636" t="str">
        <f t="shared" si="1725"/>
        <v>PREFILTRO BOMBAS</v>
      </c>
      <c r="J2636" t="str">
        <f t="shared" si="1708"/>
        <v>1</v>
      </c>
      <c r="K2636" t="str">
        <f t="shared" si="1686"/>
        <v>0</v>
      </c>
      <c r="L2636" t="str">
        <f>"13,000"</f>
        <v>13,000</v>
      </c>
      <c r="M2636" t="str">
        <f t="shared" si="1709"/>
        <v xml:space="preserve"> </v>
      </c>
      <c r="N2636" t="str">
        <f t="shared" si="1726"/>
        <v>FISPA</v>
      </c>
      <c r="O2636" t="str">
        <f t="shared" si="1727"/>
        <v>BOMBAS</v>
      </c>
      <c r="P2636" t="str">
        <f t="shared" si="1702"/>
        <v>0</v>
      </c>
      <c r="Q2636" t="str">
        <f t="shared" si="1702"/>
        <v>0</v>
      </c>
      <c r="R2636" t="str">
        <f t="shared" si="1703"/>
        <v>0,00</v>
      </c>
      <c r="S2636" t="str">
        <f t="shared" si="1703"/>
        <v>0,00</v>
      </c>
      <c r="T2636" t="str">
        <f t="shared" si="1704"/>
        <v xml:space="preserve"> </v>
      </c>
      <c r="U2636" t="str">
        <f t="shared" si="1705"/>
        <v xml:space="preserve"> </v>
      </c>
      <c r="V2636" t="str">
        <f>"13,000"</f>
        <v>13,000</v>
      </c>
      <c r="W2636" t="str">
        <f t="shared" si="1710"/>
        <v>Lista 4</v>
      </c>
      <c r="X2636" t="str">
        <f t="shared" si="1711"/>
        <v>Lista 5</v>
      </c>
      <c r="Y2636" t="str">
        <f t="shared" si="1712"/>
        <v>Oferta Gral.</v>
      </c>
      <c r="Z2636" t="str">
        <f t="shared" si="1713"/>
        <v>Rubro</v>
      </c>
      <c r="AA2636" t="str">
        <f t="shared" si="1714"/>
        <v>Cantidad por Bulto</v>
      </c>
      <c r="AB2636" t="str">
        <f t="shared" si="1715"/>
        <v>INNER</v>
      </c>
      <c r="AC2636" t="str">
        <f t="shared" si="1716"/>
        <v>Stock en Bultos</v>
      </c>
      <c r="AD2636" t="str">
        <f t="shared" si="1717"/>
        <v>SubDepósito</v>
      </c>
      <c r="AE2636" t="str">
        <f t="shared" si="1718"/>
        <v>Marca</v>
      </c>
      <c r="AF2636" t="str">
        <f t="shared" si="1719"/>
        <v>Super Rubro</v>
      </c>
      <c r="AG2636" t="str">
        <f t="shared" si="1720"/>
        <v>ComercioExterior</v>
      </c>
      <c r="AH2636" t="str">
        <f t="shared" si="1721"/>
        <v>PrecioFOB</v>
      </c>
      <c r="AI2636" t="str">
        <f t="shared" si="1722"/>
        <v>Monto II</v>
      </c>
      <c r="AJ2636" t="str">
        <f t="shared" si="1723"/>
        <v>Porcentaje II</v>
      </c>
      <c r="AK2636" t="str">
        <f t="shared" si="1724"/>
        <v>Foto</v>
      </c>
      <c r="AL2636" t="str">
        <f>" "</f>
        <v xml:space="preserve"> </v>
      </c>
      <c r="AM2636" t="str">
        <f t="shared" si="1706"/>
        <v>-</v>
      </c>
    </row>
    <row r="2637" spans="1:39" x14ac:dyDescent="0.25">
      <c r="A2637" t="str">
        <f>"FI11029"</f>
        <v>FI11029</v>
      </c>
      <c r="B2637" t="str">
        <f>"PUNTAS INFERIORES BOSCH MULTIPUNTO"</f>
        <v>PUNTAS INFERIORES BOSCH MULTIPUNTO</v>
      </c>
      <c r="C2637" t="str">
        <f>"$ 2116,22"</f>
        <v>$ 2116,22</v>
      </c>
      <c r="D2637" t="str">
        <f>"$ 2116,22"</f>
        <v>$ 2116,22</v>
      </c>
      <c r="E2637" t="str">
        <f>"$ 2116,22"</f>
        <v>$ 2116,22</v>
      </c>
      <c r="F2637" t="str">
        <f>"$ 2116,22"</f>
        <v>$ 2116,22</v>
      </c>
      <c r="G2637" t="str">
        <f>"$ 2116,22"</f>
        <v>$ 2116,22</v>
      </c>
      <c r="H2637" t="str">
        <f t="shared" si="1707"/>
        <v>$ 0,00</v>
      </c>
      <c r="I2637" t="str">
        <f>"KIT FILTROS Y ORINGS"</f>
        <v>KIT FILTROS Y ORINGS</v>
      </c>
      <c r="J2637" t="str">
        <f t="shared" si="1708"/>
        <v>1</v>
      </c>
      <c r="K2637" t="str">
        <f t="shared" si="1686"/>
        <v>0</v>
      </c>
      <c r="L2637" t="str">
        <f>"10,000"</f>
        <v>10,000</v>
      </c>
      <c r="M2637" t="str">
        <f t="shared" si="1709"/>
        <v xml:space="preserve"> </v>
      </c>
      <c r="N2637" t="str">
        <f t="shared" si="1726"/>
        <v>FISPA</v>
      </c>
      <c r="O2637" t="str">
        <f>"INYECTORES"</f>
        <v>INYECTORES</v>
      </c>
      <c r="P2637" t="str">
        <f t="shared" si="1702"/>
        <v>0</v>
      </c>
      <c r="Q2637" t="str">
        <f t="shared" si="1702"/>
        <v>0</v>
      </c>
      <c r="R2637" t="str">
        <f t="shared" si="1703"/>
        <v>0,00</v>
      </c>
      <c r="S2637" t="str">
        <f t="shared" si="1703"/>
        <v>0,00</v>
      </c>
      <c r="T2637" t="str">
        <f t="shared" si="1704"/>
        <v xml:space="preserve"> </v>
      </c>
      <c r="U2637" t="str">
        <f t="shared" si="1705"/>
        <v xml:space="preserve"> </v>
      </c>
      <c r="V2637" t="str">
        <f>"10,000"</f>
        <v>10,000</v>
      </c>
      <c r="W2637" t="str">
        <f t="shared" si="1710"/>
        <v>Lista 4</v>
      </c>
      <c r="X2637" t="str">
        <f t="shared" si="1711"/>
        <v>Lista 5</v>
      </c>
      <c r="Y2637" t="str">
        <f t="shared" si="1712"/>
        <v>Oferta Gral.</v>
      </c>
      <c r="Z2637" t="str">
        <f t="shared" si="1713"/>
        <v>Rubro</v>
      </c>
      <c r="AA2637" t="str">
        <f t="shared" si="1714"/>
        <v>Cantidad por Bulto</v>
      </c>
      <c r="AB2637" t="str">
        <f t="shared" si="1715"/>
        <v>INNER</v>
      </c>
      <c r="AC2637" t="str">
        <f t="shared" si="1716"/>
        <v>Stock en Bultos</v>
      </c>
      <c r="AD2637" t="str">
        <f t="shared" si="1717"/>
        <v>SubDepósito</v>
      </c>
      <c r="AE2637" t="str">
        <f t="shared" si="1718"/>
        <v>Marca</v>
      </c>
      <c r="AF2637" t="str">
        <f t="shared" si="1719"/>
        <v>Super Rubro</v>
      </c>
      <c r="AG2637" t="str">
        <f t="shared" si="1720"/>
        <v>ComercioExterior</v>
      </c>
      <c r="AH2637" t="str">
        <f t="shared" si="1721"/>
        <v>PrecioFOB</v>
      </c>
      <c r="AI2637" t="str">
        <f t="shared" si="1722"/>
        <v>Monto II</v>
      </c>
      <c r="AJ2637" t="str">
        <f t="shared" si="1723"/>
        <v>Porcentaje II</v>
      </c>
      <c r="AK2637" t="str">
        <f t="shared" si="1724"/>
        <v>Foto</v>
      </c>
      <c r="AL263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37" t="str">
        <f t="shared" si="1706"/>
        <v>-</v>
      </c>
    </row>
    <row r="2638" spans="1:39" x14ac:dyDescent="0.25">
      <c r="A2638" t="str">
        <f>"FI11044"</f>
        <v>FI11044</v>
      </c>
      <c r="B2638" t="str">
        <f>"PUNTAS INFERIORES BOSCH MULTIPUNTO"</f>
        <v>PUNTAS INFERIORES BOSCH MULTIPUNTO</v>
      </c>
      <c r="C2638" t="str">
        <f>"$ 2101,36"</f>
        <v>$ 2101,36</v>
      </c>
      <c r="D2638" t="str">
        <f>"$ 2101,36"</f>
        <v>$ 2101,36</v>
      </c>
      <c r="E2638" t="str">
        <f>"$ 2101,36"</f>
        <v>$ 2101,36</v>
      </c>
      <c r="F2638" t="str">
        <f>"$ 2101,36"</f>
        <v>$ 2101,36</v>
      </c>
      <c r="G2638" t="str">
        <f>"$ 2101,36"</f>
        <v>$ 2101,36</v>
      </c>
      <c r="H2638" t="str">
        <f t="shared" si="1707"/>
        <v>$ 0,00</v>
      </c>
      <c r="I2638" t="str">
        <f>"KIT FILTROS Y ORINGS"</f>
        <v>KIT FILTROS Y ORINGS</v>
      </c>
      <c r="J2638" t="str">
        <f t="shared" si="1708"/>
        <v>1</v>
      </c>
      <c r="K2638" t="str">
        <f t="shared" si="1686"/>
        <v>0</v>
      </c>
      <c r="L2638" t="str">
        <f>"10,000"</f>
        <v>10,000</v>
      </c>
      <c r="M2638" t="str">
        <f t="shared" si="1709"/>
        <v xml:space="preserve"> </v>
      </c>
      <c r="N2638" t="str">
        <f t="shared" si="1726"/>
        <v>FISPA</v>
      </c>
      <c r="O2638" t="str">
        <f>"INYECTORES"</f>
        <v>INYECTORES</v>
      </c>
      <c r="P2638" t="str">
        <f t="shared" si="1702"/>
        <v>0</v>
      </c>
      <c r="Q2638" t="str">
        <f t="shared" si="1702"/>
        <v>0</v>
      </c>
      <c r="R2638" t="str">
        <f t="shared" si="1703"/>
        <v>0,00</v>
      </c>
      <c r="S2638" t="str">
        <f t="shared" si="1703"/>
        <v>0,00</v>
      </c>
      <c r="T2638" t="str">
        <f t="shared" si="1704"/>
        <v xml:space="preserve"> </v>
      </c>
      <c r="U2638" t="str">
        <f t="shared" si="1705"/>
        <v xml:space="preserve"> </v>
      </c>
      <c r="V2638" t="str">
        <f>"10,000"</f>
        <v>10,000</v>
      </c>
      <c r="W2638" t="str">
        <f t="shared" si="1710"/>
        <v>Lista 4</v>
      </c>
      <c r="X2638" t="str">
        <f t="shared" si="1711"/>
        <v>Lista 5</v>
      </c>
      <c r="Y2638" t="str">
        <f t="shared" si="1712"/>
        <v>Oferta Gral.</v>
      </c>
      <c r="Z2638" t="str">
        <f t="shared" si="1713"/>
        <v>Rubro</v>
      </c>
      <c r="AA2638" t="str">
        <f t="shared" si="1714"/>
        <v>Cantidad por Bulto</v>
      </c>
      <c r="AB2638" t="str">
        <f t="shared" si="1715"/>
        <v>INNER</v>
      </c>
      <c r="AC2638" t="str">
        <f t="shared" si="1716"/>
        <v>Stock en Bultos</v>
      </c>
      <c r="AD2638" t="str">
        <f t="shared" si="1717"/>
        <v>SubDepósito</v>
      </c>
      <c r="AE2638" t="str">
        <f t="shared" si="1718"/>
        <v>Marca</v>
      </c>
      <c r="AF2638" t="str">
        <f t="shared" si="1719"/>
        <v>Super Rubro</v>
      </c>
      <c r="AG2638" t="str">
        <f t="shared" si="1720"/>
        <v>ComercioExterior</v>
      </c>
      <c r="AH2638" t="str">
        <f t="shared" si="1721"/>
        <v>PrecioFOB</v>
      </c>
      <c r="AI2638" t="str">
        <f t="shared" si="1722"/>
        <v>Monto II</v>
      </c>
      <c r="AJ2638" t="str">
        <f t="shared" si="1723"/>
        <v>Porcentaje II</v>
      </c>
      <c r="AK2638" t="str">
        <f t="shared" si="1724"/>
        <v>Foto</v>
      </c>
      <c r="AL263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38" t="str">
        <f t="shared" si="1706"/>
        <v>-</v>
      </c>
    </row>
    <row r="2639" spans="1:39" x14ac:dyDescent="0.25">
      <c r="A2639" t="str">
        <f>"10473"</f>
        <v>10473</v>
      </c>
      <c r="B2639" t="str">
        <f>"RAMAL CONEXION PORTATERMOSTATO PEUGEOT CITROEN 1.6 THP"</f>
        <v>RAMAL CONEXION PORTATERMOSTATO PEUGEOT CITROEN 1.6 THP</v>
      </c>
      <c r="C2639" t="str">
        <f>"$ 33070,95"</f>
        <v>$ 33070,95</v>
      </c>
      <c r="D2639" t="str">
        <f>"$ 33070,95"</f>
        <v>$ 33070,95</v>
      </c>
      <c r="E2639" t="str">
        <f>"$ 33070,95"</f>
        <v>$ 33070,95</v>
      </c>
      <c r="F2639" t="str">
        <f>"$ 33070,95"</f>
        <v>$ 33070,95</v>
      </c>
      <c r="G2639" t="str">
        <f>"$ 33070,95"</f>
        <v>$ 33070,95</v>
      </c>
      <c r="H2639" t="str">
        <f t="shared" si="1707"/>
        <v>$ 0,00</v>
      </c>
      <c r="I2639" t="str">
        <f>"FICHA CONECTOR"</f>
        <v>FICHA CONECTOR</v>
      </c>
      <c r="J2639" t="str">
        <f t="shared" si="1708"/>
        <v>1</v>
      </c>
      <c r="K2639" t="str">
        <f t="shared" si="1686"/>
        <v>0</v>
      </c>
      <c r="L2639" t="str">
        <f>"8,000"</f>
        <v>8,000</v>
      </c>
      <c r="M2639" t="str">
        <f t="shared" si="1709"/>
        <v xml:space="preserve"> </v>
      </c>
      <c r="N2639" t="str">
        <f>"AUTRONIC"</f>
        <v>AUTRONIC</v>
      </c>
      <c r="O2639" t="str">
        <f>"CABLES"</f>
        <v>CABLES</v>
      </c>
      <c r="P2639" t="str">
        <f t="shared" si="1702"/>
        <v>0</v>
      </c>
      <c r="Q2639" t="str">
        <f t="shared" si="1702"/>
        <v>0</v>
      </c>
      <c r="R2639" t="str">
        <f t="shared" si="1703"/>
        <v>0,00</v>
      </c>
      <c r="S2639" t="str">
        <f t="shared" si="1703"/>
        <v>0,00</v>
      </c>
      <c r="T2639" t="str">
        <f t="shared" si="1704"/>
        <v xml:space="preserve"> </v>
      </c>
      <c r="U2639" t="str">
        <f t="shared" si="1705"/>
        <v xml:space="preserve"> </v>
      </c>
      <c r="V2639" t="str">
        <f>"8,000"</f>
        <v>8,000</v>
      </c>
      <c r="W2639" t="str">
        <f t="shared" si="1710"/>
        <v>Lista 4</v>
      </c>
      <c r="X2639" t="str">
        <f t="shared" si="1711"/>
        <v>Lista 5</v>
      </c>
      <c r="Y2639" t="str">
        <f t="shared" si="1712"/>
        <v>Oferta Gral.</v>
      </c>
      <c r="Z2639" t="str">
        <f t="shared" si="1713"/>
        <v>Rubro</v>
      </c>
      <c r="AA2639" t="str">
        <f t="shared" si="1714"/>
        <v>Cantidad por Bulto</v>
      </c>
      <c r="AB2639" t="str">
        <f t="shared" si="1715"/>
        <v>INNER</v>
      </c>
      <c r="AC2639" t="str">
        <f t="shared" si="1716"/>
        <v>Stock en Bultos</v>
      </c>
      <c r="AD2639" t="str">
        <f t="shared" si="1717"/>
        <v>SubDepósito</v>
      </c>
      <c r="AE2639" t="str">
        <f t="shared" si="1718"/>
        <v>Marca</v>
      </c>
      <c r="AF2639" t="str">
        <f t="shared" si="1719"/>
        <v>Super Rubro</v>
      </c>
      <c r="AG2639" t="str">
        <f t="shared" si="1720"/>
        <v>ComercioExterior</v>
      </c>
      <c r="AH2639" t="str">
        <f t="shared" si="1721"/>
        <v>PrecioFOB</v>
      </c>
      <c r="AI2639" t="str">
        <f t="shared" si="1722"/>
        <v>Monto II</v>
      </c>
      <c r="AJ2639" t="str">
        <f t="shared" si="1723"/>
        <v>Porcentaje II</v>
      </c>
      <c r="AK2639" t="str">
        <f t="shared" si="1724"/>
        <v>Foto</v>
      </c>
      <c r="AL2639" t="str">
        <f>"{\rtf1\ansi\ansicpg1252\deff0\deflang11274{\fonttbl{\f0\fnil\fcharset0 MS Sans Serif}} \viewkind4\uc1\pard\f0\fs16 RAMAL CONEXION PORTATERMOSTATO PEUGEOT CITROEN 1.6 THP\par } "</f>
        <v xml:space="preserve">{\rtf1\ansi\ansicpg1252\deff0\deflang11274{\fonttbl{\f0\fnil\fcharset0 MS Sans Serif}} \viewkind4\uc1\pard\f0\fs16 RAMAL CONEXION PORTATERMOSTATO PEUGEOT CITROEN 1.6 THP\par } </v>
      </c>
      <c r="AM2639" t="str">
        <f t="shared" si="1706"/>
        <v>-</v>
      </c>
    </row>
    <row r="2640" spans="1:39" x14ac:dyDescent="0.25">
      <c r="A2640" t="str">
        <f>"FI16010"</f>
        <v>FI16010</v>
      </c>
      <c r="B2640" t="str">
        <f>"REG DE PRESION CLIO/MEGANE 16V 00&gt;- P206 1.6/ 8V/ 1.6 16V 98&gt;"</f>
        <v>REG DE PRESION CLIO/MEGANE 16V 00&gt;- P206 1.6/ 8V/ 1.6 16V 98&gt;</v>
      </c>
      <c r="C2640" t="str">
        <f>"$ 21687,23"</f>
        <v>$ 21687,23</v>
      </c>
      <c r="D2640" t="str">
        <f>"$ 21687,23"</f>
        <v>$ 21687,23</v>
      </c>
      <c r="E2640" t="str">
        <f>"$ 21687,23"</f>
        <v>$ 21687,23</v>
      </c>
      <c r="F2640" t="str">
        <f>"$ 21687,23"</f>
        <v>$ 21687,23</v>
      </c>
      <c r="G2640" t="str">
        <f>"$ 21687,23"</f>
        <v>$ 21687,23</v>
      </c>
      <c r="H2640" t="str">
        <f t="shared" si="1707"/>
        <v>$ 0,00</v>
      </c>
      <c r="I2640" t="str">
        <f t="shared" ref="I2640:I2653" si="1728">"REGULADORES DE PRESION"</f>
        <v>REGULADORES DE PRESION</v>
      </c>
      <c r="J2640" t="str">
        <f t="shared" si="1708"/>
        <v>1</v>
      </c>
      <c r="K2640" t="str">
        <f t="shared" si="1686"/>
        <v>0</v>
      </c>
      <c r="L2640" t="str">
        <f>"13,000"</f>
        <v>13,000</v>
      </c>
      <c r="M2640" t="str">
        <f t="shared" si="1709"/>
        <v xml:space="preserve"> </v>
      </c>
      <c r="N2640" t="str">
        <f t="shared" ref="N2640:N2672" si="1729">"FISPA"</f>
        <v>FISPA</v>
      </c>
      <c r="O2640" t="str">
        <f t="shared" ref="O2640:O2672" si="1730">"BOMBAS"</f>
        <v>BOMBAS</v>
      </c>
      <c r="P2640" t="str">
        <f t="shared" si="1702"/>
        <v>0</v>
      </c>
      <c r="Q2640" t="str">
        <f t="shared" si="1702"/>
        <v>0</v>
      </c>
      <c r="R2640" t="str">
        <f t="shared" si="1703"/>
        <v>0,00</v>
      </c>
      <c r="S2640" t="str">
        <f t="shared" si="1703"/>
        <v>0,00</v>
      </c>
      <c r="T2640" t="str">
        <f t="shared" si="1704"/>
        <v xml:space="preserve"> </v>
      </c>
      <c r="U2640" t="str">
        <f t="shared" si="1705"/>
        <v xml:space="preserve"> </v>
      </c>
      <c r="V2640" t="str">
        <f>"13,000"</f>
        <v>13,000</v>
      </c>
      <c r="W2640" t="str">
        <f t="shared" si="1710"/>
        <v>Lista 4</v>
      </c>
      <c r="X2640" t="str">
        <f t="shared" si="1711"/>
        <v>Lista 5</v>
      </c>
      <c r="Y2640" t="str">
        <f t="shared" si="1712"/>
        <v>Oferta Gral.</v>
      </c>
      <c r="Z2640" t="str">
        <f t="shared" si="1713"/>
        <v>Rubro</v>
      </c>
      <c r="AA2640" t="str">
        <f t="shared" si="1714"/>
        <v>Cantidad por Bulto</v>
      </c>
      <c r="AB2640" t="str">
        <f t="shared" si="1715"/>
        <v>INNER</v>
      </c>
      <c r="AC2640" t="str">
        <f t="shared" si="1716"/>
        <v>Stock en Bultos</v>
      </c>
      <c r="AD2640" t="str">
        <f t="shared" si="1717"/>
        <v>SubDepósito</v>
      </c>
      <c r="AE2640" t="str">
        <f t="shared" si="1718"/>
        <v>Marca</v>
      </c>
      <c r="AF2640" t="str">
        <f t="shared" si="1719"/>
        <v>Super Rubro</v>
      </c>
      <c r="AG2640" t="str">
        <f t="shared" si="1720"/>
        <v>ComercioExterior</v>
      </c>
      <c r="AH2640" t="str">
        <f t="shared" si="1721"/>
        <v>PrecioFOB</v>
      </c>
      <c r="AI2640" t="str">
        <f t="shared" si="1722"/>
        <v>Monto II</v>
      </c>
      <c r="AJ2640" t="str">
        <f t="shared" si="1723"/>
        <v>Porcentaje II</v>
      </c>
      <c r="AK2640" t="str">
        <f t="shared" si="1724"/>
        <v>Foto</v>
      </c>
      <c r="AL264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40" t="str">
        <f t="shared" si="1706"/>
        <v>-</v>
      </c>
    </row>
    <row r="2641" spans="1:39" x14ac:dyDescent="0.25">
      <c r="A2641" t="str">
        <f>"FI16015"</f>
        <v>FI16015</v>
      </c>
      <c r="B2641" t="str">
        <f>"REG DE PRESION CORSA 1.6 MPFI  3.0 BAR"</f>
        <v>REG DE PRESION CORSA 1.6 MPFI  3.0 BAR</v>
      </c>
      <c r="C2641" t="str">
        <f>"$ 20950,45"</f>
        <v>$ 20950,45</v>
      </c>
      <c r="D2641" t="str">
        <f>"$ 20950,45"</f>
        <v>$ 20950,45</v>
      </c>
      <c r="E2641" t="str">
        <f>"$ 20950,45"</f>
        <v>$ 20950,45</v>
      </c>
      <c r="F2641" t="str">
        <f>"$ 20950,45"</f>
        <v>$ 20950,45</v>
      </c>
      <c r="G2641" t="str">
        <f>"$ 20950,45"</f>
        <v>$ 20950,45</v>
      </c>
      <c r="H2641" t="str">
        <f t="shared" si="1707"/>
        <v>$ 0,00</v>
      </c>
      <c r="I2641" t="str">
        <f t="shared" si="1728"/>
        <v>REGULADORES DE PRESION</v>
      </c>
      <c r="J2641" t="str">
        <f t="shared" si="1708"/>
        <v>1</v>
      </c>
      <c r="K2641" t="str">
        <f t="shared" si="1686"/>
        <v>0</v>
      </c>
      <c r="L2641" t="str">
        <f>"5,000"</f>
        <v>5,000</v>
      </c>
      <c r="M2641" t="str">
        <f t="shared" si="1709"/>
        <v xml:space="preserve"> </v>
      </c>
      <c r="N2641" t="str">
        <f t="shared" si="1729"/>
        <v>FISPA</v>
      </c>
      <c r="O2641" t="str">
        <f t="shared" si="1730"/>
        <v>BOMBAS</v>
      </c>
      <c r="P2641" t="str">
        <f t="shared" si="1702"/>
        <v>0</v>
      </c>
      <c r="Q2641" t="str">
        <f t="shared" si="1702"/>
        <v>0</v>
      </c>
      <c r="R2641" t="str">
        <f t="shared" si="1703"/>
        <v>0,00</v>
      </c>
      <c r="S2641" t="str">
        <f t="shared" si="1703"/>
        <v>0,00</v>
      </c>
      <c r="T2641" t="str">
        <f t="shared" si="1704"/>
        <v xml:space="preserve"> </v>
      </c>
      <c r="U2641" t="str">
        <f t="shared" si="1705"/>
        <v xml:space="preserve"> </v>
      </c>
      <c r="V2641" t="str">
        <f>"5,000"</f>
        <v>5,000</v>
      </c>
      <c r="W2641" t="str">
        <f t="shared" si="1710"/>
        <v>Lista 4</v>
      </c>
      <c r="X2641" t="str">
        <f t="shared" si="1711"/>
        <v>Lista 5</v>
      </c>
      <c r="Y2641" t="str">
        <f t="shared" si="1712"/>
        <v>Oferta Gral.</v>
      </c>
      <c r="Z2641" t="str">
        <f t="shared" si="1713"/>
        <v>Rubro</v>
      </c>
      <c r="AA2641" t="str">
        <f t="shared" si="1714"/>
        <v>Cantidad por Bulto</v>
      </c>
      <c r="AB2641" t="str">
        <f t="shared" si="1715"/>
        <v>INNER</v>
      </c>
      <c r="AC2641" t="str">
        <f t="shared" si="1716"/>
        <v>Stock en Bultos</v>
      </c>
      <c r="AD2641" t="str">
        <f t="shared" si="1717"/>
        <v>SubDepósito</v>
      </c>
      <c r="AE2641" t="str">
        <f t="shared" si="1718"/>
        <v>Marca</v>
      </c>
      <c r="AF2641" t="str">
        <f t="shared" si="1719"/>
        <v>Super Rubro</v>
      </c>
      <c r="AG2641" t="str">
        <f t="shared" si="1720"/>
        <v>ComercioExterior</v>
      </c>
      <c r="AH2641" t="str">
        <f t="shared" si="1721"/>
        <v>PrecioFOB</v>
      </c>
      <c r="AI2641" t="str">
        <f t="shared" si="1722"/>
        <v>Monto II</v>
      </c>
      <c r="AJ2641" t="str">
        <f t="shared" si="1723"/>
        <v>Porcentaje II</v>
      </c>
      <c r="AK2641" t="str">
        <f t="shared" si="1724"/>
        <v>Foto</v>
      </c>
      <c r="AL264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1" t="str">
        <f t="shared" si="1706"/>
        <v>-</v>
      </c>
    </row>
    <row r="2642" spans="1:39" x14ac:dyDescent="0.25">
      <c r="A2642" t="str">
        <f>"FI16006"</f>
        <v>FI16006</v>
      </c>
      <c r="B2642" t="str">
        <f>"REG DE PRESION ESCORT SW 1.6I 1.8I 16V ZETEC/ KA 1.0I/1.6I 2.7 BAR"</f>
        <v>REG DE PRESION ESCORT SW 1.6I 1.8I 16V ZETEC/ KA 1.0I/1.6I 2.7 BAR</v>
      </c>
      <c r="C2642" t="str">
        <f>"$ 22114,43"</f>
        <v>$ 22114,43</v>
      </c>
      <c r="D2642" t="str">
        <f>"$ 22114,43"</f>
        <v>$ 22114,43</v>
      </c>
      <c r="E2642" t="str">
        <f>"$ 22114,43"</f>
        <v>$ 22114,43</v>
      </c>
      <c r="F2642" t="str">
        <f>"$ 22114,43"</f>
        <v>$ 22114,43</v>
      </c>
      <c r="G2642" t="str">
        <f>"$ 22114,43"</f>
        <v>$ 22114,43</v>
      </c>
      <c r="H2642" t="str">
        <f t="shared" si="1707"/>
        <v>$ 0,00</v>
      </c>
      <c r="I2642" t="str">
        <f t="shared" si="1728"/>
        <v>REGULADORES DE PRESION</v>
      </c>
      <c r="J2642" t="str">
        <f t="shared" si="1708"/>
        <v>1</v>
      </c>
      <c r="K2642" t="str">
        <f t="shared" si="1686"/>
        <v>0</v>
      </c>
      <c r="L2642" t="str">
        <f>"3,000"</f>
        <v>3,000</v>
      </c>
      <c r="M2642" t="str">
        <f t="shared" si="1709"/>
        <v xml:space="preserve"> </v>
      </c>
      <c r="N2642" t="str">
        <f t="shared" si="1729"/>
        <v>FISPA</v>
      </c>
      <c r="O2642" t="str">
        <f t="shared" si="1730"/>
        <v>BOMBAS</v>
      </c>
      <c r="P2642" t="str">
        <f t="shared" si="1702"/>
        <v>0</v>
      </c>
      <c r="Q2642" t="str">
        <f t="shared" si="1702"/>
        <v>0</v>
      </c>
      <c r="R2642" t="str">
        <f t="shared" si="1703"/>
        <v>0,00</v>
      </c>
      <c r="S2642" t="str">
        <f t="shared" si="1703"/>
        <v>0,00</v>
      </c>
      <c r="T2642" t="str">
        <f t="shared" si="1704"/>
        <v xml:space="preserve"> </v>
      </c>
      <c r="U2642" t="str">
        <f t="shared" si="1705"/>
        <v xml:space="preserve"> </v>
      </c>
      <c r="V2642" t="str">
        <f>"3,000"</f>
        <v>3,000</v>
      </c>
      <c r="W2642" t="str">
        <f t="shared" si="1710"/>
        <v>Lista 4</v>
      </c>
      <c r="X2642" t="str">
        <f t="shared" si="1711"/>
        <v>Lista 5</v>
      </c>
      <c r="Y2642" t="str">
        <f t="shared" si="1712"/>
        <v>Oferta Gral.</v>
      </c>
      <c r="Z2642" t="str">
        <f t="shared" si="1713"/>
        <v>Rubro</v>
      </c>
      <c r="AA2642" t="str">
        <f t="shared" si="1714"/>
        <v>Cantidad por Bulto</v>
      </c>
      <c r="AB2642" t="str">
        <f t="shared" si="1715"/>
        <v>INNER</v>
      </c>
      <c r="AC2642" t="str">
        <f t="shared" si="1716"/>
        <v>Stock en Bultos</v>
      </c>
      <c r="AD2642" t="str">
        <f t="shared" si="1717"/>
        <v>SubDepósito</v>
      </c>
      <c r="AE2642" t="str">
        <f t="shared" si="1718"/>
        <v>Marca</v>
      </c>
      <c r="AF2642" t="str">
        <f t="shared" si="1719"/>
        <v>Super Rubro</v>
      </c>
      <c r="AG2642" t="str">
        <f t="shared" si="1720"/>
        <v>ComercioExterior</v>
      </c>
      <c r="AH2642" t="str">
        <f t="shared" si="1721"/>
        <v>PrecioFOB</v>
      </c>
      <c r="AI2642" t="str">
        <f t="shared" si="1722"/>
        <v>Monto II</v>
      </c>
      <c r="AJ2642" t="str">
        <f t="shared" si="1723"/>
        <v>Porcentaje II</v>
      </c>
      <c r="AK2642" t="str">
        <f t="shared" si="1724"/>
        <v>Foto</v>
      </c>
      <c r="AL264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2" t="str">
        <f t="shared" si="1706"/>
        <v>-</v>
      </c>
    </row>
    <row r="2643" spans="1:39" x14ac:dyDescent="0.25">
      <c r="A2643" t="str">
        <f>"FI16012"</f>
        <v>FI16012</v>
      </c>
      <c r="B2643" t="str">
        <f>"REG DE PRESION FIESTA/ECOSPORT 1.6 CITRÖEN 1.4 / 1.6 16V -"</f>
        <v>REG DE PRESION FIESTA/ECOSPORT 1.6 CITRÖEN 1.4 / 1.6 16V -</v>
      </c>
      <c r="C2643" t="str">
        <f>"$ 23930,99"</f>
        <v>$ 23930,99</v>
      </c>
      <c r="D2643" t="str">
        <f>"$ 23930,99"</f>
        <v>$ 23930,99</v>
      </c>
      <c r="E2643" t="str">
        <f>"$ 23930,99"</f>
        <v>$ 23930,99</v>
      </c>
      <c r="F2643" t="str">
        <f>"$ 23930,99"</f>
        <v>$ 23930,99</v>
      </c>
      <c r="G2643" t="str">
        <f>"$ 23930,99"</f>
        <v>$ 23930,99</v>
      </c>
      <c r="H2643" t="str">
        <f t="shared" si="1707"/>
        <v>$ 0,00</v>
      </c>
      <c r="I2643" t="str">
        <f t="shared" si="1728"/>
        <v>REGULADORES DE PRESION</v>
      </c>
      <c r="J2643" t="str">
        <f t="shared" si="1708"/>
        <v>1</v>
      </c>
      <c r="K2643" t="str">
        <f t="shared" si="1686"/>
        <v>0</v>
      </c>
      <c r="L2643" t="str">
        <f>"4,000"</f>
        <v>4,000</v>
      </c>
      <c r="M2643" t="str">
        <f t="shared" si="1709"/>
        <v xml:space="preserve"> </v>
      </c>
      <c r="N2643" t="str">
        <f t="shared" si="1729"/>
        <v>FISPA</v>
      </c>
      <c r="O2643" t="str">
        <f t="shared" si="1730"/>
        <v>BOMBAS</v>
      </c>
      <c r="P2643" t="str">
        <f t="shared" ref="P2643:Q2662" si="1731">"0"</f>
        <v>0</v>
      </c>
      <c r="Q2643" t="str">
        <f t="shared" si="1731"/>
        <v>0</v>
      </c>
      <c r="R2643" t="str">
        <f t="shared" ref="R2643:S2662" si="1732">"0,00"</f>
        <v>0,00</v>
      </c>
      <c r="S2643" t="str">
        <f t="shared" si="1732"/>
        <v>0,00</v>
      </c>
      <c r="T2643" t="str">
        <f t="shared" si="1704"/>
        <v xml:space="preserve"> </v>
      </c>
      <c r="U2643" t="str">
        <f t="shared" si="1705"/>
        <v xml:space="preserve"> </v>
      </c>
      <c r="V2643" t="str">
        <f>"4,000"</f>
        <v>4,000</v>
      </c>
      <c r="W2643" t="str">
        <f t="shared" si="1710"/>
        <v>Lista 4</v>
      </c>
      <c r="X2643" t="str">
        <f t="shared" si="1711"/>
        <v>Lista 5</v>
      </c>
      <c r="Y2643" t="str">
        <f t="shared" si="1712"/>
        <v>Oferta Gral.</v>
      </c>
      <c r="Z2643" t="str">
        <f t="shared" si="1713"/>
        <v>Rubro</v>
      </c>
      <c r="AA2643" t="str">
        <f t="shared" si="1714"/>
        <v>Cantidad por Bulto</v>
      </c>
      <c r="AB2643" t="str">
        <f t="shared" si="1715"/>
        <v>INNER</v>
      </c>
      <c r="AC2643" t="str">
        <f t="shared" si="1716"/>
        <v>Stock en Bultos</v>
      </c>
      <c r="AD2643" t="str">
        <f t="shared" si="1717"/>
        <v>SubDepósito</v>
      </c>
      <c r="AE2643" t="str">
        <f t="shared" si="1718"/>
        <v>Marca</v>
      </c>
      <c r="AF2643" t="str">
        <f t="shared" si="1719"/>
        <v>Super Rubro</v>
      </c>
      <c r="AG2643" t="str">
        <f t="shared" si="1720"/>
        <v>ComercioExterior</v>
      </c>
      <c r="AH2643" t="str">
        <f t="shared" si="1721"/>
        <v>PrecioFOB</v>
      </c>
      <c r="AI2643" t="str">
        <f t="shared" si="1722"/>
        <v>Monto II</v>
      </c>
      <c r="AJ2643" t="str">
        <f t="shared" si="1723"/>
        <v>Porcentaje II</v>
      </c>
      <c r="AK2643" t="str">
        <f t="shared" si="1724"/>
        <v>Foto</v>
      </c>
      <c r="AL264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3" t="str">
        <f t="shared" si="1706"/>
        <v>-</v>
      </c>
    </row>
    <row r="2644" spans="1:39" x14ac:dyDescent="0.25">
      <c r="A2644" t="str">
        <f>"FI16013"</f>
        <v>FI16013</v>
      </c>
      <c r="B2644" t="str">
        <f>"REG DE PRESION FOCUS 2.0 DURATEC/CORSA 1.8 MPFI F STILO 1.8 MPI 8V / 16V "</f>
        <v xml:space="preserve">REG DE PRESION FOCUS 2.0 DURATEC/CORSA 1.8 MPFI F STILO 1.8 MPI 8V / 16V </v>
      </c>
      <c r="C2644" t="str">
        <f t="shared" ref="C2644:G2645" si="1733">"$ 23278,41"</f>
        <v>$ 23278,41</v>
      </c>
      <c r="D2644" t="str">
        <f t="shared" si="1733"/>
        <v>$ 23278,41</v>
      </c>
      <c r="E2644" t="str">
        <f t="shared" si="1733"/>
        <v>$ 23278,41</v>
      </c>
      <c r="F2644" t="str">
        <f t="shared" si="1733"/>
        <v>$ 23278,41</v>
      </c>
      <c r="G2644" t="str">
        <f t="shared" si="1733"/>
        <v>$ 23278,41</v>
      </c>
      <c r="H2644" t="str">
        <f t="shared" si="1707"/>
        <v>$ 0,00</v>
      </c>
      <c r="I2644" t="str">
        <f t="shared" si="1728"/>
        <v>REGULADORES DE PRESION</v>
      </c>
      <c r="J2644" t="str">
        <f t="shared" si="1708"/>
        <v>1</v>
      </c>
      <c r="K2644" t="str">
        <f t="shared" si="1686"/>
        <v>0</v>
      </c>
      <c r="L2644" t="str">
        <f>"2,000"</f>
        <v>2,000</v>
      </c>
      <c r="M2644" t="str">
        <f t="shared" si="1709"/>
        <v xml:space="preserve"> </v>
      </c>
      <c r="N2644" t="str">
        <f t="shared" si="1729"/>
        <v>FISPA</v>
      </c>
      <c r="O2644" t="str">
        <f t="shared" si="1730"/>
        <v>BOMBAS</v>
      </c>
      <c r="P2644" t="str">
        <f t="shared" si="1731"/>
        <v>0</v>
      </c>
      <c r="Q2644" t="str">
        <f t="shared" si="1731"/>
        <v>0</v>
      </c>
      <c r="R2644" t="str">
        <f t="shared" si="1732"/>
        <v>0,00</v>
      </c>
      <c r="S2644" t="str">
        <f t="shared" si="1732"/>
        <v>0,00</v>
      </c>
      <c r="T2644" t="str">
        <f t="shared" si="1704"/>
        <v xml:space="preserve"> </v>
      </c>
      <c r="U2644" t="str">
        <f t="shared" si="1705"/>
        <v xml:space="preserve"> </v>
      </c>
      <c r="V2644" t="str">
        <f>"2,000"</f>
        <v>2,000</v>
      </c>
      <c r="W2644" t="str">
        <f t="shared" si="1710"/>
        <v>Lista 4</v>
      </c>
      <c r="X2644" t="str">
        <f t="shared" si="1711"/>
        <v>Lista 5</v>
      </c>
      <c r="Y2644" t="str">
        <f t="shared" si="1712"/>
        <v>Oferta Gral.</v>
      </c>
      <c r="Z2644" t="str">
        <f t="shared" si="1713"/>
        <v>Rubro</v>
      </c>
      <c r="AA2644" t="str">
        <f t="shared" si="1714"/>
        <v>Cantidad por Bulto</v>
      </c>
      <c r="AB2644" t="str">
        <f t="shared" si="1715"/>
        <v>INNER</v>
      </c>
      <c r="AC2644" t="str">
        <f t="shared" si="1716"/>
        <v>Stock en Bultos</v>
      </c>
      <c r="AD2644" t="str">
        <f t="shared" si="1717"/>
        <v>SubDepósito</v>
      </c>
      <c r="AE2644" t="str">
        <f t="shared" si="1718"/>
        <v>Marca</v>
      </c>
      <c r="AF2644" t="str">
        <f t="shared" si="1719"/>
        <v>Super Rubro</v>
      </c>
      <c r="AG2644" t="str">
        <f t="shared" si="1720"/>
        <v>ComercioExterior</v>
      </c>
      <c r="AH2644" t="str">
        <f t="shared" si="1721"/>
        <v>PrecioFOB</v>
      </c>
      <c r="AI2644" t="str">
        <f t="shared" si="1722"/>
        <v>Monto II</v>
      </c>
      <c r="AJ2644" t="str">
        <f t="shared" si="1723"/>
        <v>Porcentaje II</v>
      </c>
      <c r="AK2644" t="str">
        <f t="shared" si="1724"/>
        <v>Foto</v>
      </c>
      <c r="AL264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4" t="str">
        <f t="shared" si="1706"/>
        <v>-</v>
      </c>
    </row>
    <row r="2645" spans="1:39" x14ac:dyDescent="0.25">
      <c r="A2645" t="str">
        <f>"FI16009"</f>
        <v>FI16009</v>
      </c>
      <c r="B2645" t="str">
        <f>"REG DE PRESION M BENZ 200 E - 300 SE - 500 E - 500 SL - 500 SEL - C180 - "</f>
        <v xml:space="preserve">REG DE PRESION M BENZ 200 E - 300 SE - 500 E - 500 SL - 500 SEL - C180 - </v>
      </c>
      <c r="C2645" t="str">
        <f t="shared" si="1733"/>
        <v>$ 23278,41</v>
      </c>
      <c r="D2645" t="str">
        <f t="shared" si="1733"/>
        <v>$ 23278,41</v>
      </c>
      <c r="E2645" t="str">
        <f t="shared" si="1733"/>
        <v>$ 23278,41</v>
      </c>
      <c r="F2645" t="str">
        <f t="shared" si="1733"/>
        <v>$ 23278,41</v>
      </c>
      <c r="G2645" t="str">
        <f t="shared" si="1733"/>
        <v>$ 23278,41</v>
      </c>
      <c r="H2645" t="str">
        <f t="shared" si="1707"/>
        <v>$ 0,00</v>
      </c>
      <c r="I2645" t="str">
        <f t="shared" si="1728"/>
        <v>REGULADORES DE PRESION</v>
      </c>
      <c r="J2645" t="str">
        <f t="shared" si="1708"/>
        <v>1</v>
      </c>
      <c r="K2645" t="str">
        <f t="shared" ref="K2645:K2708" si="1734">"0"</f>
        <v>0</v>
      </c>
      <c r="L2645" t="str">
        <f>"0,000"</f>
        <v>0,000</v>
      </c>
      <c r="M2645" t="str">
        <f t="shared" si="1709"/>
        <v xml:space="preserve"> </v>
      </c>
      <c r="N2645" t="str">
        <f t="shared" si="1729"/>
        <v>FISPA</v>
      </c>
      <c r="O2645" t="str">
        <f t="shared" si="1730"/>
        <v>BOMBAS</v>
      </c>
      <c r="P2645" t="str">
        <f t="shared" si="1731"/>
        <v>0</v>
      </c>
      <c r="Q2645" t="str">
        <f t="shared" si="1731"/>
        <v>0</v>
      </c>
      <c r="R2645" t="str">
        <f t="shared" si="1732"/>
        <v>0,00</v>
      </c>
      <c r="S2645" t="str">
        <f t="shared" si="1732"/>
        <v>0,00</v>
      </c>
      <c r="T2645" t="str">
        <f t="shared" si="1704"/>
        <v xml:space="preserve"> </v>
      </c>
      <c r="U2645" t="str">
        <f t="shared" si="1705"/>
        <v xml:space="preserve"> </v>
      </c>
      <c r="V2645" t="str">
        <f>"0,000"</f>
        <v>0,000</v>
      </c>
      <c r="W2645" t="str">
        <f t="shared" si="1710"/>
        <v>Lista 4</v>
      </c>
      <c r="X2645" t="str">
        <f t="shared" si="1711"/>
        <v>Lista 5</v>
      </c>
      <c r="Y2645" t="str">
        <f t="shared" si="1712"/>
        <v>Oferta Gral.</v>
      </c>
      <c r="Z2645" t="str">
        <f t="shared" si="1713"/>
        <v>Rubro</v>
      </c>
      <c r="AA2645" t="str">
        <f t="shared" si="1714"/>
        <v>Cantidad por Bulto</v>
      </c>
      <c r="AB2645" t="str">
        <f t="shared" si="1715"/>
        <v>INNER</v>
      </c>
      <c r="AC2645" t="str">
        <f t="shared" si="1716"/>
        <v>Stock en Bultos</v>
      </c>
      <c r="AD2645" t="str">
        <f t="shared" si="1717"/>
        <v>SubDepósito</v>
      </c>
      <c r="AE2645" t="str">
        <f t="shared" si="1718"/>
        <v>Marca</v>
      </c>
      <c r="AF2645" t="str">
        <f t="shared" si="1719"/>
        <v>Super Rubro</v>
      </c>
      <c r="AG2645" t="str">
        <f t="shared" si="1720"/>
        <v>ComercioExterior</v>
      </c>
      <c r="AH2645" t="str">
        <f t="shared" si="1721"/>
        <v>PrecioFOB</v>
      </c>
      <c r="AI2645" t="str">
        <f t="shared" si="1722"/>
        <v>Monto II</v>
      </c>
      <c r="AJ2645" t="str">
        <f t="shared" si="1723"/>
        <v>Porcentaje II</v>
      </c>
      <c r="AK2645" t="str">
        <f t="shared" si="1724"/>
        <v>Foto</v>
      </c>
      <c r="AL264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5" t="str">
        <f t="shared" si="1706"/>
        <v>-</v>
      </c>
    </row>
    <row r="2646" spans="1:39" x14ac:dyDescent="0.25">
      <c r="A2646" t="str">
        <f>"FI16004"</f>
        <v>FI16004</v>
      </c>
      <c r="B2646" t="str">
        <f>"REG DE PRESION PALIO 1.5/1.6 MPI/CLIO/BERLINGO/PARTNER/GOL/"</f>
        <v>REG DE PRESION PALIO 1.5/1.6 MPI/CLIO/BERLINGO/PARTNER/GOL/</v>
      </c>
      <c r="C2646" t="str">
        <f>"$ 22718,71"</f>
        <v>$ 22718,71</v>
      </c>
      <c r="D2646" t="str">
        <f>"$ 22718,71"</f>
        <v>$ 22718,71</v>
      </c>
      <c r="E2646" t="str">
        <f>"$ 22718,71"</f>
        <v>$ 22718,71</v>
      </c>
      <c r="F2646" t="str">
        <f>"$ 22718,71"</f>
        <v>$ 22718,71</v>
      </c>
      <c r="G2646" t="str">
        <f>"$ 22718,71"</f>
        <v>$ 22718,71</v>
      </c>
      <c r="H2646" t="str">
        <f t="shared" si="1707"/>
        <v>$ 0,00</v>
      </c>
      <c r="I2646" t="str">
        <f t="shared" si="1728"/>
        <v>REGULADORES DE PRESION</v>
      </c>
      <c r="J2646" t="str">
        <f t="shared" si="1708"/>
        <v>1</v>
      </c>
      <c r="K2646" t="str">
        <f t="shared" si="1734"/>
        <v>0</v>
      </c>
      <c r="L2646" t="str">
        <f>"8,000"</f>
        <v>8,000</v>
      </c>
      <c r="M2646" t="str">
        <f t="shared" si="1709"/>
        <v xml:space="preserve"> </v>
      </c>
      <c r="N2646" t="str">
        <f t="shared" si="1729"/>
        <v>FISPA</v>
      </c>
      <c r="O2646" t="str">
        <f t="shared" si="1730"/>
        <v>BOMBAS</v>
      </c>
      <c r="P2646" t="str">
        <f t="shared" si="1731"/>
        <v>0</v>
      </c>
      <c r="Q2646" t="str">
        <f t="shared" si="1731"/>
        <v>0</v>
      </c>
      <c r="R2646" t="str">
        <f t="shared" si="1732"/>
        <v>0,00</v>
      </c>
      <c r="S2646" t="str">
        <f t="shared" si="1732"/>
        <v>0,00</v>
      </c>
      <c r="T2646" t="str">
        <f t="shared" si="1704"/>
        <v xml:space="preserve"> </v>
      </c>
      <c r="U2646" t="str">
        <f t="shared" si="1705"/>
        <v xml:space="preserve"> </v>
      </c>
      <c r="V2646" t="str">
        <f>"8,000"</f>
        <v>8,000</v>
      </c>
      <c r="W2646" t="str">
        <f t="shared" si="1710"/>
        <v>Lista 4</v>
      </c>
      <c r="X2646" t="str">
        <f t="shared" si="1711"/>
        <v>Lista 5</v>
      </c>
      <c r="Y2646" t="str">
        <f t="shared" si="1712"/>
        <v>Oferta Gral.</v>
      </c>
      <c r="Z2646" t="str">
        <f t="shared" si="1713"/>
        <v>Rubro</v>
      </c>
      <c r="AA2646" t="str">
        <f t="shared" si="1714"/>
        <v>Cantidad por Bulto</v>
      </c>
      <c r="AB2646" t="str">
        <f t="shared" si="1715"/>
        <v>INNER</v>
      </c>
      <c r="AC2646" t="str">
        <f t="shared" si="1716"/>
        <v>Stock en Bultos</v>
      </c>
      <c r="AD2646" t="str">
        <f t="shared" si="1717"/>
        <v>SubDepósito</v>
      </c>
      <c r="AE2646" t="str">
        <f t="shared" si="1718"/>
        <v>Marca</v>
      </c>
      <c r="AF2646" t="str">
        <f t="shared" si="1719"/>
        <v>Super Rubro</v>
      </c>
      <c r="AG2646" t="str">
        <f t="shared" si="1720"/>
        <v>ComercioExterior</v>
      </c>
      <c r="AH2646" t="str">
        <f t="shared" si="1721"/>
        <v>PrecioFOB</v>
      </c>
      <c r="AI2646" t="str">
        <f t="shared" si="1722"/>
        <v>Monto II</v>
      </c>
      <c r="AJ2646" t="str">
        <f t="shared" si="1723"/>
        <v>Porcentaje II</v>
      </c>
      <c r="AK2646" t="str">
        <f t="shared" si="1724"/>
        <v>Foto</v>
      </c>
      <c r="AL264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46" t="str">
        <f t="shared" si="1706"/>
        <v>-</v>
      </c>
    </row>
    <row r="2647" spans="1:39" x14ac:dyDescent="0.25">
      <c r="A2647" t="str">
        <f>"FI16005"</f>
        <v>FI16005</v>
      </c>
      <c r="B2647" t="str">
        <f>"REG DE PRESION VW GOL 1.6 MI - GM ASTRA/ZAFIRA 2.0 SFI 16V- 3.0 BAR"</f>
        <v>REG DE PRESION VW GOL 1.6 MI - GM ASTRA/ZAFIRA 2.0 SFI 16V- 3.0 BAR</v>
      </c>
      <c r="C2647" t="str">
        <f>"$ 21531,20"</f>
        <v>$ 21531,20</v>
      </c>
      <c r="D2647" t="str">
        <f>"$ 21531,20"</f>
        <v>$ 21531,20</v>
      </c>
      <c r="E2647" t="str">
        <f>"$ 21531,20"</f>
        <v>$ 21531,20</v>
      </c>
      <c r="F2647" t="str">
        <f>"$ 21531,20"</f>
        <v>$ 21531,20</v>
      </c>
      <c r="G2647" t="str">
        <f>"$ 21531,20"</f>
        <v>$ 21531,20</v>
      </c>
      <c r="H2647" t="str">
        <f t="shared" si="1707"/>
        <v>$ 0,00</v>
      </c>
      <c r="I2647" t="str">
        <f t="shared" si="1728"/>
        <v>REGULADORES DE PRESION</v>
      </c>
      <c r="J2647" t="str">
        <f t="shared" si="1708"/>
        <v>1</v>
      </c>
      <c r="K2647" t="str">
        <f t="shared" si="1734"/>
        <v>0</v>
      </c>
      <c r="L2647" t="str">
        <f>"2,000"</f>
        <v>2,000</v>
      </c>
      <c r="M2647" t="str">
        <f t="shared" si="1709"/>
        <v xml:space="preserve"> </v>
      </c>
      <c r="N2647" t="str">
        <f t="shared" si="1729"/>
        <v>FISPA</v>
      </c>
      <c r="O2647" t="str">
        <f t="shared" si="1730"/>
        <v>BOMBAS</v>
      </c>
      <c r="P2647" t="str">
        <f t="shared" si="1731"/>
        <v>0</v>
      </c>
      <c r="Q2647" t="str">
        <f t="shared" si="1731"/>
        <v>0</v>
      </c>
      <c r="R2647" t="str">
        <f t="shared" si="1732"/>
        <v>0,00</v>
      </c>
      <c r="S2647" t="str">
        <f t="shared" si="1732"/>
        <v>0,00</v>
      </c>
      <c r="T2647" t="str">
        <f t="shared" si="1704"/>
        <v xml:space="preserve"> </v>
      </c>
      <c r="U2647" t="str">
        <f t="shared" si="1705"/>
        <v xml:space="preserve"> </v>
      </c>
      <c r="V2647" t="str">
        <f>"2,000"</f>
        <v>2,000</v>
      </c>
      <c r="W2647" t="str">
        <f t="shared" si="1710"/>
        <v>Lista 4</v>
      </c>
      <c r="X2647" t="str">
        <f t="shared" si="1711"/>
        <v>Lista 5</v>
      </c>
      <c r="Y2647" t="str">
        <f t="shared" si="1712"/>
        <v>Oferta Gral.</v>
      </c>
      <c r="Z2647" t="str">
        <f t="shared" si="1713"/>
        <v>Rubro</v>
      </c>
      <c r="AA2647" t="str">
        <f t="shared" si="1714"/>
        <v>Cantidad por Bulto</v>
      </c>
      <c r="AB2647" t="str">
        <f t="shared" si="1715"/>
        <v>INNER</v>
      </c>
      <c r="AC2647" t="str">
        <f t="shared" si="1716"/>
        <v>Stock en Bultos</v>
      </c>
      <c r="AD2647" t="str">
        <f t="shared" si="1717"/>
        <v>SubDepósito</v>
      </c>
      <c r="AE2647" t="str">
        <f t="shared" si="1718"/>
        <v>Marca</v>
      </c>
      <c r="AF2647" t="str">
        <f t="shared" si="1719"/>
        <v>Super Rubro</v>
      </c>
      <c r="AG2647" t="str">
        <f t="shared" si="1720"/>
        <v>ComercioExterior</v>
      </c>
      <c r="AH2647" t="str">
        <f t="shared" si="1721"/>
        <v>PrecioFOB</v>
      </c>
      <c r="AI2647" t="str">
        <f t="shared" si="1722"/>
        <v>Monto II</v>
      </c>
      <c r="AJ2647" t="str">
        <f t="shared" si="1723"/>
        <v>Porcentaje II</v>
      </c>
      <c r="AK2647" t="str">
        <f t="shared" si="1724"/>
        <v>Foto</v>
      </c>
      <c r="AL26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47" t="str">
        <f t="shared" si="1706"/>
        <v>-</v>
      </c>
    </row>
    <row r="2648" spans="1:39" x14ac:dyDescent="0.25">
      <c r="A2648" t="str">
        <f>"FI16008"</f>
        <v>FI16008</v>
      </c>
      <c r="B2648" t="str">
        <f>"REG DE PRESION VW GOLF IV/PASSAT 1.8/1.8TURBO /2.0 "</f>
        <v xml:space="preserve">REG DE PRESION VW GOLF IV/PASSAT 1.8/1.8TURBO /2.0 </v>
      </c>
      <c r="C2648" t="str">
        <f>"$ 22516,87"</f>
        <v>$ 22516,87</v>
      </c>
      <c r="D2648" t="str">
        <f>"$ 22516,87"</f>
        <v>$ 22516,87</v>
      </c>
      <c r="E2648" t="str">
        <f>"$ 22516,87"</f>
        <v>$ 22516,87</v>
      </c>
      <c r="F2648" t="str">
        <f>"$ 22516,87"</f>
        <v>$ 22516,87</v>
      </c>
      <c r="G2648" t="str">
        <f>"$ 22516,87"</f>
        <v>$ 22516,87</v>
      </c>
      <c r="H2648" t="str">
        <f t="shared" si="1707"/>
        <v>$ 0,00</v>
      </c>
      <c r="I2648" t="str">
        <f t="shared" si="1728"/>
        <v>REGULADORES DE PRESION</v>
      </c>
      <c r="J2648" t="str">
        <f t="shared" si="1708"/>
        <v>1</v>
      </c>
      <c r="K2648" t="str">
        <f t="shared" si="1734"/>
        <v>0</v>
      </c>
      <c r="L2648" t="str">
        <f>"6,000"</f>
        <v>6,000</v>
      </c>
      <c r="M2648" t="str">
        <f t="shared" si="1709"/>
        <v xml:space="preserve"> </v>
      </c>
      <c r="N2648" t="str">
        <f t="shared" si="1729"/>
        <v>FISPA</v>
      </c>
      <c r="O2648" t="str">
        <f t="shared" si="1730"/>
        <v>BOMBAS</v>
      </c>
      <c r="P2648" t="str">
        <f t="shared" si="1731"/>
        <v>0</v>
      </c>
      <c r="Q2648" t="str">
        <f t="shared" si="1731"/>
        <v>0</v>
      </c>
      <c r="R2648" t="str">
        <f t="shared" si="1732"/>
        <v>0,00</v>
      </c>
      <c r="S2648" t="str">
        <f t="shared" si="1732"/>
        <v>0,00</v>
      </c>
      <c r="T2648" t="str">
        <f t="shared" si="1704"/>
        <v xml:space="preserve"> </v>
      </c>
      <c r="U2648" t="str">
        <f t="shared" si="1705"/>
        <v xml:space="preserve"> </v>
      </c>
      <c r="V2648" t="str">
        <f>"6,000"</f>
        <v>6,000</v>
      </c>
      <c r="W2648" t="str">
        <f t="shared" si="1710"/>
        <v>Lista 4</v>
      </c>
      <c r="X2648" t="str">
        <f t="shared" si="1711"/>
        <v>Lista 5</v>
      </c>
      <c r="Y2648" t="str">
        <f t="shared" si="1712"/>
        <v>Oferta Gral.</v>
      </c>
      <c r="Z2648" t="str">
        <f t="shared" si="1713"/>
        <v>Rubro</v>
      </c>
      <c r="AA2648" t="str">
        <f t="shared" si="1714"/>
        <v>Cantidad por Bulto</v>
      </c>
      <c r="AB2648" t="str">
        <f t="shared" si="1715"/>
        <v>INNER</v>
      </c>
      <c r="AC2648" t="str">
        <f t="shared" si="1716"/>
        <v>Stock en Bultos</v>
      </c>
      <c r="AD2648" t="str">
        <f t="shared" si="1717"/>
        <v>SubDepósito</v>
      </c>
      <c r="AE2648" t="str">
        <f t="shared" si="1718"/>
        <v>Marca</v>
      </c>
      <c r="AF2648" t="str">
        <f t="shared" si="1719"/>
        <v>Super Rubro</v>
      </c>
      <c r="AG2648" t="str">
        <f t="shared" si="1720"/>
        <v>ComercioExterior</v>
      </c>
      <c r="AH2648" t="str">
        <f t="shared" si="1721"/>
        <v>PrecioFOB</v>
      </c>
      <c r="AI2648" t="str">
        <f t="shared" si="1722"/>
        <v>Monto II</v>
      </c>
      <c r="AJ2648" t="str">
        <f t="shared" si="1723"/>
        <v>Porcentaje II</v>
      </c>
      <c r="AK2648" t="str">
        <f t="shared" si="1724"/>
        <v>Foto</v>
      </c>
      <c r="AL264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8" t="str">
        <f t="shared" si="1706"/>
        <v>-</v>
      </c>
    </row>
    <row r="2649" spans="1:39" x14ac:dyDescent="0.25">
      <c r="A2649" t="str">
        <f>"FI16000"</f>
        <v>FI16000</v>
      </c>
      <c r="B2649" t="str">
        <f>"REG PRESION FIAT DUCATO 2.0 /PALIO1.8 I.E.P306/405 1.8/2.0 "</f>
        <v xml:space="preserve">REG PRESION FIAT DUCATO 2.0 /PALIO1.8 I.E.P306/405 1.8/2.0 </v>
      </c>
      <c r="C2649" t="str">
        <f>"$ 24477,07"</f>
        <v>$ 24477,07</v>
      </c>
      <c r="D2649" t="str">
        <f>"$ 24477,07"</f>
        <v>$ 24477,07</v>
      </c>
      <c r="E2649" t="str">
        <f>"$ 24477,07"</f>
        <v>$ 24477,07</v>
      </c>
      <c r="F2649" t="str">
        <f>"$ 24477,07"</f>
        <v>$ 24477,07</v>
      </c>
      <c r="G2649" t="str">
        <f>"$ 24477,07"</f>
        <v>$ 24477,07</v>
      </c>
      <c r="H2649" t="str">
        <f t="shared" si="1707"/>
        <v>$ 0,00</v>
      </c>
      <c r="I2649" t="str">
        <f t="shared" si="1728"/>
        <v>REGULADORES DE PRESION</v>
      </c>
      <c r="J2649" t="str">
        <f t="shared" si="1708"/>
        <v>1</v>
      </c>
      <c r="K2649" t="str">
        <f t="shared" si="1734"/>
        <v>0</v>
      </c>
      <c r="L2649" t="str">
        <f>"9,000"</f>
        <v>9,000</v>
      </c>
      <c r="M2649" t="str">
        <f t="shared" si="1709"/>
        <v xml:space="preserve"> </v>
      </c>
      <c r="N2649" t="str">
        <f t="shared" si="1729"/>
        <v>FISPA</v>
      </c>
      <c r="O2649" t="str">
        <f t="shared" si="1730"/>
        <v>BOMBAS</v>
      </c>
      <c r="P2649" t="str">
        <f t="shared" si="1731"/>
        <v>0</v>
      </c>
      <c r="Q2649" t="str">
        <f t="shared" si="1731"/>
        <v>0</v>
      </c>
      <c r="R2649" t="str">
        <f t="shared" si="1732"/>
        <v>0,00</v>
      </c>
      <c r="S2649" t="str">
        <f t="shared" si="1732"/>
        <v>0,00</v>
      </c>
      <c r="T2649" t="str">
        <f t="shared" si="1704"/>
        <v xml:space="preserve"> </v>
      </c>
      <c r="U2649" t="str">
        <f t="shared" si="1705"/>
        <v xml:space="preserve"> </v>
      </c>
      <c r="V2649" t="str">
        <f>"9,000"</f>
        <v>9,000</v>
      </c>
      <c r="W2649" t="str">
        <f t="shared" si="1710"/>
        <v>Lista 4</v>
      </c>
      <c r="X2649" t="str">
        <f t="shared" si="1711"/>
        <v>Lista 5</v>
      </c>
      <c r="Y2649" t="str">
        <f t="shared" si="1712"/>
        <v>Oferta Gral.</v>
      </c>
      <c r="Z2649" t="str">
        <f t="shared" si="1713"/>
        <v>Rubro</v>
      </c>
      <c r="AA2649" t="str">
        <f t="shared" si="1714"/>
        <v>Cantidad por Bulto</v>
      </c>
      <c r="AB2649" t="str">
        <f t="shared" si="1715"/>
        <v>INNER</v>
      </c>
      <c r="AC2649" t="str">
        <f t="shared" si="1716"/>
        <v>Stock en Bultos</v>
      </c>
      <c r="AD2649" t="str">
        <f t="shared" si="1717"/>
        <v>SubDepósito</v>
      </c>
      <c r="AE2649" t="str">
        <f t="shared" si="1718"/>
        <v>Marca</v>
      </c>
      <c r="AF2649" t="str">
        <f t="shared" si="1719"/>
        <v>Super Rubro</v>
      </c>
      <c r="AG2649" t="str">
        <f t="shared" si="1720"/>
        <v>ComercioExterior</v>
      </c>
      <c r="AH2649" t="str">
        <f t="shared" si="1721"/>
        <v>PrecioFOB</v>
      </c>
      <c r="AI2649" t="str">
        <f t="shared" si="1722"/>
        <v>Monto II</v>
      </c>
      <c r="AJ2649" t="str">
        <f t="shared" si="1723"/>
        <v>Porcentaje II</v>
      </c>
      <c r="AK2649" t="str">
        <f t="shared" si="1724"/>
        <v>Foto</v>
      </c>
      <c r="AL264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49" t="str">
        <f t="shared" si="1706"/>
        <v>-</v>
      </c>
    </row>
    <row r="2650" spans="1:39" x14ac:dyDescent="0.25">
      <c r="A2650" t="str">
        <f>"FI16002"</f>
        <v>FI16002</v>
      </c>
      <c r="B2650" t="str">
        <f>"REG. DE PRESION VW FOX/GOL 1.6 - PEUGEOT 307 1.6I 16V"</f>
        <v>REG. DE PRESION VW FOX/GOL 1.6 - PEUGEOT 307 1.6I 16V</v>
      </c>
      <c r="C2650" t="str">
        <f>"$ 24317,33"</f>
        <v>$ 24317,33</v>
      </c>
      <c r="D2650" t="str">
        <f>"$ 24317,33"</f>
        <v>$ 24317,33</v>
      </c>
      <c r="E2650" t="str">
        <f>"$ 24317,33"</f>
        <v>$ 24317,33</v>
      </c>
      <c r="F2650" t="str">
        <f>"$ 24317,33"</f>
        <v>$ 24317,33</v>
      </c>
      <c r="G2650" t="str">
        <f>"$ 24317,33"</f>
        <v>$ 24317,33</v>
      </c>
      <c r="H2650" t="str">
        <f t="shared" si="1707"/>
        <v>$ 0,00</v>
      </c>
      <c r="I2650" t="str">
        <f t="shared" si="1728"/>
        <v>REGULADORES DE PRESION</v>
      </c>
      <c r="J2650" t="str">
        <f t="shared" si="1708"/>
        <v>1</v>
      </c>
      <c r="K2650" t="str">
        <f t="shared" si="1734"/>
        <v>0</v>
      </c>
      <c r="L2650" t="str">
        <f>"3,000"</f>
        <v>3,000</v>
      </c>
      <c r="M2650" t="str">
        <f t="shared" si="1709"/>
        <v xml:space="preserve"> </v>
      </c>
      <c r="N2650" t="str">
        <f t="shared" si="1729"/>
        <v>FISPA</v>
      </c>
      <c r="O2650" t="str">
        <f t="shared" si="1730"/>
        <v>BOMBAS</v>
      </c>
      <c r="P2650" t="str">
        <f t="shared" si="1731"/>
        <v>0</v>
      </c>
      <c r="Q2650" t="str">
        <f t="shared" si="1731"/>
        <v>0</v>
      </c>
      <c r="R2650" t="str">
        <f t="shared" si="1732"/>
        <v>0,00</v>
      </c>
      <c r="S2650" t="str">
        <f t="shared" si="1732"/>
        <v>0,00</v>
      </c>
      <c r="T2650" t="str">
        <f t="shared" si="1704"/>
        <v xml:space="preserve"> </v>
      </c>
      <c r="U2650" t="str">
        <f t="shared" si="1705"/>
        <v xml:space="preserve"> </v>
      </c>
      <c r="V2650" t="str">
        <f>"3,000"</f>
        <v>3,000</v>
      </c>
      <c r="W2650" t="str">
        <f t="shared" si="1710"/>
        <v>Lista 4</v>
      </c>
      <c r="X2650" t="str">
        <f t="shared" si="1711"/>
        <v>Lista 5</v>
      </c>
      <c r="Y2650" t="str">
        <f t="shared" si="1712"/>
        <v>Oferta Gral.</v>
      </c>
      <c r="Z2650" t="str">
        <f t="shared" si="1713"/>
        <v>Rubro</v>
      </c>
      <c r="AA2650" t="str">
        <f t="shared" si="1714"/>
        <v>Cantidad por Bulto</v>
      </c>
      <c r="AB2650" t="str">
        <f t="shared" si="1715"/>
        <v>INNER</v>
      </c>
      <c r="AC2650" t="str">
        <f t="shared" si="1716"/>
        <v>Stock en Bultos</v>
      </c>
      <c r="AD2650" t="str">
        <f t="shared" si="1717"/>
        <v>SubDepósito</v>
      </c>
      <c r="AE2650" t="str">
        <f t="shared" si="1718"/>
        <v>Marca</v>
      </c>
      <c r="AF2650" t="str">
        <f t="shared" si="1719"/>
        <v>Super Rubro</v>
      </c>
      <c r="AG2650" t="str">
        <f t="shared" si="1720"/>
        <v>ComercioExterior</v>
      </c>
      <c r="AH2650" t="str">
        <f t="shared" si="1721"/>
        <v>PrecioFOB</v>
      </c>
      <c r="AI2650" t="str">
        <f t="shared" si="1722"/>
        <v>Monto II</v>
      </c>
      <c r="AJ2650" t="str">
        <f t="shared" si="1723"/>
        <v>Porcentaje II</v>
      </c>
      <c r="AK2650" t="str">
        <f t="shared" si="1724"/>
        <v>Foto</v>
      </c>
      <c r="AL265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50" t="str">
        <f t="shared" si="1706"/>
        <v>-</v>
      </c>
    </row>
    <row r="2651" spans="1:39" x14ac:dyDescent="0.25">
      <c r="A2651" t="str">
        <f>"FI16018"</f>
        <v>FI16018</v>
      </c>
      <c r="B2651" t="str">
        <f>"REGULADOR DE PRESION CHEVROLET ASTRA / VECTRA 2.0 HASTA 1998 3.0 BAR"</f>
        <v>REGULADOR DE PRESION CHEVROLET ASTRA / VECTRA 2.0 HASTA 1998 3.0 BAR</v>
      </c>
      <c r="C2651" t="str">
        <f>"$ 33892,95"</f>
        <v>$ 33892,95</v>
      </c>
      <c r="D2651" t="str">
        <f>"$ 33892,95"</f>
        <v>$ 33892,95</v>
      </c>
      <c r="E2651" t="str">
        <f>"$ 33892,95"</f>
        <v>$ 33892,95</v>
      </c>
      <c r="F2651" t="str">
        <f>"$ 33892,95"</f>
        <v>$ 33892,95</v>
      </c>
      <c r="G2651" t="str">
        <f>"$ 33892,95"</f>
        <v>$ 33892,95</v>
      </c>
      <c r="H2651" t="str">
        <f t="shared" si="1707"/>
        <v>$ 0,00</v>
      </c>
      <c r="I2651" t="str">
        <f t="shared" si="1728"/>
        <v>REGULADORES DE PRESION</v>
      </c>
      <c r="J2651" t="str">
        <f t="shared" si="1708"/>
        <v>1</v>
      </c>
      <c r="K2651" t="str">
        <f t="shared" si="1734"/>
        <v>0</v>
      </c>
      <c r="L2651" t="str">
        <f>"0,000"</f>
        <v>0,000</v>
      </c>
      <c r="M2651" t="str">
        <f t="shared" si="1709"/>
        <v xml:space="preserve"> </v>
      </c>
      <c r="N2651" t="str">
        <f t="shared" si="1729"/>
        <v>FISPA</v>
      </c>
      <c r="O2651" t="str">
        <f t="shared" si="1730"/>
        <v>BOMBAS</v>
      </c>
      <c r="P2651" t="str">
        <f t="shared" si="1731"/>
        <v>0</v>
      </c>
      <c r="Q2651" t="str">
        <f t="shared" si="1731"/>
        <v>0</v>
      </c>
      <c r="R2651" t="str">
        <f t="shared" si="1732"/>
        <v>0,00</v>
      </c>
      <c r="S2651" t="str">
        <f t="shared" si="1732"/>
        <v>0,00</v>
      </c>
      <c r="T2651" t="str">
        <f t="shared" si="1704"/>
        <v xml:space="preserve"> </v>
      </c>
      <c r="U2651" t="str">
        <f t="shared" si="1705"/>
        <v xml:space="preserve"> </v>
      </c>
      <c r="V2651" t="str">
        <f>"0,000"</f>
        <v>0,000</v>
      </c>
      <c r="W2651" t="str">
        <f t="shared" si="1710"/>
        <v>Lista 4</v>
      </c>
      <c r="X2651" t="str">
        <f t="shared" si="1711"/>
        <v>Lista 5</v>
      </c>
      <c r="Y2651" t="str">
        <f t="shared" si="1712"/>
        <v>Oferta Gral.</v>
      </c>
      <c r="Z2651" t="str">
        <f t="shared" si="1713"/>
        <v>Rubro</v>
      </c>
      <c r="AA2651" t="str">
        <f t="shared" si="1714"/>
        <v>Cantidad por Bulto</v>
      </c>
      <c r="AB2651" t="str">
        <f t="shared" si="1715"/>
        <v>INNER</v>
      </c>
      <c r="AC2651" t="str">
        <f t="shared" si="1716"/>
        <v>Stock en Bultos</v>
      </c>
      <c r="AD2651" t="str">
        <f t="shared" si="1717"/>
        <v>SubDepósito</v>
      </c>
      <c r="AE2651" t="str">
        <f t="shared" si="1718"/>
        <v>Marca</v>
      </c>
      <c r="AF2651" t="str">
        <f t="shared" si="1719"/>
        <v>Super Rubro</v>
      </c>
      <c r="AG2651" t="str">
        <f t="shared" si="1720"/>
        <v>ComercioExterior</v>
      </c>
      <c r="AH2651" t="str">
        <f t="shared" si="1721"/>
        <v>PrecioFOB</v>
      </c>
      <c r="AI2651" t="str">
        <f t="shared" si="1722"/>
        <v>Monto II</v>
      </c>
      <c r="AJ2651" t="str">
        <f t="shared" si="1723"/>
        <v>Porcentaje II</v>
      </c>
      <c r="AK2651" t="str">
        <f t="shared" si="1724"/>
        <v>Foto</v>
      </c>
      <c r="AL2651" t="str">
        <f>" "</f>
        <v xml:space="preserve"> </v>
      </c>
      <c r="AM2651" t="str">
        <f t="shared" si="1706"/>
        <v>-</v>
      </c>
    </row>
    <row r="2652" spans="1:39" x14ac:dyDescent="0.25">
      <c r="A2652" t="str">
        <f>"FI16016"</f>
        <v>FI16016</v>
      </c>
      <c r="B2652" t="str">
        <f>"REGULADOR DE PRESION CHEVROLET AVEO - KIA RIO PICANTO - 3.0BAR"</f>
        <v>REGULADOR DE PRESION CHEVROLET AVEO - KIA RIO PICANTO - 3.0BAR</v>
      </c>
      <c r="C2652" t="str">
        <f>"$ 41509,60"</f>
        <v>$ 41509,60</v>
      </c>
      <c r="D2652" t="str">
        <f>"$ 41509,60"</f>
        <v>$ 41509,60</v>
      </c>
      <c r="E2652" t="str">
        <f>"$ 41509,60"</f>
        <v>$ 41509,60</v>
      </c>
      <c r="F2652" t="str">
        <f>"$ 41509,60"</f>
        <v>$ 41509,60</v>
      </c>
      <c r="G2652" t="str">
        <f>"$ 41509,60"</f>
        <v>$ 41509,60</v>
      </c>
      <c r="H2652" t="str">
        <f t="shared" si="1707"/>
        <v>$ 0,00</v>
      </c>
      <c r="I2652" t="str">
        <f t="shared" si="1728"/>
        <v>REGULADORES DE PRESION</v>
      </c>
      <c r="J2652" t="str">
        <f t="shared" si="1708"/>
        <v>1</v>
      </c>
      <c r="K2652" t="str">
        <f t="shared" si="1734"/>
        <v>0</v>
      </c>
      <c r="L2652" t="str">
        <f>"3,000"</f>
        <v>3,000</v>
      </c>
      <c r="M2652" t="str">
        <f t="shared" si="1709"/>
        <v xml:space="preserve"> </v>
      </c>
      <c r="N2652" t="str">
        <f t="shared" si="1729"/>
        <v>FISPA</v>
      </c>
      <c r="O2652" t="str">
        <f t="shared" si="1730"/>
        <v>BOMBAS</v>
      </c>
      <c r="P2652" t="str">
        <f t="shared" si="1731"/>
        <v>0</v>
      </c>
      <c r="Q2652" t="str">
        <f t="shared" si="1731"/>
        <v>0</v>
      </c>
      <c r="R2652" t="str">
        <f t="shared" si="1732"/>
        <v>0,00</v>
      </c>
      <c r="S2652" t="str">
        <f t="shared" si="1732"/>
        <v>0,00</v>
      </c>
      <c r="T2652" t="str">
        <f t="shared" si="1704"/>
        <v xml:space="preserve"> </v>
      </c>
      <c r="U2652" t="str">
        <f t="shared" si="1705"/>
        <v xml:space="preserve"> </v>
      </c>
      <c r="V2652" t="str">
        <f>"3,000"</f>
        <v>3,000</v>
      </c>
      <c r="W2652" t="str">
        <f t="shared" si="1710"/>
        <v>Lista 4</v>
      </c>
      <c r="X2652" t="str">
        <f t="shared" si="1711"/>
        <v>Lista 5</v>
      </c>
      <c r="Y2652" t="str">
        <f t="shared" si="1712"/>
        <v>Oferta Gral.</v>
      </c>
      <c r="Z2652" t="str">
        <f t="shared" si="1713"/>
        <v>Rubro</v>
      </c>
      <c r="AA2652" t="str">
        <f t="shared" si="1714"/>
        <v>Cantidad por Bulto</v>
      </c>
      <c r="AB2652" t="str">
        <f t="shared" si="1715"/>
        <v>INNER</v>
      </c>
      <c r="AC2652" t="str">
        <f t="shared" si="1716"/>
        <v>Stock en Bultos</v>
      </c>
      <c r="AD2652" t="str">
        <f t="shared" si="1717"/>
        <v>SubDepósito</v>
      </c>
      <c r="AE2652" t="str">
        <f t="shared" si="1718"/>
        <v>Marca</v>
      </c>
      <c r="AF2652" t="str">
        <f t="shared" si="1719"/>
        <v>Super Rubro</v>
      </c>
      <c r="AG2652" t="str">
        <f t="shared" si="1720"/>
        <v>ComercioExterior</v>
      </c>
      <c r="AH2652" t="str">
        <f t="shared" si="1721"/>
        <v>PrecioFOB</v>
      </c>
      <c r="AI2652" t="str">
        <f t="shared" si="1722"/>
        <v>Monto II</v>
      </c>
      <c r="AJ2652" t="str">
        <f t="shared" si="1723"/>
        <v>Porcentaje II</v>
      </c>
      <c r="AK2652" t="str">
        <f t="shared" si="1724"/>
        <v>Foto</v>
      </c>
      <c r="AL2652" t="str">
        <f>" "</f>
        <v xml:space="preserve"> </v>
      </c>
      <c r="AM2652" t="str">
        <f t="shared" si="1706"/>
        <v>-</v>
      </c>
    </row>
    <row r="2653" spans="1:39" x14ac:dyDescent="0.25">
      <c r="A2653" t="str">
        <f>"FI16020"</f>
        <v>FI16020</v>
      </c>
      <c r="B2653" t="str">
        <f>"REGULADOR DE PRESION CHEVROLET S10 V6 - 4.2 BAR"</f>
        <v>REGULADOR DE PRESION CHEVROLET S10 V6 - 4.2 BAR</v>
      </c>
      <c r="C2653" t="str">
        <f>"$ 39993,95"</f>
        <v>$ 39993,95</v>
      </c>
      <c r="D2653" t="str">
        <f>"$ 39993,95"</f>
        <v>$ 39993,95</v>
      </c>
      <c r="E2653" t="str">
        <f>"$ 39993,95"</f>
        <v>$ 39993,95</v>
      </c>
      <c r="F2653" t="str">
        <f>"$ 39993,95"</f>
        <v>$ 39993,95</v>
      </c>
      <c r="G2653" t="str">
        <f>"$ 39993,95"</f>
        <v>$ 39993,95</v>
      </c>
      <c r="H2653" t="str">
        <f t="shared" si="1707"/>
        <v>$ 0,00</v>
      </c>
      <c r="I2653" t="str">
        <f t="shared" si="1728"/>
        <v>REGULADORES DE PRESION</v>
      </c>
      <c r="J2653" t="str">
        <f t="shared" si="1708"/>
        <v>1</v>
      </c>
      <c r="K2653" t="str">
        <f t="shared" si="1734"/>
        <v>0</v>
      </c>
      <c r="L2653" t="str">
        <f>"0,000"</f>
        <v>0,000</v>
      </c>
      <c r="M2653" t="str">
        <f t="shared" si="1709"/>
        <v xml:space="preserve"> </v>
      </c>
      <c r="N2653" t="str">
        <f t="shared" si="1729"/>
        <v>FISPA</v>
      </c>
      <c r="O2653" t="str">
        <f t="shared" si="1730"/>
        <v>BOMBAS</v>
      </c>
      <c r="P2653" t="str">
        <f t="shared" si="1731"/>
        <v>0</v>
      </c>
      <c r="Q2653" t="str">
        <f t="shared" si="1731"/>
        <v>0</v>
      </c>
      <c r="R2653" t="str">
        <f t="shared" si="1732"/>
        <v>0,00</v>
      </c>
      <c r="S2653" t="str">
        <f t="shared" si="1732"/>
        <v>0,00</v>
      </c>
      <c r="T2653" t="str">
        <f t="shared" si="1704"/>
        <v xml:space="preserve"> </v>
      </c>
      <c r="U2653" t="str">
        <f t="shared" si="1705"/>
        <v xml:space="preserve"> </v>
      </c>
      <c r="V2653" t="str">
        <f>"0,000"</f>
        <v>0,000</v>
      </c>
      <c r="W2653" t="str">
        <f t="shared" si="1710"/>
        <v>Lista 4</v>
      </c>
      <c r="X2653" t="str">
        <f t="shared" si="1711"/>
        <v>Lista 5</v>
      </c>
      <c r="Y2653" t="str">
        <f t="shared" si="1712"/>
        <v>Oferta Gral.</v>
      </c>
      <c r="Z2653" t="str">
        <f t="shared" si="1713"/>
        <v>Rubro</v>
      </c>
      <c r="AA2653" t="str">
        <f t="shared" si="1714"/>
        <v>Cantidad por Bulto</v>
      </c>
      <c r="AB2653" t="str">
        <f t="shared" si="1715"/>
        <v>INNER</v>
      </c>
      <c r="AC2653" t="str">
        <f t="shared" si="1716"/>
        <v>Stock en Bultos</v>
      </c>
      <c r="AD2653" t="str">
        <f t="shared" si="1717"/>
        <v>SubDepósito</v>
      </c>
      <c r="AE2653" t="str">
        <f t="shared" si="1718"/>
        <v>Marca</v>
      </c>
      <c r="AF2653" t="str">
        <f t="shared" si="1719"/>
        <v>Super Rubro</v>
      </c>
      <c r="AG2653" t="str">
        <f t="shared" si="1720"/>
        <v>ComercioExterior</v>
      </c>
      <c r="AH2653" t="str">
        <f t="shared" si="1721"/>
        <v>PrecioFOB</v>
      </c>
      <c r="AI2653" t="str">
        <f t="shared" si="1722"/>
        <v>Monto II</v>
      </c>
      <c r="AJ2653" t="str">
        <f t="shared" si="1723"/>
        <v>Porcentaje II</v>
      </c>
      <c r="AK2653" t="str">
        <f t="shared" si="1724"/>
        <v>Foto</v>
      </c>
      <c r="AL2653" t="str">
        <f>"{\rtf1\ansi\ansicpg1252\deff0\deflang11274{\fonttbl{\f0\fnil\fcharset0 MS Sans Serif}} \viewkind4\uc1\pard\f0\fs16 REGULADOR DE PRESION CHEVROLET S10 V6 - 4.2 BAR\par } "</f>
        <v xml:space="preserve">{\rtf1\ansi\ansicpg1252\deff0\deflang11274{\fonttbl{\f0\fnil\fcharset0 MS Sans Serif}} \viewkind4\uc1\pard\f0\fs16 REGULADOR DE PRESION CHEVROLET S10 V6 - 4.2 BAR\par } </v>
      </c>
      <c r="AM2653" t="str">
        <f t="shared" si="1706"/>
        <v>-</v>
      </c>
    </row>
    <row r="2654" spans="1:39" x14ac:dyDescent="0.25">
      <c r="A2654" t="str">
        <f>"FI81075"</f>
        <v>FI81075</v>
      </c>
      <c r="B2654" t="str">
        <f>"REGULADOR DE PRESION COMMON RAIL P206/307 2.0 HDI"</f>
        <v>REGULADOR DE PRESION COMMON RAIL P206/307 2.0 HDI</v>
      </c>
      <c r="C2654" t="str">
        <f>"$ 121959,22"</f>
        <v>$ 121959,22</v>
      </c>
      <c r="D2654" t="str">
        <f>"$ 121959,22"</f>
        <v>$ 121959,22</v>
      </c>
      <c r="E2654" t="str">
        <f>"$ 121959,22"</f>
        <v>$ 121959,22</v>
      </c>
      <c r="F2654" t="str">
        <f>"$ 121959,22"</f>
        <v>$ 121959,22</v>
      </c>
      <c r="G2654" t="str">
        <f>"$ 121959,22"</f>
        <v>$ 121959,22</v>
      </c>
      <c r="H2654" t="str">
        <f t="shared" si="1707"/>
        <v>$ 0,00</v>
      </c>
      <c r="I2654" t="str">
        <f>"REGULADORES DE PRESION COMMON RAIL"</f>
        <v>REGULADORES DE PRESION COMMON RAIL</v>
      </c>
      <c r="J2654" t="str">
        <f t="shared" si="1708"/>
        <v>1</v>
      </c>
      <c r="K2654" t="str">
        <f t="shared" si="1734"/>
        <v>0</v>
      </c>
      <c r="L2654" t="str">
        <f>"0,000"</f>
        <v>0,000</v>
      </c>
      <c r="M2654" t="str">
        <f t="shared" si="1709"/>
        <v xml:space="preserve"> </v>
      </c>
      <c r="N2654" t="str">
        <f t="shared" si="1729"/>
        <v>FISPA</v>
      </c>
      <c r="O2654" t="str">
        <f t="shared" si="1730"/>
        <v>BOMBAS</v>
      </c>
      <c r="P2654" t="str">
        <f t="shared" si="1731"/>
        <v>0</v>
      </c>
      <c r="Q2654" t="str">
        <f t="shared" si="1731"/>
        <v>0</v>
      </c>
      <c r="R2654" t="str">
        <f t="shared" si="1732"/>
        <v>0,00</v>
      </c>
      <c r="S2654" t="str">
        <f t="shared" si="1732"/>
        <v>0,00</v>
      </c>
      <c r="T2654" t="str">
        <f t="shared" si="1704"/>
        <v xml:space="preserve"> </v>
      </c>
      <c r="U2654" t="str">
        <f t="shared" si="1705"/>
        <v xml:space="preserve"> </v>
      </c>
      <c r="V2654" t="str">
        <f>"0,000"</f>
        <v>0,000</v>
      </c>
      <c r="W2654" t="str">
        <f t="shared" si="1710"/>
        <v>Lista 4</v>
      </c>
      <c r="X2654" t="str">
        <f t="shared" si="1711"/>
        <v>Lista 5</v>
      </c>
      <c r="Y2654" t="str">
        <f t="shared" si="1712"/>
        <v>Oferta Gral.</v>
      </c>
      <c r="Z2654" t="str">
        <f t="shared" si="1713"/>
        <v>Rubro</v>
      </c>
      <c r="AA2654" t="str">
        <f t="shared" si="1714"/>
        <v>Cantidad por Bulto</v>
      </c>
      <c r="AB2654" t="str">
        <f t="shared" si="1715"/>
        <v>INNER</v>
      </c>
      <c r="AC2654" t="str">
        <f t="shared" si="1716"/>
        <v>Stock en Bultos</v>
      </c>
      <c r="AD2654" t="str">
        <f t="shared" si="1717"/>
        <v>SubDepósito</v>
      </c>
      <c r="AE2654" t="str">
        <f t="shared" si="1718"/>
        <v>Marca</v>
      </c>
      <c r="AF2654" t="str">
        <f t="shared" si="1719"/>
        <v>Super Rubro</v>
      </c>
      <c r="AG2654" t="str">
        <f t="shared" si="1720"/>
        <v>ComercioExterior</v>
      </c>
      <c r="AH2654" t="str">
        <f t="shared" si="1721"/>
        <v>PrecioFOB</v>
      </c>
      <c r="AI2654" t="str">
        <f t="shared" si="1722"/>
        <v>Monto II</v>
      </c>
      <c r="AJ2654" t="str">
        <f t="shared" si="1723"/>
        <v>Porcentaje II</v>
      </c>
      <c r="AK2654" t="str">
        <f t="shared" si="1724"/>
        <v>Foto</v>
      </c>
      <c r="AL265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54" t="str">
        <f t="shared" si="1706"/>
        <v>-</v>
      </c>
    </row>
    <row r="2655" spans="1:39" x14ac:dyDescent="0.25">
      <c r="A2655" t="str">
        <f>"FI16021"</f>
        <v>FI16021</v>
      </c>
      <c r="B2655" t="str">
        <f>"REGULADOR DE PRESION FORD F-100 4.9 - EXPLORER 4.0 - 3.6 BAR"</f>
        <v>REGULADOR DE PRESION FORD F-100 4.9 - EXPLORER 4.0 - 3.6 BAR</v>
      </c>
      <c r="C2655" t="str">
        <f t="shared" ref="C2655:G2656" si="1735">"$ 53861,44"</f>
        <v>$ 53861,44</v>
      </c>
      <c r="D2655" t="str">
        <f t="shared" si="1735"/>
        <v>$ 53861,44</v>
      </c>
      <c r="E2655" t="str">
        <f t="shared" si="1735"/>
        <v>$ 53861,44</v>
      </c>
      <c r="F2655" t="str">
        <f t="shared" si="1735"/>
        <v>$ 53861,44</v>
      </c>
      <c r="G2655" t="str">
        <f t="shared" si="1735"/>
        <v>$ 53861,44</v>
      </c>
      <c r="H2655" t="str">
        <f t="shared" si="1707"/>
        <v>$ 0,00</v>
      </c>
      <c r="I2655" t="str">
        <f t="shared" ref="I2655:I2668" si="1736">"REGULADORES DE PRESION"</f>
        <v>REGULADORES DE PRESION</v>
      </c>
      <c r="J2655" t="str">
        <f t="shared" si="1708"/>
        <v>1</v>
      </c>
      <c r="K2655" t="str">
        <f t="shared" si="1734"/>
        <v>0</v>
      </c>
      <c r="L2655" t="str">
        <f>"3,000"</f>
        <v>3,000</v>
      </c>
      <c r="M2655" t="str">
        <f t="shared" si="1709"/>
        <v xml:space="preserve"> </v>
      </c>
      <c r="N2655" t="str">
        <f t="shared" si="1729"/>
        <v>FISPA</v>
      </c>
      <c r="O2655" t="str">
        <f t="shared" si="1730"/>
        <v>BOMBAS</v>
      </c>
      <c r="P2655" t="str">
        <f t="shared" si="1731"/>
        <v>0</v>
      </c>
      <c r="Q2655" t="str">
        <f t="shared" si="1731"/>
        <v>0</v>
      </c>
      <c r="R2655" t="str">
        <f t="shared" si="1732"/>
        <v>0,00</v>
      </c>
      <c r="S2655" t="str">
        <f t="shared" si="1732"/>
        <v>0,00</v>
      </c>
      <c r="T2655" t="str">
        <f t="shared" si="1704"/>
        <v xml:space="preserve"> </v>
      </c>
      <c r="U2655" t="str">
        <f t="shared" si="1705"/>
        <v xml:space="preserve"> </v>
      </c>
      <c r="V2655" t="str">
        <f>"3,000"</f>
        <v>3,000</v>
      </c>
      <c r="W2655" t="str">
        <f t="shared" si="1710"/>
        <v>Lista 4</v>
      </c>
      <c r="X2655" t="str">
        <f t="shared" si="1711"/>
        <v>Lista 5</v>
      </c>
      <c r="Y2655" t="str">
        <f t="shared" si="1712"/>
        <v>Oferta Gral.</v>
      </c>
      <c r="Z2655" t="str">
        <f t="shared" si="1713"/>
        <v>Rubro</v>
      </c>
      <c r="AA2655" t="str">
        <f t="shared" si="1714"/>
        <v>Cantidad por Bulto</v>
      </c>
      <c r="AB2655" t="str">
        <f t="shared" si="1715"/>
        <v>INNER</v>
      </c>
      <c r="AC2655" t="str">
        <f t="shared" si="1716"/>
        <v>Stock en Bultos</v>
      </c>
      <c r="AD2655" t="str">
        <f t="shared" si="1717"/>
        <v>SubDepósito</v>
      </c>
      <c r="AE2655" t="str">
        <f t="shared" si="1718"/>
        <v>Marca</v>
      </c>
      <c r="AF2655" t="str">
        <f t="shared" si="1719"/>
        <v>Super Rubro</v>
      </c>
      <c r="AG2655" t="str">
        <f t="shared" si="1720"/>
        <v>ComercioExterior</v>
      </c>
      <c r="AH2655" t="str">
        <f t="shared" si="1721"/>
        <v>PrecioFOB</v>
      </c>
      <c r="AI2655" t="str">
        <f t="shared" si="1722"/>
        <v>Monto II</v>
      </c>
      <c r="AJ2655" t="str">
        <f t="shared" si="1723"/>
        <v>Porcentaje II</v>
      </c>
      <c r="AK2655" t="str">
        <f t="shared" si="1724"/>
        <v>Foto</v>
      </c>
      <c r="AL2655" t="str">
        <f>" "</f>
        <v xml:space="preserve"> </v>
      </c>
      <c r="AM2655" t="str">
        <f t="shared" si="1706"/>
        <v>-</v>
      </c>
    </row>
    <row r="2656" spans="1:39" x14ac:dyDescent="0.25">
      <c r="A2656" t="str">
        <f>"FI16022"</f>
        <v>FI16022</v>
      </c>
      <c r="B2656" t="str">
        <f>"REGULADOR DE PRESION FORD RANGER / EXPLORER 1991-1998 - 4.0 BAR"</f>
        <v>REGULADOR DE PRESION FORD RANGER / EXPLORER 1991-1998 - 4.0 BAR</v>
      </c>
      <c r="C2656" t="str">
        <f t="shared" si="1735"/>
        <v>$ 53861,44</v>
      </c>
      <c r="D2656" t="str">
        <f t="shared" si="1735"/>
        <v>$ 53861,44</v>
      </c>
      <c r="E2656" t="str">
        <f t="shared" si="1735"/>
        <v>$ 53861,44</v>
      </c>
      <c r="F2656" t="str">
        <f t="shared" si="1735"/>
        <v>$ 53861,44</v>
      </c>
      <c r="G2656" t="str">
        <f t="shared" si="1735"/>
        <v>$ 53861,44</v>
      </c>
      <c r="H2656" t="str">
        <f t="shared" si="1707"/>
        <v>$ 0,00</v>
      </c>
      <c r="I2656" t="str">
        <f t="shared" si="1736"/>
        <v>REGULADORES DE PRESION</v>
      </c>
      <c r="J2656" t="str">
        <f t="shared" si="1708"/>
        <v>1</v>
      </c>
      <c r="K2656" t="str">
        <f t="shared" si="1734"/>
        <v>0</v>
      </c>
      <c r="L2656" t="str">
        <f>"1,000"</f>
        <v>1,000</v>
      </c>
      <c r="M2656" t="str">
        <f t="shared" si="1709"/>
        <v xml:space="preserve"> </v>
      </c>
      <c r="N2656" t="str">
        <f t="shared" si="1729"/>
        <v>FISPA</v>
      </c>
      <c r="O2656" t="str">
        <f t="shared" si="1730"/>
        <v>BOMBAS</v>
      </c>
      <c r="P2656" t="str">
        <f t="shared" si="1731"/>
        <v>0</v>
      </c>
      <c r="Q2656" t="str">
        <f t="shared" si="1731"/>
        <v>0</v>
      </c>
      <c r="R2656" t="str">
        <f t="shared" si="1732"/>
        <v>0,00</v>
      </c>
      <c r="S2656" t="str">
        <f t="shared" si="1732"/>
        <v>0,00</v>
      </c>
      <c r="T2656" t="str">
        <f t="shared" si="1704"/>
        <v xml:space="preserve"> </v>
      </c>
      <c r="U2656" t="str">
        <f t="shared" si="1705"/>
        <v xml:space="preserve"> </v>
      </c>
      <c r="V2656" t="str">
        <f>"1,000"</f>
        <v>1,000</v>
      </c>
      <c r="W2656" t="str">
        <f t="shared" si="1710"/>
        <v>Lista 4</v>
      </c>
      <c r="X2656" t="str">
        <f t="shared" si="1711"/>
        <v>Lista 5</v>
      </c>
      <c r="Y2656" t="str">
        <f t="shared" si="1712"/>
        <v>Oferta Gral.</v>
      </c>
      <c r="Z2656" t="str">
        <f t="shared" si="1713"/>
        <v>Rubro</v>
      </c>
      <c r="AA2656" t="str">
        <f t="shared" si="1714"/>
        <v>Cantidad por Bulto</v>
      </c>
      <c r="AB2656" t="str">
        <f t="shared" si="1715"/>
        <v>INNER</v>
      </c>
      <c r="AC2656" t="str">
        <f t="shared" si="1716"/>
        <v>Stock en Bultos</v>
      </c>
      <c r="AD2656" t="str">
        <f t="shared" si="1717"/>
        <v>SubDepósito</v>
      </c>
      <c r="AE2656" t="str">
        <f t="shared" si="1718"/>
        <v>Marca</v>
      </c>
      <c r="AF2656" t="str">
        <f t="shared" si="1719"/>
        <v>Super Rubro</v>
      </c>
      <c r="AG2656" t="str">
        <f t="shared" si="1720"/>
        <v>ComercioExterior</v>
      </c>
      <c r="AH2656" t="str">
        <f t="shared" si="1721"/>
        <v>PrecioFOB</v>
      </c>
      <c r="AI2656" t="str">
        <f t="shared" si="1722"/>
        <v>Monto II</v>
      </c>
      <c r="AJ2656" t="str">
        <f t="shared" si="1723"/>
        <v>Porcentaje II</v>
      </c>
      <c r="AK2656" t="str">
        <f t="shared" si="1724"/>
        <v>Foto</v>
      </c>
      <c r="AL2656" t="str">
        <f>" "</f>
        <v xml:space="preserve"> </v>
      </c>
      <c r="AM2656" t="str">
        <f t="shared" si="1706"/>
        <v>-</v>
      </c>
    </row>
    <row r="2657" spans="1:39" x14ac:dyDescent="0.25">
      <c r="A2657" t="str">
        <f>"FI16007"</f>
        <v>FI16007</v>
      </c>
      <c r="B2657" t="str">
        <f>"REGULADOR DE PRESION GM BLAZER / S10 2.2 MPFI / 2.4 MPFI - VECTRA 2.0 MPFI / 2.2 MPFI - 3.0 BAR"</f>
        <v>REGULADOR DE PRESION GM BLAZER / S10 2.2 MPFI / 2.4 MPFI - VECTRA 2.0 MPFI / 2.2 MPFI - 3.0 BAR</v>
      </c>
      <c r="C2657" t="str">
        <f>"$ 28865,53"</f>
        <v>$ 28865,53</v>
      </c>
      <c r="D2657" t="str">
        <f>"$ 28865,53"</f>
        <v>$ 28865,53</v>
      </c>
      <c r="E2657" t="str">
        <f>"$ 28865,53"</f>
        <v>$ 28865,53</v>
      </c>
      <c r="F2657" t="str">
        <f>"$ 28865,53"</f>
        <v>$ 28865,53</v>
      </c>
      <c r="G2657" t="str">
        <f>"$ 28865,53"</f>
        <v>$ 28865,53</v>
      </c>
      <c r="H2657" t="str">
        <f t="shared" si="1707"/>
        <v>$ 0,00</v>
      </c>
      <c r="I2657" t="str">
        <f t="shared" si="1736"/>
        <v>REGULADORES DE PRESION</v>
      </c>
      <c r="J2657" t="str">
        <f t="shared" si="1708"/>
        <v>1</v>
      </c>
      <c r="K2657" t="str">
        <f t="shared" si="1734"/>
        <v>0</v>
      </c>
      <c r="L2657" t="str">
        <f>"2,000"</f>
        <v>2,000</v>
      </c>
      <c r="M2657" t="str">
        <f t="shared" si="1709"/>
        <v xml:space="preserve"> </v>
      </c>
      <c r="N2657" t="str">
        <f t="shared" si="1729"/>
        <v>FISPA</v>
      </c>
      <c r="O2657" t="str">
        <f t="shared" si="1730"/>
        <v>BOMBAS</v>
      </c>
      <c r="P2657" t="str">
        <f t="shared" si="1731"/>
        <v>0</v>
      </c>
      <c r="Q2657" t="str">
        <f t="shared" si="1731"/>
        <v>0</v>
      </c>
      <c r="R2657" t="str">
        <f t="shared" si="1732"/>
        <v>0,00</v>
      </c>
      <c r="S2657" t="str">
        <f t="shared" si="1732"/>
        <v>0,00</v>
      </c>
      <c r="T2657" t="str">
        <f t="shared" si="1704"/>
        <v xml:space="preserve"> </v>
      </c>
      <c r="U2657" t="str">
        <f t="shared" si="1705"/>
        <v xml:space="preserve"> </v>
      </c>
      <c r="V2657" t="str">
        <f>"2,000"</f>
        <v>2,000</v>
      </c>
      <c r="W2657" t="str">
        <f t="shared" si="1710"/>
        <v>Lista 4</v>
      </c>
      <c r="X2657" t="str">
        <f t="shared" si="1711"/>
        <v>Lista 5</v>
      </c>
      <c r="Y2657" t="str">
        <f t="shared" si="1712"/>
        <v>Oferta Gral.</v>
      </c>
      <c r="Z2657" t="str">
        <f t="shared" si="1713"/>
        <v>Rubro</v>
      </c>
      <c r="AA2657" t="str">
        <f t="shared" si="1714"/>
        <v>Cantidad por Bulto</v>
      </c>
      <c r="AB2657" t="str">
        <f t="shared" si="1715"/>
        <v>INNER</v>
      </c>
      <c r="AC2657" t="str">
        <f t="shared" si="1716"/>
        <v>Stock en Bultos</v>
      </c>
      <c r="AD2657" t="str">
        <f t="shared" si="1717"/>
        <v>SubDepósito</v>
      </c>
      <c r="AE2657" t="str">
        <f t="shared" si="1718"/>
        <v>Marca</v>
      </c>
      <c r="AF2657" t="str">
        <f t="shared" si="1719"/>
        <v>Super Rubro</v>
      </c>
      <c r="AG2657" t="str">
        <f t="shared" si="1720"/>
        <v>ComercioExterior</v>
      </c>
      <c r="AH2657" t="str">
        <f t="shared" si="1721"/>
        <v>PrecioFOB</v>
      </c>
      <c r="AI2657" t="str">
        <f t="shared" si="1722"/>
        <v>Monto II</v>
      </c>
      <c r="AJ2657" t="str">
        <f t="shared" si="1723"/>
        <v>Porcentaje II</v>
      </c>
      <c r="AK2657" t="str">
        <f t="shared" si="1724"/>
        <v>Foto</v>
      </c>
      <c r="AL2657" t="str">
        <f>" "</f>
        <v xml:space="preserve"> </v>
      </c>
      <c r="AM2657" t="str">
        <f t="shared" si="1706"/>
        <v>-</v>
      </c>
    </row>
    <row r="2658" spans="1:39" x14ac:dyDescent="0.25">
      <c r="A2658" t="str">
        <f>"FI16019"</f>
        <v>FI16019</v>
      </c>
      <c r="B2658" t="str">
        <f>"REGULADOR DE PRESION GM BLAZER 4.3 V6 / S10 4.3 V6 - 4.2 BAR"</f>
        <v>REGULADOR DE PRESION GM BLAZER 4.3 V6 / S10 4.3 V6 - 4.2 BAR</v>
      </c>
      <c r="C2658" t="str">
        <f>"$ 29098,33"</f>
        <v>$ 29098,33</v>
      </c>
      <c r="D2658" t="str">
        <f>"$ 29098,33"</f>
        <v>$ 29098,33</v>
      </c>
      <c r="E2658" t="str">
        <f>"$ 29098,33"</f>
        <v>$ 29098,33</v>
      </c>
      <c r="F2658" t="str">
        <f>"$ 29098,33"</f>
        <v>$ 29098,33</v>
      </c>
      <c r="G2658" t="str">
        <f>"$ 29098,33"</f>
        <v>$ 29098,33</v>
      </c>
      <c r="H2658" t="str">
        <f t="shared" si="1707"/>
        <v>$ 0,00</v>
      </c>
      <c r="I2658" t="str">
        <f t="shared" si="1736"/>
        <v>REGULADORES DE PRESION</v>
      </c>
      <c r="J2658" t="str">
        <f t="shared" si="1708"/>
        <v>1</v>
      </c>
      <c r="K2658" t="str">
        <f t="shared" si="1734"/>
        <v>0</v>
      </c>
      <c r="L2658" t="str">
        <f>"0,000"</f>
        <v>0,000</v>
      </c>
      <c r="M2658" t="str">
        <f t="shared" si="1709"/>
        <v xml:space="preserve"> </v>
      </c>
      <c r="N2658" t="str">
        <f t="shared" si="1729"/>
        <v>FISPA</v>
      </c>
      <c r="O2658" t="str">
        <f t="shared" si="1730"/>
        <v>BOMBAS</v>
      </c>
      <c r="P2658" t="str">
        <f t="shared" si="1731"/>
        <v>0</v>
      </c>
      <c r="Q2658" t="str">
        <f t="shared" si="1731"/>
        <v>0</v>
      </c>
      <c r="R2658" t="str">
        <f t="shared" si="1732"/>
        <v>0,00</v>
      </c>
      <c r="S2658" t="str">
        <f t="shared" si="1732"/>
        <v>0,00</v>
      </c>
      <c r="T2658" t="str">
        <f t="shared" si="1704"/>
        <v xml:space="preserve"> </v>
      </c>
      <c r="U2658" t="str">
        <f t="shared" si="1705"/>
        <v xml:space="preserve"> </v>
      </c>
      <c r="V2658" t="str">
        <f>"0,000"</f>
        <v>0,000</v>
      </c>
      <c r="W2658" t="str">
        <f t="shared" si="1710"/>
        <v>Lista 4</v>
      </c>
      <c r="X2658" t="str">
        <f t="shared" si="1711"/>
        <v>Lista 5</v>
      </c>
      <c r="Y2658" t="str">
        <f t="shared" si="1712"/>
        <v>Oferta Gral.</v>
      </c>
      <c r="Z2658" t="str">
        <f t="shared" si="1713"/>
        <v>Rubro</v>
      </c>
      <c r="AA2658" t="str">
        <f t="shared" si="1714"/>
        <v>Cantidad por Bulto</v>
      </c>
      <c r="AB2658" t="str">
        <f t="shared" si="1715"/>
        <v>INNER</v>
      </c>
      <c r="AC2658" t="str">
        <f t="shared" si="1716"/>
        <v>Stock en Bultos</v>
      </c>
      <c r="AD2658" t="str">
        <f t="shared" si="1717"/>
        <v>SubDepósito</v>
      </c>
      <c r="AE2658" t="str">
        <f t="shared" si="1718"/>
        <v>Marca</v>
      </c>
      <c r="AF2658" t="str">
        <f t="shared" si="1719"/>
        <v>Super Rubro</v>
      </c>
      <c r="AG2658" t="str">
        <f t="shared" si="1720"/>
        <v>ComercioExterior</v>
      </c>
      <c r="AH2658" t="str">
        <f t="shared" si="1721"/>
        <v>PrecioFOB</v>
      </c>
      <c r="AI2658" t="str">
        <f t="shared" si="1722"/>
        <v>Monto II</v>
      </c>
      <c r="AJ2658" t="str">
        <f t="shared" si="1723"/>
        <v>Porcentaje II</v>
      </c>
      <c r="AK2658" t="str">
        <f t="shared" si="1724"/>
        <v>Foto</v>
      </c>
      <c r="AL2658" t="str">
        <f>" "</f>
        <v xml:space="preserve"> </v>
      </c>
      <c r="AM2658" t="str">
        <f t="shared" si="1706"/>
        <v>-</v>
      </c>
    </row>
    <row r="2659" spans="1:39" x14ac:dyDescent="0.25">
      <c r="A2659" t="str">
        <f>"FI16011"</f>
        <v>FI16011</v>
      </c>
      <c r="B2659" t="str">
        <f>"REGULADOR DE PRESION GM CORSA 1.6 16V MPFI 95&gt;01 - TIGRA 1.6 16V MPFI 98&gt;- 3.0 BAR"</f>
        <v>REGULADOR DE PRESION GM CORSA 1.6 16V MPFI 95&gt;01 - TIGRA 1.6 16V MPFI 98&gt;- 3.0 BAR</v>
      </c>
      <c r="C2659" t="str">
        <f t="shared" ref="C2659:G2660" si="1737">"$ 43158,99"</f>
        <v>$ 43158,99</v>
      </c>
      <c r="D2659" t="str">
        <f t="shared" si="1737"/>
        <v>$ 43158,99</v>
      </c>
      <c r="E2659" t="str">
        <f t="shared" si="1737"/>
        <v>$ 43158,99</v>
      </c>
      <c r="F2659" t="str">
        <f t="shared" si="1737"/>
        <v>$ 43158,99</v>
      </c>
      <c r="G2659" t="str">
        <f t="shared" si="1737"/>
        <v>$ 43158,99</v>
      </c>
      <c r="H2659" t="str">
        <f t="shared" si="1707"/>
        <v>$ 0,00</v>
      </c>
      <c r="I2659" t="str">
        <f t="shared" si="1736"/>
        <v>REGULADORES DE PRESION</v>
      </c>
      <c r="J2659" t="str">
        <f t="shared" si="1708"/>
        <v>1</v>
      </c>
      <c r="K2659" t="str">
        <f t="shared" si="1734"/>
        <v>0</v>
      </c>
      <c r="L2659" t="str">
        <f>"4,000"</f>
        <v>4,000</v>
      </c>
      <c r="M2659" t="str">
        <f t="shared" si="1709"/>
        <v xml:space="preserve"> </v>
      </c>
      <c r="N2659" t="str">
        <f t="shared" si="1729"/>
        <v>FISPA</v>
      </c>
      <c r="O2659" t="str">
        <f t="shared" si="1730"/>
        <v>BOMBAS</v>
      </c>
      <c r="P2659" t="str">
        <f t="shared" si="1731"/>
        <v>0</v>
      </c>
      <c r="Q2659" t="str">
        <f t="shared" si="1731"/>
        <v>0</v>
      </c>
      <c r="R2659" t="str">
        <f t="shared" si="1732"/>
        <v>0,00</v>
      </c>
      <c r="S2659" t="str">
        <f t="shared" si="1732"/>
        <v>0,00</v>
      </c>
      <c r="T2659" t="str">
        <f t="shared" si="1704"/>
        <v xml:space="preserve"> </v>
      </c>
      <c r="U2659" t="str">
        <f t="shared" si="1705"/>
        <v xml:space="preserve"> </v>
      </c>
      <c r="V2659" t="str">
        <f>"4,000"</f>
        <v>4,000</v>
      </c>
      <c r="W2659" t="str">
        <f t="shared" si="1710"/>
        <v>Lista 4</v>
      </c>
      <c r="X2659" t="str">
        <f t="shared" si="1711"/>
        <v>Lista 5</v>
      </c>
      <c r="Y2659" t="str">
        <f t="shared" si="1712"/>
        <v>Oferta Gral.</v>
      </c>
      <c r="Z2659" t="str">
        <f t="shared" si="1713"/>
        <v>Rubro</v>
      </c>
      <c r="AA2659" t="str">
        <f t="shared" si="1714"/>
        <v>Cantidad por Bulto</v>
      </c>
      <c r="AB2659" t="str">
        <f t="shared" si="1715"/>
        <v>INNER</v>
      </c>
      <c r="AC2659" t="str">
        <f t="shared" si="1716"/>
        <v>Stock en Bultos</v>
      </c>
      <c r="AD2659" t="str">
        <f t="shared" si="1717"/>
        <v>SubDepósito</v>
      </c>
      <c r="AE2659" t="str">
        <f t="shared" si="1718"/>
        <v>Marca</v>
      </c>
      <c r="AF2659" t="str">
        <f t="shared" si="1719"/>
        <v>Super Rubro</v>
      </c>
      <c r="AG2659" t="str">
        <f t="shared" si="1720"/>
        <v>ComercioExterior</v>
      </c>
      <c r="AH2659" t="str">
        <f t="shared" si="1721"/>
        <v>PrecioFOB</v>
      </c>
      <c r="AI2659" t="str">
        <f t="shared" si="1722"/>
        <v>Monto II</v>
      </c>
      <c r="AJ2659" t="str">
        <f t="shared" si="1723"/>
        <v>Porcentaje II</v>
      </c>
      <c r="AK2659" t="str">
        <f t="shared" si="1724"/>
        <v>Foto</v>
      </c>
      <c r="AL2659" t="str">
        <f>" "</f>
        <v xml:space="preserve"> </v>
      </c>
      <c r="AM2659" t="str">
        <f t="shared" si="1706"/>
        <v>-</v>
      </c>
    </row>
    <row r="2660" spans="1:39" x14ac:dyDescent="0.25">
      <c r="A2660" t="str">
        <f>"FI16014"</f>
        <v>FI16014</v>
      </c>
      <c r="B2660" t="str">
        <f>"REGULADOR DE PRESION GM: CORSA MPFI 1.0/ 1.6 8V OMEGA MPFI 2.2 - 3.0 BAR "</f>
        <v xml:space="preserve">REGULADOR DE PRESION GM: CORSA MPFI 1.0/ 1.6 8V OMEGA MPFI 2.2 - 3.0 BAR </v>
      </c>
      <c r="C2660" t="str">
        <f t="shared" si="1737"/>
        <v>$ 43158,99</v>
      </c>
      <c r="D2660" t="str">
        <f t="shared" si="1737"/>
        <v>$ 43158,99</v>
      </c>
      <c r="E2660" t="str">
        <f t="shared" si="1737"/>
        <v>$ 43158,99</v>
      </c>
      <c r="F2660" t="str">
        <f t="shared" si="1737"/>
        <v>$ 43158,99</v>
      </c>
      <c r="G2660" t="str">
        <f t="shared" si="1737"/>
        <v>$ 43158,99</v>
      </c>
      <c r="H2660" t="str">
        <f t="shared" si="1707"/>
        <v>$ 0,00</v>
      </c>
      <c r="I2660" t="str">
        <f t="shared" si="1736"/>
        <v>REGULADORES DE PRESION</v>
      </c>
      <c r="J2660" t="str">
        <f t="shared" si="1708"/>
        <v>1</v>
      </c>
      <c r="K2660" t="str">
        <f t="shared" si="1734"/>
        <v>0</v>
      </c>
      <c r="L2660" t="str">
        <f>"4,000"</f>
        <v>4,000</v>
      </c>
      <c r="M2660" t="str">
        <f t="shared" si="1709"/>
        <v xml:space="preserve"> </v>
      </c>
      <c r="N2660" t="str">
        <f t="shared" si="1729"/>
        <v>FISPA</v>
      </c>
      <c r="O2660" t="str">
        <f t="shared" si="1730"/>
        <v>BOMBAS</v>
      </c>
      <c r="P2660" t="str">
        <f t="shared" si="1731"/>
        <v>0</v>
      </c>
      <c r="Q2660" t="str">
        <f t="shared" si="1731"/>
        <v>0</v>
      </c>
      <c r="R2660" t="str">
        <f t="shared" si="1732"/>
        <v>0,00</v>
      </c>
      <c r="S2660" t="str">
        <f t="shared" si="1732"/>
        <v>0,00</v>
      </c>
      <c r="T2660" t="str">
        <f t="shared" si="1704"/>
        <v xml:space="preserve"> </v>
      </c>
      <c r="U2660" t="str">
        <f t="shared" si="1705"/>
        <v xml:space="preserve"> </v>
      </c>
      <c r="V2660" t="str">
        <f>"4,000"</f>
        <v>4,000</v>
      </c>
      <c r="W2660" t="str">
        <f t="shared" si="1710"/>
        <v>Lista 4</v>
      </c>
      <c r="X2660" t="str">
        <f t="shared" si="1711"/>
        <v>Lista 5</v>
      </c>
      <c r="Y2660" t="str">
        <f t="shared" si="1712"/>
        <v>Oferta Gral.</v>
      </c>
      <c r="Z2660" t="str">
        <f t="shared" si="1713"/>
        <v>Rubro</v>
      </c>
      <c r="AA2660" t="str">
        <f t="shared" si="1714"/>
        <v>Cantidad por Bulto</v>
      </c>
      <c r="AB2660" t="str">
        <f t="shared" si="1715"/>
        <v>INNER</v>
      </c>
      <c r="AC2660" t="str">
        <f t="shared" si="1716"/>
        <v>Stock en Bultos</v>
      </c>
      <c r="AD2660" t="str">
        <f t="shared" si="1717"/>
        <v>SubDepósito</v>
      </c>
      <c r="AE2660" t="str">
        <f t="shared" si="1718"/>
        <v>Marca</v>
      </c>
      <c r="AF2660" t="str">
        <f t="shared" si="1719"/>
        <v>Super Rubro</v>
      </c>
      <c r="AG2660" t="str">
        <f t="shared" si="1720"/>
        <v>ComercioExterior</v>
      </c>
      <c r="AH2660" t="str">
        <f t="shared" si="1721"/>
        <v>PrecioFOB</v>
      </c>
      <c r="AI2660" t="str">
        <f t="shared" si="1722"/>
        <v>Monto II</v>
      </c>
      <c r="AJ2660" t="str">
        <f t="shared" si="1723"/>
        <v>Porcentaje II</v>
      </c>
      <c r="AK2660" t="str">
        <f t="shared" si="1724"/>
        <v>Foto</v>
      </c>
      <c r="AL266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60" t="str">
        <f t="shared" si="1706"/>
        <v>-</v>
      </c>
    </row>
    <row r="2661" spans="1:39" x14ac:dyDescent="0.25">
      <c r="A2661" t="str">
        <f>"FI16029"</f>
        <v>FI16029</v>
      </c>
      <c r="B2661" t="str">
        <f>"REGULADOR DE PRESION GOLF IV 1.6 / FOX 1.6 MOTOR BAH CLAVADO EN EL FILTRO - 3.0 BAR"</f>
        <v>REGULADOR DE PRESION GOLF IV 1.6 / FOX 1.6 MOTOR BAH CLAVADO EN EL FILTRO - 3.0 BAR</v>
      </c>
      <c r="C2661" t="str">
        <f>"$ 34275,57"</f>
        <v>$ 34275,57</v>
      </c>
      <c r="D2661" t="str">
        <f>"$ 34275,57"</f>
        <v>$ 34275,57</v>
      </c>
      <c r="E2661" t="str">
        <f>"$ 34275,57"</f>
        <v>$ 34275,57</v>
      </c>
      <c r="F2661" t="str">
        <f>"$ 34275,57"</f>
        <v>$ 34275,57</v>
      </c>
      <c r="G2661" t="str">
        <f>"$ 34275,57"</f>
        <v>$ 34275,57</v>
      </c>
      <c r="H2661" t="str">
        <f t="shared" si="1707"/>
        <v>$ 0,00</v>
      </c>
      <c r="I2661" t="str">
        <f t="shared" si="1736"/>
        <v>REGULADORES DE PRESION</v>
      </c>
      <c r="J2661" t="str">
        <f t="shared" si="1708"/>
        <v>1</v>
      </c>
      <c r="K2661" t="str">
        <f t="shared" si="1734"/>
        <v>0</v>
      </c>
      <c r="L2661" t="str">
        <f>"0,000"</f>
        <v>0,000</v>
      </c>
      <c r="M2661" t="str">
        <f t="shared" si="1709"/>
        <v xml:space="preserve"> </v>
      </c>
      <c r="N2661" t="str">
        <f t="shared" si="1729"/>
        <v>FISPA</v>
      </c>
      <c r="O2661" t="str">
        <f t="shared" si="1730"/>
        <v>BOMBAS</v>
      </c>
      <c r="P2661" t="str">
        <f t="shared" si="1731"/>
        <v>0</v>
      </c>
      <c r="Q2661" t="str">
        <f t="shared" si="1731"/>
        <v>0</v>
      </c>
      <c r="R2661" t="str">
        <f t="shared" si="1732"/>
        <v>0,00</v>
      </c>
      <c r="S2661" t="str">
        <f t="shared" si="1732"/>
        <v>0,00</v>
      </c>
      <c r="T2661" t="str">
        <f t="shared" si="1704"/>
        <v xml:space="preserve"> </v>
      </c>
      <c r="U2661" t="str">
        <f t="shared" si="1705"/>
        <v xml:space="preserve"> </v>
      </c>
      <c r="V2661" t="str">
        <f>"0,000"</f>
        <v>0,000</v>
      </c>
      <c r="W2661" t="str">
        <f t="shared" si="1710"/>
        <v>Lista 4</v>
      </c>
      <c r="X2661" t="str">
        <f t="shared" si="1711"/>
        <v>Lista 5</v>
      </c>
      <c r="Y2661" t="str">
        <f t="shared" si="1712"/>
        <v>Oferta Gral.</v>
      </c>
      <c r="Z2661" t="str">
        <f t="shared" si="1713"/>
        <v>Rubro</v>
      </c>
      <c r="AA2661" t="str">
        <f t="shared" si="1714"/>
        <v>Cantidad por Bulto</v>
      </c>
      <c r="AB2661" t="str">
        <f t="shared" si="1715"/>
        <v>INNER</v>
      </c>
      <c r="AC2661" t="str">
        <f t="shared" si="1716"/>
        <v>Stock en Bultos</v>
      </c>
      <c r="AD2661" t="str">
        <f t="shared" si="1717"/>
        <v>SubDepósito</v>
      </c>
      <c r="AE2661" t="str">
        <f t="shared" si="1718"/>
        <v>Marca</v>
      </c>
      <c r="AF2661" t="str">
        <f t="shared" si="1719"/>
        <v>Super Rubro</v>
      </c>
      <c r="AG2661" t="str">
        <f t="shared" si="1720"/>
        <v>ComercioExterior</v>
      </c>
      <c r="AH2661" t="str">
        <f t="shared" si="1721"/>
        <v>PrecioFOB</v>
      </c>
      <c r="AI2661" t="str">
        <f t="shared" si="1722"/>
        <v>Monto II</v>
      </c>
      <c r="AJ2661" t="str">
        <f t="shared" si="1723"/>
        <v>Porcentaje II</v>
      </c>
      <c r="AK2661" t="str">
        <f t="shared" si="1724"/>
        <v>Foto</v>
      </c>
      <c r="AL2661" t="str">
        <f>" "</f>
        <v xml:space="preserve"> </v>
      </c>
      <c r="AM2661" t="str">
        <f t="shared" si="1706"/>
        <v>-</v>
      </c>
    </row>
    <row r="2662" spans="1:39" x14ac:dyDescent="0.25">
      <c r="A2662" t="str">
        <f>"FI16003"</f>
        <v>FI16003</v>
      </c>
      <c r="B2662" t="str">
        <f>"REGULADOR DE PRESION GRAND VITARA/VITARA 2.0 16V - JYMMY 1.3 16V - 3.0 BAR"</f>
        <v>REGULADOR DE PRESION GRAND VITARA/VITARA 2.0 16V - JYMMY 1.3 16V - 3.0 BAR</v>
      </c>
      <c r="C2662" t="str">
        <f>"$ 38301,22"</f>
        <v>$ 38301,22</v>
      </c>
      <c r="D2662" t="str">
        <f>"$ 38301,22"</f>
        <v>$ 38301,22</v>
      </c>
      <c r="E2662" t="str">
        <f>"$ 38301,22"</f>
        <v>$ 38301,22</v>
      </c>
      <c r="F2662" t="str">
        <f>"$ 38301,22"</f>
        <v>$ 38301,22</v>
      </c>
      <c r="G2662" t="str">
        <f>"$ 38301,22"</f>
        <v>$ 38301,22</v>
      </c>
      <c r="H2662" t="str">
        <f t="shared" si="1707"/>
        <v>$ 0,00</v>
      </c>
      <c r="I2662" t="str">
        <f t="shared" si="1736"/>
        <v>REGULADORES DE PRESION</v>
      </c>
      <c r="J2662" t="str">
        <f t="shared" si="1708"/>
        <v>1</v>
      </c>
      <c r="K2662" t="str">
        <f t="shared" si="1734"/>
        <v>0</v>
      </c>
      <c r="L2662" t="str">
        <f>"0,000"</f>
        <v>0,000</v>
      </c>
      <c r="M2662" t="str">
        <f t="shared" si="1709"/>
        <v xml:space="preserve"> </v>
      </c>
      <c r="N2662" t="str">
        <f t="shared" si="1729"/>
        <v>FISPA</v>
      </c>
      <c r="O2662" t="str">
        <f t="shared" si="1730"/>
        <v>BOMBAS</v>
      </c>
      <c r="P2662" t="str">
        <f t="shared" si="1731"/>
        <v>0</v>
      </c>
      <c r="Q2662" t="str">
        <f t="shared" si="1731"/>
        <v>0</v>
      </c>
      <c r="R2662" t="str">
        <f t="shared" si="1732"/>
        <v>0,00</v>
      </c>
      <c r="S2662" t="str">
        <f t="shared" si="1732"/>
        <v>0,00</v>
      </c>
      <c r="T2662" t="str">
        <f t="shared" si="1704"/>
        <v xml:space="preserve"> </v>
      </c>
      <c r="U2662" t="str">
        <f t="shared" si="1705"/>
        <v xml:space="preserve"> </v>
      </c>
      <c r="V2662" t="str">
        <f>"0,000"</f>
        <v>0,000</v>
      </c>
      <c r="W2662" t="str">
        <f t="shared" si="1710"/>
        <v>Lista 4</v>
      </c>
      <c r="X2662" t="str">
        <f t="shared" si="1711"/>
        <v>Lista 5</v>
      </c>
      <c r="Y2662" t="str">
        <f t="shared" si="1712"/>
        <v>Oferta Gral.</v>
      </c>
      <c r="Z2662" t="str">
        <f t="shared" si="1713"/>
        <v>Rubro</v>
      </c>
      <c r="AA2662" t="str">
        <f t="shared" si="1714"/>
        <v>Cantidad por Bulto</v>
      </c>
      <c r="AB2662" t="str">
        <f t="shared" si="1715"/>
        <v>INNER</v>
      </c>
      <c r="AC2662" t="str">
        <f t="shared" si="1716"/>
        <v>Stock en Bultos</v>
      </c>
      <c r="AD2662" t="str">
        <f t="shared" si="1717"/>
        <v>SubDepósito</v>
      </c>
      <c r="AE2662" t="str">
        <f t="shared" si="1718"/>
        <v>Marca</v>
      </c>
      <c r="AF2662" t="str">
        <f t="shared" si="1719"/>
        <v>Super Rubro</v>
      </c>
      <c r="AG2662" t="str">
        <f t="shared" si="1720"/>
        <v>ComercioExterior</v>
      </c>
      <c r="AH2662" t="str">
        <f t="shared" si="1721"/>
        <v>PrecioFOB</v>
      </c>
      <c r="AI2662" t="str">
        <f t="shared" si="1722"/>
        <v>Monto II</v>
      </c>
      <c r="AJ2662" t="str">
        <f t="shared" si="1723"/>
        <v>Porcentaje II</v>
      </c>
      <c r="AK2662" t="str">
        <f t="shared" si="1724"/>
        <v>Foto</v>
      </c>
      <c r="AL266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62" t="str">
        <f t="shared" si="1706"/>
        <v>-</v>
      </c>
    </row>
    <row r="2663" spans="1:39" x14ac:dyDescent="0.25">
      <c r="A2663" t="str">
        <f>"FI16030"</f>
        <v>FI16030</v>
      </c>
      <c r="B2663" t="str">
        <f>"REGULADOR DE PRESION HONDA CIVIC 1.6 16V 2006&gt; - 4.0 BAR"</f>
        <v>REGULADOR DE PRESION HONDA CIVIC 1.6 16V 2006&gt; - 4.0 BAR</v>
      </c>
      <c r="C2663" t="str">
        <f>"$ 43080,98"</f>
        <v>$ 43080,98</v>
      </c>
      <c r="D2663" t="str">
        <f>"$ 43080,98"</f>
        <v>$ 43080,98</v>
      </c>
      <c r="E2663" t="str">
        <f>"$ 43080,98"</f>
        <v>$ 43080,98</v>
      </c>
      <c r="F2663" t="str">
        <f>"$ 43080,98"</f>
        <v>$ 43080,98</v>
      </c>
      <c r="G2663" t="str">
        <f>"$ 43080,98"</f>
        <v>$ 43080,98</v>
      </c>
      <c r="H2663" t="str">
        <f t="shared" si="1707"/>
        <v>$ 0,00</v>
      </c>
      <c r="I2663" t="str">
        <f t="shared" si="1736"/>
        <v>REGULADORES DE PRESION</v>
      </c>
      <c r="J2663" t="str">
        <f t="shared" si="1708"/>
        <v>1</v>
      </c>
      <c r="K2663" t="str">
        <f t="shared" si="1734"/>
        <v>0</v>
      </c>
      <c r="L2663" t="str">
        <f>"0,000"</f>
        <v>0,000</v>
      </c>
      <c r="M2663" t="str">
        <f t="shared" si="1709"/>
        <v xml:space="preserve"> </v>
      </c>
      <c r="N2663" t="str">
        <f t="shared" si="1729"/>
        <v>FISPA</v>
      </c>
      <c r="O2663" t="str">
        <f t="shared" si="1730"/>
        <v>BOMBAS</v>
      </c>
      <c r="P2663" t="str">
        <f t="shared" ref="P2663:Q2682" si="1738">"0"</f>
        <v>0</v>
      </c>
      <c r="Q2663" t="str">
        <f t="shared" si="1738"/>
        <v>0</v>
      </c>
      <c r="R2663" t="str">
        <f t="shared" ref="R2663:S2682" si="1739">"0,00"</f>
        <v>0,00</v>
      </c>
      <c r="S2663" t="str">
        <f t="shared" si="1739"/>
        <v>0,00</v>
      </c>
      <c r="T2663" t="str">
        <f t="shared" si="1704"/>
        <v xml:space="preserve"> </v>
      </c>
      <c r="U2663" t="str">
        <f t="shared" si="1705"/>
        <v xml:space="preserve"> </v>
      </c>
      <c r="V2663" t="str">
        <f>"0,000"</f>
        <v>0,000</v>
      </c>
      <c r="W2663" t="str">
        <f t="shared" si="1710"/>
        <v>Lista 4</v>
      </c>
      <c r="X2663" t="str">
        <f t="shared" si="1711"/>
        <v>Lista 5</v>
      </c>
      <c r="Y2663" t="str">
        <f t="shared" si="1712"/>
        <v>Oferta Gral.</v>
      </c>
      <c r="Z2663" t="str">
        <f t="shared" si="1713"/>
        <v>Rubro</v>
      </c>
      <c r="AA2663" t="str">
        <f t="shared" si="1714"/>
        <v>Cantidad por Bulto</v>
      </c>
      <c r="AB2663" t="str">
        <f t="shared" si="1715"/>
        <v>INNER</v>
      </c>
      <c r="AC2663" t="str">
        <f t="shared" si="1716"/>
        <v>Stock en Bultos</v>
      </c>
      <c r="AD2663" t="str">
        <f t="shared" si="1717"/>
        <v>SubDepósito</v>
      </c>
      <c r="AE2663" t="str">
        <f t="shared" si="1718"/>
        <v>Marca</v>
      </c>
      <c r="AF2663" t="str">
        <f t="shared" si="1719"/>
        <v>Super Rubro</v>
      </c>
      <c r="AG2663" t="str">
        <f t="shared" si="1720"/>
        <v>ComercioExterior</v>
      </c>
      <c r="AH2663" t="str">
        <f t="shared" si="1721"/>
        <v>PrecioFOB</v>
      </c>
      <c r="AI2663" t="str">
        <f t="shared" si="1722"/>
        <v>Monto II</v>
      </c>
      <c r="AJ2663" t="str">
        <f t="shared" si="1723"/>
        <v>Porcentaje II</v>
      </c>
      <c r="AK2663" t="str">
        <f t="shared" si="1724"/>
        <v>Foto</v>
      </c>
      <c r="AL2663" t="str">
        <f t="shared" ref="AL2663:AL2672" si="1740">" "</f>
        <v xml:space="preserve"> </v>
      </c>
      <c r="AM2663" t="str">
        <f t="shared" si="1706"/>
        <v>-</v>
      </c>
    </row>
    <row r="2664" spans="1:39" x14ac:dyDescent="0.25">
      <c r="A2664" t="str">
        <f>"FI16001"</f>
        <v>FI16001</v>
      </c>
      <c r="B2664" t="str">
        <f>"REGULADOR DE PRESION HONDA CIVIC 1.8I 16V SEDAN FLEX - FIT 1.4I 8V FLEXS 4.0 BAR"</f>
        <v>REGULADOR DE PRESION HONDA CIVIC 1.8I 16V SEDAN FLEX - FIT 1.4I 8V FLEXS 4.0 BAR</v>
      </c>
      <c r="C2664" t="str">
        <f>"$ 21657,51"</f>
        <v>$ 21657,51</v>
      </c>
      <c r="D2664" t="str">
        <f>"$ 21657,51"</f>
        <v>$ 21657,51</v>
      </c>
      <c r="E2664" t="str">
        <f>"$ 21657,51"</f>
        <v>$ 21657,51</v>
      </c>
      <c r="F2664" t="str">
        <f>"$ 21657,51"</f>
        <v>$ 21657,51</v>
      </c>
      <c r="G2664" t="str">
        <f>"$ 21657,51"</f>
        <v>$ 21657,51</v>
      </c>
      <c r="H2664" t="str">
        <f t="shared" si="1707"/>
        <v>$ 0,00</v>
      </c>
      <c r="I2664" t="str">
        <f t="shared" si="1736"/>
        <v>REGULADORES DE PRESION</v>
      </c>
      <c r="J2664" t="str">
        <f t="shared" si="1708"/>
        <v>1</v>
      </c>
      <c r="K2664" t="str">
        <f t="shared" si="1734"/>
        <v>0</v>
      </c>
      <c r="L2664" t="str">
        <f>"4,000"</f>
        <v>4,000</v>
      </c>
      <c r="M2664" t="str">
        <f t="shared" si="1709"/>
        <v xml:space="preserve"> </v>
      </c>
      <c r="N2664" t="str">
        <f t="shared" si="1729"/>
        <v>FISPA</v>
      </c>
      <c r="O2664" t="str">
        <f t="shared" si="1730"/>
        <v>BOMBAS</v>
      </c>
      <c r="P2664" t="str">
        <f t="shared" si="1738"/>
        <v>0</v>
      </c>
      <c r="Q2664" t="str">
        <f t="shared" si="1738"/>
        <v>0</v>
      </c>
      <c r="R2664" t="str">
        <f t="shared" si="1739"/>
        <v>0,00</v>
      </c>
      <c r="S2664" t="str">
        <f t="shared" si="1739"/>
        <v>0,00</v>
      </c>
      <c r="T2664" t="str">
        <f t="shared" si="1704"/>
        <v xml:space="preserve"> </v>
      </c>
      <c r="U2664" t="str">
        <f t="shared" si="1705"/>
        <v xml:space="preserve"> </v>
      </c>
      <c r="V2664" t="str">
        <f>"4,000"</f>
        <v>4,000</v>
      </c>
      <c r="W2664" t="str">
        <f t="shared" si="1710"/>
        <v>Lista 4</v>
      </c>
      <c r="X2664" t="str">
        <f t="shared" si="1711"/>
        <v>Lista 5</v>
      </c>
      <c r="Y2664" t="str">
        <f t="shared" si="1712"/>
        <v>Oferta Gral.</v>
      </c>
      <c r="Z2664" t="str">
        <f t="shared" si="1713"/>
        <v>Rubro</v>
      </c>
      <c r="AA2664" t="str">
        <f t="shared" si="1714"/>
        <v>Cantidad por Bulto</v>
      </c>
      <c r="AB2664" t="str">
        <f t="shared" si="1715"/>
        <v>INNER</v>
      </c>
      <c r="AC2664" t="str">
        <f t="shared" si="1716"/>
        <v>Stock en Bultos</v>
      </c>
      <c r="AD2664" t="str">
        <f t="shared" si="1717"/>
        <v>SubDepósito</v>
      </c>
      <c r="AE2664" t="str">
        <f t="shared" si="1718"/>
        <v>Marca</v>
      </c>
      <c r="AF2664" t="str">
        <f t="shared" si="1719"/>
        <v>Super Rubro</v>
      </c>
      <c r="AG2664" t="str">
        <f t="shared" si="1720"/>
        <v>ComercioExterior</v>
      </c>
      <c r="AH2664" t="str">
        <f t="shared" si="1721"/>
        <v>PrecioFOB</v>
      </c>
      <c r="AI2664" t="str">
        <f t="shared" si="1722"/>
        <v>Monto II</v>
      </c>
      <c r="AJ2664" t="str">
        <f t="shared" si="1723"/>
        <v>Porcentaje II</v>
      </c>
      <c r="AK2664" t="str">
        <f t="shared" si="1724"/>
        <v>Foto</v>
      </c>
      <c r="AL2664" t="str">
        <f t="shared" si="1740"/>
        <v xml:space="preserve"> </v>
      </c>
      <c r="AM2664" t="str">
        <f t="shared" si="1706"/>
        <v>-</v>
      </c>
    </row>
    <row r="2665" spans="1:39" x14ac:dyDescent="0.25">
      <c r="A2665" t="str">
        <f>"FI16024"</f>
        <v>FI16024</v>
      </c>
      <c r="B2665" t="str">
        <f>"REGULADOR DE PRESION HONDA CIVIC 2001&gt; - 2.8 BAR"</f>
        <v>REGULADOR DE PRESION HONDA CIVIC 2001&gt; - 2.8 BAR</v>
      </c>
      <c r="C2665" t="str">
        <f>"$ 41207,46"</f>
        <v>$ 41207,46</v>
      </c>
      <c r="D2665" t="str">
        <f>"$ 41207,46"</f>
        <v>$ 41207,46</v>
      </c>
      <c r="E2665" t="str">
        <f>"$ 41207,46"</f>
        <v>$ 41207,46</v>
      </c>
      <c r="F2665" t="str">
        <f>"$ 41207,46"</f>
        <v>$ 41207,46</v>
      </c>
      <c r="G2665" t="str">
        <f>"$ 41207,46"</f>
        <v>$ 41207,46</v>
      </c>
      <c r="H2665" t="str">
        <f t="shared" si="1707"/>
        <v>$ 0,00</v>
      </c>
      <c r="I2665" t="str">
        <f t="shared" si="1736"/>
        <v>REGULADORES DE PRESION</v>
      </c>
      <c r="J2665" t="str">
        <f t="shared" si="1708"/>
        <v>1</v>
      </c>
      <c r="K2665" t="str">
        <f t="shared" si="1734"/>
        <v>0</v>
      </c>
      <c r="L2665" t="str">
        <f t="shared" ref="L2665:L2670" si="1741">"0,000"</f>
        <v>0,000</v>
      </c>
      <c r="M2665" t="str">
        <f t="shared" si="1709"/>
        <v xml:space="preserve"> </v>
      </c>
      <c r="N2665" t="str">
        <f t="shared" si="1729"/>
        <v>FISPA</v>
      </c>
      <c r="O2665" t="str">
        <f t="shared" si="1730"/>
        <v>BOMBAS</v>
      </c>
      <c r="P2665" t="str">
        <f t="shared" si="1738"/>
        <v>0</v>
      </c>
      <c r="Q2665" t="str">
        <f t="shared" si="1738"/>
        <v>0</v>
      </c>
      <c r="R2665" t="str">
        <f t="shared" si="1739"/>
        <v>0,00</v>
      </c>
      <c r="S2665" t="str">
        <f t="shared" si="1739"/>
        <v>0,00</v>
      </c>
      <c r="T2665" t="str">
        <f t="shared" si="1704"/>
        <v xml:space="preserve"> </v>
      </c>
      <c r="U2665" t="str">
        <f t="shared" si="1705"/>
        <v xml:space="preserve"> </v>
      </c>
      <c r="V2665" t="str">
        <f t="shared" ref="V2665:V2670" si="1742">"0,000"</f>
        <v>0,000</v>
      </c>
      <c r="W2665" t="str">
        <f t="shared" si="1710"/>
        <v>Lista 4</v>
      </c>
      <c r="X2665" t="str">
        <f t="shared" si="1711"/>
        <v>Lista 5</v>
      </c>
      <c r="Y2665" t="str">
        <f t="shared" si="1712"/>
        <v>Oferta Gral.</v>
      </c>
      <c r="Z2665" t="str">
        <f t="shared" si="1713"/>
        <v>Rubro</v>
      </c>
      <c r="AA2665" t="str">
        <f t="shared" si="1714"/>
        <v>Cantidad por Bulto</v>
      </c>
      <c r="AB2665" t="str">
        <f t="shared" si="1715"/>
        <v>INNER</v>
      </c>
      <c r="AC2665" t="str">
        <f t="shared" si="1716"/>
        <v>Stock en Bultos</v>
      </c>
      <c r="AD2665" t="str">
        <f t="shared" si="1717"/>
        <v>SubDepósito</v>
      </c>
      <c r="AE2665" t="str">
        <f t="shared" si="1718"/>
        <v>Marca</v>
      </c>
      <c r="AF2665" t="str">
        <f t="shared" si="1719"/>
        <v>Super Rubro</v>
      </c>
      <c r="AG2665" t="str">
        <f t="shared" si="1720"/>
        <v>ComercioExterior</v>
      </c>
      <c r="AH2665" t="str">
        <f t="shared" si="1721"/>
        <v>PrecioFOB</v>
      </c>
      <c r="AI2665" t="str">
        <f t="shared" si="1722"/>
        <v>Monto II</v>
      </c>
      <c r="AJ2665" t="str">
        <f t="shared" si="1723"/>
        <v>Porcentaje II</v>
      </c>
      <c r="AK2665" t="str">
        <f t="shared" si="1724"/>
        <v>Foto</v>
      </c>
      <c r="AL2665" t="str">
        <f t="shared" si="1740"/>
        <v xml:space="preserve"> </v>
      </c>
      <c r="AM2665" t="str">
        <f t="shared" si="1706"/>
        <v>-</v>
      </c>
    </row>
    <row r="2666" spans="1:39" x14ac:dyDescent="0.25">
      <c r="A2666" t="str">
        <f>"FI16025"</f>
        <v>FI16025</v>
      </c>
      <c r="B2666" t="str">
        <f>"REGULADOR DE PRESION HONDA FIT 2004&gt; - 3.2 BAR"</f>
        <v>REGULADOR DE PRESION HONDA FIT 2004&gt; - 3.2 BAR</v>
      </c>
      <c r="C2666" t="str">
        <f>"$ 12753,04"</f>
        <v>$ 12753,04</v>
      </c>
      <c r="D2666" t="str">
        <f>"$ 12753,04"</f>
        <v>$ 12753,04</v>
      </c>
      <c r="E2666" t="str">
        <f>"$ 12753,04"</f>
        <v>$ 12753,04</v>
      </c>
      <c r="F2666" t="str">
        <f>"$ 12753,04"</f>
        <v>$ 12753,04</v>
      </c>
      <c r="G2666" t="str">
        <f>"$ 12753,04"</f>
        <v>$ 12753,04</v>
      </c>
      <c r="H2666" t="str">
        <f t="shared" si="1707"/>
        <v>$ 0,00</v>
      </c>
      <c r="I2666" t="str">
        <f t="shared" si="1736"/>
        <v>REGULADORES DE PRESION</v>
      </c>
      <c r="J2666" t="str">
        <f t="shared" si="1708"/>
        <v>1</v>
      </c>
      <c r="K2666" t="str">
        <f t="shared" si="1734"/>
        <v>0</v>
      </c>
      <c r="L2666" t="str">
        <f t="shared" si="1741"/>
        <v>0,000</v>
      </c>
      <c r="M2666" t="str">
        <f t="shared" si="1709"/>
        <v xml:space="preserve"> </v>
      </c>
      <c r="N2666" t="str">
        <f t="shared" si="1729"/>
        <v>FISPA</v>
      </c>
      <c r="O2666" t="str">
        <f t="shared" si="1730"/>
        <v>BOMBAS</v>
      </c>
      <c r="P2666" t="str">
        <f t="shared" si="1738"/>
        <v>0</v>
      </c>
      <c r="Q2666" t="str">
        <f t="shared" si="1738"/>
        <v>0</v>
      </c>
      <c r="R2666" t="str">
        <f t="shared" si="1739"/>
        <v>0,00</v>
      </c>
      <c r="S2666" t="str">
        <f t="shared" si="1739"/>
        <v>0,00</v>
      </c>
      <c r="T2666" t="str">
        <f t="shared" si="1704"/>
        <v xml:space="preserve"> </v>
      </c>
      <c r="U2666" t="str">
        <f t="shared" si="1705"/>
        <v xml:space="preserve"> </v>
      </c>
      <c r="V2666" t="str">
        <f t="shared" si="1742"/>
        <v>0,000</v>
      </c>
      <c r="W2666" t="str">
        <f t="shared" si="1710"/>
        <v>Lista 4</v>
      </c>
      <c r="X2666" t="str">
        <f t="shared" si="1711"/>
        <v>Lista 5</v>
      </c>
      <c r="Y2666" t="str">
        <f t="shared" si="1712"/>
        <v>Oferta Gral.</v>
      </c>
      <c r="Z2666" t="str">
        <f t="shared" si="1713"/>
        <v>Rubro</v>
      </c>
      <c r="AA2666" t="str">
        <f t="shared" si="1714"/>
        <v>Cantidad por Bulto</v>
      </c>
      <c r="AB2666" t="str">
        <f t="shared" si="1715"/>
        <v>INNER</v>
      </c>
      <c r="AC2666" t="str">
        <f t="shared" si="1716"/>
        <v>Stock en Bultos</v>
      </c>
      <c r="AD2666" t="str">
        <f t="shared" si="1717"/>
        <v>SubDepósito</v>
      </c>
      <c r="AE2666" t="str">
        <f t="shared" si="1718"/>
        <v>Marca</v>
      </c>
      <c r="AF2666" t="str">
        <f t="shared" si="1719"/>
        <v>Super Rubro</v>
      </c>
      <c r="AG2666" t="str">
        <f t="shared" si="1720"/>
        <v>ComercioExterior</v>
      </c>
      <c r="AH2666" t="str">
        <f t="shared" si="1721"/>
        <v>PrecioFOB</v>
      </c>
      <c r="AI2666" t="str">
        <f t="shared" si="1722"/>
        <v>Monto II</v>
      </c>
      <c r="AJ2666" t="str">
        <f t="shared" si="1723"/>
        <v>Porcentaje II</v>
      </c>
      <c r="AK2666" t="str">
        <f t="shared" si="1724"/>
        <v>Foto</v>
      </c>
      <c r="AL2666" t="str">
        <f t="shared" si="1740"/>
        <v xml:space="preserve"> </v>
      </c>
      <c r="AM2666" t="str">
        <f t="shared" si="1706"/>
        <v>-</v>
      </c>
    </row>
    <row r="2667" spans="1:39" x14ac:dyDescent="0.25">
      <c r="A2667" t="str">
        <f>"FI16017"</f>
        <v>FI16017</v>
      </c>
      <c r="B2667" t="str">
        <f>"REGULADOR DE PRESION KIA SPORTAGE 2005-2010 - 3.5BAR"</f>
        <v>REGULADOR DE PRESION KIA SPORTAGE 2005-2010 - 3.5BAR</v>
      </c>
      <c r="C2667" t="str">
        <f>"$ 42284,76"</f>
        <v>$ 42284,76</v>
      </c>
      <c r="D2667" t="str">
        <f>"$ 42284,76"</f>
        <v>$ 42284,76</v>
      </c>
      <c r="E2667" t="str">
        <f>"$ 42284,76"</f>
        <v>$ 42284,76</v>
      </c>
      <c r="F2667" t="str">
        <f>"$ 42284,76"</f>
        <v>$ 42284,76</v>
      </c>
      <c r="G2667" t="str">
        <f>"$ 42284,76"</f>
        <v>$ 42284,76</v>
      </c>
      <c r="H2667" t="str">
        <f t="shared" si="1707"/>
        <v>$ 0,00</v>
      </c>
      <c r="I2667" t="str">
        <f t="shared" si="1736"/>
        <v>REGULADORES DE PRESION</v>
      </c>
      <c r="J2667" t="str">
        <f t="shared" si="1708"/>
        <v>1</v>
      </c>
      <c r="K2667" t="str">
        <f t="shared" si="1734"/>
        <v>0</v>
      </c>
      <c r="L2667" t="str">
        <f t="shared" si="1741"/>
        <v>0,000</v>
      </c>
      <c r="M2667" t="str">
        <f t="shared" si="1709"/>
        <v xml:space="preserve"> </v>
      </c>
      <c r="N2667" t="str">
        <f t="shared" si="1729"/>
        <v>FISPA</v>
      </c>
      <c r="O2667" t="str">
        <f t="shared" si="1730"/>
        <v>BOMBAS</v>
      </c>
      <c r="P2667" t="str">
        <f t="shared" si="1738"/>
        <v>0</v>
      </c>
      <c r="Q2667" t="str">
        <f t="shared" si="1738"/>
        <v>0</v>
      </c>
      <c r="R2667" t="str">
        <f t="shared" si="1739"/>
        <v>0,00</v>
      </c>
      <c r="S2667" t="str">
        <f t="shared" si="1739"/>
        <v>0,00</v>
      </c>
      <c r="T2667" t="str">
        <f t="shared" si="1704"/>
        <v xml:space="preserve"> </v>
      </c>
      <c r="U2667" t="str">
        <f t="shared" si="1705"/>
        <v xml:space="preserve"> </v>
      </c>
      <c r="V2667" t="str">
        <f t="shared" si="1742"/>
        <v>0,000</v>
      </c>
      <c r="W2667" t="str">
        <f t="shared" si="1710"/>
        <v>Lista 4</v>
      </c>
      <c r="X2667" t="str">
        <f t="shared" si="1711"/>
        <v>Lista 5</v>
      </c>
      <c r="Y2667" t="str">
        <f t="shared" si="1712"/>
        <v>Oferta Gral.</v>
      </c>
      <c r="Z2667" t="str">
        <f t="shared" si="1713"/>
        <v>Rubro</v>
      </c>
      <c r="AA2667" t="str">
        <f t="shared" si="1714"/>
        <v>Cantidad por Bulto</v>
      </c>
      <c r="AB2667" t="str">
        <f t="shared" si="1715"/>
        <v>INNER</v>
      </c>
      <c r="AC2667" t="str">
        <f t="shared" si="1716"/>
        <v>Stock en Bultos</v>
      </c>
      <c r="AD2667" t="str">
        <f t="shared" si="1717"/>
        <v>SubDepósito</v>
      </c>
      <c r="AE2667" t="str">
        <f t="shared" si="1718"/>
        <v>Marca</v>
      </c>
      <c r="AF2667" t="str">
        <f t="shared" si="1719"/>
        <v>Super Rubro</v>
      </c>
      <c r="AG2667" t="str">
        <f t="shared" si="1720"/>
        <v>ComercioExterior</v>
      </c>
      <c r="AH2667" t="str">
        <f t="shared" si="1721"/>
        <v>PrecioFOB</v>
      </c>
      <c r="AI2667" t="str">
        <f t="shared" si="1722"/>
        <v>Monto II</v>
      </c>
      <c r="AJ2667" t="str">
        <f t="shared" si="1723"/>
        <v>Porcentaje II</v>
      </c>
      <c r="AK2667" t="str">
        <f t="shared" si="1724"/>
        <v>Foto</v>
      </c>
      <c r="AL2667" t="str">
        <f t="shared" si="1740"/>
        <v xml:space="preserve"> </v>
      </c>
      <c r="AM2667" t="str">
        <f t="shared" si="1706"/>
        <v>-</v>
      </c>
    </row>
    <row r="2668" spans="1:39" x14ac:dyDescent="0.25">
      <c r="A2668" t="str">
        <f>"FI16026"</f>
        <v>FI16026</v>
      </c>
      <c r="B2668" t="str">
        <f>"REGULADOR DE PRESION NISSAN PATHFINDER V6 1993-2000 - 3.0 BAR"</f>
        <v>REGULADOR DE PRESION NISSAN PATHFINDER V6 1993-2000 - 3.0 BAR</v>
      </c>
      <c r="C2668" t="str">
        <f>"$ 44701,89"</f>
        <v>$ 44701,89</v>
      </c>
      <c r="D2668" t="str">
        <f>"$ 44701,89"</f>
        <v>$ 44701,89</v>
      </c>
      <c r="E2668" t="str">
        <f>"$ 44701,89"</f>
        <v>$ 44701,89</v>
      </c>
      <c r="F2668" t="str">
        <f>"$ 44701,89"</f>
        <v>$ 44701,89</v>
      </c>
      <c r="G2668" t="str">
        <f>"$ 44701,89"</f>
        <v>$ 44701,89</v>
      </c>
      <c r="H2668" t="str">
        <f t="shared" si="1707"/>
        <v>$ 0,00</v>
      </c>
      <c r="I2668" t="str">
        <f t="shared" si="1736"/>
        <v>REGULADORES DE PRESION</v>
      </c>
      <c r="J2668" t="str">
        <f t="shared" si="1708"/>
        <v>1</v>
      </c>
      <c r="K2668" t="str">
        <f t="shared" si="1734"/>
        <v>0</v>
      </c>
      <c r="L2668" t="str">
        <f t="shared" si="1741"/>
        <v>0,000</v>
      </c>
      <c r="M2668" t="str">
        <f t="shared" si="1709"/>
        <v xml:space="preserve"> </v>
      </c>
      <c r="N2668" t="str">
        <f t="shared" si="1729"/>
        <v>FISPA</v>
      </c>
      <c r="O2668" t="str">
        <f t="shared" si="1730"/>
        <v>BOMBAS</v>
      </c>
      <c r="P2668" t="str">
        <f t="shared" si="1738"/>
        <v>0</v>
      </c>
      <c r="Q2668" t="str">
        <f t="shared" si="1738"/>
        <v>0</v>
      </c>
      <c r="R2668" t="str">
        <f t="shared" si="1739"/>
        <v>0,00</v>
      </c>
      <c r="S2668" t="str">
        <f t="shared" si="1739"/>
        <v>0,00</v>
      </c>
      <c r="T2668" t="str">
        <f t="shared" si="1704"/>
        <v xml:space="preserve"> </v>
      </c>
      <c r="U2668" t="str">
        <f t="shared" si="1705"/>
        <v xml:space="preserve"> </v>
      </c>
      <c r="V2668" t="str">
        <f t="shared" si="1742"/>
        <v>0,000</v>
      </c>
      <c r="W2668" t="str">
        <f t="shared" si="1710"/>
        <v>Lista 4</v>
      </c>
      <c r="X2668" t="str">
        <f t="shared" si="1711"/>
        <v>Lista 5</v>
      </c>
      <c r="Y2668" t="str">
        <f t="shared" si="1712"/>
        <v>Oferta Gral.</v>
      </c>
      <c r="Z2668" t="str">
        <f t="shared" si="1713"/>
        <v>Rubro</v>
      </c>
      <c r="AA2668" t="str">
        <f t="shared" si="1714"/>
        <v>Cantidad por Bulto</v>
      </c>
      <c r="AB2668" t="str">
        <f t="shared" si="1715"/>
        <v>INNER</v>
      </c>
      <c r="AC2668" t="str">
        <f t="shared" si="1716"/>
        <v>Stock en Bultos</v>
      </c>
      <c r="AD2668" t="str">
        <f t="shared" si="1717"/>
        <v>SubDepósito</v>
      </c>
      <c r="AE2668" t="str">
        <f t="shared" si="1718"/>
        <v>Marca</v>
      </c>
      <c r="AF2668" t="str">
        <f t="shared" si="1719"/>
        <v>Super Rubro</v>
      </c>
      <c r="AG2668" t="str">
        <f t="shared" si="1720"/>
        <v>ComercioExterior</v>
      </c>
      <c r="AH2668" t="str">
        <f t="shared" si="1721"/>
        <v>PrecioFOB</v>
      </c>
      <c r="AI2668" t="str">
        <f t="shared" si="1722"/>
        <v>Monto II</v>
      </c>
      <c r="AJ2668" t="str">
        <f t="shared" si="1723"/>
        <v>Porcentaje II</v>
      </c>
      <c r="AK2668" t="str">
        <f t="shared" si="1724"/>
        <v>Foto</v>
      </c>
      <c r="AL2668" t="str">
        <f t="shared" si="1740"/>
        <v xml:space="preserve"> </v>
      </c>
      <c r="AM2668" t="str">
        <f t="shared" si="1706"/>
        <v>-</v>
      </c>
    </row>
    <row r="2669" spans="1:39" x14ac:dyDescent="0.25">
      <c r="A2669" t="str">
        <f>"FI81031"</f>
        <v>FI81031</v>
      </c>
      <c r="B2669" t="str">
        <f>"REGULADOR DE PRESION PEUGEOT 307/406 CITROEN XSARA 2,0 HDI"</f>
        <v>REGULADOR DE PRESION PEUGEOT 307/406 CITROEN XSARA 2,0 HDI</v>
      </c>
      <c r="C2669" t="str">
        <f>"$ 125328,03"</f>
        <v>$ 125328,03</v>
      </c>
      <c r="D2669" t="str">
        <f>"$ 125328,03"</f>
        <v>$ 125328,03</v>
      </c>
      <c r="E2669" t="str">
        <f>"$ 125328,03"</f>
        <v>$ 125328,03</v>
      </c>
      <c r="F2669" t="str">
        <f>"$ 125328,03"</f>
        <v>$ 125328,03</v>
      </c>
      <c r="G2669" t="str">
        <f>"$ 125328,03"</f>
        <v>$ 125328,03</v>
      </c>
      <c r="H2669" t="str">
        <f t="shared" si="1707"/>
        <v>$ 0,00</v>
      </c>
      <c r="I2669" t="str">
        <f>"REGULADORES DE PRESION COMMON RAIL"</f>
        <v>REGULADORES DE PRESION COMMON RAIL</v>
      </c>
      <c r="J2669" t="str">
        <f t="shared" si="1708"/>
        <v>1</v>
      </c>
      <c r="K2669" t="str">
        <f t="shared" si="1734"/>
        <v>0</v>
      </c>
      <c r="L2669" t="str">
        <f t="shared" si="1741"/>
        <v>0,000</v>
      </c>
      <c r="M2669" t="str">
        <f t="shared" si="1709"/>
        <v xml:space="preserve"> </v>
      </c>
      <c r="N2669" t="str">
        <f t="shared" si="1729"/>
        <v>FISPA</v>
      </c>
      <c r="O2669" t="str">
        <f t="shared" si="1730"/>
        <v>BOMBAS</v>
      </c>
      <c r="P2669" t="str">
        <f t="shared" si="1738"/>
        <v>0</v>
      </c>
      <c r="Q2669" t="str">
        <f t="shared" si="1738"/>
        <v>0</v>
      </c>
      <c r="R2669" t="str">
        <f t="shared" si="1739"/>
        <v>0,00</v>
      </c>
      <c r="S2669" t="str">
        <f t="shared" si="1739"/>
        <v>0,00</v>
      </c>
      <c r="T2669" t="str">
        <f t="shared" si="1704"/>
        <v xml:space="preserve"> </v>
      </c>
      <c r="U2669" t="str">
        <f t="shared" si="1705"/>
        <v xml:space="preserve"> </v>
      </c>
      <c r="V2669" t="str">
        <f t="shared" si="1742"/>
        <v>0,000</v>
      </c>
      <c r="W2669" t="str">
        <f t="shared" si="1710"/>
        <v>Lista 4</v>
      </c>
      <c r="X2669" t="str">
        <f t="shared" si="1711"/>
        <v>Lista 5</v>
      </c>
      <c r="Y2669" t="str">
        <f t="shared" si="1712"/>
        <v>Oferta Gral.</v>
      </c>
      <c r="Z2669" t="str">
        <f t="shared" si="1713"/>
        <v>Rubro</v>
      </c>
      <c r="AA2669" t="str">
        <f t="shared" si="1714"/>
        <v>Cantidad por Bulto</v>
      </c>
      <c r="AB2669" t="str">
        <f t="shared" si="1715"/>
        <v>INNER</v>
      </c>
      <c r="AC2669" t="str">
        <f t="shared" si="1716"/>
        <v>Stock en Bultos</v>
      </c>
      <c r="AD2669" t="str">
        <f t="shared" si="1717"/>
        <v>SubDepósito</v>
      </c>
      <c r="AE2669" t="str">
        <f t="shared" si="1718"/>
        <v>Marca</v>
      </c>
      <c r="AF2669" t="str">
        <f t="shared" si="1719"/>
        <v>Super Rubro</v>
      </c>
      <c r="AG2669" t="str">
        <f t="shared" si="1720"/>
        <v>ComercioExterior</v>
      </c>
      <c r="AH2669" t="str">
        <f t="shared" si="1721"/>
        <v>PrecioFOB</v>
      </c>
      <c r="AI2669" t="str">
        <f t="shared" si="1722"/>
        <v>Monto II</v>
      </c>
      <c r="AJ2669" t="str">
        <f t="shared" si="1723"/>
        <v>Porcentaje II</v>
      </c>
      <c r="AK2669" t="str">
        <f t="shared" si="1724"/>
        <v>Foto</v>
      </c>
      <c r="AL2669" t="str">
        <f t="shared" si="1740"/>
        <v xml:space="preserve"> </v>
      </c>
      <c r="AM2669" t="str">
        <f t="shared" si="1706"/>
        <v>-</v>
      </c>
    </row>
    <row r="2670" spans="1:39" x14ac:dyDescent="0.25">
      <c r="A2670" t="str">
        <f>"FI16027"</f>
        <v>FI16027</v>
      </c>
      <c r="B2670" t="str">
        <f>"REGULADOR DE PRESION TOYOTA COROLLA 2003&gt; - 3.0 BAR"</f>
        <v>REGULADOR DE PRESION TOYOTA COROLLA 2003&gt; - 3.0 BAR</v>
      </c>
      <c r="C2670" t="str">
        <f>"$ 37264,78"</f>
        <v>$ 37264,78</v>
      </c>
      <c r="D2670" t="str">
        <f>"$ 37264,78"</f>
        <v>$ 37264,78</v>
      </c>
      <c r="E2670" t="str">
        <f>"$ 37264,78"</f>
        <v>$ 37264,78</v>
      </c>
      <c r="F2670" t="str">
        <f>"$ 37264,78"</f>
        <v>$ 37264,78</v>
      </c>
      <c r="G2670" t="str">
        <f>"$ 37264,78"</f>
        <v>$ 37264,78</v>
      </c>
      <c r="H2670" t="str">
        <f t="shared" si="1707"/>
        <v>$ 0,00</v>
      </c>
      <c r="I2670" t="str">
        <f>"REGULADORES DE PRESION"</f>
        <v>REGULADORES DE PRESION</v>
      </c>
      <c r="J2670" t="str">
        <f t="shared" si="1708"/>
        <v>1</v>
      </c>
      <c r="K2670" t="str">
        <f t="shared" si="1734"/>
        <v>0</v>
      </c>
      <c r="L2670" t="str">
        <f t="shared" si="1741"/>
        <v>0,000</v>
      </c>
      <c r="M2670" t="str">
        <f t="shared" si="1709"/>
        <v xml:space="preserve"> </v>
      </c>
      <c r="N2670" t="str">
        <f t="shared" si="1729"/>
        <v>FISPA</v>
      </c>
      <c r="O2670" t="str">
        <f t="shared" si="1730"/>
        <v>BOMBAS</v>
      </c>
      <c r="P2670" t="str">
        <f t="shared" si="1738"/>
        <v>0</v>
      </c>
      <c r="Q2670" t="str">
        <f t="shared" si="1738"/>
        <v>0</v>
      </c>
      <c r="R2670" t="str">
        <f t="shared" si="1739"/>
        <v>0,00</v>
      </c>
      <c r="S2670" t="str">
        <f t="shared" si="1739"/>
        <v>0,00</v>
      </c>
      <c r="T2670" t="str">
        <f t="shared" si="1704"/>
        <v xml:space="preserve"> </v>
      </c>
      <c r="U2670" t="str">
        <f t="shared" si="1705"/>
        <v xml:space="preserve"> </v>
      </c>
      <c r="V2670" t="str">
        <f t="shared" si="1742"/>
        <v>0,000</v>
      </c>
      <c r="W2670" t="str">
        <f t="shared" si="1710"/>
        <v>Lista 4</v>
      </c>
      <c r="X2670" t="str">
        <f t="shared" si="1711"/>
        <v>Lista 5</v>
      </c>
      <c r="Y2670" t="str">
        <f t="shared" si="1712"/>
        <v>Oferta Gral.</v>
      </c>
      <c r="Z2670" t="str">
        <f t="shared" si="1713"/>
        <v>Rubro</v>
      </c>
      <c r="AA2670" t="str">
        <f t="shared" si="1714"/>
        <v>Cantidad por Bulto</v>
      </c>
      <c r="AB2670" t="str">
        <f t="shared" si="1715"/>
        <v>INNER</v>
      </c>
      <c r="AC2670" t="str">
        <f t="shared" si="1716"/>
        <v>Stock en Bultos</v>
      </c>
      <c r="AD2670" t="str">
        <f t="shared" si="1717"/>
        <v>SubDepósito</v>
      </c>
      <c r="AE2670" t="str">
        <f t="shared" si="1718"/>
        <v>Marca</v>
      </c>
      <c r="AF2670" t="str">
        <f t="shared" si="1719"/>
        <v>Super Rubro</v>
      </c>
      <c r="AG2670" t="str">
        <f t="shared" si="1720"/>
        <v>ComercioExterior</v>
      </c>
      <c r="AH2670" t="str">
        <f t="shared" si="1721"/>
        <v>PrecioFOB</v>
      </c>
      <c r="AI2670" t="str">
        <f t="shared" si="1722"/>
        <v>Monto II</v>
      </c>
      <c r="AJ2670" t="str">
        <f t="shared" si="1723"/>
        <v>Porcentaje II</v>
      </c>
      <c r="AK2670" t="str">
        <f t="shared" si="1724"/>
        <v>Foto</v>
      </c>
      <c r="AL2670" t="str">
        <f t="shared" si="1740"/>
        <v xml:space="preserve"> </v>
      </c>
      <c r="AM2670" t="str">
        <f t="shared" si="1706"/>
        <v>-</v>
      </c>
    </row>
    <row r="2671" spans="1:39" x14ac:dyDescent="0.25">
      <c r="A2671" t="str">
        <f>"FI16023"</f>
        <v>FI16023</v>
      </c>
      <c r="B2671" t="str">
        <f>"REGULADOR DE PRESION VOLKSWAGEN GOL II -QUANTUM - POINTER 2.0 - ALFA 164 - 3.0 BAR"</f>
        <v>REGULADOR DE PRESION VOLKSWAGEN GOL II -QUANTUM - POINTER 2.0 - ALFA 164 - 3.0 BAR</v>
      </c>
      <c r="C2671" t="str">
        <f>"$ 34637,15"</f>
        <v>$ 34637,15</v>
      </c>
      <c r="D2671" t="str">
        <f>"$ 34637,15"</f>
        <v>$ 34637,15</v>
      </c>
      <c r="E2671" t="str">
        <f>"$ 34637,15"</f>
        <v>$ 34637,15</v>
      </c>
      <c r="F2671" t="str">
        <f>"$ 34637,15"</f>
        <v>$ 34637,15</v>
      </c>
      <c r="G2671" t="str">
        <f>"$ 34637,15"</f>
        <v>$ 34637,15</v>
      </c>
      <c r="H2671" t="str">
        <f t="shared" si="1707"/>
        <v>$ 0,00</v>
      </c>
      <c r="I2671" t="str">
        <f>"REGULADORES DE PRESION"</f>
        <v>REGULADORES DE PRESION</v>
      </c>
      <c r="J2671" t="str">
        <f t="shared" si="1708"/>
        <v>1</v>
      </c>
      <c r="K2671" t="str">
        <f t="shared" si="1734"/>
        <v>0</v>
      </c>
      <c r="L2671" t="str">
        <f>"1,000"</f>
        <v>1,000</v>
      </c>
      <c r="M2671" t="str">
        <f t="shared" si="1709"/>
        <v xml:space="preserve"> </v>
      </c>
      <c r="N2671" t="str">
        <f t="shared" si="1729"/>
        <v>FISPA</v>
      </c>
      <c r="O2671" t="str">
        <f t="shared" si="1730"/>
        <v>BOMBAS</v>
      </c>
      <c r="P2671" t="str">
        <f t="shared" si="1738"/>
        <v>0</v>
      </c>
      <c r="Q2671" t="str">
        <f t="shared" si="1738"/>
        <v>0</v>
      </c>
      <c r="R2671" t="str">
        <f t="shared" si="1739"/>
        <v>0,00</v>
      </c>
      <c r="S2671" t="str">
        <f t="shared" si="1739"/>
        <v>0,00</v>
      </c>
      <c r="T2671" t="str">
        <f t="shared" si="1704"/>
        <v xml:space="preserve"> </v>
      </c>
      <c r="U2671" t="str">
        <f t="shared" si="1705"/>
        <v xml:space="preserve"> </v>
      </c>
      <c r="V2671" t="str">
        <f>"1,000"</f>
        <v>1,000</v>
      </c>
      <c r="W2671" t="str">
        <f t="shared" si="1710"/>
        <v>Lista 4</v>
      </c>
      <c r="X2671" t="str">
        <f t="shared" si="1711"/>
        <v>Lista 5</v>
      </c>
      <c r="Y2671" t="str">
        <f t="shared" si="1712"/>
        <v>Oferta Gral.</v>
      </c>
      <c r="Z2671" t="str">
        <f t="shared" si="1713"/>
        <v>Rubro</v>
      </c>
      <c r="AA2671" t="str">
        <f t="shared" si="1714"/>
        <v>Cantidad por Bulto</v>
      </c>
      <c r="AB2671" t="str">
        <f t="shared" si="1715"/>
        <v>INNER</v>
      </c>
      <c r="AC2671" t="str">
        <f t="shared" si="1716"/>
        <v>Stock en Bultos</v>
      </c>
      <c r="AD2671" t="str">
        <f t="shared" si="1717"/>
        <v>SubDepósito</v>
      </c>
      <c r="AE2671" t="str">
        <f t="shared" si="1718"/>
        <v>Marca</v>
      </c>
      <c r="AF2671" t="str">
        <f t="shared" si="1719"/>
        <v>Super Rubro</v>
      </c>
      <c r="AG2671" t="str">
        <f t="shared" si="1720"/>
        <v>ComercioExterior</v>
      </c>
      <c r="AH2671" t="str">
        <f t="shared" si="1721"/>
        <v>PrecioFOB</v>
      </c>
      <c r="AI2671" t="str">
        <f t="shared" si="1722"/>
        <v>Monto II</v>
      </c>
      <c r="AJ2671" t="str">
        <f t="shared" si="1723"/>
        <v>Porcentaje II</v>
      </c>
      <c r="AK2671" t="str">
        <f t="shared" si="1724"/>
        <v>Foto</v>
      </c>
      <c r="AL2671" t="str">
        <f t="shared" si="1740"/>
        <v xml:space="preserve"> </v>
      </c>
      <c r="AM2671" t="str">
        <f t="shared" si="1706"/>
        <v>-</v>
      </c>
    </row>
    <row r="2672" spans="1:39" x14ac:dyDescent="0.25">
      <c r="A2672" t="str">
        <f>"FI16028"</f>
        <v>FI16028</v>
      </c>
      <c r="B2672" t="str">
        <f>"REGULADOR DE PRESION VOLKSWAGEN GOLF III 1.8 / 2.0 MEXICAN - 3.0 BAR"</f>
        <v>REGULADOR DE PRESION VOLKSWAGEN GOLF III 1.8 / 2.0 MEXICAN - 3.0 BAR</v>
      </c>
      <c r="C2672" t="str">
        <f>"$ 41864,99"</f>
        <v>$ 41864,99</v>
      </c>
      <c r="D2672" t="str">
        <f>"$ 41864,99"</f>
        <v>$ 41864,99</v>
      </c>
      <c r="E2672" t="str">
        <f>"$ 41864,99"</f>
        <v>$ 41864,99</v>
      </c>
      <c r="F2672" t="str">
        <f>"$ 41864,99"</f>
        <v>$ 41864,99</v>
      </c>
      <c r="G2672" t="str">
        <f>"$ 41864,99"</f>
        <v>$ 41864,99</v>
      </c>
      <c r="H2672" t="str">
        <f t="shared" si="1707"/>
        <v>$ 0,00</v>
      </c>
      <c r="I2672" t="str">
        <f>"REGULADORES DE PRESION"</f>
        <v>REGULADORES DE PRESION</v>
      </c>
      <c r="J2672" t="str">
        <f t="shared" si="1708"/>
        <v>1</v>
      </c>
      <c r="K2672" t="str">
        <f t="shared" si="1734"/>
        <v>0</v>
      </c>
      <c r="L2672" t="str">
        <f>"4,000"</f>
        <v>4,000</v>
      </c>
      <c r="M2672" t="str">
        <f t="shared" si="1709"/>
        <v xml:space="preserve"> </v>
      </c>
      <c r="N2672" t="str">
        <f t="shared" si="1729"/>
        <v>FISPA</v>
      </c>
      <c r="O2672" t="str">
        <f t="shared" si="1730"/>
        <v>BOMBAS</v>
      </c>
      <c r="P2672" t="str">
        <f t="shared" si="1738"/>
        <v>0</v>
      </c>
      <c r="Q2672" t="str">
        <f t="shared" si="1738"/>
        <v>0</v>
      </c>
      <c r="R2672" t="str">
        <f t="shared" si="1739"/>
        <v>0,00</v>
      </c>
      <c r="S2672" t="str">
        <f t="shared" si="1739"/>
        <v>0,00</v>
      </c>
      <c r="T2672" t="str">
        <f t="shared" si="1704"/>
        <v xml:space="preserve"> </v>
      </c>
      <c r="U2672" t="str">
        <f t="shared" si="1705"/>
        <v xml:space="preserve"> </v>
      </c>
      <c r="V2672" t="str">
        <f>"4,000"</f>
        <v>4,000</v>
      </c>
      <c r="W2672" t="str">
        <f t="shared" si="1710"/>
        <v>Lista 4</v>
      </c>
      <c r="X2672" t="str">
        <f t="shared" si="1711"/>
        <v>Lista 5</v>
      </c>
      <c r="Y2672" t="str">
        <f t="shared" si="1712"/>
        <v>Oferta Gral.</v>
      </c>
      <c r="Z2672" t="str">
        <f t="shared" si="1713"/>
        <v>Rubro</v>
      </c>
      <c r="AA2672" t="str">
        <f t="shared" si="1714"/>
        <v>Cantidad por Bulto</v>
      </c>
      <c r="AB2672" t="str">
        <f t="shared" si="1715"/>
        <v>INNER</v>
      </c>
      <c r="AC2672" t="str">
        <f t="shared" si="1716"/>
        <v>Stock en Bultos</v>
      </c>
      <c r="AD2672" t="str">
        <f t="shared" si="1717"/>
        <v>SubDepósito</v>
      </c>
      <c r="AE2672" t="str">
        <f t="shared" si="1718"/>
        <v>Marca</v>
      </c>
      <c r="AF2672" t="str">
        <f t="shared" si="1719"/>
        <v>Super Rubro</v>
      </c>
      <c r="AG2672" t="str">
        <f t="shared" si="1720"/>
        <v>ComercioExterior</v>
      </c>
      <c r="AH2672" t="str">
        <f t="shared" si="1721"/>
        <v>PrecioFOB</v>
      </c>
      <c r="AI2672" t="str">
        <f t="shared" si="1722"/>
        <v>Monto II</v>
      </c>
      <c r="AJ2672" t="str">
        <f t="shared" si="1723"/>
        <v>Porcentaje II</v>
      </c>
      <c r="AK2672" t="str">
        <f t="shared" si="1724"/>
        <v>Foto</v>
      </c>
      <c r="AL2672" t="str">
        <f t="shared" si="1740"/>
        <v xml:space="preserve"> </v>
      </c>
      <c r="AM2672" t="str">
        <f t="shared" si="1706"/>
        <v>-</v>
      </c>
    </row>
    <row r="2673" spans="1:39" x14ac:dyDescent="0.25">
      <c r="A2673" t="str">
        <f>"NQD1515"</f>
        <v>NQD1515</v>
      </c>
      <c r="B2673" t="str">
        <f>"REGULADOR DE VOLTAJE ELECTRONICO"</f>
        <v>REGULADOR DE VOLTAJE ELECTRONICO</v>
      </c>
      <c r="C2673" t="str">
        <f>"$ 8710,32"</f>
        <v>$ 8710,32</v>
      </c>
      <c r="D2673" t="str">
        <f>"$ 8710,32"</f>
        <v>$ 8710,32</v>
      </c>
      <c r="E2673" t="str">
        <f>"$ 8710,32"</f>
        <v>$ 8710,32</v>
      </c>
      <c r="F2673" t="str">
        <f>"$ 8710,32"</f>
        <v>$ 8710,32</v>
      </c>
      <c r="G2673" t="str">
        <f>"$ 8710,32"</f>
        <v>$ 8710,32</v>
      </c>
      <c r="H2673" t="str">
        <f t="shared" si="1707"/>
        <v>$ 0,00</v>
      </c>
      <c r="I2673" t="str">
        <f>"REGULADOR VOLTAJE ELECTRÓNICO"</f>
        <v>REGULADOR VOLTAJE ELECTRÓNICO</v>
      </c>
      <c r="J2673" t="str">
        <f t="shared" si="1708"/>
        <v>1</v>
      </c>
      <c r="K2673" t="str">
        <f t="shared" si="1734"/>
        <v>0</v>
      </c>
      <c r="L2673" t="str">
        <f>"84,000"</f>
        <v>84,000</v>
      </c>
      <c r="M2673" t="str">
        <f t="shared" si="1709"/>
        <v xml:space="preserve"> </v>
      </c>
      <c r="N2673" t="str">
        <f>"NQD"</f>
        <v>NQD</v>
      </c>
      <c r="O2673" t="str">
        <f>"REGULADOR DE VOLTAJE"</f>
        <v>REGULADOR DE VOLTAJE</v>
      </c>
      <c r="P2673" t="str">
        <f t="shared" si="1738"/>
        <v>0</v>
      </c>
      <c r="Q2673" t="str">
        <f t="shared" si="1738"/>
        <v>0</v>
      </c>
      <c r="R2673" t="str">
        <f t="shared" si="1739"/>
        <v>0,00</v>
      </c>
      <c r="S2673" t="str">
        <f t="shared" si="1739"/>
        <v>0,00</v>
      </c>
      <c r="T2673" t="str">
        <f t="shared" si="1704"/>
        <v xml:space="preserve"> </v>
      </c>
      <c r="U2673" t="str">
        <f t="shared" si="1705"/>
        <v xml:space="preserve"> </v>
      </c>
      <c r="V2673" t="str">
        <f>"84,000"</f>
        <v>84,000</v>
      </c>
      <c r="W2673" t="str">
        <f t="shared" si="1710"/>
        <v>Lista 4</v>
      </c>
      <c r="X2673" t="str">
        <f t="shared" si="1711"/>
        <v>Lista 5</v>
      </c>
      <c r="Y2673" t="str">
        <f t="shared" si="1712"/>
        <v>Oferta Gral.</v>
      </c>
      <c r="Z2673" t="str">
        <f t="shared" si="1713"/>
        <v>Rubro</v>
      </c>
      <c r="AA2673" t="str">
        <f t="shared" si="1714"/>
        <v>Cantidad por Bulto</v>
      </c>
      <c r="AB2673" t="str">
        <f t="shared" si="1715"/>
        <v>INNER</v>
      </c>
      <c r="AC2673" t="str">
        <f t="shared" si="1716"/>
        <v>Stock en Bultos</v>
      </c>
      <c r="AD2673" t="str">
        <f t="shared" si="1717"/>
        <v>SubDepósito</v>
      </c>
      <c r="AE2673" t="str">
        <f t="shared" si="1718"/>
        <v>Marca</v>
      </c>
      <c r="AF2673" t="str">
        <f t="shared" si="1719"/>
        <v>Super Rubro</v>
      </c>
      <c r="AG2673" t="str">
        <f t="shared" si="1720"/>
        <v>ComercioExterior</v>
      </c>
      <c r="AH2673" t="str">
        <f t="shared" si="1721"/>
        <v>PrecioFOB</v>
      </c>
      <c r="AI2673" t="str">
        <f t="shared" si="1722"/>
        <v>Monto II</v>
      </c>
      <c r="AJ2673" t="str">
        <f t="shared" si="1723"/>
        <v>Porcentaje II</v>
      </c>
      <c r="AK2673" t="str">
        <f t="shared" si="1724"/>
        <v>Foto</v>
      </c>
      <c r="AL2673" t="str">
        <f>"{\rtf1\ansi\ansicpg1252\deff0\deflang11274{\fonttbl{\f0\fnil\fcharset0 MS Sans Serif}} \viewkind4\uc1\pard\f0\fs16 REGULADOR DE VOLTAJE ELECTRONICO\par } "</f>
        <v xml:space="preserve">{\rtf1\ansi\ansicpg1252\deff0\deflang11274{\fonttbl{\f0\fnil\fcharset0 MS Sans Serif}} \viewkind4\uc1\pard\f0\fs16 REGULADOR DE VOLTAJE ELECTRONICO\par } </v>
      </c>
      <c r="AM2673" t="str">
        <f t="shared" si="1706"/>
        <v>-</v>
      </c>
    </row>
    <row r="2674" spans="1:39" x14ac:dyDescent="0.25">
      <c r="A2674" t="str">
        <f>"KU9183"</f>
        <v>KU9183</v>
      </c>
      <c r="B2674" t="str">
        <f>"RELAY 4T 12V 70A PARA RENAULT COLOR VIOLETA"</f>
        <v>RELAY 4T 12V 70A PARA RENAULT COLOR VIOLETA</v>
      </c>
      <c r="C2674" t="str">
        <f>"$ 6007,49"</f>
        <v>$ 6007,49</v>
      </c>
      <c r="D2674" t="str">
        <f>"$ 6007,49"</f>
        <v>$ 6007,49</v>
      </c>
      <c r="E2674" t="str">
        <f>"$ 6007,49"</f>
        <v>$ 6007,49</v>
      </c>
      <c r="F2674" t="str">
        <f>"$ 6007,49"</f>
        <v>$ 6007,49</v>
      </c>
      <c r="G2674" t="str">
        <f>"$ 6007,49"</f>
        <v>$ 6007,49</v>
      </c>
      <c r="H2674" t="str">
        <f t="shared" si="1707"/>
        <v>$ 0,00</v>
      </c>
      <c r="I2674" t="str">
        <f>"RELAY"</f>
        <v>RELAY</v>
      </c>
      <c r="J2674" t="str">
        <f t="shared" si="1708"/>
        <v>1</v>
      </c>
      <c r="K2674" t="str">
        <f t="shared" si="1734"/>
        <v>0</v>
      </c>
      <c r="L2674" t="str">
        <f>"30,000"</f>
        <v>30,000</v>
      </c>
      <c r="M2674" t="str">
        <f t="shared" si="1709"/>
        <v xml:space="preserve"> </v>
      </c>
      <c r="N2674" t="str">
        <f>"KUBE"</f>
        <v>KUBE</v>
      </c>
      <c r="O2674" t="str">
        <f>"RELAY Y DESTELLADORES"</f>
        <v>RELAY Y DESTELLADORES</v>
      </c>
      <c r="P2674" t="str">
        <f t="shared" si="1738"/>
        <v>0</v>
      </c>
      <c r="Q2674" t="str">
        <f t="shared" si="1738"/>
        <v>0</v>
      </c>
      <c r="R2674" t="str">
        <f t="shared" si="1739"/>
        <v>0,00</v>
      </c>
      <c r="S2674" t="str">
        <f t="shared" si="1739"/>
        <v>0,00</v>
      </c>
      <c r="T2674" t="str">
        <f t="shared" si="1704"/>
        <v xml:space="preserve"> </v>
      </c>
      <c r="U2674" t="str">
        <f t="shared" si="1705"/>
        <v xml:space="preserve"> </v>
      </c>
      <c r="V2674" t="str">
        <f>"30,000"</f>
        <v>30,000</v>
      </c>
      <c r="W2674" t="str">
        <f t="shared" si="1710"/>
        <v>Lista 4</v>
      </c>
      <c r="X2674" t="str">
        <f t="shared" si="1711"/>
        <v>Lista 5</v>
      </c>
      <c r="Y2674" t="str">
        <f t="shared" si="1712"/>
        <v>Oferta Gral.</v>
      </c>
      <c r="Z2674" t="str">
        <f t="shared" si="1713"/>
        <v>Rubro</v>
      </c>
      <c r="AA2674" t="str">
        <f t="shared" si="1714"/>
        <v>Cantidad por Bulto</v>
      </c>
      <c r="AB2674" t="str">
        <f t="shared" si="1715"/>
        <v>INNER</v>
      </c>
      <c r="AC2674" t="str">
        <f t="shared" si="1716"/>
        <v>Stock en Bultos</v>
      </c>
      <c r="AD2674" t="str">
        <f t="shared" si="1717"/>
        <v>SubDepósito</v>
      </c>
      <c r="AE2674" t="str">
        <f t="shared" si="1718"/>
        <v>Marca</v>
      </c>
      <c r="AF2674" t="str">
        <f t="shared" si="1719"/>
        <v>Super Rubro</v>
      </c>
      <c r="AG2674" t="str">
        <f t="shared" si="1720"/>
        <v>ComercioExterior</v>
      </c>
      <c r="AH2674" t="str">
        <f t="shared" si="1721"/>
        <v>PrecioFOB</v>
      </c>
      <c r="AI2674" t="str">
        <f t="shared" si="1722"/>
        <v>Monto II</v>
      </c>
      <c r="AJ2674" t="str">
        <f t="shared" si="1723"/>
        <v>Porcentaje II</v>
      </c>
      <c r="AK2674" t="str">
        <f t="shared" si="1724"/>
        <v>Foto</v>
      </c>
      <c r="AL2674" t="str">
        <f>"{\rtf1\ansi\ansicpg1252\deff0\deflang11274{\fonttbl{\f0\fnil\fcharset0 MS Sans Serif}} \viewkind4\uc1\pard\f0\fs16 RELAY 4T 12V 70A PARA RENAULT COLOR VIOLETA\par } "</f>
        <v xml:space="preserve">{\rtf1\ansi\ansicpg1252\deff0\deflang11274{\fonttbl{\f0\fnil\fcharset0 MS Sans Serif}} \viewkind4\uc1\pard\f0\fs16 RELAY 4T 12V 70A PARA RENAULT COLOR VIOLETA\par } </v>
      </c>
      <c r="AM2674" t="str">
        <f>" "</f>
        <v xml:space="preserve"> </v>
      </c>
    </row>
    <row r="2675" spans="1:39" x14ac:dyDescent="0.25">
      <c r="A2675" t="str">
        <f>"FI3240107"</f>
        <v>FI3240107</v>
      </c>
      <c r="B2675" t="str">
        <f>"RELAY BBA COMBUSTIBLE PEUGEOT NEGRO REF ORIG 240107"</f>
        <v>RELAY BBA COMBUSTIBLE PEUGEOT NEGRO REF ORIG 240107</v>
      </c>
      <c r="C2675" t="str">
        <f t="shared" ref="C2675:G2676" si="1743">"$ 16751,75"</f>
        <v>$ 16751,75</v>
      </c>
      <c r="D2675" t="str">
        <f t="shared" si="1743"/>
        <v>$ 16751,75</v>
      </c>
      <c r="E2675" t="str">
        <f t="shared" si="1743"/>
        <v>$ 16751,75</v>
      </c>
      <c r="F2675" t="str">
        <f t="shared" si="1743"/>
        <v>$ 16751,75</v>
      </c>
      <c r="G2675" t="str">
        <f t="shared" si="1743"/>
        <v>$ 16751,75</v>
      </c>
      <c r="H2675" t="str">
        <f t="shared" si="1707"/>
        <v>$ 0,00</v>
      </c>
      <c r="I2675" t="str">
        <f>"RELAY BOMBA COMBUSTIBLE"</f>
        <v>RELAY BOMBA COMBUSTIBLE</v>
      </c>
      <c r="J2675" t="str">
        <f t="shared" si="1708"/>
        <v>1</v>
      </c>
      <c r="K2675" t="str">
        <f t="shared" si="1734"/>
        <v>0</v>
      </c>
      <c r="L2675" t="str">
        <f>"3,000"</f>
        <v>3,000</v>
      </c>
      <c r="M2675" t="str">
        <f t="shared" si="1709"/>
        <v xml:space="preserve"> </v>
      </c>
      <c r="N2675" t="str">
        <f>"FISPA"</f>
        <v>FISPA</v>
      </c>
      <c r="O2675" t="str">
        <f>"BOMBAS"</f>
        <v>BOMBAS</v>
      </c>
      <c r="P2675" t="str">
        <f t="shared" si="1738"/>
        <v>0</v>
      </c>
      <c r="Q2675" t="str">
        <f t="shared" si="1738"/>
        <v>0</v>
      </c>
      <c r="R2675" t="str">
        <f t="shared" si="1739"/>
        <v>0,00</v>
      </c>
      <c r="S2675" t="str">
        <f t="shared" si="1739"/>
        <v>0,00</v>
      </c>
      <c r="T2675" t="str">
        <f t="shared" si="1704"/>
        <v xml:space="preserve"> </v>
      </c>
      <c r="U2675" t="str">
        <f t="shared" si="1705"/>
        <v xml:space="preserve"> </v>
      </c>
      <c r="V2675" t="str">
        <f>"3,000"</f>
        <v>3,000</v>
      </c>
      <c r="W2675" t="str">
        <f t="shared" si="1710"/>
        <v>Lista 4</v>
      </c>
      <c r="X2675" t="str">
        <f t="shared" si="1711"/>
        <v>Lista 5</v>
      </c>
      <c r="Y2675" t="str">
        <f t="shared" si="1712"/>
        <v>Oferta Gral.</v>
      </c>
      <c r="Z2675" t="str">
        <f t="shared" si="1713"/>
        <v>Rubro</v>
      </c>
      <c r="AA2675" t="str">
        <f t="shared" si="1714"/>
        <v>Cantidad por Bulto</v>
      </c>
      <c r="AB2675" t="str">
        <f t="shared" si="1715"/>
        <v>INNER</v>
      </c>
      <c r="AC2675" t="str">
        <f t="shared" si="1716"/>
        <v>Stock en Bultos</v>
      </c>
      <c r="AD2675" t="str">
        <f t="shared" si="1717"/>
        <v>SubDepósito</v>
      </c>
      <c r="AE2675" t="str">
        <f t="shared" si="1718"/>
        <v>Marca</v>
      </c>
      <c r="AF2675" t="str">
        <f t="shared" si="1719"/>
        <v>Super Rubro</v>
      </c>
      <c r="AG2675" t="str">
        <f t="shared" si="1720"/>
        <v>ComercioExterior</v>
      </c>
      <c r="AH2675" t="str">
        <f t="shared" si="1721"/>
        <v>PrecioFOB</v>
      </c>
      <c r="AI2675" t="str">
        <f t="shared" si="1722"/>
        <v>Monto II</v>
      </c>
      <c r="AJ2675" t="str">
        <f t="shared" si="1723"/>
        <v>Porcentaje II</v>
      </c>
      <c r="AK2675" t="str">
        <f t="shared" si="1724"/>
        <v>Foto</v>
      </c>
      <c r="AL2675" t="str">
        <f>"{\rtf1\ansi\ansicpg1252\deff0\deflang11274{\fonttbl{\f0\fnil\fcharset0 MS Sans Serif}} \viewkind4\uc1\pard\f0\fs16 RELAY BBA COMBUSTIBLE PEUGEOT NEGRO REF ORIG 240107\par } "</f>
        <v xml:space="preserve">{\rtf1\ansi\ansicpg1252\deff0\deflang11274{\fonttbl{\f0\fnil\fcharset0 MS Sans Serif}} \viewkind4\uc1\pard\f0\fs16 RELAY BBA COMBUSTIBLE PEUGEOT NEGRO REF ORIG 240107\par } </v>
      </c>
      <c r="AM2675" t="str">
        <f>"-"</f>
        <v>-</v>
      </c>
    </row>
    <row r="2676" spans="1:39" x14ac:dyDescent="0.25">
      <c r="A2676" t="str">
        <f>"FI3240113"</f>
        <v>FI3240113</v>
      </c>
      <c r="B2676" t="str">
        <f>"RELAY BOMBA COMB OMRON FIAT BLANCO"</f>
        <v>RELAY BOMBA COMB OMRON FIAT BLANCO</v>
      </c>
      <c r="C2676" t="str">
        <f t="shared" si="1743"/>
        <v>$ 16751,75</v>
      </c>
      <c r="D2676" t="str">
        <f t="shared" si="1743"/>
        <v>$ 16751,75</v>
      </c>
      <c r="E2676" t="str">
        <f t="shared" si="1743"/>
        <v>$ 16751,75</v>
      </c>
      <c r="F2676" t="str">
        <f t="shared" si="1743"/>
        <v>$ 16751,75</v>
      </c>
      <c r="G2676" t="str">
        <f t="shared" si="1743"/>
        <v>$ 16751,75</v>
      </c>
      <c r="H2676" t="str">
        <f t="shared" si="1707"/>
        <v>$ 0,00</v>
      </c>
      <c r="I2676" t="str">
        <f>"RELAY BOMBA COMBUSTIBLE"</f>
        <v>RELAY BOMBA COMBUSTIBLE</v>
      </c>
      <c r="J2676" t="str">
        <f t="shared" si="1708"/>
        <v>1</v>
      </c>
      <c r="K2676" t="str">
        <f t="shared" si="1734"/>
        <v>0</v>
      </c>
      <c r="L2676" t="str">
        <f>"0,000"</f>
        <v>0,000</v>
      </c>
      <c r="M2676" t="str">
        <f t="shared" si="1709"/>
        <v xml:space="preserve"> </v>
      </c>
      <c r="N2676" t="str">
        <f>"FISPA"</f>
        <v>FISPA</v>
      </c>
      <c r="O2676" t="str">
        <f>"BOMBAS"</f>
        <v>BOMBAS</v>
      </c>
      <c r="P2676" t="str">
        <f t="shared" si="1738"/>
        <v>0</v>
      </c>
      <c r="Q2676" t="str">
        <f t="shared" si="1738"/>
        <v>0</v>
      </c>
      <c r="R2676" t="str">
        <f t="shared" si="1739"/>
        <v>0,00</v>
      </c>
      <c r="S2676" t="str">
        <f t="shared" si="1739"/>
        <v>0,00</v>
      </c>
      <c r="T2676" t="str">
        <f t="shared" si="1704"/>
        <v xml:space="preserve"> </v>
      </c>
      <c r="U2676" t="str">
        <f t="shared" si="1705"/>
        <v xml:space="preserve"> </v>
      </c>
      <c r="V2676" t="str">
        <f>"0,000"</f>
        <v>0,000</v>
      </c>
      <c r="W2676" t="str">
        <f t="shared" si="1710"/>
        <v>Lista 4</v>
      </c>
      <c r="X2676" t="str">
        <f t="shared" si="1711"/>
        <v>Lista 5</v>
      </c>
      <c r="Y2676" t="str">
        <f t="shared" si="1712"/>
        <v>Oferta Gral.</v>
      </c>
      <c r="Z2676" t="str">
        <f t="shared" si="1713"/>
        <v>Rubro</v>
      </c>
      <c r="AA2676" t="str">
        <f t="shared" si="1714"/>
        <v>Cantidad por Bulto</v>
      </c>
      <c r="AB2676" t="str">
        <f t="shared" si="1715"/>
        <v>INNER</v>
      </c>
      <c r="AC2676" t="str">
        <f t="shared" si="1716"/>
        <v>Stock en Bultos</v>
      </c>
      <c r="AD2676" t="str">
        <f t="shared" si="1717"/>
        <v>SubDepósito</v>
      </c>
      <c r="AE2676" t="str">
        <f t="shared" si="1718"/>
        <v>Marca</v>
      </c>
      <c r="AF2676" t="str">
        <f t="shared" si="1719"/>
        <v>Super Rubro</v>
      </c>
      <c r="AG2676" t="str">
        <f t="shared" si="1720"/>
        <v>ComercioExterior</v>
      </c>
      <c r="AH2676" t="str">
        <f t="shared" si="1721"/>
        <v>PrecioFOB</v>
      </c>
      <c r="AI2676" t="str">
        <f t="shared" si="1722"/>
        <v>Monto II</v>
      </c>
      <c r="AJ2676" t="str">
        <f t="shared" si="1723"/>
        <v>Porcentaje II</v>
      </c>
      <c r="AK2676" t="str">
        <f t="shared" si="1724"/>
        <v>Foto</v>
      </c>
      <c r="AL2676" t="str">
        <f>"{\rtf1\ansi\ansicpg1252\deff0\deflang11274{\fonttbl{\f0\fnil\fcharset0 MS Sans Serif}} \viewkind4\uc1\pard\f0\fs16 RELAY BOMBA COMB OMRON FIAT BLANCO\par } "</f>
        <v xml:space="preserve">{\rtf1\ansi\ansicpg1252\deff0\deflang11274{\fonttbl{\f0\fnil\fcharset0 MS Sans Serif}} \viewkind4\uc1\pard\f0\fs16 RELAY BOMBA COMB OMRON FIAT BLANCO\par } </v>
      </c>
      <c r="AM2676" t="str">
        <f>"-"</f>
        <v>-</v>
      </c>
    </row>
    <row r="2677" spans="1:39" x14ac:dyDescent="0.25">
      <c r="A2677" t="str">
        <f>"KU36"</f>
        <v>KU36</v>
      </c>
      <c r="B2677" t="str">
        <f>"RELAY INVERSOR 5T 12V 50 AMP"</f>
        <v>RELAY INVERSOR 5T 12V 50 AMP</v>
      </c>
      <c r="C2677" t="str">
        <f>"$ 3431,34"</f>
        <v>$ 3431,34</v>
      </c>
      <c r="D2677" t="str">
        <f>"$ 3431,34"</f>
        <v>$ 3431,34</v>
      </c>
      <c r="E2677" t="str">
        <f>"$ 3431,34"</f>
        <v>$ 3431,34</v>
      </c>
      <c r="F2677" t="str">
        <f>"$ 3431,34"</f>
        <v>$ 3431,34</v>
      </c>
      <c r="G2677" t="str">
        <f>"$ 3431,34"</f>
        <v>$ 3431,34</v>
      </c>
      <c r="H2677" t="str">
        <f t="shared" si="1707"/>
        <v>$ 0,00</v>
      </c>
      <c r="I2677" t="str">
        <f>"RELAY"</f>
        <v>RELAY</v>
      </c>
      <c r="J2677" t="str">
        <f t="shared" si="1708"/>
        <v>1</v>
      </c>
      <c r="K2677" t="str">
        <f t="shared" si="1734"/>
        <v>0</v>
      </c>
      <c r="L2677" t="str">
        <f>"76,000"</f>
        <v>76,000</v>
      </c>
      <c r="M2677" t="str">
        <f t="shared" si="1709"/>
        <v xml:space="preserve"> </v>
      </c>
      <c r="N2677" t="str">
        <f>"KUBE"</f>
        <v>KUBE</v>
      </c>
      <c r="O2677" t="str">
        <f>"RELAY Y DESTELLADORES"</f>
        <v>RELAY Y DESTELLADORES</v>
      </c>
      <c r="P2677" t="str">
        <f t="shared" si="1738"/>
        <v>0</v>
      </c>
      <c r="Q2677" t="str">
        <f t="shared" si="1738"/>
        <v>0</v>
      </c>
      <c r="R2677" t="str">
        <f t="shared" si="1739"/>
        <v>0,00</v>
      </c>
      <c r="S2677" t="str">
        <f t="shared" si="1739"/>
        <v>0,00</v>
      </c>
      <c r="T2677" t="str">
        <f t="shared" si="1704"/>
        <v xml:space="preserve"> </v>
      </c>
      <c r="U2677" t="str">
        <f t="shared" si="1705"/>
        <v xml:space="preserve"> </v>
      </c>
      <c r="V2677" t="str">
        <f>"76,000"</f>
        <v>76,000</v>
      </c>
      <c r="W2677" t="str">
        <f t="shared" si="1710"/>
        <v>Lista 4</v>
      </c>
      <c r="X2677" t="str">
        <f t="shared" si="1711"/>
        <v>Lista 5</v>
      </c>
      <c r="Y2677" t="str">
        <f t="shared" si="1712"/>
        <v>Oferta Gral.</v>
      </c>
      <c r="Z2677" t="str">
        <f t="shared" si="1713"/>
        <v>Rubro</v>
      </c>
      <c r="AA2677" t="str">
        <f t="shared" si="1714"/>
        <v>Cantidad por Bulto</v>
      </c>
      <c r="AB2677" t="str">
        <f t="shared" si="1715"/>
        <v>INNER</v>
      </c>
      <c r="AC2677" t="str">
        <f t="shared" si="1716"/>
        <v>Stock en Bultos</v>
      </c>
      <c r="AD2677" t="str">
        <f t="shared" si="1717"/>
        <v>SubDepósito</v>
      </c>
      <c r="AE2677" t="str">
        <f t="shared" si="1718"/>
        <v>Marca</v>
      </c>
      <c r="AF2677" t="str">
        <f t="shared" si="1719"/>
        <v>Super Rubro</v>
      </c>
      <c r="AG2677" t="str">
        <f t="shared" si="1720"/>
        <v>ComercioExterior</v>
      </c>
      <c r="AH2677" t="str">
        <f t="shared" si="1721"/>
        <v>PrecioFOB</v>
      </c>
      <c r="AI2677" t="str">
        <f t="shared" si="1722"/>
        <v>Monto II</v>
      </c>
      <c r="AJ2677" t="str">
        <f t="shared" si="1723"/>
        <v>Porcentaje II</v>
      </c>
      <c r="AK2677" t="str">
        <f t="shared" si="1724"/>
        <v>Foto</v>
      </c>
      <c r="AL2677" t="str">
        <f>"{\rtf1\ansi\ansicpg1252\deff0\deflang11274{\fonttbl{\f0\fnil\fcharset0 MS Sans Serif}} \viewkind4\uc1\pard\f0\fs16 RELAY INVERSOR 5T 12V 50 AMP\par } "</f>
        <v xml:space="preserve">{\rtf1\ansi\ansicpg1252\deff0\deflang11274{\fonttbl{\f0\fnil\fcharset0 MS Sans Serif}} \viewkind4\uc1\pard\f0\fs16 RELAY INVERSOR 5T 12V 50 AMP\par } </v>
      </c>
      <c r="AM2677" t="str">
        <f>"-"</f>
        <v>-</v>
      </c>
    </row>
    <row r="2678" spans="1:39" x14ac:dyDescent="0.25">
      <c r="A2678" t="str">
        <f>"KU62"</f>
        <v>KU62</v>
      </c>
      <c r="B2678" t="str">
        <f>"RELAY UNIVERSAL 4T 12V 70AMP (RTM 62)"</f>
        <v>RELAY UNIVERSAL 4T 12V 70AMP (RTM 62)</v>
      </c>
      <c r="C2678" t="str">
        <f>"$ 5067,82"</f>
        <v>$ 5067,82</v>
      </c>
      <c r="D2678" t="str">
        <f>"$ 5067,82"</f>
        <v>$ 5067,82</v>
      </c>
      <c r="E2678" t="str">
        <f>"$ 5067,82"</f>
        <v>$ 5067,82</v>
      </c>
      <c r="F2678" t="str">
        <f>"$ 5067,82"</f>
        <v>$ 5067,82</v>
      </c>
      <c r="G2678" t="str">
        <f>"$ 5067,82"</f>
        <v>$ 5067,82</v>
      </c>
      <c r="H2678" t="str">
        <f t="shared" si="1707"/>
        <v>$ 0,00</v>
      </c>
      <c r="I2678" t="str">
        <f>"RELAY"</f>
        <v>RELAY</v>
      </c>
      <c r="J2678" t="str">
        <f t="shared" si="1708"/>
        <v>1</v>
      </c>
      <c r="K2678" t="str">
        <f t="shared" si="1734"/>
        <v>0</v>
      </c>
      <c r="L2678" t="str">
        <f>"27,000"</f>
        <v>27,000</v>
      </c>
      <c r="M2678" t="str">
        <f t="shared" si="1709"/>
        <v xml:space="preserve"> </v>
      </c>
      <c r="N2678" t="str">
        <f>"KUBE"</f>
        <v>KUBE</v>
      </c>
      <c r="O2678" t="str">
        <f>"RELAY Y DESTELLADORES"</f>
        <v>RELAY Y DESTELLADORES</v>
      </c>
      <c r="P2678" t="str">
        <f t="shared" si="1738"/>
        <v>0</v>
      </c>
      <c r="Q2678" t="str">
        <f t="shared" si="1738"/>
        <v>0</v>
      </c>
      <c r="R2678" t="str">
        <f t="shared" si="1739"/>
        <v>0,00</v>
      </c>
      <c r="S2678" t="str">
        <f t="shared" si="1739"/>
        <v>0,00</v>
      </c>
      <c r="T2678" t="str">
        <f t="shared" si="1704"/>
        <v xml:space="preserve"> </v>
      </c>
      <c r="U2678" t="str">
        <f t="shared" si="1705"/>
        <v xml:space="preserve"> </v>
      </c>
      <c r="V2678" t="str">
        <f>"27,000"</f>
        <v>27,000</v>
      </c>
      <c r="W2678" t="str">
        <f t="shared" si="1710"/>
        <v>Lista 4</v>
      </c>
      <c r="X2678" t="str">
        <f t="shared" si="1711"/>
        <v>Lista 5</v>
      </c>
      <c r="Y2678" t="str">
        <f t="shared" si="1712"/>
        <v>Oferta Gral.</v>
      </c>
      <c r="Z2678" t="str">
        <f t="shared" si="1713"/>
        <v>Rubro</v>
      </c>
      <c r="AA2678" t="str">
        <f t="shared" si="1714"/>
        <v>Cantidad por Bulto</v>
      </c>
      <c r="AB2678" t="str">
        <f t="shared" si="1715"/>
        <v>INNER</v>
      </c>
      <c r="AC2678" t="str">
        <f t="shared" si="1716"/>
        <v>Stock en Bultos</v>
      </c>
      <c r="AD2678" t="str">
        <f t="shared" si="1717"/>
        <v>SubDepósito</v>
      </c>
      <c r="AE2678" t="str">
        <f t="shared" si="1718"/>
        <v>Marca</v>
      </c>
      <c r="AF2678" t="str">
        <f t="shared" si="1719"/>
        <v>Super Rubro</v>
      </c>
      <c r="AG2678" t="str">
        <f t="shared" si="1720"/>
        <v>ComercioExterior</v>
      </c>
      <c r="AH2678" t="str">
        <f t="shared" si="1721"/>
        <v>PrecioFOB</v>
      </c>
      <c r="AI2678" t="str">
        <f t="shared" si="1722"/>
        <v>Monto II</v>
      </c>
      <c r="AJ2678" t="str">
        <f t="shared" si="1723"/>
        <v>Porcentaje II</v>
      </c>
      <c r="AK2678" t="str">
        <f t="shared" si="1724"/>
        <v>Foto</v>
      </c>
      <c r="AL2678" t="str">
        <f>"{\rtf1\ansi\ansicpg1252\deff0\deflang11274{\fonttbl{\f0\fnil\fcharset0 MS Sans Serif}} \viewkind4\uc1\pard\f0\fs16 RELAY UNIVERSAL 4T 12V 70AMP (RTM 62)\par } "</f>
        <v xml:space="preserve">{\rtf1\ansi\ansicpg1252\deff0\deflang11274{\fonttbl{\f0\fnil\fcharset0 MS Sans Serif}} \viewkind4\uc1\pard\f0\fs16 RELAY UNIVERSAL 4T 12V 70AMP (RTM 62)\par } </v>
      </c>
      <c r="AM2678" t="str">
        <f>" "</f>
        <v xml:space="preserve"> </v>
      </c>
    </row>
    <row r="2679" spans="1:39" x14ac:dyDescent="0.25">
      <c r="A2679" t="str">
        <f>"KU35"</f>
        <v>KU35</v>
      </c>
      <c r="B2679" t="str">
        <f>"RELAY UNIVERSAL 5T 12V 50 AMP (RTM 35)"</f>
        <v>RELAY UNIVERSAL 5T 12V 50 AMP (RTM 35)</v>
      </c>
      <c r="C2679" t="str">
        <f>"$ 2607,82"</f>
        <v>$ 2607,82</v>
      </c>
      <c r="D2679" t="str">
        <f>"$ 2607,82"</f>
        <v>$ 2607,82</v>
      </c>
      <c r="E2679" t="str">
        <f>"$ 2607,82"</f>
        <v>$ 2607,82</v>
      </c>
      <c r="F2679" t="str">
        <f>"$ 2607,82"</f>
        <v>$ 2607,82</v>
      </c>
      <c r="G2679" t="str">
        <f>"$ 2607,82"</f>
        <v>$ 2607,82</v>
      </c>
      <c r="H2679" t="str">
        <f t="shared" si="1707"/>
        <v>$ 0,00</v>
      </c>
      <c r="I2679" t="str">
        <f>"RELAY"</f>
        <v>RELAY</v>
      </c>
      <c r="J2679" t="str">
        <f t="shared" si="1708"/>
        <v>1</v>
      </c>
      <c r="K2679" t="str">
        <f t="shared" si="1734"/>
        <v>0</v>
      </c>
      <c r="L2679" t="str">
        <f>"84,000"</f>
        <v>84,000</v>
      </c>
      <c r="M2679" t="str">
        <f t="shared" si="1709"/>
        <v xml:space="preserve"> </v>
      </c>
      <c r="N2679" t="str">
        <f>"KUBE"</f>
        <v>KUBE</v>
      </c>
      <c r="O2679" t="str">
        <f>"RELAY Y DESTELLADORES"</f>
        <v>RELAY Y DESTELLADORES</v>
      </c>
      <c r="P2679" t="str">
        <f t="shared" si="1738"/>
        <v>0</v>
      </c>
      <c r="Q2679" t="str">
        <f t="shared" si="1738"/>
        <v>0</v>
      </c>
      <c r="R2679" t="str">
        <f t="shared" si="1739"/>
        <v>0,00</v>
      </c>
      <c r="S2679" t="str">
        <f t="shared" si="1739"/>
        <v>0,00</v>
      </c>
      <c r="T2679" t="str">
        <f t="shared" si="1704"/>
        <v xml:space="preserve"> </v>
      </c>
      <c r="U2679" t="str">
        <f t="shared" si="1705"/>
        <v xml:space="preserve"> </v>
      </c>
      <c r="V2679" t="str">
        <f>"84,000"</f>
        <v>84,000</v>
      </c>
      <c r="W2679" t="str">
        <f t="shared" si="1710"/>
        <v>Lista 4</v>
      </c>
      <c r="X2679" t="str">
        <f t="shared" si="1711"/>
        <v>Lista 5</v>
      </c>
      <c r="Y2679" t="str">
        <f t="shared" si="1712"/>
        <v>Oferta Gral.</v>
      </c>
      <c r="Z2679" t="str">
        <f t="shared" si="1713"/>
        <v>Rubro</v>
      </c>
      <c r="AA2679" t="str">
        <f t="shared" si="1714"/>
        <v>Cantidad por Bulto</v>
      </c>
      <c r="AB2679" t="str">
        <f t="shared" si="1715"/>
        <v>INNER</v>
      </c>
      <c r="AC2679" t="str">
        <f t="shared" si="1716"/>
        <v>Stock en Bultos</v>
      </c>
      <c r="AD2679" t="str">
        <f t="shared" si="1717"/>
        <v>SubDepósito</v>
      </c>
      <c r="AE2679" t="str">
        <f t="shared" si="1718"/>
        <v>Marca</v>
      </c>
      <c r="AF2679" t="str">
        <f t="shared" si="1719"/>
        <v>Super Rubro</v>
      </c>
      <c r="AG2679" t="str">
        <f t="shared" si="1720"/>
        <v>ComercioExterior</v>
      </c>
      <c r="AH2679" t="str">
        <f t="shared" si="1721"/>
        <v>PrecioFOB</v>
      </c>
      <c r="AI2679" t="str">
        <f t="shared" si="1722"/>
        <v>Monto II</v>
      </c>
      <c r="AJ2679" t="str">
        <f t="shared" si="1723"/>
        <v>Porcentaje II</v>
      </c>
      <c r="AK2679" t="str">
        <f t="shared" si="1724"/>
        <v>Foto</v>
      </c>
      <c r="AL2679" t="str">
        <f>"{\rtf1\ansi\ansicpg1252\deff0\deflang11274{\fonttbl{\f0\fnil\fcharset0 MS Sans Serif}} \viewkind4\uc1\pard\f0\fs16 RELAY UNIVERSAL 5T 12V 50 AMP (RTM 35)\par } "</f>
        <v xml:space="preserve">{\rtf1\ansi\ansicpg1252\deff0\deflang11274{\fonttbl{\f0\fnil\fcharset0 MS Sans Serif}} \viewkind4\uc1\pard\f0\fs16 RELAY UNIVERSAL 5T 12V 50 AMP (RTM 35)\par } </v>
      </c>
      <c r="AM2679" t="str">
        <f>" "</f>
        <v xml:space="preserve"> </v>
      </c>
    </row>
    <row r="2680" spans="1:39" x14ac:dyDescent="0.25">
      <c r="A2680" t="str">
        <f>"M1037"</f>
        <v>M1037</v>
      </c>
      <c r="B2680" t="str">
        <f>"RENAULT 19 &amp; CLIO 1.6"</f>
        <v>RENAULT 19 &amp; CLIO 1.6</v>
      </c>
      <c r="C2680" t="str">
        <f>"$ 41426,52"</f>
        <v>$ 41426,52</v>
      </c>
      <c r="D2680" t="str">
        <f>"$ 41426,52"</f>
        <v>$ 41426,52</v>
      </c>
      <c r="E2680" t="str">
        <f>"$ 41426,52"</f>
        <v>$ 41426,52</v>
      </c>
      <c r="F2680" t="str">
        <f>"$ 41426,52"</f>
        <v>$ 41426,52</v>
      </c>
      <c r="G2680" t="str">
        <f>"$ 41426,52"</f>
        <v>$ 41426,52</v>
      </c>
      <c r="H2680" t="str">
        <f t="shared" si="1707"/>
        <v>$ 0,00</v>
      </c>
      <c r="I2680" t="str">
        <f>"SENSOR MARIPOSA TPS"</f>
        <v>SENSOR MARIPOSA TPS</v>
      </c>
      <c r="J2680" t="str">
        <f t="shared" si="1708"/>
        <v>1</v>
      </c>
      <c r="K2680" t="str">
        <f t="shared" si="1734"/>
        <v>0</v>
      </c>
      <c r="L2680" t="str">
        <f>"4,000"</f>
        <v>4,000</v>
      </c>
      <c r="M2680" t="str">
        <f t="shared" si="1709"/>
        <v xml:space="preserve"> </v>
      </c>
      <c r="N2680" t="str">
        <f>"FISPA"</f>
        <v>FISPA</v>
      </c>
      <c r="O2680" t="str">
        <f>"SENSORES"</f>
        <v>SENSORES</v>
      </c>
      <c r="P2680" t="str">
        <f t="shared" si="1738"/>
        <v>0</v>
      </c>
      <c r="Q2680" t="str">
        <f t="shared" si="1738"/>
        <v>0</v>
      </c>
      <c r="R2680" t="str">
        <f t="shared" si="1739"/>
        <v>0,00</v>
      </c>
      <c r="S2680" t="str">
        <f t="shared" si="1739"/>
        <v>0,00</v>
      </c>
      <c r="T2680" t="str">
        <f t="shared" si="1704"/>
        <v xml:space="preserve"> </v>
      </c>
      <c r="U2680" t="str">
        <f t="shared" si="1705"/>
        <v xml:space="preserve"> </v>
      </c>
      <c r="V2680" t="str">
        <f>"4,000"</f>
        <v>4,000</v>
      </c>
      <c r="W2680" t="str">
        <f t="shared" si="1710"/>
        <v>Lista 4</v>
      </c>
      <c r="X2680" t="str">
        <f t="shared" si="1711"/>
        <v>Lista 5</v>
      </c>
      <c r="Y2680" t="str">
        <f t="shared" si="1712"/>
        <v>Oferta Gral.</v>
      </c>
      <c r="Z2680" t="str">
        <f t="shared" si="1713"/>
        <v>Rubro</v>
      </c>
      <c r="AA2680" t="str">
        <f t="shared" si="1714"/>
        <v>Cantidad por Bulto</v>
      </c>
      <c r="AB2680" t="str">
        <f t="shared" si="1715"/>
        <v>INNER</v>
      </c>
      <c r="AC2680" t="str">
        <f t="shared" si="1716"/>
        <v>Stock en Bultos</v>
      </c>
      <c r="AD2680" t="str">
        <f t="shared" si="1717"/>
        <v>SubDepósito</v>
      </c>
      <c r="AE2680" t="str">
        <f t="shared" si="1718"/>
        <v>Marca</v>
      </c>
      <c r="AF2680" t="str">
        <f t="shared" si="1719"/>
        <v>Super Rubro</v>
      </c>
      <c r="AG2680" t="str">
        <f t="shared" si="1720"/>
        <v>ComercioExterior</v>
      </c>
      <c r="AH2680" t="str">
        <f t="shared" si="1721"/>
        <v>PrecioFOB</v>
      </c>
      <c r="AI2680" t="str">
        <f t="shared" si="1722"/>
        <v>Monto II</v>
      </c>
      <c r="AJ2680" t="str">
        <f t="shared" si="1723"/>
        <v>Porcentaje II</v>
      </c>
      <c r="AK2680" t="str">
        <f t="shared" si="1724"/>
        <v>Foto</v>
      </c>
      <c r="AL2680" t="str">
        <f>" "</f>
        <v xml:space="preserve"> </v>
      </c>
      <c r="AM2680" t="str">
        <f>"-"</f>
        <v>-</v>
      </c>
    </row>
    <row r="2681" spans="1:39" x14ac:dyDescent="0.25">
      <c r="A2681" t="str">
        <f>"M1001"</f>
        <v>M1001</v>
      </c>
      <c r="B2681" t="str">
        <f>"RENAULT 19 -  CLIO - FIAT - PALIO - UNO"</f>
        <v>RENAULT 19 -  CLIO - FIAT - PALIO - UNO</v>
      </c>
      <c r="C2681" t="str">
        <f>"$ 18030,42"</f>
        <v>$ 18030,42</v>
      </c>
      <c r="D2681" t="str">
        <f>"$ 18030,42"</f>
        <v>$ 18030,42</v>
      </c>
      <c r="E2681" t="str">
        <f>"$ 18030,42"</f>
        <v>$ 18030,42</v>
      </c>
      <c r="F2681" t="str">
        <f>"$ 18030,42"</f>
        <v>$ 18030,42</v>
      </c>
      <c r="G2681" t="str">
        <f>"$ 18030,42"</f>
        <v>$ 18030,42</v>
      </c>
      <c r="H2681" t="str">
        <f t="shared" si="1707"/>
        <v>$ 0,00</v>
      </c>
      <c r="I2681" t="str">
        <f>"SENSOR MARIPOSA TPS"</f>
        <v>SENSOR MARIPOSA TPS</v>
      </c>
      <c r="J2681" t="str">
        <f t="shared" si="1708"/>
        <v>1</v>
      </c>
      <c r="K2681" t="str">
        <f t="shared" si="1734"/>
        <v>0</v>
      </c>
      <c r="L2681" t="str">
        <f>"3,000"</f>
        <v>3,000</v>
      </c>
      <c r="M2681" t="str">
        <f t="shared" si="1709"/>
        <v xml:space="preserve"> </v>
      </c>
      <c r="N2681" t="str">
        <f>"FISPA"</f>
        <v>FISPA</v>
      </c>
      <c r="O2681" t="str">
        <f>"SENSORES"</f>
        <v>SENSORES</v>
      </c>
      <c r="P2681" t="str">
        <f t="shared" si="1738"/>
        <v>0</v>
      </c>
      <c r="Q2681" t="str">
        <f t="shared" si="1738"/>
        <v>0</v>
      </c>
      <c r="R2681" t="str">
        <f t="shared" si="1739"/>
        <v>0,00</v>
      </c>
      <c r="S2681" t="str">
        <f t="shared" si="1739"/>
        <v>0,00</v>
      </c>
      <c r="T2681" t="str">
        <f t="shared" si="1704"/>
        <v xml:space="preserve"> </v>
      </c>
      <c r="U2681" t="str">
        <f t="shared" si="1705"/>
        <v xml:space="preserve"> </v>
      </c>
      <c r="V2681" t="str">
        <f>"3,000"</f>
        <v>3,000</v>
      </c>
      <c r="W2681" t="str">
        <f t="shared" si="1710"/>
        <v>Lista 4</v>
      </c>
      <c r="X2681" t="str">
        <f t="shared" si="1711"/>
        <v>Lista 5</v>
      </c>
      <c r="Y2681" t="str">
        <f t="shared" si="1712"/>
        <v>Oferta Gral.</v>
      </c>
      <c r="Z2681" t="str">
        <f t="shared" si="1713"/>
        <v>Rubro</v>
      </c>
      <c r="AA2681" t="str">
        <f t="shared" si="1714"/>
        <v>Cantidad por Bulto</v>
      </c>
      <c r="AB2681" t="str">
        <f t="shared" si="1715"/>
        <v>INNER</v>
      </c>
      <c r="AC2681" t="str">
        <f t="shared" si="1716"/>
        <v>Stock en Bultos</v>
      </c>
      <c r="AD2681" t="str">
        <f t="shared" si="1717"/>
        <v>SubDepósito</v>
      </c>
      <c r="AE2681" t="str">
        <f t="shared" si="1718"/>
        <v>Marca</v>
      </c>
      <c r="AF2681" t="str">
        <f t="shared" si="1719"/>
        <v>Super Rubro</v>
      </c>
      <c r="AG2681" t="str">
        <f t="shared" si="1720"/>
        <v>ComercioExterior</v>
      </c>
      <c r="AH2681" t="str">
        <f t="shared" si="1721"/>
        <v>PrecioFOB</v>
      </c>
      <c r="AI2681" t="str">
        <f t="shared" si="1722"/>
        <v>Monto II</v>
      </c>
      <c r="AJ2681" t="str">
        <f t="shared" si="1723"/>
        <v>Porcentaje II</v>
      </c>
      <c r="AK2681" t="str">
        <f t="shared" si="1724"/>
        <v>Foto</v>
      </c>
      <c r="AL2681" t="str">
        <f>" "</f>
        <v xml:space="preserve"> </v>
      </c>
      <c r="AM2681" t="str">
        <f>"-"</f>
        <v>-</v>
      </c>
    </row>
    <row r="2682" spans="1:39" x14ac:dyDescent="0.25">
      <c r="A2682" t="str">
        <f>"M1005"</f>
        <v>M1005</v>
      </c>
      <c r="B2682" t="str">
        <f>"RENAULT CLIO II KANGOO - MEGANE 1,4 CC - 1,6I"</f>
        <v>RENAULT CLIO II KANGOO - MEGANE 1,4 CC - 1,6I</v>
      </c>
      <c r="C2682" t="str">
        <f>"$ 22402,54"</f>
        <v>$ 22402,54</v>
      </c>
      <c r="D2682" t="str">
        <f>"$ 22402,54"</f>
        <v>$ 22402,54</v>
      </c>
      <c r="E2682" t="str">
        <f>"$ 22402,54"</f>
        <v>$ 22402,54</v>
      </c>
      <c r="F2682" t="str">
        <f>"$ 22402,54"</f>
        <v>$ 22402,54</v>
      </c>
      <c r="G2682" t="str">
        <f>"$ 22402,54"</f>
        <v>$ 22402,54</v>
      </c>
      <c r="H2682" t="str">
        <f t="shared" si="1707"/>
        <v>$ 0,00</v>
      </c>
      <c r="I2682" t="str">
        <f>"SENSOR MARIPOSA TPS"</f>
        <v>SENSOR MARIPOSA TPS</v>
      </c>
      <c r="J2682" t="str">
        <f t="shared" si="1708"/>
        <v>1</v>
      </c>
      <c r="K2682" t="str">
        <f t="shared" si="1734"/>
        <v>0</v>
      </c>
      <c r="L2682" t="str">
        <f>"2,000"</f>
        <v>2,000</v>
      </c>
      <c r="M2682" t="str">
        <f t="shared" si="1709"/>
        <v xml:space="preserve"> </v>
      </c>
      <c r="N2682" t="str">
        <f>"FISPA"</f>
        <v>FISPA</v>
      </c>
      <c r="O2682" t="str">
        <f>"SENSORES"</f>
        <v>SENSORES</v>
      </c>
      <c r="P2682" t="str">
        <f t="shared" si="1738"/>
        <v>0</v>
      </c>
      <c r="Q2682" t="str">
        <f t="shared" si="1738"/>
        <v>0</v>
      </c>
      <c r="R2682" t="str">
        <f t="shared" si="1739"/>
        <v>0,00</v>
      </c>
      <c r="S2682" t="str">
        <f t="shared" si="1739"/>
        <v>0,00</v>
      </c>
      <c r="T2682" t="str">
        <f t="shared" si="1704"/>
        <v xml:space="preserve"> </v>
      </c>
      <c r="U2682" t="str">
        <f t="shared" si="1705"/>
        <v xml:space="preserve"> </v>
      </c>
      <c r="V2682" t="str">
        <f>"2,000"</f>
        <v>2,000</v>
      </c>
      <c r="W2682" t="str">
        <f t="shared" si="1710"/>
        <v>Lista 4</v>
      </c>
      <c r="X2682" t="str">
        <f t="shared" si="1711"/>
        <v>Lista 5</v>
      </c>
      <c r="Y2682" t="str">
        <f t="shared" si="1712"/>
        <v>Oferta Gral.</v>
      </c>
      <c r="Z2682" t="str">
        <f t="shared" si="1713"/>
        <v>Rubro</v>
      </c>
      <c r="AA2682" t="str">
        <f t="shared" si="1714"/>
        <v>Cantidad por Bulto</v>
      </c>
      <c r="AB2682" t="str">
        <f t="shared" si="1715"/>
        <v>INNER</v>
      </c>
      <c r="AC2682" t="str">
        <f t="shared" si="1716"/>
        <v>Stock en Bultos</v>
      </c>
      <c r="AD2682" t="str">
        <f t="shared" si="1717"/>
        <v>SubDepósito</v>
      </c>
      <c r="AE2682" t="str">
        <f t="shared" si="1718"/>
        <v>Marca</v>
      </c>
      <c r="AF2682" t="str">
        <f t="shared" si="1719"/>
        <v>Super Rubro</v>
      </c>
      <c r="AG2682" t="str">
        <f t="shared" si="1720"/>
        <v>ComercioExterior</v>
      </c>
      <c r="AH2682" t="str">
        <f t="shared" si="1721"/>
        <v>PrecioFOB</v>
      </c>
      <c r="AI2682" t="str">
        <f t="shared" si="1722"/>
        <v>Monto II</v>
      </c>
      <c r="AJ2682" t="str">
        <f t="shared" si="1723"/>
        <v>Porcentaje II</v>
      </c>
      <c r="AK2682" t="str">
        <f t="shared" si="1724"/>
        <v>Foto</v>
      </c>
      <c r="AL268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82" t="str">
        <f>"-"</f>
        <v>-</v>
      </c>
    </row>
    <row r="2683" spans="1:39" x14ac:dyDescent="0.25">
      <c r="A2683" t="str">
        <f>"M1028"</f>
        <v>M1028</v>
      </c>
      <c r="B2683" t="str">
        <f>"RENAULT MEGANE 1.6-20 8V KANGOO "</f>
        <v xml:space="preserve">RENAULT MEGANE 1.6-20 8V KANGOO </v>
      </c>
      <c r="C2683" t="str">
        <f>"$ 25015,81"</f>
        <v>$ 25015,81</v>
      </c>
      <c r="D2683" t="str">
        <f>"$ 25015,81"</f>
        <v>$ 25015,81</v>
      </c>
      <c r="E2683" t="str">
        <f>"$ 25015,81"</f>
        <v>$ 25015,81</v>
      </c>
      <c r="F2683" t="str">
        <f>"$ 25015,81"</f>
        <v>$ 25015,81</v>
      </c>
      <c r="G2683" t="str">
        <f>"$ 25015,81"</f>
        <v>$ 25015,81</v>
      </c>
      <c r="H2683" t="str">
        <f t="shared" si="1707"/>
        <v>$ 0,00</v>
      </c>
      <c r="I2683" t="str">
        <f>"SENSOR MARIPOSA TPS"</f>
        <v>SENSOR MARIPOSA TPS</v>
      </c>
      <c r="J2683" t="str">
        <f t="shared" si="1708"/>
        <v>1</v>
      </c>
      <c r="K2683" t="str">
        <f t="shared" si="1734"/>
        <v>0</v>
      </c>
      <c r="L2683" t="str">
        <f>"0,000"</f>
        <v>0,000</v>
      </c>
      <c r="M2683" t="str">
        <f t="shared" si="1709"/>
        <v xml:space="preserve"> </v>
      </c>
      <c r="N2683" t="str">
        <f>"FISPA"</f>
        <v>FISPA</v>
      </c>
      <c r="O2683" t="str">
        <f>"SENSORES"</f>
        <v>SENSORES</v>
      </c>
      <c r="P2683" t="str">
        <f t="shared" ref="P2683:Q2702" si="1744">"0"</f>
        <v>0</v>
      </c>
      <c r="Q2683" t="str">
        <f t="shared" si="1744"/>
        <v>0</v>
      </c>
      <c r="R2683" t="str">
        <f t="shared" ref="R2683:S2702" si="1745">"0,00"</f>
        <v>0,00</v>
      </c>
      <c r="S2683" t="str">
        <f t="shared" si="1745"/>
        <v>0,00</v>
      </c>
      <c r="T2683" t="str">
        <f t="shared" si="1704"/>
        <v xml:space="preserve"> </v>
      </c>
      <c r="U2683" t="str">
        <f t="shared" si="1705"/>
        <v xml:space="preserve"> </v>
      </c>
      <c r="V2683" t="str">
        <f>"0,000"</f>
        <v>0,000</v>
      </c>
      <c r="W2683" t="str">
        <f t="shared" si="1710"/>
        <v>Lista 4</v>
      </c>
      <c r="X2683" t="str">
        <f t="shared" si="1711"/>
        <v>Lista 5</v>
      </c>
      <c r="Y2683" t="str">
        <f t="shared" si="1712"/>
        <v>Oferta Gral.</v>
      </c>
      <c r="Z2683" t="str">
        <f t="shared" si="1713"/>
        <v>Rubro</v>
      </c>
      <c r="AA2683" t="str">
        <f t="shared" si="1714"/>
        <v>Cantidad por Bulto</v>
      </c>
      <c r="AB2683" t="str">
        <f t="shared" si="1715"/>
        <v>INNER</v>
      </c>
      <c r="AC2683" t="str">
        <f t="shared" si="1716"/>
        <v>Stock en Bultos</v>
      </c>
      <c r="AD2683" t="str">
        <f t="shared" si="1717"/>
        <v>SubDepósito</v>
      </c>
      <c r="AE2683" t="str">
        <f t="shared" si="1718"/>
        <v>Marca</v>
      </c>
      <c r="AF2683" t="str">
        <f t="shared" si="1719"/>
        <v>Super Rubro</v>
      </c>
      <c r="AG2683" t="str">
        <f t="shared" si="1720"/>
        <v>ComercioExterior</v>
      </c>
      <c r="AH2683" t="str">
        <f t="shared" si="1721"/>
        <v>PrecioFOB</v>
      </c>
      <c r="AI2683" t="str">
        <f t="shared" si="1722"/>
        <v>Monto II</v>
      </c>
      <c r="AJ2683" t="str">
        <f t="shared" si="1723"/>
        <v>Porcentaje II</v>
      </c>
      <c r="AK2683" t="str">
        <f t="shared" si="1724"/>
        <v>Foto</v>
      </c>
      <c r="AL268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83" t="str">
        <f>"-"</f>
        <v>-</v>
      </c>
    </row>
    <row r="2684" spans="1:39" x14ac:dyDescent="0.25">
      <c r="A2684" t="str">
        <f>"3528LED5AZ"</f>
        <v>3528LED5AZ</v>
      </c>
      <c r="B2684" t="str">
        <f>"ROLLO DE LED AZUL 3528 X 5 MTS 12V"</f>
        <v>ROLLO DE LED AZUL 3528 X 5 MTS 12V</v>
      </c>
      <c r="C2684" t="str">
        <f t="shared" ref="C2684:G2685" si="1746">"$ 9291,01"</f>
        <v>$ 9291,01</v>
      </c>
      <c r="D2684" t="str">
        <f t="shared" si="1746"/>
        <v>$ 9291,01</v>
      </c>
      <c r="E2684" t="str">
        <f t="shared" si="1746"/>
        <v>$ 9291,01</v>
      </c>
      <c r="F2684" t="str">
        <f t="shared" si="1746"/>
        <v>$ 9291,01</v>
      </c>
      <c r="G2684" t="str">
        <f t="shared" si="1746"/>
        <v>$ 9291,01</v>
      </c>
      <c r="H2684" t="str">
        <f t="shared" si="1707"/>
        <v>$ 0,00</v>
      </c>
      <c r="I2684" t="str">
        <f t="shared" ref="I2684:I2689" si="1747">"LED"</f>
        <v>LED</v>
      </c>
      <c r="J2684" t="str">
        <f t="shared" si="1708"/>
        <v>1</v>
      </c>
      <c r="K2684" t="str">
        <f t="shared" si="1734"/>
        <v>0</v>
      </c>
      <c r="L2684" t="str">
        <f>"1,000"</f>
        <v>1,000</v>
      </c>
      <c r="M2684" t="str">
        <f t="shared" si="1709"/>
        <v xml:space="preserve"> </v>
      </c>
      <c r="N2684" t="str">
        <f t="shared" ref="N2684:N2689" si="1748">"LUX LED"</f>
        <v>LUX LED</v>
      </c>
      <c r="O2684" t="str">
        <f t="shared" ref="O2684:O2689" si="1749">"LAMPARAS"</f>
        <v>LAMPARAS</v>
      </c>
      <c r="P2684" t="str">
        <f t="shared" si="1744"/>
        <v>0</v>
      </c>
      <c r="Q2684" t="str">
        <f t="shared" si="1744"/>
        <v>0</v>
      </c>
      <c r="R2684" t="str">
        <f t="shared" si="1745"/>
        <v>0,00</v>
      </c>
      <c r="S2684" t="str">
        <f t="shared" si="1745"/>
        <v>0,00</v>
      </c>
      <c r="T2684" t="str">
        <f t="shared" si="1704"/>
        <v xml:space="preserve"> </v>
      </c>
      <c r="U2684" t="str">
        <f t="shared" si="1705"/>
        <v xml:space="preserve"> </v>
      </c>
      <c r="V2684" t="str">
        <f>"1,000"</f>
        <v>1,000</v>
      </c>
      <c r="W2684" t="str">
        <f t="shared" si="1710"/>
        <v>Lista 4</v>
      </c>
      <c r="X2684" t="str">
        <f t="shared" si="1711"/>
        <v>Lista 5</v>
      </c>
      <c r="Y2684" t="str">
        <f t="shared" si="1712"/>
        <v>Oferta Gral.</v>
      </c>
      <c r="Z2684" t="str">
        <f t="shared" si="1713"/>
        <v>Rubro</v>
      </c>
      <c r="AA2684" t="str">
        <f t="shared" si="1714"/>
        <v>Cantidad por Bulto</v>
      </c>
      <c r="AB2684" t="str">
        <f t="shared" si="1715"/>
        <v>INNER</v>
      </c>
      <c r="AC2684" t="str">
        <f t="shared" si="1716"/>
        <v>Stock en Bultos</v>
      </c>
      <c r="AD2684" t="str">
        <f t="shared" si="1717"/>
        <v>SubDepósito</v>
      </c>
      <c r="AE2684" t="str">
        <f t="shared" si="1718"/>
        <v>Marca</v>
      </c>
      <c r="AF2684" t="str">
        <f t="shared" si="1719"/>
        <v>Super Rubro</v>
      </c>
      <c r="AG2684" t="str">
        <f t="shared" si="1720"/>
        <v>ComercioExterior</v>
      </c>
      <c r="AH2684" t="str">
        <f t="shared" si="1721"/>
        <v>PrecioFOB</v>
      </c>
      <c r="AI2684" t="str">
        <f t="shared" si="1722"/>
        <v>Monto II</v>
      </c>
      <c r="AJ2684" t="str">
        <f t="shared" si="1723"/>
        <v>Porcentaje II</v>
      </c>
      <c r="AK2684" t="str">
        <f t="shared" si="1724"/>
        <v>Foto</v>
      </c>
      <c r="AL2684" t="str">
        <f>"{\rtf1\ansi\ansicpg1252\deff0\deflang11274{\fonttbl{\f0\fnil\fcharset0 MS Sans Serif}} \viewkind4\uc1\pard\f0\fs16 ROLLO DE LED AZUL 3528 X 5 MTS 12V\par } "</f>
        <v xml:space="preserve">{\rtf1\ansi\ansicpg1252\deff0\deflang11274{\fonttbl{\f0\fnil\fcharset0 MS Sans Serif}} \viewkind4\uc1\pard\f0\fs16 ROLLO DE LED AZUL 3528 X 5 MTS 12V\par } </v>
      </c>
      <c r="AM2684" t="str">
        <f t="shared" ref="AM2684:AM2690" si="1750">" "</f>
        <v xml:space="preserve"> </v>
      </c>
    </row>
    <row r="2685" spans="1:39" x14ac:dyDescent="0.25">
      <c r="A2685" t="str">
        <f>"3528LED5BL"</f>
        <v>3528LED5BL</v>
      </c>
      <c r="B2685" t="str">
        <f>"ROLLO DE LED BLANCO 3528 X 5MTS 12V"</f>
        <v>ROLLO DE LED BLANCO 3528 X 5MTS 12V</v>
      </c>
      <c r="C2685" t="str">
        <f t="shared" si="1746"/>
        <v>$ 9291,01</v>
      </c>
      <c r="D2685" t="str">
        <f t="shared" si="1746"/>
        <v>$ 9291,01</v>
      </c>
      <c r="E2685" t="str">
        <f t="shared" si="1746"/>
        <v>$ 9291,01</v>
      </c>
      <c r="F2685" t="str">
        <f t="shared" si="1746"/>
        <v>$ 9291,01</v>
      </c>
      <c r="G2685" t="str">
        <f t="shared" si="1746"/>
        <v>$ 9291,01</v>
      </c>
      <c r="H2685" t="str">
        <f t="shared" si="1707"/>
        <v>$ 0,00</v>
      </c>
      <c r="I2685" t="str">
        <f t="shared" si="1747"/>
        <v>LED</v>
      </c>
      <c r="J2685" t="str">
        <f t="shared" si="1708"/>
        <v>1</v>
      </c>
      <c r="K2685" t="str">
        <f t="shared" si="1734"/>
        <v>0</v>
      </c>
      <c r="L2685" t="str">
        <f>"0,000"</f>
        <v>0,000</v>
      </c>
      <c r="M2685" t="str">
        <f t="shared" si="1709"/>
        <v xml:space="preserve"> </v>
      </c>
      <c r="N2685" t="str">
        <f t="shared" si="1748"/>
        <v>LUX LED</v>
      </c>
      <c r="O2685" t="str">
        <f t="shared" si="1749"/>
        <v>LAMPARAS</v>
      </c>
      <c r="P2685" t="str">
        <f t="shared" si="1744"/>
        <v>0</v>
      </c>
      <c r="Q2685" t="str">
        <f t="shared" si="1744"/>
        <v>0</v>
      </c>
      <c r="R2685" t="str">
        <f t="shared" si="1745"/>
        <v>0,00</v>
      </c>
      <c r="S2685" t="str">
        <f t="shared" si="1745"/>
        <v>0,00</v>
      </c>
      <c r="T2685" t="str">
        <f t="shared" si="1704"/>
        <v xml:space="preserve"> </v>
      </c>
      <c r="U2685" t="str">
        <f t="shared" si="1705"/>
        <v xml:space="preserve"> </v>
      </c>
      <c r="V2685" t="str">
        <f>"0,000"</f>
        <v>0,000</v>
      </c>
      <c r="W2685" t="str">
        <f t="shared" si="1710"/>
        <v>Lista 4</v>
      </c>
      <c r="X2685" t="str">
        <f t="shared" si="1711"/>
        <v>Lista 5</v>
      </c>
      <c r="Y2685" t="str">
        <f t="shared" si="1712"/>
        <v>Oferta Gral.</v>
      </c>
      <c r="Z2685" t="str">
        <f t="shared" si="1713"/>
        <v>Rubro</v>
      </c>
      <c r="AA2685" t="str">
        <f t="shared" si="1714"/>
        <v>Cantidad por Bulto</v>
      </c>
      <c r="AB2685" t="str">
        <f t="shared" si="1715"/>
        <v>INNER</v>
      </c>
      <c r="AC2685" t="str">
        <f t="shared" si="1716"/>
        <v>Stock en Bultos</v>
      </c>
      <c r="AD2685" t="str">
        <f t="shared" si="1717"/>
        <v>SubDepósito</v>
      </c>
      <c r="AE2685" t="str">
        <f t="shared" si="1718"/>
        <v>Marca</v>
      </c>
      <c r="AF2685" t="str">
        <f t="shared" si="1719"/>
        <v>Super Rubro</v>
      </c>
      <c r="AG2685" t="str">
        <f t="shared" si="1720"/>
        <v>ComercioExterior</v>
      </c>
      <c r="AH2685" t="str">
        <f t="shared" si="1721"/>
        <v>PrecioFOB</v>
      </c>
      <c r="AI2685" t="str">
        <f t="shared" si="1722"/>
        <v>Monto II</v>
      </c>
      <c r="AJ2685" t="str">
        <f t="shared" si="1723"/>
        <v>Porcentaje II</v>
      </c>
      <c r="AK2685" t="str">
        <f t="shared" si="1724"/>
        <v>Foto</v>
      </c>
      <c r="AL2685" t="str">
        <f>"{\rtf1\ansi\ansicpg1252\deff0\deflang11274{\fonttbl{\f0\fnil\fcharset0 MS Sans Serif}} \viewkind4\uc1\pard\f0\fs16 ROLLO DE LED BLANCO 3528 X 5MTS 12V\par } "</f>
        <v xml:space="preserve">{\rtf1\ansi\ansicpg1252\deff0\deflang11274{\fonttbl{\f0\fnil\fcharset0 MS Sans Serif}} \viewkind4\uc1\pard\f0\fs16 ROLLO DE LED BLANCO 3528 X 5MTS 12V\par } </v>
      </c>
      <c r="AM2685" t="str">
        <f t="shared" si="1750"/>
        <v xml:space="preserve"> </v>
      </c>
    </row>
    <row r="2686" spans="1:39" x14ac:dyDescent="0.25">
      <c r="A2686" t="str">
        <f>"5050LEDAZU"</f>
        <v>5050LEDAZU</v>
      </c>
      <c r="B2686" t="str">
        <f>"ROLLO LED AZUL 5050 X 5 MTS 12V"</f>
        <v>ROLLO LED AZUL 5050 X 5 MTS 12V</v>
      </c>
      <c r="C2686" t="str">
        <f>"$ 16924,41"</f>
        <v>$ 16924,41</v>
      </c>
      <c r="D2686" t="str">
        <f>"$ 16924,41"</f>
        <v>$ 16924,41</v>
      </c>
      <c r="E2686" t="str">
        <f>"$ 16924,41"</f>
        <v>$ 16924,41</v>
      </c>
      <c r="F2686" t="str">
        <f>"$ 16924,41"</f>
        <v>$ 16924,41</v>
      </c>
      <c r="G2686" t="str">
        <f>"$ 16924,41"</f>
        <v>$ 16924,41</v>
      </c>
      <c r="H2686" t="str">
        <f t="shared" si="1707"/>
        <v>$ 0,00</v>
      </c>
      <c r="I2686" t="str">
        <f t="shared" si="1747"/>
        <v>LED</v>
      </c>
      <c r="J2686" t="str">
        <f t="shared" si="1708"/>
        <v>1</v>
      </c>
      <c r="K2686" t="str">
        <f t="shared" si="1734"/>
        <v>0</v>
      </c>
      <c r="L2686" t="str">
        <f>"2,000"</f>
        <v>2,000</v>
      </c>
      <c r="M2686" t="str">
        <f t="shared" si="1709"/>
        <v xml:space="preserve"> </v>
      </c>
      <c r="N2686" t="str">
        <f t="shared" si="1748"/>
        <v>LUX LED</v>
      </c>
      <c r="O2686" t="str">
        <f t="shared" si="1749"/>
        <v>LAMPARAS</v>
      </c>
      <c r="P2686" t="str">
        <f t="shared" si="1744"/>
        <v>0</v>
      </c>
      <c r="Q2686" t="str">
        <f t="shared" si="1744"/>
        <v>0</v>
      </c>
      <c r="R2686" t="str">
        <f t="shared" si="1745"/>
        <v>0,00</v>
      </c>
      <c r="S2686" t="str">
        <f t="shared" si="1745"/>
        <v>0,00</v>
      </c>
      <c r="T2686" t="str">
        <f t="shared" si="1704"/>
        <v xml:space="preserve"> </v>
      </c>
      <c r="U2686" t="str">
        <f t="shared" si="1705"/>
        <v xml:space="preserve"> </v>
      </c>
      <c r="V2686" t="str">
        <f>"2,000"</f>
        <v>2,000</v>
      </c>
      <c r="W2686" t="str">
        <f t="shared" si="1710"/>
        <v>Lista 4</v>
      </c>
      <c r="X2686" t="str">
        <f t="shared" si="1711"/>
        <v>Lista 5</v>
      </c>
      <c r="Y2686" t="str">
        <f t="shared" si="1712"/>
        <v>Oferta Gral.</v>
      </c>
      <c r="Z2686" t="str">
        <f t="shared" si="1713"/>
        <v>Rubro</v>
      </c>
      <c r="AA2686" t="str">
        <f t="shared" si="1714"/>
        <v>Cantidad por Bulto</v>
      </c>
      <c r="AB2686" t="str">
        <f t="shared" si="1715"/>
        <v>INNER</v>
      </c>
      <c r="AC2686" t="str">
        <f t="shared" si="1716"/>
        <v>Stock en Bultos</v>
      </c>
      <c r="AD2686" t="str">
        <f t="shared" si="1717"/>
        <v>SubDepósito</v>
      </c>
      <c r="AE2686" t="str">
        <f t="shared" si="1718"/>
        <v>Marca</v>
      </c>
      <c r="AF2686" t="str">
        <f t="shared" si="1719"/>
        <v>Super Rubro</v>
      </c>
      <c r="AG2686" t="str">
        <f t="shared" si="1720"/>
        <v>ComercioExterior</v>
      </c>
      <c r="AH2686" t="str">
        <f t="shared" si="1721"/>
        <v>PrecioFOB</v>
      </c>
      <c r="AI2686" t="str">
        <f t="shared" si="1722"/>
        <v>Monto II</v>
      </c>
      <c r="AJ2686" t="str">
        <f t="shared" si="1723"/>
        <v>Porcentaje II</v>
      </c>
      <c r="AK2686" t="str">
        <f t="shared" si="1724"/>
        <v>Foto</v>
      </c>
      <c r="AL2686" t="str">
        <f>"{\rtf1\ansi\ansicpg1252\deff0\deflang11274{\fonttbl{\f0\fnil\fcharset0 MS Sans Serif}} \viewkind4\uc1\pard\f0\fs16 ROLLO LED AZUL 5050 X 5 MTS 12V\par } "</f>
        <v xml:space="preserve">{\rtf1\ansi\ansicpg1252\deff0\deflang11274{\fonttbl{\f0\fnil\fcharset0 MS Sans Serif}} \viewkind4\uc1\pard\f0\fs16 ROLLO LED AZUL 5050 X 5 MTS 12V\par } </v>
      </c>
      <c r="AM2686" t="str">
        <f t="shared" si="1750"/>
        <v xml:space="preserve"> </v>
      </c>
    </row>
    <row r="2687" spans="1:39" x14ac:dyDescent="0.25">
      <c r="A2687" t="str">
        <f>"5050LEDBLA"</f>
        <v>5050LEDBLA</v>
      </c>
      <c r="B2687" t="str">
        <f>"ROLLO LED BLANCO 5050 X 5 MTS 12V"</f>
        <v>ROLLO LED BLANCO 5050 X 5 MTS 12V</v>
      </c>
      <c r="C2687" t="str">
        <f>"$ 16026,98"</f>
        <v>$ 16026,98</v>
      </c>
      <c r="D2687" t="str">
        <f>"$ 16026,98"</f>
        <v>$ 16026,98</v>
      </c>
      <c r="E2687" t="str">
        <f>"$ 16026,98"</f>
        <v>$ 16026,98</v>
      </c>
      <c r="F2687" t="str">
        <f>"$ 16026,98"</f>
        <v>$ 16026,98</v>
      </c>
      <c r="G2687" t="str">
        <f>"$ 16026,98"</f>
        <v>$ 16026,98</v>
      </c>
      <c r="H2687" t="str">
        <f t="shared" si="1707"/>
        <v>$ 0,00</v>
      </c>
      <c r="I2687" t="str">
        <f t="shared" si="1747"/>
        <v>LED</v>
      </c>
      <c r="J2687" t="str">
        <f t="shared" si="1708"/>
        <v>1</v>
      </c>
      <c r="K2687" t="str">
        <f t="shared" si="1734"/>
        <v>0</v>
      </c>
      <c r="L2687" t="str">
        <f>"8,000"</f>
        <v>8,000</v>
      </c>
      <c r="M2687" t="str">
        <f t="shared" si="1709"/>
        <v xml:space="preserve"> </v>
      </c>
      <c r="N2687" t="str">
        <f t="shared" si="1748"/>
        <v>LUX LED</v>
      </c>
      <c r="O2687" t="str">
        <f t="shared" si="1749"/>
        <v>LAMPARAS</v>
      </c>
      <c r="P2687" t="str">
        <f t="shared" si="1744"/>
        <v>0</v>
      </c>
      <c r="Q2687" t="str">
        <f t="shared" si="1744"/>
        <v>0</v>
      </c>
      <c r="R2687" t="str">
        <f t="shared" si="1745"/>
        <v>0,00</v>
      </c>
      <c r="S2687" t="str">
        <f t="shared" si="1745"/>
        <v>0,00</v>
      </c>
      <c r="T2687" t="str">
        <f t="shared" ref="T2687:T2750" si="1751">" "</f>
        <v xml:space="preserve"> </v>
      </c>
      <c r="U2687" t="str">
        <f t="shared" si="1705"/>
        <v xml:space="preserve"> </v>
      </c>
      <c r="V2687" t="str">
        <f>"8,000"</f>
        <v>8,000</v>
      </c>
      <c r="W2687" t="str">
        <f t="shared" si="1710"/>
        <v>Lista 4</v>
      </c>
      <c r="X2687" t="str">
        <f t="shared" si="1711"/>
        <v>Lista 5</v>
      </c>
      <c r="Y2687" t="str">
        <f t="shared" si="1712"/>
        <v>Oferta Gral.</v>
      </c>
      <c r="Z2687" t="str">
        <f t="shared" si="1713"/>
        <v>Rubro</v>
      </c>
      <c r="AA2687" t="str">
        <f t="shared" si="1714"/>
        <v>Cantidad por Bulto</v>
      </c>
      <c r="AB2687" t="str">
        <f t="shared" si="1715"/>
        <v>INNER</v>
      </c>
      <c r="AC2687" t="str">
        <f t="shared" si="1716"/>
        <v>Stock en Bultos</v>
      </c>
      <c r="AD2687" t="str">
        <f t="shared" si="1717"/>
        <v>SubDepósito</v>
      </c>
      <c r="AE2687" t="str">
        <f t="shared" si="1718"/>
        <v>Marca</v>
      </c>
      <c r="AF2687" t="str">
        <f t="shared" si="1719"/>
        <v>Super Rubro</v>
      </c>
      <c r="AG2687" t="str">
        <f t="shared" si="1720"/>
        <v>ComercioExterior</v>
      </c>
      <c r="AH2687" t="str">
        <f t="shared" si="1721"/>
        <v>PrecioFOB</v>
      </c>
      <c r="AI2687" t="str">
        <f t="shared" si="1722"/>
        <v>Monto II</v>
      </c>
      <c r="AJ2687" t="str">
        <f t="shared" si="1723"/>
        <v>Porcentaje II</v>
      </c>
      <c r="AK2687" t="str">
        <f t="shared" si="1724"/>
        <v>Foto</v>
      </c>
      <c r="AL2687" t="str">
        <f>"{\rtf1\ansi\ansicpg1252\deff0\deflang11274{\fonttbl{\f0\fnil\fcharset0 MS Sans Serif}} \viewkind4\uc1\pard\f0\fs16 ROLLO LED BLANCO 5050 X 5 MTS 12V\par } "</f>
        <v xml:space="preserve">{\rtf1\ansi\ansicpg1252\deff0\deflang11274{\fonttbl{\f0\fnil\fcharset0 MS Sans Serif}} \viewkind4\uc1\pard\f0\fs16 ROLLO LED BLANCO 5050 X 5 MTS 12V\par } </v>
      </c>
      <c r="AM2687" t="str">
        <f t="shared" si="1750"/>
        <v xml:space="preserve"> </v>
      </c>
    </row>
    <row r="2688" spans="1:39" x14ac:dyDescent="0.25">
      <c r="A2688" t="str">
        <f>"5050LEDROJ"</f>
        <v>5050LEDROJ</v>
      </c>
      <c r="B2688" t="str">
        <f>"ROLLO LED ROJO 5050 X 5 MTS 12V"</f>
        <v>ROLLO LED ROJO 5050 X 5 MTS 12V</v>
      </c>
      <c r="C2688" t="str">
        <f t="shared" ref="C2688:G2689" si="1752">"$ 16818,83"</f>
        <v>$ 16818,83</v>
      </c>
      <c r="D2688" t="str">
        <f t="shared" si="1752"/>
        <v>$ 16818,83</v>
      </c>
      <c r="E2688" t="str">
        <f t="shared" si="1752"/>
        <v>$ 16818,83</v>
      </c>
      <c r="F2688" t="str">
        <f t="shared" si="1752"/>
        <v>$ 16818,83</v>
      </c>
      <c r="G2688" t="str">
        <f t="shared" si="1752"/>
        <v>$ 16818,83</v>
      </c>
      <c r="H2688" t="str">
        <f t="shared" si="1707"/>
        <v>$ 0,00</v>
      </c>
      <c r="I2688" t="str">
        <f t="shared" si="1747"/>
        <v>LED</v>
      </c>
      <c r="J2688" t="str">
        <f t="shared" si="1708"/>
        <v>1</v>
      </c>
      <c r="K2688" t="str">
        <f t="shared" si="1734"/>
        <v>0</v>
      </c>
      <c r="L2688" t="str">
        <f>"0,000"</f>
        <v>0,000</v>
      </c>
      <c r="M2688" t="str">
        <f t="shared" si="1709"/>
        <v xml:space="preserve"> </v>
      </c>
      <c r="N2688" t="str">
        <f t="shared" si="1748"/>
        <v>LUX LED</v>
      </c>
      <c r="O2688" t="str">
        <f t="shared" si="1749"/>
        <v>LAMPARAS</v>
      </c>
      <c r="P2688" t="str">
        <f t="shared" si="1744"/>
        <v>0</v>
      </c>
      <c r="Q2688" t="str">
        <f t="shared" si="1744"/>
        <v>0</v>
      </c>
      <c r="R2688" t="str">
        <f t="shared" si="1745"/>
        <v>0,00</v>
      </c>
      <c r="S2688" t="str">
        <f t="shared" si="1745"/>
        <v>0,00</v>
      </c>
      <c r="T2688" t="str">
        <f t="shared" si="1751"/>
        <v xml:space="preserve"> </v>
      </c>
      <c r="U2688" t="str">
        <f t="shared" si="1705"/>
        <v xml:space="preserve"> </v>
      </c>
      <c r="V2688" t="str">
        <f>"0,000"</f>
        <v>0,000</v>
      </c>
      <c r="W2688" t="str">
        <f t="shared" si="1710"/>
        <v>Lista 4</v>
      </c>
      <c r="X2688" t="str">
        <f t="shared" si="1711"/>
        <v>Lista 5</v>
      </c>
      <c r="Y2688" t="str">
        <f t="shared" si="1712"/>
        <v>Oferta Gral.</v>
      </c>
      <c r="Z2688" t="str">
        <f t="shared" si="1713"/>
        <v>Rubro</v>
      </c>
      <c r="AA2688" t="str">
        <f t="shared" si="1714"/>
        <v>Cantidad por Bulto</v>
      </c>
      <c r="AB2688" t="str">
        <f t="shared" si="1715"/>
        <v>INNER</v>
      </c>
      <c r="AC2688" t="str">
        <f t="shared" si="1716"/>
        <v>Stock en Bultos</v>
      </c>
      <c r="AD2688" t="str">
        <f t="shared" si="1717"/>
        <v>SubDepósito</v>
      </c>
      <c r="AE2688" t="str">
        <f t="shared" si="1718"/>
        <v>Marca</v>
      </c>
      <c r="AF2688" t="str">
        <f t="shared" si="1719"/>
        <v>Super Rubro</v>
      </c>
      <c r="AG2688" t="str">
        <f t="shared" si="1720"/>
        <v>ComercioExterior</v>
      </c>
      <c r="AH2688" t="str">
        <f t="shared" si="1721"/>
        <v>PrecioFOB</v>
      </c>
      <c r="AI2688" t="str">
        <f t="shared" si="1722"/>
        <v>Monto II</v>
      </c>
      <c r="AJ2688" t="str">
        <f t="shared" si="1723"/>
        <v>Porcentaje II</v>
      </c>
      <c r="AK2688" t="str">
        <f t="shared" si="1724"/>
        <v>Foto</v>
      </c>
      <c r="AL2688" t="str">
        <f>"{\rtf1\ansi\ansicpg1252\deff0\deflang11274{\fonttbl{\f0\fnil\fcharset0 MS Sans Serif}} \viewkind4\uc1\pard\f0\fs16 ROLLO LED ROJO 5050 X 5 MTS 12V\par } "</f>
        <v xml:space="preserve">{\rtf1\ansi\ansicpg1252\deff0\deflang11274{\fonttbl{\f0\fnil\fcharset0 MS Sans Serif}} \viewkind4\uc1\pard\f0\fs16 ROLLO LED ROJO 5050 X 5 MTS 12V\par } </v>
      </c>
      <c r="AM2688" t="str">
        <f t="shared" si="1750"/>
        <v xml:space="preserve"> </v>
      </c>
    </row>
    <row r="2689" spans="1:39" x14ac:dyDescent="0.25">
      <c r="A2689" t="str">
        <f>"5050LEDVER"</f>
        <v>5050LEDVER</v>
      </c>
      <c r="B2689" t="str">
        <f>"ROLLO LED VERDE 5050 X 5 MTS 12V"</f>
        <v>ROLLO LED VERDE 5050 X 5 MTS 12V</v>
      </c>
      <c r="C2689" t="str">
        <f t="shared" si="1752"/>
        <v>$ 16818,83</v>
      </c>
      <c r="D2689" t="str">
        <f t="shared" si="1752"/>
        <v>$ 16818,83</v>
      </c>
      <c r="E2689" t="str">
        <f t="shared" si="1752"/>
        <v>$ 16818,83</v>
      </c>
      <c r="F2689" t="str">
        <f t="shared" si="1752"/>
        <v>$ 16818,83</v>
      </c>
      <c r="G2689" t="str">
        <f t="shared" si="1752"/>
        <v>$ 16818,83</v>
      </c>
      <c r="H2689" t="str">
        <f t="shared" si="1707"/>
        <v>$ 0,00</v>
      </c>
      <c r="I2689" t="str">
        <f t="shared" si="1747"/>
        <v>LED</v>
      </c>
      <c r="J2689" t="str">
        <f t="shared" si="1708"/>
        <v>1</v>
      </c>
      <c r="K2689" t="str">
        <f t="shared" si="1734"/>
        <v>0</v>
      </c>
      <c r="L2689" t="str">
        <f>"4,000"</f>
        <v>4,000</v>
      </c>
      <c r="M2689" t="str">
        <f t="shared" si="1709"/>
        <v xml:space="preserve"> </v>
      </c>
      <c r="N2689" t="str">
        <f t="shared" si="1748"/>
        <v>LUX LED</v>
      </c>
      <c r="O2689" t="str">
        <f t="shared" si="1749"/>
        <v>LAMPARAS</v>
      </c>
      <c r="P2689" t="str">
        <f t="shared" si="1744"/>
        <v>0</v>
      </c>
      <c r="Q2689" t="str">
        <f t="shared" si="1744"/>
        <v>0</v>
      </c>
      <c r="R2689" t="str">
        <f t="shared" si="1745"/>
        <v>0,00</v>
      </c>
      <c r="S2689" t="str">
        <f t="shared" si="1745"/>
        <v>0,00</v>
      </c>
      <c r="T2689" t="str">
        <f t="shared" si="1751"/>
        <v xml:space="preserve"> </v>
      </c>
      <c r="U2689" t="str">
        <f t="shared" si="1705"/>
        <v xml:space="preserve"> </v>
      </c>
      <c r="V2689" t="str">
        <f>"4,000"</f>
        <v>4,000</v>
      </c>
      <c r="W2689" t="str">
        <f t="shared" si="1710"/>
        <v>Lista 4</v>
      </c>
      <c r="X2689" t="str">
        <f t="shared" si="1711"/>
        <v>Lista 5</v>
      </c>
      <c r="Y2689" t="str">
        <f t="shared" si="1712"/>
        <v>Oferta Gral.</v>
      </c>
      <c r="Z2689" t="str">
        <f t="shared" si="1713"/>
        <v>Rubro</v>
      </c>
      <c r="AA2689" t="str">
        <f t="shared" si="1714"/>
        <v>Cantidad por Bulto</v>
      </c>
      <c r="AB2689" t="str">
        <f t="shared" si="1715"/>
        <v>INNER</v>
      </c>
      <c r="AC2689" t="str">
        <f t="shared" si="1716"/>
        <v>Stock en Bultos</v>
      </c>
      <c r="AD2689" t="str">
        <f t="shared" si="1717"/>
        <v>SubDepósito</v>
      </c>
      <c r="AE2689" t="str">
        <f t="shared" si="1718"/>
        <v>Marca</v>
      </c>
      <c r="AF2689" t="str">
        <f t="shared" si="1719"/>
        <v>Super Rubro</v>
      </c>
      <c r="AG2689" t="str">
        <f t="shared" si="1720"/>
        <v>ComercioExterior</v>
      </c>
      <c r="AH2689" t="str">
        <f t="shared" si="1721"/>
        <v>PrecioFOB</v>
      </c>
      <c r="AI2689" t="str">
        <f t="shared" si="1722"/>
        <v>Monto II</v>
      </c>
      <c r="AJ2689" t="str">
        <f t="shared" si="1723"/>
        <v>Porcentaje II</v>
      </c>
      <c r="AK2689" t="str">
        <f t="shared" si="1724"/>
        <v>Foto</v>
      </c>
      <c r="AL2689" t="str">
        <f>"{\rtf1\ansi\ansicpg1252\deff0\deflang11274{\fonttbl{\f0\fnil\fcharset0 MS Sans Serif}} \viewkind4\uc1\pard\f0\fs16 ROLLO LED VERDE 5050 X 5 MTS 12V\par } "</f>
        <v xml:space="preserve">{\rtf1\ansi\ansicpg1252\deff0\deflang11274{\fonttbl{\f0\fnil\fcharset0 MS Sans Serif}} \viewkind4\uc1\pard\f0\fs16 ROLLO LED VERDE 5050 X 5 MTS 12V\par } </v>
      </c>
      <c r="AM2689" t="str">
        <f t="shared" si="1750"/>
        <v xml:space="preserve"> </v>
      </c>
    </row>
    <row r="2690" spans="1:39" x14ac:dyDescent="0.25">
      <c r="A2690" t="str">
        <f>"DERSJ"</f>
        <v>DERSJ</v>
      </c>
      <c r="B2690" t="str">
        <f>"SELLAJUNTAS ALTA TEMPERATURA DERFOE 85 GR."</f>
        <v>SELLAJUNTAS ALTA TEMPERATURA DERFOE 85 GR.</v>
      </c>
      <c r="C2690" t="str">
        <f>"$ 6524,82"</f>
        <v>$ 6524,82</v>
      </c>
      <c r="D2690" t="str">
        <f>"$ 6524,82"</f>
        <v>$ 6524,82</v>
      </c>
      <c r="E2690" t="str">
        <f>"$ 6524,82"</f>
        <v>$ 6524,82</v>
      </c>
      <c r="F2690" t="str">
        <f>"$ 6524,82"</f>
        <v>$ 6524,82</v>
      </c>
      <c r="G2690" t="str">
        <f>"$ 6524,82"</f>
        <v>$ 6524,82</v>
      </c>
      <c r="H2690" t="str">
        <f t="shared" si="1707"/>
        <v>$ 0,00</v>
      </c>
      <c r="I2690" t="str">
        <f>"SELLA Y FORMA JUNTAS"</f>
        <v>SELLA Y FORMA JUNTAS</v>
      </c>
      <c r="J2690" t="str">
        <f t="shared" si="1708"/>
        <v>1</v>
      </c>
      <c r="K2690" t="str">
        <f t="shared" si="1734"/>
        <v>0</v>
      </c>
      <c r="L2690" t="str">
        <f>"71,000"</f>
        <v>71,000</v>
      </c>
      <c r="M2690" t="str">
        <f t="shared" si="1709"/>
        <v xml:space="preserve"> </v>
      </c>
      <c r="N2690" t="str">
        <f>"DERFOE"</f>
        <v>DERFOE</v>
      </c>
      <c r="O2690" t="str">
        <f>"SELLADORES Y ADHESIVOS"</f>
        <v>SELLADORES Y ADHESIVOS</v>
      </c>
      <c r="P2690" t="str">
        <f t="shared" si="1744"/>
        <v>0</v>
      </c>
      <c r="Q2690" t="str">
        <f t="shared" si="1744"/>
        <v>0</v>
      </c>
      <c r="R2690" t="str">
        <f t="shared" si="1745"/>
        <v>0,00</v>
      </c>
      <c r="S2690" t="str">
        <f t="shared" si="1745"/>
        <v>0,00</v>
      </c>
      <c r="T2690" t="str">
        <f t="shared" si="1751"/>
        <v xml:space="preserve"> </v>
      </c>
      <c r="U2690" t="str">
        <f t="shared" ref="U2690:U2753" si="1753">" "</f>
        <v xml:space="preserve"> </v>
      </c>
      <c r="V2690" t="str">
        <f>"71,000"</f>
        <v>71,000</v>
      </c>
      <c r="W2690" t="str">
        <f t="shared" si="1710"/>
        <v>Lista 4</v>
      </c>
      <c r="X2690" t="str">
        <f t="shared" si="1711"/>
        <v>Lista 5</v>
      </c>
      <c r="Y2690" t="str">
        <f t="shared" si="1712"/>
        <v>Oferta Gral.</v>
      </c>
      <c r="Z2690" t="str">
        <f t="shared" si="1713"/>
        <v>Rubro</v>
      </c>
      <c r="AA2690" t="str">
        <f t="shared" si="1714"/>
        <v>Cantidad por Bulto</v>
      </c>
      <c r="AB2690" t="str">
        <f t="shared" si="1715"/>
        <v>INNER</v>
      </c>
      <c r="AC2690" t="str">
        <f t="shared" si="1716"/>
        <v>Stock en Bultos</v>
      </c>
      <c r="AD2690" t="str">
        <f t="shared" si="1717"/>
        <v>SubDepósito</v>
      </c>
      <c r="AE2690" t="str">
        <f t="shared" si="1718"/>
        <v>Marca</v>
      </c>
      <c r="AF2690" t="str">
        <f t="shared" si="1719"/>
        <v>Super Rubro</v>
      </c>
      <c r="AG2690" t="str">
        <f t="shared" si="1720"/>
        <v>ComercioExterior</v>
      </c>
      <c r="AH2690" t="str">
        <f t="shared" si="1721"/>
        <v>PrecioFOB</v>
      </c>
      <c r="AI2690" t="str">
        <f t="shared" si="1722"/>
        <v>Monto II</v>
      </c>
      <c r="AJ2690" t="str">
        <f t="shared" si="1723"/>
        <v>Porcentaje II</v>
      </c>
      <c r="AK2690" t="str">
        <f t="shared" si="1724"/>
        <v>Foto</v>
      </c>
      <c r="AL2690" t="str">
        <f>"{\rtf1\ansi\ansicpg1252\deff0\deflang11274{\fonttbl{\f0\fnil\fcharset0 MS Sans Serif}} \viewkind4\uc1\pard\f0\fs16 SELLAJUNTAS ALTA TEMPERATURA DERFOE 85 GR.\par } "</f>
        <v xml:space="preserve">{\rtf1\ansi\ansicpg1252\deff0\deflang11274{\fonttbl{\f0\fnil\fcharset0 MS Sans Serif}} \viewkind4\uc1\pard\f0\fs16 SELLAJUNTAS ALTA TEMPERATURA DERFOE 85 GR.\par } </v>
      </c>
      <c r="AM2690" t="str">
        <f t="shared" si="1750"/>
        <v xml:space="preserve"> </v>
      </c>
    </row>
    <row r="2691" spans="1:39" x14ac:dyDescent="0.25">
      <c r="A2691" t="str">
        <f>"FI22220"</f>
        <v>FI22220</v>
      </c>
      <c r="B2691" t="str">
        <f>"SENSOR DE NIVEL DE COMBUSTIBLE MEGANE 1.6 / 2.0 3 BAR 7700832220 7700420306"</f>
        <v>SENSOR DE NIVEL DE COMBUSTIBLE MEGANE 1.6 / 2.0 3 BAR 7700832220 7700420306</v>
      </c>
      <c r="C2691" t="str">
        <f>"$ 237451,81"</f>
        <v>$ 237451,81</v>
      </c>
      <c r="D2691" t="str">
        <f>"$ 237451,81"</f>
        <v>$ 237451,81</v>
      </c>
      <c r="E2691" t="str">
        <f>"$ 237451,81"</f>
        <v>$ 237451,81</v>
      </c>
      <c r="F2691" t="str">
        <f>"$ 237451,81"</f>
        <v>$ 237451,81</v>
      </c>
      <c r="G2691" t="str">
        <f>"$ 237451,81"</f>
        <v>$ 237451,81</v>
      </c>
      <c r="H2691" t="str">
        <f t="shared" ref="H2691:H2754" si="1754">"$ 0,00"</f>
        <v>$ 0,00</v>
      </c>
      <c r="I2691" t="str">
        <f>"SENSOR NIVEL COMBUSTIBLE "</f>
        <v xml:space="preserve">SENSOR NIVEL COMBUSTIBLE </v>
      </c>
      <c r="J2691" t="str">
        <f t="shared" ref="J2691:J2754" si="1755">"1"</f>
        <v>1</v>
      </c>
      <c r="K2691" t="str">
        <f t="shared" si="1734"/>
        <v>0</v>
      </c>
      <c r="L2691" t="str">
        <f>"1,000"</f>
        <v>1,000</v>
      </c>
      <c r="M2691" t="str">
        <f t="shared" ref="M2691:M2754" si="1756">" "</f>
        <v xml:space="preserve"> </v>
      </c>
      <c r="N2691" t="str">
        <f>"FISPA"</f>
        <v>FISPA</v>
      </c>
      <c r="O2691" t="str">
        <f>"BOMBAS"</f>
        <v>BOMBAS</v>
      </c>
      <c r="P2691" t="str">
        <f t="shared" si="1744"/>
        <v>0</v>
      </c>
      <c r="Q2691" t="str">
        <f t="shared" si="1744"/>
        <v>0</v>
      </c>
      <c r="R2691" t="str">
        <f t="shared" si="1745"/>
        <v>0,00</v>
      </c>
      <c r="S2691" t="str">
        <f t="shared" si="1745"/>
        <v>0,00</v>
      </c>
      <c r="T2691" t="str">
        <f t="shared" si="1751"/>
        <v xml:space="preserve"> </v>
      </c>
      <c r="U2691" t="str">
        <f t="shared" si="1753"/>
        <v xml:space="preserve"> </v>
      </c>
      <c r="V2691" t="str">
        <f>"1,000"</f>
        <v>1,000</v>
      </c>
      <c r="W2691" t="str">
        <f t="shared" ref="W2691:W2754" si="1757">"Lista 4"</f>
        <v>Lista 4</v>
      </c>
      <c r="X2691" t="str">
        <f t="shared" ref="X2691:X2754" si="1758">"Lista 5"</f>
        <v>Lista 5</v>
      </c>
      <c r="Y2691" t="str">
        <f t="shared" ref="Y2691:Y2754" si="1759">"Oferta Gral."</f>
        <v>Oferta Gral.</v>
      </c>
      <c r="Z2691" t="str">
        <f t="shared" ref="Z2691:Z2754" si="1760">"Rubro"</f>
        <v>Rubro</v>
      </c>
      <c r="AA2691" t="str">
        <f t="shared" ref="AA2691:AA2754" si="1761">"Cantidad por Bulto"</f>
        <v>Cantidad por Bulto</v>
      </c>
      <c r="AB2691" t="str">
        <f t="shared" ref="AB2691:AB2754" si="1762">"INNER"</f>
        <v>INNER</v>
      </c>
      <c r="AC2691" t="str">
        <f t="shared" ref="AC2691:AC2754" si="1763">"Stock en Bultos"</f>
        <v>Stock en Bultos</v>
      </c>
      <c r="AD2691" t="str">
        <f t="shared" ref="AD2691:AD2754" si="1764">"SubDepósito"</f>
        <v>SubDepósito</v>
      </c>
      <c r="AE2691" t="str">
        <f t="shared" ref="AE2691:AE2754" si="1765">"Marca"</f>
        <v>Marca</v>
      </c>
      <c r="AF2691" t="str">
        <f t="shared" ref="AF2691:AF2754" si="1766">"Super Rubro"</f>
        <v>Super Rubro</v>
      </c>
      <c r="AG2691" t="str">
        <f t="shared" ref="AG2691:AG2754" si="1767">"ComercioExterior"</f>
        <v>ComercioExterior</v>
      </c>
      <c r="AH2691" t="str">
        <f t="shared" ref="AH2691:AH2754" si="1768">"PrecioFOB"</f>
        <v>PrecioFOB</v>
      </c>
      <c r="AI2691" t="str">
        <f t="shared" ref="AI2691:AI2754" si="1769">"Monto II"</f>
        <v>Monto II</v>
      </c>
      <c r="AJ2691" t="str">
        <f t="shared" ref="AJ2691:AJ2754" si="1770">"Porcentaje II"</f>
        <v>Porcentaje II</v>
      </c>
      <c r="AK2691" t="str">
        <f t="shared" ref="AK2691:AK2754" si="1771">"Foto"</f>
        <v>Foto</v>
      </c>
      <c r="AL2691" t="str">
        <f>"{\rtf1\ansi\ansicpg1252\deff0\deflang11274{\fonttbl{\f0\fnil\fcharset0 MS Sans Serif}} \viewkind4\uc1\pard\f0\fs16 SENSOR DE NIVEL DE COMBUSTIBLE MEGANE 1.6 / 2.0 3 BAR 7700832220 7700420306\par } "</f>
        <v xml:space="preserve">{\rtf1\ansi\ansicpg1252\deff0\deflang11274{\fonttbl{\f0\fnil\fcharset0 MS Sans Serif}} \viewkind4\uc1\pard\f0\fs16 SENSOR DE NIVEL DE COMBUSTIBLE MEGANE 1.6 / 2.0 3 BAR 7700832220 7700420306\par } </v>
      </c>
      <c r="AM2691" t="str">
        <f>"-"</f>
        <v>-</v>
      </c>
    </row>
    <row r="2692" spans="1:39" x14ac:dyDescent="0.25">
      <c r="A2692" t="str">
        <f>"FI30168"</f>
        <v>FI30168</v>
      </c>
      <c r="B2692" t="str">
        <f>"SENSOR DE ROTACIÓN FIAT PALIO SIENA PUNTO IDEA 1.6 16V ETORQ"</f>
        <v>SENSOR DE ROTACIÓN FIAT PALIO SIENA PUNTO IDEA 1.6 16V ETORQ</v>
      </c>
      <c r="C2692" t="str">
        <f>"$ 31171,20"</f>
        <v>$ 31171,20</v>
      </c>
      <c r="D2692" t="str">
        <f>"$ 31171,20"</f>
        <v>$ 31171,20</v>
      </c>
      <c r="E2692" t="str">
        <f>"$ 31171,20"</f>
        <v>$ 31171,20</v>
      </c>
      <c r="F2692" t="str">
        <f>"$ 31171,20"</f>
        <v>$ 31171,20</v>
      </c>
      <c r="G2692" t="str">
        <f>"$ 31171,20"</f>
        <v>$ 31171,20</v>
      </c>
      <c r="H2692" t="str">
        <f t="shared" si="1754"/>
        <v>$ 0,00</v>
      </c>
      <c r="I2692" t="str">
        <f>"SENSOR RPM"</f>
        <v>SENSOR RPM</v>
      </c>
      <c r="J2692" t="str">
        <f t="shared" si="1755"/>
        <v>1</v>
      </c>
      <c r="K2692" t="str">
        <f t="shared" si="1734"/>
        <v>0</v>
      </c>
      <c r="L2692" t="str">
        <f>"11,000"</f>
        <v>11,000</v>
      </c>
      <c r="M2692" t="str">
        <f t="shared" si="1756"/>
        <v xml:space="preserve"> </v>
      </c>
      <c r="N2692" t="str">
        <f>"FISPA"</f>
        <v>FISPA</v>
      </c>
      <c r="O2692" t="str">
        <f t="shared" ref="O2692:O2723" si="1772">"SENSORES"</f>
        <v>SENSORES</v>
      </c>
      <c r="P2692" t="str">
        <f t="shared" si="1744"/>
        <v>0</v>
      </c>
      <c r="Q2692" t="str">
        <f t="shared" si="1744"/>
        <v>0</v>
      </c>
      <c r="R2692" t="str">
        <f t="shared" si="1745"/>
        <v>0,00</v>
      </c>
      <c r="S2692" t="str">
        <f t="shared" si="1745"/>
        <v>0,00</v>
      </c>
      <c r="T2692" t="str">
        <f t="shared" si="1751"/>
        <v xml:space="preserve"> </v>
      </c>
      <c r="U2692" t="str">
        <f t="shared" si="1753"/>
        <v xml:space="preserve"> </v>
      </c>
      <c r="V2692" t="str">
        <f>"11,000"</f>
        <v>11,000</v>
      </c>
      <c r="W2692" t="str">
        <f t="shared" si="1757"/>
        <v>Lista 4</v>
      </c>
      <c r="X2692" t="str">
        <f t="shared" si="1758"/>
        <v>Lista 5</v>
      </c>
      <c r="Y2692" t="str">
        <f t="shared" si="1759"/>
        <v>Oferta Gral.</v>
      </c>
      <c r="Z2692" t="str">
        <f t="shared" si="1760"/>
        <v>Rubro</v>
      </c>
      <c r="AA2692" t="str">
        <f t="shared" si="1761"/>
        <v>Cantidad por Bulto</v>
      </c>
      <c r="AB2692" t="str">
        <f t="shared" si="1762"/>
        <v>INNER</v>
      </c>
      <c r="AC2692" t="str">
        <f t="shared" si="1763"/>
        <v>Stock en Bultos</v>
      </c>
      <c r="AD2692" t="str">
        <f t="shared" si="1764"/>
        <v>SubDepósito</v>
      </c>
      <c r="AE2692" t="str">
        <f t="shared" si="1765"/>
        <v>Marca</v>
      </c>
      <c r="AF2692" t="str">
        <f t="shared" si="1766"/>
        <v>Super Rubro</v>
      </c>
      <c r="AG2692" t="str">
        <f t="shared" si="1767"/>
        <v>ComercioExterior</v>
      </c>
      <c r="AH2692" t="str">
        <f t="shared" si="1768"/>
        <v>PrecioFOB</v>
      </c>
      <c r="AI2692" t="str">
        <f t="shared" si="1769"/>
        <v>Monto II</v>
      </c>
      <c r="AJ2692" t="str">
        <f t="shared" si="1770"/>
        <v>Porcentaje II</v>
      </c>
      <c r="AK2692" t="str">
        <f t="shared" si="1771"/>
        <v>Foto</v>
      </c>
      <c r="AL2692" t="str">
        <f>"{\rtf1\ansi\ansicpg1252\deff0\deflang11274{\fonttbl{\f0\fnil\fcharset0 MS Sans Serif}} \viewkind4\uc1\pard\f0\fs16 SENSOR DE ROTACI\'d3N FIAT PALIO SIENA PUNTO IDEA 1.6 16V ETORQ\par } "</f>
        <v xml:space="preserve">{\rtf1\ansi\ansicpg1252\deff0\deflang11274{\fonttbl{\f0\fnil\fcharset0 MS Sans Serif}} \viewkind4\uc1\pard\f0\fs16 SENSOR DE ROTACI\'d3N FIAT PALIO SIENA PUNTO IDEA 1.6 16V ETORQ\par } </v>
      </c>
      <c r="AM2692" t="str">
        <f>"-"</f>
        <v>-</v>
      </c>
    </row>
    <row r="2693" spans="1:39" x14ac:dyDescent="0.25">
      <c r="A2693" t="str">
        <f>"VK09114603"</f>
        <v>VK09114603</v>
      </c>
      <c r="B2693" t="str">
        <f>"SENSOR DE VELOCIDAD CHEVROLET CORSA 1.6 "</f>
        <v xml:space="preserve">SENSOR DE VELOCIDAD CHEVROLET CORSA 1.6 </v>
      </c>
      <c r="C2693" t="str">
        <f>"$ 8542,31"</f>
        <v>$ 8542,31</v>
      </c>
      <c r="D2693" t="str">
        <f>"$ 8542,31"</f>
        <v>$ 8542,31</v>
      </c>
      <c r="E2693" t="str">
        <f>"$ 8542,31"</f>
        <v>$ 8542,31</v>
      </c>
      <c r="F2693" t="str">
        <f>"$ 8542,31"</f>
        <v>$ 8542,31</v>
      </c>
      <c r="G2693" t="str">
        <f>"$ 8542,31"</f>
        <v>$ 8542,31</v>
      </c>
      <c r="H2693" t="str">
        <f t="shared" si="1754"/>
        <v>$ 0,00</v>
      </c>
      <c r="I2693" t="str">
        <f t="shared" ref="I2693:I2705" si="1773">"SENSOR DE VELOCIDAD"</f>
        <v>SENSOR DE VELOCIDAD</v>
      </c>
      <c r="J2693" t="str">
        <f t="shared" si="1755"/>
        <v>1</v>
      </c>
      <c r="K2693" t="str">
        <f t="shared" si="1734"/>
        <v>0</v>
      </c>
      <c r="L2693" t="str">
        <f>"-4,000"</f>
        <v>-4,000</v>
      </c>
      <c r="M2693" t="str">
        <f t="shared" si="1756"/>
        <v xml:space="preserve"> </v>
      </c>
      <c r="N2693" t="str">
        <f>"VERKEHR"</f>
        <v>VERKEHR</v>
      </c>
      <c r="O2693" t="str">
        <f t="shared" si="1772"/>
        <v>SENSORES</v>
      </c>
      <c r="P2693" t="str">
        <f t="shared" si="1744"/>
        <v>0</v>
      </c>
      <c r="Q2693" t="str">
        <f t="shared" si="1744"/>
        <v>0</v>
      </c>
      <c r="R2693" t="str">
        <f t="shared" si="1745"/>
        <v>0,00</v>
      </c>
      <c r="S2693" t="str">
        <f t="shared" si="1745"/>
        <v>0,00</v>
      </c>
      <c r="T2693" t="str">
        <f t="shared" si="1751"/>
        <v xml:space="preserve"> </v>
      </c>
      <c r="U2693" t="str">
        <f t="shared" si="1753"/>
        <v xml:space="preserve"> </v>
      </c>
      <c r="V2693" t="str">
        <f>"-4,000"</f>
        <v>-4,000</v>
      </c>
      <c r="W2693" t="str">
        <f t="shared" si="1757"/>
        <v>Lista 4</v>
      </c>
      <c r="X2693" t="str">
        <f t="shared" si="1758"/>
        <v>Lista 5</v>
      </c>
      <c r="Y2693" t="str">
        <f t="shared" si="1759"/>
        <v>Oferta Gral.</v>
      </c>
      <c r="Z2693" t="str">
        <f t="shared" si="1760"/>
        <v>Rubro</v>
      </c>
      <c r="AA2693" t="str">
        <f t="shared" si="1761"/>
        <v>Cantidad por Bulto</v>
      </c>
      <c r="AB2693" t="str">
        <f t="shared" si="1762"/>
        <v>INNER</v>
      </c>
      <c r="AC2693" t="str">
        <f t="shared" si="1763"/>
        <v>Stock en Bultos</v>
      </c>
      <c r="AD2693" t="str">
        <f t="shared" si="1764"/>
        <v>SubDepósito</v>
      </c>
      <c r="AE2693" t="str">
        <f t="shared" si="1765"/>
        <v>Marca</v>
      </c>
      <c r="AF2693" t="str">
        <f t="shared" si="1766"/>
        <v>Super Rubro</v>
      </c>
      <c r="AG2693" t="str">
        <f t="shared" si="1767"/>
        <v>ComercioExterior</v>
      </c>
      <c r="AH2693" t="str">
        <f t="shared" si="1768"/>
        <v>PrecioFOB</v>
      </c>
      <c r="AI2693" t="str">
        <f t="shared" si="1769"/>
        <v>Monto II</v>
      </c>
      <c r="AJ2693" t="str">
        <f t="shared" si="1770"/>
        <v>Porcentaje II</v>
      </c>
      <c r="AK2693" t="str">
        <f t="shared" si="1771"/>
        <v>Foto</v>
      </c>
      <c r="AL2693" t="str">
        <f>"{\rtf1\ansi\ansicpg1252\deff0\deflang11274{\fonttbl{\f0\fnil\fcharset0 MS Sans Serif}} \viewkind4\uc1\pard\f0\fs16 SENSOR DE VELOCIDAD CHEVROLET CORSA 1.6 \par } "</f>
        <v xml:space="preserve">{\rtf1\ansi\ansicpg1252\deff0\deflang11274{\fonttbl{\f0\fnil\fcharset0 MS Sans Serif}} \viewkind4\uc1\pard\f0\fs16 SENSOR DE VELOCIDAD CHEVROLET CORSA 1.6 \par } </v>
      </c>
      <c r="AM2693" t="str">
        <f>" "</f>
        <v xml:space="preserve"> </v>
      </c>
    </row>
    <row r="2694" spans="1:39" x14ac:dyDescent="0.25">
      <c r="A2694" t="str">
        <f>"FI90007"</f>
        <v>FI90007</v>
      </c>
      <c r="B2694" t="str">
        <f>"SENSOR DE VELOCIDAD CORSA"</f>
        <v>SENSOR DE VELOCIDAD CORSA</v>
      </c>
      <c r="C2694" t="str">
        <f>"$ 32363,70"</f>
        <v>$ 32363,70</v>
      </c>
      <c r="D2694" t="str">
        <f>"$ 32363,70"</f>
        <v>$ 32363,70</v>
      </c>
      <c r="E2694" t="str">
        <f>"$ 32363,70"</f>
        <v>$ 32363,70</v>
      </c>
      <c r="F2694" t="str">
        <f>"$ 32363,70"</f>
        <v>$ 32363,70</v>
      </c>
      <c r="G2694" t="str">
        <f>"$ 32363,70"</f>
        <v>$ 32363,70</v>
      </c>
      <c r="H2694" t="str">
        <f t="shared" si="1754"/>
        <v>$ 0,00</v>
      </c>
      <c r="I2694" t="str">
        <f t="shared" si="1773"/>
        <v>SENSOR DE VELOCIDAD</v>
      </c>
      <c r="J2694" t="str">
        <f t="shared" si="1755"/>
        <v>1</v>
      </c>
      <c r="K2694" t="str">
        <f t="shared" si="1734"/>
        <v>0</v>
      </c>
      <c r="L2694" t="str">
        <f>"8,000"</f>
        <v>8,000</v>
      </c>
      <c r="M2694" t="str">
        <f t="shared" si="1756"/>
        <v xml:space="preserve"> </v>
      </c>
      <c r="N2694" t="str">
        <f t="shared" ref="N2694:N2702" si="1774">"FISPA"</f>
        <v>FISPA</v>
      </c>
      <c r="O2694" t="str">
        <f t="shared" si="1772"/>
        <v>SENSORES</v>
      </c>
      <c r="P2694" t="str">
        <f t="shared" si="1744"/>
        <v>0</v>
      </c>
      <c r="Q2694" t="str">
        <f t="shared" si="1744"/>
        <v>0</v>
      </c>
      <c r="R2694" t="str">
        <f t="shared" si="1745"/>
        <v>0,00</v>
      </c>
      <c r="S2694" t="str">
        <f t="shared" si="1745"/>
        <v>0,00</v>
      </c>
      <c r="T2694" t="str">
        <f t="shared" si="1751"/>
        <v xml:space="preserve"> </v>
      </c>
      <c r="U2694" t="str">
        <f t="shared" si="1753"/>
        <v xml:space="preserve"> </v>
      </c>
      <c r="V2694" t="str">
        <f>"8,000"</f>
        <v>8,000</v>
      </c>
      <c r="W2694" t="str">
        <f t="shared" si="1757"/>
        <v>Lista 4</v>
      </c>
      <c r="X2694" t="str">
        <f t="shared" si="1758"/>
        <v>Lista 5</v>
      </c>
      <c r="Y2694" t="str">
        <f t="shared" si="1759"/>
        <v>Oferta Gral.</v>
      </c>
      <c r="Z2694" t="str">
        <f t="shared" si="1760"/>
        <v>Rubro</v>
      </c>
      <c r="AA2694" t="str">
        <f t="shared" si="1761"/>
        <v>Cantidad por Bulto</v>
      </c>
      <c r="AB2694" t="str">
        <f t="shared" si="1762"/>
        <v>INNER</v>
      </c>
      <c r="AC2694" t="str">
        <f t="shared" si="1763"/>
        <v>Stock en Bultos</v>
      </c>
      <c r="AD2694" t="str">
        <f t="shared" si="1764"/>
        <v>SubDepósito</v>
      </c>
      <c r="AE2694" t="str">
        <f t="shared" si="1765"/>
        <v>Marca</v>
      </c>
      <c r="AF2694" t="str">
        <f t="shared" si="1766"/>
        <v>Super Rubro</v>
      </c>
      <c r="AG2694" t="str">
        <f t="shared" si="1767"/>
        <v>ComercioExterior</v>
      </c>
      <c r="AH2694" t="str">
        <f t="shared" si="1768"/>
        <v>PrecioFOB</v>
      </c>
      <c r="AI2694" t="str">
        <f t="shared" si="1769"/>
        <v>Monto II</v>
      </c>
      <c r="AJ2694" t="str">
        <f t="shared" si="1770"/>
        <v>Porcentaje II</v>
      </c>
      <c r="AK2694" t="str">
        <f t="shared" si="1771"/>
        <v>Foto</v>
      </c>
      <c r="AL2694" t="str">
        <f>"{\rtf1\ansi\ansicpg1252\deff0\deflang11274{\fonttbl{\f0\fnil\fcharset0 MS Sans Serif}} \viewkind4\uc1\pard\f0\fs16 SENSOR DE VELOCIDAD CORSA\par } "</f>
        <v xml:space="preserve">{\rtf1\ansi\ansicpg1252\deff0\deflang11274{\fonttbl{\f0\fnil\fcharset0 MS Sans Serif}} \viewkind4\uc1\pard\f0\fs16 SENSOR DE VELOCIDAD CORSA\par } </v>
      </c>
      <c r="AM2694" t="str">
        <f t="shared" ref="AM2694:AM2702" si="1775">"-"</f>
        <v>-</v>
      </c>
    </row>
    <row r="2695" spans="1:39" x14ac:dyDescent="0.25">
      <c r="A2695" t="str">
        <f>"FI90031"</f>
        <v>FI90031</v>
      </c>
      <c r="B2695" t="str">
        <f>"SENSOR DE VELOCIDAD FIAT PALIO SIENA 46758006 46466696 468173740"</f>
        <v>SENSOR DE VELOCIDAD FIAT PALIO SIENA 46758006 46466696 468173740</v>
      </c>
      <c r="C2695" t="str">
        <f>"$ 21941,16"</f>
        <v>$ 21941,16</v>
      </c>
      <c r="D2695" t="str">
        <f>"$ 21941,16"</f>
        <v>$ 21941,16</v>
      </c>
      <c r="E2695" t="str">
        <f>"$ 21941,16"</f>
        <v>$ 21941,16</v>
      </c>
      <c r="F2695" t="str">
        <f>"$ 21941,16"</f>
        <v>$ 21941,16</v>
      </c>
      <c r="G2695" t="str">
        <f>"$ 21941,16"</f>
        <v>$ 21941,16</v>
      </c>
      <c r="H2695" t="str">
        <f t="shared" si="1754"/>
        <v>$ 0,00</v>
      </c>
      <c r="I2695" t="str">
        <f t="shared" si="1773"/>
        <v>SENSOR DE VELOCIDAD</v>
      </c>
      <c r="J2695" t="str">
        <f t="shared" si="1755"/>
        <v>1</v>
      </c>
      <c r="K2695" t="str">
        <f t="shared" si="1734"/>
        <v>0</v>
      </c>
      <c r="L2695" t="str">
        <f>"5,000"</f>
        <v>5,000</v>
      </c>
      <c r="M2695" t="str">
        <f t="shared" si="1756"/>
        <v xml:space="preserve"> </v>
      </c>
      <c r="N2695" t="str">
        <f t="shared" si="1774"/>
        <v>FISPA</v>
      </c>
      <c r="O2695" t="str">
        <f t="shared" si="1772"/>
        <v>SENSORES</v>
      </c>
      <c r="P2695" t="str">
        <f t="shared" si="1744"/>
        <v>0</v>
      </c>
      <c r="Q2695" t="str">
        <f t="shared" si="1744"/>
        <v>0</v>
      </c>
      <c r="R2695" t="str">
        <f t="shared" si="1745"/>
        <v>0,00</v>
      </c>
      <c r="S2695" t="str">
        <f t="shared" si="1745"/>
        <v>0,00</v>
      </c>
      <c r="T2695" t="str">
        <f t="shared" si="1751"/>
        <v xml:space="preserve"> </v>
      </c>
      <c r="U2695" t="str">
        <f t="shared" si="1753"/>
        <v xml:space="preserve"> </v>
      </c>
      <c r="V2695" t="str">
        <f>"5,000"</f>
        <v>5,000</v>
      </c>
      <c r="W2695" t="str">
        <f t="shared" si="1757"/>
        <v>Lista 4</v>
      </c>
      <c r="X2695" t="str">
        <f t="shared" si="1758"/>
        <v>Lista 5</v>
      </c>
      <c r="Y2695" t="str">
        <f t="shared" si="1759"/>
        <v>Oferta Gral.</v>
      </c>
      <c r="Z2695" t="str">
        <f t="shared" si="1760"/>
        <v>Rubro</v>
      </c>
      <c r="AA2695" t="str">
        <f t="shared" si="1761"/>
        <v>Cantidad por Bulto</v>
      </c>
      <c r="AB2695" t="str">
        <f t="shared" si="1762"/>
        <v>INNER</v>
      </c>
      <c r="AC2695" t="str">
        <f t="shared" si="1763"/>
        <v>Stock en Bultos</v>
      </c>
      <c r="AD2695" t="str">
        <f t="shared" si="1764"/>
        <v>SubDepósito</v>
      </c>
      <c r="AE2695" t="str">
        <f t="shared" si="1765"/>
        <v>Marca</v>
      </c>
      <c r="AF2695" t="str">
        <f t="shared" si="1766"/>
        <v>Super Rubro</v>
      </c>
      <c r="AG2695" t="str">
        <f t="shared" si="1767"/>
        <v>ComercioExterior</v>
      </c>
      <c r="AH2695" t="str">
        <f t="shared" si="1768"/>
        <v>PrecioFOB</v>
      </c>
      <c r="AI2695" t="str">
        <f t="shared" si="1769"/>
        <v>Monto II</v>
      </c>
      <c r="AJ2695" t="str">
        <f t="shared" si="1770"/>
        <v>Porcentaje II</v>
      </c>
      <c r="AK2695" t="str">
        <f t="shared" si="1771"/>
        <v>Foto</v>
      </c>
      <c r="AL269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95" t="str">
        <f t="shared" si="1775"/>
        <v>-</v>
      </c>
    </row>
    <row r="2696" spans="1:39" x14ac:dyDescent="0.25">
      <c r="A2696" t="str">
        <f>"FI90038"</f>
        <v>FI90038</v>
      </c>
      <c r="B2696" t="str">
        <f>"SENSOR DE VELOCIDAD FOX/GOLF IV"</f>
        <v>SENSOR DE VELOCIDAD FOX/GOLF IV</v>
      </c>
      <c r="C2696" t="str">
        <f>"$ 27793,85"</f>
        <v>$ 27793,85</v>
      </c>
      <c r="D2696" t="str">
        <f>"$ 27793,85"</f>
        <v>$ 27793,85</v>
      </c>
      <c r="E2696" t="str">
        <f>"$ 27793,85"</f>
        <v>$ 27793,85</v>
      </c>
      <c r="F2696" t="str">
        <f>"$ 27793,85"</f>
        <v>$ 27793,85</v>
      </c>
      <c r="G2696" t="str">
        <f>"$ 27793,85"</f>
        <v>$ 27793,85</v>
      </c>
      <c r="H2696" t="str">
        <f t="shared" si="1754"/>
        <v>$ 0,00</v>
      </c>
      <c r="I2696" t="str">
        <f t="shared" si="1773"/>
        <v>SENSOR DE VELOCIDAD</v>
      </c>
      <c r="J2696" t="str">
        <f t="shared" si="1755"/>
        <v>1</v>
      </c>
      <c r="K2696" t="str">
        <f t="shared" si="1734"/>
        <v>0</v>
      </c>
      <c r="L2696" t="str">
        <f>"3,000"</f>
        <v>3,000</v>
      </c>
      <c r="M2696" t="str">
        <f t="shared" si="1756"/>
        <v xml:space="preserve"> </v>
      </c>
      <c r="N2696" t="str">
        <f t="shared" si="1774"/>
        <v>FISPA</v>
      </c>
      <c r="O2696" t="str">
        <f t="shared" si="1772"/>
        <v>SENSORES</v>
      </c>
      <c r="P2696" t="str">
        <f t="shared" si="1744"/>
        <v>0</v>
      </c>
      <c r="Q2696" t="str">
        <f t="shared" si="1744"/>
        <v>0</v>
      </c>
      <c r="R2696" t="str">
        <f t="shared" si="1745"/>
        <v>0,00</v>
      </c>
      <c r="S2696" t="str">
        <f t="shared" si="1745"/>
        <v>0,00</v>
      </c>
      <c r="T2696" t="str">
        <f t="shared" si="1751"/>
        <v xml:space="preserve"> </v>
      </c>
      <c r="U2696" t="str">
        <f t="shared" si="1753"/>
        <v xml:space="preserve"> </v>
      </c>
      <c r="V2696" t="str">
        <f>"3,000"</f>
        <v>3,000</v>
      </c>
      <c r="W2696" t="str">
        <f t="shared" si="1757"/>
        <v>Lista 4</v>
      </c>
      <c r="X2696" t="str">
        <f t="shared" si="1758"/>
        <v>Lista 5</v>
      </c>
      <c r="Y2696" t="str">
        <f t="shared" si="1759"/>
        <v>Oferta Gral.</v>
      </c>
      <c r="Z2696" t="str">
        <f t="shared" si="1760"/>
        <v>Rubro</v>
      </c>
      <c r="AA2696" t="str">
        <f t="shared" si="1761"/>
        <v>Cantidad por Bulto</v>
      </c>
      <c r="AB2696" t="str">
        <f t="shared" si="1762"/>
        <v>INNER</v>
      </c>
      <c r="AC2696" t="str">
        <f t="shared" si="1763"/>
        <v>Stock en Bultos</v>
      </c>
      <c r="AD2696" t="str">
        <f t="shared" si="1764"/>
        <v>SubDepósito</v>
      </c>
      <c r="AE2696" t="str">
        <f t="shared" si="1765"/>
        <v>Marca</v>
      </c>
      <c r="AF2696" t="str">
        <f t="shared" si="1766"/>
        <v>Super Rubro</v>
      </c>
      <c r="AG2696" t="str">
        <f t="shared" si="1767"/>
        <v>ComercioExterior</v>
      </c>
      <c r="AH2696" t="str">
        <f t="shared" si="1768"/>
        <v>PrecioFOB</v>
      </c>
      <c r="AI2696" t="str">
        <f t="shared" si="1769"/>
        <v>Monto II</v>
      </c>
      <c r="AJ2696" t="str">
        <f t="shared" si="1770"/>
        <v>Porcentaje II</v>
      </c>
      <c r="AK2696" t="str">
        <f t="shared" si="1771"/>
        <v>Foto</v>
      </c>
      <c r="AL269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96" t="str">
        <f t="shared" si="1775"/>
        <v>-</v>
      </c>
    </row>
    <row r="2697" spans="1:39" x14ac:dyDescent="0.25">
      <c r="A2697" t="str">
        <f>"FI90009"</f>
        <v>FI90009</v>
      </c>
      <c r="B2697" t="str">
        <f>"SENSOR DE VELOCIDAD GOL/SAVEIRO DESDE 94"</f>
        <v>SENSOR DE VELOCIDAD GOL/SAVEIRO DESDE 94</v>
      </c>
      <c r="C2697" t="str">
        <f>"$ 15934,68"</f>
        <v>$ 15934,68</v>
      </c>
      <c r="D2697" t="str">
        <f>"$ 15934,68"</f>
        <v>$ 15934,68</v>
      </c>
      <c r="E2697" t="str">
        <f>"$ 15934,68"</f>
        <v>$ 15934,68</v>
      </c>
      <c r="F2697" t="str">
        <f>"$ 15934,68"</f>
        <v>$ 15934,68</v>
      </c>
      <c r="G2697" t="str">
        <f>"$ 15934,68"</f>
        <v>$ 15934,68</v>
      </c>
      <c r="H2697" t="str">
        <f t="shared" si="1754"/>
        <v>$ 0,00</v>
      </c>
      <c r="I2697" t="str">
        <f t="shared" si="1773"/>
        <v>SENSOR DE VELOCIDAD</v>
      </c>
      <c r="J2697" t="str">
        <f t="shared" si="1755"/>
        <v>1</v>
      </c>
      <c r="K2697" t="str">
        <f t="shared" si="1734"/>
        <v>0</v>
      </c>
      <c r="L2697" t="str">
        <f>"2,000"</f>
        <v>2,000</v>
      </c>
      <c r="M2697" t="str">
        <f t="shared" si="1756"/>
        <v xml:space="preserve"> </v>
      </c>
      <c r="N2697" t="str">
        <f t="shared" si="1774"/>
        <v>FISPA</v>
      </c>
      <c r="O2697" t="str">
        <f t="shared" si="1772"/>
        <v>SENSORES</v>
      </c>
      <c r="P2697" t="str">
        <f t="shared" si="1744"/>
        <v>0</v>
      </c>
      <c r="Q2697" t="str">
        <f t="shared" si="1744"/>
        <v>0</v>
      </c>
      <c r="R2697" t="str">
        <f t="shared" si="1745"/>
        <v>0,00</v>
      </c>
      <c r="S2697" t="str">
        <f t="shared" si="1745"/>
        <v>0,00</v>
      </c>
      <c r="T2697" t="str">
        <f t="shared" si="1751"/>
        <v xml:space="preserve"> </v>
      </c>
      <c r="U2697" t="str">
        <f t="shared" si="1753"/>
        <v xml:space="preserve"> </v>
      </c>
      <c r="V2697" t="str">
        <f>"2,000"</f>
        <v>2,000</v>
      </c>
      <c r="W2697" t="str">
        <f t="shared" si="1757"/>
        <v>Lista 4</v>
      </c>
      <c r="X2697" t="str">
        <f t="shared" si="1758"/>
        <v>Lista 5</v>
      </c>
      <c r="Y2697" t="str">
        <f t="shared" si="1759"/>
        <v>Oferta Gral.</v>
      </c>
      <c r="Z2697" t="str">
        <f t="shared" si="1760"/>
        <v>Rubro</v>
      </c>
      <c r="AA2697" t="str">
        <f t="shared" si="1761"/>
        <v>Cantidad por Bulto</v>
      </c>
      <c r="AB2697" t="str">
        <f t="shared" si="1762"/>
        <v>INNER</v>
      </c>
      <c r="AC2697" t="str">
        <f t="shared" si="1763"/>
        <v>Stock en Bultos</v>
      </c>
      <c r="AD2697" t="str">
        <f t="shared" si="1764"/>
        <v>SubDepósito</v>
      </c>
      <c r="AE2697" t="str">
        <f t="shared" si="1765"/>
        <v>Marca</v>
      </c>
      <c r="AF2697" t="str">
        <f t="shared" si="1766"/>
        <v>Super Rubro</v>
      </c>
      <c r="AG2697" t="str">
        <f t="shared" si="1767"/>
        <v>ComercioExterior</v>
      </c>
      <c r="AH2697" t="str">
        <f t="shared" si="1768"/>
        <v>PrecioFOB</v>
      </c>
      <c r="AI2697" t="str">
        <f t="shared" si="1769"/>
        <v>Monto II</v>
      </c>
      <c r="AJ2697" t="str">
        <f t="shared" si="1770"/>
        <v>Porcentaje II</v>
      </c>
      <c r="AK2697" t="str">
        <f t="shared" si="1771"/>
        <v>Foto</v>
      </c>
      <c r="AL2697" t="str">
        <f>"{\rtf1\ansi\ansicpg1252\deff0\deflang11274{\fonttbl{\f0\fnil\fcharset0 MS Sans Serif}} \viewkind4\uc1\pard\f0\fs16 SENSOR DE VELOCIDAD GOL/SAVEIRO DESDE 94\par } "</f>
        <v xml:space="preserve">{\rtf1\ansi\ansicpg1252\deff0\deflang11274{\fonttbl{\f0\fnil\fcharset0 MS Sans Serif}} \viewkind4\uc1\pard\f0\fs16 SENSOR DE VELOCIDAD GOL/SAVEIRO DESDE 94\par } </v>
      </c>
      <c r="AM2697" t="str">
        <f t="shared" si="1775"/>
        <v>-</v>
      </c>
    </row>
    <row r="2698" spans="1:39" x14ac:dyDescent="0.25">
      <c r="A2698" t="str">
        <f>"FI90025"</f>
        <v>FI90025</v>
      </c>
      <c r="B2698" t="str">
        <f>"SENSOR DE VELOCIDAD LOGAN/SANDERO"</f>
        <v>SENSOR DE VELOCIDAD LOGAN/SANDERO</v>
      </c>
      <c r="C2698" t="str">
        <f>"$ 20600,96"</f>
        <v>$ 20600,96</v>
      </c>
      <c r="D2698" t="str">
        <f>"$ 20600,96"</f>
        <v>$ 20600,96</v>
      </c>
      <c r="E2698" t="str">
        <f>"$ 20600,96"</f>
        <v>$ 20600,96</v>
      </c>
      <c r="F2698" t="str">
        <f>"$ 20600,96"</f>
        <v>$ 20600,96</v>
      </c>
      <c r="G2698" t="str">
        <f>"$ 20600,96"</f>
        <v>$ 20600,96</v>
      </c>
      <c r="H2698" t="str">
        <f t="shared" si="1754"/>
        <v>$ 0,00</v>
      </c>
      <c r="I2698" t="str">
        <f t="shared" si="1773"/>
        <v>SENSOR DE VELOCIDAD</v>
      </c>
      <c r="J2698" t="str">
        <f t="shared" si="1755"/>
        <v>1</v>
      </c>
      <c r="K2698" t="str">
        <f t="shared" si="1734"/>
        <v>0</v>
      </c>
      <c r="L2698" t="str">
        <f>"4,000"</f>
        <v>4,000</v>
      </c>
      <c r="M2698" t="str">
        <f t="shared" si="1756"/>
        <v xml:space="preserve"> </v>
      </c>
      <c r="N2698" t="str">
        <f t="shared" si="1774"/>
        <v>FISPA</v>
      </c>
      <c r="O2698" t="str">
        <f t="shared" si="1772"/>
        <v>SENSORES</v>
      </c>
      <c r="P2698" t="str">
        <f t="shared" si="1744"/>
        <v>0</v>
      </c>
      <c r="Q2698" t="str">
        <f t="shared" si="1744"/>
        <v>0</v>
      </c>
      <c r="R2698" t="str">
        <f t="shared" si="1745"/>
        <v>0,00</v>
      </c>
      <c r="S2698" t="str">
        <f t="shared" si="1745"/>
        <v>0,00</v>
      </c>
      <c r="T2698" t="str">
        <f t="shared" si="1751"/>
        <v xml:space="preserve"> </v>
      </c>
      <c r="U2698" t="str">
        <f t="shared" si="1753"/>
        <v xml:space="preserve"> </v>
      </c>
      <c r="V2698" t="str">
        <f>"4,000"</f>
        <v>4,000</v>
      </c>
      <c r="W2698" t="str">
        <f t="shared" si="1757"/>
        <v>Lista 4</v>
      </c>
      <c r="X2698" t="str">
        <f t="shared" si="1758"/>
        <v>Lista 5</v>
      </c>
      <c r="Y2698" t="str">
        <f t="shared" si="1759"/>
        <v>Oferta Gral.</v>
      </c>
      <c r="Z2698" t="str">
        <f t="shared" si="1760"/>
        <v>Rubro</v>
      </c>
      <c r="AA2698" t="str">
        <f t="shared" si="1761"/>
        <v>Cantidad por Bulto</v>
      </c>
      <c r="AB2698" t="str">
        <f t="shared" si="1762"/>
        <v>INNER</v>
      </c>
      <c r="AC2698" t="str">
        <f t="shared" si="1763"/>
        <v>Stock en Bultos</v>
      </c>
      <c r="AD2698" t="str">
        <f t="shared" si="1764"/>
        <v>SubDepósito</v>
      </c>
      <c r="AE2698" t="str">
        <f t="shared" si="1765"/>
        <v>Marca</v>
      </c>
      <c r="AF2698" t="str">
        <f t="shared" si="1766"/>
        <v>Super Rubro</v>
      </c>
      <c r="AG2698" t="str">
        <f t="shared" si="1767"/>
        <v>ComercioExterior</v>
      </c>
      <c r="AH2698" t="str">
        <f t="shared" si="1768"/>
        <v>PrecioFOB</v>
      </c>
      <c r="AI2698" t="str">
        <f t="shared" si="1769"/>
        <v>Monto II</v>
      </c>
      <c r="AJ2698" t="str">
        <f t="shared" si="1770"/>
        <v>Porcentaje II</v>
      </c>
      <c r="AK2698" t="str">
        <f t="shared" si="1771"/>
        <v>Foto</v>
      </c>
      <c r="AL2698" t="str">
        <f>"{\rtf1\ansi\ansicpg1252\deff0\deflang11274{\fonttbl{\f0\fnil\fcharset0 MS Sans Serif}} \viewkind4\uc1\pard\f0\fs16 SENSOR DE VELOCIDAD LOGAN/SANDERO\par } "</f>
        <v xml:space="preserve">{\rtf1\ansi\ansicpg1252\deff0\deflang11274{\fonttbl{\f0\fnil\fcharset0 MS Sans Serif}} \viewkind4\uc1\pard\f0\fs16 SENSOR DE VELOCIDAD LOGAN/SANDERO\par } </v>
      </c>
      <c r="AM2698" t="str">
        <f t="shared" si="1775"/>
        <v>-</v>
      </c>
    </row>
    <row r="2699" spans="1:39" x14ac:dyDescent="0.25">
      <c r="A2699" t="str">
        <f>"FI90005"</f>
        <v>FI90005</v>
      </c>
      <c r="B2699" t="str">
        <f>"SENSOR DE VELOCIDAD P405"</f>
        <v>SENSOR DE VELOCIDAD P405</v>
      </c>
      <c r="C2699" t="str">
        <f>"$ 18561,37"</f>
        <v>$ 18561,37</v>
      </c>
      <c r="D2699" t="str">
        <f>"$ 18561,37"</f>
        <v>$ 18561,37</v>
      </c>
      <c r="E2699" t="str">
        <f>"$ 18561,37"</f>
        <v>$ 18561,37</v>
      </c>
      <c r="F2699" t="str">
        <f>"$ 18561,37"</f>
        <v>$ 18561,37</v>
      </c>
      <c r="G2699" t="str">
        <f>"$ 18561,37"</f>
        <v>$ 18561,37</v>
      </c>
      <c r="H2699" t="str">
        <f t="shared" si="1754"/>
        <v>$ 0,00</v>
      </c>
      <c r="I2699" t="str">
        <f t="shared" si="1773"/>
        <v>SENSOR DE VELOCIDAD</v>
      </c>
      <c r="J2699" t="str">
        <f t="shared" si="1755"/>
        <v>1</v>
      </c>
      <c r="K2699" t="str">
        <f t="shared" si="1734"/>
        <v>0</v>
      </c>
      <c r="L2699" t="str">
        <f>"6,000"</f>
        <v>6,000</v>
      </c>
      <c r="M2699" t="str">
        <f t="shared" si="1756"/>
        <v xml:space="preserve"> </v>
      </c>
      <c r="N2699" t="str">
        <f t="shared" si="1774"/>
        <v>FISPA</v>
      </c>
      <c r="O2699" t="str">
        <f t="shared" si="1772"/>
        <v>SENSORES</v>
      </c>
      <c r="P2699" t="str">
        <f t="shared" si="1744"/>
        <v>0</v>
      </c>
      <c r="Q2699" t="str">
        <f t="shared" si="1744"/>
        <v>0</v>
      </c>
      <c r="R2699" t="str">
        <f t="shared" si="1745"/>
        <v>0,00</v>
      </c>
      <c r="S2699" t="str">
        <f t="shared" si="1745"/>
        <v>0,00</v>
      </c>
      <c r="T2699" t="str">
        <f t="shared" si="1751"/>
        <v xml:space="preserve"> </v>
      </c>
      <c r="U2699" t="str">
        <f t="shared" si="1753"/>
        <v xml:space="preserve"> </v>
      </c>
      <c r="V2699" t="str">
        <f>"6,000"</f>
        <v>6,000</v>
      </c>
      <c r="W2699" t="str">
        <f t="shared" si="1757"/>
        <v>Lista 4</v>
      </c>
      <c r="X2699" t="str">
        <f t="shared" si="1758"/>
        <v>Lista 5</v>
      </c>
      <c r="Y2699" t="str">
        <f t="shared" si="1759"/>
        <v>Oferta Gral.</v>
      </c>
      <c r="Z2699" t="str">
        <f t="shared" si="1760"/>
        <v>Rubro</v>
      </c>
      <c r="AA2699" t="str">
        <f t="shared" si="1761"/>
        <v>Cantidad por Bulto</v>
      </c>
      <c r="AB2699" t="str">
        <f t="shared" si="1762"/>
        <v>INNER</v>
      </c>
      <c r="AC2699" t="str">
        <f t="shared" si="1763"/>
        <v>Stock en Bultos</v>
      </c>
      <c r="AD2699" t="str">
        <f t="shared" si="1764"/>
        <v>SubDepósito</v>
      </c>
      <c r="AE2699" t="str">
        <f t="shared" si="1765"/>
        <v>Marca</v>
      </c>
      <c r="AF2699" t="str">
        <f t="shared" si="1766"/>
        <v>Super Rubro</v>
      </c>
      <c r="AG2699" t="str">
        <f t="shared" si="1767"/>
        <v>ComercioExterior</v>
      </c>
      <c r="AH2699" t="str">
        <f t="shared" si="1768"/>
        <v>PrecioFOB</v>
      </c>
      <c r="AI2699" t="str">
        <f t="shared" si="1769"/>
        <v>Monto II</v>
      </c>
      <c r="AJ2699" t="str">
        <f t="shared" si="1770"/>
        <v>Porcentaje II</v>
      </c>
      <c r="AK2699" t="str">
        <f t="shared" si="1771"/>
        <v>Foto</v>
      </c>
      <c r="AL2699" t="str">
        <f>"{\rtf1\ansi\ansicpg1252\deff0\deflang11274{\fonttbl{\f0\fnil\fcharset0 MS Sans Serif}} \viewkind4\uc1\pard\f0\fs16 SENSOR DE VELOCIDAD P405\par } "</f>
        <v xml:space="preserve">{\rtf1\ansi\ansicpg1252\deff0\deflang11274{\fonttbl{\f0\fnil\fcharset0 MS Sans Serif}} \viewkind4\uc1\pard\f0\fs16 SENSOR DE VELOCIDAD P405\par } </v>
      </c>
      <c r="AM2699" t="str">
        <f t="shared" si="1775"/>
        <v>-</v>
      </c>
    </row>
    <row r="2700" spans="1:39" x14ac:dyDescent="0.25">
      <c r="A2700" t="str">
        <f>"FI90011"</f>
        <v>FI90011</v>
      </c>
      <c r="B2700" t="str">
        <f>"SENSOR DE VELOCIDAD PALIO/SIENA FIRE 46543998 46744244"</f>
        <v>SENSOR DE VELOCIDAD PALIO/SIENA FIRE 46543998 46744244</v>
      </c>
      <c r="C2700" t="str">
        <f>"$ 27915,91"</f>
        <v>$ 27915,91</v>
      </c>
      <c r="D2700" t="str">
        <f>"$ 27915,91"</f>
        <v>$ 27915,91</v>
      </c>
      <c r="E2700" t="str">
        <f>"$ 27915,91"</f>
        <v>$ 27915,91</v>
      </c>
      <c r="F2700" t="str">
        <f>"$ 27915,91"</f>
        <v>$ 27915,91</v>
      </c>
      <c r="G2700" t="str">
        <f>"$ 27915,91"</f>
        <v>$ 27915,91</v>
      </c>
      <c r="H2700" t="str">
        <f t="shared" si="1754"/>
        <v>$ 0,00</v>
      </c>
      <c r="I2700" t="str">
        <f t="shared" si="1773"/>
        <v>SENSOR DE VELOCIDAD</v>
      </c>
      <c r="J2700" t="str">
        <f t="shared" si="1755"/>
        <v>1</v>
      </c>
      <c r="K2700" t="str">
        <f t="shared" si="1734"/>
        <v>0</v>
      </c>
      <c r="L2700" t="str">
        <f>"4,000"</f>
        <v>4,000</v>
      </c>
      <c r="M2700" t="str">
        <f t="shared" si="1756"/>
        <v xml:space="preserve"> </v>
      </c>
      <c r="N2700" t="str">
        <f t="shared" si="1774"/>
        <v>FISPA</v>
      </c>
      <c r="O2700" t="str">
        <f t="shared" si="1772"/>
        <v>SENSORES</v>
      </c>
      <c r="P2700" t="str">
        <f t="shared" si="1744"/>
        <v>0</v>
      </c>
      <c r="Q2700" t="str">
        <f t="shared" si="1744"/>
        <v>0</v>
      </c>
      <c r="R2700" t="str">
        <f t="shared" si="1745"/>
        <v>0,00</v>
      </c>
      <c r="S2700" t="str">
        <f t="shared" si="1745"/>
        <v>0,00</v>
      </c>
      <c r="T2700" t="str">
        <f t="shared" si="1751"/>
        <v xml:space="preserve"> </v>
      </c>
      <c r="U2700" t="str">
        <f t="shared" si="1753"/>
        <v xml:space="preserve"> </v>
      </c>
      <c r="V2700" t="str">
        <f>"4,000"</f>
        <v>4,000</v>
      </c>
      <c r="W2700" t="str">
        <f t="shared" si="1757"/>
        <v>Lista 4</v>
      </c>
      <c r="X2700" t="str">
        <f t="shared" si="1758"/>
        <v>Lista 5</v>
      </c>
      <c r="Y2700" t="str">
        <f t="shared" si="1759"/>
        <v>Oferta Gral.</v>
      </c>
      <c r="Z2700" t="str">
        <f t="shared" si="1760"/>
        <v>Rubro</v>
      </c>
      <c r="AA2700" t="str">
        <f t="shared" si="1761"/>
        <v>Cantidad por Bulto</v>
      </c>
      <c r="AB2700" t="str">
        <f t="shared" si="1762"/>
        <v>INNER</v>
      </c>
      <c r="AC2700" t="str">
        <f t="shared" si="1763"/>
        <v>Stock en Bultos</v>
      </c>
      <c r="AD2700" t="str">
        <f t="shared" si="1764"/>
        <v>SubDepósito</v>
      </c>
      <c r="AE2700" t="str">
        <f t="shared" si="1765"/>
        <v>Marca</v>
      </c>
      <c r="AF2700" t="str">
        <f t="shared" si="1766"/>
        <v>Super Rubro</v>
      </c>
      <c r="AG2700" t="str">
        <f t="shared" si="1767"/>
        <v>ComercioExterior</v>
      </c>
      <c r="AH2700" t="str">
        <f t="shared" si="1768"/>
        <v>PrecioFOB</v>
      </c>
      <c r="AI2700" t="str">
        <f t="shared" si="1769"/>
        <v>Monto II</v>
      </c>
      <c r="AJ2700" t="str">
        <f t="shared" si="1770"/>
        <v>Porcentaje II</v>
      </c>
      <c r="AK2700" t="str">
        <f t="shared" si="1771"/>
        <v>Foto</v>
      </c>
      <c r="AL270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00" t="str">
        <f t="shared" si="1775"/>
        <v>-</v>
      </c>
    </row>
    <row r="2701" spans="1:39" x14ac:dyDescent="0.25">
      <c r="A2701" t="str">
        <f>"FI90006"</f>
        <v>FI90006</v>
      </c>
      <c r="B2701" t="str">
        <f>"SENSOR DE VELOCIDAD PEUGEOT 306/PARTNER 23K7ACN"</f>
        <v>SENSOR DE VELOCIDAD PEUGEOT 306/PARTNER 23K7ACN</v>
      </c>
      <c r="C2701" t="str">
        <f>"$ 18798,17"</f>
        <v>$ 18798,17</v>
      </c>
      <c r="D2701" t="str">
        <f>"$ 18798,17"</f>
        <v>$ 18798,17</v>
      </c>
      <c r="E2701" t="str">
        <f>"$ 18798,17"</f>
        <v>$ 18798,17</v>
      </c>
      <c r="F2701" t="str">
        <f>"$ 18798,17"</f>
        <v>$ 18798,17</v>
      </c>
      <c r="G2701" t="str">
        <f>"$ 18798,17"</f>
        <v>$ 18798,17</v>
      </c>
      <c r="H2701" t="str">
        <f t="shared" si="1754"/>
        <v>$ 0,00</v>
      </c>
      <c r="I2701" t="str">
        <f t="shared" si="1773"/>
        <v>SENSOR DE VELOCIDAD</v>
      </c>
      <c r="J2701" t="str">
        <f t="shared" si="1755"/>
        <v>1</v>
      </c>
      <c r="K2701" t="str">
        <f t="shared" si="1734"/>
        <v>0</v>
      </c>
      <c r="L2701" t="str">
        <f>"2,000"</f>
        <v>2,000</v>
      </c>
      <c r="M2701" t="str">
        <f t="shared" si="1756"/>
        <v xml:space="preserve"> </v>
      </c>
      <c r="N2701" t="str">
        <f t="shared" si="1774"/>
        <v>FISPA</v>
      </c>
      <c r="O2701" t="str">
        <f t="shared" si="1772"/>
        <v>SENSORES</v>
      </c>
      <c r="P2701" t="str">
        <f t="shared" si="1744"/>
        <v>0</v>
      </c>
      <c r="Q2701" t="str">
        <f t="shared" si="1744"/>
        <v>0</v>
      </c>
      <c r="R2701" t="str">
        <f t="shared" si="1745"/>
        <v>0,00</v>
      </c>
      <c r="S2701" t="str">
        <f t="shared" si="1745"/>
        <v>0,00</v>
      </c>
      <c r="T2701" t="str">
        <f t="shared" si="1751"/>
        <v xml:space="preserve"> </v>
      </c>
      <c r="U2701" t="str">
        <f t="shared" si="1753"/>
        <v xml:space="preserve"> </v>
      </c>
      <c r="V2701" t="str">
        <f>"2,000"</f>
        <v>2,000</v>
      </c>
      <c r="W2701" t="str">
        <f t="shared" si="1757"/>
        <v>Lista 4</v>
      </c>
      <c r="X2701" t="str">
        <f t="shared" si="1758"/>
        <v>Lista 5</v>
      </c>
      <c r="Y2701" t="str">
        <f t="shared" si="1759"/>
        <v>Oferta Gral.</v>
      </c>
      <c r="Z2701" t="str">
        <f t="shared" si="1760"/>
        <v>Rubro</v>
      </c>
      <c r="AA2701" t="str">
        <f t="shared" si="1761"/>
        <v>Cantidad por Bulto</v>
      </c>
      <c r="AB2701" t="str">
        <f t="shared" si="1762"/>
        <v>INNER</v>
      </c>
      <c r="AC2701" t="str">
        <f t="shared" si="1763"/>
        <v>Stock en Bultos</v>
      </c>
      <c r="AD2701" t="str">
        <f t="shared" si="1764"/>
        <v>SubDepósito</v>
      </c>
      <c r="AE2701" t="str">
        <f t="shared" si="1765"/>
        <v>Marca</v>
      </c>
      <c r="AF2701" t="str">
        <f t="shared" si="1766"/>
        <v>Super Rubro</v>
      </c>
      <c r="AG2701" t="str">
        <f t="shared" si="1767"/>
        <v>ComercioExterior</v>
      </c>
      <c r="AH2701" t="str">
        <f t="shared" si="1768"/>
        <v>PrecioFOB</v>
      </c>
      <c r="AI2701" t="str">
        <f t="shared" si="1769"/>
        <v>Monto II</v>
      </c>
      <c r="AJ2701" t="str">
        <f t="shared" si="1770"/>
        <v>Porcentaje II</v>
      </c>
      <c r="AK2701" t="str">
        <f t="shared" si="1771"/>
        <v>Foto</v>
      </c>
      <c r="AL2701" t="str">
        <f>"{\rtf1\ansi\ansicpg1252\deff0\deflang11274{\fonttbl{\f0\fnil\fcharset0 MS Sans Serif}} \viewkind4\uc1\pard\f0\fs16 SENSOR DE VELOCIDAD PEUGEOT 306/PARTNER 23K7ACN\par } "</f>
        <v xml:space="preserve">{\rtf1\ansi\ansicpg1252\deff0\deflang11274{\fonttbl{\f0\fnil\fcharset0 MS Sans Serif}} \viewkind4\uc1\pard\f0\fs16 SENSOR DE VELOCIDAD PEUGEOT 306/PARTNER 23K7ACN\par } </v>
      </c>
      <c r="AM2701" t="str">
        <f t="shared" si="1775"/>
        <v>-</v>
      </c>
    </row>
    <row r="2702" spans="1:39" x14ac:dyDescent="0.25">
      <c r="A2702" t="str">
        <f>"FI90037"</f>
        <v>FI90037</v>
      </c>
      <c r="B2702" t="str">
        <f>"SENSOR DE VELOCIDAD POLO/BORA"</f>
        <v>SENSOR DE VELOCIDAD POLO/BORA</v>
      </c>
      <c r="C2702" t="str">
        <f>"$ 23646,31"</f>
        <v>$ 23646,31</v>
      </c>
      <c r="D2702" t="str">
        <f>"$ 23646,31"</f>
        <v>$ 23646,31</v>
      </c>
      <c r="E2702" t="str">
        <f>"$ 23646,31"</f>
        <v>$ 23646,31</v>
      </c>
      <c r="F2702" t="str">
        <f>"$ 23646,31"</f>
        <v>$ 23646,31</v>
      </c>
      <c r="G2702" t="str">
        <f>"$ 23646,31"</f>
        <v>$ 23646,31</v>
      </c>
      <c r="H2702" t="str">
        <f t="shared" si="1754"/>
        <v>$ 0,00</v>
      </c>
      <c r="I2702" t="str">
        <f t="shared" si="1773"/>
        <v>SENSOR DE VELOCIDAD</v>
      </c>
      <c r="J2702" t="str">
        <f t="shared" si="1755"/>
        <v>1</v>
      </c>
      <c r="K2702" t="str">
        <f t="shared" si="1734"/>
        <v>0</v>
      </c>
      <c r="L2702" t="str">
        <f>"3,000"</f>
        <v>3,000</v>
      </c>
      <c r="M2702" t="str">
        <f t="shared" si="1756"/>
        <v xml:space="preserve"> </v>
      </c>
      <c r="N2702" t="str">
        <f t="shared" si="1774"/>
        <v>FISPA</v>
      </c>
      <c r="O2702" t="str">
        <f t="shared" si="1772"/>
        <v>SENSORES</v>
      </c>
      <c r="P2702" t="str">
        <f t="shared" si="1744"/>
        <v>0</v>
      </c>
      <c r="Q2702" t="str">
        <f t="shared" si="1744"/>
        <v>0</v>
      </c>
      <c r="R2702" t="str">
        <f t="shared" si="1745"/>
        <v>0,00</v>
      </c>
      <c r="S2702" t="str">
        <f t="shared" si="1745"/>
        <v>0,00</v>
      </c>
      <c r="T2702" t="str">
        <f t="shared" si="1751"/>
        <v xml:space="preserve"> </v>
      </c>
      <c r="U2702" t="str">
        <f t="shared" si="1753"/>
        <v xml:space="preserve"> </v>
      </c>
      <c r="V2702" t="str">
        <f>"3,000"</f>
        <v>3,000</v>
      </c>
      <c r="W2702" t="str">
        <f t="shared" si="1757"/>
        <v>Lista 4</v>
      </c>
      <c r="X2702" t="str">
        <f t="shared" si="1758"/>
        <v>Lista 5</v>
      </c>
      <c r="Y2702" t="str">
        <f t="shared" si="1759"/>
        <v>Oferta Gral.</v>
      </c>
      <c r="Z2702" t="str">
        <f t="shared" si="1760"/>
        <v>Rubro</v>
      </c>
      <c r="AA2702" t="str">
        <f t="shared" si="1761"/>
        <v>Cantidad por Bulto</v>
      </c>
      <c r="AB2702" t="str">
        <f t="shared" si="1762"/>
        <v>INNER</v>
      </c>
      <c r="AC2702" t="str">
        <f t="shared" si="1763"/>
        <v>Stock en Bultos</v>
      </c>
      <c r="AD2702" t="str">
        <f t="shared" si="1764"/>
        <v>SubDepósito</v>
      </c>
      <c r="AE2702" t="str">
        <f t="shared" si="1765"/>
        <v>Marca</v>
      </c>
      <c r="AF2702" t="str">
        <f t="shared" si="1766"/>
        <v>Super Rubro</v>
      </c>
      <c r="AG2702" t="str">
        <f t="shared" si="1767"/>
        <v>ComercioExterior</v>
      </c>
      <c r="AH2702" t="str">
        <f t="shared" si="1768"/>
        <v>PrecioFOB</v>
      </c>
      <c r="AI2702" t="str">
        <f t="shared" si="1769"/>
        <v>Monto II</v>
      </c>
      <c r="AJ2702" t="str">
        <f t="shared" si="1770"/>
        <v>Porcentaje II</v>
      </c>
      <c r="AK2702" t="str">
        <f t="shared" si="1771"/>
        <v>Foto</v>
      </c>
      <c r="AL2702" t="str">
        <f>"{\rtf1\ansi\ansicpg1252\deff0\deflang11274{\fonttbl{\f0\fnil\fcharset0 MS Sans Serif}} \viewkind4\uc1\pard\f0\fs16 SENSOR DE VELOCIDAD POLO/BORA\par } "</f>
        <v xml:space="preserve">{\rtf1\ansi\ansicpg1252\deff0\deflang11274{\fonttbl{\f0\fnil\fcharset0 MS Sans Serif}} \viewkind4\uc1\pard\f0\fs16 SENSOR DE VELOCIDAD POLO/BORA\par } </v>
      </c>
      <c r="AM2702" t="str">
        <f t="shared" si="1775"/>
        <v>-</v>
      </c>
    </row>
    <row r="2703" spans="1:39" x14ac:dyDescent="0.25">
      <c r="A2703" t="str">
        <f>"7700418919"</f>
        <v>7700418919</v>
      </c>
      <c r="B2703" t="str">
        <f>"SENSOR DE VELOCIDAD RENAULT MEGANE/SCENIC"</f>
        <v>SENSOR DE VELOCIDAD RENAULT MEGANE/SCENIC</v>
      </c>
      <c r="C2703" t="str">
        <f>"$ 12375,32"</f>
        <v>$ 12375,32</v>
      </c>
      <c r="D2703" t="str">
        <f>"$ 12375,32"</f>
        <v>$ 12375,32</v>
      </c>
      <c r="E2703" t="str">
        <f>"$ 12375,32"</f>
        <v>$ 12375,32</v>
      </c>
      <c r="F2703" t="str">
        <f>"$ 12375,32"</f>
        <v>$ 12375,32</v>
      </c>
      <c r="G2703" t="str">
        <f>"$ 12375,32"</f>
        <v>$ 12375,32</v>
      </c>
      <c r="H2703" t="str">
        <f t="shared" si="1754"/>
        <v>$ 0,00</v>
      </c>
      <c r="I2703" t="str">
        <f t="shared" si="1773"/>
        <v>SENSOR DE VELOCIDAD</v>
      </c>
      <c r="J2703" t="str">
        <f t="shared" si="1755"/>
        <v>1</v>
      </c>
      <c r="K2703" t="str">
        <f t="shared" si="1734"/>
        <v>0</v>
      </c>
      <c r="L2703" t="str">
        <f>"0,000"</f>
        <v>0,000</v>
      </c>
      <c r="M2703" t="str">
        <f t="shared" si="1756"/>
        <v xml:space="preserve"> </v>
      </c>
      <c r="N2703" t="str">
        <f>"OSSCA"</f>
        <v>OSSCA</v>
      </c>
      <c r="O2703" t="str">
        <f t="shared" si="1772"/>
        <v>SENSORES</v>
      </c>
      <c r="P2703" t="str">
        <f t="shared" ref="P2703:Q2722" si="1776">"0"</f>
        <v>0</v>
      </c>
      <c r="Q2703" t="str">
        <f t="shared" si="1776"/>
        <v>0</v>
      </c>
      <c r="R2703" t="str">
        <f t="shared" ref="R2703:S2722" si="1777">"0,00"</f>
        <v>0,00</v>
      </c>
      <c r="S2703" t="str">
        <f t="shared" si="1777"/>
        <v>0,00</v>
      </c>
      <c r="T2703" t="str">
        <f t="shared" si="1751"/>
        <v xml:space="preserve"> </v>
      </c>
      <c r="U2703" t="str">
        <f t="shared" si="1753"/>
        <v xml:space="preserve"> </v>
      </c>
      <c r="V2703" t="str">
        <f>"0,000"</f>
        <v>0,000</v>
      </c>
      <c r="W2703" t="str">
        <f t="shared" si="1757"/>
        <v>Lista 4</v>
      </c>
      <c r="X2703" t="str">
        <f t="shared" si="1758"/>
        <v>Lista 5</v>
      </c>
      <c r="Y2703" t="str">
        <f t="shared" si="1759"/>
        <v>Oferta Gral.</v>
      </c>
      <c r="Z2703" t="str">
        <f t="shared" si="1760"/>
        <v>Rubro</v>
      </c>
      <c r="AA2703" t="str">
        <f t="shared" si="1761"/>
        <v>Cantidad por Bulto</v>
      </c>
      <c r="AB2703" t="str">
        <f t="shared" si="1762"/>
        <v>INNER</v>
      </c>
      <c r="AC2703" t="str">
        <f t="shared" si="1763"/>
        <v>Stock en Bultos</v>
      </c>
      <c r="AD2703" t="str">
        <f t="shared" si="1764"/>
        <v>SubDepósito</v>
      </c>
      <c r="AE2703" t="str">
        <f t="shared" si="1765"/>
        <v>Marca</v>
      </c>
      <c r="AF2703" t="str">
        <f t="shared" si="1766"/>
        <v>Super Rubro</v>
      </c>
      <c r="AG2703" t="str">
        <f t="shared" si="1767"/>
        <v>ComercioExterior</v>
      </c>
      <c r="AH2703" t="str">
        <f t="shared" si="1768"/>
        <v>PrecioFOB</v>
      </c>
      <c r="AI2703" t="str">
        <f t="shared" si="1769"/>
        <v>Monto II</v>
      </c>
      <c r="AJ2703" t="str">
        <f t="shared" si="1770"/>
        <v>Porcentaje II</v>
      </c>
      <c r="AK2703" t="str">
        <f t="shared" si="1771"/>
        <v>Foto</v>
      </c>
      <c r="AL2703" t="str">
        <f>"{\rtf1\ansi\ansicpg1252\deff0\deflang11274{\fonttbl{\f0\fnil\fcharset0 MS Sans Serif}} \viewkind4\uc1\pard\f0\fs16 SENSOR DE VELOCIDAD RENAULT MEGANE/SCENIC\par } "</f>
        <v xml:space="preserve">{\rtf1\ansi\ansicpg1252\deff0\deflang11274{\fonttbl{\f0\fnil\fcharset0 MS Sans Serif}} \viewkind4\uc1\pard\f0\fs16 SENSOR DE VELOCIDAD RENAULT MEGANE/SCENIC\par } </v>
      </c>
      <c r="AM2703" t="str">
        <f>" "</f>
        <v xml:space="preserve"> </v>
      </c>
    </row>
    <row r="2704" spans="1:39" x14ac:dyDescent="0.25">
      <c r="A2704" t="str">
        <f>"VK00418919"</f>
        <v>VK00418919</v>
      </c>
      <c r="B2704" t="str">
        <f>"SENSOR DE VELOCIDAD RENAULT MEGANE/SCENIC FASE II 7700418919"</f>
        <v>SENSOR DE VELOCIDAD RENAULT MEGANE/SCENIC FASE II 7700418919</v>
      </c>
      <c r="C2704" t="str">
        <f>"$ 5694,87"</f>
        <v>$ 5694,87</v>
      </c>
      <c r="D2704" t="str">
        <f>"$ 5694,87"</f>
        <v>$ 5694,87</v>
      </c>
      <c r="E2704" t="str">
        <f>"$ 5694,87"</f>
        <v>$ 5694,87</v>
      </c>
      <c r="F2704" t="str">
        <f>"$ 5694,87"</f>
        <v>$ 5694,87</v>
      </c>
      <c r="G2704" t="str">
        <f>"$ 5694,87"</f>
        <v>$ 5694,87</v>
      </c>
      <c r="H2704" t="str">
        <f t="shared" si="1754"/>
        <v>$ 0,00</v>
      </c>
      <c r="I2704" t="str">
        <f t="shared" si="1773"/>
        <v>SENSOR DE VELOCIDAD</v>
      </c>
      <c r="J2704" t="str">
        <f t="shared" si="1755"/>
        <v>1</v>
      </c>
      <c r="K2704" t="str">
        <f t="shared" si="1734"/>
        <v>0</v>
      </c>
      <c r="L2704" t="str">
        <f>"0,000"</f>
        <v>0,000</v>
      </c>
      <c r="M2704" t="str">
        <f t="shared" si="1756"/>
        <v xml:space="preserve"> </v>
      </c>
      <c r="N2704" t="str">
        <f>"VERKEHR"</f>
        <v>VERKEHR</v>
      </c>
      <c r="O2704" t="str">
        <f t="shared" si="1772"/>
        <v>SENSORES</v>
      </c>
      <c r="P2704" t="str">
        <f t="shared" si="1776"/>
        <v>0</v>
      </c>
      <c r="Q2704" t="str">
        <f t="shared" si="1776"/>
        <v>0</v>
      </c>
      <c r="R2704" t="str">
        <f t="shared" si="1777"/>
        <v>0,00</v>
      </c>
      <c r="S2704" t="str">
        <f t="shared" si="1777"/>
        <v>0,00</v>
      </c>
      <c r="T2704" t="str">
        <f t="shared" si="1751"/>
        <v xml:space="preserve"> </v>
      </c>
      <c r="U2704" t="str">
        <f t="shared" si="1753"/>
        <v xml:space="preserve"> </v>
      </c>
      <c r="V2704" t="str">
        <f>"0,000"</f>
        <v>0,000</v>
      </c>
      <c r="W2704" t="str">
        <f t="shared" si="1757"/>
        <v>Lista 4</v>
      </c>
      <c r="X2704" t="str">
        <f t="shared" si="1758"/>
        <v>Lista 5</v>
      </c>
      <c r="Y2704" t="str">
        <f t="shared" si="1759"/>
        <v>Oferta Gral.</v>
      </c>
      <c r="Z2704" t="str">
        <f t="shared" si="1760"/>
        <v>Rubro</v>
      </c>
      <c r="AA2704" t="str">
        <f t="shared" si="1761"/>
        <v>Cantidad por Bulto</v>
      </c>
      <c r="AB2704" t="str">
        <f t="shared" si="1762"/>
        <v>INNER</v>
      </c>
      <c r="AC2704" t="str">
        <f t="shared" si="1763"/>
        <v>Stock en Bultos</v>
      </c>
      <c r="AD2704" t="str">
        <f t="shared" si="1764"/>
        <v>SubDepósito</v>
      </c>
      <c r="AE2704" t="str">
        <f t="shared" si="1765"/>
        <v>Marca</v>
      </c>
      <c r="AF2704" t="str">
        <f t="shared" si="1766"/>
        <v>Super Rubro</v>
      </c>
      <c r="AG2704" t="str">
        <f t="shared" si="1767"/>
        <v>ComercioExterior</v>
      </c>
      <c r="AH2704" t="str">
        <f t="shared" si="1768"/>
        <v>PrecioFOB</v>
      </c>
      <c r="AI2704" t="str">
        <f t="shared" si="1769"/>
        <v>Monto II</v>
      </c>
      <c r="AJ2704" t="str">
        <f t="shared" si="1770"/>
        <v>Porcentaje II</v>
      </c>
      <c r="AK2704" t="str">
        <f t="shared" si="1771"/>
        <v>Foto</v>
      </c>
      <c r="AL2704" t="str">
        <f>"{\rtf1\ansi\ansicpg1252\deff0\deflang11274{\fonttbl{\f0\fnil\fcharset0 MS Sans Serif}} \viewkind4\uc1\pard\f0\fs16 SENSOR DE VELOCIDAD RENAULT MEGANE/SCENIC FASE II 7700418919\par } "</f>
        <v xml:space="preserve">{\rtf1\ansi\ansicpg1252\deff0\deflang11274{\fonttbl{\f0\fnil\fcharset0 MS Sans Serif}} \viewkind4\uc1\pard\f0\fs16 SENSOR DE VELOCIDAD RENAULT MEGANE/SCENIC FASE II 7700418919\par } </v>
      </c>
      <c r="AM2704" t="str">
        <f>" "</f>
        <v xml:space="preserve"> </v>
      </c>
    </row>
    <row r="2705" spans="1:39" x14ac:dyDescent="0.25">
      <c r="A2705" t="str">
        <f>"FI90014"</f>
        <v>FI90014</v>
      </c>
      <c r="B2705" t="str">
        <f>"SENSOR DE VRLOCIDAD FIAT PALIO/SIENA 1,3 16V 1,4 8V46818007"</f>
        <v>SENSOR DE VRLOCIDAD FIAT PALIO/SIENA 1,3 16V 1,4 8V46818007</v>
      </c>
      <c r="C2705" t="str">
        <f>"$ 33125,35"</f>
        <v>$ 33125,35</v>
      </c>
      <c r="D2705" t="str">
        <f>"$ 33125,35"</f>
        <v>$ 33125,35</v>
      </c>
      <c r="E2705" t="str">
        <f>"$ 33125,35"</f>
        <v>$ 33125,35</v>
      </c>
      <c r="F2705" t="str">
        <f>"$ 33125,35"</f>
        <v>$ 33125,35</v>
      </c>
      <c r="G2705" t="str">
        <f>"$ 33125,35"</f>
        <v>$ 33125,35</v>
      </c>
      <c r="H2705" t="str">
        <f t="shared" si="1754"/>
        <v>$ 0,00</v>
      </c>
      <c r="I2705" t="str">
        <f t="shared" si="1773"/>
        <v>SENSOR DE VELOCIDAD</v>
      </c>
      <c r="J2705" t="str">
        <f t="shared" si="1755"/>
        <v>1</v>
      </c>
      <c r="K2705" t="str">
        <f t="shared" si="1734"/>
        <v>0</v>
      </c>
      <c r="L2705" t="str">
        <f>"4,000"</f>
        <v>4,000</v>
      </c>
      <c r="M2705" t="str">
        <f t="shared" si="1756"/>
        <v xml:space="preserve"> </v>
      </c>
      <c r="N2705" t="str">
        <f t="shared" ref="N2705:N2736" si="1778">"FISPA"</f>
        <v>FISPA</v>
      </c>
      <c r="O2705" t="str">
        <f t="shared" si="1772"/>
        <v>SENSORES</v>
      </c>
      <c r="P2705" t="str">
        <f t="shared" si="1776"/>
        <v>0</v>
      </c>
      <c r="Q2705" t="str">
        <f t="shared" si="1776"/>
        <v>0</v>
      </c>
      <c r="R2705" t="str">
        <f t="shared" si="1777"/>
        <v>0,00</v>
      </c>
      <c r="S2705" t="str">
        <f t="shared" si="1777"/>
        <v>0,00</v>
      </c>
      <c r="T2705" t="str">
        <f t="shared" si="1751"/>
        <v xml:space="preserve"> </v>
      </c>
      <c r="U2705" t="str">
        <f t="shared" si="1753"/>
        <v xml:space="preserve"> </v>
      </c>
      <c r="V2705" t="str">
        <f>"4,000"</f>
        <v>4,000</v>
      </c>
      <c r="W2705" t="str">
        <f t="shared" si="1757"/>
        <v>Lista 4</v>
      </c>
      <c r="X2705" t="str">
        <f t="shared" si="1758"/>
        <v>Lista 5</v>
      </c>
      <c r="Y2705" t="str">
        <f t="shared" si="1759"/>
        <v>Oferta Gral.</v>
      </c>
      <c r="Z2705" t="str">
        <f t="shared" si="1760"/>
        <v>Rubro</v>
      </c>
      <c r="AA2705" t="str">
        <f t="shared" si="1761"/>
        <v>Cantidad por Bulto</v>
      </c>
      <c r="AB2705" t="str">
        <f t="shared" si="1762"/>
        <v>INNER</v>
      </c>
      <c r="AC2705" t="str">
        <f t="shared" si="1763"/>
        <v>Stock en Bultos</v>
      </c>
      <c r="AD2705" t="str">
        <f t="shared" si="1764"/>
        <v>SubDepósito</v>
      </c>
      <c r="AE2705" t="str">
        <f t="shared" si="1765"/>
        <v>Marca</v>
      </c>
      <c r="AF2705" t="str">
        <f t="shared" si="1766"/>
        <v>Super Rubro</v>
      </c>
      <c r="AG2705" t="str">
        <f t="shared" si="1767"/>
        <v>ComercioExterior</v>
      </c>
      <c r="AH2705" t="str">
        <f t="shared" si="1768"/>
        <v>PrecioFOB</v>
      </c>
      <c r="AI2705" t="str">
        <f t="shared" si="1769"/>
        <v>Monto II</v>
      </c>
      <c r="AJ2705" t="str">
        <f t="shared" si="1770"/>
        <v>Porcentaje II</v>
      </c>
      <c r="AK2705" t="str">
        <f t="shared" si="1771"/>
        <v>Foto</v>
      </c>
      <c r="AL2705" t="str">
        <f>"{\rtf1\ansi\ansicpg1252\deff0\deflang11274{\fonttbl{\f0\fnil\fcharset0 MS Sans Serif}} \viewkind4\uc1\pard\f0\fs16 SENSOR DE VRLOCIDAD FIAT PALIO/SIENA 1,3 16V 1,4 8V46818007\par } "</f>
        <v xml:space="preserve">{\rtf1\ansi\ansicpg1252\deff0\deflang11274{\fonttbl{\f0\fnil\fcharset0 MS Sans Serif}} \viewkind4\uc1\pard\f0\fs16 SENSOR DE VRLOCIDAD FIAT PALIO/SIENA 1,3 16V 1,4 8V46818007\par } </v>
      </c>
      <c r="AM2705" t="str">
        <f t="shared" ref="AM2705:AM2746" si="1779">"-"</f>
        <v>-</v>
      </c>
    </row>
    <row r="2706" spans="1:39" x14ac:dyDescent="0.25">
      <c r="A2706" t="str">
        <f>"FI12013"</f>
        <v>FI12013</v>
      </c>
      <c r="B2706" t="str">
        <f>"SENSOR DETONACION RENAULT 19/CLIO/KANGOO 8200680689 7700866055"</f>
        <v>SENSOR DETONACION RENAULT 19/CLIO/KANGOO 8200680689 7700866055</v>
      </c>
      <c r="C2706" t="str">
        <f>"$ 23197,14"</f>
        <v>$ 23197,14</v>
      </c>
      <c r="D2706" t="str">
        <f>"$ 23197,14"</f>
        <v>$ 23197,14</v>
      </c>
      <c r="E2706" t="str">
        <f>"$ 23197,14"</f>
        <v>$ 23197,14</v>
      </c>
      <c r="F2706" t="str">
        <f>"$ 23197,14"</f>
        <v>$ 23197,14</v>
      </c>
      <c r="G2706" t="str">
        <f>"$ 23197,14"</f>
        <v>$ 23197,14</v>
      </c>
      <c r="H2706" t="str">
        <f t="shared" si="1754"/>
        <v>$ 0,00</v>
      </c>
      <c r="I2706" t="str">
        <f>"SENSOR DETONACION"</f>
        <v>SENSOR DETONACION</v>
      </c>
      <c r="J2706" t="str">
        <f t="shared" si="1755"/>
        <v>1</v>
      </c>
      <c r="K2706" t="str">
        <f t="shared" si="1734"/>
        <v>0</v>
      </c>
      <c r="L2706" t="str">
        <f>"2,000"</f>
        <v>2,000</v>
      </c>
      <c r="M2706" t="str">
        <f t="shared" si="1756"/>
        <v xml:space="preserve"> </v>
      </c>
      <c r="N2706" t="str">
        <f t="shared" si="1778"/>
        <v>FISPA</v>
      </c>
      <c r="O2706" t="str">
        <f t="shared" si="1772"/>
        <v>SENSORES</v>
      </c>
      <c r="P2706" t="str">
        <f t="shared" si="1776"/>
        <v>0</v>
      </c>
      <c r="Q2706" t="str">
        <f t="shared" si="1776"/>
        <v>0</v>
      </c>
      <c r="R2706" t="str">
        <f t="shared" si="1777"/>
        <v>0,00</v>
      </c>
      <c r="S2706" t="str">
        <f t="shared" si="1777"/>
        <v>0,00</v>
      </c>
      <c r="T2706" t="str">
        <f t="shared" si="1751"/>
        <v xml:space="preserve"> </v>
      </c>
      <c r="U2706" t="str">
        <f t="shared" si="1753"/>
        <v xml:space="preserve"> </v>
      </c>
      <c r="V2706" t="str">
        <f>"2,000"</f>
        <v>2,000</v>
      </c>
      <c r="W2706" t="str">
        <f t="shared" si="1757"/>
        <v>Lista 4</v>
      </c>
      <c r="X2706" t="str">
        <f t="shared" si="1758"/>
        <v>Lista 5</v>
      </c>
      <c r="Y2706" t="str">
        <f t="shared" si="1759"/>
        <v>Oferta Gral.</v>
      </c>
      <c r="Z2706" t="str">
        <f t="shared" si="1760"/>
        <v>Rubro</v>
      </c>
      <c r="AA2706" t="str">
        <f t="shared" si="1761"/>
        <v>Cantidad por Bulto</v>
      </c>
      <c r="AB2706" t="str">
        <f t="shared" si="1762"/>
        <v>INNER</v>
      </c>
      <c r="AC2706" t="str">
        <f t="shared" si="1763"/>
        <v>Stock en Bultos</v>
      </c>
      <c r="AD2706" t="str">
        <f t="shared" si="1764"/>
        <v>SubDepósito</v>
      </c>
      <c r="AE2706" t="str">
        <f t="shared" si="1765"/>
        <v>Marca</v>
      </c>
      <c r="AF2706" t="str">
        <f t="shared" si="1766"/>
        <v>Super Rubro</v>
      </c>
      <c r="AG2706" t="str">
        <f t="shared" si="1767"/>
        <v>ComercioExterior</v>
      </c>
      <c r="AH2706" t="str">
        <f t="shared" si="1768"/>
        <v>PrecioFOB</v>
      </c>
      <c r="AI2706" t="str">
        <f t="shared" si="1769"/>
        <v>Monto II</v>
      </c>
      <c r="AJ2706" t="str">
        <f t="shared" si="1770"/>
        <v>Porcentaje II</v>
      </c>
      <c r="AK2706" t="str">
        <f t="shared" si="1771"/>
        <v>Foto</v>
      </c>
      <c r="AL2706" t="str">
        <f>" "</f>
        <v xml:space="preserve"> </v>
      </c>
      <c r="AM2706" t="str">
        <f t="shared" si="1779"/>
        <v>-</v>
      </c>
    </row>
    <row r="2707" spans="1:39" x14ac:dyDescent="0.25">
      <c r="A2707" t="str">
        <f>"FI40044"</f>
        <v>FI40044</v>
      </c>
      <c r="B2707" t="str">
        <f>"SENSOR MAP  FIAT BRAVA/BRAVO/MAREA 1.9 JTD - VOLVO C70 / S40 / S60 / S70 / S80 / V40 / V70 "</f>
        <v xml:space="preserve">SENSOR MAP  FIAT BRAVA/BRAVO/MAREA 1.9 JTD - VOLVO C70 / S40 / S60 / S70 / S80 / V40 / V70 </v>
      </c>
      <c r="C2707" t="str">
        <f>"$ 29763,87"</f>
        <v>$ 29763,87</v>
      </c>
      <c r="D2707" t="str">
        <f>"$ 29763,87"</f>
        <v>$ 29763,87</v>
      </c>
      <c r="E2707" t="str">
        <f>"$ 29763,87"</f>
        <v>$ 29763,87</v>
      </c>
      <c r="F2707" t="str">
        <f>"$ 29763,87"</f>
        <v>$ 29763,87</v>
      </c>
      <c r="G2707" t="str">
        <f>"$ 29763,87"</f>
        <v>$ 29763,87</v>
      </c>
      <c r="H2707" t="str">
        <f t="shared" si="1754"/>
        <v>$ 0,00</v>
      </c>
      <c r="I2707" t="str">
        <f t="shared" ref="I2707:I2746" si="1780">"SENSOR MAP"</f>
        <v>SENSOR MAP</v>
      </c>
      <c r="J2707" t="str">
        <f t="shared" si="1755"/>
        <v>1</v>
      </c>
      <c r="K2707" t="str">
        <f t="shared" si="1734"/>
        <v>0</v>
      </c>
      <c r="L2707" t="str">
        <f>"0,000"</f>
        <v>0,000</v>
      </c>
      <c r="M2707" t="str">
        <f t="shared" si="1756"/>
        <v xml:space="preserve"> </v>
      </c>
      <c r="N2707" t="str">
        <f t="shared" si="1778"/>
        <v>FISPA</v>
      </c>
      <c r="O2707" t="str">
        <f t="shared" si="1772"/>
        <v>SENSORES</v>
      </c>
      <c r="P2707" t="str">
        <f t="shared" si="1776"/>
        <v>0</v>
      </c>
      <c r="Q2707" t="str">
        <f t="shared" si="1776"/>
        <v>0</v>
      </c>
      <c r="R2707" t="str">
        <f t="shared" si="1777"/>
        <v>0,00</v>
      </c>
      <c r="S2707" t="str">
        <f t="shared" si="1777"/>
        <v>0,00</v>
      </c>
      <c r="T2707" t="str">
        <f t="shared" si="1751"/>
        <v xml:space="preserve"> </v>
      </c>
      <c r="U2707" t="str">
        <f t="shared" si="1753"/>
        <v xml:space="preserve"> </v>
      </c>
      <c r="V2707" t="str">
        <f>"0,000"</f>
        <v>0,000</v>
      </c>
      <c r="W2707" t="str">
        <f t="shared" si="1757"/>
        <v>Lista 4</v>
      </c>
      <c r="X2707" t="str">
        <f t="shared" si="1758"/>
        <v>Lista 5</v>
      </c>
      <c r="Y2707" t="str">
        <f t="shared" si="1759"/>
        <v>Oferta Gral.</v>
      </c>
      <c r="Z2707" t="str">
        <f t="shared" si="1760"/>
        <v>Rubro</v>
      </c>
      <c r="AA2707" t="str">
        <f t="shared" si="1761"/>
        <v>Cantidad por Bulto</v>
      </c>
      <c r="AB2707" t="str">
        <f t="shared" si="1762"/>
        <v>INNER</v>
      </c>
      <c r="AC2707" t="str">
        <f t="shared" si="1763"/>
        <v>Stock en Bultos</v>
      </c>
      <c r="AD2707" t="str">
        <f t="shared" si="1764"/>
        <v>SubDepósito</v>
      </c>
      <c r="AE2707" t="str">
        <f t="shared" si="1765"/>
        <v>Marca</v>
      </c>
      <c r="AF2707" t="str">
        <f t="shared" si="1766"/>
        <v>Super Rubro</v>
      </c>
      <c r="AG2707" t="str">
        <f t="shared" si="1767"/>
        <v>ComercioExterior</v>
      </c>
      <c r="AH2707" t="str">
        <f t="shared" si="1768"/>
        <v>PrecioFOB</v>
      </c>
      <c r="AI2707" t="str">
        <f t="shared" si="1769"/>
        <v>Monto II</v>
      </c>
      <c r="AJ2707" t="str">
        <f t="shared" si="1770"/>
        <v>Porcentaje II</v>
      </c>
      <c r="AK2707" t="str">
        <f t="shared" si="1771"/>
        <v>Foto</v>
      </c>
      <c r="AL270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07" t="str">
        <f t="shared" si="1779"/>
        <v>-</v>
      </c>
    </row>
    <row r="2708" spans="1:39" x14ac:dyDescent="0.25">
      <c r="A2708" t="str">
        <f>"FI40037"</f>
        <v>FI40037</v>
      </c>
      <c r="B2708" t="str">
        <f>"SENSOR MAP - VW CADDY II 1.4 / 1.4 16V -  GOL II 1.0 - GOL III 1.0 MI - POLO CLASSIC 1.4"</f>
        <v>SENSOR MAP - VW CADDY II 1.4 / 1.4 16V -  GOL II 1.0 - GOL III 1.0 MI - POLO CLASSIC 1.4</v>
      </c>
      <c r="C2708" t="str">
        <f>"$ 43676,05"</f>
        <v>$ 43676,05</v>
      </c>
      <c r="D2708" t="str">
        <f>"$ 43676,05"</f>
        <v>$ 43676,05</v>
      </c>
      <c r="E2708" t="str">
        <f>"$ 43676,05"</f>
        <v>$ 43676,05</v>
      </c>
      <c r="F2708" t="str">
        <f>"$ 43676,05"</f>
        <v>$ 43676,05</v>
      </c>
      <c r="G2708" t="str">
        <f>"$ 43676,05"</f>
        <v>$ 43676,05</v>
      </c>
      <c r="H2708" t="str">
        <f t="shared" si="1754"/>
        <v>$ 0,00</v>
      </c>
      <c r="I2708" t="str">
        <f t="shared" si="1780"/>
        <v>SENSOR MAP</v>
      </c>
      <c r="J2708" t="str">
        <f t="shared" si="1755"/>
        <v>1</v>
      </c>
      <c r="K2708" t="str">
        <f t="shared" si="1734"/>
        <v>0</v>
      </c>
      <c r="L2708" t="str">
        <f>"2,000"</f>
        <v>2,000</v>
      </c>
      <c r="M2708" t="str">
        <f t="shared" si="1756"/>
        <v xml:space="preserve"> </v>
      </c>
      <c r="N2708" t="str">
        <f t="shared" si="1778"/>
        <v>FISPA</v>
      </c>
      <c r="O2708" t="str">
        <f t="shared" si="1772"/>
        <v>SENSORES</v>
      </c>
      <c r="P2708" t="str">
        <f t="shared" si="1776"/>
        <v>0</v>
      </c>
      <c r="Q2708" t="str">
        <f t="shared" si="1776"/>
        <v>0</v>
      </c>
      <c r="R2708" t="str">
        <f t="shared" si="1777"/>
        <v>0,00</v>
      </c>
      <c r="S2708" t="str">
        <f t="shared" si="1777"/>
        <v>0,00</v>
      </c>
      <c r="T2708" t="str">
        <f t="shared" si="1751"/>
        <v xml:space="preserve"> </v>
      </c>
      <c r="U2708" t="str">
        <f t="shared" si="1753"/>
        <v xml:space="preserve"> </v>
      </c>
      <c r="V2708" t="str">
        <f>"2,000"</f>
        <v>2,000</v>
      </c>
      <c r="W2708" t="str">
        <f t="shared" si="1757"/>
        <v>Lista 4</v>
      </c>
      <c r="X2708" t="str">
        <f t="shared" si="1758"/>
        <v>Lista 5</v>
      </c>
      <c r="Y2708" t="str">
        <f t="shared" si="1759"/>
        <v>Oferta Gral.</v>
      </c>
      <c r="Z2708" t="str">
        <f t="shared" si="1760"/>
        <v>Rubro</v>
      </c>
      <c r="AA2708" t="str">
        <f t="shared" si="1761"/>
        <v>Cantidad por Bulto</v>
      </c>
      <c r="AB2708" t="str">
        <f t="shared" si="1762"/>
        <v>INNER</v>
      </c>
      <c r="AC2708" t="str">
        <f t="shared" si="1763"/>
        <v>Stock en Bultos</v>
      </c>
      <c r="AD2708" t="str">
        <f t="shared" si="1764"/>
        <v>SubDepósito</v>
      </c>
      <c r="AE2708" t="str">
        <f t="shared" si="1765"/>
        <v>Marca</v>
      </c>
      <c r="AF2708" t="str">
        <f t="shared" si="1766"/>
        <v>Super Rubro</v>
      </c>
      <c r="AG2708" t="str">
        <f t="shared" si="1767"/>
        <v>ComercioExterior</v>
      </c>
      <c r="AH2708" t="str">
        <f t="shared" si="1768"/>
        <v>PrecioFOB</v>
      </c>
      <c r="AI2708" t="str">
        <f t="shared" si="1769"/>
        <v>Monto II</v>
      </c>
      <c r="AJ2708" t="str">
        <f t="shared" si="1770"/>
        <v>Porcentaje II</v>
      </c>
      <c r="AK2708" t="str">
        <f t="shared" si="1771"/>
        <v>Foto</v>
      </c>
      <c r="AL270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08" t="str">
        <f t="shared" si="1779"/>
        <v>-</v>
      </c>
    </row>
    <row r="2709" spans="1:39" x14ac:dyDescent="0.25">
      <c r="A2709" t="str">
        <f>"FI40021"</f>
        <v>FI40021</v>
      </c>
      <c r="B2709" t="str">
        <f>"SENSOR MAP A ROMEO: 147 1.9 JTD/DUCATO 2.3 JTD/IDEA/STILO 1.9 JTD P BOXER 3.0 HDI"</f>
        <v>SENSOR MAP A ROMEO: 147 1.9 JTD/DUCATO 2.3 JTD/IDEA/STILO 1.9 JTD P BOXER 3.0 HDI</v>
      </c>
      <c r="C2709" t="str">
        <f>"$ 36363,55"</f>
        <v>$ 36363,55</v>
      </c>
      <c r="D2709" t="str">
        <f>"$ 36363,55"</f>
        <v>$ 36363,55</v>
      </c>
      <c r="E2709" t="str">
        <f>"$ 36363,55"</f>
        <v>$ 36363,55</v>
      </c>
      <c r="F2709" t="str">
        <f>"$ 36363,55"</f>
        <v>$ 36363,55</v>
      </c>
      <c r="G2709" t="str">
        <f>"$ 36363,55"</f>
        <v>$ 36363,55</v>
      </c>
      <c r="H2709" t="str">
        <f t="shared" si="1754"/>
        <v>$ 0,00</v>
      </c>
      <c r="I2709" t="str">
        <f t="shared" si="1780"/>
        <v>SENSOR MAP</v>
      </c>
      <c r="J2709" t="str">
        <f t="shared" si="1755"/>
        <v>1</v>
      </c>
      <c r="K2709" t="str">
        <f t="shared" ref="K2709:K2772" si="1781">"0"</f>
        <v>0</v>
      </c>
      <c r="L2709" t="str">
        <f>"3,000"</f>
        <v>3,000</v>
      </c>
      <c r="M2709" t="str">
        <f t="shared" si="1756"/>
        <v xml:space="preserve"> </v>
      </c>
      <c r="N2709" t="str">
        <f t="shared" si="1778"/>
        <v>FISPA</v>
      </c>
      <c r="O2709" t="str">
        <f t="shared" si="1772"/>
        <v>SENSORES</v>
      </c>
      <c r="P2709" t="str">
        <f t="shared" si="1776"/>
        <v>0</v>
      </c>
      <c r="Q2709" t="str">
        <f t="shared" si="1776"/>
        <v>0</v>
      </c>
      <c r="R2709" t="str">
        <f t="shared" si="1777"/>
        <v>0,00</v>
      </c>
      <c r="S2709" t="str">
        <f t="shared" si="1777"/>
        <v>0,00</v>
      </c>
      <c r="T2709" t="str">
        <f t="shared" si="1751"/>
        <v xml:space="preserve"> </v>
      </c>
      <c r="U2709" t="str">
        <f t="shared" si="1753"/>
        <v xml:space="preserve"> </v>
      </c>
      <c r="V2709" t="str">
        <f>"3,000"</f>
        <v>3,000</v>
      </c>
      <c r="W2709" t="str">
        <f t="shared" si="1757"/>
        <v>Lista 4</v>
      </c>
      <c r="X2709" t="str">
        <f t="shared" si="1758"/>
        <v>Lista 5</v>
      </c>
      <c r="Y2709" t="str">
        <f t="shared" si="1759"/>
        <v>Oferta Gral.</v>
      </c>
      <c r="Z2709" t="str">
        <f t="shared" si="1760"/>
        <v>Rubro</v>
      </c>
      <c r="AA2709" t="str">
        <f t="shared" si="1761"/>
        <v>Cantidad por Bulto</v>
      </c>
      <c r="AB2709" t="str">
        <f t="shared" si="1762"/>
        <v>INNER</v>
      </c>
      <c r="AC2709" t="str">
        <f t="shared" si="1763"/>
        <v>Stock en Bultos</v>
      </c>
      <c r="AD2709" t="str">
        <f t="shared" si="1764"/>
        <v>SubDepósito</v>
      </c>
      <c r="AE2709" t="str">
        <f t="shared" si="1765"/>
        <v>Marca</v>
      </c>
      <c r="AF2709" t="str">
        <f t="shared" si="1766"/>
        <v>Super Rubro</v>
      </c>
      <c r="AG2709" t="str">
        <f t="shared" si="1767"/>
        <v>ComercioExterior</v>
      </c>
      <c r="AH2709" t="str">
        <f t="shared" si="1768"/>
        <v>PrecioFOB</v>
      </c>
      <c r="AI2709" t="str">
        <f t="shared" si="1769"/>
        <v>Monto II</v>
      </c>
      <c r="AJ2709" t="str">
        <f t="shared" si="1770"/>
        <v>Porcentaje II</v>
      </c>
      <c r="AK2709" t="str">
        <f t="shared" si="1771"/>
        <v>Foto</v>
      </c>
      <c r="AL270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09" t="str">
        <f t="shared" si="1779"/>
        <v>-</v>
      </c>
    </row>
    <row r="2710" spans="1:39" x14ac:dyDescent="0.25">
      <c r="A2710" t="str">
        <f>"FI40029"</f>
        <v>FI40029</v>
      </c>
      <c r="B2710" t="str">
        <f>"SENSOR MAP A VW BORA 1.8 T / 1.9 TDI - GOLF IV 1.9 TDI - MULTIVAN V 1.9 TDI "</f>
        <v xml:space="preserve">SENSOR MAP A VW BORA 1.8 T / 1.9 TDI - GOLF IV 1.9 TDI - MULTIVAN V 1.9 TDI </v>
      </c>
      <c r="C2710" t="str">
        <f>"$ 39882,48"</f>
        <v>$ 39882,48</v>
      </c>
      <c r="D2710" t="str">
        <f>"$ 39882,48"</f>
        <v>$ 39882,48</v>
      </c>
      <c r="E2710" t="str">
        <f>"$ 39882,48"</f>
        <v>$ 39882,48</v>
      </c>
      <c r="F2710" t="str">
        <f>"$ 39882,48"</f>
        <v>$ 39882,48</v>
      </c>
      <c r="G2710" t="str">
        <f>"$ 39882,48"</f>
        <v>$ 39882,48</v>
      </c>
      <c r="H2710" t="str">
        <f t="shared" si="1754"/>
        <v>$ 0,00</v>
      </c>
      <c r="I2710" t="str">
        <f t="shared" si="1780"/>
        <v>SENSOR MAP</v>
      </c>
      <c r="J2710" t="str">
        <f t="shared" si="1755"/>
        <v>1</v>
      </c>
      <c r="K2710" t="str">
        <f t="shared" si="1781"/>
        <v>0</v>
      </c>
      <c r="L2710" t="str">
        <f>"2,000"</f>
        <v>2,000</v>
      </c>
      <c r="M2710" t="str">
        <f t="shared" si="1756"/>
        <v xml:space="preserve"> </v>
      </c>
      <c r="N2710" t="str">
        <f t="shared" si="1778"/>
        <v>FISPA</v>
      </c>
      <c r="O2710" t="str">
        <f t="shared" si="1772"/>
        <v>SENSORES</v>
      </c>
      <c r="P2710" t="str">
        <f t="shared" si="1776"/>
        <v>0</v>
      </c>
      <c r="Q2710" t="str">
        <f t="shared" si="1776"/>
        <v>0</v>
      </c>
      <c r="R2710" t="str">
        <f t="shared" si="1777"/>
        <v>0,00</v>
      </c>
      <c r="S2710" t="str">
        <f t="shared" si="1777"/>
        <v>0,00</v>
      </c>
      <c r="T2710" t="str">
        <f t="shared" si="1751"/>
        <v xml:space="preserve"> </v>
      </c>
      <c r="U2710" t="str">
        <f t="shared" si="1753"/>
        <v xml:space="preserve"> </v>
      </c>
      <c r="V2710" t="str">
        <f>"2,000"</f>
        <v>2,000</v>
      </c>
      <c r="W2710" t="str">
        <f t="shared" si="1757"/>
        <v>Lista 4</v>
      </c>
      <c r="X2710" t="str">
        <f t="shared" si="1758"/>
        <v>Lista 5</v>
      </c>
      <c r="Y2710" t="str">
        <f t="shared" si="1759"/>
        <v>Oferta Gral.</v>
      </c>
      <c r="Z2710" t="str">
        <f t="shared" si="1760"/>
        <v>Rubro</v>
      </c>
      <c r="AA2710" t="str">
        <f t="shared" si="1761"/>
        <v>Cantidad por Bulto</v>
      </c>
      <c r="AB2710" t="str">
        <f t="shared" si="1762"/>
        <v>INNER</v>
      </c>
      <c r="AC2710" t="str">
        <f t="shared" si="1763"/>
        <v>Stock en Bultos</v>
      </c>
      <c r="AD2710" t="str">
        <f t="shared" si="1764"/>
        <v>SubDepósito</v>
      </c>
      <c r="AE2710" t="str">
        <f t="shared" si="1765"/>
        <v>Marca</v>
      </c>
      <c r="AF2710" t="str">
        <f t="shared" si="1766"/>
        <v>Super Rubro</v>
      </c>
      <c r="AG2710" t="str">
        <f t="shared" si="1767"/>
        <v>ComercioExterior</v>
      </c>
      <c r="AH2710" t="str">
        <f t="shared" si="1768"/>
        <v>PrecioFOB</v>
      </c>
      <c r="AI2710" t="str">
        <f t="shared" si="1769"/>
        <v>Monto II</v>
      </c>
      <c r="AJ2710" t="str">
        <f t="shared" si="1770"/>
        <v>Porcentaje II</v>
      </c>
      <c r="AK2710" t="str">
        <f t="shared" si="1771"/>
        <v>Foto</v>
      </c>
      <c r="AL271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0" t="str">
        <f t="shared" si="1779"/>
        <v>-</v>
      </c>
    </row>
    <row r="2711" spans="1:39" x14ac:dyDescent="0.25">
      <c r="A2711" t="str">
        <f>"FI40001"</f>
        <v>FI40001</v>
      </c>
      <c r="B2711" t="str">
        <f>"SENSOR MAP ALFA ROMEO - FIAT - PEUGEOT - VW"</f>
        <v>SENSOR MAP ALFA ROMEO - FIAT - PEUGEOT - VW</v>
      </c>
      <c r="C2711" t="str">
        <f>"$ 33402,42"</f>
        <v>$ 33402,42</v>
      </c>
      <c r="D2711" t="str">
        <f>"$ 33402,42"</f>
        <v>$ 33402,42</v>
      </c>
      <c r="E2711" t="str">
        <f>"$ 33402,42"</f>
        <v>$ 33402,42</v>
      </c>
      <c r="F2711" t="str">
        <f>"$ 33402,42"</f>
        <v>$ 33402,42</v>
      </c>
      <c r="G2711" t="str">
        <f>"$ 33402,42"</f>
        <v>$ 33402,42</v>
      </c>
      <c r="H2711" t="str">
        <f t="shared" si="1754"/>
        <v>$ 0,00</v>
      </c>
      <c r="I2711" t="str">
        <f t="shared" si="1780"/>
        <v>SENSOR MAP</v>
      </c>
      <c r="J2711" t="str">
        <f t="shared" si="1755"/>
        <v>1</v>
      </c>
      <c r="K2711" t="str">
        <f t="shared" si="1781"/>
        <v>0</v>
      </c>
      <c r="L2711" t="str">
        <f>"4,000"</f>
        <v>4,000</v>
      </c>
      <c r="M2711" t="str">
        <f t="shared" si="1756"/>
        <v xml:space="preserve"> </v>
      </c>
      <c r="N2711" t="str">
        <f t="shared" si="1778"/>
        <v>FISPA</v>
      </c>
      <c r="O2711" t="str">
        <f t="shared" si="1772"/>
        <v>SENSORES</v>
      </c>
      <c r="P2711" t="str">
        <f t="shared" si="1776"/>
        <v>0</v>
      </c>
      <c r="Q2711" t="str">
        <f t="shared" si="1776"/>
        <v>0</v>
      </c>
      <c r="R2711" t="str">
        <f t="shared" si="1777"/>
        <v>0,00</v>
      </c>
      <c r="S2711" t="str">
        <f t="shared" si="1777"/>
        <v>0,00</v>
      </c>
      <c r="T2711" t="str">
        <f t="shared" si="1751"/>
        <v xml:space="preserve"> </v>
      </c>
      <c r="U2711" t="str">
        <f t="shared" si="1753"/>
        <v xml:space="preserve"> </v>
      </c>
      <c r="V2711" t="str">
        <f>"4,000"</f>
        <v>4,000</v>
      </c>
      <c r="W2711" t="str">
        <f t="shared" si="1757"/>
        <v>Lista 4</v>
      </c>
      <c r="X2711" t="str">
        <f t="shared" si="1758"/>
        <v>Lista 5</v>
      </c>
      <c r="Y2711" t="str">
        <f t="shared" si="1759"/>
        <v>Oferta Gral.</v>
      </c>
      <c r="Z2711" t="str">
        <f t="shared" si="1760"/>
        <v>Rubro</v>
      </c>
      <c r="AA2711" t="str">
        <f t="shared" si="1761"/>
        <v>Cantidad por Bulto</v>
      </c>
      <c r="AB2711" t="str">
        <f t="shared" si="1762"/>
        <v>INNER</v>
      </c>
      <c r="AC2711" t="str">
        <f t="shared" si="1763"/>
        <v>Stock en Bultos</v>
      </c>
      <c r="AD2711" t="str">
        <f t="shared" si="1764"/>
        <v>SubDepósito</v>
      </c>
      <c r="AE2711" t="str">
        <f t="shared" si="1765"/>
        <v>Marca</v>
      </c>
      <c r="AF2711" t="str">
        <f t="shared" si="1766"/>
        <v>Super Rubro</v>
      </c>
      <c r="AG2711" t="str">
        <f t="shared" si="1767"/>
        <v>ComercioExterior</v>
      </c>
      <c r="AH2711" t="str">
        <f t="shared" si="1768"/>
        <v>PrecioFOB</v>
      </c>
      <c r="AI2711" t="str">
        <f t="shared" si="1769"/>
        <v>Monto II</v>
      </c>
      <c r="AJ2711" t="str">
        <f t="shared" si="1770"/>
        <v>Porcentaje II</v>
      </c>
      <c r="AK2711" t="str">
        <f t="shared" si="1771"/>
        <v>Foto</v>
      </c>
      <c r="AL271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1" t="str">
        <f t="shared" si="1779"/>
        <v>-</v>
      </c>
    </row>
    <row r="2712" spans="1:39" x14ac:dyDescent="0.25">
      <c r="A2712" t="str">
        <f>"FI40018"</f>
        <v>FI40018</v>
      </c>
      <c r="B2712" t="str">
        <f>"SENSOR MAP AUDI A3/A4 1.9 - 2.0 TDI - 1.8T- A6 1.8T/ 1.8 T QUATTRO/ 1.9 TDI AUDI TT   "</f>
        <v xml:space="preserve">SENSOR MAP AUDI A3/A4 1.9 - 2.0 TDI - 1.8T- A6 1.8T/ 1.8 T QUATTRO/ 1.9 TDI AUDI TT   </v>
      </c>
      <c r="C2712" t="str">
        <f>"$ 48420,44"</f>
        <v>$ 48420,44</v>
      </c>
      <c r="D2712" t="str">
        <f>"$ 48420,44"</f>
        <v>$ 48420,44</v>
      </c>
      <c r="E2712" t="str">
        <f>"$ 48420,44"</f>
        <v>$ 48420,44</v>
      </c>
      <c r="F2712" t="str">
        <f>"$ 48420,44"</f>
        <v>$ 48420,44</v>
      </c>
      <c r="G2712" t="str">
        <f>"$ 48420,44"</f>
        <v>$ 48420,44</v>
      </c>
      <c r="H2712" t="str">
        <f t="shared" si="1754"/>
        <v>$ 0,00</v>
      </c>
      <c r="I2712" t="str">
        <f t="shared" si="1780"/>
        <v>SENSOR MAP</v>
      </c>
      <c r="J2712" t="str">
        <f t="shared" si="1755"/>
        <v>1</v>
      </c>
      <c r="K2712" t="str">
        <f t="shared" si="1781"/>
        <v>0</v>
      </c>
      <c r="L2712" t="str">
        <f>"0,000"</f>
        <v>0,000</v>
      </c>
      <c r="M2712" t="str">
        <f t="shared" si="1756"/>
        <v xml:space="preserve"> </v>
      </c>
      <c r="N2712" t="str">
        <f t="shared" si="1778"/>
        <v>FISPA</v>
      </c>
      <c r="O2712" t="str">
        <f t="shared" si="1772"/>
        <v>SENSORES</v>
      </c>
      <c r="P2712" t="str">
        <f t="shared" si="1776"/>
        <v>0</v>
      </c>
      <c r="Q2712" t="str">
        <f t="shared" si="1776"/>
        <v>0</v>
      </c>
      <c r="R2712" t="str">
        <f t="shared" si="1777"/>
        <v>0,00</v>
      </c>
      <c r="S2712" t="str">
        <f t="shared" si="1777"/>
        <v>0,00</v>
      </c>
      <c r="T2712" t="str">
        <f t="shared" si="1751"/>
        <v xml:space="preserve"> </v>
      </c>
      <c r="U2712" t="str">
        <f t="shared" si="1753"/>
        <v xml:space="preserve"> </v>
      </c>
      <c r="V2712" t="str">
        <f>"0,000"</f>
        <v>0,000</v>
      </c>
      <c r="W2712" t="str">
        <f t="shared" si="1757"/>
        <v>Lista 4</v>
      </c>
      <c r="X2712" t="str">
        <f t="shared" si="1758"/>
        <v>Lista 5</v>
      </c>
      <c r="Y2712" t="str">
        <f t="shared" si="1759"/>
        <v>Oferta Gral.</v>
      </c>
      <c r="Z2712" t="str">
        <f t="shared" si="1760"/>
        <v>Rubro</v>
      </c>
      <c r="AA2712" t="str">
        <f t="shared" si="1761"/>
        <v>Cantidad por Bulto</v>
      </c>
      <c r="AB2712" t="str">
        <f t="shared" si="1762"/>
        <v>INNER</v>
      </c>
      <c r="AC2712" t="str">
        <f t="shared" si="1763"/>
        <v>Stock en Bultos</v>
      </c>
      <c r="AD2712" t="str">
        <f t="shared" si="1764"/>
        <v>SubDepósito</v>
      </c>
      <c r="AE2712" t="str">
        <f t="shared" si="1765"/>
        <v>Marca</v>
      </c>
      <c r="AF2712" t="str">
        <f t="shared" si="1766"/>
        <v>Super Rubro</v>
      </c>
      <c r="AG2712" t="str">
        <f t="shared" si="1767"/>
        <v>ComercioExterior</v>
      </c>
      <c r="AH2712" t="str">
        <f t="shared" si="1768"/>
        <v>PrecioFOB</v>
      </c>
      <c r="AI2712" t="str">
        <f t="shared" si="1769"/>
        <v>Monto II</v>
      </c>
      <c r="AJ2712" t="str">
        <f t="shared" si="1770"/>
        <v>Porcentaje II</v>
      </c>
      <c r="AK2712" t="str">
        <f t="shared" si="1771"/>
        <v>Foto</v>
      </c>
      <c r="AL271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2" t="str">
        <f t="shared" si="1779"/>
        <v>-</v>
      </c>
    </row>
    <row r="2713" spans="1:39" x14ac:dyDescent="0.25">
      <c r="A2713" t="str">
        <f>"FI40025"</f>
        <v>FI40025</v>
      </c>
      <c r="B2713" t="str">
        <f>"SENSOR MAP AUDI: A3 FSI - A4 FSI - A5 FSI - A6 FSI VW: BORA 1.8T / 2.0 TDI - FOX - GOL - POLO 2.0"</f>
        <v>SENSOR MAP AUDI: A3 FSI - A4 FSI - A5 FSI - A6 FSI VW: BORA 1.8T / 2.0 TDI - FOX - GOL - POLO 2.0</v>
      </c>
      <c r="C2713" t="str">
        <f>"$ 51159,43"</f>
        <v>$ 51159,43</v>
      </c>
      <c r="D2713" t="str">
        <f>"$ 51159,43"</f>
        <v>$ 51159,43</v>
      </c>
      <c r="E2713" t="str">
        <f>"$ 51159,43"</f>
        <v>$ 51159,43</v>
      </c>
      <c r="F2713" t="str">
        <f>"$ 51159,43"</f>
        <v>$ 51159,43</v>
      </c>
      <c r="G2713" t="str">
        <f>"$ 51159,43"</f>
        <v>$ 51159,43</v>
      </c>
      <c r="H2713" t="str">
        <f t="shared" si="1754"/>
        <v>$ 0,00</v>
      </c>
      <c r="I2713" t="str">
        <f t="shared" si="1780"/>
        <v>SENSOR MAP</v>
      </c>
      <c r="J2713" t="str">
        <f t="shared" si="1755"/>
        <v>1</v>
      </c>
      <c r="K2713" t="str">
        <f t="shared" si="1781"/>
        <v>0</v>
      </c>
      <c r="L2713" t="str">
        <f>"2,000"</f>
        <v>2,000</v>
      </c>
      <c r="M2713" t="str">
        <f t="shared" si="1756"/>
        <v xml:space="preserve"> </v>
      </c>
      <c r="N2713" t="str">
        <f t="shared" si="1778"/>
        <v>FISPA</v>
      </c>
      <c r="O2713" t="str">
        <f t="shared" si="1772"/>
        <v>SENSORES</v>
      </c>
      <c r="P2713" t="str">
        <f t="shared" si="1776"/>
        <v>0</v>
      </c>
      <c r="Q2713" t="str">
        <f t="shared" si="1776"/>
        <v>0</v>
      </c>
      <c r="R2713" t="str">
        <f t="shared" si="1777"/>
        <v>0,00</v>
      </c>
      <c r="S2713" t="str">
        <f t="shared" si="1777"/>
        <v>0,00</v>
      </c>
      <c r="T2713" t="str">
        <f t="shared" si="1751"/>
        <v xml:space="preserve"> </v>
      </c>
      <c r="U2713" t="str">
        <f t="shared" si="1753"/>
        <v xml:space="preserve"> </v>
      </c>
      <c r="V2713" t="str">
        <f>"2,000"</f>
        <v>2,000</v>
      </c>
      <c r="W2713" t="str">
        <f t="shared" si="1757"/>
        <v>Lista 4</v>
      </c>
      <c r="X2713" t="str">
        <f t="shared" si="1758"/>
        <v>Lista 5</v>
      </c>
      <c r="Y2713" t="str">
        <f t="shared" si="1759"/>
        <v>Oferta Gral.</v>
      </c>
      <c r="Z2713" t="str">
        <f t="shared" si="1760"/>
        <v>Rubro</v>
      </c>
      <c r="AA2713" t="str">
        <f t="shared" si="1761"/>
        <v>Cantidad por Bulto</v>
      </c>
      <c r="AB2713" t="str">
        <f t="shared" si="1762"/>
        <v>INNER</v>
      </c>
      <c r="AC2713" t="str">
        <f t="shared" si="1763"/>
        <v>Stock en Bultos</v>
      </c>
      <c r="AD2713" t="str">
        <f t="shared" si="1764"/>
        <v>SubDepósito</v>
      </c>
      <c r="AE2713" t="str">
        <f t="shared" si="1765"/>
        <v>Marca</v>
      </c>
      <c r="AF2713" t="str">
        <f t="shared" si="1766"/>
        <v>Super Rubro</v>
      </c>
      <c r="AG2713" t="str">
        <f t="shared" si="1767"/>
        <v>ComercioExterior</v>
      </c>
      <c r="AH2713" t="str">
        <f t="shared" si="1768"/>
        <v>PrecioFOB</v>
      </c>
      <c r="AI2713" t="str">
        <f t="shared" si="1769"/>
        <v>Monto II</v>
      </c>
      <c r="AJ2713" t="str">
        <f t="shared" si="1770"/>
        <v>Porcentaje II</v>
      </c>
      <c r="AK2713" t="str">
        <f t="shared" si="1771"/>
        <v>Foto</v>
      </c>
      <c r="AL271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3" t="str">
        <f t="shared" si="1779"/>
        <v>-</v>
      </c>
    </row>
    <row r="2714" spans="1:39" x14ac:dyDescent="0.25">
      <c r="A2714" t="str">
        <f>"FI40048"</f>
        <v>FI40048</v>
      </c>
      <c r="B2714" t="str">
        <f>"SENSOR MAP BMW SERIE 7 DUCATO CHEVROLET ASTRA/CORSA 1.6 RSI – 1.6   "</f>
        <v xml:space="preserve">SENSOR MAP BMW SERIE 7 DUCATO CHEVROLET ASTRA/CORSA 1.6 RSI – 1.6   </v>
      </c>
      <c r="C2714" t="str">
        <f>"$ 43115,80"</f>
        <v>$ 43115,80</v>
      </c>
      <c r="D2714" t="str">
        <f>"$ 43115,80"</f>
        <v>$ 43115,80</v>
      </c>
      <c r="E2714" t="str">
        <f>"$ 43115,80"</f>
        <v>$ 43115,80</v>
      </c>
      <c r="F2714" t="str">
        <f>"$ 43115,80"</f>
        <v>$ 43115,80</v>
      </c>
      <c r="G2714" t="str">
        <f>"$ 43115,80"</f>
        <v>$ 43115,80</v>
      </c>
      <c r="H2714" t="str">
        <f t="shared" si="1754"/>
        <v>$ 0,00</v>
      </c>
      <c r="I2714" t="str">
        <f t="shared" si="1780"/>
        <v>SENSOR MAP</v>
      </c>
      <c r="J2714" t="str">
        <f t="shared" si="1755"/>
        <v>1</v>
      </c>
      <c r="K2714" t="str">
        <f t="shared" si="1781"/>
        <v>0</v>
      </c>
      <c r="L2714" t="str">
        <f>"2,000"</f>
        <v>2,000</v>
      </c>
      <c r="M2714" t="str">
        <f t="shared" si="1756"/>
        <v xml:space="preserve"> </v>
      </c>
      <c r="N2714" t="str">
        <f t="shared" si="1778"/>
        <v>FISPA</v>
      </c>
      <c r="O2714" t="str">
        <f t="shared" si="1772"/>
        <v>SENSORES</v>
      </c>
      <c r="P2714" t="str">
        <f t="shared" si="1776"/>
        <v>0</v>
      </c>
      <c r="Q2714" t="str">
        <f t="shared" si="1776"/>
        <v>0</v>
      </c>
      <c r="R2714" t="str">
        <f t="shared" si="1777"/>
        <v>0,00</v>
      </c>
      <c r="S2714" t="str">
        <f t="shared" si="1777"/>
        <v>0,00</v>
      </c>
      <c r="T2714" t="str">
        <f t="shared" si="1751"/>
        <v xml:space="preserve"> </v>
      </c>
      <c r="U2714" t="str">
        <f t="shared" si="1753"/>
        <v xml:space="preserve"> </v>
      </c>
      <c r="V2714" t="str">
        <f>"2,000"</f>
        <v>2,000</v>
      </c>
      <c r="W2714" t="str">
        <f t="shared" si="1757"/>
        <v>Lista 4</v>
      </c>
      <c r="X2714" t="str">
        <f t="shared" si="1758"/>
        <v>Lista 5</v>
      </c>
      <c r="Y2714" t="str">
        <f t="shared" si="1759"/>
        <v>Oferta Gral.</v>
      </c>
      <c r="Z2714" t="str">
        <f t="shared" si="1760"/>
        <v>Rubro</v>
      </c>
      <c r="AA2714" t="str">
        <f t="shared" si="1761"/>
        <v>Cantidad por Bulto</v>
      </c>
      <c r="AB2714" t="str">
        <f t="shared" si="1762"/>
        <v>INNER</v>
      </c>
      <c r="AC2714" t="str">
        <f t="shared" si="1763"/>
        <v>Stock en Bultos</v>
      </c>
      <c r="AD2714" t="str">
        <f t="shared" si="1764"/>
        <v>SubDepósito</v>
      </c>
      <c r="AE2714" t="str">
        <f t="shared" si="1765"/>
        <v>Marca</v>
      </c>
      <c r="AF2714" t="str">
        <f t="shared" si="1766"/>
        <v>Super Rubro</v>
      </c>
      <c r="AG2714" t="str">
        <f t="shared" si="1767"/>
        <v>ComercioExterior</v>
      </c>
      <c r="AH2714" t="str">
        <f t="shared" si="1768"/>
        <v>PrecioFOB</v>
      </c>
      <c r="AI2714" t="str">
        <f t="shared" si="1769"/>
        <v>Monto II</v>
      </c>
      <c r="AJ2714" t="str">
        <f t="shared" si="1770"/>
        <v>Porcentaje II</v>
      </c>
      <c r="AK2714" t="str">
        <f t="shared" si="1771"/>
        <v>Foto</v>
      </c>
      <c r="AL271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4" t="str">
        <f t="shared" si="1779"/>
        <v>-</v>
      </c>
    </row>
    <row r="2715" spans="1:39" x14ac:dyDescent="0.25">
      <c r="A2715" t="str">
        <f>"FI40039"</f>
        <v>FI40039</v>
      </c>
      <c r="B2715" t="str">
        <f>"SENSOR MAP CHEVROLET AGILE  - AVEO 1.2 LPG - CAPTIVA - CRUZE 1.4 - MONTANA 1.4 / 2.4 - SPARK 1.0"</f>
        <v>SENSOR MAP CHEVROLET AGILE  - AVEO 1.2 LPG - CAPTIVA - CRUZE 1.4 - MONTANA 1.4 / 2.4 - SPARK 1.0</v>
      </c>
      <c r="C2715" t="str">
        <f>"$ 44774,57"</f>
        <v>$ 44774,57</v>
      </c>
      <c r="D2715" t="str">
        <f>"$ 44774,57"</f>
        <v>$ 44774,57</v>
      </c>
      <c r="E2715" t="str">
        <f>"$ 44774,57"</f>
        <v>$ 44774,57</v>
      </c>
      <c r="F2715" t="str">
        <f>"$ 44774,57"</f>
        <v>$ 44774,57</v>
      </c>
      <c r="G2715" t="str">
        <f>"$ 44774,57"</f>
        <v>$ 44774,57</v>
      </c>
      <c r="H2715" t="str">
        <f t="shared" si="1754"/>
        <v>$ 0,00</v>
      </c>
      <c r="I2715" t="str">
        <f t="shared" si="1780"/>
        <v>SENSOR MAP</v>
      </c>
      <c r="J2715" t="str">
        <f t="shared" si="1755"/>
        <v>1</v>
      </c>
      <c r="K2715" t="str">
        <f t="shared" si="1781"/>
        <v>0</v>
      </c>
      <c r="L2715" t="str">
        <f>"4,000"</f>
        <v>4,000</v>
      </c>
      <c r="M2715" t="str">
        <f t="shared" si="1756"/>
        <v xml:space="preserve"> </v>
      </c>
      <c r="N2715" t="str">
        <f t="shared" si="1778"/>
        <v>FISPA</v>
      </c>
      <c r="O2715" t="str">
        <f t="shared" si="1772"/>
        <v>SENSORES</v>
      </c>
      <c r="P2715" t="str">
        <f t="shared" si="1776"/>
        <v>0</v>
      </c>
      <c r="Q2715" t="str">
        <f t="shared" si="1776"/>
        <v>0</v>
      </c>
      <c r="R2715" t="str">
        <f t="shared" si="1777"/>
        <v>0,00</v>
      </c>
      <c r="S2715" t="str">
        <f t="shared" si="1777"/>
        <v>0,00</v>
      </c>
      <c r="T2715" t="str">
        <f t="shared" si="1751"/>
        <v xml:space="preserve"> </v>
      </c>
      <c r="U2715" t="str">
        <f t="shared" si="1753"/>
        <v xml:space="preserve"> </v>
      </c>
      <c r="V2715" t="str">
        <f>"4,000"</f>
        <v>4,000</v>
      </c>
      <c r="W2715" t="str">
        <f t="shared" si="1757"/>
        <v>Lista 4</v>
      </c>
      <c r="X2715" t="str">
        <f t="shared" si="1758"/>
        <v>Lista 5</v>
      </c>
      <c r="Y2715" t="str">
        <f t="shared" si="1759"/>
        <v>Oferta Gral.</v>
      </c>
      <c r="Z2715" t="str">
        <f t="shared" si="1760"/>
        <v>Rubro</v>
      </c>
      <c r="AA2715" t="str">
        <f t="shared" si="1761"/>
        <v>Cantidad por Bulto</v>
      </c>
      <c r="AB2715" t="str">
        <f t="shared" si="1762"/>
        <v>INNER</v>
      </c>
      <c r="AC2715" t="str">
        <f t="shared" si="1763"/>
        <v>Stock en Bultos</v>
      </c>
      <c r="AD2715" t="str">
        <f t="shared" si="1764"/>
        <v>SubDepósito</v>
      </c>
      <c r="AE2715" t="str">
        <f t="shared" si="1765"/>
        <v>Marca</v>
      </c>
      <c r="AF2715" t="str">
        <f t="shared" si="1766"/>
        <v>Super Rubro</v>
      </c>
      <c r="AG2715" t="str">
        <f t="shared" si="1767"/>
        <v>ComercioExterior</v>
      </c>
      <c r="AH2715" t="str">
        <f t="shared" si="1768"/>
        <v>PrecioFOB</v>
      </c>
      <c r="AI2715" t="str">
        <f t="shared" si="1769"/>
        <v>Monto II</v>
      </c>
      <c r="AJ2715" t="str">
        <f t="shared" si="1770"/>
        <v>Porcentaje II</v>
      </c>
      <c r="AK2715" t="str">
        <f t="shared" si="1771"/>
        <v>Foto</v>
      </c>
      <c r="AL271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5" t="str">
        <f t="shared" si="1779"/>
        <v>-</v>
      </c>
    </row>
    <row r="2716" spans="1:39" x14ac:dyDescent="0.25">
      <c r="A2716" t="str">
        <f>"FI40038"</f>
        <v>FI40038</v>
      </c>
      <c r="B2716" t="str">
        <f>"SENSOR MAP CHEVROLET ASTRA / VECTRA 2.4 - HONDA FIT 1.4 8V"</f>
        <v>SENSOR MAP CHEVROLET ASTRA / VECTRA 2.4 - HONDA FIT 1.4 8V</v>
      </c>
      <c r="C2716" t="str">
        <f>"$ 44830,72"</f>
        <v>$ 44830,72</v>
      </c>
      <c r="D2716" t="str">
        <f>"$ 44830,72"</f>
        <v>$ 44830,72</v>
      </c>
      <c r="E2716" t="str">
        <f>"$ 44830,72"</f>
        <v>$ 44830,72</v>
      </c>
      <c r="F2716" t="str">
        <f>"$ 44830,72"</f>
        <v>$ 44830,72</v>
      </c>
      <c r="G2716" t="str">
        <f>"$ 44830,72"</f>
        <v>$ 44830,72</v>
      </c>
      <c r="H2716" t="str">
        <f t="shared" si="1754"/>
        <v>$ 0,00</v>
      </c>
      <c r="I2716" t="str">
        <f t="shared" si="1780"/>
        <v>SENSOR MAP</v>
      </c>
      <c r="J2716" t="str">
        <f t="shared" si="1755"/>
        <v>1</v>
      </c>
      <c r="K2716" t="str">
        <f t="shared" si="1781"/>
        <v>0</v>
      </c>
      <c r="L2716" t="str">
        <f>"2,000"</f>
        <v>2,000</v>
      </c>
      <c r="M2716" t="str">
        <f t="shared" si="1756"/>
        <v xml:space="preserve"> </v>
      </c>
      <c r="N2716" t="str">
        <f t="shared" si="1778"/>
        <v>FISPA</v>
      </c>
      <c r="O2716" t="str">
        <f t="shared" si="1772"/>
        <v>SENSORES</v>
      </c>
      <c r="P2716" t="str">
        <f t="shared" si="1776"/>
        <v>0</v>
      </c>
      <c r="Q2716" t="str">
        <f t="shared" si="1776"/>
        <v>0</v>
      </c>
      <c r="R2716" t="str">
        <f t="shared" si="1777"/>
        <v>0,00</v>
      </c>
      <c r="S2716" t="str">
        <f t="shared" si="1777"/>
        <v>0,00</v>
      </c>
      <c r="T2716" t="str">
        <f t="shared" si="1751"/>
        <v xml:space="preserve"> </v>
      </c>
      <c r="U2716" t="str">
        <f t="shared" si="1753"/>
        <v xml:space="preserve"> </v>
      </c>
      <c r="V2716" t="str">
        <f>"2,000"</f>
        <v>2,000</v>
      </c>
      <c r="W2716" t="str">
        <f t="shared" si="1757"/>
        <v>Lista 4</v>
      </c>
      <c r="X2716" t="str">
        <f t="shared" si="1758"/>
        <v>Lista 5</v>
      </c>
      <c r="Y2716" t="str">
        <f t="shared" si="1759"/>
        <v>Oferta Gral.</v>
      </c>
      <c r="Z2716" t="str">
        <f t="shared" si="1760"/>
        <v>Rubro</v>
      </c>
      <c r="AA2716" t="str">
        <f t="shared" si="1761"/>
        <v>Cantidad por Bulto</v>
      </c>
      <c r="AB2716" t="str">
        <f t="shared" si="1762"/>
        <v>INNER</v>
      </c>
      <c r="AC2716" t="str">
        <f t="shared" si="1763"/>
        <v>Stock en Bultos</v>
      </c>
      <c r="AD2716" t="str">
        <f t="shared" si="1764"/>
        <v>SubDepósito</v>
      </c>
      <c r="AE2716" t="str">
        <f t="shared" si="1765"/>
        <v>Marca</v>
      </c>
      <c r="AF2716" t="str">
        <f t="shared" si="1766"/>
        <v>Super Rubro</v>
      </c>
      <c r="AG2716" t="str">
        <f t="shared" si="1767"/>
        <v>ComercioExterior</v>
      </c>
      <c r="AH2716" t="str">
        <f t="shared" si="1768"/>
        <v>PrecioFOB</v>
      </c>
      <c r="AI2716" t="str">
        <f t="shared" si="1769"/>
        <v>Monto II</v>
      </c>
      <c r="AJ2716" t="str">
        <f t="shared" si="1770"/>
        <v>Porcentaje II</v>
      </c>
      <c r="AK2716" t="str">
        <f t="shared" si="1771"/>
        <v>Foto</v>
      </c>
      <c r="AL27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6" t="str">
        <f t="shared" si="1779"/>
        <v>-</v>
      </c>
    </row>
    <row r="2717" spans="1:39" x14ac:dyDescent="0.25">
      <c r="A2717" t="str">
        <f>"FI40040"</f>
        <v>FI40040</v>
      </c>
      <c r="B2717" t="str">
        <f>"SENSOR MAP CHEVROLET AVEO 1.4 – 1.6 16V"</f>
        <v>SENSOR MAP CHEVROLET AVEO 1.4 – 1.6 16V</v>
      </c>
      <c r="C2717" t="str">
        <f>"$ 33767,37"</f>
        <v>$ 33767,37</v>
      </c>
      <c r="D2717" t="str">
        <f>"$ 33767,37"</f>
        <v>$ 33767,37</v>
      </c>
      <c r="E2717" t="str">
        <f>"$ 33767,37"</f>
        <v>$ 33767,37</v>
      </c>
      <c r="F2717" t="str">
        <f>"$ 33767,37"</f>
        <v>$ 33767,37</v>
      </c>
      <c r="G2717" t="str">
        <f>"$ 33767,37"</f>
        <v>$ 33767,37</v>
      </c>
      <c r="H2717" t="str">
        <f t="shared" si="1754"/>
        <v>$ 0,00</v>
      </c>
      <c r="I2717" t="str">
        <f t="shared" si="1780"/>
        <v>SENSOR MAP</v>
      </c>
      <c r="J2717" t="str">
        <f t="shared" si="1755"/>
        <v>1</v>
      </c>
      <c r="K2717" t="str">
        <f t="shared" si="1781"/>
        <v>0</v>
      </c>
      <c r="L2717" t="str">
        <f>"0,000"</f>
        <v>0,000</v>
      </c>
      <c r="M2717" t="str">
        <f t="shared" si="1756"/>
        <v xml:space="preserve"> </v>
      </c>
      <c r="N2717" t="str">
        <f t="shared" si="1778"/>
        <v>FISPA</v>
      </c>
      <c r="O2717" t="str">
        <f t="shared" si="1772"/>
        <v>SENSORES</v>
      </c>
      <c r="P2717" t="str">
        <f t="shared" si="1776"/>
        <v>0</v>
      </c>
      <c r="Q2717" t="str">
        <f t="shared" si="1776"/>
        <v>0</v>
      </c>
      <c r="R2717" t="str">
        <f t="shared" si="1777"/>
        <v>0,00</v>
      </c>
      <c r="S2717" t="str">
        <f t="shared" si="1777"/>
        <v>0,00</v>
      </c>
      <c r="T2717" t="str">
        <f t="shared" si="1751"/>
        <v xml:space="preserve"> </v>
      </c>
      <c r="U2717" t="str">
        <f t="shared" si="1753"/>
        <v xml:space="preserve"> </v>
      </c>
      <c r="V2717" t="str">
        <f>"0,000"</f>
        <v>0,000</v>
      </c>
      <c r="W2717" t="str">
        <f t="shared" si="1757"/>
        <v>Lista 4</v>
      </c>
      <c r="X2717" t="str">
        <f t="shared" si="1758"/>
        <v>Lista 5</v>
      </c>
      <c r="Y2717" t="str">
        <f t="shared" si="1759"/>
        <v>Oferta Gral.</v>
      </c>
      <c r="Z2717" t="str">
        <f t="shared" si="1760"/>
        <v>Rubro</v>
      </c>
      <c r="AA2717" t="str">
        <f t="shared" si="1761"/>
        <v>Cantidad por Bulto</v>
      </c>
      <c r="AB2717" t="str">
        <f t="shared" si="1762"/>
        <v>INNER</v>
      </c>
      <c r="AC2717" t="str">
        <f t="shared" si="1763"/>
        <v>Stock en Bultos</v>
      </c>
      <c r="AD2717" t="str">
        <f t="shared" si="1764"/>
        <v>SubDepósito</v>
      </c>
      <c r="AE2717" t="str">
        <f t="shared" si="1765"/>
        <v>Marca</v>
      </c>
      <c r="AF2717" t="str">
        <f t="shared" si="1766"/>
        <v>Super Rubro</v>
      </c>
      <c r="AG2717" t="str">
        <f t="shared" si="1767"/>
        <v>ComercioExterior</v>
      </c>
      <c r="AH2717" t="str">
        <f t="shared" si="1768"/>
        <v>PrecioFOB</v>
      </c>
      <c r="AI2717" t="str">
        <f t="shared" si="1769"/>
        <v>Monto II</v>
      </c>
      <c r="AJ2717" t="str">
        <f t="shared" si="1770"/>
        <v>Porcentaje II</v>
      </c>
      <c r="AK2717" t="str">
        <f t="shared" si="1771"/>
        <v>Foto</v>
      </c>
      <c r="AL271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7" t="str">
        <f t="shared" si="1779"/>
        <v>-</v>
      </c>
    </row>
    <row r="2718" spans="1:39" x14ac:dyDescent="0.25">
      <c r="A2718" t="str">
        <f>"FI40031"</f>
        <v>FI40031</v>
      </c>
      <c r="B2718" t="str">
        <f>"SENSOR MAP CHEVROLET CAPTIVA 2.0D - EVANDRA 2.0 LACETTI 1.4 16V / 1.6 / 1.8 - NUBIRA 1.6 / 1.8"</f>
        <v>SENSOR MAP CHEVROLET CAPTIVA 2.0D - EVANDRA 2.0 LACETTI 1.4 16V / 1.6 / 1.8 - NUBIRA 1.6 / 1.8</v>
      </c>
      <c r="C2718" t="str">
        <f>"$ 50141,46"</f>
        <v>$ 50141,46</v>
      </c>
      <c r="D2718" t="str">
        <f>"$ 50141,46"</f>
        <v>$ 50141,46</v>
      </c>
      <c r="E2718" t="str">
        <f>"$ 50141,46"</f>
        <v>$ 50141,46</v>
      </c>
      <c r="F2718" t="str">
        <f>"$ 50141,46"</f>
        <v>$ 50141,46</v>
      </c>
      <c r="G2718" t="str">
        <f>"$ 50141,46"</f>
        <v>$ 50141,46</v>
      </c>
      <c r="H2718" t="str">
        <f t="shared" si="1754"/>
        <v>$ 0,00</v>
      </c>
      <c r="I2718" t="str">
        <f t="shared" si="1780"/>
        <v>SENSOR MAP</v>
      </c>
      <c r="J2718" t="str">
        <f t="shared" si="1755"/>
        <v>1</v>
      </c>
      <c r="K2718" t="str">
        <f t="shared" si="1781"/>
        <v>0</v>
      </c>
      <c r="L2718" t="str">
        <f>"0,000"</f>
        <v>0,000</v>
      </c>
      <c r="M2718" t="str">
        <f t="shared" si="1756"/>
        <v xml:space="preserve"> </v>
      </c>
      <c r="N2718" t="str">
        <f t="shared" si="1778"/>
        <v>FISPA</v>
      </c>
      <c r="O2718" t="str">
        <f t="shared" si="1772"/>
        <v>SENSORES</v>
      </c>
      <c r="P2718" t="str">
        <f t="shared" si="1776"/>
        <v>0</v>
      </c>
      <c r="Q2718" t="str">
        <f t="shared" si="1776"/>
        <v>0</v>
      </c>
      <c r="R2718" t="str">
        <f t="shared" si="1777"/>
        <v>0,00</v>
      </c>
      <c r="S2718" t="str">
        <f t="shared" si="1777"/>
        <v>0,00</v>
      </c>
      <c r="T2718" t="str">
        <f t="shared" si="1751"/>
        <v xml:space="preserve"> </v>
      </c>
      <c r="U2718" t="str">
        <f t="shared" si="1753"/>
        <v xml:space="preserve"> </v>
      </c>
      <c r="V2718" t="str">
        <f>"0,000"</f>
        <v>0,000</v>
      </c>
      <c r="W2718" t="str">
        <f t="shared" si="1757"/>
        <v>Lista 4</v>
      </c>
      <c r="X2718" t="str">
        <f t="shared" si="1758"/>
        <v>Lista 5</v>
      </c>
      <c r="Y2718" t="str">
        <f t="shared" si="1759"/>
        <v>Oferta Gral.</v>
      </c>
      <c r="Z2718" t="str">
        <f t="shared" si="1760"/>
        <v>Rubro</v>
      </c>
      <c r="AA2718" t="str">
        <f t="shared" si="1761"/>
        <v>Cantidad por Bulto</v>
      </c>
      <c r="AB2718" t="str">
        <f t="shared" si="1762"/>
        <v>INNER</v>
      </c>
      <c r="AC2718" t="str">
        <f t="shared" si="1763"/>
        <v>Stock en Bultos</v>
      </c>
      <c r="AD2718" t="str">
        <f t="shared" si="1764"/>
        <v>SubDepósito</v>
      </c>
      <c r="AE2718" t="str">
        <f t="shared" si="1765"/>
        <v>Marca</v>
      </c>
      <c r="AF2718" t="str">
        <f t="shared" si="1766"/>
        <v>Super Rubro</v>
      </c>
      <c r="AG2718" t="str">
        <f t="shared" si="1767"/>
        <v>ComercioExterior</v>
      </c>
      <c r="AH2718" t="str">
        <f t="shared" si="1768"/>
        <v>PrecioFOB</v>
      </c>
      <c r="AI2718" t="str">
        <f t="shared" si="1769"/>
        <v>Monto II</v>
      </c>
      <c r="AJ2718" t="str">
        <f t="shared" si="1770"/>
        <v>Porcentaje II</v>
      </c>
      <c r="AK2718" t="str">
        <f t="shared" si="1771"/>
        <v>Foto</v>
      </c>
      <c r="AL2718" t="str">
        <f>" "</f>
        <v xml:space="preserve"> </v>
      </c>
      <c r="AM2718" t="str">
        <f t="shared" si="1779"/>
        <v>-</v>
      </c>
    </row>
    <row r="2719" spans="1:39" x14ac:dyDescent="0.25">
      <c r="A2719" t="str">
        <f>"FI40004"</f>
        <v>FI40004</v>
      </c>
      <c r="B2719" t="str">
        <f>"SENSOR MAP CHEVROLET OPEL ASTRA - CORSA/RENAULT LAGUNA 1,6 16V - MEGANE 1,4"</f>
        <v>SENSOR MAP CHEVROLET OPEL ASTRA - CORSA/RENAULT LAGUNA 1,6 16V - MEGANE 1,4</v>
      </c>
      <c r="C2719" t="str">
        <f>"$ 29247,56"</f>
        <v>$ 29247,56</v>
      </c>
      <c r="D2719" t="str">
        <f>"$ 29247,56"</f>
        <v>$ 29247,56</v>
      </c>
      <c r="E2719" t="str">
        <f>"$ 29247,56"</f>
        <v>$ 29247,56</v>
      </c>
      <c r="F2719" t="str">
        <f>"$ 29247,56"</f>
        <v>$ 29247,56</v>
      </c>
      <c r="G2719" t="str">
        <f>"$ 29247,56"</f>
        <v>$ 29247,56</v>
      </c>
      <c r="H2719" t="str">
        <f t="shared" si="1754"/>
        <v>$ 0,00</v>
      </c>
      <c r="I2719" t="str">
        <f t="shared" si="1780"/>
        <v>SENSOR MAP</v>
      </c>
      <c r="J2719" t="str">
        <f t="shared" si="1755"/>
        <v>1</v>
      </c>
      <c r="K2719" t="str">
        <f t="shared" si="1781"/>
        <v>0</v>
      </c>
      <c r="L2719" t="str">
        <f>"6,000"</f>
        <v>6,000</v>
      </c>
      <c r="M2719" t="str">
        <f t="shared" si="1756"/>
        <v xml:space="preserve"> </v>
      </c>
      <c r="N2719" t="str">
        <f t="shared" si="1778"/>
        <v>FISPA</v>
      </c>
      <c r="O2719" t="str">
        <f t="shared" si="1772"/>
        <v>SENSORES</v>
      </c>
      <c r="P2719" t="str">
        <f t="shared" si="1776"/>
        <v>0</v>
      </c>
      <c r="Q2719" t="str">
        <f t="shared" si="1776"/>
        <v>0</v>
      </c>
      <c r="R2719" t="str">
        <f t="shared" si="1777"/>
        <v>0,00</v>
      </c>
      <c r="S2719" t="str">
        <f t="shared" si="1777"/>
        <v>0,00</v>
      </c>
      <c r="T2719" t="str">
        <f t="shared" si="1751"/>
        <v xml:space="preserve"> </v>
      </c>
      <c r="U2719" t="str">
        <f t="shared" si="1753"/>
        <v xml:space="preserve"> </v>
      </c>
      <c r="V2719" t="str">
        <f>"6,000"</f>
        <v>6,000</v>
      </c>
      <c r="W2719" t="str">
        <f t="shared" si="1757"/>
        <v>Lista 4</v>
      </c>
      <c r="X2719" t="str">
        <f t="shared" si="1758"/>
        <v>Lista 5</v>
      </c>
      <c r="Y2719" t="str">
        <f t="shared" si="1759"/>
        <v>Oferta Gral.</v>
      </c>
      <c r="Z2719" t="str">
        <f t="shared" si="1760"/>
        <v>Rubro</v>
      </c>
      <c r="AA2719" t="str">
        <f t="shared" si="1761"/>
        <v>Cantidad por Bulto</v>
      </c>
      <c r="AB2719" t="str">
        <f t="shared" si="1762"/>
        <v>INNER</v>
      </c>
      <c r="AC2719" t="str">
        <f t="shared" si="1763"/>
        <v>Stock en Bultos</v>
      </c>
      <c r="AD2719" t="str">
        <f t="shared" si="1764"/>
        <v>SubDepósito</v>
      </c>
      <c r="AE2719" t="str">
        <f t="shared" si="1765"/>
        <v>Marca</v>
      </c>
      <c r="AF2719" t="str">
        <f t="shared" si="1766"/>
        <v>Super Rubro</v>
      </c>
      <c r="AG2719" t="str">
        <f t="shared" si="1767"/>
        <v>ComercioExterior</v>
      </c>
      <c r="AH2719" t="str">
        <f t="shared" si="1768"/>
        <v>PrecioFOB</v>
      </c>
      <c r="AI2719" t="str">
        <f t="shared" si="1769"/>
        <v>Monto II</v>
      </c>
      <c r="AJ2719" t="str">
        <f t="shared" si="1770"/>
        <v>Porcentaje II</v>
      </c>
      <c r="AK2719" t="str">
        <f t="shared" si="1771"/>
        <v>Foto</v>
      </c>
      <c r="AL271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9" t="str">
        <f t="shared" si="1779"/>
        <v>-</v>
      </c>
    </row>
    <row r="2720" spans="1:39" x14ac:dyDescent="0.25">
      <c r="A2720" t="str">
        <f>"FI40042"</f>
        <v>FI40042</v>
      </c>
      <c r="B2720" t="str">
        <f>"SENSOR MAP CHEVROLET VECTRA 2.0 / 2.0 16V - HYUNDAI ACCENT SEDAN 1.5I 16V"</f>
        <v>SENSOR MAP CHEVROLET VECTRA 2.0 / 2.0 16V - HYUNDAI ACCENT SEDAN 1.5I 16V</v>
      </c>
      <c r="C2720" t="str">
        <f>"$ 40043,60"</f>
        <v>$ 40043,60</v>
      </c>
      <c r="D2720" t="str">
        <f>"$ 40043,60"</f>
        <v>$ 40043,60</v>
      </c>
      <c r="E2720" t="str">
        <f>"$ 40043,60"</f>
        <v>$ 40043,60</v>
      </c>
      <c r="F2720" t="str">
        <f>"$ 40043,60"</f>
        <v>$ 40043,60</v>
      </c>
      <c r="G2720" t="str">
        <f>"$ 40043,60"</f>
        <v>$ 40043,60</v>
      </c>
      <c r="H2720" t="str">
        <f t="shared" si="1754"/>
        <v>$ 0,00</v>
      </c>
      <c r="I2720" t="str">
        <f t="shared" si="1780"/>
        <v>SENSOR MAP</v>
      </c>
      <c r="J2720" t="str">
        <f t="shared" si="1755"/>
        <v>1</v>
      </c>
      <c r="K2720" t="str">
        <f t="shared" si="1781"/>
        <v>0</v>
      </c>
      <c r="L2720" t="str">
        <f>"2,000"</f>
        <v>2,000</v>
      </c>
      <c r="M2720" t="str">
        <f t="shared" si="1756"/>
        <v xml:space="preserve"> </v>
      </c>
      <c r="N2720" t="str">
        <f t="shared" si="1778"/>
        <v>FISPA</v>
      </c>
      <c r="O2720" t="str">
        <f t="shared" si="1772"/>
        <v>SENSORES</v>
      </c>
      <c r="P2720" t="str">
        <f t="shared" si="1776"/>
        <v>0</v>
      </c>
      <c r="Q2720" t="str">
        <f t="shared" si="1776"/>
        <v>0</v>
      </c>
      <c r="R2720" t="str">
        <f t="shared" si="1777"/>
        <v>0,00</v>
      </c>
      <c r="S2720" t="str">
        <f t="shared" si="1777"/>
        <v>0,00</v>
      </c>
      <c r="T2720" t="str">
        <f t="shared" si="1751"/>
        <v xml:space="preserve"> </v>
      </c>
      <c r="U2720" t="str">
        <f t="shared" si="1753"/>
        <v xml:space="preserve"> </v>
      </c>
      <c r="V2720" t="str">
        <f>"2,000"</f>
        <v>2,000</v>
      </c>
      <c r="W2720" t="str">
        <f t="shared" si="1757"/>
        <v>Lista 4</v>
      </c>
      <c r="X2720" t="str">
        <f t="shared" si="1758"/>
        <v>Lista 5</v>
      </c>
      <c r="Y2720" t="str">
        <f t="shared" si="1759"/>
        <v>Oferta Gral.</v>
      </c>
      <c r="Z2720" t="str">
        <f t="shared" si="1760"/>
        <v>Rubro</v>
      </c>
      <c r="AA2720" t="str">
        <f t="shared" si="1761"/>
        <v>Cantidad por Bulto</v>
      </c>
      <c r="AB2720" t="str">
        <f t="shared" si="1762"/>
        <v>INNER</v>
      </c>
      <c r="AC2720" t="str">
        <f t="shared" si="1763"/>
        <v>Stock en Bultos</v>
      </c>
      <c r="AD2720" t="str">
        <f t="shared" si="1764"/>
        <v>SubDepósito</v>
      </c>
      <c r="AE2720" t="str">
        <f t="shared" si="1765"/>
        <v>Marca</v>
      </c>
      <c r="AF2720" t="str">
        <f t="shared" si="1766"/>
        <v>Super Rubro</v>
      </c>
      <c r="AG2720" t="str">
        <f t="shared" si="1767"/>
        <v>ComercioExterior</v>
      </c>
      <c r="AH2720" t="str">
        <f t="shared" si="1768"/>
        <v>PrecioFOB</v>
      </c>
      <c r="AI2720" t="str">
        <f t="shared" si="1769"/>
        <v>Monto II</v>
      </c>
      <c r="AJ2720" t="str">
        <f t="shared" si="1770"/>
        <v>Porcentaje II</v>
      </c>
      <c r="AK2720" t="str">
        <f t="shared" si="1771"/>
        <v>Foto</v>
      </c>
      <c r="AL272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20" t="str">
        <f t="shared" si="1779"/>
        <v>-</v>
      </c>
    </row>
    <row r="2721" spans="1:39" x14ac:dyDescent="0.25">
      <c r="A2721" t="str">
        <f>"FI40027"</f>
        <v>FI40027</v>
      </c>
      <c r="B2721" t="str">
        <f>"SENSOR MAP CITROEN XANTIA/XSARA 1.4I / 1.8I 16V - ZX 1.8I 16V - P106 II 1.4I / 1.6 S16 - 306 1.4 / 1.4 SL / 1.6 "</f>
        <v xml:space="preserve">SENSOR MAP CITROEN XANTIA/XSARA 1.4I / 1.8I 16V - ZX 1.8I 16V - P106 II 1.4I / 1.6 S16 - 306 1.4 / 1.4 SL / 1.6 </v>
      </c>
      <c r="C2721" t="str">
        <f>"$ 35219,86"</f>
        <v>$ 35219,86</v>
      </c>
      <c r="D2721" t="str">
        <f>"$ 35219,86"</f>
        <v>$ 35219,86</v>
      </c>
      <c r="E2721" t="str">
        <f>"$ 35219,86"</f>
        <v>$ 35219,86</v>
      </c>
      <c r="F2721" t="str">
        <f>"$ 35219,86"</f>
        <v>$ 35219,86</v>
      </c>
      <c r="G2721" t="str">
        <f>"$ 35219,86"</f>
        <v>$ 35219,86</v>
      </c>
      <c r="H2721" t="str">
        <f t="shared" si="1754"/>
        <v>$ 0,00</v>
      </c>
      <c r="I2721" t="str">
        <f t="shared" si="1780"/>
        <v>SENSOR MAP</v>
      </c>
      <c r="J2721" t="str">
        <f t="shared" si="1755"/>
        <v>1</v>
      </c>
      <c r="K2721" t="str">
        <f t="shared" si="1781"/>
        <v>0</v>
      </c>
      <c r="L2721" t="str">
        <f>"2,000"</f>
        <v>2,000</v>
      </c>
      <c r="M2721" t="str">
        <f t="shared" si="1756"/>
        <v xml:space="preserve"> </v>
      </c>
      <c r="N2721" t="str">
        <f t="shared" si="1778"/>
        <v>FISPA</v>
      </c>
      <c r="O2721" t="str">
        <f t="shared" si="1772"/>
        <v>SENSORES</v>
      </c>
      <c r="P2721" t="str">
        <f t="shared" si="1776"/>
        <v>0</v>
      </c>
      <c r="Q2721" t="str">
        <f t="shared" si="1776"/>
        <v>0</v>
      </c>
      <c r="R2721" t="str">
        <f t="shared" si="1777"/>
        <v>0,00</v>
      </c>
      <c r="S2721" t="str">
        <f t="shared" si="1777"/>
        <v>0,00</v>
      </c>
      <c r="T2721" t="str">
        <f t="shared" si="1751"/>
        <v xml:space="preserve"> </v>
      </c>
      <c r="U2721" t="str">
        <f t="shared" si="1753"/>
        <v xml:space="preserve"> </v>
      </c>
      <c r="V2721" t="str">
        <f>"2,000"</f>
        <v>2,000</v>
      </c>
      <c r="W2721" t="str">
        <f t="shared" si="1757"/>
        <v>Lista 4</v>
      </c>
      <c r="X2721" t="str">
        <f t="shared" si="1758"/>
        <v>Lista 5</v>
      </c>
      <c r="Y2721" t="str">
        <f t="shared" si="1759"/>
        <v>Oferta Gral.</v>
      </c>
      <c r="Z2721" t="str">
        <f t="shared" si="1760"/>
        <v>Rubro</v>
      </c>
      <c r="AA2721" t="str">
        <f t="shared" si="1761"/>
        <v>Cantidad por Bulto</v>
      </c>
      <c r="AB2721" t="str">
        <f t="shared" si="1762"/>
        <v>INNER</v>
      </c>
      <c r="AC2721" t="str">
        <f t="shared" si="1763"/>
        <v>Stock en Bultos</v>
      </c>
      <c r="AD2721" t="str">
        <f t="shared" si="1764"/>
        <v>SubDepósito</v>
      </c>
      <c r="AE2721" t="str">
        <f t="shared" si="1765"/>
        <v>Marca</v>
      </c>
      <c r="AF2721" t="str">
        <f t="shared" si="1766"/>
        <v>Super Rubro</v>
      </c>
      <c r="AG2721" t="str">
        <f t="shared" si="1767"/>
        <v>ComercioExterior</v>
      </c>
      <c r="AH2721" t="str">
        <f t="shared" si="1768"/>
        <v>PrecioFOB</v>
      </c>
      <c r="AI2721" t="str">
        <f t="shared" si="1769"/>
        <v>Monto II</v>
      </c>
      <c r="AJ2721" t="str">
        <f t="shared" si="1770"/>
        <v>Porcentaje II</v>
      </c>
      <c r="AK2721" t="str">
        <f t="shared" si="1771"/>
        <v>Foto</v>
      </c>
      <c r="AL2721" t="str">
        <f t="shared" ref="AL2721:AL2726" si="1782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21" t="str">
        <f t="shared" si="1779"/>
        <v>-</v>
      </c>
    </row>
    <row r="2722" spans="1:39" x14ac:dyDescent="0.25">
      <c r="A2722" t="str">
        <f>"FI40022"</f>
        <v>FI40022</v>
      </c>
      <c r="B2722" t="str">
        <f>"SENSOR MAP CITROEN: C4/C5/SAXO/XSARA - P106 / 406 3.0 V6 / 607 3.0 V6 24V - RENAULT LAGUNA 3.0 24V"</f>
        <v>SENSOR MAP CITROEN: C4/C5/SAXO/XSARA - P106 / 406 3.0 V6 / 607 3.0 V6 24V - RENAULT LAGUNA 3.0 24V</v>
      </c>
      <c r="C2722" t="str">
        <f>"$ 43439,25"</f>
        <v>$ 43439,25</v>
      </c>
      <c r="D2722" t="str">
        <f>"$ 43439,25"</f>
        <v>$ 43439,25</v>
      </c>
      <c r="E2722" t="str">
        <f>"$ 43439,25"</f>
        <v>$ 43439,25</v>
      </c>
      <c r="F2722" t="str">
        <f>"$ 43439,25"</f>
        <v>$ 43439,25</v>
      </c>
      <c r="G2722" t="str">
        <f>"$ 43439,25"</f>
        <v>$ 43439,25</v>
      </c>
      <c r="H2722" t="str">
        <f t="shared" si="1754"/>
        <v>$ 0,00</v>
      </c>
      <c r="I2722" t="str">
        <f t="shared" si="1780"/>
        <v>SENSOR MAP</v>
      </c>
      <c r="J2722" t="str">
        <f t="shared" si="1755"/>
        <v>1</v>
      </c>
      <c r="K2722" t="str">
        <f t="shared" si="1781"/>
        <v>0</v>
      </c>
      <c r="L2722" t="str">
        <f>"3,000"</f>
        <v>3,000</v>
      </c>
      <c r="M2722" t="str">
        <f t="shared" si="1756"/>
        <v xml:space="preserve"> </v>
      </c>
      <c r="N2722" t="str">
        <f t="shared" si="1778"/>
        <v>FISPA</v>
      </c>
      <c r="O2722" t="str">
        <f t="shared" si="1772"/>
        <v>SENSORES</v>
      </c>
      <c r="P2722" t="str">
        <f t="shared" si="1776"/>
        <v>0</v>
      </c>
      <c r="Q2722" t="str">
        <f t="shared" si="1776"/>
        <v>0</v>
      </c>
      <c r="R2722" t="str">
        <f t="shared" si="1777"/>
        <v>0,00</v>
      </c>
      <c r="S2722" t="str">
        <f t="shared" si="1777"/>
        <v>0,00</v>
      </c>
      <c r="T2722" t="str">
        <f t="shared" si="1751"/>
        <v xml:space="preserve"> </v>
      </c>
      <c r="U2722" t="str">
        <f t="shared" si="1753"/>
        <v xml:space="preserve"> </v>
      </c>
      <c r="V2722" t="str">
        <f>"3,000"</f>
        <v>3,000</v>
      </c>
      <c r="W2722" t="str">
        <f t="shared" si="1757"/>
        <v>Lista 4</v>
      </c>
      <c r="X2722" t="str">
        <f t="shared" si="1758"/>
        <v>Lista 5</v>
      </c>
      <c r="Y2722" t="str">
        <f t="shared" si="1759"/>
        <v>Oferta Gral.</v>
      </c>
      <c r="Z2722" t="str">
        <f t="shared" si="1760"/>
        <v>Rubro</v>
      </c>
      <c r="AA2722" t="str">
        <f t="shared" si="1761"/>
        <v>Cantidad por Bulto</v>
      </c>
      <c r="AB2722" t="str">
        <f t="shared" si="1762"/>
        <v>INNER</v>
      </c>
      <c r="AC2722" t="str">
        <f t="shared" si="1763"/>
        <v>Stock en Bultos</v>
      </c>
      <c r="AD2722" t="str">
        <f t="shared" si="1764"/>
        <v>SubDepósito</v>
      </c>
      <c r="AE2722" t="str">
        <f t="shared" si="1765"/>
        <v>Marca</v>
      </c>
      <c r="AF2722" t="str">
        <f t="shared" si="1766"/>
        <v>Super Rubro</v>
      </c>
      <c r="AG2722" t="str">
        <f t="shared" si="1767"/>
        <v>ComercioExterior</v>
      </c>
      <c r="AH2722" t="str">
        <f t="shared" si="1768"/>
        <v>PrecioFOB</v>
      </c>
      <c r="AI2722" t="str">
        <f t="shared" si="1769"/>
        <v>Monto II</v>
      </c>
      <c r="AJ2722" t="str">
        <f t="shared" si="1770"/>
        <v>Porcentaje II</v>
      </c>
      <c r="AK2722" t="str">
        <f t="shared" si="1771"/>
        <v>Foto</v>
      </c>
      <c r="AL2722" t="str">
        <f t="shared" si="1782"/>
        <v xml:space="preserve">{\rtf1\ansi\ansicpg1252\deff0{\fonttbl{\f0\fnil\fcharset0 MS Sans Serif}} \viewkind4\uc1\pard\lang11274\f0\fs16\par } </v>
      </c>
      <c r="AM2722" t="str">
        <f t="shared" si="1779"/>
        <v>-</v>
      </c>
    </row>
    <row r="2723" spans="1:39" x14ac:dyDescent="0.25">
      <c r="A2723" t="str">
        <f>"FI40006"</f>
        <v>FI40006</v>
      </c>
      <c r="B2723" t="str">
        <f>"SENSOR MAP CITROËN BERLINGO/C3/C4/XSARA PICASSO 1.6/FIAT FIORINO // P206/306/307 1.6 16V "</f>
        <v xml:space="preserve">SENSOR MAP CITROËN BERLINGO/C3/C4/XSARA PICASSO 1.6/FIAT FIORINO // P206/306/307 1.6 16V </v>
      </c>
      <c r="C2723" t="str">
        <f>"$ 29872,50"</f>
        <v>$ 29872,50</v>
      </c>
      <c r="D2723" t="str">
        <f>"$ 29872,50"</f>
        <v>$ 29872,50</v>
      </c>
      <c r="E2723" t="str">
        <f>"$ 29872,50"</f>
        <v>$ 29872,50</v>
      </c>
      <c r="F2723" t="str">
        <f>"$ 29872,50"</f>
        <v>$ 29872,50</v>
      </c>
      <c r="G2723" t="str">
        <f>"$ 29872,50"</f>
        <v>$ 29872,50</v>
      </c>
      <c r="H2723" t="str">
        <f t="shared" si="1754"/>
        <v>$ 0,00</v>
      </c>
      <c r="I2723" t="str">
        <f t="shared" si="1780"/>
        <v>SENSOR MAP</v>
      </c>
      <c r="J2723" t="str">
        <f t="shared" si="1755"/>
        <v>1</v>
      </c>
      <c r="K2723" t="str">
        <f t="shared" si="1781"/>
        <v>0</v>
      </c>
      <c r="L2723" t="str">
        <f>"0,000"</f>
        <v>0,000</v>
      </c>
      <c r="M2723" t="str">
        <f t="shared" si="1756"/>
        <v xml:space="preserve"> </v>
      </c>
      <c r="N2723" t="str">
        <f t="shared" si="1778"/>
        <v>FISPA</v>
      </c>
      <c r="O2723" t="str">
        <f t="shared" si="1772"/>
        <v>SENSORES</v>
      </c>
      <c r="P2723" t="str">
        <f t="shared" ref="P2723:Q2742" si="1783">"0"</f>
        <v>0</v>
      </c>
      <c r="Q2723" t="str">
        <f t="shared" si="1783"/>
        <v>0</v>
      </c>
      <c r="R2723" t="str">
        <f t="shared" ref="R2723:S2742" si="1784">"0,00"</f>
        <v>0,00</v>
      </c>
      <c r="S2723" t="str">
        <f t="shared" si="1784"/>
        <v>0,00</v>
      </c>
      <c r="T2723" t="str">
        <f t="shared" si="1751"/>
        <v xml:space="preserve"> </v>
      </c>
      <c r="U2723" t="str">
        <f t="shared" si="1753"/>
        <v xml:space="preserve"> </v>
      </c>
      <c r="V2723" t="str">
        <f>"0,000"</f>
        <v>0,000</v>
      </c>
      <c r="W2723" t="str">
        <f t="shared" si="1757"/>
        <v>Lista 4</v>
      </c>
      <c r="X2723" t="str">
        <f t="shared" si="1758"/>
        <v>Lista 5</v>
      </c>
      <c r="Y2723" t="str">
        <f t="shared" si="1759"/>
        <v>Oferta Gral.</v>
      </c>
      <c r="Z2723" t="str">
        <f t="shared" si="1760"/>
        <v>Rubro</v>
      </c>
      <c r="AA2723" t="str">
        <f t="shared" si="1761"/>
        <v>Cantidad por Bulto</v>
      </c>
      <c r="AB2723" t="str">
        <f t="shared" si="1762"/>
        <v>INNER</v>
      </c>
      <c r="AC2723" t="str">
        <f t="shared" si="1763"/>
        <v>Stock en Bultos</v>
      </c>
      <c r="AD2723" t="str">
        <f t="shared" si="1764"/>
        <v>SubDepósito</v>
      </c>
      <c r="AE2723" t="str">
        <f t="shared" si="1765"/>
        <v>Marca</v>
      </c>
      <c r="AF2723" t="str">
        <f t="shared" si="1766"/>
        <v>Super Rubro</v>
      </c>
      <c r="AG2723" t="str">
        <f t="shared" si="1767"/>
        <v>ComercioExterior</v>
      </c>
      <c r="AH2723" t="str">
        <f t="shared" si="1768"/>
        <v>PrecioFOB</v>
      </c>
      <c r="AI2723" t="str">
        <f t="shared" si="1769"/>
        <v>Monto II</v>
      </c>
      <c r="AJ2723" t="str">
        <f t="shared" si="1770"/>
        <v>Porcentaje II</v>
      </c>
      <c r="AK2723" t="str">
        <f t="shared" si="1771"/>
        <v>Foto</v>
      </c>
      <c r="AL2723" t="str">
        <f t="shared" si="1782"/>
        <v xml:space="preserve">{\rtf1\ansi\ansicpg1252\deff0{\fonttbl{\f0\fnil\fcharset0 MS Sans Serif}} \viewkind4\uc1\pard\lang11274\f0\fs16\par } </v>
      </c>
      <c r="AM2723" t="str">
        <f t="shared" si="1779"/>
        <v>-</v>
      </c>
    </row>
    <row r="2724" spans="1:39" x14ac:dyDescent="0.25">
      <c r="A2724" t="str">
        <f>"FI40005"</f>
        <v>FI40005</v>
      </c>
      <c r="B2724" t="str">
        <f>"SENSOR MAP CITROËN BERLINGO/PICASSO/P106 - 206 - 306 - 406 -307 607 - 806 -  PARTNER"</f>
        <v>SENSOR MAP CITROËN BERLINGO/PICASSO/P106 - 206 - 306 - 406 -307 607 - 806 -  PARTNER</v>
      </c>
      <c r="C2724" t="str">
        <f>"$ 49022,19"</f>
        <v>$ 49022,19</v>
      </c>
      <c r="D2724" t="str">
        <f>"$ 49022,19"</f>
        <v>$ 49022,19</v>
      </c>
      <c r="E2724" t="str">
        <f>"$ 49022,19"</f>
        <v>$ 49022,19</v>
      </c>
      <c r="F2724" t="str">
        <f>"$ 49022,19"</f>
        <v>$ 49022,19</v>
      </c>
      <c r="G2724" t="str">
        <f>"$ 49022,19"</f>
        <v>$ 49022,19</v>
      </c>
      <c r="H2724" t="str">
        <f t="shared" si="1754"/>
        <v>$ 0,00</v>
      </c>
      <c r="I2724" t="str">
        <f t="shared" si="1780"/>
        <v>SENSOR MAP</v>
      </c>
      <c r="J2724" t="str">
        <f t="shared" si="1755"/>
        <v>1</v>
      </c>
      <c r="K2724" t="str">
        <f t="shared" si="1781"/>
        <v>0</v>
      </c>
      <c r="L2724" t="str">
        <f>"0,000"</f>
        <v>0,000</v>
      </c>
      <c r="M2724" t="str">
        <f t="shared" si="1756"/>
        <v xml:space="preserve"> </v>
      </c>
      <c r="N2724" t="str">
        <f t="shared" si="1778"/>
        <v>FISPA</v>
      </c>
      <c r="O2724" t="str">
        <f t="shared" ref="O2724:O2749" si="1785">"SENSORES"</f>
        <v>SENSORES</v>
      </c>
      <c r="P2724" t="str">
        <f t="shared" si="1783"/>
        <v>0</v>
      </c>
      <c r="Q2724" t="str">
        <f t="shared" si="1783"/>
        <v>0</v>
      </c>
      <c r="R2724" t="str">
        <f t="shared" si="1784"/>
        <v>0,00</v>
      </c>
      <c r="S2724" t="str">
        <f t="shared" si="1784"/>
        <v>0,00</v>
      </c>
      <c r="T2724" t="str">
        <f t="shared" si="1751"/>
        <v xml:space="preserve"> </v>
      </c>
      <c r="U2724" t="str">
        <f t="shared" si="1753"/>
        <v xml:space="preserve"> </v>
      </c>
      <c r="V2724" t="str">
        <f>"0,000"</f>
        <v>0,000</v>
      </c>
      <c r="W2724" t="str">
        <f t="shared" si="1757"/>
        <v>Lista 4</v>
      </c>
      <c r="X2724" t="str">
        <f t="shared" si="1758"/>
        <v>Lista 5</v>
      </c>
      <c r="Y2724" t="str">
        <f t="shared" si="1759"/>
        <v>Oferta Gral.</v>
      </c>
      <c r="Z2724" t="str">
        <f t="shared" si="1760"/>
        <v>Rubro</v>
      </c>
      <c r="AA2724" t="str">
        <f t="shared" si="1761"/>
        <v>Cantidad por Bulto</v>
      </c>
      <c r="AB2724" t="str">
        <f t="shared" si="1762"/>
        <v>INNER</v>
      </c>
      <c r="AC2724" t="str">
        <f t="shared" si="1763"/>
        <v>Stock en Bultos</v>
      </c>
      <c r="AD2724" t="str">
        <f t="shared" si="1764"/>
        <v>SubDepósito</v>
      </c>
      <c r="AE2724" t="str">
        <f t="shared" si="1765"/>
        <v>Marca</v>
      </c>
      <c r="AF2724" t="str">
        <f t="shared" si="1766"/>
        <v>Super Rubro</v>
      </c>
      <c r="AG2724" t="str">
        <f t="shared" si="1767"/>
        <v>ComercioExterior</v>
      </c>
      <c r="AH2724" t="str">
        <f t="shared" si="1768"/>
        <v>PrecioFOB</v>
      </c>
      <c r="AI2724" t="str">
        <f t="shared" si="1769"/>
        <v>Monto II</v>
      </c>
      <c r="AJ2724" t="str">
        <f t="shared" si="1770"/>
        <v>Porcentaje II</v>
      </c>
      <c r="AK2724" t="str">
        <f t="shared" si="1771"/>
        <v>Foto</v>
      </c>
      <c r="AL2724" t="str">
        <f t="shared" si="1782"/>
        <v xml:space="preserve">{\rtf1\ansi\ansicpg1252\deff0{\fonttbl{\f0\fnil\fcharset0 MS Sans Serif}} \viewkind4\uc1\pard\lang11274\f0\fs16\par } </v>
      </c>
      <c r="AM2724" t="str">
        <f t="shared" si="1779"/>
        <v>-</v>
      </c>
    </row>
    <row r="2725" spans="1:39" x14ac:dyDescent="0.25">
      <c r="A2725" t="str">
        <f>"FI40002"</f>
        <v>FI40002</v>
      </c>
      <c r="B2725" t="str">
        <f>"SENSOR MAP CORSA 1,6 MPI - CLIO I 1,6 -  BLAZER 2,3 EFI"</f>
        <v>SENSOR MAP CORSA 1,6 MPI - CLIO I 1,6 -  BLAZER 2,3 EFI</v>
      </c>
      <c r="C2725" t="str">
        <f>"$ 35792,31"</f>
        <v>$ 35792,31</v>
      </c>
      <c r="D2725" t="str">
        <f>"$ 35792,31"</f>
        <v>$ 35792,31</v>
      </c>
      <c r="E2725" t="str">
        <f>"$ 35792,31"</f>
        <v>$ 35792,31</v>
      </c>
      <c r="F2725" t="str">
        <f>"$ 35792,31"</f>
        <v>$ 35792,31</v>
      </c>
      <c r="G2725" t="str">
        <f>"$ 35792,31"</f>
        <v>$ 35792,31</v>
      </c>
      <c r="H2725" t="str">
        <f t="shared" si="1754"/>
        <v>$ 0,00</v>
      </c>
      <c r="I2725" t="str">
        <f t="shared" si="1780"/>
        <v>SENSOR MAP</v>
      </c>
      <c r="J2725" t="str">
        <f t="shared" si="1755"/>
        <v>1</v>
      </c>
      <c r="K2725" t="str">
        <f t="shared" si="1781"/>
        <v>0</v>
      </c>
      <c r="L2725" t="str">
        <f>"3,000"</f>
        <v>3,000</v>
      </c>
      <c r="M2725" t="str">
        <f t="shared" si="1756"/>
        <v xml:space="preserve"> </v>
      </c>
      <c r="N2725" t="str">
        <f t="shared" si="1778"/>
        <v>FISPA</v>
      </c>
      <c r="O2725" t="str">
        <f t="shared" si="1785"/>
        <v>SENSORES</v>
      </c>
      <c r="P2725" t="str">
        <f t="shared" si="1783"/>
        <v>0</v>
      </c>
      <c r="Q2725" t="str">
        <f t="shared" si="1783"/>
        <v>0</v>
      </c>
      <c r="R2725" t="str">
        <f t="shared" si="1784"/>
        <v>0,00</v>
      </c>
      <c r="S2725" t="str">
        <f t="shared" si="1784"/>
        <v>0,00</v>
      </c>
      <c r="T2725" t="str">
        <f t="shared" si="1751"/>
        <v xml:space="preserve"> </v>
      </c>
      <c r="U2725" t="str">
        <f t="shared" si="1753"/>
        <v xml:space="preserve"> </v>
      </c>
      <c r="V2725" t="str">
        <f>"3,000"</f>
        <v>3,000</v>
      </c>
      <c r="W2725" t="str">
        <f t="shared" si="1757"/>
        <v>Lista 4</v>
      </c>
      <c r="X2725" t="str">
        <f t="shared" si="1758"/>
        <v>Lista 5</v>
      </c>
      <c r="Y2725" t="str">
        <f t="shared" si="1759"/>
        <v>Oferta Gral.</v>
      </c>
      <c r="Z2725" t="str">
        <f t="shared" si="1760"/>
        <v>Rubro</v>
      </c>
      <c r="AA2725" t="str">
        <f t="shared" si="1761"/>
        <v>Cantidad por Bulto</v>
      </c>
      <c r="AB2725" t="str">
        <f t="shared" si="1762"/>
        <v>INNER</v>
      </c>
      <c r="AC2725" t="str">
        <f t="shared" si="1763"/>
        <v>Stock en Bultos</v>
      </c>
      <c r="AD2725" t="str">
        <f t="shared" si="1764"/>
        <v>SubDepósito</v>
      </c>
      <c r="AE2725" t="str">
        <f t="shared" si="1765"/>
        <v>Marca</v>
      </c>
      <c r="AF2725" t="str">
        <f t="shared" si="1766"/>
        <v>Super Rubro</v>
      </c>
      <c r="AG2725" t="str">
        <f t="shared" si="1767"/>
        <v>ComercioExterior</v>
      </c>
      <c r="AH2725" t="str">
        <f t="shared" si="1768"/>
        <v>PrecioFOB</v>
      </c>
      <c r="AI2725" t="str">
        <f t="shared" si="1769"/>
        <v>Monto II</v>
      </c>
      <c r="AJ2725" t="str">
        <f t="shared" si="1770"/>
        <v>Porcentaje II</v>
      </c>
      <c r="AK2725" t="str">
        <f t="shared" si="1771"/>
        <v>Foto</v>
      </c>
      <c r="AL2725" t="str">
        <f t="shared" si="1782"/>
        <v xml:space="preserve">{\rtf1\ansi\ansicpg1252\deff0{\fonttbl{\f0\fnil\fcharset0 MS Sans Serif}} \viewkind4\uc1\pard\lang11274\f0\fs16\par } </v>
      </c>
      <c r="AM2725" t="str">
        <f t="shared" si="1779"/>
        <v>-</v>
      </c>
    </row>
    <row r="2726" spans="1:39" x14ac:dyDescent="0.25">
      <c r="A2726" t="str">
        <f>"FI40028"</f>
        <v>FI40028</v>
      </c>
      <c r="B2726" t="str">
        <f>"SENSOR MAP FIAT DOBLO 1.9 JTD - MAREA 1.9 JTD 110 - PUNTO 1.3D MLTJ - STILO 1.9DTRAFIC II 2.5 "</f>
        <v xml:space="preserve">SENSOR MAP FIAT DOBLO 1.9 JTD - MAREA 1.9 JTD 110 - PUNTO 1.3D MLTJ - STILO 1.9DTRAFIC II 2.5 </v>
      </c>
      <c r="C2726" t="str">
        <f>"$ 33340,17"</f>
        <v>$ 33340,17</v>
      </c>
      <c r="D2726" t="str">
        <f>"$ 33340,17"</f>
        <v>$ 33340,17</v>
      </c>
      <c r="E2726" t="str">
        <f>"$ 33340,17"</f>
        <v>$ 33340,17</v>
      </c>
      <c r="F2726" t="str">
        <f>"$ 33340,17"</f>
        <v>$ 33340,17</v>
      </c>
      <c r="G2726" t="str">
        <f>"$ 33340,17"</f>
        <v>$ 33340,17</v>
      </c>
      <c r="H2726" t="str">
        <f t="shared" si="1754"/>
        <v>$ 0,00</v>
      </c>
      <c r="I2726" t="str">
        <f t="shared" si="1780"/>
        <v>SENSOR MAP</v>
      </c>
      <c r="J2726" t="str">
        <f t="shared" si="1755"/>
        <v>1</v>
      </c>
      <c r="K2726" t="str">
        <f t="shared" si="1781"/>
        <v>0</v>
      </c>
      <c r="L2726" t="str">
        <f>"0,000"</f>
        <v>0,000</v>
      </c>
      <c r="M2726" t="str">
        <f t="shared" si="1756"/>
        <v xml:space="preserve"> </v>
      </c>
      <c r="N2726" t="str">
        <f t="shared" si="1778"/>
        <v>FISPA</v>
      </c>
      <c r="O2726" t="str">
        <f t="shared" si="1785"/>
        <v>SENSORES</v>
      </c>
      <c r="P2726" t="str">
        <f t="shared" si="1783"/>
        <v>0</v>
      </c>
      <c r="Q2726" t="str">
        <f t="shared" si="1783"/>
        <v>0</v>
      </c>
      <c r="R2726" t="str">
        <f t="shared" si="1784"/>
        <v>0,00</v>
      </c>
      <c r="S2726" t="str">
        <f t="shared" si="1784"/>
        <v>0,00</v>
      </c>
      <c r="T2726" t="str">
        <f t="shared" si="1751"/>
        <v xml:space="preserve"> </v>
      </c>
      <c r="U2726" t="str">
        <f t="shared" si="1753"/>
        <v xml:space="preserve"> </v>
      </c>
      <c r="V2726" t="str">
        <f>"0,000"</f>
        <v>0,000</v>
      </c>
      <c r="W2726" t="str">
        <f t="shared" si="1757"/>
        <v>Lista 4</v>
      </c>
      <c r="X2726" t="str">
        <f t="shared" si="1758"/>
        <v>Lista 5</v>
      </c>
      <c r="Y2726" t="str">
        <f t="shared" si="1759"/>
        <v>Oferta Gral.</v>
      </c>
      <c r="Z2726" t="str">
        <f t="shared" si="1760"/>
        <v>Rubro</v>
      </c>
      <c r="AA2726" t="str">
        <f t="shared" si="1761"/>
        <v>Cantidad por Bulto</v>
      </c>
      <c r="AB2726" t="str">
        <f t="shared" si="1762"/>
        <v>INNER</v>
      </c>
      <c r="AC2726" t="str">
        <f t="shared" si="1763"/>
        <v>Stock en Bultos</v>
      </c>
      <c r="AD2726" t="str">
        <f t="shared" si="1764"/>
        <v>SubDepósito</v>
      </c>
      <c r="AE2726" t="str">
        <f t="shared" si="1765"/>
        <v>Marca</v>
      </c>
      <c r="AF2726" t="str">
        <f t="shared" si="1766"/>
        <v>Super Rubro</v>
      </c>
      <c r="AG2726" t="str">
        <f t="shared" si="1767"/>
        <v>ComercioExterior</v>
      </c>
      <c r="AH2726" t="str">
        <f t="shared" si="1768"/>
        <v>PrecioFOB</v>
      </c>
      <c r="AI2726" t="str">
        <f t="shared" si="1769"/>
        <v>Monto II</v>
      </c>
      <c r="AJ2726" t="str">
        <f t="shared" si="1770"/>
        <v>Porcentaje II</v>
      </c>
      <c r="AK2726" t="str">
        <f t="shared" si="1771"/>
        <v>Foto</v>
      </c>
      <c r="AL2726" t="str">
        <f t="shared" si="1782"/>
        <v xml:space="preserve">{\rtf1\ansi\ansicpg1252\deff0{\fonttbl{\f0\fnil\fcharset0 MS Sans Serif}} \viewkind4\uc1\pard\lang11274\f0\fs16\par } </v>
      </c>
      <c r="AM2726" t="str">
        <f t="shared" si="1779"/>
        <v>-</v>
      </c>
    </row>
    <row r="2727" spans="1:39" x14ac:dyDescent="0.25">
      <c r="A2727" t="str">
        <f>"FI40043"</f>
        <v>FI40043</v>
      </c>
      <c r="B2727" t="str">
        <f>"SENSOR MAP FIAT IDEA - PALIO - SIENA - PUNTO 1.4 MPI 3 PINS"</f>
        <v>SENSOR MAP FIAT IDEA - PALIO - SIENA - PUNTO 1.4 MPI 3 PINS</v>
      </c>
      <c r="C2727" t="str">
        <f>"$ 33613,58"</f>
        <v>$ 33613,58</v>
      </c>
      <c r="D2727" t="str">
        <f>"$ 33613,58"</f>
        <v>$ 33613,58</v>
      </c>
      <c r="E2727" t="str">
        <f>"$ 33613,58"</f>
        <v>$ 33613,58</v>
      </c>
      <c r="F2727" t="str">
        <f>"$ 33613,58"</f>
        <v>$ 33613,58</v>
      </c>
      <c r="G2727" t="str">
        <f>"$ 33613,58"</f>
        <v>$ 33613,58</v>
      </c>
      <c r="H2727" t="str">
        <f t="shared" si="1754"/>
        <v>$ 0,00</v>
      </c>
      <c r="I2727" t="str">
        <f t="shared" si="1780"/>
        <v>SENSOR MAP</v>
      </c>
      <c r="J2727" t="str">
        <f t="shared" si="1755"/>
        <v>1</v>
      </c>
      <c r="K2727" t="str">
        <f t="shared" si="1781"/>
        <v>0</v>
      </c>
      <c r="L2727" t="str">
        <f>"4,000"</f>
        <v>4,000</v>
      </c>
      <c r="M2727" t="str">
        <f t="shared" si="1756"/>
        <v xml:space="preserve"> </v>
      </c>
      <c r="N2727" t="str">
        <f t="shared" si="1778"/>
        <v>FISPA</v>
      </c>
      <c r="O2727" t="str">
        <f t="shared" si="1785"/>
        <v>SENSORES</v>
      </c>
      <c r="P2727" t="str">
        <f t="shared" si="1783"/>
        <v>0</v>
      </c>
      <c r="Q2727" t="str">
        <f t="shared" si="1783"/>
        <v>0</v>
      </c>
      <c r="R2727" t="str">
        <f t="shared" si="1784"/>
        <v>0,00</v>
      </c>
      <c r="S2727" t="str">
        <f t="shared" si="1784"/>
        <v>0,00</v>
      </c>
      <c r="T2727" t="str">
        <f t="shared" si="1751"/>
        <v xml:space="preserve"> </v>
      </c>
      <c r="U2727" t="str">
        <f t="shared" si="1753"/>
        <v xml:space="preserve"> </v>
      </c>
      <c r="V2727" t="str">
        <f>"4,000"</f>
        <v>4,000</v>
      </c>
      <c r="W2727" t="str">
        <f t="shared" si="1757"/>
        <v>Lista 4</v>
      </c>
      <c r="X2727" t="str">
        <f t="shared" si="1758"/>
        <v>Lista 5</v>
      </c>
      <c r="Y2727" t="str">
        <f t="shared" si="1759"/>
        <v>Oferta Gral.</v>
      </c>
      <c r="Z2727" t="str">
        <f t="shared" si="1760"/>
        <v>Rubro</v>
      </c>
      <c r="AA2727" t="str">
        <f t="shared" si="1761"/>
        <v>Cantidad por Bulto</v>
      </c>
      <c r="AB2727" t="str">
        <f t="shared" si="1762"/>
        <v>INNER</v>
      </c>
      <c r="AC2727" t="str">
        <f t="shared" si="1763"/>
        <v>Stock en Bultos</v>
      </c>
      <c r="AD2727" t="str">
        <f t="shared" si="1764"/>
        <v>SubDepósito</v>
      </c>
      <c r="AE2727" t="str">
        <f t="shared" si="1765"/>
        <v>Marca</v>
      </c>
      <c r="AF2727" t="str">
        <f t="shared" si="1766"/>
        <v>Super Rubro</v>
      </c>
      <c r="AG2727" t="str">
        <f t="shared" si="1767"/>
        <v>ComercioExterior</v>
      </c>
      <c r="AH2727" t="str">
        <f t="shared" si="1768"/>
        <v>PrecioFOB</v>
      </c>
      <c r="AI2727" t="str">
        <f t="shared" si="1769"/>
        <v>Monto II</v>
      </c>
      <c r="AJ2727" t="str">
        <f t="shared" si="1770"/>
        <v>Porcentaje II</v>
      </c>
      <c r="AK2727" t="str">
        <f t="shared" si="1771"/>
        <v>Foto</v>
      </c>
      <c r="AL2727" t="str">
        <f>" "</f>
        <v xml:space="preserve"> </v>
      </c>
      <c r="AM2727" t="str">
        <f t="shared" si="1779"/>
        <v>-</v>
      </c>
    </row>
    <row r="2728" spans="1:39" x14ac:dyDescent="0.25">
      <c r="A2728" t="str">
        <f>"FI40020"</f>
        <v>FI40020</v>
      </c>
      <c r="B2728" t="str">
        <f>"SENSOR MAP FIAT PALIO-SIENA- IDEA MOTOR 1.8 8V   "</f>
        <v xml:space="preserve">SENSOR MAP FIAT PALIO-SIENA- IDEA MOTOR 1.8 8V   </v>
      </c>
      <c r="C2728" t="str">
        <f>"$ 29268,31"</f>
        <v>$ 29268,31</v>
      </c>
      <c r="D2728" t="str">
        <f>"$ 29268,31"</f>
        <v>$ 29268,31</v>
      </c>
      <c r="E2728" t="str">
        <f>"$ 29268,31"</f>
        <v>$ 29268,31</v>
      </c>
      <c r="F2728" t="str">
        <f>"$ 29268,31"</f>
        <v>$ 29268,31</v>
      </c>
      <c r="G2728" t="str">
        <f>"$ 29268,31"</f>
        <v>$ 29268,31</v>
      </c>
      <c r="H2728" t="str">
        <f t="shared" si="1754"/>
        <v>$ 0,00</v>
      </c>
      <c r="I2728" t="str">
        <f t="shared" si="1780"/>
        <v>SENSOR MAP</v>
      </c>
      <c r="J2728" t="str">
        <f t="shared" si="1755"/>
        <v>1</v>
      </c>
      <c r="K2728" t="str">
        <f t="shared" si="1781"/>
        <v>0</v>
      </c>
      <c r="L2728" t="str">
        <f>"3,000"</f>
        <v>3,000</v>
      </c>
      <c r="M2728" t="str">
        <f t="shared" si="1756"/>
        <v xml:space="preserve"> </v>
      </c>
      <c r="N2728" t="str">
        <f t="shared" si="1778"/>
        <v>FISPA</v>
      </c>
      <c r="O2728" t="str">
        <f t="shared" si="1785"/>
        <v>SENSORES</v>
      </c>
      <c r="P2728" t="str">
        <f t="shared" si="1783"/>
        <v>0</v>
      </c>
      <c r="Q2728" t="str">
        <f t="shared" si="1783"/>
        <v>0</v>
      </c>
      <c r="R2728" t="str">
        <f t="shared" si="1784"/>
        <v>0,00</v>
      </c>
      <c r="S2728" t="str">
        <f t="shared" si="1784"/>
        <v>0,00</v>
      </c>
      <c r="T2728" t="str">
        <f t="shared" si="1751"/>
        <v xml:space="preserve"> </v>
      </c>
      <c r="U2728" t="str">
        <f t="shared" si="1753"/>
        <v xml:space="preserve"> </v>
      </c>
      <c r="V2728" t="str">
        <f>"3,000"</f>
        <v>3,000</v>
      </c>
      <c r="W2728" t="str">
        <f t="shared" si="1757"/>
        <v>Lista 4</v>
      </c>
      <c r="X2728" t="str">
        <f t="shared" si="1758"/>
        <v>Lista 5</v>
      </c>
      <c r="Y2728" t="str">
        <f t="shared" si="1759"/>
        <v>Oferta Gral.</v>
      </c>
      <c r="Z2728" t="str">
        <f t="shared" si="1760"/>
        <v>Rubro</v>
      </c>
      <c r="AA2728" t="str">
        <f t="shared" si="1761"/>
        <v>Cantidad por Bulto</v>
      </c>
      <c r="AB2728" t="str">
        <f t="shared" si="1762"/>
        <v>INNER</v>
      </c>
      <c r="AC2728" t="str">
        <f t="shared" si="1763"/>
        <v>Stock en Bultos</v>
      </c>
      <c r="AD2728" t="str">
        <f t="shared" si="1764"/>
        <v>SubDepósito</v>
      </c>
      <c r="AE2728" t="str">
        <f t="shared" si="1765"/>
        <v>Marca</v>
      </c>
      <c r="AF2728" t="str">
        <f t="shared" si="1766"/>
        <v>Super Rubro</v>
      </c>
      <c r="AG2728" t="str">
        <f t="shared" si="1767"/>
        <v>ComercioExterior</v>
      </c>
      <c r="AH2728" t="str">
        <f t="shared" si="1768"/>
        <v>PrecioFOB</v>
      </c>
      <c r="AI2728" t="str">
        <f t="shared" si="1769"/>
        <v>Monto II</v>
      </c>
      <c r="AJ2728" t="str">
        <f t="shared" si="1770"/>
        <v>Porcentaje II</v>
      </c>
      <c r="AK2728" t="str">
        <f t="shared" si="1771"/>
        <v>Foto</v>
      </c>
      <c r="AL272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28" t="str">
        <f t="shared" si="1779"/>
        <v>-</v>
      </c>
    </row>
    <row r="2729" spans="1:39" x14ac:dyDescent="0.25">
      <c r="A2729" t="str">
        <f>"FI40007"</f>
        <v>FI40007</v>
      </c>
      <c r="B2729" t="str">
        <f>"SENSOR MAP FIAT PALIO/SIENA 1.3 MPI/IDEA/FIAT LINEA/PUNTO 1.2 - 1.4 -STILO 1.2 1.4"</f>
        <v>SENSOR MAP FIAT PALIO/SIENA 1.3 MPI/IDEA/FIAT LINEA/PUNTO 1.2 - 1.4 -STILO 1.2 1.4</v>
      </c>
      <c r="C2729" t="str">
        <f>"$ 33639,21"</f>
        <v>$ 33639,21</v>
      </c>
      <c r="D2729" t="str">
        <f>"$ 33639,21"</f>
        <v>$ 33639,21</v>
      </c>
      <c r="E2729" t="str">
        <f>"$ 33639,21"</f>
        <v>$ 33639,21</v>
      </c>
      <c r="F2729" t="str">
        <f>"$ 33639,21"</f>
        <v>$ 33639,21</v>
      </c>
      <c r="G2729" t="str">
        <f>"$ 33639,21"</f>
        <v>$ 33639,21</v>
      </c>
      <c r="H2729" t="str">
        <f t="shared" si="1754"/>
        <v>$ 0,00</v>
      </c>
      <c r="I2729" t="str">
        <f t="shared" si="1780"/>
        <v>SENSOR MAP</v>
      </c>
      <c r="J2729" t="str">
        <f t="shared" si="1755"/>
        <v>1</v>
      </c>
      <c r="K2729" t="str">
        <f t="shared" si="1781"/>
        <v>0</v>
      </c>
      <c r="L2729" t="str">
        <f>"3,000"</f>
        <v>3,000</v>
      </c>
      <c r="M2729" t="str">
        <f t="shared" si="1756"/>
        <v xml:space="preserve"> </v>
      </c>
      <c r="N2729" t="str">
        <f t="shared" si="1778"/>
        <v>FISPA</v>
      </c>
      <c r="O2729" t="str">
        <f t="shared" si="1785"/>
        <v>SENSORES</v>
      </c>
      <c r="P2729" t="str">
        <f t="shared" si="1783"/>
        <v>0</v>
      </c>
      <c r="Q2729" t="str">
        <f t="shared" si="1783"/>
        <v>0</v>
      </c>
      <c r="R2729" t="str">
        <f t="shared" si="1784"/>
        <v>0,00</v>
      </c>
      <c r="S2729" t="str">
        <f t="shared" si="1784"/>
        <v>0,00</v>
      </c>
      <c r="T2729" t="str">
        <f t="shared" si="1751"/>
        <v xml:space="preserve"> </v>
      </c>
      <c r="U2729" t="str">
        <f t="shared" si="1753"/>
        <v xml:space="preserve"> </v>
      </c>
      <c r="V2729" t="str">
        <f>"3,000"</f>
        <v>3,000</v>
      </c>
      <c r="W2729" t="str">
        <f t="shared" si="1757"/>
        <v>Lista 4</v>
      </c>
      <c r="X2729" t="str">
        <f t="shared" si="1758"/>
        <v>Lista 5</v>
      </c>
      <c r="Y2729" t="str">
        <f t="shared" si="1759"/>
        <v>Oferta Gral.</v>
      </c>
      <c r="Z2729" t="str">
        <f t="shared" si="1760"/>
        <v>Rubro</v>
      </c>
      <c r="AA2729" t="str">
        <f t="shared" si="1761"/>
        <v>Cantidad por Bulto</v>
      </c>
      <c r="AB2729" t="str">
        <f t="shared" si="1762"/>
        <v>INNER</v>
      </c>
      <c r="AC2729" t="str">
        <f t="shared" si="1763"/>
        <v>Stock en Bultos</v>
      </c>
      <c r="AD2729" t="str">
        <f t="shared" si="1764"/>
        <v>SubDepósito</v>
      </c>
      <c r="AE2729" t="str">
        <f t="shared" si="1765"/>
        <v>Marca</v>
      </c>
      <c r="AF2729" t="str">
        <f t="shared" si="1766"/>
        <v>Super Rubro</v>
      </c>
      <c r="AG2729" t="str">
        <f t="shared" si="1767"/>
        <v>ComercioExterior</v>
      </c>
      <c r="AH2729" t="str">
        <f t="shared" si="1768"/>
        <v>PrecioFOB</v>
      </c>
      <c r="AI2729" t="str">
        <f t="shared" si="1769"/>
        <v>Monto II</v>
      </c>
      <c r="AJ2729" t="str">
        <f t="shared" si="1770"/>
        <v>Porcentaje II</v>
      </c>
      <c r="AK2729" t="str">
        <f t="shared" si="1771"/>
        <v>Foto</v>
      </c>
      <c r="AL272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29" t="str">
        <f t="shared" si="1779"/>
        <v>-</v>
      </c>
    </row>
    <row r="2730" spans="1:39" x14ac:dyDescent="0.25">
      <c r="A2730" t="str">
        <f>"FI40003"</f>
        <v>FI40003</v>
      </c>
      <c r="B2730" t="str">
        <f>"SENSOR MAP FIESTA - ORION"</f>
        <v>SENSOR MAP FIESTA - ORION</v>
      </c>
      <c r="C2730" t="str">
        <f>"$ 45821,83"</f>
        <v>$ 45821,83</v>
      </c>
      <c r="D2730" t="str">
        <f>"$ 45821,83"</f>
        <v>$ 45821,83</v>
      </c>
      <c r="E2730" t="str">
        <f>"$ 45821,83"</f>
        <v>$ 45821,83</v>
      </c>
      <c r="F2730" t="str">
        <f>"$ 45821,83"</f>
        <v>$ 45821,83</v>
      </c>
      <c r="G2730" t="str">
        <f>"$ 45821,83"</f>
        <v>$ 45821,83</v>
      </c>
      <c r="H2730" t="str">
        <f t="shared" si="1754"/>
        <v>$ 0,00</v>
      </c>
      <c r="I2730" t="str">
        <f t="shared" si="1780"/>
        <v>SENSOR MAP</v>
      </c>
      <c r="J2730" t="str">
        <f t="shared" si="1755"/>
        <v>1</v>
      </c>
      <c r="K2730" t="str">
        <f t="shared" si="1781"/>
        <v>0</v>
      </c>
      <c r="L2730" t="str">
        <f>"5,000"</f>
        <v>5,000</v>
      </c>
      <c r="M2730" t="str">
        <f t="shared" si="1756"/>
        <v xml:space="preserve"> </v>
      </c>
      <c r="N2730" t="str">
        <f t="shared" si="1778"/>
        <v>FISPA</v>
      </c>
      <c r="O2730" t="str">
        <f t="shared" si="1785"/>
        <v>SENSORES</v>
      </c>
      <c r="P2730" t="str">
        <f t="shared" si="1783"/>
        <v>0</v>
      </c>
      <c r="Q2730" t="str">
        <f t="shared" si="1783"/>
        <v>0</v>
      </c>
      <c r="R2730" t="str">
        <f t="shared" si="1784"/>
        <v>0,00</v>
      </c>
      <c r="S2730" t="str">
        <f t="shared" si="1784"/>
        <v>0,00</v>
      </c>
      <c r="T2730" t="str">
        <f t="shared" si="1751"/>
        <v xml:space="preserve"> </v>
      </c>
      <c r="U2730" t="str">
        <f t="shared" si="1753"/>
        <v xml:space="preserve"> </v>
      </c>
      <c r="V2730" t="str">
        <f>"5,000"</f>
        <v>5,000</v>
      </c>
      <c r="W2730" t="str">
        <f t="shared" si="1757"/>
        <v>Lista 4</v>
      </c>
      <c r="X2730" t="str">
        <f t="shared" si="1758"/>
        <v>Lista 5</v>
      </c>
      <c r="Y2730" t="str">
        <f t="shared" si="1759"/>
        <v>Oferta Gral.</v>
      </c>
      <c r="Z2730" t="str">
        <f t="shared" si="1760"/>
        <v>Rubro</v>
      </c>
      <c r="AA2730" t="str">
        <f t="shared" si="1761"/>
        <v>Cantidad por Bulto</v>
      </c>
      <c r="AB2730" t="str">
        <f t="shared" si="1762"/>
        <v>INNER</v>
      </c>
      <c r="AC2730" t="str">
        <f t="shared" si="1763"/>
        <v>Stock en Bultos</v>
      </c>
      <c r="AD2730" t="str">
        <f t="shared" si="1764"/>
        <v>SubDepósito</v>
      </c>
      <c r="AE2730" t="str">
        <f t="shared" si="1765"/>
        <v>Marca</v>
      </c>
      <c r="AF2730" t="str">
        <f t="shared" si="1766"/>
        <v>Super Rubro</v>
      </c>
      <c r="AG2730" t="str">
        <f t="shared" si="1767"/>
        <v>ComercioExterior</v>
      </c>
      <c r="AH2730" t="str">
        <f t="shared" si="1768"/>
        <v>PrecioFOB</v>
      </c>
      <c r="AI2730" t="str">
        <f t="shared" si="1769"/>
        <v>Monto II</v>
      </c>
      <c r="AJ2730" t="str">
        <f t="shared" si="1770"/>
        <v>Porcentaje II</v>
      </c>
      <c r="AK2730" t="str">
        <f t="shared" si="1771"/>
        <v>Foto</v>
      </c>
      <c r="AL273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30" t="str">
        <f t="shared" si="1779"/>
        <v>-</v>
      </c>
    </row>
    <row r="2731" spans="1:39" x14ac:dyDescent="0.25">
      <c r="A2731" t="str">
        <f>"FI40011"</f>
        <v>FI40011</v>
      </c>
      <c r="B2731" t="str">
        <f>"SENSOR MAP FORD FIESTA 1.0, 1.6 ZETEC ROCAM 02/"</f>
        <v>SENSOR MAP FORD FIESTA 1.0, 1.6 ZETEC ROCAM 02/</v>
      </c>
      <c r="C2731" t="str">
        <f>"$ 49196,73"</f>
        <v>$ 49196,73</v>
      </c>
      <c r="D2731" t="str">
        <f>"$ 49196,73"</f>
        <v>$ 49196,73</v>
      </c>
      <c r="E2731" t="str">
        <f>"$ 49196,73"</f>
        <v>$ 49196,73</v>
      </c>
      <c r="F2731" t="str">
        <f>"$ 49196,73"</f>
        <v>$ 49196,73</v>
      </c>
      <c r="G2731" t="str">
        <f>"$ 49196,73"</f>
        <v>$ 49196,73</v>
      </c>
      <c r="H2731" t="str">
        <f t="shared" si="1754"/>
        <v>$ 0,00</v>
      </c>
      <c r="I2731" t="str">
        <f t="shared" si="1780"/>
        <v>SENSOR MAP</v>
      </c>
      <c r="J2731" t="str">
        <f t="shared" si="1755"/>
        <v>1</v>
      </c>
      <c r="K2731" t="str">
        <f t="shared" si="1781"/>
        <v>0</v>
      </c>
      <c r="L2731" t="str">
        <f>"8,000"</f>
        <v>8,000</v>
      </c>
      <c r="M2731" t="str">
        <f t="shared" si="1756"/>
        <v xml:space="preserve"> </v>
      </c>
      <c r="N2731" t="str">
        <f t="shared" si="1778"/>
        <v>FISPA</v>
      </c>
      <c r="O2731" t="str">
        <f t="shared" si="1785"/>
        <v>SENSORES</v>
      </c>
      <c r="P2731" t="str">
        <f t="shared" si="1783"/>
        <v>0</v>
      </c>
      <c r="Q2731" t="str">
        <f t="shared" si="1783"/>
        <v>0</v>
      </c>
      <c r="R2731" t="str">
        <f t="shared" si="1784"/>
        <v>0,00</v>
      </c>
      <c r="S2731" t="str">
        <f t="shared" si="1784"/>
        <v>0,00</v>
      </c>
      <c r="T2731" t="str">
        <f t="shared" si="1751"/>
        <v xml:space="preserve"> </v>
      </c>
      <c r="U2731" t="str">
        <f t="shared" si="1753"/>
        <v xml:space="preserve"> </v>
      </c>
      <c r="V2731" t="str">
        <f>"8,000"</f>
        <v>8,000</v>
      </c>
      <c r="W2731" t="str">
        <f t="shared" si="1757"/>
        <v>Lista 4</v>
      </c>
      <c r="X2731" t="str">
        <f t="shared" si="1758"/>
        <v>Lista 5</v>
      </c>
      <c r="Y2731" t="str">
        <f t="shared" si="1759"/>
        <v>Oferta Gral.</v>
      </c>
      <c r="Z2731" t="str">
        <f t="shared" si="1760"/>
        <v>Rubro</v>
      </c>
      <c r="AA2731" t="str">
        <f t="shared" si="1761"/>
        <v>Cantidad por Bulto</v>
      </c>
      <c r="AB2731" t="str">
        <f t="shared" si="1762"/>
        <v>INNER</v>
      </c>
      <c r="AC2731" t="str">
        <f t="shared" si="1763"/>
        <v>Stock en Bultos</v>
      </c>
      <c r="AD2731" t="str">
        <f t="shared" si="1764"/>
        <v>SubDepósito</v>
      </c>
      <c r="AE2731" t="str">
        <f t="shared" si="1765"/>
        <v>Marca</v>
      </c>
      <c r="AF2731" t="str">
        <f t="shared" si="1766"/>
        <v>Super Rubro</v>
      </c>
      <c r="AG2731" t="str">
        <f t="shared" si="1767"/>
        <v>ComercioExterior</v>
      </c>
      <c r="AH2731" t="str">
        <f t="shared" si="1768"/>
        <v>PrecioFOB</v>
      </c>
      <c r="AI2731" t="str">
        <f t="shared" si="1769"/>
        <v>Monto II</v>
      </c>
      <c r="AJ2731" t="str">
        <f t="shared" si="1770"/>
        <v>Porcentaje II</v>
      </c>
      <c r="AK2731" t="str">
        <f t="shared" si="1771"/>
        <v>Foto</v>
      </c>
      <c r="AL273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31" t="str">
        <f t="shared" si="1779"/>
        <v>-</v>
      </c>
    </row>
    <row r="2732" spans="1:39" x14ac:dyDescent="0.25">
      <c r="A2732" t="str">
        <f>"FI40019"</f>
        <v>FI40019</v>
      </c>
      <c r="B2732" t="str">
        <f>"SENSOR MAP FORD FIESTA/FOCUS/MONDEO DURATEC TRANSIT 2.3 16V / VOLVO S40 II 1.8 - V50 1.8"</f>
        <v>SENSOR MAP FORD FIESTA/FOCUS/MONDEO DURATEC TRANSIT 2.3 16V / VOLVO S40 II 1.8 - V50 1.8</v>
      </c>
      <c r="C2732" t="str">
        <f>"$ 46989,92"</f>
        <v>$ 46989,92</v>
      </c>
      <c r="D2732" t="str">
        <f>"$ 46989,92"</f>
        <v>$ 46989,92</v>
      </c>
      <c r="E2732" t="str">
        <f>"$ 46989,92"</f>
        <v>$ 46989,92</v>
      </c>
      <c r="F2732" t="str">
        <f>"$ 46989,92"</f>
        <v>$ 46989,92</v>
      </c>
      <c r="G2732" t="str">
        <f>"$ 46989,92"</f>
        <v>$ 46989,92</v>
      </c>
      <c r="H2732" t="str">
        <f t="shared" si="1754"/>
        <v>$ 0,00</v>
      </c>
      <c r="I2732" t="str">
        <f t="shared" si="1780"/>
        <v>SENSOR MAP</v>
      </c>
      <c r="J2732" t="str">
        <f t="shared" si="1755"/>
        <v>1</v>
      </c>
      <c r="K2732" t="str">
        <f t="shared" si="1781"/>
        <v>0</v>
      </c>
      <c r="L2732" t="str">
        <f>"2,000"</f>
        <v>2,000</v>
      </c>
      <c r="M2732" t="str">
        <f t="shared" si="1756"/>
        <v xml:space="preserve"> </v>
      </c>
      <c r="N2732" t="str">
        <f t="shared" si="1778"/>
        <v>FISPA</v>
      </c>
      <c r="O2732" t="str">
        <f t="shared" si="1785"/>
        <v>SENSORES</v>
      </c>
      <c r="P2732" t="str">
        <f t="shared" si="1783"/>
        <v>0</v>
      </c>
      <c r="Q2732" t="str">
        <f t="shared" si="1783"/>
        <v>0</v>
      </c>
      <c r="R2732" t="str">
        <f t="shared" si="1784"/>
        <v>0,00</v>
      </c>
      <c r="S2732" t="str">
        <f t="shared" si="1784"/>
        <v>0,00</v>
      </c>
      <c r="T2732" t="str">
        <f t="shared" si="1751"/>
        <v xml:space="preserve"> </v>
      </c>
      <c r="U2732" t="str">
        <f t="shared" si="1753"/>
        <v xml:space="preserve"> </v>
      </c>
      <c r="V2732" t="str">
        <f>"2,000"</f>
        <v>2,000</v>
      </c>
      <c r="W2732" t="str">
        <f t="shared" si="1757"/>
        <v>Lista 4</v>
      </c>
      <c r="X2732" t="str">
        <f t="shared" si="1758"/>
        <v>Lista 5</v>
      </c>
      <c r="Y2732" t="str">
        <f t="shared" si="1759"/>
        <v>Oferta Gral.</v>
      </c>
      <c r="Z2732" t="str">
        <f t="shared" si="1760"/>
        <v>Rubro</v>
      </c>
      <c r="AA2732" t="str">
        <f t="shared" si="1761"/>
        <v>Cantidad por Bulto</v>
      </c>
      <c r="AB2732" t="str">
        <f t="shared" si="1762"/>
        <v>INNER</v>
      </c>
      <c r="AC2732" t="str">
        <f t="shared" si="1763"/>
        <v>Stock en Bultos</v>
      </c>
      <c r="AD2732" t="str">
        <f t="shared" si="1764"/>
        <v>SubDepósito</v>
      </c>
      <c r="AE2732" t="str">
        <f t="shared" si="1765"/>
        <v>Marca</v>
      </c>
      <c r="AF2732" t="str">
        <f t="shared" si="1766"/>
        <v>Super Rubro</v>
      </c>
      <c r="AG2732" t="str">
        <f t="shared" si="1767"/>
        <v>ComercioExterior</v>
      </c>
      <c r="AH2732" t="str">
        <f t="shared" si="1768"/>
        <v>PrecioFOB</v>
      </c>
      <c r="AI2732" t="str">
        <f t="shared" si="1769"/>
        <v>Monto II</v>
      </c>
      <c r="AJ2732" t="str">
        <f t="shared" si="1770"/>
        <v>Porcentaje II</v>
      </c>
      <c r="AK2732" t="str">
        <f t="shared" si="1771"/>
        <v>Foto</v>
      </c>
      <c r="AL273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32" t="str">
        <f t="shared" si="1779"/>
        <v>-</v>
      </c>
    </row>
    <row r="2733" spans="1:39" x14ac:dyDescent="0.25">
      <c r="A2733" t="str">
        <f>"FI40016"</f>
        <v>FI40016</v>
      </c>
      <c r="B2733" t="str">
        <f>"SENSOR MAP GM - CHEVROLET BLAZER, S10 4.3 V6 97/00  "</f>
        <v xml:space="preserve">SENSOR MAP GM - CHEVROLET BLAZER, S10 4.3 V6 97/00  </v>
      </c>
      <c r="C2733" t="str">
        <f>"$ 30953,93"</f>
        <v>$ 30953,93</v>
      </c>
      <c r="D2733" t="str">
        <f>"$ 30953,93"</f>
        <v>$ 30953,93</v>
      </c>
      <c r="E2733" t="str">
        <f>"$ 30953,93"</f>
        <v>$ 30953,93</v>
      </c>
      <c r="F2733" t="str">
        <f>"$ 30953,93"</f>
        <v>$ 30953,93</v>
      </c>
      <c r="G2733" t="str">
        <f>"$ 30953,93"</f>
        <v>$ 30953,93</v>
      </c>
      <c r="H2733" t="str">
        <f t="shared" si="1754"/>
        <v>$ 0,00</v>
      </c>
      <c r="I2733" t="str">
        <f t="shared" si="1780"/>
        <v>SENSOR MAP</v>
      </c>
      <c r="J2733" t="str">
        <f t="shared" si="1755"/>
        <v>1</v>
      </c>
      <c r="K2733" t="str">
        <f t="shared" si="1781"/>
        <v>0</v>
      </c>
      <c r="L2733" t="str">
        <f>"0,000"</f>
        <v>0,000</v>
      </c>
      <c r="M2733" t="str">
        <f t="shared" si="1756"/>
        <v xml:space="preserve"> </v>
      </c>
      <c r="N2733" t="str">
        <f t="shared" si="1778"/>
        <v>FISPA</v>
      </c>
      <c r="O2733" t="str">
        <f t="shared" si="1785"/>
        <v>SENSORES</v>
      </c>
      <c r="P2733" t="str">
        <f t="shared" si="1783"/>
        <v>0</v>
      </c>
      <c r="Q2733" t="str">
        <f t="shared" si="1783"/>
        <v>0</v>
      </c>
      <c r="R2733" t="str">
        <f t="shared" si="1784"/>
        <v>0,00</v>
      </c>
      <c r="S2733" t="str">
        <f t="shared" si="1784"/>
        <v>0,00</v>
      </c>
      <c r="T2733" t="str">
        <f t="shared" si="1751"/>
        <v xml:space="preserve"> </v>
      </c>
      <c r="U2733" t="str">
        <f t="shared" si="1753"/>
        <v xml:space="preserve"> </v>
      </c>
      <c r="V2733" t="str">
        <f>"0,000"</f>
        <v>0,000</v>
      </c>
      <c r="W2733" t="str">
        <f t="shared" si="1757"/>
        <v>Lista 4</v>
      </c>
      <c r="X2733" t="str">
        <f t="shared" si="1758"/>
        <v>Lista 5</v>
      </c>
      <c r="Y2733" t="str">
        <f t="shared" si="1759"/>
        <v>Oferta Gral.</v>
      </c>
      <c r="Z2733" t="str">
        <f t="shared" si="1760"/>
        <v>Rubro</v>
      </c>
      <c r="AA2733" t="str">
        <f t="shared" si="1761"/>
        <v>Cantidad por Bulto</v>
      </c>
      <c r="AB2733" t="str">
        <f t="shared" si="1762"/>
        <v>INNER</v>
      </c>
      <c r="AC2733" t="str">
        <f t="shared" si="1763"/>
        <v>Stock en Bultos</v>
      </c>
      <c r="AD2733" t="str">
        <f t="shared" si="1764"/>
        <v>SubDepósito</v>
      </c>
      <c r="AE2733" t="str">
        <f t="shared" si="1765"/>
        <v>Marca</v>
      </c>
      <c r="AF2733" t="str">
        <f t="shared" si="1766"/>
        <v>Super Rubro</v>
      </c>
      <c r="AG2733" t="str">
        <f t="shared" si="1767"/>
        <v>ComercioExterior</v>
      </c>
      <c r="AH2733" t="str">
        <f t="shared" si="1768"/>
        <v>PrecioFOB</v>
      </c>
      <c r="AI2733" t="str">
        <f t="shared" si="1769"/>
        <v>Monto II</v>
      </c>
      <c r="AJ2733" t="str">
        <f t="shared" si="1770"/>
        <v>Porcentaje II</v>
      </c>
      <c r="AK2733" t="str">
        <f t="shared" si="1771"/>
        <v>Foto</v>
      </c>
      <c r="AL273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33" t="str">
        <f t="shared" si="1779"/>
        <v>-</v>
      </c>
    </row>
    <row r="2734" spans="1:39" x14ac:dyDescent="0.25">
      <c r="A2734" t="str">
        <f>"FI40015"</f>
        <v>FI40015</v>
      </c>
      <c r="B2734" t="str">
        <f>"SENSOR MAP GM- CHEVROLET ASTRA GL / GLS 1.8L, 2.0 MPFI 8V 99/  ASTRA GLS/ "</f>
        <v xml:space="preserve">SENSOR MAP GM- CHEVROLET ASTRA GL / GLS 1.8L, 2.0 MPFI 8V 99/  ASTRA GLS/ </v>
      </c>
      <c r="C2734" t="str">
        <f>"$ 50557,68"</f>
        <v>$ 50557,68</v>
      </c>
      <c r="D2734" t="str">
        <f>"$ 50557,68"</f>
        <v>$ 50557,68</v>
      </c>
      <c r="E2734" t="str">
        <f>"$ 50557,68"</f>
        <v>$ 50557,68</v>
      </c>
      <c r="F2734" t="str">
        <f>"$ 50557,68"</f>
        <v>$ 50557,68</v>
      </c>
      <c r="G2734" t="str">
        <f>"$ 50557,68"</f>
        <v>$ 50557,68</v>
      </c>
      <c r="H2734" t="str">
        <f t="shared" si="1754"/>
        <v>$ 0,00</v>
      </c>
      <c r="I2734" t="str">
        <f t="shared" si="1780"/>
        <v>SENSOR MAP</v>
      </c>
      <c r="J2734" t="str">
        <f t="shared" si="1755"/>
        <v>1</v>
      </c>
      <c r="K2734" t="str">
        <f t="shared" si="1781"/>
        <v>0</v>
      </c>
      <c r="L2734" t="str">
        <f>"3,000"</f>
        <v>3,000</v>
      </c>
      <c r="M2734" t="str">
        <f t="shared" si="1756"/>
        <v xml:space="preserve"> </v>
      </c>
      <c r="N2734" t="str">
        <f t="shared" si="1778"/>
        <v>FISPA</v>
      </c>
      <c r="O2734" t="str">
        <f t="shared" si="1785"/>
        <v>SENSORES</v>
      </c>
      <c r="P2734" t="str">
        <f t="shared" si="1783"/>
        <v>0</v>
      </c>
      <c r="Q2734" t="str">
        <f t="shared" si="1783"/>
        <v>0</v>
      </c>
      <c r="R2734" t="str">
        <f t="shared" si="1784"/>
        <v>0,00</v>
      </c>
      <c r="S2734" t="str">
        <f t="shared" si="1784"/>
        <v>0,00</v>
      </c>
      <c r="T2734" t="str">
        <f t="shared" si="1751"/>
        <v xml:space="preserve"> </v>
      </c>
      <c r="U2734" t="str">
        <f t="shared" si="1753"/>
        <v xml:space="preserve"> </v>
      </c>
      <c r="V2734" t="str">
        <f>"3,000"</f>
        <v>3,000</v>
      </c>
      <c r="W2734" t="str">
        <f t="shared" si="1757"/>
        <v>Lista 4</v>
      </c>
      <c r="X2734" t="str">
        <f t="shared" si="1758"/>
        <v>Lista 5</v>
      </c>
      <c r="Y2734" t="str">
        <f t="shared" si="1759"/>
        <v>Oferta Gral.</v>
      </c>
      <c r="Z2734" t="str">
        <f t="shared" si="1760"/>
        <v>Rubro</v>
      </c>
      <c r="AA2734" t="str">
        <f t="shared" si="1761"/>
        <v>Cantidad por Bulto</v>
      </c>
      <c r="AB2734" t="str">
        <f t="shared" si="1762"/>
        <v>INNER</v>
      </c>
      <c r="AC2734" t="str">
        <f t="shared" si="1763"/>
        <v>Stock en Bultos</v>
      </c>
      <c r="AD2734" t="str">
        <f t="shared" si="1764"/>
        <v>SubDepósito</v>
      </c>
      <c r="AE2734" t="str">
        <f t="shared" si="1765"/>
        <v>Marca</v>
      </c>
      <c r="AF2734" t="str">
        <f t="shared" si="1766"/>
        <v>Super Rubro</v>
      </c>
      <c r="AG2734" t="str">
        <f t="shared" si="1767"/>
        <v>ComercioExterior</v>
      </c>
      <c r="AH2734" t="str">
        <f t="shared" si="1768"/>
        <v>PrecioFOB</v>
      </c>
      <c r="AI2734" t="str">
        <f t="shared" si="1769"/>
        <v>Monto II</v>
      </c>
      <c r="AJ2734" t="str">
        <f t="shared" si="1770"/>
        <v>Porcentaje II</v>
      </c>
      <c r="AK2734" t="str">
        <f t="shared" si="1771"/>
        <v>Foto</v>
      </c>
      <c r="AL273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34" t="str">
        <f t="shared" si="1779"/>
        <v>-</v>
      </c>
    </row>
    <row r="2735" spans="1:39" x14ac:dyDescent="0.25">
      <c r="A2735" t="str">
        <f>"FI40032"</f>
        <v>FI40032</v>
      </c>
      <c r="B2735" t="str">
        <f>"SENSOR MAP HONDA ACCORD V 2.2I VTEC 1.8I / 2.0 / 2.0I / 2.2 / 2.3 / CIVIC IV 1.5I 16V"</f>
        <v>SENSOR MAP HONDA ACCORD V 2.2I VTEC 1.8I / 2.0 / 2.0I / 2.2 / 2.3 / CIVIC IV 1.5I 16V</v>
      </c>
      <c r="C2735" t="str">
        <f>"$ 36580,81"</f>
        <v>$ 36580,81</v>
      </c>
      <c r="D2735" t="str">
        <f>"$ 36580,81"</f>
        <v>$ 36580,81</v>
      </c>
      <c r="E2735" t="str">
        <f>"$ 36580,81"</f>
        <v>$ 36580,81</v>
      </c>
      <c r="F2735" t="str">
        <f>"$ 36580,81"</f>
        <v>$ 36580,81</v>
      </c>
      <c r="G2735" t="str">
        <f>"$ 36580,81"</f>
        <v>$ 36580,81</v>
      </c>
      <c r="H2735" t="str">
        <f t="shared" si="1754"/>
        <v>$ 0,00</v>
      </c>
      <c r="I2735" t="str">
        <f t="shared" si="1780"/>
        <v>SENSOR MAP</v>
      </c>
      <c r="J2735" t="str">
        <f t="shared" si="1755"/>
        <v>1</v>
      </c>
      <c r="K2735" t="str">
        <f t="shared" si="1781"/>
        <v>0</v>
      </c>
      <c r="L2735" t="str">
        <f>"0,000"</f>
        <v>0,000</v>
      </c>
      <c r="M2735" t="str">
        <f t="shared" si="1756"/>
        <v xml:space="preserve"> </v>
      </c>
      <c r="N2735" t="str">
        <f t="shared" si="1778"/>
        <v>FISPA</v>
      </c>
      <c r="O2735" t="str">
        <f t="shared" si="1785"/>
        <v>SENSORES</v>
      </c>
      <c r="P2735" t="str">
        <f t="shared" si="1783"/>
        <v>0</v>
      </c>
      <c r="Q2735" t="str">
        <f t="shared" si="1783"/>
        <v>0</v>
      </c>
      <c r="R2735" t="str">
        <f t="shared" si="1784"/>
        <v>0,00</v>
      </c>
      <c r="S2735" t="str">
        <f t="shared" si="1784"/>
        <v>0,00</v>
      </c>
      <c r="T2735" t="str">
        <f t="shared" si="1751"/>
        <v xml:space="preserve"> </v>
      </c>
      <c r="U2735" t="str">
        <f t="shared" si="1753"/>
        <v xml:space="preserve"> </v>
      </c>
      <c r="V2735" t="str">
        <f>"0,000"</f>
        <v>0,000</v>
      </c>
      <c r="W2735" t="str">
        <f t="shared" si="1757"/>
        <v>Lista 4</v>
      </c>
      <c r="X2735" t="str">
        <f t="shared" si="1758"/>
        <v>Lista 5</v>
      </c>
      <c r="Y2735" t="str">
        <f t="shared" si="1759"/>
        <v>Oferta Gral.</v>
      </c>
      <c r="Z2735" t="str">
        <f t="shared" si="1760"/>
        <v>Rubro</v>
      </c>
      <c r="AA2735" t="str">
        <f t="shared" si="1761"/>
        <v>Cantidad por Bulto</v>
      </c>
      <c r="AB2735" t="str">
        <f t="shared" si="1762"/>
        <v>INNER</v>
      </c>
      <c r="AC2735" t="str">
        <f t="shared" si="1763"/>
        <v>Stock en Bultos</v>
      </c>
      <c r="AD2735" t="str">
        <f t="shared" si="1764"/>
        <v>SubDepósito</v>
      </c>
      <c r="AE2735" t="str">
        <f t="shared" si="1765"/>
        <v>Marca</v>
      </c>
      <c r="AF2735" t="str">
        <f t="shared" si="1766"/>
        <v>Super Rubro</v>
      </c>
      <c r="AG2735" t="str">
        <f t="shared" si="1767"/>
        <v>ComercioExterior</v>
      </c>
      <c r="AH2735" t="str">
        <f t="shared" si="1768"/>
        <v>PrecioFOB</v>
      </c>
      <c r="AI2735" t="str">
        <f t="shared" si="1769"/>
        <v>Monto II</v>
      </c>
      <c r="AJ2735" t="str">
        <f t="shared" si="1770"/>
        <v>Porcentaje II</v>
      </c>
      <c r="AK2735" t="str">
        <f t="shared" si="1771"/>
        <v>Foto</v>
      </c>
      <c r="AL273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35" t="str">
        <f t="shared" si="1779"/>
        <v>-</v>
      </c>
    </row>
    <row r="2736" spans="1:39" x14ac:dyDescent="0.25">
      <c r="A2736" t="str">
        <f>"FI40036"</f>
        <v>FI40036</v>
      </c>
      <c r="B2736" t="str">
        <f>"SENSOR MAP HONDA ACCORD VII 2.4 - CIVIC VII 1.4 / 1.4I / 1.6 / 1.6I / 1.7 - CR-V II 2.0 - FIT II 1.2 / 1.3 "</f>
        <v xml:space="preserve">SENSOR MAP HONDA ACCORD VII 2.4 - CIVIC VII 1.4 / 1.4I / 1.6 / 1.6I / 1.7 - CR-V II 2.0 - FIT II 1.2 / 1.3 </v>
      </c>
      <c r="C2736" t="str">
        <f>"$ 48420,44"</f>
        <v>$ 48420,44</v>
      </c>
      <c r="D2736" t="str">
        <f>"$ 48420,44"</f>
        <v>$ 48420,44</v>
      </c>
      <c r="E2736" t="str">
        <f>"$ 48420,44"</f>
        <v>$ 48420,44</v>
      </c>
      <c r="F2736" t="str">
        <f>"$ 48420,44"</f>
        <v>$ 48420,44</v>
      </c>
      <c r="G2736" t="str">
        <f>"$ 48420,44"</f>
        <v>$ 48420,44</v>
      </c>
      <c r="H2736" t="str">
        <f t="shared" si="1754"/>
        <v>$ 0,00</v>
      </c>
      <c r="I2736" t="str">
        <f t="shared" si="1780"/>
        <v>SENSOR MAP</v>
      </c>
      <c r="J2736" t="str">
        <f t="shared" si="1755"/>
        <v>1</v>
      </c>
      <c r="K2736" t="str">
        <f t="shared" si="1781"/>
        <v>0</v>
      </c>
      <c r="L2736" t="str">
        <f>"0,000"</f>
        <v>0,000</v>
      </c>
      <c r="M2736" t="str">
        <f t="shared" si="1756"/>
        <v xml:space="preserve"> </v>
      </c>
      <c r="N2736" t="str">
        <f t="shared" si="1778"/>
        <v>FISPA</v>
      </c>
      <c r="O2736" t="str">
        <f t="shared" si="1785"/>
        <v>SENSORES</v>
      </c>
      <c r="P2736" t="str">
        <f t="shared" si="1783"/>
        <v>0</v>
      </c>
      <c r="Q2736" t="str">
        <f t="shared" si="1783"/>
        <v>0</v>
      </c>
      <c r="R2736" t="str">
        <f t="shared" si="1784"/>
        <v>0,00</v>
      </c>
      <c r="S2736" t="str">
        <f t="shared" si="1784"/>
        <v>0,00</v>
      </c>
      <c r="T2736" t="str">
        <f t="shared" si="1751"/>
        <v xml:space="preserve"> </v>
      </c>
      <c r="U2736" t="str">
        <f t="shared" si="1753"/>
        <v xml:space="preserve"> </v>
      </c>
      <c r="V2736" t="str">
        <f>"0,000"</f>
        <v>0,000</v>
      </c>
      <c r="W2736" t="str">
        <f t="shared" si="1757"/>
        <v>Lista 4</v>
      </c>
      <c r="X2736" t="str">
        <f t="shared" si="1758"/>
        <v>Lista 5</v>
      </c>
      <c r="Y2736" t="str">
        <f t="shared" si="1759"/>
        <v>Oferta Gral.</v>
      </c>
      <c r="Z2736" t="str">
        <f t="shared" si="1760"/>
        <v>Rubro</v>
      </c>
      <c r="AA2736" t="str">
        <f t="shared" si="1761"/>
        <v>Cantidad por Bulto</v>
      </c>
      <c r="AB2736" t="str">
        <f t="shared" si="1762"/>
        <v>INNER</v>
      </c>
      <c r="AC2736" t="str">
        <f t="shared" si="1763"/>
        <v>Stock en Bultos</v>
      </c>
      <c r="AD2736" t="str">
        <f t="shared" si="1764"/>
        <v>SubDepósito</v>
      </c>
      <c r="AE2736" t="str">
        <f t="shared" si="1765"/>
        <v>Marca</v>
      </c>
      <c r="AF2736" t="str">
        <f t="shared" si="1766"/>
        <v>Super Rubro</v>
      </c>
      <c r="AG2736" t="str">
        <f t="shared" si="1767"/>
        <v>ComercioExterior</v>
      </c>
      <c r="AH2736" t="str">
        <f t="shared" si="1768"/>
        <v>PrecioFOB</v>
      </c>
      <c r="AI2736" t="str">
        <f t="shared" si="1769"/>
        <v>Monto II</v>
      </c>
      <c r="AJ2736" t="str">
        <f t="shared" si="1770"/>
        <v>Porcentaje II</v>
      </c>
      <c r="AK2736" t="str">
        <f t="shared" si="1771"/>
        <v>Foto</v>
      </c>
      <c r="AL273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36" t="str">
        <f t="shared" si="1779"/>
        <v>-</v>
      </c>
    </row>
    <row r="2737" spans="1:39" x14ac:dyDescent="0.25">
      <c r="A2737" t="str">
        <f>"FI40047"</f>
        <v>FI40047</v>
      </c>
      <c r="B2737" t="str">
        <f>"SENSOR MAP HYUNDAI ACCENT / ATOS / SONA / TUCSON - KIA SPORTAGE 2.0"</f>
        <v>SENSOR MAP HYUNDAI ACCENT / ATOS / SONA / TUCSON - KIA SPORTAGE 2.0</v>
      </c>
      <c r="C2737" t="str">
        <f>"$ 23048,23"</f>
        <v>$ 23048,23</v>
      </c>
      <c r="D2737" t="str">
        <f>"$ 23048,23"</f>
        <v>$ 23048,23</v>
      </c>
      <c r="E2737" t="str">
        <f>"$ 23048,23"</f>
        <v>$ 23048,23</v>
      </c>
      <c r="F2737" t="str">
        <f>"$ 23048,23"</f>
        <v>$ 23048,23</v>
      </c>
      <c r="G2737" t="str">
        <f>"$ 23048,23"</f>
        <v>$ 23048,23</v>
      </c>
      <c r="H2737" t="str">
        <f t="shared" si="1754"/>
        <v>$ 0,00</v>
      </c>
      <c r="I2737" t="str">
        <f t="shared" si="1780"/>
        <v>SENSOR MAP</v>
      </c>
      <c r="J2737" t="str">
        <f t="shared" si="1755"/>
        <v>1</v>
      </c>
      <c r="K2737" t="str">
        <f t="shared" si="1781"/>
        <v>0</v>
      </c>
      <c r="L2737" t="str">
        <f>"0,000"</f>
        <v>0,000</v>
      </c>
      <c r="M2737" t="str">
        <f t="shared" si="1756"/>
        <v xml:space="preserve"> </v>
      </c>
      <c r="N2737" t="str">
        <f t="shared" ref="N2737:N2768" si="1786">"FISPA"</f>
        <v>FISPA</v>
      </c>
      <c r="O2737" t="str">
        <f t="shared" si="1785"/>
        <v>SENSORES</v>
      </c>
      <c r="P2737" t="str">
        <f t="shared" si="1783"/>
        <v>0</v>
      </c>
      <c r="Q2737" t="str">
        <f t="shared" si="1783"/>
        <v>0</v>
      </c>
      <c r="R2737" t="str">
        <f t="shared" si="1784"/>
        <v>0,00</v>
      </c>
      <c r="S2737" t="str">
        <f t="shared" si="1784"/>
        <v>0,00</v>
      </c>
      <c r="T2737" t="str">
        <f t="shared" si="1751"/>
        <v xml:space="preserve"> </v>
      </c>
      <c r="U2737" t="str">
        <f t="shared" si="1753"/>
        <v xml:space="preserve"> </v>
      </c>
      <c r="V2737" t="str">
        <f>"0,000"</f>
        <v>0,000</v>
      </c>
      <c r="W2737" t="str">
        <f t="shared" si="1757"/>
        <v>Lista 4</v>
      </c>
      <c r="X2737" t="str">
        <f t="shared" si="1758"/>
        <v>Lista 5</v>
      </c>
      <c r="Y2737" t="str">
        <f t="shared" si="1759"/>
        <v>Oferta Gral.</v>
      </c>
      <c r="Z2737" t="str">
        <f t="shared" si="1760"/>
        <v>Rubro</v>
      </c>
      <c r="AA2737" t="str">
        <f t="shared" si="1761"/>
        <v>Cantidad por Bulto</v>
      </c>
      <c r="AB2737" t="str">
        <f t="shared" si="1762"/>
        <v>INNER</v>
      </c>
      <c r="AC2737" t="str">
        <f t="shared" si="1763"/>
        <v>Stock en Bultos</v>
      </c>
      <c r="AD2737" t="str">
        <f t="shared" si="1764"/>
        <v>SubDepósito</v>
      </c>
      <c r="AE2737" t="str">
        <f t="shared" si="1765"/>
        <v>Marca</v>
      </c>
      <c r="AF2737" t="str">
        <f t="shared" si="1766"/>
        <v>Super Rubro</v>
      </c>
      <c r="AG2737" t="str">
        <f t="shared" si="1767"/>
        <v>ComercioExterior</v>
      </c>
      <c r="AH2737" t="str">
        <f t="shared" si="1768"/>
        <v>PrecioFOB</v>
      </c>
      <c r="AI2737" t="str">
        <f t="shared" si="1769"/>
        <v>Monto II</v>
      </c>
      <c r="AJ2737" t="str">
        <f t="shared" si="1770"/>
        <v>Porcentaje II</v>
      </c>
      <c r="AK2737" t="str">
        <f t="shared" si="1771"/>
        <v>Foto</v>
      </c>
      <c r="AL2737" t="str">
        <f>" "</f>
        <v xml:space="preserve"> </v>
      </c>
      <c r="AM2737" t="str">
        <f t="shared" si="1779"/>
        <v>-</v>
      </c>
    </row>
    <row r="2738" spans="1:39" x14ac:dyDescent="0.25">
      <c r="A2738" t="str">
        <f>"FI40045"</f>
        <v>FI40045</v>
      </c>
      <c r="B2738" t="str">
        <f>"SENSOR MAP HYUNDAI TODOS KIA TODOS "</f>
        <v xml:space="preserve">SENSOR MAP HYUNDAI TODOS KIA TODOS </v>
      </c>
      <c r="C2738" t="str">
        <f>"$ 25627,32"</f>
        <v>$ 25627,32</v>
      </c>
      <c r="D2738" t="str">
        <f>"$ 25627,32"</f>
        <v>$ 25627,32</v>
      </c>
      <c r="E2738" t="str">
        <f>"$ 25627,32"</f>
        <v>$ 25627,32</v>
      </c>
      <c r="F2738" t="str">
        <f>"$ 25627,32"</f>
        <v>$ 25627,32</v>
      </c>
      <c r="G2738" t="str">
        <f>"$ 25627,32"</f>
        <v>$ 25627,32</v>
      </c>
      <c r="H2738" t="str">
        <f t="shared" si="1754"/>
        <v>$ 0,00</v>
      </c>
      <c r="I2738" t="str">
        <f t="shared" si="1780"/>
        <v>SENSOR MAP</v>
      </c>
      <c r="J2738" t="str">
        <f t="shared" si="1755"/>
        <v>1</v>
      </c>
      <c r="K2738" t="str">
        <f t="shared" si="1781"/>
        <v>0</v>
      </c>
      <c r="L2738" t="str">
        <f>"0,000"</f>
        <v>0,000</v>
      </c>
      <c r="M2738" t="str">
        <f t="shared" si="1756"/>
        <v xml:space="preserve"> </v>
      </c>
      <c r="N2738" t="str">
        <f t="shared" si="1786"/>
        <v>FISPA</v>
      </c>
      <c r="O2738" t="str">
        <f t="shared" si="1785"/>
        <v>SENSORES</v>
      </c>
      <c r="P2738" t="str">
        <f t="shared" si="1783"/>
        <v>0</v>
      </c>
      <c r="Q2738" t="str">
        <f t="shared" si="1783"/>
        <v>0</v>
      </c>
      <c r="R2738" t="str">
        <f t="shared" si="1784"/>
        <v>0,00</v>
      </c>
      <c r="S2738" t="str">
        <f t="shared" si="1784"/>
        <v>0,00</v>
      </c>
      <c r="T2738" t="str">
        <f t="shared" si="1751"/>
        <v xml:space="preserve"> </v>
      </c>
      <c r="U2738" t="str">
        <f t="shared" si="1753"/>
        <v xml:space="preserve"> </v>
      </c>
      <c r="V2738" t="str">
        <f>"0,000"</f>
        <v>0,000</v>
      </c>
      <c r="W2738" t="str">
        <f t="shared" si="1757"/>
        <v>Lista 4</v>
      </c>
      <c r="X2738" t="str">
        <f t="shared" si="1758"/>
        <v>Lista 5</v>
      </c>
      <c r="Y2738" t="str">
        <f t="shared" si="1759"/>
        <v>Oferta Gral.</v>
      </c>
      <c r="Z2738" t="str">
        <f t="shared" si="1760"/>
        <v>Rubro</v>
      </c>
      <c r="AA2738" t="str">
        <f t="shared" si="1761"/>
        <v>Cantidad por Bulto</v>
      </c>
      <c r="AB2738" t="str">
        <f t="shared" si="1762"/>
        <v>INNER</v>
      </c>
      <c r="AC2738" t="str">
        <f t="shared" si="1763"/>
        <v>Stock en Bultos</v>
      </c>
      <c r="AD2738" t="str">
        <f t="shared" si="1764"/>
        <v>SubDepósito</v>
      </c>
      <c r="AE2738" t="str">
        <f t="shared" si="1765"/>
        <v>Marca</v>
      </c>
      <c r="AF2738" t="str">
        <f t="shared" si="1766"/>
        <v>Super Rubro</v>
      </c>
      <c r="AG2738" t="str">
        <f t="shared" si="1767"/>
        <v>ComercioExterior</v>
      </c>
      <c r="AH2738" t="str">
        <f t="shared" si="1768"/>
        <v>PrecioFOB</v>
      </c>
      <c r="AI2738" t="str">
        <f t="shared" si="1769"/>
        <v>Monto II</v>
      </c>
      <c r="AJ2738" t="str">
        <f t="shared" si="1770"/>
        <v>Porcentaje II</v>
      </c>
      <c r="AK2738" t="str">
        <f t="shared" si="1771"/>
        <v>Foto</v>
      </c>
      <c r="AL273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38" t="str">
        <f t="shared" si="1779"/>
        <v>-</v>
      </c>
    </row>
    <row r="2739" spans="1:39" x14ac:dyDescent="0.25">
      <c r="A2739" t="str">
        <f>"FI40013"</f>
        <v>FI40013</v>
      </c>
      <c r="B2739" t="str">
        <f>"SENSOR MAP OPEL GM CORSA / ASTRA  1.7 16V, DTI 00/"</f>
        <v>SENSOR MAP OPEL GM CORSA / ASTRA  1.7 16V, DTI 00/</v>
      </c>
      <c r="C2739" t="str">
        <f>"$ 42493,30"</f>
        <v>$ 42493,30</v>
      </c>
      <c r="D2739" t="str">
        <f>"$ 42493,30"</f>
        <v>$ 42493,30</v>
      </c>
      <c r="E2739" t="str">
        <f>"$ 42493,30"</f>
        <v>$ 42493,30</v>
      </c>
      <c r="F2739" t="str">
        <f>"$ 42493,30"</f>
        <v>$ 42493,30</v>
      </c>
      <c r="G2739" t="str">
        <f>"$ 42493,30"</f>
        <v>$ 42493,30</v>
      </c>
      <c r="H2739" t="str">
        <f t="shared" si="1754"/>
        <v>$ 0,00</v>
      </c>
      <c r="I2739" t="str">
        <f t="shared" si="1780"/>
        <v>SENSOR MAP</v>
      </c>
      <c r="J2739" t="str">
        <f t="shared" si="1755"/>
        <v>1</v>
      </c>
      <c r="K2739" t="str">
        <f t="shared" si="1781"/>
        <v>0</v>
      </c>
      <c r="L2739" t="str">
        <f>"0,000"</f>
        <v>0,000</v>
      </c>
      <c r="M2739" t="str">
        <f t="shared" si="1756"/>
        <v xml:space="preserve"> </v>
      </c>
      <c r="N2739" t="str">
        <f t="shared" si="1786"/>
        <v>FISPA</v>
      </c>
      <c r="O2739" t="str">
        <f t="shared" si="1785"/>
        <v>SENSORES</v>
      </c>
      <c r="P2739" t="str">
        <f t="shared" si="1783"/>
        <v>0</v>
      </c>
      <c r="Q2739" t="str">
        <f t="shared" si="1783"/>
        <v>0</v>
      </c>
      <c r="R2739" t="str">
        <f t="shared" si="1784"/>
        <v>0,00</v>
      </c>
      <c r="S2739" t="str">
        <f t="shared" si="1784"/>
        <v>0,00</v>
      </c>
      <c r="T2739" t="str">
        <f t="shared" si="1751"/>
        <v xml:space="preserve"> </v>
      </c>
      <c r="U2739" t="str">
        <f t="shared" si="1753"/>
        <v xml:space="preserve"> </v>
      </c>
      <c r="V2739" t="str">
        <f>"0,000"</f>
        <v>0,000</v>
      </c>
      <c r="W2739" t="str">
        <f t="shared" si="1757"/>
        <v>Lista 4</v>
      </c>
      <c r="X2739" t="str">
        <f t="shared" si="1758"/>
        <v>Lista 5</v>
      </c>
      <c r="Y2739" t="str">
        <f t="shared" si="1759"/>
        <v>Oferta Gral.</v>
      </c>
      <c r="Z2739" t="str">
        <f t="shared" si="1760"/>
        <v>Rubro</v>
      </c>
      <c r="AA2739" t="str">
        <f t="shared" si="1761"/>
        <v>Cantidad por Bulto</v>
      </c>
      <c r="AB2739" t="str">
        <f t="shared" si="1762"/>
        <v>INNER</v>
      </c>
      <c r="AC2739" t="str">
        <f t="shared" si="1763"/>
        <v>Stock en Bultos</v>
      </c>
      <c r="AD2739" t="str">
        <f t="shared" si="1764"/>
        <v>SubDepósito</v>
      </c>
      <c r="AE2739" t="str">
        <f t="shared" si="1765"/>
        <v>Marca</v>
      </c>
      <c r="AF2739" t="str">
        <f t="shared" si="1766"/>
        <v>Super Rubro</v>
      </c>
      <c r="AG2739" t="str">
        <f t="shared" si="1767"/>
        <v>ComercioExterior</v>
      </c>
      <c r="AH2739" t="str">
        <f t="shared" si="1768"/>
        <v>PrecioFOB</v>
      </c>
      <c r="AI2739" t="str">
        <f t="shared" si="1769"/>
        <v>Monto II</v>
      </c>
      <c r="AJ2739" t="str">
        <f t="shared" si="1770"/>
        <v>Porcentaje II</v>
      </c>
      <c r="AK2739" t="str">
        <f t="shared" si="1771"/>
        <v>Foto</v>
      </c>
      <c r="AL2739" t="str">
        <f>" "</f>
        <v xml:space="preserve"> </v>
      </c>
      <c r="AM2739" t="str">
        <f t="shared" si="1779"/>
        <v>-</v>
      </c>
    </row>
    <row r="2740" spans="1:39" x14ac:dyDescent="0.25">
      <c r="A2740" t="str">
        <f>"FI40014"</f>
        <v>FI40014</v>
      </c>
      <c r="B2740" t="str">
        <f>"SENSOR MAP PALIO 1.0 1.5, 1.6 MPI 99/. - 1.6 16V 98/UNO 1.0, 1.5 MPI 99/."</f>
        <v>SENSOR MAP PALIO 1.0 1.5, 1.6 MPI 99/. - 1.6 16V 98/UNO 1.0, 1.5 MPI 99/.</v>
      </c>
      <c r="C2740" t="str">
        <f>"$ 25463,76"</f>
        <v>$ 25463,76</v>
      </c>
      <c r="D2740" t="str">
        <f>"$ 25463,76"</f>
        <v>$ 25463,76</v>
      </c>
      <c r="E2740" t="str">
        <f>"$ 25463,76"</f>
        <v>$ 25463,76</v>
      </c>
      <c r="F2740" t="str">
        <f>"$ 25463,76"</f>
        <v>$ 25463,76</v>
      </c>
      <c r="G2740" t="str">
        <f>"$ 25463,76"</f>
        <v>$ 25463,76</v>
      </c>
      <c r="H2740" t="str">
        <f t="shared" si="1754"/>
        <v>$ 0,00</v>
      </c>
      <c r="I2740" t="str">
        <f t="shared" si="1780"/>
        <v>SENSOR MAP</v>
      </c>
      <c r="J2740" t="str">
        <f t="shared" si="1755"/>
        <v>1</v>
      </c>
      <c r="K2740" t="str">
        <f t="shared" si="1781"/>
        <v>0</v>
      </c>
      <c r="L2740" t="str">
        <f>"2,000"</f>
        <v>2,000</v>
      </c>
      <c r="M2740" t="str">
        <f t="shared" si="1756"/>
        <v xml:space="preserve"> </v>
      </c>
      <c r="N2740" t="str">
        <f t="shared" si="1786"/>
        <v>FISPA</v>
      </c>
      <c r="O2740" t="str">
        <f t="shared" si="1785"/>
        <v>SENSORES</v>
      </c>
      <c r="P2740" t="str">
        <f t="shared" si="1783"/>
        <v>0</v>
      </c>
      <c r="Q2740" t="str">
        <f t="shared" si="1783"/>
        <v>0</v>
      </c>
      <c r="R2740" t="str">
        <f t="shared" si="1784"/>
        <v>0,00</v>
      </c>
      <c r="S2740" t="str">
        <f t="shared" si="1784"/>
        <v>0,00</v>
      </c>
      <c r="T2740" t="str">
        <f t="shared" si="1751"/>
        <v xml:space="preserve"> </v>
      </c>
      <c r="U2740" t="str">
        <f t="shared" si="1753"/>
        <v xml:space="preserve"> </v>
      </c>
      <c r="V2740" t="str">
        <f>"2,000"</f>
        <v>2,000</v>
      </c>
      <c r="W2740" t="str">
        <f t="shared" si="1757"/>
        <v>Lista 4</v>
      </c>
      <c r="X2740" t="str">
        <f t="shared" si="1758"/>
        <v>Lista 5</v>
      </c>
      <c r="Y2740" t="str">
        <f t="shared" si="1759"/>
        <v>Oferta Gral.</v>
      </c>
      <c r="Z2740" t="str">
        <f t="shared" si="1760"/>
        <v>Rubro</v>
      </c>
      <c r="AA2740" t="str">
        <f t="shared" si="1761"/>
        <v>Cantidad por Bulto</v>
      </c>
      <c r="AB2740" t="str">
        <f t="shared" si="1762"/>
        <v>INNER</v>
      </c>
      <c r="AC2740" t="str">
        <f t="shared" si="1763"/>
        <v>Stock en Bultos</v>
      </c>
      <c r="AD2740" t="str">
        <f t="shared" si="1764"/>
        <v>SubDepósito</v>
      </c>
      <c r="AE2740" t="str">
        <f t="shared" si="1765"/>
        <v>Marca</v>
      </c>
      <c r="AF2740" t="str">
        <f t="shared" si="1766"/>
        <v>Super Rubro</v>
      </c>
      <c r="AG2740" t="str">
        <f t="shared" si="1767"/>
        <v>ComercioExterior</v>
      </c>
      <c r="AH2740" t="str">
        <f t="shared" si="1768"/>
        <v>PrecioFOB</v>
      </c>
      <c r="AI2740" t="str">
        <f t="shared" si="1769"/>
        <v>Monto II</v>
      </c>
      <c r="AJ2740" t="str">
        <f t="shared" si="1770"/>
        <v>Porcentaje II</v>
      </c>
      <c r="AK2740" t="str">
        <f t="shared" si="1771"/>
        <v>Foto</v>
      </c>
      <c r="AL274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0" t="str">
        <f t="shared" si="1779"/>
        <v>-</v>
      </c>
    </row>
    <row r="2741" spans="1:39" x14ac:dyDescent="0.25">
      <c r="A2741" t="str">
        <f>"FI40023"</f>
        <v>FI40023</v>
      </c>
      <c r="B2741" t="str">
        <f>"SENSOR MAP RENAULT CLIO II - KANGOO - LAGUNA - MEGANE - SCENIC - TWINGO  "</f>
        <v xml:space="preserve">SENSOR MAP RENAULT CLIO II - KANGOO - LAGUNA - MEGANE - SCENIC - TWINGO  </v>
      </c>
      <c r="C2741" t="str">
        <f>"$ 26152,17"</f>
        <v>$ 26152,17</v>
      </c>
      <c r="D2741" t="str">
        <f>"$ 26152,17"</f>
        <v>$ 26152,17</v>
      </c>
      <c r="E2741" t="str">
        <f>"$ 26152,17"</f>
        <v>$ 26152,17</v>
      </c>
      <c r="F2741" t="str">
        <f>"$ 26152,17"</f>
        <v>$ 26152,17</v>
      </c>
      <c r="G2741" t="str">
        <f>"$ 26152,17"</f>
        <v>$ 26152,17</v>
      </c>
      <c r="H2741" t="str">
        <f t="shared" si="1754"/>
        <v>$ 0,00</v>
      </c>
      <c r="I2741" t="str">
        <f t="shared" si="1780"/>
        <v>SENSOR MAP</v>
      </c>
      <c r="J2741" t="str">
        <f t="shared" si="1755"/>
        <v>1</v>
      </c>
      <c r="K2741" t="str">
        <f t="shared" si="1781"/>
        <v>0</v>
      </c>
      <c r="L2741" t="str">
        <f>"10,000"</f>
        <v>10,000</v>
      </c>
      <c r="M2741" t="str">
        <f t="shared" si="1756"/>
        <v xml:space="preserve"> </v>
      </c>
      <c r="N2741" t="str">
        <f t="shared" si="1786"/>
        <v>FISPA</v>
      </c>
      <c r="O2741" t="str">
        <f t="shared" si="1785"/>
        <v>SENSORES</v>
      </c>
      <c r="P2741" t="str">
        <f t="shared" si="1783"/>
        <v>0</v>
      </c>
      <c r="Q2741" t="str">
        <f t="shared" si="1783"/>
        <v>0</v>
      </c>
      <c r="R2741" t="str">
        <f t="shared" si="1784"/>
        <v>0,00</v>
      </c>
      <c r="S2741" t="str">
        <f t="shared" si="1784"/>
        <v>0,00</v>
      </c>
      <c r="T2741" t="str">
        <f t="shared" si="1751"/>
        <v xml:space="preserve"> </v>
      </c>
      <c r="U2741" t="str">
        <f t="shared" si="1753"/>
        <v xml:space="preserve"> </v>
      </c>
      <c r="V2741" t="str">
        <f>"10,000"</f>
        <v>10,000</v>
      </c>
      <c r="W2741" t="str">
        <f t="shared" si="1757"/>
        <v>Lista 4</v>
      </c>
      <c r="X2741" t="str">
        <f t="shared" si="1758"/>
        <v>Lista 5</v>
      </c>
      <c r="Y2741" t="str">
        <f t="shared" si="1759"/>
        <v>Oferta Gral.</v>
      </c>
      <c r="Z2741" t="str">
        <f t="shared" si="1760"/>
        <v>Rubro</v>
      </c>
      <c r="AA2741" t="str">
        <f t="shared" si="1761"/>
        <v>Cantidad por Bulto</v>
      </c>
      <c r="AB2741" t="str">
        <f t="shared" si="1762"/>
        <v>INNER</v>
      </c>
      <c r="AC2741" t="str">
        <f t="shared" si="1763"/>
        <v>Stock en Bultos</v>
      </c>
      <c r="AD2741" t="str">
        <f t="shared" si="1764"/>
        <v>SubDepósito</v>
      </c>
      <c r="AE2741" t="str">
        <f t="shared" si="1765"/>
        <v>Marca</v>
      </c>
      <c r="AF2741" t="str">
        <f t="shared" si="1766"/>
        <v>Super Rubro</v>
      </c>
      <c r="AG2741" t="str">
        <f t="shared" si="1767"/>
        <v>ComercioExterior</v>
      </c>
      <c r="AH2741" t="str">
        <f t="shared" si="1768"/>
        <v>PrecioFOB</v>
      </c>
      <c r="AI2741" t="str">
        <f t="shared" si="1769"/>
        <v>Monto II</v>
      </c>
      <c r="AJ2741" t="str">
        <f t="shared" si="1770"/>
        <v>Porcentaje II</v>
      </c>
      <c r="AK2741" t="str">
        <f t="shared" si="1771"/>
        <v>Foto</v>
      </c>
      <c r="AL274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1" t="str">
        <f t="shared" si="1779"/>
        <v>-</v>
      </c>
    </row>
    <row r="2742" spans="1:39" x14ac:dyDescent="0.25">
      <c r="A2742" t="str">
        <f>"FI40009"</f>
        <v>FI40009</v>
      </c>
      <c r="B2742" t="str">
        <f>"SENSOR MAP RENAULT CLIO II 1,5 -TRAFIC 1,9 - KANGOO 1.5"</f>
        <v>SENSOR MAP RENAULT CLIO II 1,5 -TRAFIC 1,9 - KANGOO 1.5</v>
      </c>
      <c r="C2742" t="str">
        <f>"$ 41674,29"</f>
        <v>$ 41674,29</v>
      </c>
      <c r="D2742" t="str">
        <f>"$ 41674,29"</f>
        <v>$ 41674,29</v>
      </c>
      <c r="E2742" t="str">
        <f>"$ 41674,29"</f>
        <v>$ 41674,29</v>
      </c>
      <c r="F2742" t="str">
        <f>"$ 41674,29"</f>
        <v>$ 41674,29</v>
      </c>
      <c r="G2742" t="str">
        <f>"$ 41674,29"</f>
        <v>$ 41674,29</v>
      </c>
      <c r="H2742" t="str">
        <f t="shared" si="1754"/>
        <v>$ 0,00</v>
      </c>
      <c r="I2742" t="str">
        <f t="shared" si="1780"/>
        <v>SENSOR MAP</v>
      </c>
      <c r="J2742" t="str">
        <f t="shared" si="1755"/>
        <v>1</v>
      </c>
      <c r="K2742" t="str">
        <f t="shared" si="1781"/>
        <v>0</v>
      </c>
      <c r="L2742" t="str">
        <f>"0,000"</f>
        <v>0,000</v>
      </c>
      <c r="M2742" t="str">
        <f t="shared" si="1756"/>
        <v xml:space="preserve"> </v>
      </c>
      <c r="N2742" t="str">
        <f t="shared" si="1786"/>
        <v>FISPA</v>
      </c>
      <c r="O2742" t="str">
        <f t="shared" si="1785"/>
        <v>SENSORES</v>
      </c>
      <c r="P2742" t="str">
        <f t="shared" si="1783"/>
        <v>0</v>
      </c>
      <c r="Q2742" t="str">
        <f t="shared" si="1783"/>
        <v>0</v>
      </c>
      <c r="R2742" t="str">
        <f t="shared" si="1784"/>
        <v>0,00</v>
      </c>
      <c r="S2742" t="str">
        <f t="shared" si="1784"/>
        <v>0,00</v>
      </c>
      <c r="T2742" t="str">
        <f t="shared" si="1751"/>
        <v xml:space="preserve"> </v>
      </c>
      <c r="U2742" t="str">
        <f t="shared" si="1753"/>
        <v xml:space="preserve"> </v>
      </c>
      <c r="V2742" t="str">
        <f>"0,000"</f>
        <v>0,000</v>
      </c>
      <c r="W2742" t="str">
        <f t="shared" si="1757"/>
        <v>Lista 4</v>
      </c>
      <c r="X2742" t="str">
        <f t="shared" si="1758"/>
        <v>Lista 5</v>
      </c>
      <c r="Y2742" t="str">
        <f t="shared" si="1759"/>
        <v>Oferta Gral.</v>
      </c>
      <c r="Z2742" t="str">
        <f t="shared" si="1760"/>
        <v>Rubro</v>
      </c>
      <c r="AA2742" t="str">
        <f t="shared" si="1761"/>
        <v>Cantidad por Bulto</v>
      </c>
      <c r="AB2742" t="str">
        <f t="shared" si="1762"/>
        <v>INNER</v>
      </c>
      <c r="AC2742" t="str">
        <f t="shared" si="1763"/>
        <v>Stock en Bultos</v>
      </c>
      <c r="AD2742" t="str">
        <f t="shared" si="1764"/>
        <v>SubDepósito</v>
      </c>
      <c r="AE2742" t="str">
        <f t="shared" si="1765"/>
        <v>Marca</v>
      </c>
      <c r="AF2742" t="str">
        <f t="shared" si="1766"/>
        <v>Super Rubro</v>
      </c>
      <c r="AG2742" t="str">
        <f t="shared" si="1767"/>
        <v>ComercioExterior</v>
      </c>
      <c r="AH2742" t="str">
        <f t="shared" si="1768"/>
        <v>PrecioFOB</v>
      </c>
      <c r="AI2742" t="str">
        <f t="shared" si="1769"/>
        <v>Monto II</v>
      </c>
      <c r="AJ2742" t="str">
        <f t="shared" si="1770"/>
        <v>Porcentaje II</v>
      </c>
      <c r="AK2742" t="str">
        <f t="shared" si="1771"/>
        <v>Foto</v>
      </c>
      <c r="AL2742" t="str">
        <f>" "</f>
        <v xml:space="preserve"> </v>
      </c>
      <c r="AM2742" t="str">
        <f t="shared" si="1779"/>
        <v>-</v>
      </c>
    </row>
    <row r="2743" spans="1:39" x14ac:dyDescent="0.25">
      <c r="A2743" t="str">
        <f>"FI40010"</f>
        <v>FI40010</v>
      </c>
      <c r="B2743" t="str">
        <f>"SENSOR MAP SEAT CORDOBA ,VW CADDY, GOLF, POLO 1.0,  1.495/99., VENTO, GOL 1.0 MI AT 8V 96/01"</f>
        <v>SENSOR MAP SEAT CORDOBA ,VW CADDY, GOLF, POLO 1.0,  1.495/99., VENTO, GOL 1.0 MI AT 8V 96/01</v>
      </c>
      <c r="C2743" t="str">
        <f>"$ 50557,68"</f>
        <v>$ 50557,68</v>
      </c>
      <c r="D2743" t="str">
        <f>"$ 50557,68"</f>
        <v>$ 50557,68</v>
      </c>
      <c r="E2743" t="str">
        <f>"$ 50557,68"</f>
        <v>$ 50557,68</v>
      </c>
      <c r="F2743" t="str">
        <f>"$ 50557,68"</f>
        <v>$ 50557,68</v>
      </c>
      <c r="G2743" t="str">
        <f>"$ 50557,68"</f>
        <v>$ 50557,68</v>
      </c>
      <c r="H2743" t="str">
        <f t="shared" si="1754"/>
        <v>$ 0,00</v>
      </c>
      <c r="I2743" t="str">
        <f t="shared" si="1780"/>
        <v>SENSOR MAP</v>
      </c>
      <c r="J2743" t="str">
        <f t="shared" si="1755"/>
        <v>1</v>
      </c>
      <c r="K2743" t="str">
        <f t="shared" si="1781"/>
        <v>0</v>
      </c>
      <c r="L2743" t="str">
        <f>"0,000"</f>
        <v>0,000</v>
      </c>
      <c r="M2743" t="str">
        <f t="shared" si="1756"/>
        <v xml:space="preserve"> </v>
      </c>
      <c r="N2743" t="str">
        <f t="shared" si="1786"/>
        <v>FISPA</v>
      </c>
      <c r="O2743" t="str">
        <f t="shared" si="1785"/>
        <v>SENSORES</v>
      </c>
      <c r="P2743" t="str">
        <f t="shared" ref="P2743:Q2762" si="1787">"0"</f>
        <v>0</v>
      </c>
      <c r="Q2743" t="str">
        <f t="shared" si="1787"/>
        <v>0</v>
      </c>
      <c r="R2743" t="str">
        <f t="shared" ref="R2743:S2762" si="1788">"0,00"</f>
        <v>0,00</v>
      </c>
      <c r="S2743" t="str">
        <f t="shared" si="1788"/>
        <v>0,00</v>
      </c>
      <c r="T2743" t="str">
        <f t="shared" si="1751"/>
        <v xml:space="preserve"> </v>
      </c>
      <c r="U2743" t="str">
        <f t="shared" si="1753"/>
        <v xml:space="preserve"> </v>
      </c>
      <c r="V2743" t="str">
        <f>"0,000"</f>
        <v>0,000</v>
      </c>
      <c r="W2743" t="str">
        <f t="shared" si="1757"/>
        <v>Lista 4</v>
      </c>
      <c r="X2743" t="str">
        <f t="shared" si="1758"/>
        <v>Lista 5</v>
      </c>
      <c r="Y2743" t="str">
        <f t="shared" si="1759"/>
        <v>Oferta Gral.</v>
      </c>
      <c r="Z2743" t="str">
        <f t="shared" si="1760"/>
        <v>Rubro</v>
      </c>
      <c r="AA2743" t="str">
        <f t="shared" si="1761"/>
        <v>Cantidad por Bulto</v>
      </c>
      <c r="AB2743" t="str">
        <f t="shared" si="1762"/>
        <v>INNER</v>
      </c>
      <c r="AC2743" t="str">
        <f t="shared" si="1763"/>
        <v>Stock en Bultos</v>
      </c>
      <c r="AD2743" t="str">
        <f t="shared" si="1764"/>
        <v>SubDepósito</v>
      </c>
      <c r="AE2743" t="str">
        <f t="shared" si="1765"/>
        <v>Marca</v>
      </c>
      <c r="AF2743" t="str">
        <f t="shared" si="1766"/>
        <v>Super Rubro</v>
      </c>
      <c r="AG2743" t="str">
        <f t="shared" si="1767"/>
        <v>ComercioExterior</v>
      </c>
      <c r="AH2743" t="str">
        <f t="shared" si="1768"/>
        <v>PrecioFOB</v>
      </c>
      <c r="AI2743" t="str">
        <f t="shared" si="1769"/>
        <v>Monto II</v>
      </c>
      <c r="AJ2743" t="str">
        <f t="shared" si="1770"/>
        <v>Porcentaje II</v>
      </c>
      <c r="AK2743" t="str">
        <f t="shared" si="1771"/>
        <v>Foto</v>
      </c>
      <c r="AL274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43" t="str">
        <f t="shared" si="1779"/>
        <v>-</v>
      </c>
    </row>
    <row r="2744" spans="1:39" x14ac:dyDescent="0.25">
      <c r="A2744" t="str">
        <f>"FI40008"</f>
        <v>FI40008</v>
      </c>
      <c r="B2744" t="str">
        <f>"SENSOR MAP VW - GOL / POLO1,6 / 1,8 / MPI"</f>
        <v>SENSOR MAP VW - GOL / POLO1,6 / 1,8 / MPI</v>
      </c>
      <c r="C2744" t="str">
        <f>"$ 30880,70"</f>
        <v>$ 30880,70</v>
      </c>
      <c r="D2744" t="str">
        <f>"$ 30880,70"</f>
        <v>$ 30880,70</v>
      </c>
      <c r="E2744" t="str">
        <f>"$ 30880,70"</f>
        <v>$ 30880,70</v>
      </c>
      <c r="F2744" t="str">
        <f>"$ 30880,70"</f>
        <v>$ 30880,70</v>
      </c>
      <c r="G2744" t="str">
        <f>"$ 30880,70"</f>
        <v>$ 30880,70</v>
      </c>
      <c r="H2744" t="str">
        <f t="shared" si="1754"/>
        <v>$ 0,00</v>
      </c>
      <c r="I2744" t="str">
        <f t="shared" si="1780"/>
        <v>SENSOR MAP</v>
      </c>
      <c r="J2744" t="str">
        <f t="shared" si="1755"/>
        <v>1</v>
      </c>
      <c r="K2744" t="str">
        <f t="shared" si="1781"/>
        <v>0</v>
      </c>
      <c r="L2744" t="str">
        <f>"3,000"</f>
        <v>3,000</v>
      </c>
      <c r="M2744" t="str">
        <f t="shared" si="1756"/>
        <v xml:space="preserve"> </v>
      </c>
      <c r="N2744" t="str">
        <f t="shared" si="1786"/>
        <v>FISPA</v>
      </c>
      <c r="O2744" t="str">
        <f t="shared" si="1785"/>
        <v>SENSORES</v>
      </c>
      <c r="P2744" t="str">
        <f t="shared" si="1787"/>
        <v>0</v>
      </c>
      <c r="Q2744" t="str">
        <f t="shared" si="1787"/>
        <v>0</v>
      </c>
      <c r="R2744" t="str">
        <f t="shared" si="1788"/>
        <v>0,00</v>
      </c>
      <c r="S2744" t="str">
        <f t="shared" si="1788"/>
        <v>0,00</v>
      </c>
      <c r="T2744" t="str">
        <f t="shared" si="1751"/>
        <v xml:space="preserve"> </v>
      </c>
      <c r="U2744" t="str">
        <f t="shared" si="1753"/>
        <v xml:space="preserve"> </v>
      </c>
      <c r="V2744" t="str">
        <f>"3,000"</f>
        <v>3,000</v>
      </c>
      <c r="W2744" t="str">
        <f t="shared" si="1757"/>
        <v>Lista 4</v>
      </c>
      <c r="X2744" t="str">
        <f t="shared" si="1758"/>
        <v>Lista 5</v>
      </c>
      <c r="Y2744" t="str">
        <f t="shared" si="1759"/>
        <v>Oferta Gral.</v>
      </c>
      <c r="Z2744" t="str">
        <f t="shared" si="1760"/>
        <v>Rubro</v>
      </c>
      <c r="AA2744" t="str">
        <f t="shared" si="1761"/>
        <v>Cantidad por Bulto</v>
      </c>
      <c r="AB2744" t="str">
        <f t="shared" si="1762"/>
        <v>INNER</v>
      </c>
      <c r="AC2744" t="str">
        <f t="shared" si="1763"/>
        <v>Stock en Bultos</v>
      </c>
      <c r="AD2744" t="str">
        <f t="shared" si="1764"/>
        <v>SubDepósito</v>
      </c>
      <c r="AE2744" t="str">
        <f t="shared" si="1765"/>
        <v>Marca</v>
      </c>
      <c r="AF2744" t="str">
        <f t="shared" si="1766"/>
        <v>Super Rubro</v>
      </c>
      <c r="AG2744" t="str">
        <f t="shared" si="1767"/>
        <v>ComercioExterior</v>
      </c>
      <c r="AH2744" t="str">
        <f t="shared" si="1768"/>
        <v>PrecioFOB</v>
      </c>
      <c r="AI2744" t="str">
        <f t="shared" si="1769"/>
        <v>Monto II</v>
      </c>
      <c r="AJ2744" t="str">
        <f t="shared" si="1770"/>
        <v>Porcentaje II</v>
      </c>
      <c r="AK2744" t="str">
        <f t="shared" si="1771"/>
        <v>Foto</v>
      </c>
      <c r="AL2744" t="str">
        <f>" "</f>
        <v xml:space="preserve"> </v>
      </c>
      <c r="AM2744" t="str">
        <f t="shared" si="1779"/>
        <v>-</v>
      </c>
    </row>
    <row r="2745" spans="1:39" x14ac:dyDescent="0.25">
      <c r="A2745" t="str">
        <f>"FI40026"</f>
        <v>FI40026</v>
      </c>
      <c r="B2745" t="str">
        <f>"SENSOR MAP VW: CLIO II 1.5 DCI - KANGOO 1.5 DCI RENAULT SYMBOL 1.5DCI  "</f>
        <v xml:space="preserve">SENSOR MAP VW: CLIO II 1.5 DCI - KANGOO 1.5 DCI RENAULT SYMBOL 1.5DCI  </v>
      </c>
      <c r="C2745" t="str">
        <f>"$ 33662,40"</f>
        <v>$ 33662,40</v>
      </c>
      <c r="D2745" t="str">
        <f>"$ 33662,40"</f>
        <v>$ 33662,40</v>
      </c>
      <c r="E2745" t="str">
        <f>"$ 33662,40"</f>
        <v>$ 33662,40</v>
      </c>
      <c r="F2745" t="str">
        <f>"$ 33662,40"</f>
        <v>$ 33662,40</v>
      </c>
      <c r="G2745" t="str">
        <f>"$ 33662,40"</f>
        <v>$ 33662,40</v>
      </c>
      <c r="H2745" t="str">
        <f t="shared" si="1754"/>
        <v>$ 0,00</v>
      </c>
      <c r="I2745" t="str">
        <f t="shared" si="1780"/>
        <v>SENSOR MAP</v>
      </c>
      <c r="J2745" t="str">
        <f t="shared" si="1755"/>
        <v>1</v>
      </c>
      <c r="K2745" t="str">
        <f t="shared" si="1781"/>
        <v>0</v>
      </c>
      <c r="L2745" t="str">
        <f>"4,000"</f>
        <v>4,000</v>
      </c>
      <c r="M2745" t="str">
        <f t="shared" si="1756"/>
        <v xml:space="preserve"> </v>
      </c>
      <c r="N2745" t="str">
        <f t="shared" si="1786"/>
        <v>FISPA</v>
      </c>
      <c r="O2745" t="str">
        <f t="shared" si="1785"/>
        <v>SENSORES</v>
      </c>
      <c r="P2745" t="str">
        <f t="shared" si="1787"/>
        <v>0</v>
      </c>
      <c r="Q2745" t="str">
        <f t="shared" si="1787"/>
        <v>0</v>
      </c>
      <c r="R2745" t="str">
        <f t="shared" si="1788"/>
        <v>0,00</v>
      </c>
      <c r="S2745" t="str">
        <f t="shared" si="1788"/>
        <v>0,00</v>
      </c>
      <c r="T2745" t="str">
        <f t="shared" si="1751"/>
        <v xml:space="preserve"> </v>
      </c>
      <c r="U2745" t="str">
        <f t="shared" si="1753"/>
        <v xml:space="preserve"> </v>
      </c>
      <c r="V2745" t="str">
        <f>"4,000"</f>
        <v>4,000</v>
      </c>
      <c r="W2745" t="str">
        <f t="shared" si="1757"/>
        <v>Lista 4</v>
      </c>
      <c r="X2745" t="str">
        <f t="shared" si="1758"/>
        <v>Lista 5</v>
      </c>
      <c r="Y2745" t="str">
        <f t="shared" si="1759"/>
        <v>Oferta Gral.</v>
      </c>
      <c r="Z2745" t="str">
        <f t="shared" si="1760"/>
        <v>Rubro</v>
      </c>
      <c r="AA2745" t="str">
        <f t="shared" si="1761"/>
        <v>Cantidad por Bulto</v>
      </c>
      <c r="AB2745" t="str">
        <f t="shared" si="1762"/>
        <v>INNER</v>
      </c>
      <c r="AC2745" t="str">
        <f t="shared" si="1763"/>
        <v>Stock en Bultos</v>
      </c>
      <c r="AD2745" t="str">
        <f t="shared" si="1764"/>
        <v>SubDepósito</v>
      </c>
      <c r="AE2745" t="str">
        <f t="shared" si="1765"/>
        <v>Marca</v>
      </c>
      <c r="AF2745" t="str">
        <f t="shared" si="1766"/>
        <v>Super Rubro</v>
      </c>
      <c r="AG2745" t="str">
        <f t="shared" si="1767"/>
        <v>ComercioExterior</v>
      </c>
      <c r="AH2745" t="str">
        <f t="shared" si="1768"/>
        <v>PrecioFOB</v>
      </c>
      <c r="AI2745" t="str">
        <f t="shared" si="1769"/>
        <v>Monto II</v>
      </c>
      <c r="AJ2745" t="str">
        <f t="shared" si="1770"/>
        <v>Porcentaje II</v>
      </c>
      <c r="AK2745" t="str">
        <f t="shared" si="1771"/>
        <v>Foto</v>
      </c>
      <c r="AL274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45" t="str">
        <f t="shared" si="1779"/>
        <v>-</v>
      </c>
    </row>
    <row r="2746" spans="1:39" x14ac:dyDescent="0.25">
      <c r="A2746" t="str">
        <f>"FI40024"</f>
        <v>FI40024</v>
      </c>
      <c r="B2746" t="str">
        <f>"SENSOR MAP VW: GOL II 1.0 8V - POLO 1.6 2002"</f>
        <v>SENSOR MAP VW: GOL II 1.0 8V - POLO 1.6 2002</v>
      </c>
      <c r="C2746" t="str">
        <f>"$ 44457,22"</f>
        <v>$ 44457,22</v>
      </c>
      <c r="D2746" t="str">
        <f>"$ 44457,22"</f>
        <v>$ 44457,22</v>
      </c>
      <c r="E2746" t="str">
        <f>"$ 44457,22"</f>
        <v>$ 44457,22</v>
      </c>
      <c r="F2746" t="str">
        <f>"$ 44457,22"</f>
        <v>$ 44457,22</v>
      </c>
      <c r="G2746" t="str">
        <f>"$ 44457,22"</f>
        <v>$ 44457,22</v>
      </c>
      <c r="H2746" t="str">
        <f t="shared" si="1754"/>
        <v>$ 0,00</v>
      </c>
      <c r="I2746" t="str">
        <f t="shared" si="1780"/>
        <v>SENSOR MAP</v>
      </c>
      <c r="J2746" t="str">
        <f t="shared" si="1755"/>
        <v>1</v>
      </c>
      <c r="K2746" t="str">
        <f t="shared" si="1781"/>
        <v>0</v>
      </c>
      <c r="L2746" t="str">
        <f>"2,000"</f>
        <v>2,000</v>
      </c>
      <c r="M2746" t="str">
        <f t="shared" si="1756"/>
        <v xml:space="preserve"> </v>
      </c>
      <c r="N2746" t="str">
        <f t="shared" si="1786"/>
        <v>FISPA</v>
      </c>
      <c r="O2746" t="str">
        <f t="shared" si="1785"/>
        <v>SENSORES</v>
      </c>
      <c r="P2746" t="str">
        <f t="shared" si="1787"/>
        <v>0</v>
      </c>
      <c r="Q2746" t="str">
        <f t="shared" si="1787"/>
        <v>0</v>
      </c>
      <c r="R2746" t="str">
        <f t="shared" si="1788"/>
        <v>0,00</v>
      </c>
      <c r="S2746" t="str">
        <f t="shared" si="1788"/>
        <v>0,00</v>
      </c>
      <c r="T2746" t="str">
        <f t="shared" si="1751"/>
        <v xml:space="preserve"> </v>
      </c>
      <c r="U2746" t="str">
        <f t="shared" si="1753"/>
        <v xml:space="preserve"> </v>
      </c>
      <c r="V2746" t="str">
        <f>"2,000"</f>
        <v>2,000</v>
      </c>
      <c r="W2746" t="str">
        <f t="shared" si="1757"/>
        <v>Lista 4</v>
      </c>
      <c r="X2746" t="str">
        <f t="shared" si="1758"/>
        <v>Lista 5</v>
      </c>
      <c r="Y2746" t="str">
        <f t="shared" si="1759"/>
        <v>Oferta Gral.</v>
      </c>
      <c r="Z2746" t="str">
        <f t="shared" si="1760"/>
        <v>Rubro</v>
      </c>
      <c r="AA2746" t="str">
        <f t="shared" si="1761"/>
        <v>Cantidad por Bulto</v>
      </c>
      <c r="AB2746" t="str">
        <f t="shared" si="1762"/>
        <v>INNER</v>
      </c>
      <c r="AC2746" t="str">
        <f t="shared" si="1763"/>
        <v>Stock en Bultos</v>
      </c>
      <c r="AD2746" t="str">
        <f t="shared" si="1764"/>
        <v>SubDepósito</v>
      </c>
      <c r="AE2746" t="str">
        <f t="shared" si="1765"/>
        <v>Marca</v>
      </c>
      <c r="AF2746" t="str">
        <f t="shared" si="1766"/>
        <v>Super Rubro</v>
      </c>
      <c r="AG2746" t="str">
        <f t="shared" si="1767"/>
        <v>ComercioExterior</v>
      </c>
      <c r="AH2746" t="str">
        <f t="shared" si="1768"/>
        <v>PrecioFOB</v>
      </c>
      <c r="AI2746" t="str">
        <f t="shared" si="1769"/>
        <v>Monto II</v>
      </c>
      <c r="AJ2746" t="str">
        <f t="shared" si="1770"/>
        <v>Porcentaje II</v>
      </c>
      <c r="AK2746" t="str">
        <f t="shared" si="1771"/>
        <v>Foto</v>
      </c>
      <c r="AL274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6" t="str">
        <f t="shared" si="1779"/>
        <v>-</v>
      </c>
    </row>
    <row r="2747" spans="1:39" x14ac:dyDescent="0.25">
      <c r="A2747" t="str">
        <f>"M1042"</f>
        <v>M1042</v>
      </c>
      <c r="B2747" t="str">
        <f>"SENSOR MARIPOSA RENAULT KANGOO MEGANE 8200139460"</f>
        <v>SENSOR MARIPOSA RENAULT KANGOO MEGANE 8200139460</v>
      </c>
      <c r="C2747" t="str">
        <f>"$ 56093,02"</f>
        <v>$ 56093,02</v>
      </c>
      <c r="D2747" t="str">
        <f>"$ 56093,02"</f>
        <v>$ 56093,02</v>
      </c>
      <c r="E2747" t="str">
        <f>"$ 56093,02"</f>
        <v>$ 56093,02</v>
      </c>
      <c r="F2747" t="str">
        <f>"$ 56093,02"</f>
        <v>$ 56093,02</v>
      </c>
      <c r="G2747" t="str">
        <f>"$ 56093,02"</f>
        <v>$ 56093,02</v>
      </c>
      <c r="H2747" t="str">
        <f t="shared" si="1754"/>
        <v>$ 0,00</v>
      </c>
      <c r="I2747" t="str">
        <f>"SENSOR MARIPOSA TPS"</f>
        <v>SENSOR MARIPOSA TPS</v>
      </c>
      <c r="J2747" t="str">
        <f t="shared" si="1755"/>
        <v>1</v>
      </c>
      <c r="K2747" t="str">
        <f t="shared" si="1781"/>
        <v>0</v>
      </c>
      <c r="L2747" t="str">
        <f>"10,000"</f>
        <v>10,000</v>
      </c>
      <c r="M2747" t="str">
        <f t="shared" si="1756"/>
        <v xml:space="preserve"> </v>
      </c>
      <c r="N2747" t="str">
        <f t="shared" si="1786"/>
        <v>FISPA</v>
      </c>
      <c r="O2747" t="str">
        <f t="shared" si="1785"/>
        <v>SENSORES</v>
      </c>
      <c r="P2747" t="str">
        <f t="shared" si="1787"/>
        <v>0</v>
      </c>
      <c r="Q2747" t="str">
        <f t="shared" si="1787"/>
        <v>0</v>
      </c>
      <c r="R2747" t="str">
        <f t="shared" si="1788"/>
        <v>0,00</v>
      </c>
      <c r="S2747" t="str">
        <f t="shared" si="1788"/>
        <v>0,00</v>
      </c>
      <c r="T2747" t="str">
        <f t="shared" si="1751"/>
        <v xml:space="preserve"> </v>
      </c>
      <c r="U2747" t="str">
        <f t="shared" si="1753"/>
        <v xml:space="preserve"> </v>
      </c>
      <c r="V2747" t="str">
        <f>"10,000"</f>
        <v>10,000</v>
      </c>
      <c r="W2747" t="str">
        <f t="shared" si="1757"/>
        <v>Lista 4</v>
      </c>
      <c r="X2747" t="str">
        <f t="shared" si="1758"/>
        <v>Lista 5</v>
      </c>
      <c r="Y2747" t="str">
        <f t="shared" si="1759"/>
        <v>Oferta Gral.</v>
      </c>
      <c r="Z2747" t="str">
        <f t="shared" si="1760"/>
        <v>Rubro</v>
      </c>
      <c r="AA2747" t="str">
        <f t="shared" si="1761"/>
        <v>Cantidad por Bulto</v>
      </c>
      <c r="AB2747" t="str">
        <f t="shared" si="1762"/>
        <v>INNER</v>
      </c>
      <c r="AC2747" t="str">
        <f t="shared" si="1763"/>
        <v>Stock en Bultos</v>
      </c>
      <c r="AD2747" t="str">
        <f t="shared" si="1764"/>
        <v>SubDepósito</v>
      </c>
      <c r="AE2747" t="str">
        <f t="shared" si="1765"/>
        <v>Marca</v>
      </c>
      <c r="AF2747" t="str">
        <f t="shared" si="1766"/>
        <v>Super Rubro</v>
      </c>
      <c r="AG2747" t="str">
        <f t="shared" si="1767"/>
        <v>ComercioExterior</v>
      </c>
      <c r="AH2747" t="str">
        <f t="shared" si="1768"/>
        <v>PrecioFOB</v>
      </c>
      <c r="AI2747" t="str">
        <f t="shared" si="1769"/>
        <v>Monto II</v>
      </c>
      <c r="AJ2747" t="str">
        <f t="shared" si="1770"/>
        <v>Porcentaje II</v>
      </c>
      <c r="AK2747" t="str">
        <f t="shared" si="1771"/>
        <v>Foto</v>
      </c>
      <c r="AL274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747" t="str">
        <f>"Sensor Mariposa Renault Kangoo"</f>
        <v>Sensor Mariposa Renault Kangoo</v>
      </c>
    </row>
    <row r="2748" spans="1:39" x14ac:dyDescent="0.25">
      <c r="A2748" t="str">
        <f>"MAF060"</f>
        <v>MAF060</v>
      </c>
      <c r="B2748" t="str">
        <f>"SENSOR MASA DE AIRE MASTER II 2,2 DCI  7700314057/669"</f>
        <v>SENSOR MASA DE AIRE MASTER II 2,2 DCI  7700314057/669</v>
      </c>
      <c r="C2748" t="str">
        <f>"$ 119470,46"</f>
        <v>$ 119470,46</v>
      </c>
      <c r="D2748" t="str">
        <f>"$ 119470,46"</f>
        <v>$ 119470,46</v>
      </c>
      <c r="E2748" t="str">
        <f>"$ 119470,46"</f>
        <v>$ 119470,46</v>
      </c>
      <c r="F2748" t="str">
        <f>"$ 119470,46"</f>
        <v>$ 119470,46</v>
      </c>
      <c r="G2748" t="str">
        <f>"$ 119470,46"</f>
        <v>$ 119470,46</v>
      </c>
      <c r="H2748" t="str">
        <f t="shared" si="1754"/>
        <v>$ 0,00</v>
      </c>
      <c r="I2748" t="str">
        <f>"SENSOR MASA AIRE"</f>
        <v>SENSOR MASA AIRE</v>
      </c>
      <c r="J2748" t="str">
        <f t="shared" si="1755"/>
        <v>1</v>
      </c>
      <c r="K2748" t="str">
        <f t="shared" si="1781"/>
        <v>0</v>
      </c>
      <c r="L2748" t="str">
        <f>"0,000"</f>
        <v>0,000</v>
      </c>
      <c r="M2748" t="str">
        <f t="shared" si="1756"/>
        <v xml:space="preserve"> </v>
      </c>
      <c r="N2748" t="str">
        <f t="shared" si="1786"/>
        <v>FISPA</v>
      </c>
      <c r="O2748" t="str">
        <f t="shared" si="1785"/>
        <v>SENSORES</v>
      </c>
      <c r="P2748" t="str">
        <f t="shared" si="1787"/>
        <v>0</v>
      </c>
      <c r="Q2748" t="str">
        <f t="shared" si="1787"/>
        <v>0</v>
      </c>
      <c r="R2748" t="str">
        <f t="shared" si="1788"/>
        <v>0,00</v>
      </c>
      <c r="S2748" t="str">
        <f t="shared" si="1788"/>
        <v>0,00</v>
      </c>
      <c r="T2748" t="str">
        <f t="shared" si="1751"/>
        <v xml:space="preserve"> </v>
      </c>
      <c r="U2748" t="str">
        <f t="shared" si="1753"/>
        <v xml:space="preserve"> </v>
      </c>
      <c r="V2748" t="str">
        <f>"0,000"</f>
        <v>0,000</v>
      </c>
      <c r="W2748" t="str">
        <f t="shared" si="1757"/>
        <v>Lista 4</v>
      </c>
      <c r="X2748" t="str">
        <f t="shared" si="1758"/>
        <v>Lista 5</v>
      </c>
      <c r="Y2748" t="str">
        <f t="shared" si="1759"/>
        <v>Oferta Gral.</v>
      </c>
      <c r="Z2748" t="str">
        <f t="shared" si="1760"/>
        <v>Rubro</v>
      </c>
      <c r="AA2748" t="str">
        <f t="shared" si="1761"/>
        <v>Cantidad por Bulto</v>
      </c>
      <c r="AB2748" t="str">
        <f t="shared" si="1762"/>
        <v>INNER</v>
      </c>
      <c r="AC2748" t="str">
        <f t="shared" si="1763"/>
        <v>Stock en Bultos</v>
      </c>
      <c r="AD2748" t="str">
        <f t="shared" si="1764"/>
        <v>SubDepósito</v>
      </c>
      <c r="AE2748" t="str">
        <f t="shared" si="1765"/>
        <v>Marca</v>
      </c>
      <c r="AF2748" t="str">
        <f t="shared" si="1766"/>
        <v>Super Rubro</v>
      </c>
      <c r="AG2748" t="str">
        <f t="shared" si="1767"/>
        <v>ComercioExterior</v>
      </c>
      <c r="AH2748" t="str">
        <f t="shared" si="1768"/>
        <v>PrecioFOB</v>
      </c>
      <c r="AI2748" t="str">
        <f t="shared" si="1769"/>
        <v>Monto II</v>
      </c>
      <c r="AJ2748" t="str">
        <f t="shared" si="1770"/>
        <v>Porcentaje II</v>
      </c>
      <c r="AK2748" t="str">
        <f t="shared" si="1771"/>
        <v>Foto</v>
      </c>
      <c r="AL274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8" t="str">
        <f t="shared" ref="AM2748:AM2780" si="1789">"-"</f>
        <v>-</v>
      </c>
    </row>
    <row r="2749" spans="1:39" x14ac:dyDescent="0.25">
      <c r="A2749" t="str">
        <f>"MAF061"</f>
        <v>MAF061</v>
      </c>
      <c r="B2749" t="str">
        <f>"SENSOR MASA DE AIRE MEGANE/KANGOO 1,5 DCI MASTER II 2,5 DCI  8200300002"</f>
        <v>SENSOR MASA DE AIRE MEGANE/KANGOO 1,5 DCI MASTER II 2,5 DCI  8200300002</v>
      </c>
      <c r="C2749" t="str">
        <f>"$ 141432,37"</f>
        <v>$ 141432,37</v>
      </c>
      <c r="D2749" t="str">
        <f>"$ 141432,37"</f>
        <v>$ 141432,37</v>
      </c>
      <c r="E2749" t="str">
        <f>"$ 141432,37"</f>
        <v>$ 141432,37</v>
      </c>
      <c r="F2749" t="str">
        <f>"$ 141432,37"</f>
        <v>$ 141432,37</v>
      </c>
      <c r="G2749" t="str">
        <f>"$ 141432,37"</f>
        <v>$ 141432,37</v>
      </c>
      <c r="H2749" t="str">
        <f t="shared" si="1754"/>
        <v>$ 0,00</v>
      </c>
      <c r="I2749" t="str">
        <f>"SENSOR MASA AIRE"</f>
        <v>SENSOR MASA AIRE</v>
      </c>
      <c r="J2749" t="str">
        <f t="shared" si="1755"/>
        <v>1</v>
      </c>
      <c r="K2749" t="str">
        <f t="shared" si="1781"/>
        <v>0</v>
      </c>
      <c r="L2749" t="str">
        <f>"0,000"</f>
        <v>0,000</v>
      </c>
      <c r="M2749" t="str">
        <f t="shared" si="1756"/>
        <v xml:space="preserve"> </v>
      </c>
      <c r="N2749" t="str">
        <f t="shared" si="1786"/>
        <v>FISPA</v>
      </c>
      <c r="O2749" t="str">
        <f t="shared" si="1785"/>
        <v>SENSORES</v>
      </c>
      <c r="P2749" t="str">
        <f t="shared" si="1787"/>
        <v>0</v>
      </c>
      <c r="Q2749" t="str">
        <f t="shared" si="1787"/>
        <v>0</v>
      </c>
      <c r="R2749" t="str">
        <f t="shared" si="1788"/>
        <v>0,00</v>
      </c>
      <c r="S2749" t="str">
        <f t="shared" si="1788"/>
        <v>0,00</v>
      </c>
      <c r="T2749" t="str">
        <f t="shared" si="1751"/>
        <v xml:space="preserve"> </v>
      </c>
      <c r="U2749" t="str">
        <f t="shared" si="1753"/>
        <v xml:space="preserve"> </v>
      </c>
      <c r="V2749" t="str">
        <f>"0,000"</f>
        <v>0,000</v>
      </c>
      <c r="W2749" t="str">
        <f t="shared" si="1757"/>
        <v>Lista 4</v>
      </c>
      <c r="X2749" t="str">
        <f t="shared" si="1758"/>
        <v>Lista 5</v>
      </c>
      <c r="Y2749" t="str">
        <f t="shared" si="1759"/>
        <v>Oferta Gral.</v>
      </c>
      <c r="Z2749" t="str">
        <f t="shared" si="1760"/>
        <v>Rubro</v>
      </c>
      <c r="AA2749" t="str">
        <f t="shared" si="1761"/>
        <v>Cantidad por Bulto</v>
      </c>
      <c r="AB2749" t="str">
        <f t="shared" si="1762"/>
        <v>INNER</v>
      </c>
      <c r="AC2749" t="str">
        <f t="shared" si="1763"/>
        <v>Stock en Bultos</v>
      </c>
      <c r="AD2749" t="str">
        <f t="shared" si="1764"/>
        <v>SubDepósito</v>
      </c>
      <c r="AE2749" t="str">
        <f t="shared" si="1765"/>
        <v>Marca</v>
      </c>
      <c r="AF2749" t="str">
        <f t="shared" si="1766"/>
        <v>Super Rubro</v>
      </c>
      <c r="AG2749" t="str">
        <f t="shared" si="1767"/>
        <v>ComercioExterior</v>
      </c>
      <c r="AH2749" t="str">
        <f t="shared" si="1768"/>
        <v>PrecioFOB</v>
      </c>
      <c r="AI2749" t="str">
        <f t="shared" si="1769"/>
        <v>Monto II</v>
      </c>
      <c r="AJ2749" t="str">
        <f t="shared" si="1770"/>
        <v>Porcentaje II</v>
      </c>
      <c r="AK2749" t="str">
        <f t="shared" si="1771"/>
        <v>Foto</v>
      </c>
      <c r="AL274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49" t="str">
        <f t="shared" si="1789"/>
        <v>-</v>
      </c>
    </row>
    <row r="2750" spans="1:39" x14ac:dyDescent="0.25">
      <c r="A2750" t="str">
        <f>"FI23129"</f>
        <v>FI23129</v>
      </c>
      <c r="B2750" t="str">
        <f>"SENSOR NIVEL COMBUSTIBLE CHEVROLET AGILE/CORSA 1,4 94713361"</f>
        <v>SENSOR NIVEL COMBUSTIBLE CHEVROLET AGILE/CORSA 1,4 94713361</v>
      </c>
      <c r="C2750" t="str">
        <f>"$ 161314,41"</f>
        <v>$ 161314,41</v>
      </c>
      <c r="D2750" t="str">
        <f>"$ 161314,41"</f>
        <v>$ 161314,41</v>
      </c>
      <c r="E2750" t="str">
        <f>"$ 161314,41"</f>
        <v>$ 161314,41</v>
      </c>
      <c r="F2750" t="str">
        <f>"$ 161314,41"</f>
        <v>$ 161314,41</v>
      </c>
      <c r="G2750" t="str">
        <f>"$ 161314,41"</f>
        <v>$ 161314,41</v>
      </c>
      <c r="H2750" t="str">
        <f t="shared" si="1754"/>
        <v>$ 0,00</v>
      </c>
      <c r="I2750" t="str">
        <f t="shared" ref="I2750:I2783" si="1790">"SENSOR NIVEL COMBUSTIBLE "</f>
        <v xml:space="preserve">SENSOR NIVEL COMBUSTIBLE </v>
      </c>
      <c r="J2750" t="str">
        <f t="shared" si="1755"/>
        <v>1</v>
      </c>
      <c r="K2750" t="str">
        <f t="shared" si="1781"/>
        <v>0</v>
      </c>
      <c r="L2750" t="str">
        <f>"2,000"</f>
        <v>2,000</v>
      </c>
      <c r="M2750" t="str">
        <f t="shared" si="1756"/>
        <v xml:space="preserve"> </v>
      </c>
      <c r="N2750" t="str">
        <f t="shared" si="1786"/>
        <v>FISPA</v>
      </c>
      <c r="O2750" t="str">
        <f t="shared" ref="O2750:O2783" si="1791">"BOMBAS"</f>
        <v>BOMBAS</v>
      </c>
      <c r="P2750" t="str">
        <f t="shared" si="1787"/>
        <v>0</v>
      </c>
      <c r="Q2750" t="str">
        <f t="shared" si="1787"/>
        <v>0</v>
      </c>
      <c r="R2750" t="str">
        <f t="shared" si="1788"/>
        <v>0,00</v>
      </c>
      <c r="S2750" t="str">
        <f t="shared" si="1788"/>
        <v>0,00</v>
      </c>
      <c r="T2750" t="str">
        <f t="shared" si="1751"/>
        <v xml:space="preserve"> </v>
      </c>
      <c r="U2750" t="str">
        <f t="shared" si="1753"/>
        <v xml:space="preserve"> </v>
      </c>
      <c r="V2750" t="str">
        <f>"2,000"</f>
        <v>2,000</v>
      </c>
      <c r="W2750" t="str">
        <f t="shared" si="1757"/>
        <v>Lista 4</v>
      </c>
      <c r="X2750" t="str">
        <f t="shared" si="1758"/>
        <v>Lista 5</v>
      </c>
      <c r="Y2750" t="str">
        <f t="shared" si="1759"/>
        <v>Oferta Gral.</v>
      </c>
      <c r="Z2750" t="str">
        <f t="shared" si="1760"/>
        <v>Rubro</v>
      </c>
      <c r="AA2750" t="str">
        <f t="shared" si="1761"/>
        <v>Cantidad por Bulto</v>
      </c>
      <c r="AB2750" t="str">
        <f t="shared" si="1762"/>
        <v>INNER</v>
      </c>
      <c r="AC2750" t="str">
        <f t="shared" si="1763"/>
        <v>Stock en Bultos</v>
      </c>
      <c r="AD2750" t="str">
        <f t="shared" si="1764"/>
        <v>SubDepósito</v>
      </c>
      <c r="AE2750" t="str">
        <f t="shared" si="1765"/>
        <v>Marca</v>
      </c>
      <c r="AF2750" t="str">
        <f t="shared" si="1766"/>
        <v>Super Rubro</v>
      </c>
      <c r="AG2750" t="str">
        <f t="shared" si="1767"/>
        <v>ComercioExterior</v>
      </c>
      <c r="AH2750" t="str">
        <f t="shared" si="1768"/>
        <v>PrecioFOB</v>
      </c>
      <c r="AI2750" t="str">
        <f t="shared" si="1769"/>
        <v>Monto II</v>
      </c>
      <c r="AJ2750" t="str">
        <f t="shared" si="1770"/>
        <v>Porcentaje II</v>
      </c>
      <c r="AK2750" t="str">
        <f t="shared" si="1771"/>
        <v>Foto</v>
      </c>
      <c r="AL2750" t="str">
        <f>"{\rtf1\ansi\ansicpg1252\deff0\deflang11274{\fonttbl{\f0\fnil\fcharset0 MS Sans Serif}} \viewkind4\uc1\pard\f0\fs16 SENSOR NIVEL COMBUSTIBLE CHEVROLET AGILE/CORSA 1,4 94713361\par } "</f>
        <v xml:space="preserve">{\rtf1\ansi\ansicpg1252\deff0\deflang11274{\fonttbl{\f0\fnil\fcharset0 MS Sans Serif}} \viewkind4\uc1\pard\f0\fs16 SENSOR NIVEL COMBUSTIBLE CHEVROLET AGILE/CORSA 1,4 94713361\par } </v>
      </c>
      <c r="AM2750" t="str">
        <f t="shared" si="1789"/>
        <v>-</v>
      </c>
    </row>
    <row r="2751" spans="1:39" x14ac:dyDescent="0.25">
      <c r="A2751" t="str">
        <f>"FI22622A"</f>
        <v>FI22622A</v>
      </c>
      <c r="B2751" t="str">
        <f>"SENSOR NIVEL COMBUSTIBLE CORSA NAFTA DESDE 03"</f>
        <v>SENSOR NIVEL COMBUSTIBLE CORSA NAFTA DESDE 03</v>
      </c>
      <c r="C2751" t="str">
        <f>"$ 50392,90"</f>
        <v>$ 50392,90</v>
      </c>
      <c r="D2751" t="str">
        <f>"$ 50392,90"</f>
        <v>$ 50392,90</v>
      </c>
      <c r="E2751" t="str">
        <f>"$ 50392,90"</f>
        <v>$ 50392,90</v>
      </c>
      <c r="F2751" t="str">
        <f>"$ 50392,90"</f>
        <v>$ 50392,90</v>
      </c>
      <c r="G2751" t="str">
        <f>"$ 50392,90"</f>
        <v>$ 50392,90</v>
      </c>
      <c r="H2751" t="str">
        <f t="shared" si="1754"/>
        <v>$ 0,00</v>
      </c>
      <c r="I2751" t="str">
        <f t="shared" si="1790"/>
        <v xml:space="preserve">SENSOR NIVEL COMBUSTIBLE </v>
      </c>
      <c r="J2751" t="str">
        <f t="shared" si="1755"/>
        <v>1</v>
      </c>
      <c r="K2751" t="str">
        <f t="shared" si="1781"/>
        <v>0</v>
      </c>
      <c r="L2751" t="str">
        <f>"2,000"</f>
        <v>2,000</v>
      </c>
      <c r="M2751" t="str">
        <f t="shared" si="1756"/>
        <v xml:space="preserve"> </v>
      </c>
      <c r="N2751" t="str">
        <f t="shared" si="1786"/>
        <v>FISPA</v>
      </c>
      <c r="O2751" t="str">
        <f t="shared" si="1791"/>
        <v>BOMBAS</v>
      </c>
      <c r="P2751" t="str">
        <f t="shared" si="1787"/>
        <v>0</v>
      </c>
      <c r="Q2751" t="str">
        <f t="shared" si="1787"/>
        <v>0</v>
      </c>
      <c r="R2751" t="str">
        <f t="shared" si="1788"/>
        <v>0,00</v>
      </c>
      <c r="S2751" t="str">
        <f t="shared" si="1788"/>
        <v>0,00</v>
      </c>
      <c r="T2751" t="str">
        <f t="shared" ref="T2751:T2814" si="1792">" "</f>
        <v xml:space="preserve"> </v>
      </c>
      <c r="U2751" t="str">
        <f t="shared" si="1753"/>
        <v xml:space="preserve"> </v>
      </c>
      <c r="V2751" t="str">
        <f>"2,000"</f>
        <v>2,000</v>
      </c>
      <c r="W2751" t="str">
        <f t="shared" si="1757"/>
        <v>Lista 4</v>
      </c>
      <c r="X2751" t="str">
        <f t="shared" si="1758"/>
        <v>Lista 5</v>
      </c>
      <c r="Y2751" t="str">
        <f t="shared" si="1759"/>
        <v>Oferta Gral.</v>
      </c>
      <c r="Z2751" t="str">
        <f t="shared" si="1760"/>
        <v>Rubro</v>
      </c>
      <c r="AA2751" t="str">
        <f t="shared" si="1761"/>
        <v>Cantidad por Bulto</v>
      </c>
      <c r="AB2751" t="str">
        <f t="shared" si="1762"/>
        <v>INNER</v>
      </c>
      <c r="AC2751" t="str">
        <f t="shared" si="1763"/>
        <v>Stock en Bultos</v>
      </c>
      <c r="AD2751" t="str">
        <f t="shared" si="1764"/>
        <v>SubDepósito</v>
      </c>
      <c r="AE2751" t="str">
        <f t="shared" si="1765"/>
        <v>Marca</v>
      </c>
      <c r="AF2751" t="str">
        <f t="shared" si="1766"/>
        <v>Super Rubro</v>
      </c>
      <c r="AG2751" t="str">
        <f t="shared" si="1767"/>
        <v>ComercioExterior</v>
      </c>
      <c r="AH2751" t="str">
        <f t="shared" si="1768"/>
        <v>PrecioFOB</v>
      </c>
      <c r="AI2751" t="str">
        <f t="shared" si="1769"/>
        <v>Monto II</v>
      </c>
      <c r="AJ2751" t="str">
        <f t="shared" si="1770"/>
        <v>Porcentaje II</v>
      </c>
      <c r="AK2751" t="str">
        <f t="shared" si="1771"/>
        <v>Foto</v>
      </c>
      <c r="AL2751" t="str">
        <f>"{\rtf1\ansi\ansicpg1252\deff0\deflang11274{\fonttbl{\f0\fnil\fcharset0 MS Sans Serif}} \viewkind4\uc1\pard\f0\fs16 SENSOR NIVEL COMBUSTIBLE CORSA NAFTA DESDE 03\par } "</f>
        <v xml:space="preserve">{\rtf1\ansi\ansicpg1252\deff0\deflang11274{\fonttbl{\f0\fnil\fcharset0 MS Sans Serif}} \viewkind4\uc1\pard\f0\fs16 SENSOR NIVEL COMBUSTIBLE CORSA NAFTA DESDE 03\par } </v>
      </c>
      <c r="AM2751" t="str">
        <f t="shared" si="1789"/>
        <v>-</v>
      </c>
    </row>
    <row r="2752" spans="1:39" x14ac:dyDescent="0.25">
      <c r="A2752" t="str">
        <f>"FI22685A"</f>
        <v>FI22685A</v>
      </c>
      <c r="B2752" t="str">
        <f>"SENSOR NIVEL COMBUSTIBLE CORSA NAFTA LLENO 36 A 40, MEDIO 126 A 134, VACIO 275 A 291"</f>
        <v>SENSOR NIVEL COMBUSTIBLE CORSA NAFTA LLENO 36 A 40, MEDIO 126 A 134, VACIO 275 A 291</v>
      </c>
      <c r="C2752" t="str">
        <f>"$ 34730,41"</f>
        <v>$ 34730,41</v>
      </c>
      <c r="D2752" t="str">
        <f>"$ 34730,41"</f>
        <v>$ 34730,41</v>
      </c>
      <c r="E2752" t="str">
        <f>"$ 34730,41"</f>
        <v>$ 34730,41</v>
      </c>
      <c r="F2752" t="str">
        <f>"$ 34730,41"</f>
        <v>$ 34730,41</v>
      </c>
      <c r="G2752" t="str">
        <f>"$ 34730,41"</f>
        <v>$ 34730,41</v>
      </c>
      <c r="H2752" t="str">
        <f t="shared" si="1754"/>
        <v>$ 0,00</v>
      </c>
      <c r="I2752" t="str">
        <f t="shared" si="1790"/>
        <v xml:space="preserve">SENSOR NIVEL COMBUSTIBLE </v>
      </c>
      <c r="J2752" t="str">
        <f t="shared" si="1755"/>
        <v>1</v>
      </c>
      <c r="K2752" t="str">
        <f t="shared" si="1781"/>
        <v>0</v>
      </c>
      <c r="L2752" t="str">
        <f>"2,000"</f>
        <v>2,000</v>
      </c>
      <c r="M2752" t="str">
        <f t="shared" si="1756"/>
        <v xml:space="preserve"> </v>
      </c>
      <c r="N2752" t="str">
        <f t="shared" si="1786"/>
        <v>FISPA</v>
      </c>
      <c r="O2752" t="str">
        <f t="shared" si="1791"/>
        <v>BOMBAS</v>
      </c>
      <c r="P2752" t="str">
        <f t="shared" si="1787"/>
        <v>0</v>
      </c>
      <c r="Q2752" t="str">
        <f t="shared" si="1787"/>
        <v>0</v>
      </c>
      <c r="R2752" t="str">
        <f t="shared" si="1788"/>
        <v>0,00</v>
      </c>
      <c r="S2752" t="str">
        <f t="shared" si="1788"/>
        <v>0,00</v>
      </c>
      <c r="T2752" t="str">
        <f t="shared" si="1792"/>
        <v xml:space="preserve"> </v>
      </c>
      <c r="U2752" t="str">
        <f t="shared" si="1753"/>
        <v xml:space="preserve"> </v>
      </c>
      <c r="V2752" t="str">
        <f>"2,000"</f>
        <v>2,000</v>
      </c>
      <c r="W2752" t="str">
        <f t="shared" si="1757"/>
        <v>Lista 4</v>
      </c>
      <c r="X2752" t="str">
        <f t="shared" si="1758"/>
        <v>Lista 5</v>
      </c>
      <c r="Y2752" t="str">
        <f t="shared" si="1759"/>
        <v>Oferta Gral.</v>
      </c>
      <c r="Z2752" t="str">
        <f t="shared" si="1760"/>
        <v>Rubro</v>
      </c>
      <c r="AA2752" t="str">
        <f t="shared" si="1761"/>
        <v>Cantidad por Bulto</v>
      </c>
      <c r="AB2752" t="str">
        <f t="shared" si="1762"/>
        <v>INNER</v>
      </c>
      <c r="AC2752" t="str">
        <f t="shared" si="1763"/>
        <v>Stock en Bultos</v>
      </c>
      <c r="AD2752" t="str">
        <f t="shared" si="1764"/>
        <v>SubDepósito</v>
      </c>
      <c r="AE2752" t="str">
        <f t="shared" si="1765"/>
        <v>Marca</v>
      </c>
      <c r="AF2752" t="str">
        <f t="shared" si="1766"/>
        <v>Super Rubro</v>
      </c>
      <c r="AG2752" t="str">
        <f t="shared" si="1767"/>
        <v>ComercioExterior</v>
      </c>
      <c r="AH2752" t="str">
        <f t="shared" si="1768"/>
        <v>PrecioFOB</v>
      </c>
      <c r="AI2752" t="str">
        <f t="shared" si="1769"/>
        <v>Monto II</v>
      </c>
      <c r="AJ2752" t="str">
        <f t="shared" si="1770"/>
        <v>Porcentaje II</v>
      </c>
      <c r="AK2752" t="str">
        <f t="shared" si="1771"/>
        <v>Foto</v>
      </c>
      <c r="AL2752" t="str">
        <f>"{\rtf1\ansi\ansicpg1252\deff0\deflang11274{\fonttbl{\f0\fnil\fcharset0 MS Sans Serif}} \viewkind4\uc1\pard\f0\fs16 SENSOR NIVEL COMBUSTIBLE CORSA NAFTA LLENO 36 A 40, MEDIO 126 A 134, VACIO 275 A 291\par } "</f>
        <v xml:space="preserve">{\rtf1\ansi\ansicpg1252\deff0\deflang11274{\fonttbl{\f0\fnil\fcharset0 MS Sans Serif}} \viewkind4\uc1\pard\f0\fs16 SENSOR NIVEL COMBUSTIBLE CORSA NAFTA LLENO 36 A 40, MEDIO 126 A 134, VACIO 275 A 291\par } </v>
      </c>
      <c r="AM2752" t="str">
        <f t="shared" si="1789"/>
        <v>-</v>
      </c>
    </row>
    <row r="2753" spans="1:39" x14ac:dyDescent="0.25">
      <c r="A2753" t="str">
        <f>"FI22606A"</f>
        <v>FI22606A</v>
      </c>
      <c r="B2753" t="str">
        <f>"SENSOR NIVEL COMBUSTIBLE DUNA UNO DESDE 93 A TORNILLOS 94005407"</f>
        <v>SENSOR NIVEL COMBUSTIBLE DUNA UNO DESDE 93 A TORNILLOS 94005407</v>
      </c>
      <c r="C2753" t="str">
        <f t="shared" ref="C2753:G2755" si="1793">"$ 48850,09"</f>
        <v>$ 48850,09</v>
      </c>
      <c r="D2753" t="str">
        <f t="shared" si="1793"/>
        <v>$ 48850,09</v>
      </c>
      <c r="E2753" t="str">
        <f t="shared" si="1793"/>
        <v>$ 48850,09</v>
      </c>
      <c r="F2753" t="str">
        <f t="shared" si="1793"/>
        <v>$ 48850,09</v>
      </c>
      <c r="G2753" t="str">
        <f t="shared" si="1793"/>
        <v>$ 48850,09</v>
      </c>
      <c r="H2753" t="str">
        <f t="shared" si="1754"/>
        <v>$ 0,00</v>
      </c>
      <c r="I2753" t="str">
        <f t="shared" si="1790"/>
        <v xml:space="preserve">SENSOR NIVEL COMBUSTIBLE </v>
      </c>
      <c r="J2753" t="str">
        <f t="shared" si="1755"/>
        <v>1</v>
      </c>
      <c r="K2753" t="str">
        <f t="shared" si="1781"/>
        <v>0</v>
      </c>
      <c r="L2753" t="str">
        <f>"2,000"</f>
        <v>2,000</v>
      </c>
      <c r="M2753" t="str">
        <f t="shared" si="1756"/>
        <v xml:space="preserve"> </v>
      </c>
      <c r="N2753" t="str">
        <f t="shared" si="1786"/>
        <v>FISPA</v>
      </c>
      <c r="O2753" t="str">
        <f t="shared" si="1791"/>
        <v>BOMBAS</v>
      </c>
      <c r="P2753" t="str">
        <f t="shared" si="1787"/>
        <v>0</v>
      </c>
      <c r="Q2753" t="str">
        <f t="shared" si="1787"/>
        <v>0</v>
      </c>
      <c r="R2753" t="str">
        <f t="shared" si="1788"/>
        <v>0,00</v>
      </c>
      <c r="S2753" t="str">
        <f t="shared" si="1788"/>
        <v>0,00</v>
      </c>
      <c r="T2753" t="str">
        <f t="shared" si="1792"/>
        <v xml:space="preserve"> </v>
      </c>
      <c r="U2753" t="str">
        <f t="shared" si="1753"/>
        <v xml:space="preserve"> </v>
      </c>
      <c r="V2753" t="str">
        <f>"2,000"</f>
        <v>2,000</v>
      </c>
      <c r="W2753" t="str">
        <f t="shared" si="1757"/>
        <v>Lista 4</v>
      </c>
      <c r="X2753" t="str">
        <f t="shared" si="1758"/>
        <v>Lista 5</v>
      </c>
      <c r="Y2753" t="str">
        <f t="shared" si="1759"/>
        <v>Oferta Gral.</v>
      </c>
      <c r="Z2753" t="str">
        <f t="shared" si="1760"/>
        <v>Rubro</v>
      </c>
      <c r="AA2753" t="str">
        <f t="shared" si="1761"/>
        <v>Cantidad por Bulto</v>
      </c>
      <c r="AB2753" t="str">
        <f t="shared" si="1762"/>
        <v>INNER</v>
      </c>
      <c r="AC2753" t="str">
        <f t="shared" si="1763"/>
        <v>Stock en Bultos</v>
      </c>
      <c r="AD2753" t="str">
        <f t="shared" si="1764"/>
        <v>SubDepósito</v>
      </c>
      <c r="AE2753" t="str">
        <f t="shared" si="1765"/>
        <v>Marca</v>
      </c>
      <c r="AF2753" t="str">
        <f t="shared" si="1766"/>
        <v>Super Rubro</v>
      </c>
      <c r="AG2753" t="str">
        <f t="shared" si="1767"/>
        <v>ComercioExterior</v>
      </c>
      <c r="AH2753" t="str">
        <f t="shared" si="1768"/>
        <v>PrecioFOB</v>
      </c>
      <c r="AI2753" t="str">
        <f t="shared" si="1769"/>
        <v>Monto II</v>
      </c>
      <c r="AJ2753" t="str">
        <f t="shared" si="1770"/>
        <v>Porcentaje II</v>
      </c>
      <c r="AK2753" t="str">
        <f t="shared" si="1771"/>
        <v>Foto</v>
      </c>
      <c r="AL2753" t="str">
        <f>"{\rtf1\ansi\ansicpg1252\deff0\deflang11274{\fonttbl{\f0\fnil\fcharset0 MS Sans Serif}} \viewkind4\uc1\pard\f0\fs16 SENSOR NIVEL COMBUSTIBLE DUNA UNO DESDE 93 A TORNILLOS 94005407\par } "</f>
        <v xml:space="preserve">{\rtf1\ansi\ansicpg1252\deff0\deflang11274{\fonttbl{\f0\fnil\fcharset0 MS Sans Serif}} \viewkind4\uc1\pard\f0\fs16 SENSOR NIVEL COMBUSTIBLE DUNA UNO DESDE 93 A TORNILLOS 94005407\par } </v>
      </c>
      <c r="AM2753" t="str">
        <f t="shared" si="1789"/>
        <v>-</v>
      </c>
    </row>
    <row r="2754" spans="1:39" x14ac:dyDescent="0.25">
      <c r="A2754" t="str">
        <f>"FI22604A"</f>
        <v>FI22604A</v>
      </c>
      <c r="B2754" t="str">
        <f>"SENSOR NIVEL COMBUSTIBLE DUNA UNO HASTA 93 A BAYONETA 7587510"</f>
        <v>SENSOR NIVEL COMBUSTIBLE DUNA UNO HASTA 93 A BAYONETA 7587510</v>
      </c>
      <c r="C2754" t="str">
        <f t="shared" si="1793"/>
        <v>$ 48850,09</v>
      </c>
      <c r="D2754" t="str">
        <f t="shared" si="1793"/>
        <v>$ 48850,09</v>
      </c>
      <c r="E2754" t="str">
        <f t="shared" si="1793"/>
        <v>$ 48850,09</v>
      </c>
      <c r="F2754" t="str">
        <f t="shared" si="1793"/>
        <v>$ 48850,09</v>
      </c>
      <c r="G2754" t="str">
        <f t="shared" si="1793"/>
        <v>$ 48850,09</v>
      </c>
      <c r="H2754" t="str">
        <f t="shared" si="1754"/>
        <v>$ 0,00</v>
      </c>
      <c r="I2754" t="str">
        <f t="shared" si="1790"/>
        <v xml:space="preserve">SENSOR NIVEL COMBUSTIBLE </v>
      </c>
      <c r="J2754" t="str">
        <f t="shared" si="1755"/>
        <v>1</v>
      </c>
      <c r="K2754" t="str">
        <f t="shared" si="1781"/>
        <v>0</v>
      </c>
      <c r="L2754" t="str">
        <f>"2,000"</f>
        <v>2,000</v>
      </c>
      <c r="M2754" t="str">
        <f t="shared" si="1756"/>
        <v xml:space="preserve"> </v>
      </c>
      <c r="N2754" t="str">
        <f t="shared" si="1786"/>
        <v>FISPA</v>
      </c>
      <c r="O2754" t="str">
        <f t="shared" si="1791"/>
        <v>BOMBAS</v>
      </c>
      <c r="P2754" t="str">
        <f t="shared" si="1787"/>
        <v>0</v>
      </c>
      <c r="Q2754" t="str">
        <f t="shared" si="1787"/>
        <v>0</v>
      </c>
      <c r="R2754" t="str">
        <f t="shared" si="1788"/>
        <v>0,00</v>
      </c>
      <c r="S2754" t="str">
        <f t="shared" si="1788"/>
        <v>0,00</v>
      </c>
      <c r="T2754" t="str">
        <f t="shared" si="1792"/>
        <v xml:space="preserve"> </v>
      </c>
      <c r="U2754" t="str">
        <f t="shared" ref="U2754:U2817" si="1794">" "</f>
        <v xml:space="preserve"> </v>
      </c>
      <c r="V2754" t="str">
        <f>"2,000"</f>
        <v>2,000</v>
      </c>
      <c r="W2754" t="str">
        <f t="shared" si="1757"/>
        <v>Lista 4</v>
      </c>
      <c r="X2754" t="str">
        <f t="shared" si="1758"/>
        <v>Lista 5</v>
      </c>
      <c r="Y2754" t="str">
        <f t="shared" si="1759"/>
        <v>Oferta Gral.</v>
      </c>
      <c r="Z2754" t="str">
        <f t="shared" si="1760"/>
        <v>Rubro</v>
      </c>
      <c r="AA2754" t="str">
        <f t="shared" si="1761"/>
        <v>Cantidad por Bulto</v>
      </c>
      <c r="AB2754" t="str">
        <f t="shared" si="1762"/>
        <v>INNER</v>
      </c>
      <c r="AC2754" t="str">
        <f t="shared" si="1763"/>
        <v>Stock en Bultos</v>
      </c>
      <c r="AD2754" t="str">
        <f t="shared" si="1764"/>
        <v>SubDepósito</v>
      </c>
      <c r="AE2754" t="str">
        <f t="shared" si="1765"/>
        <v>Marca</v>
      </c>
      <c r="AF2754" t="str">
        <f t="shared" si="1766"/>
        <v>Super Rubro</v>
      </c>
      <c r="AG2754" t="str">
        <f t="shared" si="1767"/>
        <v>ComercioExterior</v>
      </c>
      <c r="AH2754" t="str">
        <f t="shared" si="1768"/>
        <v>PrecioFOB</v>
      </c>
      <c r="AI2754" t="str">
        <f t="shared" si="1769"/>
        <v>Monto II</v>
      </c>
      <c r="AJ2754" t="str">
        <f t="shared" si="1770"/>
        <v>Porcentaje II</v>
      </c>
      <c r="AK2754" t="str">
        <f t="shared" si="1771"/>
        <v>Foto</v>
      </c>
      <c r="AL2754" t="str">
        <f>"{\rtf1\ansi\ansicpg1252\deff0\deflang11274{\fonttbl{\f0\fnil\fcharset0 MS Sans Serif}} \viewkind4\uc1\pard\f0\fs16 SENSOR NIVEL COMBUSTIBLE DUNA UNO HASTA 93 A BAYONETA 7587510\par } "</f>
        <v xml:space="preserve">{\rtf1\ansi\ansicpg1252\deff0\deflang11274{\fonttbl{\f0\fnil\fcharset0 MS Sans Serif}} \viewkind4\uc1\pard\f0\fs16 SENSOR NIVEL COMBUSTIBLE DUNA UNO HASTA 93 A BAYONETA 7587510\par } </v>
      </c>
      <c r="AM2754" t="str">
        <f t="shared" si="1789"/>
        <v>-</v>
      </c>
    </row>
    <row r="2755" spans="1:39" x14ac:dyDescent="0.25">
      <c r="A2755" t="str">
        <f>"FI22605A"</f>
        <v>FI22605A</v>
      </c>
      <c r="B2755" t="str">
        <f>"SENSOR NIVEL COMBUSTIBLE DUNA/UNO DESDE 93 NAFTA A TORNILLOS"</f>
        <v>SENSOR NIVEL COMBUSTIBLE DUNA/UNO DESDE 93 NAFTA A TORNILLOS</v>
      </c>
      <c r="C2755" t="str">
        <f t="shared" si="1793"/>
        <v>$ 48850,09</v>
      </c>
      <c r="D2755" t="str">
        <f t="shared" si="1793"/>
        <v>$ 48850,09</v>
      </c>
      <c r="E2755" t="str">
        <f t="shared" si="1793"/>
        <v>$ 48850,09</v>
      </c>
      <c r="F2755" t="str">
        <f t="shared" si="1793"/>
        <v>$ 48850,09</v>
      </c>
      <c r="G2755" t="str">
        <f t="shared" si="1793"/>
        <v>$ 48850,09</v>
      </c>
      <c r="H2755" t="str">
        <f t="shared" ref="H2755:H2818" si="1795">"$ 0,00"</f>
        <v>$ 0,00</v>
      </c>
      <c r="I2755" t="str">
        <f t="shared" si="1790"/>
        <v xml:space="preserve">SENSOR NIVEL COMBUSTIBLE </v>
      </c>
      <c r="J2755" t="str">
        <f t="shared" ref="J2755:J2818" si="1796">"1"</f>
        <v>1</v>
      </c>
      <c r="K2755" t="str">
        <f t="shared" si="1781"/>
        <v>0</v>
      </c>
      <c r="L2755" t="str">
        <f>"1,000"</f>
        <v>1,000</v>
      </c>
      <c r="M2755" t="str">
        <f t="shared" ref="M2755:M2818" si="1797">" "</f>
        <v xml:space="preserve"> </v>
      </c>
      <c r="N2755" t="str">
        <f t="shared" si="1786"/>
        <v>FISPA</v>
      </c>
      <c r="O2755" t="str">
        <f t="shared" si="1791"/>
        <v>BOMBAS</v>
      </c>
      <c r="P2755" t="str">
        <f t="shared" si="1787"/>
        <v>0</v>
      </c>
      <c r="Q2755" t="str">
        <f t="shared" si="1787"/>
        <v>0</v>
      </c>
      <c r="R2755" t="str">
        <f t="shared" si="1788"/>
        <v>0,00</v>
      </c>
      <c r="S2755" t="str">
        <f t="shared" si="1788"/>
        <v>0,00</v>
      </c>
      <c r="T2755" t="str">
        <f t="shared" si="1792"/>
        <v xml:space="preserve"> </v>
      </c>
      <c r="U2755" t="str">
        <f t="shared" si="1794"/>
        <v xml:space="preserve"> </v>
      </c>
      <c r="V2755" t="str">
        <f>"1,000"</f>
        <v>1,000</v>
      </c>
      <c r="W2755" t="str">
        <f t="shared" ref="W2755:W2818" si="1798">"Lista 4"</f>
        <v>Lista 4</v>
      </c>
      <c r="X2755" t="str">
        <f t="shared" ref="X2755:X2818" si="1799">"Lista 5"</f>
        <v>Lista 5</v>
      </c>
      <c r="Y2755" t="str">
        <f t="shared" ref="Y2755:Y2818" si="1800">"Oferta Gral."</f>
        <v>Oferta Gral.</v>
      </c>
      <c r="Z2755" t="str">
        <f t="shared" ref="Z2755:Z2818" si="1801">"Rubro"</f>
        <v>Rubro</v>
      </c>
      <c r="AA2755" t="str">
        <f t="shared" ref="AA2755:AA2818" si="1802">"Cantidad por Bulto"</f>
        <v>Cantidad por Bulto</v>
      </c>
      <c r="AB2755" t="str">
        <f t="shared" ref="AB2755:AB2818" si="1803">"INNER"</f>
        <v>INNER</v>
      </c>
      <c r="AC2755" t="str">
        <f t="shared" ref="AC2755:AC2818" si="1804">"Stock en Bultos"</f>
        <v>Stock en Bultos</v>
      </c>
      <c r="AD2755" t="str">
        <f t="shared" ref="AD2755:AD2818" si="1805">"SubDepósito"</f>
        <v>SubDepósito</v>
      </c>
      <c r="AE2755" t="str">
        <f t="shared" ref="AE2755:AE2818" si="1806">"Marca"</f>
        <v>Marca</v>
      </c>
      <c r="AF2755" t="str">
        <f t="shared" ref="AF2755:AF2818" si="1807">"Super Rubro"</f>
        <v>Super Rubro</v>
      </c>
      <c r="AG2755" t="str">
        <f t="shared" ref="AG2755:AG2818" si="1808">"ComercioExterior"</f>
        <v>ComercioExterior</v>
      </c>
      <c r="AH2755" t="str">
        <f t="shared" ref="AH2755:AH2818" si="1809">"PrecioFOB"</f>
        <v>PrecioFOB</v>
      </c>
      <c r="AI2755" t="str">
        <f t="shared" ref="AI2755:AI2818" si="1810">"Monto II"</f>
        <v>Monto II</v>
      </c>
      <c r="AJ2755" t="str">
        <f t="shared" ref="AJ2755:AJ2818" si="1811">"Porcentaje II"</f>
        <v>Porcentaje II</v>
      </c>
      <c r="AK2755" t="str">
        <f t="shared" ref="AK2755:AK2818" si="1812">"Foto"</f>
        <v>Foto</v>
      </c>
      <c r="AL2755" t="str">
        <f>"{\rtf1\ansi\ansicpg1252\deff0\deflang11274{\fonttbl{\f0\fnil\fcharset0 MS Sans Serif}} \viewkind4\uc1\pard\f0\fs16 SENSOR NIVEL COMBUSTIBLE DUNA/UNO DESDE 93 NAFTA A TORNILLOS\par } "</f>
        <v xml:space="preserve">{\rtf1\ansi\ansicpg1252\deff0\deflang11274{\fonttbl{\f0\fnil\fcharset0 MS Sans Serif}} \viewkind4\uc1\pard\f0\fs16 SENSOR NIVEL COMBUSTIBLE DUNA/UNO DESDE 93 NAFTA A TORNILLOS\par } </v>
      </c>
      <c r="AM2755" t="str">
        <f t="shared" si="1789"/>
        <v>-</v>
      </c>
    </row>
    <row r="2756" spans="1:39" x14ac:dyDescent="0.25">
      <c r="A2756" t="str">
        <f>"FI22602A"</f>
        <v>FI22602A</v>
      </c>
      <c r="B2756" t="str">
        <f>"SENSOR NIVEL COMBUSTIBLE FIAT 147/SPAZIO 2 TUBOS C/PISTON"</f>
        <v>SENSOR NIVEL COMBUSTIBLE FIAT 147/SPAZIO 2 TUBOS C/PISTON</v>
      </c>
      <c r="C2756" t="str">
        <f>"$ 21701,20"</f>
        <v>$ 21701,20</v>
      </c>
      <c r="D2756" t="str">
        <f>"$ 21701,20"</f>
        <v>$ 21701,20</v>
      </c>
      <c r="E2756" t="str">
        <f>"$ 21701,20"</f>
        <v>$ 21701,20</v>
      </c>
      <c r="F2756" t="str">
        <f>"$ 21701,20"</f>
        <v>$ 21701,20</v>
      </c>
      <c r="G2756" t="str">
        <f>"$ 21701,20"</f>
        <v>$ 21701,20</v>
      </c>
      <c r="H2756" t="str">
        <f t="shared" si="1795"/>
        <v>$ 0,00</v>
      </c>
      <c r="I2756" t="str">
        <f t="shared" si="1790"/>
        <v xml:space="preserve">SENSOR NIVEL COMBUSTIBLE </v>
      </c>
      <c r="J2756" t="str">
        <f t="shared" si="1796"/>
        <v>1</v>
      </c>
      <c r="K2756" t="str">
        <f t="shared" si="1781"/>
        <v>0</v>
      </c>
      <c r="L2756" t="str">
        <f>"1,000"</f>
        <v>1,000</v>
      </c>
      <c r="M2756" t="str">
        <f t="shared" si="1797"/>
        <v xml:space="preserve"> </v>
      </c>
      <c r="N2756" t="str">
        <f t="shared" si="1786"/>
        <v>FISPA</v>
      </c>
      <c r="O2756" t="str">
        <f t="shared" si="1791"/>
        <v>BOMBAS</v>
      </c>
      <c r="P2756" t="str">
        <f t="shared" si="1787"/>
        <v>0</v>
      </c>
      <c r="Q2756" t="str">
        <f t="shared" si="1787"/>
        <v>0</v>
      </c>
      <c r="R2756" t="str">
        <f t="shared" si="1788"/>
        <v>0,00</v>
      </c>
      <c r="S2756" t="str">
        <f t="shared" si="1788"/>
        <v>0,00</v>
      </c>
      <c r="T2756" t="str">
        <f t="shared" si="1792"/>
        <v xml:space="preserve"> </v>
      </c>
      <c r="U2756" t="str">
        <f t="shared" si="1794"/>
        <v xml:space="preserve"> </v>
      </c>
      <c r="V2756" t="str">
        <f>"1,000"</f>
        <v>1,000</v>
      </c>
      <c r="W2756" t="str">
        <f t="shared" si="1798"/>
        <v>Lista 4</v>
      </c>
      <c r="X2756" t="str">
        <f t="shared" si="1799"/>
        <v>Lista 5</v>
      </c>
      <c r="Y2756" t="str">
        <f t="shared" si="1800"/>
        <v>Oferta Gral.</v>
      </c>
      <c r="Z2756" t="str">
        <f t="shared" si="1801"/>
        <v>Rubro</v>
      </c>
      <c r="AA2756" t="str">
        <f t="shared" si="1802"/>
        <v>Cantidad por Bulto</v>
      </c>
      <c r="AB2756" t="str">
        <f t="shared" si="1803"/>
        <v>INNER</v>
      </c>
      <c r="AC2756" t="str">
        <f t="shared" si="1804"/>
        <v>Stock en Bultos</v>
      </c>
      <c r="AD2756" t="str">
        <f t="shared" si="1805"/>
        <v>SubDepósito</v>
      </c>
      <c r="AE2756" t="str">
        <f t="shared" si="1806"/>
        <v>Marca</v>
      </c>
      <c r="AF2756" t="str">
        <f t="shared" si="1807"/>
        <v>Super Rubro</v>
      </c>
      <c r="AG2756" t="str">
        <f t="shared" si="1808"/>
        <v>ComercioExterior</v>
      </c>
      <c r="AH2756" t="str">
        <f t="shared" si="1809"/>
        <v>PrecioFOB</v>
      </c>
      <c r="AI2756" t="str">
        <f t="shared" si="1810"/>
        <v>Monto II</v>
      </c>
      <c r="AJ2756" t="str">
        <f t="shared" si="1811"/>
        <v>Porcentaje II</v>
      </c>
      <c r="AK2756" t="str">
        <f t="shared" si="1812"/>
        <v>Foto</v>
      </c>
      <c r="AL2756" t="str">
        <f>"{\rtf1\ansi\ansicpg1252\deff0\deflang11274{\fonttbl{\f0\fnil\fcharset0 MS Sans Serif}} \viewkind4\uc1\pard\f0\fs16 SENSOR NIVEL COMBUSTIBLE FIAT 147/SPAZIO 2 TUBOS C/PISTON\par } "</f>
        <v xml:space="preserve">{\rtf1\ansi\ansicpg1252\deff0\deflang11274{\fonttbl{\f0\fnil\fcharset0 MS Sans Serif}} \viewkind4\uc1\pard\f0\fs16 SENSOR NIVEL COMBUSTIBLE FIAT 147/SPAZIO 2 TUBOS C/PISTON\par } </v>
      </c>
      <c r="AM2756" t="str">
        <f t="shared" si="1789"/>
        <v>-</v>
      </c>
    </row>
    <row r="2757" spans="1:39" x14ac:dyDescent="0.25">
      <c r="A2757" t="str">
        <f>"FI22677A"</f>
        <v>FI22677A</v>
      </c>
      <c r="B2757" t="str">
        <f>"SENSOR NIVEL COMBUSTIBLE FIAT UNO 99/01 LLENO 50 A 54, MEDIO 172 A 179, VACIO 405 A 432"</f>
        <v>SENSOR NIVEL COMBUSTIBLE FIAT UNO 99/01 LLENO 50 A 54, MEDIO 172 A 179, VACIO 405 A 432</v>
      </c>
      <c r="C2757" t="str">
        <f>"$ 35557,96"</f>
        <v>$ 35557,96</v>
      </c>
      <c r="D2757" t="str">
        <f>"$ 35557,96"</f>
        <v>$ 35557,96</v>
      </c>
      <c r="E2757" t="str">
        <f>"$ 35557,96"</f>
        <v>$ 35557,96</v>
      </c>
      <c r="F2757" t="str">
        <f>"$ 35557,96"</f>
        <v>$ 35557,96</v>
      </c>
      <c r="G2757" t="str">
        <f>"$ 35557,96"</f>
        <v>$ 35557,96</v>
      </c>
      <c r="H2757" t="str">
        <f t="shared" si="1795"/>
        <v>$ 0,00</v>
      </c>
      <c r="I2757" t="str">
        <f t="shared" si="1790"/>
        <v xml:space="preserve">SENSOR NIVEL COMBUSTIBLE </v>
      </c>
      <c r="J2757" t="str">
        <f t="shared" si="1796"/>
        <v>1</v>
      </c>
      <c r="K2757" t="str">
        <f t="shared" si="1781"/>
        <v>0</v>
      </c>
      <c r="L2757" t="str">
        <f>"0,000"</f>
        <v>0,000</v>
      </c>
      <c r="M2757" t="str">
        <f t="shared" si="1797"/>
        <v xml:space="preserve"> </v>
      </c>
      <c r="N2757" t="str">
        <f t="shared" si="1786"/>
        <v>FISPA</v>
      </c>
      <c r="O2757" t="str">
        <f t="shared" si="1791"/>
        <v>BOMBAS</v>
      </c>
      <c r="P2757" t="str">
        <f t="shared" si="1787"/>
        <v>0</v>
      </c>
      <c r="Q2757" t="str">
        <f t="shared" si="1787"/>
        <v>0</v>
      </c>
      <c r="R2757" t="str">
        <f t="shared" si="1788"/>
        <v>0,00</v>
      </c>
      <c r="S2757" t="str">
        <f t="shared" si="1788"/>
        <v>0,00</v>
      </c>
      <c r="T2757" t="str">
        <f t="shared" si="1792"/>
        <v xml:space="preserve"> </v>
      </c>
      <c r="U2757" t="str">
        <f t="shared" si="1794"/>
        <v xml:space="preserve"> </v>
      </c>
      <c r="V2757" t="str">
        <f>"0,000"</f>
        <v>0,000</v>
      </c>
      <c r="W2757" t="str">
        <f t="shared" si="1798"/>
        <v>Lista 4</v>
      </c>
      <c r="X2757" t="str">
        <f t="shared" si="1799"/>
        <v>Lista 5</v>
      </c>
      <c r="Y2757" t="str">
        <f t="shared" si="1800"/>
        <v>Oferta Gral.</v>
      </c>
      <c r="Z2757" t="str">
        <f t="shared" si="1801"/>
        <v>Rubro</v>
      </c>
      <c r="AA2757" t="str">
        <f t="shared" si="1802"/>
        <v>Cantidad por Bulto</v>
      </c>
      <c r="AB2757" t="str">
        <f t="shared" si="1803"/>
        <v>INNER</v>
      </c>
      <c r="AC2757" t="str">
        <f t="shared" si="1804"/>
        <v>Stock en Bultos</v>
      </c>
      <c r="AD2757" t="str">
        <f t="shared" si="1805"/>
        <v>SubDepósito</v>
      </c>
      <c r="AE2757" t="str">
        <f t="shared" si="1806"/>
        <v>Marca</v>
      </c>
      <c r="AF2757" t="str">
        <f t="shared" si="1807"/>
        <v>Super Rubro</v>
      </c>
      <c r="AG2757" t="str">
        <f t="shared" si="1808"/>
        <v>ComercioExterior</v>
      </c>
      <c r="AH2757" t="str">
        <f t="shared" si="1809"/>
        <v>PrecioFOB</v>
      </c>
      <c r="AI2757" t="str">
        <f t="shared" si="1810"/>
        <v>Monto II</v>
      </c>
      <c r="AJ2757" t="str">
        <f t="shared" si="1811"/>
        <v>Porcentaje II</v>
      </c>
      <c r="AK2757" t="str">
        <f t="shared" si="1812"/>
        <v>Foto</v>
      </c>
      <c r="AL2757" t="str">
        <f>"{\rtf1\ansi\ansicpg1252\deff0\deflang11274{\fonttbl{\f0\fnil\fcharset0 MS Sans Serif}} \viewkind4\uc1\pard\f0\fs16 SENSOR NIVEL COMBUSTIBLE FIAT UNO 99/01 LLENO 50 A 54, MEDIO 172 A 179, VACIO 405 A 432\par } "</f>
        <v xml:space="preserve">{\rtf1\ansi\ansicpg1252\deff0\deflang11274{\fonttbl{\f0\fnil\fcharset0 MS Sans Serif}} \viewkind4\uc1\pard\f0\fs16 SENSOR NIVEL COMBUSTIBLE FIAT UNO 99/01 LLENO 50 A 54, MEDIO 172 A 179, VACIO 405 A 432\par } </v>
      </c>
      <c r="AM2757" t="str">
        <f t="shared" si="1789"/>
        <v>-</v>
      </c>
    </row>
    <row r="2758" spans="1:39" x14ac:dyDescent="0.25">
      <c r="A2758" t="str">
        <f>"FI22694A"</f>
        <v>FI22694A</v>
      </c>
      <c r="B2758" t="str">
        <f>"SENSOR NIVEL COMBUSTIBLE FIAT UNO FIRE LLENO 60 A 66, MEDIO 162 A 172, VACIO 355 A 371"</f>
        <v>SENSOR NIVEL COMBUSTIBLE FIAT UNO FIRE LLENO 60 A 66, MEDIO 162 A 172, VACIO 355 A 371</v>
      </c>
      <c r="C2758" t="str">
        <f>"$ 32933,71"</f>
        <v>$ 32933,71</v>
      </c>
      <c r="D2758" t="str">
        <f>"$ 32933,71"</f>
        <v>$ 32933,71</v>
      </c>
      <c r="E2758" t="str">
        <f>"$ 32933,71"</f>
        <v>$ 32933,71</v>
      </c>
      <c r="F2758" t="str">
        <f>"$ 32933,71"</f>
        <v>$ 32933,71</v>
      </c>
      <c r="G2758" t="str">
        <f>"$ 32933,71"</f>
        <v>$ 32933,71</v>
      </c>
      <c r="H2758" t="str">
        <f t="shared" si="1795"/>
        <v>$ 0,00</v>
      </c>
      <c r="I2758" t="str">
        <f t="shared" si="1790"/>
        <v xml:space="preserve">SENSOR NIVEL COMBUSTIBLE </v>
      </c>
      <c r="J2758" t="str">
        <f t="shared" si="1796"/>
        <v>1</v>
      </c>
      <c r="K2758" t="str">
        <f t="shared" si="1781"/>
        <v>0</v>
      </c>
      <c r="L2758" t="str">
        <f>"1,000"</f>
        <v>1,000</v>
      </c>
      <c r="M2758" t="str">
        <f t="shared" si="1797"/>
        <v xml:space="preserve"> </v>
      </c>
      <c r="N2758" t="str">
        <f t="shared" si="1786"/>
        <v>FISPA</v>
      </c>
      <c r="O2758" t="str">
        <f t="shared" si="1791"/>
        <v>BOMBAS</v>
      </c>
      <c r="P2758" t="str">
        <f t="shared" si="1787"/>
        <v>0</v>
      </c>
      <c r="Q2758" t="str">
        <f t="shared" si="1787"/>
        <v>0</v>
      </c>
      <c r="R2758" t="str">
        <f t="shared" si="1788"/>
        <v>0,00</v>
      </c>
      <c r="S2758" t="str">
        <f t="shared" si="1788"/>
        <v>0,00</v>
      </c>
      <c r="T2758" t="str">
        <f t="shared" si="1792"/>
        <v xml:space="preserve"> </v>
      </c>
      <c r="U2758" t="str">
        <f t="shared" si="1794"/>
        <v xml:space="preserve"> </v>
      </c>
      <c r="V2758" t="str">
        <f>"1,000"</f>
        <v>1,000</v>
      </c>
      <c r="W2758" t="str">
        <f t="shared" si="1798"/>
        <v>Lista 4</v>
      </c>
      <c r="X2758" t="str">
        <f t="shared" si="1799"/>
        <v>Lista 5</v>
      </c>
      <c r="Y2758" t="str">
        <f t="shared" si="1800"/>
        <v>Oferta Gral.</v>
      </c>
      <c r="Z2758" t="str">
        <f t="shared" si="1801"/>
        <v>Rubro</v>
      </c>
      <c r="AA2758" t="str">
        <f t="shared" si="1802"/>
        <v>Cantidad por Bulto</v>
      </c>
      <c r="AB2758" t="str">
        <f t="shared" si="1803"/>
        <v>INNER</v>
      </c>
      <c r="AC2758" t="str">
        <f t="shared" si="1804"/>
        <v>Stock en Bultos</v>
      </c>
      <c r="AD2758" t="str">
        <f t="shared" si="1805"/>
        <v>SubDepósito</v>
      </c>
      <c r="AE2758" t="str">
        <f t="shared" si="1806"/>
        <v>Marca</v>
      </c>
      <c r="AF2758" t="str">
        <f t="shared" si="1807"/>
        <v>Super Rubro</v>
      </c>
      <c r="AG2758" t="str">
        <f t="shared" si="1808"/>
        <v>ComercioExterior</v>
      </c>
      <c r="AH2758" t="str">
        <f t="shared" si="1809"/>
        <v>PrecioFOB</v>
      </c>
      <c r="AI2758" t="str">
        <f t="shared" si="1810"/>
        <v>Monto II</v>
      </c>
      <c r="AJ2758" t="str">
        <f t="shared" si="1811"/>
        <v>Porcentaje II</v>
      </c>
      <c r="AK2758" t="str">
        <f t="shared" si="1812"/>
        <v>Foto</v>
      </c>
      <c r="AL2758" t="str">
        <f>"{\rtf1\ansi\ansicpg1252\deff0\deflang11274{\fonttbl{\f0\fnil\fcharset0 MS Sans Serif}} \viewkind4\uc1\pard\f0\fs16 SENSOR NIVEL COMBUSTIBLE FIAT UNO FIRE LLENO 60 A 66, MEDIO 162 A 172, VACIO 355 A 371\par } "</f>
        <v xml:space="preserve">{\rtf1\ansi\ansicpg1252\deff0\deflang11274{\fonttbl{\f0\fnil\fcharset0 MS Sans Serif}} \viewkind4\uc1\pard\f0\fs16 SENSOR NIVEL COMBUSTIBLE FIAT UNO FIRE LLENO 60 A 66, MEDIO 162 A 172, VACIO 355 A 371\par } </v>
      </c>
      <c r="AM2758" t="str">
        <f t="shared" si="1789"/>
        <v>-</v>
      </c>
    </row>
    <row r="2759" spans="1:39" x14ac:dyDescent="0.25">
      <c r="A2759" t="str">
        <f>"FI22623A"</f>
        <v>FI22623A</v>
      </c>
      <c r="B2759" t="str">
        <f>"SENSOR NIVEL COMBUSTIBLE GOL NAFTA DESDE 2000"</f>
        <v>SENSOR NIVEL COMBUSTIBLE GOL NAFTA DESDE 2000</v>
      </c>
      <c r="C2759" t="str">
        <f>"$ 60349,18"</f>
        <v>$ 60349,18</v>
      </c>
      <c r="D2759" t="str">
        <f>"$ 60349,18"</f>
        <v>$ 60349,18</v>
      </c>
      <c r="E2759" t="str">
        <f>"$ 60349,18"</f>
        <v>$ 60349,18</v>
      </c>
      <c r="F2759" t="str">
        <f>"$ 60349,18"</f>
        <v>$ 60349,18</v>
      </c>
      <c r="G2759" t="str">
        <f>"$ 60349,18"</f>
        <v>$ 60349,18</v>
      </c>
      <c r="H2759" t="str">
        <f t="shared" si="1795"/>
        <v>$ 0,00</v>
      </c>
      <c r="I2759" t="str">
        <f t="shared" si="1790"/>
        <v xml:space="preserve">SENSOR NIVEL COMBUSTIBLE </v>
      </c>
      <c r="J2759" t="str">
        <f t="shared" si="1796"/>
        <v>1</v>
      </c>
      <c r="K2759" t="str">
        <f t="shared" si="1781"/>
        <v>0</v>
      </c>
      <c r="L2759" t="str">
        <f>"1,000"</f>
        <v>1,000</v>
      </c>
      <c r="M2759" t="str">
        <f t="shared" si="1797"/>
        <v xml:space="preserve"> </v>
      </c>
      <c r="N2759" t="str">
        <f t="shared" si="1786"/>
        <v>FISPA</v>
      </c>
      <c r="O2759" t="str">
        <f t="shared" si="1791"/>
        <v>BOMBAS</v>
      </c>
      <c r="P2759" t="str">
        <f t="shared" si="1787"/>
        <v>0</v>
      </c>
      <c r="Q2759" t="str">
        <f t="shared" si="1787"/>
        <v>0</v>
      </c>
      <c r="R2759" t="str">
        <f t="shared" si="1788"/>
        <v>0,00</v>
      </c>
      <c r="S2759" t="str">
        <f t="shared" si="1788"/>
        <v>0,00</v>
      </c>
      <c r="T2759" t="str">
        <f t="shared" si="1792"/>
        <v xml:space="preserve"> </v>
      </c>
      <c r="U2759" t="str">
        <f t="shared" si="1794"/>
        <v xml:space="preserve"> </v>
      </c>
      <c r="V2759" t="str">
        <f>"1,000"</f>
        <v>1,000</v>
      </c>
      <c r="W2759" t="str">
        <f t="shared" si="1798"/>
        <v>Lista 4</v>
      </c>
      <c r="X2759" t="str">
        <f t="shared" si="1799"/>
        <v>Lista 5</v>
      </c>
      <c r="Y2759" t="str">
        <f t="shared" si="1800"/>
        <v>Oferta Gral.</v>
      </c>
      <c r="Z2759" t="str">
        <f t="shared" si="1801"/>
        <v>Rubro</v>
      </c>
      <c r="AA2759" t="str">
        <f t="shared" si="1802"/>
        <v>Cantidad por Bulto</v>
      </c>
      <c r="AB2759" t="str">
        <f t="shared" si="1803"/>
        <v>INNER</v>
      </c>
      <c r="AC2759" t="str">
        <f t="shared" si="1804"/>
        <v>Stock en Bultos</v>
      </c>
      <c r="AD2759" t="str">
        <f t="shared" si="1805"/>
        <v>SubDepósito</v>
      </c>
      <c r="AE2759" t="str">
        <f t="shared" si="1806"/>
        <v>Marca</v>
      </c>
      <c r="AF2759" t="str">
        <f t="shared" si="1807"/>
        <v>Super Rubro</v>
      </c>
      <c r="AG2759" t="str">
        <f t="shared" si="1808"/>
        <v>ComercioExterior</v>
      </c>
      <c r="AH2759" t="str">
        <f t="shared" si="1809"/>
        <v>PrecioFOB</v>
      </c>
      <c r="AI2759" t="str">
        <f t="shared" si="1810"/>
        <v>Monto II</v>
      </c>
      <c r="AJ2759" t="str">
        <f t="shared" si="1811"/>
        <v>Porcentaje II</v>
      </c>
      <c r="AK2759" t="str">
        <f t="shared" si="1812"/>
        <v>Foto</v>
      </c>
      <c r="AL2759" t="str">
        <f>"{\rtf1\ansi\ansicpg1252\deff0\deflang11274{\fonttbl{\f0\fnil\fcharset0 MS Sans Serif}} \viewkind4\uc1\pard\f0\fs16 SENSOR NIVEL COMBUSTIBLE GOL NAFTA DESDE 2000\par } "</f>
        <v xml:space="preserve">{\rtf1\ansi\ansicpg1252\deff0\deflang11274{\fonttbl{\f0\fnil\fcharset0 MS Sans Serif}} \viewkind4\uc1\pard\f0\fs16 SENSOR NIVEL COMBUSTIBLE GOL NAFTA DESDE 2000\par } </v>
      </c>
      <c r="AM2759" t="str">
        <f t="shared" si="1789"/>
        <v>-</v>
      </c>
    </row>
    <row r="2760" spans="1:39" x14ac:dyDescent="0.25">
      <c r="A2760" t="str">
        <f>"FI23120"</f>
        <v>FI23120</v>
      </c>
      <c r="B2760" t="str">
        <f>"SENSOR NIVEL COMBUSTIBLE LOGAN SANDERO 8200616587/8200306918"</f>
        <v>SENSOR NIVEL COMBUSTIBLE LOGAN SANDERO 8200616587/8200306918</v>
      </c>
      <c r="C2760" t="str">
        <f>"$ 118473,24"</f>
        <v>$ 118473,24</v>
      </c>
      <c r="D2760" t="str">
        <f>"$ 118473,24"</f>
        <v>$ 118473,24</v>
      </c>
      <c r="E2760" t="str">
        <f>"$ 118473,24"</f>
        <v>$ 118473,24</v>
      </c>
      <c r="F2760" t="str">
        <f>"$ 118473,24"</f>
        <v>$ 118473,24</v>
      </c>
      <c r="G2760" t="str">
        <f>"$ 118473,24"</f>
        <v>$ 118473,24</v>
      </c>
      <c r="H2760" t="str">
        <f t="shared" si="1795"/>
        <v>$ 0,00</v>
      </c>
      <c r="I2760" t="str">
        <f t="shared" si="1790"/>
        <v xml:space="preserve">SENSOR NIVEL COMBUSTIBLE </v>
      </c>
      <c r="J2760" t="str">
        <f t="shared" si="1796"/>
        <v>1</v>
      </c>
      <c r="K2760" t="str">
        <f t="shared" si="1781"/>
        <v>0</v>
      </c>
      <c r="L2760" t="str">
        <f>"1,000"</f>
        <v>1,000</v>
      </c>
      <c r="M2760" t="str">
        <f t="shared" si="1797"/>
        <v xml:space="preserve"> </v>
      </c>
      <c r="N2760" t="str">
        <f t="shared" si="1786"/>
        <v>FISPA</v>
      </c>
      <c r="O2760" t="str">
        <f t="shared" si="1791"/>
        <v>BOMBAS</v>
      </c>
      <c r="P2760" t="str">
        <f t="shared" si="1787"/>
        <v>0</v>
      </c>
      <c r="Q2760" t="str">
        <f t="shared" si="1787"/>
        <v>0</v>
      </c>
      <c r="R2760" t="str">
        <f t="shared" si="1788"/>
        <v>0,00</v>
      </c>
      <c r="S2760" t="str">
        <f t="shared" si="1788"/>
        <v>0,00</v>
      </c>
      <c r="T2760" t="str">
        <f t="shared" si="1792"/>
        <v xml:space="preserve"> </v>
      </c>
      <c r="U2760" t="str">
        <f t="shared" si="1794"/>
        <v xml:space="preserve"> </v>
      </c>
      <c r="V2760" t="str">
        <f>"1,000"</f>
        <v>1,000</v>
      </c>
      <c r="W2760" t="str">
        <f t="shared" si="1798"/>
        <v>Lista 4</v>
      </c>
      <c r="X2760" t="str">
        <f t="shared" si="1799"/>
        <v>Lista 5</v>
      </c>
      <c r="Y2760" t="str">
        <f t="shared" si="1800"/>
        <v>Oferta Gral.</v>
      </c>
      <c r="Z2760" t="str">
        <f t="shared" si="1801"/>
        <v>Rubro</v>
      </c>
      <c r="AA2760" t="str">
        <f t="shared" si="1802"/>
        <v>Cantidad por Bulto</v>
      </c>
      <c r="AB2760" t="str">
        <f t="shared" si="1803"/>
        <v>INNER</v>
      </c>
      <c r="AC2760" t="str">
        <f t="shared" si="1804"/>
        <v>Stock en Bultos</v>
      </c>
      <c r="AD2760" t="str">
        <f t="shared" si="1805"/>
        <v>SubDepósito</v>
      </c>
      <c r="AE2760" t="str">
        <f t="shared" si="1806"/>
        <v>Marca</v>
      </c>
      <c r="AF2760" t="str">
        <f t="shared" si="1807"/>
        <v>Super Rubro</v>
      </c>
      <c r="AG2760" t="str">
        <f t="shared" si="1808"/>
        <v>ComercioExterior</v>
      </c>
      <c r="AH2760" t="str">
        <f t="shared" si="1809"/>
        <v>PrecioFOB</v>
      </c>
      <c r="AI2760" t="str">
        <f t="shared" si="1810"/>
        <v>Monto II</v>
      </c>
      <c r="AJ2760" t="str">
        <f t="shared" si="1811"/>
        <v>Porcentaje II</v>
      </c>
      <c r="AK2760" t="str">
        <f t="shared" si="1812"/>
        <v>Foto</v>
      </c>
      <c r="AL2760" t="str">
        <f>"{\rtf1\ansi\ansicpg1252\deff0\deflang11274{\fonttbl{\f0\fnil\fcharset0 MS Sans Serif}} \viewkind4\uc1\pard\f0\fs16 SENSOR NIVEL COMBUSTIBLE LOGAN SANDERO 8200616587/8200306918\par } "</f>
        <v xml:space="preserve">{\rtf1\ansi\ansicpg1252\deff0\deflang11274{\fonttbl{\f0\fnil\fcharset0 MS Sans Serif}} \viewkind4\uc1\pard\f0\fs16 SENSOR NIVEL COMBUSTIBLE LOGAN SANDERO 8200616587/8200306918\par } </v>
      </c>
      <c r="AM2760" t="str">
        <f t="shared" si="1789"/>
        <v>-</v>
      </c>
    </row>
    <row r="2761" spans="1:39" x14ac:dyDescent="0.25">
      <c r="A2761" t="str">
        <f>"FI22727"</f>
        <v>FI22727</v>
      </c>
      <c r="B2761" t="str">
        <f>"SENSOR NIVEL COMBUSTIBLE ORIGINAL RENAULT MASTER 1,9/2,5 DCI 8200096472"</f>
        <v>SENSOR NIVEL COMBUSTIBLE ORIGINAL RENAULT MASTER 1,9/2,5 DCI 8200096472</v>
      </c>
      <c r="C2761" t="str">
        <f>"$ 605939,08"</f>
        <v>$ 605939,08</v>
      </c>
      <c r="D2761" t="str">
        <f>"$ 605939,08"</f>
        <v>$ 605939,08</v>
      </c>
      <c r="E2761" t="str">
        <f>"$ 605939,08"</f>
        <v>$ 605939,08</v>
      </c>
      <c r="F2761" t="str">
        <f>"$ 605939,08"</f>
        <v>$ 605939,08</v>
      </c>
      <c r="G2761" t="str">
        <f>"$ 605939,08"</f>
        <v>$ 605939,08</v>
      </c>
      <c r="H2761" t="str">
        <f t="shared" si="1795"/>
        <v>$ 0,00</v>
      </c>
      <c r="I2761" t="str">
        <f t="shared" si="1790"/>
        <v xml:space="preserve">SENSOR NIVEL COMBUSTIBLE </v>
      </c>
      <c r="J2761" t="str">
        <f t="shared" si="1796"/>
        <v>1</v>
      </c>
      <c r="K2761" t="str">
        <f t="shared" si="1781"/>
        <v>0</v>
      </c>
      <c r="L2761" t="str">
        <f>"0,000"</f>
        <v>0,000</v>
      </c>
      <c r="M2761" t="str">
        <f t="shared" si="1797"/>
        <v xml:space="preserve"> </v>
      </c>
      <c r="N2761" t="str">
        <f t="shared" si="1786"/>
        <v>FISPA</v>
      </c>
      <c r="O2761" t="str">
        <f t="shared" si="1791"/>
        <v>BOMBAS</v>
      </c>
      <c r="P2761" t="str">
        <f t="shared" si="1787"/>
        <v>0</v>
      </c>
      <c r="Q2761" t="str">
        <f t="shared" si="1787"/>
        <v>0</v>
      </c>
      <c r="R2761" t="str">
        <f t="shared" si="1788"/>
        <v>0,00</v>
      </c>
      <c r="S2761" t="str">
        <f t="shared" si="1788"/>
        <v>0,00</v>
      </c>
      <c r="T2761" t="str">
        <f t="shared" si="1792"/>
        <v xml:space="preserve"> </v>
      </c>
      <c r="U2761" t="str">
        <f t="shared" si="1794"/>
        <v xml:space="preserve"> </v>
      </c>
      <c r="V2761" t="str">
        <f>"0,000"</f>
        <v>0,000</v>
      </c>
      <c r="W2761" t="str">
        <f t="shared" si="1798"/>
        <v>Lista 4</v>
      </c>
      <c r="X2761" t="str">
        <f t="shared" si="1799"/>
        <v>Lista 5</v>
      </c>
      <c r="Y2761" t="str">
        <f t="shared" si="1800"/>
        <v>Oferta Gral.</v>
      </c>
      <c r="Z2761" t="str">
        <f t="shared" si="1801"/>
        <v>Rubro</v>
      </c>
      <c r="AA2761" t="str">
        <f t="shared" si="1802"/>
        <v>Cantidad por Bulto</v>
      </c>
      <c r="AB2761" t="str">
        <f t="shared" si="1803"/>
        <v>INNER</v>
      </c>
      <c r="AC2761" t="str">
        <f t="shared" si="1804"/>
        <v>Stock en Bultos</v>
      </c>
      <c r="AD2761" t="str">
        <f t="shared" si="1805"/>
        <v>SubDepósito</v>
      </c>
      <c r="AE2761" t="str">
        <f t="shared" si="1806"/>
        <v>Marca</v>
      </c>
      <c r="AF2761" t="str">
        <f t="shared" si="1807"/>
        <v>Super Rubro</v>
      </c>
      <c r="AG2761" t="str">
        <f t="shared" si="1808"/>
        <v>ComercioExterior</v>
      </c>
      <c r="AH2761" t="str">
        <f t="shared" si="1809"/>
        <v>PrecioFOB</v>
      </c>
      <c r="AI2761" t="str">
        <f t="shared" si="1810"/>
        <v>Monto II</v>
      </c>
      <c r="AJ2761" t="str">
        <f t="shared" si="1811"/>
        <v>Porcentaje II</v>
      </c>
      <c r="AK2761" t="str">
        <f t="shared" si="1812"/>
        <v>Foto</v>
      </c>
      <c r="AL276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61" t="str">
        <f t="shared" si="1789"/>
        <v>-</v>
      </c>
    </row>
    <row r="2762" spans="1:39" x14ac:dyDescent="0.25">
      <c r="A2762" t="str">
        <f>"FI22632A"</f>
        <v>FI22632A</v>
      </c>
      <c r="B2762" t="str">
        <f>"SENSOR NIVEL COMBUSTIBLE P206 LLENO 14 A 16 MEDIO 153 A 166 VACIO 330 A 350"</f>
        <v>SENSOR NIVEL COMBUSTIBLE P206 LLENO 14 A 16 MEDIO 153 A 166 VACIO 330 A 350</v>
      </c>
      <c r="C2762" t="str">
        <f>"$ 30436,41"</f>
        <v>$ 30436,41</v>
      </c>
      <c r="D2762" t="str">
        <f>"$ 30436,41"</f>
        <v>$ 30436,41</v>
      </c>
      <c r="E2762" t="str">
        <f>"$ 30436,41"</f>
        <v>$ 30436,41</v>
      </c>
      <c r="F2762" t="str">
        <f>"$ 30436,41"</f>
        <v>$ 30436,41</v>
      </c>
      <c r="G2762" t="str">
        <f>"$ 30436,41"</f>
        <v>$ 30436,41</v>
      </c>
      <c r="H2762" t="str">
        <f t="shared" si="1795"/>
        <v>$ 0,00</v>
      </c>
      <c r="I2762" t="str">
        <f t="shared" si="1790"/>
        <v xml:space="preserve">SENSOR NIVEL COMBUSTIBLE </v>
      </c>
      <c r="J2762" t="str">
        <f t="shared" si="1796"/>
        <v>1</v>
      </c>
      <c r="K2762" t="str">
        <f t="shared" si="1781"/>
        <v>0</v>
      </c>
      <c r="L2762" t="str">
        <f>"0,000"</f>
        <v>0,000</v>
      </c>
      <c r="M2762" t="str">
        <f t="shared" si="1797"/>
        <v xml:space="preserve"> </v>
      </c>
      <c r="N2762" t="str">
        <f t="shared" si="1786"/>
        <v>FISPA</v>
      </c>
      <c r="O2762" t="str">
        <f t="shared" si="1791"/>
        <v>BOMBAS</v>
      </c>
      <c r="P2762" t="str">
        <f t="shared" si="1787"/>
        <v>0</v>
      </c>
      <c r="Q2762" t="str">
        <f t="shared" si="1787"/>
        <v>0</v>
      </c>
      <c r="R2762" t="str">
        <f t="shared" si="1788"/>
        <v>0,00</v>
      </c>
      <c r="S2762" t="str">
        <f t="shared" si="1788"/>
        <v>0,00</v>
      </c>
      <c r="T2762" t="str">
        <f t="shared" si="1792"/>
        <v xml:space="preserve"> </v>
      </c>
      <c r="U2762" t="str">
        <f t="shared" si="1794"/>
        <v xml:space="preserve"> </v>
      </c>
      <c r="V2762" t="str">
        <f>"0,000"</f>
        <v>0,000</v>
      </c>
      <c r="W2762" t="str">
        <f t="shared" si="1798"/>
        <v>Lista 4</v>
      </c>
      <c r="X2762" t="str">
        <f t="shared" si="1799"/>
        <v>Lista 5</v>
      </c>
      <c r="Y2762" t="str">
        <f t="shared" si="1800"/>
        <v>Oferta Gral.</v>
      </c>
      <c r="Z2762" t="str">
        <f t="shared" si="1801"/>
        <v>Rubro</v>
      </c>
      <c r="AA2762" t="str">
        <f t="shared" si="1802"/>
        <v>Cantidad por Bulto</v>
      </c>
      <c r="AB2762" t="str">
        <f t="shared" si="1803"/>
        <v>INNER</v>
      </c>
      <c r="AC2762" t="str">
        <f t="shared" si="1804"/>
        <v>Stock en Bultos</v>
      </c>
      <c r="AD2762" t="str">
        <f t="shared" si="1805"/>
        <v>SubDepósito</v>
      </c>
      <c r="AE2762" t="str">
        <f t="shared" si="1806"/>
        <v>Marca</v>
      </c>
      <c r="AF2762" t="str">
        <f t="shared" si="1807"/>
        <v>Super Rubro</v>
      </c>
      <c r="AG2762" t="str">
        <f t="shared" si="1808"/>
        <v>ComercioExterior</v>
      </c>
      <c r="AH2762" t="str">
        <f t="shared" si="1809"/>
        <v>PrecioFOB</v>
      </c>
      <c r="AI2762" t="str">
        <f t="shared" si="1810"/>
        <v>Monto II</v>
      </c>
      <c r="AJ2762" t="str">
        <f t="shared" si="1811"/>
        <v>Porcentaje II</v>
      </c>
      <c r="AK2762" t="str">
        <f t="shared" si="1812"/>
        <v>Foto</v>
      </c>
      <c r="AL2762" t="str">
        <f>"{\rtf1\ansi\ansicpg1252\deff0\deflang11274{\fonttbl{\f0\fnil\fcharset0 MS Sans Serif}} \viewkind4\uc1\pard\f0\fs16 SENSOR NIVEL COMBUSTIBLE P206 LLENO 14 A 16 MEDIO 153 A 166 VACIO 330 A 350\par } "</f>
        <v xml:space="preserve">{\rtf1\ansi\ansicpg1252\deff0\deflang11274{\fonttbl{\f0\fnil\fcharset0 MS Sans Serif}} \viewkind4\uc1\pard\f0\fs16 SENSOR NIVEL COMBUSTIBLE P206 LLENO 14 A 16 MEDIO 153 A 166 VACIO 330 A 350\par } </v>
      </c>
      <c r="AM2762" t="str">
        <f t="shared" si="1789"/>
        <v>-</v>
      </c>
    </row>
    <row r="2763" spans="1:39" x14ac:dyDescent="0.25">
      <c r="A2763" t="str">
        <f>"FI23106"</f>
        <v>FI23106</v>
      </c>
      <c r="B2763" t="str">
        <f>"SENSOR NIVEL COMBUSTIBLE PALIO/SIENA 1,3 FIRE C/REGULADOR MARELLI MAM258"</f>
        <v>SENSOR NIVEL COMBUSTIBLE PALIO/SIENA 1,3 FIRE C/REGULADOR MARELLI MAM258</v>
      </c>
      <c r="C2763" t="str">
        <f>"$ 154527,98"</f>
        <v>$ 154527,98</v>
      </c>
      <c r="D2763" t="str">
        <f>"$ 154527,98"</f>
        <v>$ 154527,98</v>
      </c>
      <c r="E2763" t="str">
        <f>"$ 154527,98"</f>
        <v>$ 154527,98</v>
      </c>
      <c r="F2763" t="str">
        <f>"$ 154527,98"</f>
        <v>$ 154527,98</v>
      </c>
      <c r="G2763" t="str">
        <f>"$ 154527,98"</f>
        <v>$ 154527,98</v>
      </c>
      <c r="H2763" t="str">
        <f t="shared" si="1795"/>
        <v>$ 0,00</v>
      </c>
      <c r="I2763" t="str">
        <f t="shared" si="1790"/>
        <v xml:space="preserve">SENSOR NIVEL COMBUSTIBLE </v>
      </c>
      <c r="J2763" t="str">
        <f t="shared" si="1796"/>
        <v>1</v>
      </c>
      <c r="K2763" t="str">
        <f t="shared" si="1781"/>
        <v>0</v>
      </c>
      <c r="L2763" t="str">
        <f>"0,000"</f>
        <v>0,000</v>
      </c>
      <c r="M2763" t="str">
        <f t="shared" si="1797"/>
        <v xml:space="preserve"> </v>
      </c>
      <c r="N2763" t="str">
        <f t="shared" si="1786"/>
        <v>FISPA</v>
      </c>
      <c r="O2763" t="str">
        <f t="shared" si="1791"/>
        <v>BOMBAS</v>
      </c>
      <c r="P2763" t="str">
        <f t="shared" ref="P2763:Q2782" si="1813">"0"</f>
        <v>0</v>
      </c>
      <c r="Q2763" t="str">
        <f t="shared" si="1813"/>
        <v>0</v>
      </c>
      <c r="R2763" t="str">
        <f t="shared" ref="R2763:S2782" si="1814">"0,00"</f>
        <v>0,00</v>
      </c>
      <c r="S2763" t="str">
        <f t="shared" si="1814"/>
        <v>0,00</v>
      </c>
      <c r="T2763" t="str">
        <f t="shared" si="1792"/>
        <v xml:space="preserve"> </v>
      </c>
      <c r="U2763" t="str">
        <f t="shared" si="1794"/>
        <v xml:space="preserve"> </v>
      </c>
      <c r="V2763" t="str">
        <f>"0,000"</f>
        <v>0,000</v>
      </c>
      <c r="W2763" t="str">
        <f t="shared" si="1798"/>
        <v>Lista 4</v>
      </c>
      <c r="X2763" t="str">
        <f t="shared" si="1799"/>
        <v>Lista 5</v>
      </c>
      <c r="Y2763" t="str">
        <f t="shared" si="1800"/>
        <v>Oferta Gral.</v>
      </c>
      <c r="Z2763" t="str">
        <f t="shared" si="1801"/>
        <v>Rubro</v>
      </c>
      <c r="AA2763" t="str">
        <f t="shared" si="1802"/>
        <v>Cantidad por Bulto</v>
      </c>
      <c r="AB2763" t="str">
        <f t="shared" si="1803"/>
        <v>INNER</v>
      </c>
      <c r="AC2763" t="str">
        <f t="shared" si="1804"/>
        <v>Stock en Bultos</v>
      </c>
      <c r="AD2763" t="str">
        <f t="shared" si="1805"/>
        <v>SubDepósito</v>
      </c>
      <c r="AE2763" t="str">
        <f t="shared" si="1806"/>
        <v>Marca</v>
      </c>
      <c r="AF2763" t="str">
        <f t="shared" si="1807"/>
        <v>Super Rubro</v>
      </c>
      <c r="AG2763" t="str">
        <f t="shared" si="1808"/>
        <v>ComercioExterior</v>
      </c>
      <c r="AH2763" t="str">
        <f t="shared" si="1809"/>
        <v>PrecioFOB</v>
      </c>
      <c r="AI2763" t="str">
        <f t="shared" si="1810"/>
        <v>Monto II</v>
      </c>
      <c r="AJ2763" t="str">
        <f t="shared" si="1811"/>
        <v>Porcentaje II</v>
      </c>
      <c r="AK2763" t="str">
        <f t="shared" si="1812"/>
        <v>Foto</v>
      </c>
      <c r="AL2763" t="str">
        <f>"{\rtf1\ansi\ansicpg1252\deff0\deflang11274{\fonttbl{\f0\fnil\fcharset0 MS Sans Serif}} \viewkind4\uc1\pard\f0\fs16 SENSOR NIVEL COMBUSTIBLE PALIO/SIENA 1,3 FIRE C/REGULADOR MARELLI MAM258\par } "</f>
        <v xml:space="preserve">{\rtf1\ansi\ansicpg1252\deff0\deflang11274{\fonttbl{\f0\fnil\fcharset0 MS Sans Serif}} \viewkind4\uc1\pard\f0\fs16 SENSOR NIVEL COMBUSTIBLE PALIO/SIENA 1,3 FIRE C/REGULADOR MARELLI MAM258\par } </v>
      </c>
      <c r="AM2763" t="str">
        <f t="shared" si="1789"/>
        <v>-</v>
      </c>
    </row>
    <row r="2764" spans="1:39" x14ac:dyDescent="0.25">
      <c r="A2764" t="str">
        <f>"FI22608A"</f>
        <v>FI22608A</v>
      </c>
      <c r="B2764" t="str">
        <f>"SENSOR NIVEL COMBUSTIBLE RENAULT 9/11/19 CARB. 7702082736"</f>
        <v>SENSOR NIVEL COMBUSTIBLE RENAULT 9/11/19 CARB. 7702082736</v>
      </c>
      <c r="C2764" t="str">
        <f>"$ 36910,37"</f>
        <v>$ 36910,37</v>
      </c>
      <c r="D2764" t="str">
        <f>"$ 36910,37"</f>
        <v>$ 36910,37</v>
      </c>
      <c r="E2764" t="str">
        <f>"$ 36910,37"</f>
        <v>$ 36910,37</v>
      </c>
      <c r="F2764" t="str">
        <f>"$ 36910,37"</f>
        <v>$ 36910,37</v>
      </c>
      <c r="G2764" t="str">
        <f>"$ 36910,37"</f>
        <v>$ 36910,37</v>
      </c>
      <c r="H2764" t="str">
        <f t="shared" si="1795"/>
        <v>$ 0,00</v>
      </c>
      <c r="I2764" t="str">
        <f t="shared" si="1790"/>
        <v xml:space="preserve">SENSOR NIVEL COMBUSTIBLE </v>
      </c>
      <c r="J2764" t="str">
        <f t="shared" si="1796"/>
        <v>1</v>
      </c>
      <c r="K2764" t="str">
        <f t="shared" si="1781"/>
        <v>0</v>
      </c>
      <c r="L2764" t="str">
        <f>"2,000"</f>
        <v>2,000</v>
      </c>
      <c r="M2764" t="str">
        <f t="shared" si="1797"/>
        <v xml:space="preserve"> </v>
      </c>
      <c r="N2764" t="str">
        <f t="shared" si="1786"/>
        <v>FISPA</v>
      </c>
      <c r="O2764" t="str">
        <f t="shared" si="1791"/>
        <v>BOMBAS</v>
      </c>
      <c r="P2764" t="str">
        <f t="shared" si="1813"/>
        <v>0</v>
      </c>
      <c r="Q2764" t="str">
        <f t="shared" si="1813"/>
        <v>0</v>
      </c>
      <c r="R2764" t="str">
        <f t="shared" si="1814"/>
        <v>0,00</v>
      </c>
      <c r="S2764" t="str">
        <f t="shared" si="1814"/>
        <v>0,00</v>
      </c>
      <c r="T2764" t="str">
        <f t="shared" si="1792"/>
        <v xml:space="preserve"> </v>
      </c>
      <c r="U2764" t="str">
        <f t="shared" si="1794"/>
        <v xml:space="preserve"> </v>
      </c>
      <c r="V2764" t="str">
        <f>"2,000"</f>
        <v>2,000</v>
      </c>
      <c r="W2764" t="str">
        <f t="shared" si="1798"/>
        <v>Lista 4</v>
      </c>
      <c r="X2764" t="str">
        <f t="shared" si="1799"/>
        <v>Lista 5</v>
      </c>
      <c r="Y2764" t="str">
        <f t="shared" si="1800"/>
        <v>Oferta Gral.</v>
      </c>
      <c r="Z2764" t="str">
        <f t="shared" si="1801"/>
        <v>Rubro</v>
      </c>
      <c r="AA2764" t="str">
        <f t="shared" si="1802"/>
        <v>Cantidad por Bulto</v>
      </c>
      <c r="AB2764" t="str">
        <f t="shared" si="1803"/>
        <v>INNER</v>
      </c>
      <c r="AC2764" t="str">
        <f t="shared" si="1804"/>
        <v>Stock en Bultos</v>
      </c>
      <c r="AD2764" t="str">
        <f t="shared" si="1805"/>
        <v>SubDepósito</v>
      </c>
      <c r="AE2764" t="str">
        <f t="shared" si="1806"/>
        <v>Marca</v>
      </c>
      <c r="AF2764" t="str">
        <f t="shared" si="1807"/>
        <v>Super Rubro</v>
      </c>
      <c r="AG2764" t="str">
        <f t="shared" si="1808"/>
        <v>ComercioExterior</v>
      </c>
      <c r="AH2764" t="str">
        <f t="shared" si="1809"/>
        <v>PrecioFOB</v>
      </c>
      <c r="AI2764" t="str">
        <f t="shared" si="1810"/>
        <v>Monto II</v>
      </c>
      <c r="AJ2764" t="str">
        <f t="shared" si="1811"/>
        <v>Porcentaje II</v>
      </c>
      <c r="AK2764" t="str">
        <f t="shared" si="1812"/>
        <v>Foto</v>
      </c>
      <c r="AL2764" t="str">
        <f>" "</f>
        <v xml:space="preserve"> </v>
      </c>
      <c r="AM2764" t="str">
        <f t="shared" si="1789"/>
        <v>-</v>
      </c>
    </row>
    <row r="2765" spans="1:39" x14ac:dyDescent="0.25">
      <c r="A2765" t="str">
        <f>"FI22268"</f>
        <v>FI22268</v>
      </c>
      <c r="B2765" t="str">
        <f>"SENSOR NIVEL COMBUSTIBLE RENAULT LOGAN 8200307403/8200704685"</f>
        <v>SENSOR NIVEL COMBUSTIBLE RENAULT LOGAN 8200307403/8200704685</v>
      </c>
      <c r="C2765" t="str">
        <f>"$ 172314,29"</f>
        <v>$ 172314,29</v>
      </c>
      <c r="D2765" t="str">
        <f>"$ 172314,29"</f>
        <v>$ 172314,29</v>
      </c>
      <c r="E2765" t="str">
        <f>"$ 172314,29"</f>
        <v>$ 172314,29</v>
      </c>
      <c r="F2765" t="str">
        <f>"$ 172314,29"</f>
        <v>$ 172314,29</v>
      </c>
      <c r="G2765" t="str">
        <f>"$ 172314,29"</f>
        <v>$ 172314,29</v>
      </c>
      <c r="H2765" t="str">
        <f t="shared" si="1795"/>
        <v>$ 0,00</v>
      </c>
      <c r="I2765" t="str">
        <f t="shared" si="1790"/>
        <v xml:space="preserve">SENSOR NIVEL COMBUSTIBLE </v>
      </c>
      <c r="J2765" t="str">
        <f t="shared" si="1796"/>
        <v>1</v>
      </c>
      <c r="K2765" t="str">
        <f t="shared" si="1781"/>
        <v>0</v>
      </c>
      <c r="L2765" t="str">
        <f>"2,000"</f>
        <v>2,000</v>
      </c>
      <c r="M2765" t="str">
        <f t="shared" si="1797"/>
        <v xml:space="preserve"> </v>
      </c>
      <c r="N2765" t="str">
        <f t="shared" si="1786"/>
        <v>FISPA</v>
      </c>
      <c r="O2765" t="str">
        <f t="shared" si="1791"/>
        <v>BOMBAS</v>
      </c>
      <c r="P2765" t="str">
        <f t="shared" si="1813"/>
        <v>0</v>
      </c>
      <c r="Q2765" t="str">
        <f t="shared" si="1813"/>
        <v>0</v>
      </c>
      <c r="R2765" t="str">
        <f t="shared" si="1814"/>
        <v>0,00</v>
      </c>
      <c r="S2765" t="str">
        <f t="shared" si="1814"/>
        <v>0,00</v>
      </c>
      <c r="T2765" t="str">
        <f t="shared" si="1792"/>
        <v xml:space="preserve"> </v>
      </c>
      <c r="U2765" t="str">
        <f t="shared" si="1794"/>
        <v xml:space="preserve"> </v>
      </c>
      <c r="V2765" t="str">
        <f>"2,000"</f>
        <v>2,000</v>
      </c>
      <c r="W2765" t="str">
        <f t="shared" si="1798"/>
        <v>Lista 4</v>
      </c>
      <c r="X2765" t="str">
        <f t="shared" si="1799"/>
        <v>Lista 5</v>
      </c>
      <c r="Y2765" t="str">
        <f t="shared" si="1800"/>
        <v>Oferta Gral.</v>
      </c>
      <c r="Z2765" t="str">
        <f t="shared" si="1801"/>
        <v>Rubro</v>
      </c>
      <c r="AA2765" t="str">
        <f t="shared" si="1802"/>
        <v>Cantidad por Bulto</v>
      </c>
      <c r="AB2765" t="str">
        <f t="shared" si="1803"/>
        <v>INNER</v>
      </c>
      <c r="AC2765" t="str">
        <f t="shared" si="1804"/>
        <v>Stock en Bultos</v>
      </c>
      <c r="AD2765" t="str">
        <f t="shared" si="1805"/>
        <v>SubDepósito</v>
      </c>
      <c r="AE2765" t="str">
        <f t="shared" si="1806"/>
        <v>Marca</v>
      </c>
      <c r="AF2765" t="str">
        <f t="shared" si="1807"/>
        <v>Super Rubro</v>
      </c>
      <c r="AG2765" t="str">
        <f t="shared" si="1808"/>
        <v>ComercioExterior</v>
      </c>
      <c r="AH2765" t="str">
        <f t="shared" si="1809"/>
        <v>PrecioFOB</v>
      </c>
      <c r="AI2765" t="str">
        <f t="shared" si="1810"/>
        <v>Monto II</v>
      </c>
      <c r="AJ2765" t="str">
        <f t="shared" si="1811"/>
        <v>Porcentaje II</v>
      </c>
      <c r="AK2765" t="str">
        <f t="shared" si="1812"/>
        <v>Foto</v>
      </c>
      <c r="AL2765" t="str">
        <f>"{\rtf1\ansi\ansicpg1252\deff0\deflang11274{\fonttbl{\f0\fnil\fcharset0 MS Sans Serif}} \viewkind4\uc1\pard\f0\fs16 SENSOR NIVEL COMBUSTIBLE RENAULT LOGAN 8200307403/8200704685\par } "</f>
        <v xml:space="preserve">{\rtf1\ansi\ansicpg1252\deff0\deflang11274{\fonttbl{\f0\fnil\fcharset0 MS Sans Serif}} \viewkind4\uc1\pard\f0\fs16 SENSOR NIVEL COMBUSTIBLE RENAULT LOGAN 8200307403/8200704685\par } </v>
      </c>
      <c r="AM2765" t="str">
        <f t="shared" si="1789"/>
        <v>-</v>
      </c>
    </row>
    <row r="2766" spans="1:39" x14ac:dyDescent="0.25">
      <c r="A2766" t="str">
        <f>"FI22407"</f>
        <v>FI22407</v>
      </c>
      <c r="B2766" t="str">
        <f>"SENSOR NIVEL COMBUSTIBLE RENAULT MEGANE II 1,6 16V 8200537622 8200683138"</f>
        <v>SENSOR NIVEL COMBUSTIBLE RENAULT MEGANE II 1,6 16V 8200537622 8200683138</v>
      </c>
      <c r="C2766" t="str">
        <f>"$ 151212,89"</f>
        <v>$ 151212,89</v>
      </c>
      <c r="D2766" t="str">
        <f>"$ 151212,89"</f>
        <v>$ 151212,89</v>
      </c>
      <c r="E2766" t="str">
        <f>"$ 151212,89"</f>
        <v>$ 151212,89</v>
      </c>
      <c r="F2766" t="str">
        <f>"$ 151212,89"</f>
        <v>$ 151212,89</v>
      </c>
      <c r="G2766" t="str">
        <f>"$ 151212,89"</f>
        <v>$ 151212,89</v>
      </c>
      <c r="H2766" t="str">
        <f t="shared" si="1795"/>
        <v>$ 0,00</v>
      </c>
      <c r="I2766" t="str">
        <f t="shared" si="1790"/>
        <v xml:space="preserve">SENSOR NIVEL COMBUSTIBLE </v>
      </c>
      <c r="J2766" t="str">
        <f t="shared" si="1796"/>
        <v>1</v>
      </c>
      <c r="K2766" t="str">
        <f t="shared" si="1781"/>
        <v>0</v>
      </c>
      <c r="L2766" t="str">
        <f>"5,000"</f>
        <v>5,000</v>
      </c>
      <c r="M2766" t="str">
        <f t="shared" si="1797"/>
        <v xml:space="preserve"> </v>
      </c>
      <c r="N2766" t="str">
        <f t="shared" si="1786"/>
        <v>FISPA</v>
      </c>
      <c r="O2766" t="str">
        <f t="shared" si="1791"/>
        <v>BOMBAS</v>
      </c>
      <c r="P2766" t="str">
        <f t="shared" si="1813"/>
        <v>0</v>
      </c>
      <c r="Q2766" t="str">
        <f t="shared" si="1813"/>
        <v>0</v>
      </c>
      <c r="R2766" t="str">
        <f t="shared" si="1814"/>
        <v>0,00</v>
      </c>
      <c r="S2766" t="str">
        <f t="shared" si="1814"/>
        <v>0,00</v>
      </c>
      <c r="T2766" t="str">
        <f t="shared" si="1792"/>
        <v xml:space="preserve"> </v>
      </c>
      <c r="U2766" t="str">
        <f t="shared" si="1794"/>
        <v xml:space="preserve"> </v>
      </c>
      <c r="V2766" t="str">
        <f>"5,000"</f>
        <v>5,000</v>
      </c>
      <c r="W2766" t="str">
        <f t="shared" si="1798"/>
        <v>Lista 4</v>
      </c>
      <c r="X2766" t="str">
        <f t="shared" si="1799"/>
        <v>Lista 5</v>
      </c>
      <c r="Y2766" t="str">
        <f t="shared" si="1800"/>
        <v>Oferta Gral.</v>
      </c>
      <c r="Z2766" t="str">
        <f t="shared" si="1801"/>
        <v>Rubro</v>
      </c>
      <c r="AA2766" t="str">
        <f t="shared" si="1802"/>
        <v>Cantidad por Bulto</v>
      </c>
      <c r="AB2766" t="str">
        <f t="shared" si="1803"/>
        <v>INNER</v>
      </c>
      <c r="AC2766" t="str">
        <f t="shared" si="1804"/>
        <v>Stock en Bultos</v>
      </c>
      <c r="AD2766" t="str">
        <f t="shared" si="1805"/>
        <v>SubDepósito</v>
      </c>
      <c r="AE2766" t="str">
        <f t="shared" si="1806"/>
        <v>Marca</v>
      </c>
      <c r="AF2766" t="str">
        <f t="shared" si="1807"/>
        <v>Super Rubro</v>
      </c>
      <c r="AG2766" t="str">
        <f t="shared" si="1808"/>
        <v>ComercioExterior</v>
      </c>
      <c r="AH2766" t="str">
        <f t="shared" si="1809"/>
        <v>PrecioFOB</v>
      </c>
      <c r="AI2766" t="str">
        <f t="shared" si="1810"/>
        <v>Monto II</v>
      </c>
      <c r="AJ2766" t="str">
        <f t="shared" si="1811"/>
        <v>Porcentaje II</v>
      </c>
      <c r="AK2766" t="str">
        <f t="shared" si="1812"/>
        <v>Foto</v>
      </c>
      <c r="AL2766" t="str">
        <f>"{\rtf1\ansi\ansicpg1252\deff0\deflang11274{\fonttbl{\f0\fnil\fcharset0 MS Sans Serif}} \viewkind4\uc1\pard\f0\fs16 SENSOR NIVEL COMBUSTIBLE RENAULT MEGANE II 1,6 16V 8200537622 8200683138\par } "</f>
        <v xml:space="preserve">{\rtf1\ansi\ansicpg1252\deff0\deflang11274{\fonttbl{\f0\fnil\fcharset0 MS Sans Serif}} \viewkind4\uc1\pard\f0\fs16 SENSOR NIVEL COMBUSTIBLE RENAULT MEGANE II 1,6 16V 8200537622 8200683138\par } </v>
      </c>
      <c r="AM2766" t="str">
        <f t="shared" si="1789"/>
        <v>-</v>
      </c>
    </row>
    <row r="2767" spans="1:39" x14ac:dyDescent="0.25">
      <c r="A2767" t="str">
        <f>"FI22406"</f>
        <v>FI22406</v>
      </c>
      <c r="B2767" t="str">
        <f>"SENSOR NIVEL COMBUSTIBLE RENAULT MEGANE II FILTRO EXT. 8200689362/8200130191"</f>
        <v>SENSOR NIVEL COMBUSTIBLE RENAULT MEGANE II FILTRO EXT. 8200689362/8200130191</v>
      </c>
      <c r="C2767" t="str">
        <f>"$ 156183,09"</f>
        <v>$ 156183,09</v>
      </c>
      <c r="D2767" t="str">
        <f>"$ 156183,09"</f>
        <v>$ 156183,09</v>
      </c>
      <c r="E2767" t="str">
        <f>"$ 156183,09"</f>
        <v>$ 156183,09</v>
      </c>
      <c r="F2767" t="str">
        <f>"$ 156183,09"</f>
        <v>$ 156183,09</v>
      </c>
      <c r="G2767" t="str">
        <f>"$ 156183,09"</f>
        <v>$ 156183,09</v>
      </c>
      <c r="H2767" t="str">
        <f t="shared" si="1795"/>
        <v>$ 0,00</v>
      </c>
      <c r="I2767" t="str">
        <f t="shared" si="1790"/>
        <v xml:space="preserve">SENSOR NIVEL COMBUSTIBLE </v>
      </c>
      <c r="J2767" t="str">
        <f t="shared" si="1796"/>
        <v>1</v>
      </c>
      <c r="K2767" t="str">
        <f t="shared" si="1781"/>
        <v>0</v>
      </c>
      <c r="L2767" t="str">
        <f>"2,000"</f>
        <v>2,000</v>
      </c>
      <c r="M2767" t="str">
        <f t="shared" si="1797"/>
        <v xml:space="preserve"> </v>
      </c>
      <c r="N2767" t="str">
        <f t="shared" si="1786"/>
        <v>FISPA</v>
      </c>
      <c r="O2767" t="str">
        <f t="shared" si="1791"/>
        <v>BOMBAS</v>
      </c>
      <c r="P2767" t="str">
        <f t="shared" si="1813"/>
        <v>0</v>
      </c>
      <c r="Q2767" t="str">
        <f t="shared" si="1813"/>
        <v>0</v>
      </c>
      <c r="R2767" t="str">
        <f t="shared" si="1814"/>
        <v>0,00</v>
      </c>
      <c r="S2767" t="str">
        <f t="shared" si="1814"/>
        <v>0,00</v>
      </c>
      <c r="T2767" t="str">
        <f t="shared" si="1792"/>
        <v xml:space="preserve"> </v>
      </c>
      <c r="U2767" t="str">
        <f t="shared" si="1794"/>
        <v xml:space="preserve"> </v>
      </c>
      <c r="V2767" t="str">
        <f>"2,000"</f>
        <v>2,000</v>
      </c>
      <c r="W2767" t="str">
        <f t="shared" si="1798"/>
        <v>Lista 4</v>
      </c>
      <c r="X2767" t="str">
        <f t="shared" si="1799"/>
        <v>Lista 5</v>
      </c>
      <c r="Y2767" t="str">
        <f t="shared" si="1800"/>
        <v>Oferta Gral.</v>
      </c>
      <c r="Z2767" t="str">
        <f t="shared" si="1801"/>
        <v>Rubro</v>
      </c>
      <c r="AA2767" t="str">
        <f t="shared" si="1802"/>
        <v>Cantidad por Bulto</v>
      </c>
      <c r="AB2767" t="str">
        <f t="shared" si="1803"/>
        <v>INNER</v>
      </c>
      <c r="AC2767" t="str">
        <f t="shared" si="1804"/>
        <v>Stock en Bultos</v>
      </c>
      <c r="AD2767" t="str">
        <f t="shared" si="1805"/>
        <v>SubDepósito</v>
      </c>
      <c r="AE2767" t="str">
        <f t="shared" si="1806"/>
        <v>Marca</v>
      </c>
      <c r="AF2767" t="str">
        <f t="shared" si="1807"/>
        <v>Super Rubro</v>
      </c>
      <c r="AG2767" t="str">
        <f t="shared" si="1808"/>
        <v>ComercioExterior</v>
      </c>
      <c r="AH2767" t="str">
        <f t="shared" si="1809"/>
        <v>PrecioFOB</v>
      </c>
      <c r="AI2767" t="str">
        <f t="shared" si="1810"/>
        <v>Monto II</v>
      </c>
      <c r="AJ2767" t="str">
        <f t="shared" si="1811"/>
        <v>Porcentaje II</v>
      </c>
      <c r="AK2767" t="str">
        <f t="shared" si="1812"/>
        <v>Foto</v>
      </c>
      <c r="AL2767" t="str">
        <f>"{\rtf1\ansi\ansicpg1252\deff0\deflang11274{\fonttbl{\f0\fnil\fcharset0 MS Sans Serif}} \viewkind4\uc1\pard\f0\fs16 SENSOR NIVEL COMBUSTIBLE RENAULT MEGANE II FILTRO EXT. 8200689362/8200130191\par } "</f>
        <v xml:space="preserve">{\rtf1\ansi\ansicpg1252\deff0\deflang11274{\fonttbl{\f0\fnil\fcharset0 MS Sans Serif}} \viewkind4\uc1\pard\f0\fs16 SENSOR NIVEL COMBUSTIBLE RENAULT MEGANE II FILTRO EXT. 8200689362/8200130191\par } </v>
      </c>
      <c r="AM2767" t="str">
        <f t="shared" si="1789"/>
        <v>-</v>
      </c>
    </row>
    <row r="2768" spans="1:39" x14ac:dyDescent="0.25">
      <c r="A2768" t="str">
        <f>"FI22159"</f>
        <v>FI22159</v>
      </c>
      <c r="B2768" t="str">
        <f>"SENSOR NIVEL COMBUSTIBLE SIN BOMBA CLIO MIO Y K7M REF ORIG 8200027963"</f>
        <v>SENSOR NIVEL COMBUSTIBLE SIN BOMBA CLIO MIO Y K7M REF ORIG 8200027963</v>
      </c>
      <c r="C2768" t="str">
        <f>"$ 137028,51"</f>
        <v>$ 137028,51</v>
      </c>
      <c r="D2768" t="str">
        <f>"$ 137028,51"</f>
        <v>$ 137028,51</v>
      </c>
      <c r="E2768" t="str">
        <f>"$ 137028,51"</f>
        <v>$ 137028,51</v>
      </c>
      <c r="F2768" t="str">
        <f>"$ 137028,51"</f>
        <v>$ 137028,51</v>
      </c>
      <c r="G2768" t="str">
        <f>"$ 137028,51"</f>
        <v>$ 137028,51</v>
      </c>
      <c r="H2768" t="str">
        <f t="shared" si="1795"/>
        <v>$ 0,00</v>
      </c>
      <c r="I2768" t="str">
        <f t="shared" si="1790"/>
        <v xml:space="preserve">SENSOR NIVEL COMBUSTIBLE </v>
      </c>
      <c r="J2768" t="str">
        <f t="shared" si="1796"/>
        <v>1</v>
      </c>
      <c r="K2768" t="str">
        <f t="shared" si="1781"/>
        <v>0</v>
      </c>
      <c r="L2768" t="str">
        <f>"3,000"</f>
        <v>3,000</v>
      </c>
      <c r="M2768" t="str">
        <f t="shared" si="1797"/>
        <v xml:space="preserve"> </v>
      </c>
      <c r="N2768" t="str">
        <f t="shared" si="1786"/>
        <v>FISPA</v>
      </c>
      <c r="O2768" t="str">
        <f t="shared" si="1791"/>
        <v>BOMBAS</v>
      </c>
      <c r="P2768" t="str">
        <f t="shared" si="1813"/>
        <v>0</v>
      </c>
      <c r="Q2768" t="str">
        <f t="shared" si="1813"/>
        <v>0</v>
      </c>
      <c r="R2768" t="str">
        <f t="shared" si="1814"/>
        <v>0,00</v>
      </c>
      <c r="S2768" t="str">
        <f t="shared" si="1814"/>
        <v>0,00</v>
      </c>
      <c r="T2768" t="str">
        <f t="shared" si="1792"/>
        <v xml:space="preserve"> </v>
      </c>
      <c r="U2768" t="str">
        <f t="shared" si="1794"/>
        <v xml:space="preserve"> </v>
      </c>
      <c r="V2768" t="str">
        <f>"3,000"</f>
        <v>3,000</v>
      </c>
      <c r="W2768" t="str">
        <f t="shared" si="1798"/>
        <v>Lista 4</v>
      </c>
      <c r="X2768" t="str">
        <f t="shared" si="1799"/>
        <v>Lista 5</v>
      </c>
      <c r="Y2768" t="str">
        <f t="shared" si="1800"/>
        <v>Oferta Gral.</v>
      </c>
      <c r="Z2768" t="str">
        <f t="shared" si="1801"/>
        <v>Rubro</v>
      </c>
      <c r="AA2768" t="str">
        <f t="shared" si="1802"/>
        <v>Cantidad por Bulto</v>
      </c>
      <c r="AB2768" t="str">
        <f t="shared" si="1803"/>
        <v>INNER</v>
      </c>
      <c r="AC2768" t="str">
        <f t="shared" si="1804"/>
        <v>Stock en Bultos</v>
      </c>
      <c r="AD2768" t="str">
        <f t="shared" si="1805"/>
        <v>SubDepósito</v>
      </c>
      <c r="AE2768" t="str">
        <f t="shared" si="1806"/>
        <v>Marca</v>
      </c>
      <c r="AF2768" t="str">
        <f t="shared" si="1807"/>
        <v>Super Rubro</v>
      </c>
      <c r="AG2768" t="str">
        <f t="shared" si="1808"/>
        <v>ComercioExterior</v>
      </c>
      <c r="AH2768" t="str">
        <f t="shared" si="1809"/>
        <v>PrecioFOB</v>
      </c>
      <c r="AI2768" t="str">
        <f t="shared" si="1810"/>
        <v>Monto II</v>
      </c>
      <c r="AJ2768" t="str">
        <f t="shared" si="1811"/>
        <v>Porcentaje II</v>
      </c>
      <c r="AK2768" t="str">
        <f t="shared" si="1812"/>
        <v>Foto</v>
      </c>
      <c r="AL2768" t="str">
        <f>"{\rtf1\ansi\ansicpg1252\deff0\deflang11274{\fonttbl{\f0\fnil\fcharset0 MS Sans Serif}} \viewkind4\uc1\pard\f0\fs16 SENSOR NIVEL COMBUSTIBLE SIN BOMBA CLIO MIO Y K7M REF ORIG 8200027963\par } "</f>
        <v xml:space="preserve">{\rtf1\ansi\ansicpg1252\deff0\deflang11274{\fonttbl{\f0\fnil\fcharset0 MS Sans Serif}} \viewkind4\uc1\pard\f0\fs16 SENSOR NIVEL COMBUSTIBLE SIN BOMBA CLIO MIO Y K7M REF ORIG 8200027963\par } </v>
      </c>
      <c r="AM2768" t="str">
        <f t="shared" si="1789"/>
        <v>-</v>
      </c>
    </row>
    <row r="2769" spans="1:39" x14ac:dyDescent="0.25">
      <c r="A2769" t="str">
        <f>"FI23103"</f>
        <v>FI23103</v>
      </c>
      <c r="B2769" t="str">
        <f>"SENSOR NIVEL COMBUSTIBLE VW GOL 99/07 373919051AA MARELLI MAM071"</f>
        <v>SENSOR NIVEL COMBUSTIBLE VW GOL 99/07 373919051AA MARELLI MAM071</v>
      </c>
      <c r="C2769" t="str">
        <f>"$ 135613,86"</f>
        <v>$ 135613,86</v>
      </c>
      <c r="D2769" t="str">
        <f>"$ 135613,86"</f>
        <v>$ 135613,86</v>
      </c>
      <c r="E2769" t="str">
        <f>"$ 135613,86"</f>
        <v>$ 135613,86</v>
      </c>
      <c r="F2769" t="str">
        <f>"$ 135613,86"</f>
        <v>$ 135613,86</v>
      </c>
      <c r="G2769" t="str">
        <f>"$ 135613,86"</f>
        <v>$ 135613,86</v>
      </c>
      <c r="H2769" t="str">
        <f t="shared" si="1795"/>
        <v>$ 0,00</v>
      </c>
      <c r="I2769" t="str">
        <f t="shared" si="1790"/>
        <v xml:space="preserve">SENSOR NIVEL COMBUSTIBLE </v>
      </c>
      <c r="J2769" t="str">
        <f t="shared" si="1796"/>
        <v>1</v>
      </c>
      <c r="K2769" t="str">
        <f t="shared" si="1781"/>
        <v>0</v>
      </c>
      <c r="L2769" t="str">
        <f>"6,000"</f>
        <v>6,000</v>
      </c>
      <c r="M2769" t="str">
        <f t="shared" si="1797"/>
        <v xml:space="preserve"> </v>
      </c>
      <c r="N2769" t="str">
        <f t="shared" ref="N2769:N2780" si="1815">"FISPA"</f>
        <v>FISPA</v>
      </c>
      <c r="O2769" t="str">
        <f t="shared" si="1791"/>
        <v>BOMBAS</v>
      </c>
      <c r="P2769" t="str">
        <f t="shared" si="1813"/>
        <v>0</v>
      </c>
      <c r="Q2769" t="str">
        <f t="shared" si="1813"/>
        <v>0</v>
      </c>
      <c r="R2769" t="str">
        <f t="shared" si="1814"/>
        <v>0,00</v>
      </c>
      <c r="S2769" t="str">
        <f t="shared" si="1814"/>
        <v>0,00</v>
      </c>
      <c r="T2769" t="str">
        <f t="shared" si="1792"/>
        <v xml:space="preserve"> </v>
      </c>
      <c r="U2769" t="str">
        <f t="shared" si="1794"/>
        <v xml:space="preserve"> </v>
      </c>
      <c r="V2769" t="str">
        <f>"6,000"</f>
        <v>6,000</v>
      </c>
      <c r="W2769" t="str">
        <f t="shared" si="1798"/>
        <v>Lista 4</v>
      </c>
      <c r="X2769" t="str">
        <f t="shared" si="1799"/>
        <v>Lista 5</v>
      </c>
      <c r="Y2769" t="str">
        <f t="shared" si="1800"/>
        <v>Oferta Gral.</v>
      </c>
      <c r="Z2769" t="str">
        <f t="shared" si="1801"/>
        <v>Rubro</v>
      </c>
      <c r="AA2769" t="str">
        <f t="shared" si="1802"/>
        <v>Cantidad por Bulto</v>
      </c>
      <c r="AB2769" t="str">
        <f t="shared" si="1803"/>
        <v>INNER</v>
      </c>
      <c r="AC2769" t="str">
        <f t="shared" si="1804"/>
        <v>Stock en Bultos</v>
      </c>
      <c r="AD2769" t="str">
        <f t="shared" si="1805"/>
        <v>SubDepósito</v>
      </c>
      <c r="AE2769" t="str">
        <f t="shared" si="1806"/>
        <v>Marca</v>
      </c>
      <c r="AF2769" t="str">
        <f t="shared" si="1807"/>
        <v>Super Rubro</v>
      </c>
      <c r="AG2769" t="str">
        <f t="shared" si="1808"/>
        <v>ComercioExterior</v>
      </c>
      <c r="AH2769" t="str">
        <f t="shared" si="1809"/>
        <v>PrecioFOB</v>
      </c>
      <c r="AI2769" t="str">
        <f t="shared" si="1810"/>
        <v>Monto II</v>
      </c>
      <c r="AJ2769" t="str">
        <f t="shared" si="1811"/>
        <v>Porcentaje II</v>
      </c>
      <c r="AK2769" t="str">
        <f t="shared" si="1812"/>
        <v>Foto</v>
      </c>
      <c r="AL2769" t="str">
        <f>" "</f>
        <v xml:space="preserve"> </v>
      </c>
      <c r="AM2769" t="str">
        <f t="shared" si="1789"/>
        <v>-</v>
      </c>
    </row>
    <row r="2770" spans="1:39" x14ac:dyDescent="0.25">
      <c r="A2770" t="str">
        <f>"FI22678A"</f>
        <v>FI22678A</v>
      </c>
      <c r="B2770" t="str">
        <f>"SENSOR NIVEL COMBUSTIBLE VW GOL LL 38 A 42, ME 84,5 A 93,5, V 285 A 295"</f>
        <v>SENSOR NIVEL COMBUSTIBLE VW GOL LL 38 A 42, ME 84,5 A 93,5, V 285 A 295</v>
      </c>
      <c r="C2770" t="str">
        <f>"$ 31130,92"</f>
        <v>$ 31130,92</v>
      </c>
      <c r="D2770" t="str">
        <f>"$ 31130,92"</f>
        <v>$ 31130,92</v>
      </c>
      <c r="E2770" t="str">
        <f>"$ 31130,92"</f>
        <v>$ 31130,92</v>
      </c>
      <c r="F2770" t="str">
        <f>"$ 31130,92"</f>
        <v>$ 31130,92</v>
      </c>
      <c r="G2770" t="str">
        <f>"$ 31130,92"</f>
        <v>$ 31130,92</v>
      </c>
      <c r="H2770" t="str">
        <f t="shared" si="1795"/>
        <v>$ 0,00</v>
      </c>
      <c r="I2770" t="str">
        <f t="shared" si="1790"/>
        <v xml:space="preserve">SENSOR NIVEL COMBUSTIBLE </v>
      </c>
      <c r="J2770" t="str">
        <f t="shared" si="1796"/>
        <v>1</v>
      </c>
      <c r="K2770" t="str">
        <f t="shared" si="1781"/>
        <v>0</v>
      </c>
      <c r="L2770" t="str">
        <f>"0,000"</f>
        <v>0,000</v>
      </c>
      <c r="M2770" t="str">
        <f t="shared" si="1797"/>
        <v xml:space="preserve"> </v>
      </c>
      <c r="N2770" t="str">
        <f t="shared" si="1815"/>
        <v>FISPA</v>
      </c>
      <c r="O2770" t="str">
        <f t="shared" si="1791"/>
        <v>BOMBAS</v>
      </c>
      <c r="P2770" t="str">
        <f t="shared" si="1813"/>
        <v>0</v>
      </c>
      <c r="Q2770" t="str">
        <f t="shared" si="1813"/>
        <v>0</v>
      </c>
      <c r="R2770" t="str">
        <f t="shared" si="1814"/>
        <v>0,00</v>
      </c>
      <c r="S2770" t="str">
        <f t="shared" si="1814"/>
        <v>0,00</v>
      </c>
      <c r="T2770" t="str">
        <f t="shared" si="1792"/>
        <v xml:space="preserve"> </v>
      </c>
      <c r="U2770" t="str">
        <f t="shared" si="1794"/>
        <v xml:space="preserve"> </v>
      </c>
      <c r="V2770" t="str">
        <f>"0,000"</f>
        <v>0,000</v>
      </c>
      <c r="W2770" t="str">
        <f t="shared" si="1798"/>
        <v>Lista 4</v>
      </c>
      <c r="X2770" t="str">
        <f t="shared" si="1799"/>
        <v>Lista 5</v>
      </c>
      <c r="Y2770" t="str">
        <f t="shared" si="1800"/>
        <v>Oferta Gral.</v>
      </c>
      <c r="Z2770" t="str">
        <f t="shared" si="1801"/>
        <v>Rubro</v>
      </c>
      <c r="AA2770" t="str">
        <f t="shared" si="1802"/>
        <v>Cantidad por Bulto</v>
      </c>
      <c r="AB2770" t="str">
        <f t="shared" si="1803"/>
        <v>INNER</v>
      </c>
      <c r="AC2770" t="str">
        <f t="shared" si="1804"/>
        <v>Stock en Bultos</v>
      </c>
      <c r="AD2770" t="str">
        <f t="shared" si="1805"/>
        <v>SubDepósito</v>
      </c>
      <c r="AE2770" t="str">
        <f t="shared" si="1806"/>
        <v>Marca</v>
      </c>
      <c r="AF2770" t="str">
        <f t="shared" si="1807"/>
        <v>Super Rubro</v>
      </c>
      <c r="AG2770" t="str">
        <f t="shared" si="1808"/>
        <v>ComercioExterior</v>
      </c>
      <c r="AH2770" t="str">
        <f t="shared" si="1809"/>
        <v>PrecioFOB</v>
      </c>
      <c r="AI2770" t="str">
        <f t="shared" si="1810"/>
        <v>Monto II</v>
      </c>
      <c r="AJ2770" t="str">
        <f t="shared" si="1811"/>
        <v>Porcentaje II</v>
      </c>
      <c r="AK2770" t="str">
        <f t="shared" si="1812"/>
        <v>Foto</v>
      </c>
      <c r="AL2770" t="str">
        <f>"{\rtf1\ansi\ansicpg1252\deff0\deflang11274{\fonttbl{\f0\fnil\fcharset0 MS Sans Serif}} \viewkind4\uc1\pard\f0\fs16 SENSOR NIVEL COMBUSTIBLE VW GOL LL 38 A 42, ME 84,5 A 93,5, V 285 A 295\par } "</f>
        <v xml:space="preserve">{\rtf1\ansi\ansicpg1252\deff0\deflang11274{\fonttbl{\f0\fnil\fcharset0 MS Sans Serif}} \viewkind4\uc1\pard\f0\fs16 SENSOR NIVEL COMBUSTIBLE VW GOL LL 38 A 42, ME 84,5 A 93,5, V 285 A 295\par } </v>
      </c>
      <c r="AM2770" t="str">
        <f t="shared" si="1789"/>
        <v>-</v>
      </c>
    </row>
    <row r="2771" spans="1:39" x14ac:dyDescent="0.25">
      <c r="A2771" t="str">
        <f>"FI22687A"</f>
        <v>FI22687A</v>
      </c>
      <c r="B2771" t="str">
        <f>"SENSOR NIVEL COMBUSTIBLE VW GOL NAFTA LLENO 38 A 42, MEDIO 84,5 A 93,5, VACIO 275 A 291"</f>
        <v>SENSOR NIVEL COMBUSTIBLE VW GOL NAFTA LLENO 38 A 42, MEDIO 84,5 A 93,5, VACIO 275 A 291</v>
      </c>
      <c r="C2771" t="str">
        <f>"$ 44481,63"</f>
        <v>$ 44481,63</v>
      </c>
      <c r="D2771" t="str">
        <f>"$ 44481,63"</f>
        <v>$ 44481,63</v>
      </c>
      <c r="E2771" t="str">
        <f>"$ 44481,63"</f>
        <v>$ 44481,63</v>
      </c>
      <c r="F2771" t="str">
        <f>"$ 44481,63"</f>
        <v>$ 44481,63</v>
      </c>
      <c r="G2771" t="str">
        <f>"$ 44481,63"</f>
        <v>$ 44481,63</v>
      </c>
      <c r="H2771" t="str">
        <f t="shared" si="1795"/>
        <v>$ 0,00</v>
      </c>
      <c r="I2771" t="str">
        <f t="shared" si="1790"/>
        <v xml:space="preserve">SENSOR NIVEL COMBUSTIBLE </v>
      </c>
      <c r="J2771" t="str">
        <f t="shared" si="1796"/>
        <v>1</v>
      </c>
      <c r="K2771" t="str">
        <f t="shared" si="1781"/>
        <v>0</v>
      </c>
      <c r="L2771" t="str">
        <f>"2,000"</f>
        <v>2,000</v>
      </c>
      <c r="M2771" t="str">
        <f t="shared" si="1797"/>
        <v xml:space="preserve"> </v>
      </c>
      <c r="N2771" t="str">
        <f t="shared" si="1815"/>
        <v>FISPA</v>
      </c>
      <c r="O2771" t="str">
        <f t="shared" si="1791"/>
        <v>BOMBAS</v>
      </c>
      <c r="P2771" t="str">
        <f t="shared" si="1813"/>
        <v>0</v>
      </c>
      <c r="Q2771" t="str">
        <f t="shared" si="1813"/>
        <v>0</v>
      </c>
      <c r="R2771" t="str">
        <f t="shared" si="1814"/>
        <v>0,00</v>
      </c>
      <c r="S2771" t="str">
        <f t="shared" si="1814"/>
        <v>0,00</v>
      </c>
      <c r="T2771" t="str">
        <f t="shared" si="1792"/>
        <v xml:space="preserve"> </v>
      </c>
      <c r="U2771" t="str">
        <f t="shared" si="1794"/>
        <v xml:space="preserve"> </v>
      </c>
      <c r="V2771" t="str">
        <f>"2,000"</f>
        <v>2,000</v>
      </c>
      <c r="W2771" t="str">
        <f t="shared" si="1798"/>
        <v>Lista 4</v>
      </c>
      <c r="X2771" t="str">
        <f t="shared" si="1799"/>
        <v>Lista 5</v>
      </c>
      <c r="Y2771" t="str">
        <f t="shared" si="1800"/>
        <v>Oferta Gral.</v>
      </c>
      <c r="Z2771" t="str">
        <f t="shared" si="1801"/>
        <v>Rubro</v>
      </c>
      <c r="AA2771" t="str">
        <f t="shared" si="1802"/>
        <v>Cantidad por Bulto</v>
      </c>
      <c r="AB2771" t="str">
        <f t="shared" si="1803"/>
        <v>INNER</v>
      </c>
      <c r="AC2771" t="str">
        <f t="shared" si="1804"/>
        <v>Stock en Bultos</v>
      </c>
      <c r="AD2771" t="str">
        <f t="shared" si="1805"/>
        <v>SubDepósito</v>
      </c>
      <c r="AE2771" t="str">
        <f t="shared" si="1806"/>
        <v>Marca</v>
      </c>
      <c r="AF2771" t="str">
        <f t="shared" si="1807"/>
        <v>Super Rubro</v>
      </c>
      <c r="AG2771" t="str">
        <f t="shared" si="1808"/>
        <v>ComercioExterior</v>
      </c>
      <c r="AH2771" t="str">
        <f t="shared" si="1809"/>
        <v>PrecioFOB</v>
      </c>
      <c r="AI2771" t="str">
        <f t="shared" si="1810"/>
        <v>Monto II</v>
      </c>
      <c r="AJ2771" t="str">
        <f t="shared" si="1811"/>
        <v>Porcentaje II</v>
      </c>
      <c r="AK2771" t="str">
        <f t="shared" si="1812"/>
        <v>Foto</v>
      </c>
      <c r="AL2771" t="str">
        <f>"{\rtf1\ansi\ansicpg1252\deff0\deflang11274{\fonttbl{\f0\fnil\fcharset0 MS Sans Serif}} \viewkind4\uc1\pard\f0\fs16 SENSOR NIVEL COMBUSTIBLE VW GOL NAFTA LLENO 38 A 42, MEDIO 84,5 A 93,5, VACIO 275 A 291\par } "</f>
        <v xml:space="preserve">{\rtf1\ansi\ansicpg1252\deff0\deflang11274{\fonttbl{\f0\fnil\fcharset0 MS Sans Serif}} \viewkind4\uc1\pard\f0\fs16 SENSOR NIVEL COMBUSTIBLE VW GOL NAFTA LLENO 38 A 42, MEDIO 84,5 A 93,5, VACIO 275 A 291\par } </v>
      </c>
      <c r="AM2771" t="str">
        <f t="shared" si="1789"/>
        <v>-</v>
      </c>
    </row>
    <row r="2772" spans="1:39" x14ac:dyDescent="0.25">
      <c r="A2772" t="str">
        <f>"FI22690A"</f>
        <v>FI22690A</v>
      </c>
      <c r="B2772" t="str">
        <f>"SENSOR NIVEL COMBUSTIBLE VW GOL NAFTA LLENO 38 A 42, MEDIO 84,5 A 93,5, VACIO 275 A 291"</f>
        <v>SENSOR NIVEL COMBUSTIBLE VW GOL NAFTA LLENO 38 A 42, MEDIO 84,5 A 93,5, VACIO 275 A 291</v>
      </c>
      <c r="C2772" t="str">
        <f>"$ 33008,17"</f>
        <v>$ 33008,17</v>
      </c>
      <c r="D2772" t="str">
        <f>"$ 33008,17"</f>
        <v>$ 33008,17</v>
      </c>
      <c r="E2772" t="str">
        <f>"$ 33008,17"</f>
        <v>$ 33008,17</v>
      </c>
      <c r="F2772" t="str">
        <f>"$ 33008,17"</f>
        <v>$ 33008,17</v>
      </c>
      <c r="G2772" t="str">
        <f>"$ 33008,17"</f>
        <v>$ 33008,17</v>
      </c>
      <c r="H2772" t="str">
        <f t="shared" si="1795"/>
        <v>$ 0,00</v>
      </c>
      <c r="I2772" t="str">
        <f t="shared" si="1790"/>
        <v xml:space="preserve">SENSOR NIVEL COMBUSTIBLE </v>
      </c>
      <c r="J2772" t="str">
        <f t="shared" si="1796"/>
        <v>1</v>
      </c>
      <c r="K2772" t="str">
        <f t="shared" si="1781"/>
        <v>0</v>
      </c>
      <c r="L2772" t="str">
        <f>"2,000"</f>
        <v>2,000</v>
      </c>
      <c r="M2772" t="str">
        <f t="shared" si="1797"/>
        <v xml:space="preserve"> </v>
      </c>
      <c r="N2772" t="str">
        <f t="shared" si="1815"/>
        <v>FISPA</v>
      </c>
      <c r="O2772" t="str">
        <f t="shared" si="1791"/>
        <v>BOMBAS</v>
      </c>
      <c r="P2772" t="str">
        <f t="shared" si="1813"/>
        <v>0</v>
      </c>
      <c r="Q2772" t="str">
        <f t="shared" si="1813"/>
        <v>0</v>
      </c>
      <c r="R2772" t="str">
        <f t="shared" si="1814"/>
        <v>0,00</v>
      </c>
      <c r="S2772" t="str">
        <f t="shared" si="1814"/>
        <v>0,00</v>
      </c>
      <c r="T2772" t="str">
        <f t="shared" si="1792"/>
        <v xml:space="preserve"> </v>
      </c>
      <c r="U2772" t="str">
        <f t="shared" si="1794"/>
        <v xml:space="preserve"> </v>
      </c>
      <c r="V2772" t="str">
        <f>"2,000"</f>
        <v>2,000</v>
      </c>
      <c r="W2772" t="str">
        <f t="shared" si="1798"/>
        <v>Lista 4</v>
      </c>
      <c r="X2772" t="str">
        <f t="shared" si="1799"/>
        <v>Lista 5</v>
      </c>
      <c r="Y2772" t="str">
        <f t="shared" si="1800"/>
        <v>Oferta Gral.</v>
      </c>
      <c r="Z2772" t="str">
        <f t="shared" si="1801"/>
        <v>Rubro</v>
      </c>
      <c r="AA2772" t="str">
        <f t="shared" si="1802"/>
        <v>Cantidad por Bulto</v>
      </c>
      <c r="AB2772" t="str">
        <f t="shared" si="1803"/>
        <v>INNER</v>
      </c>
      <c r="AC2772" t="str">
        <f t="shared" si="1804"/>
        <v>Stock en Bultos</v>
      </c>
      <c r="AD2772" t="str">
        <f t="shared" si="1805"/>
        <v>SubDepósito</v>
      </c>
      <c r="AE2772" t="str">
        <f t="shared" si="1806"/>
        <v>Marca</v>
      </c>
      <c r="AF2772" t="str">
        <f t="shared" si="1807"/>
        <v>Super Rubro</v>
      </c>
      <c r="AG2772" t="str">
        <f t="shared" si="1808"/>
        <v>ComercioExterior</v>
      </c>
      <c r="AH2772" t="str">
        <f t="shared" si="1809"/>
        <v>PrecioFOB</v>
      </c>
      <c r="AI2772" t="str">
        <f t="shared" si="1810"/>
        <v>Monto II</v>
      </c>
      <c r="AJ2772" t="str">
        <f t="shared" si="1811"/>
        <v>Porcentaje II</v>
      </c>
      <c r="AK2772" t="str">
        <f t="shared" si="1812"/>
        <v>Foto</v>
      </c>
      <c r="AL2772" t="str">
        <f>"{\rtf1\ansi\ansicpg1252\deff0\deflang11274{\fonttbl{\f0\fnil\fcharset0 MS Sans Serif}} \viewkind4\uc1\pard\f0\fs16 SENSOR NIVEL COMBUSTIBLE VW GOL NAFTA LLENO 38 A 42, MEDIO 84,5 A 93,5, VACIO 275 A 291\par } "</f>
        <v xml:space="preserve">{\rtf1\ansi\ansicpg1252\deff0\deflang11274{\fonttbl{\f0\fnil\fcharset0 MS Sans Serif}} \viewkind4\uc1\pard\f0\fs16 SENSOR NIVEL COMBUSTIBLE VW GOL NAFTA LLENO 38 A 42, MEDIO 84,5 A 93,5, VACIO 275 A 291\par } </v>
      </c>
      <c r="AM2772" t="str">
        <f t="shared" si="1789"/>
        <v>-</v>
      </c>
    </row>
    <row r="2773" spans="1:39" x14ac:dyDescent="0.25">
      <c r="A2773" t="str">
        <f>"FI22688A"</f>
        <v>FI22688A</v>
      </c>
      <c r="B2773" t="str">
        <f>"SENSOR NIVEL COMBUSTIBLE VW SAVEIRO NAFTA LLENO 38 A 42, MEDIO 84,5 A 93,5, VACIO 275 A 291"</f>
        <v>SENSOR NIVEL COMBUSTIBLE VW SAVEIRO NAFTA LLENO 38 A 42, MEDIO 84,5 A 93,5, VACIO 275 A 291</v>
      </c>
      <c r="C2773" t="str">
        <f>"$ 40692,95"</f>
        <v>$ 40692,95</v>
      </c>
      <c r="D2773" t="str">
        <f>"$ 40692,95"</f>
        <v>$ 40692,95</v>
      </c>
      <c r="E2773" t="str">
        <f>"$ 40692,95"</f>
        <v>$ 40692,95</v>
      </c>
      <c r="F2773" t="str">
        <f>"$ 40692,95"</f>
        <v>$ 40692,95</v>
      </c>
      <c r="G2773" t="str">
        <f>"$ 40692,95"</f>
        <v>$ 40692,95</v>
      </c>
      <c r="H2773" t="str">
        <f t="shared" si="1795"/>
        <v>$ 0,00</v>
      </c>
      <c r="I2773" t="str">
        <f t="shared" si="1790"/>
        <v xml:space="preserve">SENSOR NIVEL COMBUSTIBLE </v>
      </c>
      <c r="J2773" t="str">
        <f t="shared" si="1796"/>
        <v>1</v>
      </c>
      <c r="K2773" t="str">
        <f t="shared" ref="K2773:K2786" si="1816">"0"</f>
        <v>0</v>
      </c>
      <c r="L2773" t="str">
        <f>"2,000"</f>
        <v>2,000</v>
      </c>
      <c r="M2773" t="str">
        <f t="shared" si="1797"/>
        <v xml:space="preserve"> </v>
      </c>
      <c r="N2773" t="str">
        <f t="shared" si="1815"/>
        <v>FISPA</v>
      </c>
      <c r="O2773" t="str">
        <f t="shared" si="1791"/>
        <v>BOMBAS</v>
      </c>
      <c r="P2773" t="str">
        <f t="shared" si="1813"/>
        <v>0</v>
      </c>
      <c r="Q2773" t="str">
        <f t="shared" si="1813"/>
        <v>0</v>
      </c>
      <c r="R2773" t="str">
        <f t="shared" si="1814"/>
        <v>0,00</v>
      </c>
      <c r="S2773" t="str">
        <f t="shared" si="1814"/>
        <v>0,00</v>
      </c>
      <c r="T2773" t="str">
        <f t="shared" si="1792"/>
        <v xml:space="preserve"> </v>
      </c>
      <c r="U2773" t="str">
        <f t="shared" si="1794"/>
        <v xml:space="preserve"> </v>
      </c>
      <c r="V2773" t="str">
        <f>"2,000"</f>
        <v>2,000</v>
      </c>
      <c r="W2773" t="str">
        <f t="shared" si="1798"/>
        <v>Lista 4</v>
      </c>
      <c r="X2773" t="str">
        <f t="shared" si="1799"/>
        <v>Lista 5</v>
      </c>
      <c r="Y2773" t="str">
        <f t="shared" si="1800"/>
        <v>Oferta Gral.</v>
      </c>
      <c r="Z2773" t="str">
        <f t="shared" si="1801"/>
        <v>Rubro</v>
      </c>
      <c r="AA2773" t="str">
        <f t="shared" si="1802"/>
        <v>Cantidad por Bulto</v>
      </c>
      <c r="AB2773" t="str">
        <f t="shared" si="1803"/>
        <v>INNER</v>
      </c>
      <c r="AC2773" t="str">
        <f t="shared" si="1804"/>
        <v>Stock en Bultos</v>
      </c>
      <c r="AD2773" t="str">
        <f t="shared" si="1805"/>
        <v>SubDepósito</v>
      </c>
      <c r="AE2773" t="str">
        <f t="shared" si="1806"/>
        <v>Marca</v>
      </c>
      <c r="AF2773" t="str">
        <f t="shared" si="1807"/>
        <v>Super Rubro</v>
      </c>
      <c r="AG2773" t="str">
        <f t="shared" si="1808"/>
        <v>ComercioExterior</v>
      </c>
      <c r="AH2773" t="str">
        <f t="shared" si="1809"/>
        <v>PrecioFOB</v>
      </c>
      <c r="AI2773" t="str">
        <f t="shared" si="1810"/>
        <v>Monto II</v>
      </c>
      <c r="AJ2773" t="str">
        <f t="shared" si="1811"/>
        <v>Porcentaje II</v>
      </c>
      <c r="AK2773" t="str">
        <f t="shared" si="1812"/>
        <v>Foto</v>
      </c>
      <c r="AL2773" t="str">
        <f>"{\rtf1\ansi\ansicpg1252\deff0\deflang11274{\fonttbl{\f0\fnil\fcharset0 MS Sans Serif}} \viewkind4\uc1\pard\f0\fs16 SENSOR NIVEL COMBUSTIBLE VW SAVEIRO NAFTA LLENO 38 A 42, MEDIO 84,5 A 93,5, VACIO 275 A 291\par } "</f>
        <v xml:space="preserve">{\rtf1\ansi\ansicpg1252\deff0\deflang11274{\fonttbl{\f0\fnil\fcharset0 MS Sans Serif}} \viewkind4\uc1\pard\f0\fs16 SENSOR NIVEL COMBUSTIBLE VW SAVEIRO NAFTA LLENO 38 A 42, MEDIO 84,5 A 93,5, VACIO 275 A 291\par } </v>
      </c>
      <c r="AM2773" t="str">
        <f t="shared" si="1789"/>
        <v>-</v>
      </c>
    </row>
    <row r="2774" spans="1:39" x14ac:dyDescent="0.25">
      <c r="A2774" t="str">
        <f>"FI23112"</f>
        <v>FI23112</v>
      </c>
      <c r="B2774" t="str">
        <f>"SENSOR NIVEL DE COMBUSTIBLE CON REGULADOR KANGOO 1,6 8/16V 8200052605"</f>
        <v>SENSOR NIVEL DE COMBUSTIBLE CON REGULADOR KANGOO 1,6 8/16V 8200052605</v>
      </c>
      <c r="C2774" t="str">
        <f>"$ 125602,66"</f>
        <v>$ 125602,66</v>
      </c>
      <c r="D2774" t="str">
        <f>"$ 125602,66"</f>
        <v>$ 125602,66</v>
      </c>
      <c r="E2774" t="str">
        <f>"$ 125602,66"</f>
        <v>$ 125602,66</v>
      </c>
      <c r="F2774" t="str">
        <f>"$ 125602,66"</f>
        <v>$ 125602,66</v>
      </c>
      <c r="G2774" t="str">
        <f>"$ 125602,66"</f>
        <v>$ 125602,66</v>
      </c>
      <c r="H2774" t="str">
        <f t="shared" si="1795"/>
        <v>$ 0,00</v>
      </c>
      <c r="I2774" t="str">
        <f t="shared" si="1790"/>
        <v xml:space="preserve">SENSOR NIVEL COMBUSTIBLE </v>
      </c>
      <c r="J2774" t="str">
        <f t="shared" si="1796"/>
        <v>1</v>
      </c>
      <c r="K2774" t="str">
        <f t="shared" si="1816"/>
        <v>0</v>
      </c>
      <c r="L2774" t="str">
        <f>"3,000"</f>
        <v>3,000</v>
      </c>
      <c r="M2774" t="str">
        <f t="shared" si="1797"/>
        <v xml:space="preserve"> </v>
      </c>
      <c r="N2774" t="str">
        <f t="shared" si="1815"/>
        <v>FISPA</v>
      </c>
      <c r="O2774" t="str">
        <f t="shared" si="1791"/>
        <v>BOMBAS</v>
      </c>
      <c r="P2774" t="str">
        <f t="shared" si="1813"/>
        <v>0</v>
      </c>
      <c r="Q2774" t="str">
        <f t="shared" si="1813"/>
        <v>0</v>
      </c>
      <c r="R2774" t="str">
        <f t="shared" si="1814"/>
        <v>0,00</v>
      </c>
      <c r="S2774" t="str">
        <f t="shared" si="1814"/>
        <v>0,00</v>
      </c>
      <c r="T2774" t="str">
        <f t="shared" si="1792"/>
        <v xml:space="preserve"> </v>
      </c>
      <c r="U2774" t="str">
        <f t="shared" si="1794"/>
        <v xml:space="preserve"> </v>
      </c>
      <c r="V2774" t="str">
        <f>"3,000"</f>
        <v>3,000</v>
      </c>
      <c r="W2774" t="str">
        <f t="shared" si="1798"/>
        <v>Lista 4</v>
      </c>
      <c r="X2774" t="str">
        <f t="shared" si="1799"/>
        <v>Lista 5</v>
      </c>
      <c r="Y2774" t="str">
        <f t="shared" si="1800"/>
        <v>Oferta Gral.</v>
      </c>
      <c r="Z2774" t="str">
        <f t="shared" si="1801"/>
        <v>Rubro</v>
      </c>
      <c r="AA2774" t="str">
        <f t="shared" si="1802"/>
        <v>Cantidad por Bulto</v>
      </c>
      <c r="AB2774" t="str">
        <f t="shared" si="1803"/>
        <v>INNER</v>
      </c>
      <c r="AC2774" t="str">
        <f t="shared" si="1804"/>
        <v>Stock en Bultos</v>
      </c>
      <c r="AD2774" t="str">
        <f t="shared" si="1805"/>
        <v>SubDepósito</v>
      </c>
      <c r="AE2774" t="str">
        <f t="shared" si="1806"/>
        <v>Marca</v>
      </c>
      <c r="AF2774" t="str">
        <f t="shared" si="1807"/>
        <v>Super Rubro</v>
      </c>
      <c r="AG2774" t="str">
        <f t="shared" si="1808"/>
        <v>ComercioExterior</v>
      </c>
      <c r="AH2774" t="str">
        <f t="shared" si="1809"/>
        <v>PrecioFOB</v>
      </c>
      <c r="AI2774" t="str">
        <f t="shared" si="1810"/>
        <v>Monto II</v>
      </c>
      <c r="AJ2774" t="str">
        <f t="shared" si="1811"/>
        <v>Porcentaje II</v>
      </c>
      <c r="AK2774" t="str">
        <f t="shared" si="1812"/>
        <v>Foto</v>
      </c>
      <c r="AL2774" t="str">
        <f>"{\rtf1\ansi\ansicpg1252\deff0\deflang11274{\fonttbl{\f0\fnil\fcharset0 MS Sans Serif}} \viewkind4\uc1\pard\f0\fs16 SENSOR NIVEL DE COMBUSTIBLE CON REGULADOR KANGOO 1,6 8/16V 8200052605\par } "</f>
        <v xml:space="preserve">{\rtf1\ansi\ansicpg1252\deff0\deflang11274{\fonttbl{\f0\fnil\fcharset0 MS Sans Serif}} \viewkind4\uc1\pard\f0\fs16 SENSOR NIVEL DE COMBUSTIBLE CON REGULADOR KANGOO 1,6 8/16V 8200052605\par } </v>
      </c>
      <c r="AM2774" t="str">
        <f t="shared" si="1789"/>
        <v>-</v>
      </c>
    </row>
    <row r="2775" spans="1:39" x14ac:dyDescent="0.25">
      <c r="A2775" t="str">
        <f>"FI23105"</f>
        <v>FI23105</v>
      </c>
      <c r="B2775" t="str">
        <f>"SENSOR NIVEL DE COMBUSTIBLE CORSA DELPHI 10037"</f>
        <v>SENSOR NIVEL DE COMBUSTIBLE CORSA DELPHI 10037</v>
      </c>
      <c r="C2775" t="str">
        <f>"$ 183731,60"</f>
        <v>$ 183731,60</v>
      </c>
      <c r="D2775" t="str">
        <f>"$ 183731,60"</f>
        <v>$ 183731,60</v>
      </c>
      <c r="E2775" t="str">
        <f>"$ 183731,60"</f>
        <v>$ 183731,60</v>
      </c>
      <c r="F2775" t="str">
        <f>"$ 183731,60"</f>
        <v>$ 183731,60</v>
      </c>
      <c r="G2775" t="str">
        <f>"$ 183731,60"</f>
        <v>$ 183731,60</v>
      </c>
      <c r="H2775" t="str">
        <f t="shared" si="1795"/>
        <v>$ 0,00</v>
      </c>
      <c r="I2775" t="str">
        <f t="shared" si="1790"/>
        <v xml:space="preserve">SENSOR NIVEL COMBUSTIBLE </v>
      </c>
      <c r="J2775" t="str">
        <f t="shared" si="1796"/>
        <v>1</v>
      </c>
      <c r="K2775" t="str">
        <f t="shared" si="1816"/>
        <v>0</v>
      </c>
      <c r="L2775" t="str">
        <f>"0,000"</f>
        <v>0,000</v>
      </c>
      <c r="M2775" t="str">
        <f t="shared" si="1797"/>
        <v xml:space="preserve"> </v>
      </c>
      <c r="N2775" t="str">
        <f t="shared" si="1815"/>
        <v>FISPA</v>
      </c>
      <c r="O2775" t="str">
        <f t="shared" si="1791"/>
        <v>BOMBAS</v>
      </c>
      <c r="P2775" t="str">
        <f t="shared" si="1813"/>
        <v>0</v>
      </c>
      <c r="Q2775" t="str">
        <f t="shared" si="1813"/>
        <v>0</v>
      </c>
      <c r="R2775" t="str">
        <f t="shared" si="1814"/>
        <v>0,00</v>
      </c>
      <c r="S2775" t="str">
        <f t="shared" si="1814"/>
        <v>0,00</v>
      </c>
      <c r="T2775" t="str">
        <f t="shared" si="1792"/>
        <v xml:space="preserve"> </v>
      </c>
      <c r="U2775" t="str">
        <f t="shared" si="1794"/>
        <v xml:space="preserve"> </v>
      </c>
      <c r="V2775" t="str">
        <f>"0,000"</f>
        <v>0,000</v>
      </c>
      <c r="W2775" t="str">
        <f t="shared" si="1798"/>
        <v>Lista 4</v>
      </c>
      <c r="X2775" t="str">
        <f t="shared" si="1799"/>
        <v>Lista 5</v>
      </c>
      <c r="Y2775" t="str">
        <f t="shared" si="1800"/>
        <v>Oferta Gral.</v>
      </c>
      <c r="Z2775" t="str">
        <f t="shared" si="1801"/>
        <v>Rubro</v>
      </c>
      <c r="AA2775" t="str">
        <f t="shared" si="1802"/>
        <v>Cantidad por Bulto</v>
      </c>
      <c r="AB2775" t="str">
        <f t="shared" si="1803"/>
        <v>INNER</v>
      </c>
      <c r="AC2775" t="str">
        <f t="shared" si="1804"/>
        <v>Stock en Bultos</v>
      </c>
      <c r="AD2775" t="str">
        <f t="shared" si="1805"/>
        <v>SubDepósito</v>
      </c>
      <c r="AE2775" t="str">
        <f t="shared" si="1806"/>
        <v>Marca</v>
      </c>
      <c r="AF2775" t="str">
        <f t="shared" si="1807"/>
        <v>Super Rubro</v>
      </c>
      <c r="AG2775" t="str">
        <f t="shared" si="1808"/>
        <v>ComercioExterior</v>
      </c>
      <c r="AH2775" t="str">
        <f t="shared" si="1809"/>
        <v>PrecioFOB</v>
      </c>
      <c r="AI2775" t="str">
        <f t="shared" si="1810"/>
        <v>Monto II</v>
      </c>
      <c r="AJ2775" t="str">
        <f t="shared" si="1811"/>
        <v>Porcentaje II</v>
      </c>
      <c r="AK2775" t="str">
        <f t="shared" si="1812"/>
        <v>Foto</v>
      </c>
      <c r="AL2775" t="str">
        <f>"{\rtf1\ansi\ansicpg1252\deff0\deflang11274{\fonttbl{\f0\fnil\fcharset0 MS Sans Serif}} \viewkind4\uc1\pard\f0\fs16 SENSOR NIVEL DE COMBUSTIBLE CORSA DELPHI 10037\par } "</f>
        <v xml:space="preserve">{\rtf1\ansi\ansicpg1252\deff0\deflang11274{\fonttbl{\f0\fnil\fcharset0 MS Sans Serif}} \viewkind4\uc1\pard\f0\fs16 SENSOR NIVEL DE COMBUSTIBLE CORSA DELPHI 10037\par } </v>
      </c>
      <c r="AM2775" t="str">
        <f t="shared" si="1789"/>
        <v>-</v>
      </c>
    </row>
    <row r="2776" spans="1:39" x14ac:dyDescent="0.25">
      <c r="A2776" t="str">
        <f>"FI22628"</f>
        <v>FI22628</v>
      </c>
      <c r="B2776" t="str">
        <f>"SENSOR NIVEL DE COMBUSTIBLE FIAT DOBLO 1.4 ORIGINAL51832857/51818113"</f>
        <v>SENSOR NIVEL DE COMBUSTIBLE FIAT DOBLO 1.4 ORIGINAL51832857/51818113</v>
      </c>
      <c r="C2776" t="str">
        <f>"$ 406679,25"</f>
        <v>$ 406679,25</v>
      </c>
      <c r="D2776" t="str">
        <f>"$ 406679,25"</f>
        <v>$ 406679,25</v>
      </c>
      <c r="E2776" t="str">
        <f>"$ 406679,25"</f>
        <v>$ 406679,25</v>
      </c>
      <c r="F2776" t="str">
        <f>"$ 406679,25"</f>
        <v>$ 406679,25</v>
      </c>
      <c r="G2776" t="str">
        <f>"$ 406679,25"</f>
        <v>$ 406679,25</v>
      </c>
      <c r="H2776" t="str">
        <f t="shared" si="1795"/>
        <v>$ 0,00</v>
      </c>
      <c r="I2776" t="str">
        <f t="shared" si="1790"/>
        <v xml:space="preserve">SENSOR NIVEL COMBUSTIBLE </v>
      </c>
      <c r="J2776" t="str">
        <f t="shared" si="1796"/>
        <v>1</v>
      </c>
      <c r="K2776" t="str">
        <f t="shared" si="1816"/>
        <v>0</v>
      </c>
      <c r="L2776" t="str">
        <f>"1,000"</f>
        <v>1,000</v>
      </c>
      <c r="M2776" t="str">
        <f t="shared" si="1797"/>
        <v xml:space="preserve"> </v>
      </c>
      <c r="N2776" t="str">
        <f t="shared" si="1815"/>
        <v>FISPA</v>
      </c>
      <c r="O2776" t="str">
        <f t="shared" si="1791"/>
        <v>BOMBAS</v>
      </c>
      <c r="P2776" t="str">
        <f t="shared" si="1813"/>
        <v>0</v>
      </c>
      <c r="Q2776" t="str">
        <f t="shared" si="1813"/>
        <v>0</v>
      </c>
      <c r="R2776" t="str">
        <f t="shared" si="1814"/>
        <v>0,00</v>
      </c>
      <c r="S2776" t="str">
        <f t="shared" si="1814"/>
        <v>0,00</v>
      </c>
      <c r="T2776" t="str">
        <f t="shared" si="1792"/>
        <v xml:space="preserve"> </v>
      </c>
      <c r="U2776" t="str">
        <f t="shared" si="1794"/>
        <v xml:space="preserve"> </v>
      </c>
      <c r="V2776" t="str">
        <f>"1,000"</f>
        <v>1,000</v>
      </c>
      <c r="W2776" t="str">
        <f t="shared" si="1798"/>
        <v>Lista 4</v>
      </c>
      <c r="X2776" t="str">
        <f t="shared" si="1799"/>
        <v>Lista 5</v>
      </c>
      <c r="Y2776" t="str">
        <f t="shared" si="1800"/>
        <v>Oferta Gral.</v>
      </c>
      <c r="Z2776" t="str">
        <f t="shared" si="1801"/>
        <v>Rubro</v>
      </c>
      <c r="AA2776" t="str">
        <f t="shared" si="1802"/>
        <v>Cantidad por Bulto</v>
      </c>
      <c r="AB2776" t="str">
        <f t="shared" si="1803"/>
        <v>INNER</v>
      </c>
      <c r="AC2776" t="str">
        <f t="shared" si="1804"/>
        <v>Stock en Bultos</v>
      </c>
      <c r="AD2776" t="str">
        <f t="shared" si="1805"/>
        <v>SubDepósito</v>
      </c>
      <c r="AE2776" t="str">
        <f t="shared" si="1806"/>
        <v>Marca</v>
      </c>
      <c r="AF2776" t="str">
        <f t="shared" si="1807"/>
        <v>Super Rubro</v>
      </c>
      <c r="AG2776" t="str">
        <f t="shared" si="1808"/>
        <v>ComercioExterior</v>
      </c>
      <c r="AH2776" t="str">
        <f t="shared" si="1809"/>
        <v>PrecioFOB</v>
      </c>
      <c r="AI2776" t="str">
        <f t="shared" si="1810"/>
        <v>Monto II</v>
      </c>
      <c r="AJ2776" t="str">
        <f t="shared" si="1811"/>
        <v>Porcentaje II</v>
      </c>
      <c r="AK2776" t="str">
        <f t="shared" si="1812"/>
        <v>Foto</v>
      </c>
      <c r="AL277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76" t="str">
        <f t="shared" si="1789"/>
        <v>-</v>
      </c>
    </row>
    <row r="2777" spans="1:39" x14ac:dyDescent="0.25">
      <c r="A2777" t="str">
        <f>"FI23108"</f>
        <v>FI23108</v>
      </c>
      <c r="B2777" t="str">
        <f>"SENSOR NIVEL DE COMBUSTIBLE FIAT PALIO 1.4 REF 46767417/46443197"</f>
        <v>SENSOR NIVEL DE COMBUSTIBLE FIAT PALIO 1.4 REF 46767417/46443197</v>
      </c>
      <c r="C2777" t="str">
        <f>"$ 195178,21"</f>
        <v>$ 195178,21</v>
      </c>
      <c r="D2777" t="str">
        <f>"$ 195178,21"</f>
        <v>$ 195178,21</v>
      </c>
      <c r="E2777" t="str">
        <f>"$ 195178,21"</f>
        <v>$ 195178,21</v>
      </c>
      <c r="F2777" t="str">
        <f>"$ 195178,21"</f>
        <v>$ 195178,21</v>
      </c>
      <c r="G2777" t="str">
        <f>"$ 195178,21"</f>
        <v>$ 195178,21</v>
      </c>
      <c r="H2777" t="str">
        <f t="shared" si="1795"/>
        <v>$ 0,00</v>
      </c>
      <c r="I2777" t="str">
        <f t="shared" si="1790"/>
        <v xml:space="preserve">SENSOR NIVEL COMBUSTIBLE </v>
      </c>
      <c r="J2777" t="str">
        <f t="shared" si="1796"/>
        <v>1</v>
      </c>
      <c r="K2777" t="str">
        <f t="shared" si="1816"/>
        <v>0</v>
      </c>
      <c r="L2777" t="str">
        <f>"0,000"</f>
        <v>0,000</v>
      </c>
      <c r="M2777" t="str">
        <f t="shared" si="1797"/>
        <v xml:space="preserve"> </v>
      </c>
      <c r="N2777" t="str">
        <f t="shared" si="1815"/>
        <v>FISPA</v>
      </c>
      <c r="O2777" t="str">
        <f t="shared" si="1791"/>
        <v>BOMBAS</v>
      </c>
      <c r="P2777" t="str">
        <f t="shared" si="1813"/>
        <v>0</v>
      </c>
      <c r="Q2777" t="str">
        <f t="shared" si="1813"/>
        <v>0</v>
      </c>
      <c r="R2777" t="str">
        <f t="shared" si="1814"/>
        <v>0,00</v>
      </c>
      <c r="S2777" t="str">
        <f t="shared" si="1814"/>
        <v>0,00</v>
      </c>
      <c r="T2777" t="str">
        <f t="shared" si="1792"/>
        <v xml:space="preserve"> </v>
      </c>
      <c r="U2777" t="str">
        <f t="shared" si="1794"/>
        <v xml:space="preserve"> </v>
      </c>
      <c r="V2777" t="str">
        <f>"0,000"</f>
        <v>0,000</v>
      </c>
      <c r="W2777" t="str">
        <f t="shared" si="1798"/>
        <v>Lista 4</v>
      </c>
      <c r="X2777" t="str">
        <f t="shared" si="1799"/>
        <v>Lista 5</v>
      </c>
      <c r="Y2777" t="str">
        <f t="shared" si="1800"/>
        <v>Oferta Gral.</v>
      </c>
      <c r="Z2777" t="str">
        <f t="shared" si="1801"/>
        <v>Rubro</v>
      </c>
      <c r="AA2777" t="str">
        <f t="shared" si="1802"/>
        <v>Cantidad por Bulto</v>
      </c>
      <c r="AB2777" t="str">
        <f t="shared" si="1803"/>
        <v>INNER</v>
      </c>
      <c r="AC2777" t="str">
        <f t="shared" si="1804"/>
        <v>Stock en Bultos</v>
      </c>
      <c r="AD2777" t="str">
        <f t="shared" si="1805"/>
        <v>SubDepósito</v>
      </c>
      <c r="AE2777" t="str">
        <f t="shared" si="1806"/>
        <v>Marca</v>
      </c>
      <c r="AF2777" t="str">
        <f t="shared" si="1807"/>
        <v>Super Rubro</v>
      </c>
      <c r="AG2777" t="str">
        <f t="shared" si="1808"/>
        <v>ComercioExterior</v>
      </c>
      <c r="AH2777" t="str">
        <f t="shared" si="1809"/>
        <v>PrecioFOB</v>
      </c>
      <c r="AI2777" t="str">
        <f t="shared" si="1810"/>
        <v>Monto II</v>
      </c>
      <c r="AJ2777" t="str">
        <f t="shared" si="1811"/>
        <v>Porcentaje II</v>
      </c>
      <c r="AK2777" t="str">
        <f t="shared" si="1812"/>
        <v>Foto</v>
      </c>
      <c r="AL2777" t="str">
        <f>"{\rtf1\ansi\ansicpg1252\deff0\deflang11274{\fonttbl{\f0\fnil\fcharset0 MS Sans Serif}} \viewkind4\uc1\pard\f0\fs16 SENSOR NIVEL DE COMBUSTIBLE FIAT PALIO 1.4 REF 46767417/46443197\par } "</f>
        <v xml:space="preserve">{\rtf1\ansi\ansicpg1252\deff0\deflang11274{\fonttbl{\f0\fnil\fcharset0 MS Sans Serif}} \viewkind4\uc1\pard\f0\fs16 SENSOR NIVEL DE COMBUSTIBLE FIAT PALIO 1.4 REF 46767417/46443197\par } </v>
      </c>
      <c r="AM2777" t="str">
        <f t="shared" si="1789"/>
        <v>-</v>
      </c>
    </row>
    <row r="2778" spans="1:39" x14ac:dyDescent="0.25">
      <c r="A2778" t="str">
        <f>"FI23107"</f>
        <v>FI23107</v>
      </c>
      <c r="B2778" t="str">
        <f>"SENSOR NIVEL DE COMBUSTIBLE FIAT PALIO 1600 46551729/46807420"</f>
        <v>SENSOR NIVEL DE COMBUSTIBLE FIAT PALIO 1600 46551729/46807420</v>
      </c>
      <c r="C2778" t="str">
        <f>"$ 204940,42"</f>
        <v>$ 204940,42</v>
      </c>
      <c r="D2778" t="str">
        <f>"$ 204940,42"</f>
        <v>$ 204940,42</v>
      </c>
      <c r="E2778" t="str">
        <f>"$ 204940,42"</f>
        <v>$ 204940,42</v>
      </c>
      <c r="F2778" t="str">
        <f>"$ 204940,42"</f>
        <v>$ 204940,42</v>
      </c>
      <c r="G2778" t="str">
        <f>"$ 204940,42"</f>
        <v>$ 204940,42</v>
      </c>
      <c r="H2778" t="str">
        <f t="shared" si="1795"/>
        <v>$ 0,00</v>
      </c>
      <c r="I2778" t="str">
        <f t="shared" si="1790"/>
        <v xml:space="preserve">SENSOR NIVEL COMBUSTIBLE </v>
      </c>
      <c r="J2778" t="str">
        <f t="shared" si="1796"/>
        <v>1</v>
      </c>
      <c r="K2778" t="str">
        <f t="shared" si="1816"/>
        <v>0</v>
      </c>
      <c r="L2778" t="str">
        <f>"1,000"</f>
        <v>1,000</v>
      </c>
      <c r="M2778" t="str">
        <f t="shared" si="1797"/>
        <v xml:space="preserve"> </v>
      </c>
      <c r="N2778" t="str">
        <f t="shared" si="1815"/>
        <v>FISPA</v>
      </c>
      <c r="O2778" t="str">
        <f t="shared" si="1791"/>
        <v>BOMBAS</v>
      </c>
      <c r="P2778" t="str">
        <f t="shared" si="1813"/>
        <v>0</v>
      </c>
      <c r="Q2778" t="str">
        <f t="shared" si="1813"/>
        <v>0</v>
      </c>
      <c r="R2778" t="str">
        <f t="shared" si="1814"/>
        <v>0,00</v>
      </c>
      <c r="S2778" t="str">
        <f t="shared" si="1814"/>
        <v>0,00</v>
      </c>
      <c r="T2778" t="str">
        <f t="shared" si="1792"/>
        <v xml:space="preserve"> </v>
      </c>
      <c r="U2778" t="str">
        <f t="shared" si="1794"/>
        <v xml:space="preserve"> </v>
      </c>
      <c r="V2778" t="str">
        <f>"1,000"</f>
        <v>1,000</v>
      </c>
      <c r="W2778" t="str">
        <f t="shared" si="1798"/>
        <v>Lista 4</v>
      </c>
      <c r="X2778" t="str">
        <f t="shared" si="1799"/>
        <v>Lista 5</v>
      </c>
      <c r="Y2778" t="str">
        <f t="shared" si="1800"/>
        <v>Oferta Gral.</v>
      </c>
      <c r="Z2778" t="str">
        <f t="shared" si="1801"/>
        <v>Rubro</v>
      </c>
      <c r="AA2778" t="str">
        <f t="shared" si="1802"/>
        <v>Cantidad por Bulto</v>
      </c>
      <c r="AB2778" t="str">
        <f t="shared" si="1803"/>
        <v>INNER</v>
      </c>
      <c r="AC2778" t="str">
        <f t="shared" si="1804"/>
        <v>Stock en Bultos</v>
      </c>
      <c r="AD2778" t="str">
        <f t="shared" si="1805"/>
        <v>SubDepósito</v>
      </c>
      <c r="AE2778" t="str">
        <f t="shared" si="1806"/>
        <v>Marca</v>
      </c>
      <c r="AF2778" t="str">
        <f t="shared" si="1807"/>
        <v>Super Rubro</v>
      </c>
      <c r="AG2778" t="str">
        <f t="shared" si="1808"/>
        <v>ComercioExterior</v>
      </c>
      <c r="AH2778" t="str">
        <f t="shared" si="1809"/>
        <v>PrecioFOB</v>
      </c>
      <c r="AI2778" t="str">
        <f t="shared" si="1810"/>
        <v>Monto II</v>
      </c>
      <c r="AJ2778" t="str">
        <f t="shared" si="1811"/>
        <v>Porcentaje II</v>
      </c>
      <c r="AK2778" t="str">
        <f t="shared" si="1812"/>
        <v>Foto</v>
      </c>
      <c r="AL2778" t="str">
        <f>"{\rtf1\ansi\ansicpg1252\deff0\deflang11274{\fonttbl{\f0\fnil\fcharset0 MS Sans Serif}} \viewkind4\uc1\pard\f0\fs16 SENSOR NIVEL DE COMBUSTIBLE FIAT PALIO 1600 46551729/46807420\par } "</f>
        <v xml:space="preserve">{\rtf1\ansi\ansicpg1252\deff0\deflang11274{\fonttbl{\f0\fnil\fcharset0 MS Sans Serif}} \viewkind4\uc1\pard\f0\fs16 SENSOR NIVEL DE COMBUSTIBLE FIAT PALIO 1600 46551729/46807420\par } </v>
      </c>
      <c r="AM2778" t="str">
        <f t="shared" si="1789"/>
        <v>-</v>
      </c>
    </row>
    <row r="2779" spans="1:39" x14ac:dyDescent="0.25">
      <c r="A2779" t="str">
        <f>"FI23109"</f>
        <v>FI23109</v>
      </c>
      <c r="B2779" t="str">
        <f>"SENSOR NIVEL DE COMBUSTIBLE FIAT PALIO/SIENA 1.3 MPI FIRE "</f>
        <v xml:space="preserve">SENSOR NIVEL DE COMBUSTIBLE FIAT PALIO/SIENA 1.3 MPI FIRE </v>
      </c>
      <c r="C2779" t="str">
        <f>"$ 137040,72"</f>
        <v>$ 137040,72</v>
      </c>
      <c r="D2779" t="str">
        <f>"$ 137040,72"</f>
        <v>$ 137040,72</v>
      </c>
      <c r="E2779" t="str">
        <f>"$ 137040,72"</f>
        <v>$ 137040,72</v>
      </c>
      <c r="F2779" t="str">
        <f>"$ 137040,72"</f>
        <v>$ 137040,72</v>
      </c>
      <c r="G2779" t="str">
        <f>"$ 137040,72"</f>
        <v>$ 137040,72</v>
      </c>
      <c r="H2779" t="str">
        <f t="shared" si="1795"/>
        <v>$ 0,00</v>
      </c>
      <c r="I2779" t="str">
        <f t="shared" si="1790"/>
        <v xml:space="preserve">SENSOR NIVEL COMBUSTIBLE </v>
      </c>
      <c r="J2779" t="str">
        <f t="shared" si="1796"/>
        <v>1</v>
      </c>
      <c r="K2779" t="str">
        <f t="shared" si="1816"/>
        <v>0</v>
      </c>
      <c r="L2779" t="str">
        <f>"0,000"</f>
        <v>0,000</v>
      </c>
      <c r="M2779" t="str">
        <f t="shared" si="1797"/>
        <v xml:space="preserve"> </v>
      </c>
      <c r="N2779" t="str">
        <f t="shared" si="1815"/>
        <v>FISPA</v>
      </c>
      <c r="O2779" t="str">
        <f t="shared" si="1791"/>
        <v>BOMBAS</v>
      </c>
      <c r="P2779" t="str">
        <f t="shared" si="1813"/>
        <v>0</v>
      </c>
      <c r="Q2779" t="str">
        <f t="shared" si="1813"/>
        <v>0</v>
      </c>
      <c r="R2779" t="str">
        <f t="shared" si="1814"/>
        <v>0,00</v>
      </c>
      <c r="S2779" t="str">
        <f t="shared" si="1814"/>
        <v>0,00</v>
      </c>
      <c r="T2779" t="str">
        <f t="shared" si="1792"/>
        <v xml:space="preserve"> </v>
      </c>
      <c r="U2779" t="str">
        <f t="shared" si="1794"/>
        <v xml:space="preserve"> </v>
      </c>
      <c r="V2779" t="str">
        <f>"0,000"</f>
        <v>0,000</v>
      </c>
      <c r="W2779" t="str">
        <f t="shared" si="1798"/>
        <v>Lista 4</v>
      </c>
      <c r="X2779" t="str">
        <f t="shared" si="1799"/>
        <v>Lista 5</v>
      </c>
      <c r="Y2779" t="str">
        <f t="shared" si="1800"/>
        <v>Oferta Gral.</v>
      </c>
      <c r="Z2779" t="str">
        <f t="shared" si="1801"/>
        <v>Rubro</v>
      </c>
      <c r="AA2779" t="str">
        <f t="shared" si="1802"/>
        <v>Cantidad por Bulto</v>
      </c>
      <c r="AB2779" t="str">
        <f t="shared" si="1803"/>
        <v>INNER</v>
      </c>
      <c r="AC2779" t="str">
        <f t="shared" si="1804"/>
        <v>Stock en Bultos</v>
      </c>
      <c r="AD2779" t="str">
        <f t="shared" si="1805"/>
        <v>SubDepósito</v>
      </c>
      <c r="AE2779" t="str">
        <f t="shared" si="1806"/>
        <v>Marca</v>
      </c>
      <c r="AF2779" t="str">
        <f t="shared" si="1807"/>
        <v>Super Rubro</v>
      </c>
      <c r="AG2779" t="str">
        <f t="shared" si="1808"/>
        <v>ComercioExterior</v>
      </c>
      <c r="AH2779" t="str">
        <f t="shared" si="1809"/>
        <v>PrecioFOB</v>
      </c>
      <c r="AI2779" t="str">
        <f t="shared" si="1810"/>
        <v>Monto II</v>
      </c>
      <c r="AJ2779" t="str">
        <f t="shared" si="1811"/>
        <v>Porcentaje II</v>
      </c>
      <c r="AK2779" t="str">
        <f t="shared" si="1812"/>
        <v>Foto</v>
      </c>
      <c r="AL2779" t="str">
        <f>"{\rtf1\ansi\ansicpg1252\deff0\deflang11274{\fonttbl{\f0\fnil\fcharset0 MS Sans Serif}} \viewkind4\uc1\pard\f0\fs16 SENSOR NIVEL DE COMBUSTIBLE FIAT PALIO/SIENA 1.3 MPI FIRE \par } "</f>
        <v xml:space="preserve">{\rtf1\ansi\ansicpg1252\deff0\deflang11274{\fonttbl{\f0\fnil\fcharset0 MS Sans Serif}} \viewkind4\uc1\pard\f0\fs16 SENSOR NIVEL DE COMBUSTIBLE FIAT PALIO/SIENA 1.3 MPI FIRE \par } </v>
      </c>
      <c r="AM2779" t="str">
        <f t="shared" si="1789"/>
        <v>-</v>
      </c>
    </row>
    <row r="2780" spans="1:39" x14ac:dyDescent="0.25">
      <c r="A2780" t="str">
        <f>"FI22215"</f>
        <v>FI22215</v>
      </c>
      <c r="B2780" t="str">
        <f>"SENSOR NIVEL DE COMBUSTIBLE FIAT QUBO 1,4 ORIGINAL 51787161"</f>
        <v>SENSOR NIVEL DE COMBUSTIBLE FIAT QUBO 1,4 ORIGINAL 51787161</v>
      </c>
      <c r="C2780" t="str">
        <f>"$ 174883,61"</f>
        <v>$ 174883,61</v>
      </c>
      <c r="D2780" t="str">
        <f>"$ 174883,61"</f>
        <v>$ 174883,61</v>
      </c>
      <c r="E2780" t="str">
        <f>"$ 174883,61"</f>
        <v>$ 174883,61</v>
      </c>
      <c r="F2780" t="str">
        <f>"$ 174883,61"</f>
        <v>$ 174883,61</v>
      </c>
      <c r="G2780" t="str">
        <f>"$ 174883,61"</f>
        <v>$ 174883,61</v>
      </c>
      <c r="H2780" t="str">
        <f t="shared" si="1795"/>
        <v>$ 0,00</v>
      </c>
      <c r="I2780" t="str">
        <f t="shared" si="1790"/>
        <v xml:space="preserve">SENSOR NIVEL COMBUSTIBLE </v>
      </c>
      <c r="J2780" t="str">
        <f t="shared" si="1796"/>
        <v>1</v>
      </c>
      <c r="K2780" t="str">
        <f t="shared" si="1816"/>
        <v>0</v>
      </c>
      <c r="L2780" t="str">
        <f>"0,000"</f>
        <v>0,000</v>
      </c>
      <c r="M2780" t="str">
        <f t="shared" si="1797"/>
        <v xml:space="preserve"> </v>
      </c>
      <c r="N2780" t="str">
        <f t="shared" si="1815"/>
        <v>FISPA</v>
      </c>
      <c r="O2780" t="str">
        <f t="shared" si="1791"/>
        <v>BOMBAS</v>
      </c>
      <c r="P2780" t="str">
        <f t="shared" si="1813"/>
        <v>0</v>
      </c>
      <c r="Q2780" t="str">
        <f t="shared" si="1813"/>
        <v>0</v>
      </c>
      <c r="R2780" t="str">
        <f t="shared" si="1814"/>
        <v>0,00</v>
      </c>
      <c r="S2780" t="str">
        <f t="shared" si="1814"/>
        <v>0,00</v>
      </c>
      <c r="T2780" t="str">
        <f t="shared" si="1792"/>
        <v xml:space="preserve"> </v>
      </c>
      <c r="U2780" t="str">
        <f t="shared" si="1794"/>
        <v xml:space="preserve"> </v>
      </c>
      <c r="V2780" t="str">
        <f>"0,000"</f>
        <v>0,000</v>
      </c>
      <c r="W2780" t="str">
        <f t="shared" si="1798"/>
        <v>Lista 4</v>
      </c>
      <c r="X2780" t="str">
        <f t="shared" si="1799"/>
        <v>Lista 5</v>
      </c>
      <c r="Y2780" t="str">
        <f t="shared" si="1800"/>
        <v>Oferta Gral.</v>
      </c>
      <c r="Z2780" t="str">
        <f t="shared" si="1801"/>
        <v>Rubro</v>
      </c>
      <c r="AA2780" t="str">
        <f t="shared" si="1802"/>
        <v>Cantidad por Bulto</v>
      </c>
      <c r="AB2780" t="str">
        <f t="shared" si="1803"/>
        <v>INNER</v>
      </c>
      <c r="AC2780" t="str">
        <f t="shared" si="1804"/>
        <v>Stock en Bultos</v>
      </c>
      <c r="AD2780" t="str">
        <f t="shared" si="1805"/>
        <v>SubDepósito</v>
      </c>
      <c r="AE2780" t="str">
        <f t="shared" si="1806"/>
        <v>Marca</v>
      </c>
      <c r="AF2780" t="str">
        <f t="shared" si="1807"/>
        <v>Super Rubro</v>
      </c>
      <c r="AG2780" t="str">
        <f t="shared" si="1808"/>
        <v>ComercioExterior</v>
      </c>
      <c r="AH2780" t="str">
        <f t="shared" si="1809"/>
        <v>PrecioFOB</v>
      </c>
      <c r="AI2780" t="str">
        <f t="shared" si="1810"/>
        <v>Monto II</v>
      </c>
      <c r="AJ2780" t="str">
        <f t="shared" si="1811"/>
        <v>Porcentaje II</v>
      </c>
      <c r="AK2780" t="str">
        <f t="shared" si="1812"/>
        <v>Foto</v>
      </c>
      <c r="AL2780" t="str">
        <f>"{\rtf1\ansi\ansicpg1252\deff0\deflang11274{\fonttbl{\f0\fnil\fcharset0 MS Sans Serif}} \viewkind4\uc1\pard\f0\fs16 SENSOR NIVEL DE COMBUSTIBLE FIAT QUBO 1,4 ORIGINAL 51787161\par } "</f>
        <v xml:space="preserve">{\rtf1\ansi\ansicpg1252\deff0\deflang11274{\fonttbl{\f0\fnil\fcharset0 MS Sans Serif}} \viewkind4\uc1\pard\f0\fs16 SENSOR NIVEL DE COMBUSTIBLE FIAT QUBO 1,4 ORIGINAL 51787161\par } </v>
      </c>
      <c r="AM2780" t="str">
        <f t="shared" si="1789"/>
        <v>-</v>
      </c>
    </row>
    <row r="2781" spans="1:39" x14ac:dyDescent="0.25">
      <c r="A2781" t="str">
        <f>"RGU11630"</f>
        <v>RGU11630</v>
      </c>
      <c r="B2781" t="str">
        <f>"SENSOR NIVEL DE COMBUSTIBLE KANGOO K4M/K7M "</f>
        <v xml:space="preserve">SENSOR NIVEL DE COMBUSTIBLE KANGOO K4M/K7M </v>
      </c>
      <c r="C2781" t="str">
        <f>"$ 117056,12"</f>
        <v>$ 117056,12</v>
      </c>
      <c r="D2781" t="str">
        <f>"$ 117056,12"</f>
        <v>$ 117056,12</v>
      </c>
      <c r="E2781" t="str">
        <f>"$ 117056,12"</f>
        <v>$ 117056,12</v>
      </c>
      <c r="F2781" t="str">
        <f>"$ 117056,12"</f>
        <v>$ 117056,12</v>
      </c>
      <c r="G2781" t="str">
        <f>"$ 117056,12"</f>
        <v>$ 117056,12</v>
      </c>
      <c r="H2781" t="str">
        <f t="shared" si="1795"/>
        <v>$ 0,00</v>
      </c>
      <c r="I2781" t="str">
        <f t="shared" si="1790"/>
        <v xml:space="preserve">SENSOR NIVEL COMBUSTIBLE </v>
      </c>
      <c r="J2781" t="str">
        <f t="shared" si="1796"/>
        <v>1</v>
      </c>
      <c r="K2781" t="str">
        <f t="shared" si="1816"/>
        <v>0</v>
      </c>
      <c r="L2781" t="str">
        <f>"0,000"</f>
        <v>0,000</v>
      </c>
      <c r="M2781" t="str">
        <f t="shared" si="1797"/>
        <v xml:space="preserve"> </v>
      </c>
      <c r="N2781" t="str">
        <f>"REGITAR"</f>
        <v>REGITAR</v>
      </c>
      <c r="O2781" t="str">
        <f t="shared" si="1791"/>
        <v>BOMBAS</v>
      </c>
      <c r="P2781" t="str">
        <f t="shared" si="1813"/>
        <v>0</v>
      </c>
      <c r="Q2781" t="str">
        <f t="shared" si="1813"/>
        <v>0</v>
      </c>
      <c r="R2781" t="str">
        <f t="shared" si="1814"/>
        <v>0,00</v>
      </c>
      <c r="S2781" t="str">
        <f t="shared" si="1814"/>
        <v>0,00</v>
      </c>
      <c r="T2781" t="str">
        <f t="shared" si="1792"/>
        <v xml:space="preserve"> </v>
      </c>
      <c r="U2781" t="str">
        <f t="shared" si="1794"/>
        <v xml:space="preserve"> </v>
      </c>
      <c r="V2781" t="str">
        <f>"0,000"</f>
        <v>0,000</v>
      </c>
      <c r="W2781" t="str">
        <f t="shared" si="1798"/>
        <v>Lista 4</v>
      </c>
      <c r="X2781" t="str">
        <f t="shared" si="1799"/>
        <v>Lista 5</v>
      </c>
      <c r="Y2781" t="str">
        <f t="shared" si="1800"/>
        <v>Oferta Gral.</v>
      </c>
      <c r="Z2781" t="str">
        <f t="shared" si="1801"/>
        <v>Rubro</v>
      </c>
      <c r="AA2781" t="str">
        <f t="shared" si="1802"/>
        <v>Cantidad por Bulto</v>
      </c>
      <c r="AB2781" t="str">
        <f t="shared" si="1803"/>
        <v>INNER</v>
      </c>
      <c r="AC2781" t="str">
        <f t="shared" si="1804"/>
        <v>Stock en Bultos</v>
      </c>
      <c r="AD2781" t="str">
        <f t="shared" si="1805"/>
        <v>SubDepósito</v>
      </c>
      <c r="AE2781" t="str">
        <f t="shared" si="1806"/>
        <v>Marca</v>
      </c>
      <c r="AF2781" t="str">
        <f t="shared" si="1807"/>
        <v>Super Rubro</v>
      </c>
      <c r="AG2781" t="str">
        <f t="shared" si="1808"/>
        <v>ComercioExterior</v>
      </c>
      <c r="AH2781" t="str">
        <f t="shared" si="1809"/>
        <v>PrecioFOB</v>
      </c>
      <c r="AI2781" t="str">
        <f t="shared" si="1810"/>
        <v>Monto II</v>
      </c>
      <c r="AJ2781" t="str">
        <f t="shared" si="1811"/>
        <v>Porcentaje II</v>
      </c>
      <c r="AK2781" t="str">
        <f t="shared" si="1812"/>
        <v>Foto</v>
      </c>
      <c r="AL2781" t="str">
        <f>"{\rtf1\ansi\ansicpg1252\deff0\deflang11274{\fonttbl{\f0\fnil\fcharset0 MS Sans Serif}} \viewkind4\uc1\pard\f0\fs16 SENSOR NIVEL DE COMBUSTIBLE KANGOO K4M/K7M \par } "</f>
        <v xml:space="preserve">{\rtf1\ansi\ansicpg1252\deff0\deflang11274{\fonttbl{\f0\fnil\fcharset0 MS Sans Serif}} \viewkind4\uc1\pard\f0\fs16 SENSOR NIVEL DE COMBUSTIBLE KANGOO K4M/K7M \par } </v>
      </c>
      <c r="AM2781" t="str">
        <f>" "</f>
        <v xml:space="preserve"> </v>
      </c>
    </row>
    <row r="2782" spans="1:39" x14ac:dyDescent="0.25">
      <c r="A2782" t="str">
        <f>"FI22624A"</f>
        <v>FI22624A</v>
      </c>
      <c r="B2782" t="str">
        <f>"SENSOR NIVEL DE COMBUSTIBLE SAVEIRO 1,6 DESDE 2000"</f>
        <v>SENSOR NIVEL DE COMBUSTIBLE SAVEIRO 1,6 DESDE 2000</v>
      </c>
      <c r="C2782" t="str">
        <f>"$ 35382,20"</f>
        <v>$ 35382,20</v>
      </c>
      <c r="D2782" t="str">
        <f>"$ 35382,20"</f>
        <v>$ 35382,20</v>
      </c>
      <c r="E2782" t="str">
        <f>"$ 35382,20"</f>
        <v>$ 35382,20</v>
      </c>
      <c r="F2782" t="str">
        <f>"$ 35382,20"</f>
        <v>$ 35382,20</v>
      </c>
      <c r="G2782" t="str">
        <f>"$ 35382,20"</f>
        <v>$ 35382,20</v>
      </c>
      <c r="H2782" t="str">
        <f t="shared" si="1795"/>
        <v>$ 0,00</v>
      </c>
      <c r="I2782" t="str">
        <f t="shared" si="1790"/>
        <v xml:space="preserve">SENSOR NIVEL COMBUSTIBLE </v>
      </c>
      <c r="J2782" t="str">
        <f t="shared" si="1796"/>
        <v>1</v>
      </c>
      <c r="K2782" t="str">
        <f t="shared" si="1816"/>
        <v>0</v>
      </c>
      <c r="L2782" t="str">
        <f>"0,000"</f>
        <v>0,000</v>
      </c>
      <c r="M2782" t="str">
        <f t="shared" si="1797"/>
        <v xml:space="preserve"> </v>
      </c>
      <c r="N2782" t="str">
        <f>"FISPA"</f>
        <v>FISPA</v>
      </c>
      <c r="O2782" t="str">
        <f t="shared" si="1791"/>
        <v>BOMBAS</v>
      </c>
      <c r="P2782" t="str">
        <f t="shared" si="1813"/>
        <v>0</v>
      </c>
      <c r="Q2782" t="str">
        <f t="shared" si="1813"/>
        <v>0</v>
      </c>
      <c r="R2782" t="str">
        <f t="shared" si="1814"/>
        <v>0,00</v>
      </c>
      <c r="S2782" t="str">
        <f t="shared" si="1814"/>
        <v>0,00</v>
      </c>
      <c r="T2782" t="str">
        <f t="shared" si="1792"/>
        <v xml:space="preserve"> </v>
      </c>
      <c r="U2782" t="str">
        <f t="shared" si="1794"/>
        <v xml:space="preserve"> </v>
      </c>
      <c r="V2782" t="str">
        <f>"0,000"</f>
        <v>0,000</v>
      </c>
      <c r="W2782" t="str">
        <f t="shared" si="1798"/>
        <v>Lista 4</v>
      </c>
      <c r="X2782" t="str">
        <f t="shared" si="1799"/>
        <v>Lista 5</v>
      </c>
      <c r="Y2782" t="str">
        <f t="shared" si="1800"/>
        <v>Oferta Gral.</v>
      </c>
      <c r="Z2782" t="str">
        <f t="shared" si="1801"/>
        <v>Rubro</v>
      </c>
      <c r="AA2782" t="str">
        <f t="shared" si="1802"/>
        <v>Cantidad por Bulto</v>
      </c>
      <c r="AB2782" t="str">
        <f t="shared" si="1803"/>
        <v>INNER</v>
      </c>
      <c r="AC2782" t="str">
        <f t="shared" si="1804"/>
        <v>Stock en Bultos</v>
      </c>
      <c r="AD2782" t="str">
        <f t="shared" si="1805"/>
        <v>SubDepósito</v>
      </c>
      <c r="AE2782" t="str">
        <f t="shared" si="1806"/>
        <v>Marca</v>
      </c>
      <c r="AF2782" t="str">
        <f t="shared" si="1807"/>
        <v>Super Rubro</v>
      </c>
      <c r="AG2782" t="str">
        <f t="shared" si="1808"/>
        <v>ComercioExterior</v>
      </c>
      <c r="AH2782" t="str">
        <f t="shared" si="1809"/>
        <v>PrecioFOB</v>
      </c>
      <c r="AI2782" t="str">
        <f t="shared" si="1810"/>
        <v>Monto II</v>
      </c>
      <c r="AJ2782" t="str">
        <f t="shared" si="1811"/>
        <v>Porcentaje II</v>
      </c>
      <c r="AK2782" t="str">
        <f t="shared" si="1812"/>
        <v>Foto</v>
      </c>
      <c r="AL2782" t="str">
        <f>"{\rtf1\ansi\ansicpg1252\deff0\deflang11274{\fonttbl{\f0\fnil\fcharset0 MS Sans Serif}} \viewkind4\uc1\pard\f0\fs16 SENSOR NIVEL DE COMBUSTIBLE SAVEIRO 1,6 DESDE 2000\par } "</f>
        <v xml:space="preserve">{\rtf1\ansi\ansicpg1252\deff0\deflang11274{\fonttbl{\f0\fnil\fcharset0 MS Sans Serif}} \viewkind4\uc1\pard\f0\fs16 SENSOR NIVEL DE COMBUSTIBLE SAVEIRO 1,6 DESDE 2000\par } </v>
      </c>
      <c r="AM2782" t="str">
        <f>"-"</f>
        <v>-</v>
      </c>
    </row>
    <row r="2783" spans="1:39" x14ac:dyDescent="0.25">
      <c r="A2783" t="str">
        <f>"FI20022"</f>
        <v>FI20022</v>
      </c>
      <c r="B2783" t="str">
        <f>"SENSOR NIVEL DE COMBUSTIBLE VW GOLF III POLO PASSAT"</f>
        <v>SENSOR NIVEL DE COMBUSTIBLE VW GOLF III POLO PASSAT</v>
      </c>
      <c r="C2783" t="str">
        <f>"$ 83495,06"</f>
        <v>$ 83495,06</v>
      </c>
      <c r="D2783" t="str">
        <f>"$ 83495,06"</f>
        <v>$ 83495,06</v>
      </c>
      <c r="E2783" t="str">
        <f>"$ 83495,06"</f>
        <v>$ 83495,06</v>
      </c>
      <c r="F2783" t="str">
        <f>"$ 83495,06"</f>
        <v>$ 83495,06</v>
      </c>
      <c r="G2783" t="str">
        <f>"$ 83495,06"</f>
        <v>$ 83495,06</v>
      </c>
      <c r="H2783" t="str">
        <f t="shared" si="1795"/>
        <v>$ 0,00</v>
      </c>
      <c r="I2783" t="str">
        <f t="shared" si="1790"/>
        <v xml:space="preserve">SENSOR NIVEL COMBUSTIBLE </v>
      </c>
      <c r="J2783" t="str">
        <f t="shared" si="1796"/>
        <v>1</v>
      </c>
      <c r="K2783" t="str">
        <f t="shared" si="1816"/>
        <v>0</v>
      </c>
      <c r="L2783" t="str">
        <f>"1,000"</f>
        <v>1,000</v>
      </c>
      <c r="M2783" t="str">
        <f t="shared" si="1797"/>
        <v xml:space="preserve"> </v>
      </c>
      <c r="N2783" t="str">
        <f>"FISPA"</f>
        <v>FISPA</v>
      </c>
      <c r="O2783" t="str">
        <f t="shared" si="1791"/>
        <v>BOMBAS</v>
      </c>
      <c r="P2783" t="str">
        <f t="shared" ref="P2783:Q2802" si="1817">"0"</f>
        <v>0</v>
      </c>
      <c r="Q2783" t="str">
        <f t="shared" si="1817"/>
        <v>0</v>
      </c>
      <c r="R2783" t="str">
        <f t="shared" ref="R2783:S2802" si="1818">"0,00"</f>
        <v>0,00</v>
      </c>
      <c r="S2783" t="str">
        <f t="shared" si="1818"/>
        <v>0,00</v>
      </c>
      <c r="T2783" t="str">
        <f t="shared" si="1792"/>
        <v xml:space="preserve"> </v>
      </c>
      <c r="U2783" t="str">
        <f t="shared" si="1794"/>
        <v xml:space="preserve"> </v>
      </c>
      <c r="V2783" t="str">
        <f>"1,000"</f>
        <v>1,000</v>
      </c>
      <c r="W2783" t="str">
        <f t="shared" si="1798"/>
        <v>Lista 4</v>
      </c>
      <c r="X2783" t="str">
        <f t="shared" si="1799"/>
        <v>Lista 5</v>
      </c>
      <c r="Y2783" t="str">
        <f t="shared" si="1800"/>
        <v>Oferta Gral.</v>
      </c>
      <c r="Z2783" t="str">
        <f t="shared" si="1801"/>
        <v>Rubro</v>
      </c>
      <c r="AA2783" t="str">
        <f t="shared" si="1802"/>
        <v>Cantidad por Bulto</v>
      </c>
      <c r="AB2783" t="str">
        <f t="shared" si="1803"/>
        <v>INNER</v>
      </c>
      <c r="AC2783" t="str">
        <f t="shared" si="1804"/>
        <v>Stock en Bultos</v>
      </c>
      <c r="AD2783" t="str">
        <f t="shared" si="1805"/>
        <v>SubDepósito</v>
      </c>
      <c r="AE2783" t="str">
        <f t="shared" si="1806"/>
        <v>Marca</v>
      </c>
      <c r="AF2783" t="str">
        <f t="shared" si="1807"/>
        <v>Super Rubro</v>
      </c>
      <c r="AG2783" t="str">
        <f t="shared" si="1808"/>
        <v>ComercioExterior</v>
      </c>
      <c r="AH2783" t="str">
        <f t="shared" si="1809"/>
        <v>PrecioFOB</v>
      </c>
      <c r="AI2783" t="str">
        <f t="shared" si="1810"/>
        <v>Monto II</v>
      </c>
      <c r="AJ2783" t="str">
        <f t="shared" si="1811"/>
        <v>Porcentaje II</v>
      </c>
      <c r="AK2783" t="str">
        <f t="shared" si="1812"/>
        <v>Foto</v>
      </c>
      <c r="AL2783" t="str">
        <f>"{\rtf1\ansi\ansicpg1252\deff0\deflang11274{\fonttbl{\f0\fnil\fcharset0 MS Sans Serif}} \viewkind4\uc1\pard\f0\fs16 SENSOR NIVEL DE COMBUSTIBLE VW GOLF III POLO PASSAT\par } "</f>
        <v xml:space="preserve">{\rtf1\ansi\ansicpg1252\deff0\deflang11274{\fonttbl{\f0\fnil\fcharset0 MS Sans Serif}} \viewkind4\uc1\pard\f0\fs16 SENSOR NIVEL DE COMBUSTIBLE VW GOLF III POLO PASSAT\par } </v>
      </c>
      <c r="AM2783" t="str">
        <f>"-"</f>
        <v>-</v>
      </c>
    </row>
    <row r="2784" spans="1:39" x14ac:dyDescent="0.25">
      <c r="A2784" t="str">
        <f>"VK21702"</f>
        <v>VK21702</v>
      </c>
      <c r="B2784" t="str">
        <f>"SENSOR POSICION MARIPOSA FIAT/RENAULT/FORD/VW PF2"</f>
        <v>SENSOR POSICION MARIPOSA FIAT/RENAULT/FORD/VW PF2</v>
      </c>
      <c r="C2784" t="str">
        <f>"$ 8091,60"</f>
        <v>$ 8091,60</v>
      </c>
      <c r="D2784" t="str">
        <f>"$ 8091,60"</f>
        <v>$ 8091,60</v>
      </c>
      <c r="E2784" t="str">
        <f>"$ 8091,60"</f>
        <v>$ 8091,60</v>
      </c>
      <c r="F2784" t="str">
        <f>"$ 8091,60"</f>
        <v>$ 8091,60</v>
      </c>
      <c r="G2784" t="str">
        <f>"$ 8091,60"</f>
        <v>$ 8091,60</v>
      </c>
      <c r="H2784" t="str">
        <f t="shared" si="1795"/>
        <v>$ 0,00</v>
      </c>
      <c r="I2784" t="str">
        <f>"SENSOR MARIPOSA TPS"</f>
        <v>SENSOR MARIPOSA TPS</v>
      </c>
      <c r="J2784" t="str">
        <f t="shared" si="1796"/>
        <v>1</v>
      </c>
      <c r="K2784" t="str">
        <f t="shared" si="1816"/>
        <v>0</v>
      </c>
      <c r="L2784" t="str">
        <f>"6,000"</f>
        <v>6,000</v>
      </c>
      <c r="M2784" t="str">
        <f t="shared" si="1797"/>
        <v xml:space="preserve"> </v>
      </c>
      <c r="N2784" t="str">
        <f>"VERKEHR"</f>
        <v>VERKEHR</v>
      </c>
      <c r="O2784" t="str">
        <f t="shared" ref="O2784:O2815" si="1819">"SENSORES"</f>
        <v>SENSORES</v>
      </c>
      <c r="P2784" t="str">
        <f t="shared" si="1817"/>
        <v>0</v>
      </c>
      <c r="Q2784" t="str">
        <f t="shared" si="1817"/>
        <v>0</v>
      </c>
      <c r="R2784" t="str">
        <f t="shared" si="1818"/>
        <v>0,00</v>
      </c>
      <c r="S2784" t="str">
        <f t="shared" si="1818"/>
        <v>0,00</v>
      </c>
      <c r="T2784" t="str">
        <f t="shared" si="1792"/>
        <v xml:space="preserve"> </v>
      </c>
      <c r="U2784" t="str">
        <f t="shared" si="1794"/>
        <v xml:space="preserve"> </v>
      </c>
      <c r="V2784" t="str">
        <f>"6,000"</f>
        <v>6,000</v>
      </c>
      <c r="W2784" t="str">
        <f t="shared" si="1798"/>
        <v>Lista 4</v>
      </c>
      <c r="X2784" t="str">
        <f t="shared" si="1799"/>
        <v>Lista 5</v>
      </c>
      <c r="Y2784" t="str">
        <f t="shared" si="1800"/>
        <v>Oferta Gral.</v>
      </c>
      <c r="Z2784" t="str">
        <f t="shared" si="1801"/>
        <v>Rubro</v>
      </c>
      <c r="AA2784" t="str">
        <f t="shared" si="1802"/>
        <v>Cantidad por Bulto</v>
      </c>
      <c r="AB2784" t="str">
        <f t="shared" si="1803"/>
        <v>INNER</v>
      </c>
      <c r="AC2784" t="str">
        <f t="shared" si="1804"/>
        <v>Stock en Bultos</v>
      </c>
      <c r="AD2784" t="str">
        <f t="shared" si="1805"/>
        <v>SubDepósito</v>
      </c>
      <c r="AE2784" t="str">
        <f t="shared" si="1806"/>
        <v>Marca</v>
      </c>
      <c r="AF2784" t="str">
        <f t="shared" si="1807"/>
        <v>Super Rubro</v>
      </c>
      <c r="AG2784" t="str">
        <f t="shared" si="1808"/>
        <v>ComercioExterior</v>
      </c>
      <c r="AH2784" t="str">
        <f t="shared" si="1809"/>
        <v>PrecioFOB</v>
      </c>
      <c r="AI2784" t="str">
        <f t="shared" si="1810"/>
        <v>Monto II</v>
      </c>
      <c r="AJ2784" t="str">
        <f t="shared" si="1811"/>
        <v>Porcentaje II</v>
      </c>
      <c r="AK2784" t="str">
        <f t="shared" si="1812"/>
        <v>Foto</v>
      </c>
      <c r="AL2784" t="str">
        <f>"{\rtf1\ansi\ansicpg1252\deff0\deflang11274{\fonttbl{\f0\fnil\fcharset0 MS Sans Serif}} \viewkind4\uc1\pard\f0\fs16 SENSOR POSICION MARIPOSA FIAT/RENAULT/FORD/VW PF2\par } "</f>
        <v xml:space="preserve">{\rtf1\ansi\ansicpg1252\deff0\deflang11274{\fonttbl{\f0\fnil\fcharset0 MS Sans Serif}} \viewkind4\uc1\pard\f0\fs16 SENSOR POSICION MARIPOSA FIAT/RENAULT/FORD/VW PF2\par } </v>
      </c>
      <c r="AM2784" t="str">
        <f>" "</f>
        <v xml:space="preserve"> </v>
      </c>
    </row>
    <row r="2785" spans="1:39" x14ac:dyDescent="0.25">
      <c r="A2785" t="str">
        <f>"VKPRT0302"</f>
        <v>VKPRT0302</v>
      </c>
      <c r="B2785" t="str">
        <f>"SENSOR PRESION ABSOLUTA FIAT/RENAULT/FORD/VW"</f>
        <v>SENSOR PRESION ABSOLUTA FIAT/RENAULT/FORD/VW</v>
      </c>
      <c r="C2785" t="str">
        <f>"$ 12654,53"</f>
        <v>$ 12654,53</v>
      </c>
      <c r="D2785" t="str">
        <f>"$ 12654,53"</f>
        <v>$ 12654,53</v>
      </c>
      <c r="E2785" t="str">
        <f>"$ 12654,53"</f>
        <v>$ 12654,53</v>
      </c>
      <c r="F2785" t="str">
        <f>"$ 12654,53"</f>
        <v>$ 12654,53</v>
      </c>
      <c r="G2785" t="str">
        <f>"$ 12654,53"</f>
        <v>$ 12654,53</v>
      </c>
      <c r="H2785" t="str">
        <f t="shared" si="1795"/>
        <v>$ 0,00</v>
      </c>
      <c r="I2785" t="str">
        <f>"SENSOR MAP"</f>
        <v>SENSOR MAP</v>
      </c>
      <c r="J2785" t="str">
        <f t="shared" si="1796"/>
        <v>1</v>
      </c>
      <c r="K2785" t="str">
        <f t="shared" si="1816"/>
        <v>0</v>
      </c>
      <c r="L2785" t="str">
        <f>"3,000"</f>
        <v>3,000</v>
      </c>
      <c r="M2785" t="str">
        <f t="shared" si="1797"/>
        <v xml:space="preserve"> </v>
      </c>
      <c r="N2785" t="str">
        <f>"VERKEHR"</f>
        <v>VERKEHR</v>
      </c>
      <c r="O2785" t="str">
        <f t="shared" si="1819"/>
        <v>SENSORES</v>
      </c>
      <c r="P2785" t="str">
        <f t="shared" si="1817"/>
        <v>0</v>
      </c>
      <c r="Q2785" t="str">
        <f t="shared" si="1817"/>
        <v>0</v>
      </c>
      <c r="R2785" t="str">
        <f t="shared" si="1818"/>
        <v>0,00</v>
      </c>
      <c r="S2785" t="str">
        <f t="shared" si="1818"/>
        <v>0,00</v>
      </c>
      <c r="T2785" t="str">
        <f t="shared" si="1792"/>
        <v xml:space="preserve"> </v>
      </c>
      <c r="U2785" t="str">
        <f t="shared" si="1794"/>
        <v xml:space="preserve"> </v>
      </c>
      <c r="V2785" t="str">
        <f>"3,000"</f>
        <v>3,000</v>
      </c>
      <c r="W2785" t="str">
        <f t="shared" si="1798"/>
        <v>Lista 4</v>
      </c>
      <c r="X2785" t="str">
        <f t="shared" si="1799"/>
        <v>Lista 5</v>
      </c>
      <c r="Y2785" t="str">
        <f t="shared" si="1800"/>
        <v>Oferta Gral.</v>
      </c>
      <c r="Z2785" t="str">
        <f t="shared" si="1801"/>
        <v>Rubro</v>
      </c>
      <c r="AA2785" t="str">
        <f t="shared" si="1802"/>
        <v>Cantidad por Bulto</v>
      </c>
      <c r="AB2785" t="str">
        <f t="shared" si="1803"/>
        <v>INNER</v>
      </c>
      <c r="AC2785" t="str">
        <f t="shared" si="1804"/>
        <v>Stock en Bultos</v>
      </c>
      <c r="AD2785" t="str">
        <f t="shared" si="1805"/>
        <v>SubDepósito</v>
      </c>
      <c r="AE2785" t="str">
        <f t="shared" si="1806"/>
        <v>Marca</v>
      </c>
      <c r="AF2785" t="str">
        <f t="shared" si="1807"/>
        <v>Super Rubro</v>
      </c>
      <c r="AG2785" t="str">
        <f t="shared" si="1808"/>
        <v>ComercioExterior</v>
      </c>
      <c r="AH2785" t="str">
        <f t="shared" si="1809"/>
        <v>PrecioFOB</v>
      </c>
      <c r="AI2785" t="str">
        <f t="shared" si="1810"/>
        <v>Monto II</v>
      </c>
      <c r="AJ2785" t="str">
        <f t="shared" si="1811"/>
        <v>Porcentaje II</v>
      </c>
      <c r="AK2785" t="str">
        <f t="shared" si="1812"/>
        <v>Foto</v>
      </c>
      <c r="AL2785" t="str">
        <f>"{\rtf1\ansi\ansicpg1252\deff0\deflang11274{\fonttbl{\f0\fnil\fcharset0 MS Sans Serif}} \viewkind4\uc1\pard\f0\fs16 SENSOR PRESION ABSOLUTA FIAT/RENAULT/FORD/VW\par } "</f>
        <v xml:space="preserve">{\rtf1\ansi\ansicpg1252\deff0\deflang11274{\fonttbl{\f0\fnil\fcharset0 MS Sans Serif}} \viewkind4\uc1\pard\f0\fs16 SENSOR PRESION ABSOLUTA FIAT/RENAULT/FORD/VW\par } </v>
      </c>
      <c r="AM2785" t="str">
        <f>" "</f>
        <v xml:space="preserve"> </v>
      </c>
    </row>
    <row r="2786" spans="1:39" x14ac:dyDescent="0.25">
      <c r="A2786" t="str">
        <f>"VK169"</f>
        <v>VK169</v>
      </c>
      <c r="B2786" t="str">
        <f>"SENSOR PRESION ABSOLUTA RENAULT/GM "</f>
        <v xml:space="preserve">SENSOR PRESION ABSOLUTA RENAULT/GM </v>
      </c>
      <c r="C2786" t="str">
        <f>"$ 14057,20"</f>
        <v>$ 14057,20</v>
      </c>
      <c r="D2786" t="str">
        <f>"$ 14057,20"</f>
        <v>$ 14057,20</v>
      </c>
      <c r="E2786" t="str">
        <f>"$ 14057,20"</f>
        <v>$ 14057,20</v>
      </c>
      <c r="F2786" t="str">
        <f>"$ 14057,20"</f>
        <v>$ 14057,20</v>
      </c>
      <c r="G2786" t="str">
        <f>"$ 14057,20"</f>
        <v>$ 14057,20</v>
      </c>
      <c r="H2786" t="str">
        <f t="shared" si="1795"/>
        <v>$ 0,00</v>
      </c>
      <c r="I2786" t="str">
        <f>"SENSOR MAP"</f>
        <v>SENSOR MAP</v>
      </c>
      <c r="J2786" t="str">
        <f t="shared" si="1796"/>
        <v>1</v>
      </c>
      <c r="K2786" t="str">
        <f t="shared" si="1816"/>
        <v>0</v>
      </c>
      <c r="L2786" t="str">
        <f>"-1,000"</f>
        <v>-1,000</v>
      </c>
      <c r="M2786" t="str">
        <f t="shared" si="1797"/>
        <v xml:space="preserve"> </v>
      </c>
      <c r="N2786" t="str">
        <f>"VERKEHR"</f>
        <v>VERKEHR</v>
      </c>
      <c r="O2786" t="str">
        <f t="shared" si="1819"/>
        <v>SENSORES</v>
      </c>
      <c r="P2786" t="str">
        <f t="shared" si="1817"/>
        <v>0</v>
      </c>
      <c r="Q2786" t="str">
        <f t="shared" si="1817"/>
        <v>0</v>
      </c>
      <c r="R2786" t="str">
        <f t="shared" si="1818"/>
        <v>0,00</v>
      </c>
      <c r="S2786" t="str">
        <f t="shared" si="1818"/>
        <v>0,00</v>
      </c>
      <c r="T2786" t="str">
        <f t="shared" si="1792"/>
        <v xml:space="preserve"> </v>
      </c>
      <c r="U2786" t="str">
        <f t="shared" si="1794"/>
        <v xml:space="preserve"> </v>
      </c>
      <c r="V2786" t="str">
        <f>"-1,000"</f>
        <v>-1,000</v>
      </c>
      <c r="W2786" t="str">
        <f t="shared" si="1798"/>
        <v>Lista 4</v>
      </c>
      <c r="X2786" t="str">
        <f t="shared" si="1799"/>
        <v>Lista 5</v>
      </c>
      <c r="Y2786" t="str">
        <f t="shared" si="1800"/>
        <v>Oferta Gral.</v>
      </c>
      <c r="Z2786" t="str">
        <f t="shared" si="1801"/>
        <v>Rubro</v>
      </c>
      <c r="AA2786" t="str">
        <f t="shared" si="1802"/>
        <v>Cantidad por Bulto</v>
      </c>
      <c r="AB2786" t="str">
        <f t="shared" si="1803"/>
        <v>INNER</v>
      </c>
      <c r="AC2786" t="str">
        <f t="shared" si="1804"/>
        <v>Stock en Bultos</v>
      </c>
      <c r="AD2786" t="str">
        <f t="shared" si="1805"/>
        <v>SubDepósito</v>
      </c>
      <c r="AE2786" t="str">
        <f t="shared" si="1806"/>
        <v>Marca</v>
      </c>
      <c r="AF2786" t="str">
        <f t="shared" si="1807"/>
        <v>Super Rubro</v>
      </c>
      <c r="AG2786" t="str">
        <f t="shared" si="1808"/>
        <v>ComercioExterior</v>
      </c>
      <c r="AH2786" t="str">
        <f t="shared" si="1809"/>
        <v>PrecioFOB</v>
      </c>
      <c r="AI2786" t="str">
        <f t="shared" si="1810"/>
        <v>Monto II</v>
      </c>
      <c r="AJ2786" t="str">
        <f t="shared" si="1811"/>
        <v>Porcentaje II</v>
      </c>
      <c r="AK2786" t="str">
        <f t="shared" si="1812"/>
        <v>Foto</v>
      </c>
      <c r="AL2786" t="str">
        <f>"{\rtf1\ansi\ansicpg1252\deff0\deflang11274{\fonttbl{\f0\fnil\fcharset0 MS Sans Serif}} \viewkind4\uc1\pard\f0\fs16 SENSOR PRESION ABSOLUTA RENAULT/GM \par } "</f>
        <v xml:space="preserve">{\rtf1\ansi\ansicpg1252\deff0\deflang11274{\fonttbl{\f0\fnil\fcharset0 MS Sans Serif}} \viewkind4\uc1\pard\f0\fs16 SENSOR PRESION ABSOLUTA RENAULT/GM \par } </v>
      </c>
      <c r="AM2786" t="str">
        <f>" "</f>
        <v xml:space="preserve"> </v>
      </c>
    </row>
    <row r="2787" spans="1:39" x14ac:dyDescent="0.25">
      <c r="A2787" t="str">
        <f>"FI30025"</f>
        <v>FI30025</v>
      </c>
      <c r="B2787" t="str">
        <f>"SENSOR RPM  ASTRA 1.8I2.0I 98/. BLAZER S10 2.2 MPFI 97/.2.4 MPFI 00/.VECTRA 2.0, 2.2 MPFI 96/."</f>
        <v>SENSOR RPM  ASTRA 1.8I2.0I 98/. BLAZER S10 2.2 MPFI 97/.2.4 MPFI 00/.VECTRA 2.0, 2.2 MPFI 96/.</v>
      </c>
      <c r="C2787" t="str">
        <f>"$ 38423,89"</f>
        <v>$ 38423,89</v>
      </c>
      <c r="D2787" t="str">
        <f>"$ 38423,89"</f>
        <v>$ 38423,89</v>
      </c>
      <c r="E2787" t="str">
        <f>"$ 38423,89"</f>
        <v>$ 38423,89</v>
      </c>
      <c r="F2787" t="str">
        <f>"$ 38423,89"</f>
        <v>$ 38423,89</v>
      </c>
      <c r="G2787" t="str">
        <f>"$ 38423,89"</f>
        <v>$ 38423,89</v>
      </c>
      <c r="H2787" t="str">
        <f t="shared" si="1795"/>
        <v>$ 0,00</v>
      </c>
      <c r="I2787" t="str">
        <f t="shared" ref="I2787:I2818" si="1820">"SENSOR RPM"</f>
        <v>SENSOR RPM</v>
      </c>
      <c r="J2787" t="str">
        <f t="shared" si="1796"/>
        <v>1</v>
      </c>
      <c r="K2787" t="str">
        <f t="shared" ref="K2787:K2798" si="1821">"1"</f>
        <v>1</v>
      </c>
      <c r="L2787" t="str">
        <f>"1,000"</f>
        <v>1,000</v>
      </c>
      <c r="M2787" t="str">
        <f t="shared" si="1797"/>
        <v xml:space="preserve"> </v>
      </c>
      <c r="N2787" t="str">
        <f t="shared" ref="N2787:N2816" si="1822">"FISPA"</f>
        <v>FISPA</v>
      </c>
      <c r="O2787" t="str">
        <f t="shared" si="1819"/>
        <v>SENSORES</v>
      </c>
      <c r="P2787" t="str">
        <f t="shared" si="1817"/>
        <v>0</v>
      </c>
      <c r="Q2787" t="str">
        <f t="shared" si="1817"/>
        <v>0</v>
      </c>
      <c r="R2787" t="str">
        <f t="shared" si="1818"/>
        <v>0,00</v>
      </c>
      <c r="S2787" t="str">
        <f t="shared" si="1818"/>
        <v>0,00</v>
      </c>
      <c r="T2787" t="str">
        <f t="shared" si="1792"/>
        <v xml:space="preserve"> </v>
      </c>
      <c r="U2787" t="str">
        <f t="shared" si="1794"/>
        <v xml:space="preserve"> </v>
      </c>
      <c r="V2787" t="str">
        <f>"1,000"</f>
        <v>1,000</v>
      </c>
      <c r="W2787" t="str">
        <f t="shared" si="1798"/>
        <v>Lista 4</v>
      </c>
      <c r="X2787" t="str">
        <f t="shared" si="1799"/>
        <v>Lista 5</v>
      </c>
      <c r="Y2787" t="str">
        <f t="shared" si="1800"/>
        <v>Oferta Gral.</v>
      </c>
      <c r="Z2787" t="str">
        <f t="shared" si="1801"/>
        <v>Rubro</v>
      </c>
      <c r="AA2787" t="str">
        <f t="shared" si="1802"/>
        <v>Cantidad por Bulto</v>
      </c>
      <c r="AB2787" t="str">
        <f t="shared" si="1803"/>
        <v>INNER</v>
      </c>
      <c r="AC2787" t="str">
        <f t="shared" si="1804"/>
        <v>Stock en Bultos</v>
      </c>
      <c r="AD2787" t="str">
        <f t="shared" si="1805"/>
        <v>SubDepósito</v>
      </c>
      <c r="AE2787" t="str">
        <f t="shared" si="1806"/>
        <v>Marca</v>
      </c>
      <c r="AF2787" t="str">
        <f t="shared" si="1807"/>
        <v>Super Rubro</v>
      </c>
      <c r="AG2787" t="str">
        <f t="shared" si="1808"/>
        <v>ComercioExterior</v>
      </c>
      <c r="AH2787" t="str">
        <f t="shared" si="1809"/>
        <v>PrecioFOB</v>
      </c>
      <c r="AI2787" t="str">
        <f t="shared" si="1810"/>
        <v>Monto II</v>
      </c>
      <c r="AJ2787" t="str">
        <f t="shared" si="1811"/>
        <v>Porcentaje II</v>
      </c>
      <c r="AK2787" t="str">
        <f t="shared" si="1812"/>
        <v>Foto</v>
      </c>
      <c r="AL2787" t="str">
        <f>"{\rtf1\ansi\ansicpg1252\deff0\deflang2058{\fonttbl{\f0\fnil\fcharset0 MS Sans Serif}} \viewkind4\uc1\pard\f0\fs16 SENSOR RPM  ASTRA 1.8I2.0I 98/. BLAZER S10 2.2 MPFI 97/.2.4 MPFI 00/.VECTRA 2.0, 2.2 MPFI 96/.\par } "</f>
        <v xml:space="preserve">{\rtf1\ansi\ansicpg1252\deff0\deflang2058{\fonttbl{\f0\fnil\fcharset0 MS Sans Serif}} \viewkind4\uc1\pard\f0\fs16 SENSOR RPM  ASTRA 1.8I2.0I 98/. BLAZER S10 2.2 MPFI 97/.2.4 MPFI 00/.VECTRA 2.0, 2.2 MPFI 96/.\par } </v>
      </c>
      <c r="AM2787" t="str">
        <f t="shared" ref="AM2787:AM2818" si="1823">"-"</f>
        <v>-</v>
      </c>
    </row>
    <row r="2788" spans="1:39" x14ac:dyDescent="0.25">
      <c r="A2788" t="str">
        <f>"FI30064"</f>
        <v>FI30064</v>
      </c>
      <c r="B2788" t="str">
        <f>"SENSOR RPM  CITROEN JUMPER 2.8 HDI/DUCATO 2.5 TDI 4X4/ 2.5 TDI / 2.8 TDI - FIORINO 1.7D "</f>
        <v xml:space="preserve">SENSOR RPM  CITROEN JUMPER 2.8 HDI/DUCATO 2.5 TDI 4X4/ 2.5 TDI / 2.8 TDI - FIORINO 1.7D </v>
      </c>
      <c r="C2788" t="str">
        <f>"$ 48930,65"</f>
        <v>$ 48930,65</v>
      </c>
      <c r="D2788" t="str">
        <f>"$ 48930,65"</f>
        <v>$ 48930,65</v>
      </c>
      <c r="E2788" t="str">
        <f>"$ 48930,65"</f>
        <v>$ 48930,65</v>
      </c>
      <c r="F2788" t="str">
        <f>"$ 48930,65"</f>
        <v>$ 48930,65</v>
      </c>
      <c r="G2788" t="str">
        <f>"$ 48930,65"</f>
        <v>$ 48930,65</v>
      </c>
      <c r="H2788" t="str">
        <f t="shared" si="1795"/>
        <v>$ 0,00</v>
      </c>
      <c r="I2788" t="str">
        <f t="shared" si="1820"/>
        <v>SENSOR RPM</v>
      </c>
      <c r="J2788" t="str">
        <f t="shared" si="1796"/>
        <v>1</v>
      </c>
      <c r="K2788" t="str">
        <f t="shared" si="1821"/>
        <v>1</v>
      </c>
      <c r="L2788" t="str">
        <f t="shared" ref="L2788:L2794" si="1824">"0,000"</f>
        <v>0,000</v>
      </c>
      <c r="M2788" t="str">
        <f t="shared" si="1797"/>
        <v xml:space="preserve"> </v>
      </c>
      <c r="N2788" t="str">
        <f t="shared" si="1822"/>
        <v>FISPA</v>
      </c>
      <c r="O2788" t="str">
        <f t="shared" si="1819"/>
        <v>SENSORES</v>
      </c>
      <c r="P2788" t="str">
        <f t="shared" si="1817"/>
        <v>0</v>
      </c>
      <c r="Q2788" t="str">
        <f t="shared" si="1817"/>
        <v>0</v>
      </c>
      <c r="R2788" t="str">
        <f t="shared" si="1818"/>
        <v>0,00</v>
      </c>
      <c r="S2788" t="str">
        <f t="shared" si="1818"/>
        <v>0,00</v>
      </c>
      <c r="T2788" t="str">
        <f t="shared" si="1792"/>
        <v xml:space="preserve"> </v>
      </c>
      <c r="U2788" t="str">
        <f t="shared" si="1794"/>
        <v xml:space="preserve"> </v>
      </c>
      <c r="V2788" t="str">
        <f t="shared" ref="V2788:V2794" si="1825">"0,000"</f>
        <v>0,000</v>
      </c>
      <c r="W2788" t="str">
        <f t="shared" si="1798"/>
        <v>Lista 4</v>
      </c>
      <c r="X2788" t="str">
        <f t="shared" si="1799"/>
        <v>Lista 5</v>
      </c>
      <c r="Y2788" t="str">
        <f t="shared" si="1800"/>
        <v>Oferta Gral.</v>
      </c>
      <c r="Z2788" t="str">
        <f t="shared" si="1801"/>
        <v>Rubro</v>
      </c>
      <c r="AA2788" t="str">
        <f t="shared" si="1802"/>
        <v>Cantidad por Bulto</v>
      </c>
      <c r="AB2788" t="str">
        <f t="shared" si="1803"/>
        <v>INNER</v>
      </c>
      <c r="AC2788" t="str">
        <f t="shared" si="1804"/>
        <v>Stock en Bultos</v>
      </c>
      <c r="AD2788" t="str">
        <f t="shared" si="1805"/>
        <v>SubDepósito</v>
      </c>
      <c r="AE2788" t="str">
        <f t="shared" si="1806"/>
        <v>Marca</v>
      </c>
      <c r="AF2788" t="str">
        <f t="shared" si="1807"/>
        <v>Super Rubro</v>
      </c>
      <c r="AG2788" t="str">
        <f t="shared" si="1808"/>
        <v>ComercioExterior</v>
      </c>
      <c r="AH2788" t="str">
        <f t="shared" si="1809"/>
        <v>PrecioFOB</v>
      </c>
      <c r="AI2788" t="str">
        <f t="shared" si="1810"/>
        <v>Monto II</v>
      </c>
      <c r="AJ2788" t="str">
        <f t="shared" si="1811"/>
        <v>Porcentaje II</v>
      </c>
      <c r="AK2788" t="str">
        <f t="shared" si="1812"/>
        <v>Foto</v>
      </c>
      <c r="AL278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88" t="str">
        <f t="shared" si="1823"/>
        <v>-</v>
      </c>
    </row>
    <row r="2789" spans="1:39" x14ac:dyDescent="0.25">
      <c r="A2789" t="str">
        <f>"FI30059"</f>
        <v>FI30059</v>
      </c>
      <c r="B2789" t="str">
        <f>"SENSOR RPM  FIAT BARCHETTA 1.8 16V - BRAVO I 1.8 GT - COUPE 2.0 20V TURBO - MAREA 2.0 50 20V"</f>
        <v>SENSOR RPM  FIAT BARCHETTA 1.8 16V - BRAVO I 1.8 GT - COUPE 2.0 20V TURBO - MAREA 2.0 50 20V</v>
      </c>
      <c r="C2789" t="str">
        <f>"$ 33291,34"</f>
        <v>$ 33291,34</v>
      </c>
      <c r="D2789" t="str">
        <f>"$ 33291,34"</f>
        <v>$ 33291,34</v>
      </c>
      <c r="E2789" t="str">
        <f>"$ 33291,34"</f>
        <v>$ 33291,34</v>
      </c>
      <c r="F2789" t="str">
        <f>"$ 33291,34"</f>
        <v>$ 33291,34</v>
      </c>
      <c r="G2789" t="str">
        <f>"$ 33291,34"</f>
        <v>$ 33291,34</v>
      </c>
      <c r="H2789" t="str">
        <f t="shared" si="1795"/>
        <v>$ 0,00</v>
      </c>
      <c r="I2789" t="str">
        <f t="shared" si="1820"/>
        <v>SENSOR RPM</v>
      </c>
      <c r="J2789" t="str">
        <f t="shared" si="1796"/>
        <v>1</v>
      </c>
      <c r="K2789" t="str">
        <f t="shared" si="1821"/>
        <v>1</v>
      </c>
      <c r="L2789" t="str">
        <f t="shared" si="1824"/>
        <v>0,000</v>
      </c>
      <c r="M2789" t="str">
        <f t="shared" si="1797"/>
        <v xml:space="preserve"> </v>
      </c>
      <c r="N2789" t="str">
        <f t="shared" si="1822"/>
        <v>FISPA</v>
      </c>
      <c r="O2789" t="str">
        <f t="shared" si="1819"/>
        <v>SENSORES</v>
      </c>
      <c r="P2789" t="str">
        <f t="shared" si="1817"/>
        <v>0</v>
      </c>
      <c r="Q2789" t="str">
        <f t="shared" si="1817"/>
        <v>0</v>
      </c>
      <c r="R2789" t="str">
        <f t="shared" si="1818"/>
        <v>0,00</v>
      </c>
      <c r="S2789" t="str">
        <f t="shared" si="1818"/>
        <v>0,00</v>
      </c>
      <c r="T2789" t="str">
        <f t="shared" si="1792"/>
        <v xml:space="preserve"> </v>
      </c>
      <c r="U2789" t="str">
        <f t="shared" si="1794"/>
        <v xml:space="preserve"> </v>
      </c>
      <c r="V2789" t="str">
        <f t="shared" si="1825"/>
        <v>0,000</v>
      </c>
      <c r="W2789" t="str">
        <f t="shared" si="1798"/>
        <v>Lista 4</v>
      </c>
      <c r="X2789" t="str">
        <f t="shared" si="1799"/>
        <v>Lista 5</v>
      </c>
      <c r="Y2789" t="str">
        <f t="shared" si="1800"/>
        <v>Oferta Gral.</v>
      </c>
      <c r="Z2789" t="str">
        <f t="shared" si="1801"/>
        <v>Rubro</v>
      </c>
      <c r="AA2789" t="str">
        <f t="shared" si="1802"/>
        <v>Cantidad por Bulto</v>
      </c>
      <c r="AB2789" t="str">
        <f t="shared" si="1803"/>
        <v>INNER</v>
      </c>
      <c r="AC2789" t="str">
        <f t="shared" si="1804"/>
        <v>Stock en Bultos</v>
      </c>
      <c r="AD2789" t="str">
        <f t="shared" si="1805"/>
        <v>SubDepósito</v>
      </c>
      <c r="AE2789" t="str">
        <f t="shared" si="1806"/>
        <v>Marca</v>
      </c>
      <c r="AF2789" t="str">
        <f t="shared" si="1807"/>
        <v>Super Rubro</v>
      </c>
      <c r="AG2789" t="str">
        <f t="shared" si="1808"/>
        <v>ComercioExterior</v>
      </c>
      <c r="AH2789" t="str">
        <f t="shared" si="1809"/>
        <v>PrecioFOB</v>
      </c>
      <c r="AI2789" t="str">
        <f t="shared" si="1810"/>
        <v>Monto II</v>
      </c>
      <c r="AJ2789" t="str">
        <f t="shared" si="1811"/>
        <v>Porcentaje II</v>
      </c>
      <c r="AK2789" t="str">
        <f t="shared" si="1812"/>
        <v>Foto</v>
      </c>
      <c r="AL278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89" t="str">
        <f t="shared" si="1823"/>
        <v>-</v>
      </c>
    </row>
    <row r="2790" spans="1:39" x14ac:dyDescent="0.25">
      <c r="A2790" t="str">
        <f>"FI30065"</f>
        <v>FI30065</v>
      </c>
      <c r="B2790" t="str">
        <f>"SENSOR RPM  FIAT BRAVA 1.9JTD 105 - BRAVO/MAREA 1.9JTD 105 / 110 - PUNTO 1.9DS 60 / 1.9JTD 80"</f>
        <v>SENSOR RPM  FIAT BRAVA 1.9JTD 105 - BRAVO/MAREA 1.9JTD 105 / 110 - PUNTO 1.9DS 60 / 1.9JTD 80</v>
      </c>
      <c r="C2790" t="str">
        <f>"$ 22408,64"</f>
        <v>$ 22408,64</v>
      </c>
      <c r="D2790" t="str">
        <f>"$ 22408,64"</f>
        <v>$ 22408,64</v>
      </c>
      <c r="E2790" t="str">
        <f>"$ 22408,64"</f>
        <v>$ 22408,64</v>
      </c>
      <c r="F2790" t="str">
        <f>"$ 22408,64"</f>
        <v>$ 22408,64</v>
      </c>
      <c r="G2790" t="str">
        <f>"$ 22408,64"</f>
        <v>$ 22408,64</v>
      </c>
      <c r="H2790" t="str">
        <f t="shared" si="1795"/>
        <v>$ 0,00</v>
      </c>
      <c r="I2790" t="str">
        <f t="shared" si="1820"/>
        <v>SENSOR RPM</v>
      </c>
      <c r="J2790" t="str">
        <f t="shared" si="1796"/>
        <v>1</v>
      </c>
      <c r="K2790" t="str">
        <f t="shared" si="1821"/>
        <v>1</v>
      </c>
      <c r="L2790" t="str">
        <f t="shared" si="1824"/>
        <v>0,000</v>
      </c>
      <c r="M2790" t="str">
        <f t="shared" si="1797"/>
        <v xml:space="preserve"> </v>
      </c>
      <c r="N2790" t="str">
        <f t="shared" si="1822"/>
        <v>FISPA</v>
      </c>
      <c r="O2790" t="str">
        <f t="shared" si="1819"/>
        <v>SENSORES</v>
      </c>
      <c r="P2790" t="str">
        <f t="shared" si="1817"/>
        <v>0</v>
      </c>
      <c r="Q2790" t="str">
        <f t="shared" si="1817"/>
        <v>0</v>
      </c>
      <c r="R2790" t="str">
        <f t="shared" si="1818"/>
        <v>0,00</v>
      </c>
      <c r="S2790" t="str">
        <f t="shared" si="1818"/>
        <v>0,00</v>
      </c>
      <c r="T2790" t="str">
        <f t="shared" si="1792"/>
        <v xml:space="preserve"> </v>
      </c>
      <c r="U2790" t="str">
        <f t="shared" si="1794"/>
        <v xml:space="preserve"> </v>
      </c>
      <c r="V2790" t="str">
        <f t="shared" si="1825"/>
        <v>0,000</v>
      </c>
      <c r="W2790" t="str">
        <f t="shared" si="1798"/>
        <v>Lista 4</v>
      </c>
      <c r="X2790" t="str">
        <f t="shared" si="1799"/>
        <v>Lista 5</v>
      </c>
      <c r="Y2790" t="str">
        <f t="shared" si="1800"/>
        <v>Oferta Gral.</v>
      </c>
      <c r="Z2790" t="str">
        <f t="shared" si="1801"/>
        <v>Rubro</v>
      </c>
      <c r="AA2790" t="str">
        <f t="shared" si="1802"/>
        <v>Cantidad por Bulto</v>
      </c>
      <c r="AB2790" t="str">
        <f t="shared" si="1803"/>
        <v>INNER</v>
      </c>
      <c r="AC2790" t="str">
        <f t="shared" si="1804"/>
        <v>Stock en Bultos</v>
      </c>
      <c r="AD2790" t="str">
        <f t="shared" si="1805"/>
        <v>SubDepósito</v>
      </c>
      <c r="AE2790" t="str">
        <f t="shared" si="1806"/>
        <v>Marca</v>
      </c>
      <c r="AF2790" t="str">
        <f t="shared" si="1807"/>
        <v>Super Rubro</v>
      </c>
      <c r="AG2790" t="str">
        <f t="shared" si="1808"/>
        <v>ComercioExterior</v>
      </c>
      <c r="AH2790" t="str">
        <f t="shared" si="1809"/>
        <v>PrecioFOB</v>
      </c>
      <c r="AI2790" t="str">
        <f t="shared" si="1810"/>
        <v>Monto II</v>
      </c>
      <c r="AJ2790" t="str">
        <f t="shared" si="1811"/>
        <v>Porcentaje II</v>
      </c>
      <c r="AK2790" t="str">
        <f t="shared" si="1812"/>
        <v>Foto</v>
      </c>
      <c r="AL279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0" t="str">
        <f t="shared" si="1823"/>
        <v>-</v>
      </c>
    </row>
    <row r="2791" spans="1:39" x14ac:dyDescent="0.25">
      <c r="A2791" t="str">
        <f>"FI30137"</f>
        <v>FI30137</v>
      </c>
      <c r="B2791" t="str">
        <f>"SENSOR RPM  HYUNDAI ACCENT 1.5 CRDI /COUPE 1.6 16V - ELANTRA 1.6 / 1.8 / 2.0 - I30 2.0 CRDI  - "</f>
        <v xml:space="preserve">SENSOR RPM  HYUNDAI ACCENT 1.5 CRDI /COUPE 1.6 16V - ELANTRA 1.6 / 1.8 / 2.0 - I30 2.0 CRDI  - </v>
      </c>
      <c r="C2791" t="str">
        <f>"$ 26677,02"</f>
        <v>$ 26677,02</v>
      </c>
      <c r="D2791" t="str">
        <f>"$ 26677,02"</f>
        <v>$ 26677,02</v>
      </c>
      <c r="E2791" t="str">
        <f>"$ 26677,02"</f>
        <v>$ 26677,02</v>
      </c>
      <c r="F2791" t="str">
        <f>"$ 26677,02"</f>
        <v>$ 26677,02</v>
      </c>
      <c r="G2791" t="str">
        <f>"$ 26677,02"</f>
        <v>$ 26677,02</v>
      </c>
      <c r="H2791" t="str">
        <f t="shared" si="1795"/>
        <v>$ 0,00</v>
      </c>
      <c r="I2791" t="str">
        <f t="shared" si="1820"/>
        <v>SENSOR RPM</v>
      </c>
      <c r="J2791" t="str">
        <f t="shared" si="1796"/>
        <v>1</v>
      </c>
      <c r="K2791" t="str">
        <f t="shared" si="1821"/>
        <v>1</v>
      </c>
      <c r="L2791" t="str">
        <f t="shared" si="1824"/>
        <v>0,000</v>
      </c>
      <c r="M2791" t="str">
        <f t="shared" si="1797"/>
        <v xml:space="preserve"> </v>
      </c>
      <c r="N2791" t="str">
        <f t="shared" si="1822"/>
        <v>FISPA</v>
      </c>
      <c r="O2791" t="str">
        <f t="shared" si="1819"/>
        <v>SENSORES</v>
      </c>
      <c r="P2791" t="str">
        <f t="shared" si="1817"/>
        <v>0</v>
      </c>
      <c r="Q2791" t="str">
        <f t="shared" si="1817"/>
        <v>0</v>
      </c>
      <c r="R2791" t="str">
        <f t="shared" si="1818"/>
        <v>0,00</v>
      </c>
      <c r="S2791" t="str">
        <f t="shared" si="1818"/>
        <v>0,00</v>
      </c>
      <c r="T2791" t="str">
        <f t="shared" si="1792"/>
        <v xml:space="preserve"> </v>
      </c>
      <c r="U2791" t="str">
        <f t="shared" si="1794"/>
        <v xml:space="preserve"> </v>
      </c>
      <c r="V2791" t="str">
        <f t="shared" si="1825"/>
        <v>0,000</v>
      </c>
      <c r="W2791" t="str">
        <f t="shared" si="1798"/>
        <v>Lista 4</v>
      </c>
      <c r="X2791" t="str">
        <f t="shared" si="1799"/>
        <v>Lista 5</v>
      </c>
      <c r="Y2791" t="str">
        <f t="shared" si="1800"/>
        <v>Oferta Gral.</v>
      </c>
      <c r="Z2791" t="str">
        <f t="shared" si="1801"/>
        <v>Rubro</v>
      </c>
      <c r="AA2791" t="str">
        <f t="shared" si="1802"/>
        <v>Cantidad por Bulto</v>
      </c>
      <c r="AB2791" t="str">
        <f t="shared" si="1803"/>
        <v>INNER</v>
      </c>
      <c r="AC2791" t="str">
        <f t="shared" si="1804"/>
        <v>Stock en Bultos</v>
      </c>
      <c r="AD2791" t="str">
        <f t="shared" si="1805"/>
        <v>SubDepósito</v>
      </c>
      <c r="AE2791" t="str">
        <f t="shared" si="1806"/>
        <v>Marca</v>
      </c>
      <c r="AF2791" t="str">
        <f t="shared" si="1807"/>
        <v>Super Rubro</v>
      </c>
      <c r="AG2791" t="str">
        <f t="shared" si="1808"/>
        <v>ComercioExterior</v>
      </c>
      <c r="AH2791" t="str">
        <f t="shared" si="1809"/>
        <v>PrecioFOB</v>
      </c>
      <c r="AI2791" t="str">
        <f t="shared" si="1810"/>
        <v>Monto II</v>
      </c>
      <c r="AJ2791" t="str">
        <f t="shared" si="1811"/>
        <v>Porcentaje II</v>
      </c>
      <c r="AK2791" t="str">
        <f t="shared" si="1812"/>
        <v>Foto</v>
      </c>
      <c r="AL279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1" t="str">
        <f t="shared" si="1823"/>
        <v>-</v>
      </c>
    </row>
    <row r="2792" spans="1:39" x14ac:dyDescent="0.25">
      <c r="A2792" t="str">
        <f>"FI30119"</f>
        <v>FI30119</v>
      </c>
      <c r="B2792" t="str">
        <f>"SENSOR RPM  JUMPER II 2.8 HDI DUCATO II 2.8 JTD - IVECO DAILY II - BOXER II 2.8 HDI - "</f>
        <v xml:space="preserve">SENSOR RPM  JUMPER II 2.8 HDI DUCATO II 2.8 JTD - IVECO DAILY II - BOXER II 2.8 HDI - </v>
      </c>
      <c r="C2792" t="str">
        <f>"$ 18910,46"</f>
        <v>$ 18910,46</v>
      </c>
      <c r="D2792" t="str">
        <f>"$ 18910,46"</f>
        <v>$ 18910,46</v>
      </c>
      <c r="E2792" t="str">
        <f>"$ 18910,46"</f>
        <v>$ 18910,46</v>
      </c>
      <c r="F2792" t="str">
        <f>"$ 18910,46"</f>
        <v>$ 18910,46</v>
      </c>
      <c r="G2792" t="str">
        <f>"$ 18910,46"</f>
        <v>$ 18910,46</v>
      </c>
      <c r="H2792" t="str">
        <f t="shared" si="1795"/>
        <v>$ 0,00</v>
      </c>
      <c r="I2792" t="str">
        <f t="shared" si="1820"/>
        <v>SENSOR RPM</v>
      </c>
      <c r="J2792" t="str">
        <f t="shared" si="1796"/>
        <v>1</v>
      </c>
      <c r="K2792" t="str">
        <f t="shared" si="1821"/>
        <v>1</v>
      </c>
      <c r="L2792" t="str">
        <f t="shared" si="1824"/>
        <v>0,000</v>
      </c>
      <c r="M2792" t="str">
        <f t="shared" si="1797"/>
        <v xml:space="preserve"> </v>
      </c>
      <c r="N2792" t="str">
        <f t="shared" si="1822"/>
        <v>FISPA</v>
      </c>
      <c r="O2792" t="str">
        <f t="shared" si="1819"/>
        <v>SENSORES</v>
      </c>
      <c r="P2792" t="str">
        <f t="shared" si="1817"/>
        <v>0</v>
      </c>
      <c r="Q2792" t="str">
        <f t="shared" si="1817"/>
        <v>0</v>
      </c>
      <c r="R2792" t="str">
        <f t="shared" si="1818"/>
        <v>0,00</v>
      </c>
      <c r="S2792" t="str">
        <f t="shared" si="1818"/>
        <v>0,00</v>
      </c>
      <c r="T2792" t="str">
        <f t="shared" si="1792"/>
        <v xml:space="preserve"> </v>
      </c>
      <c r="U2792" t="str">
        <f t="shared" si="1794"/>
        <v xml:space="preserve"> </v>
      </c>
      <c r="V2792" t="str">
        <f t="shared" si="1825"/>
        <v>0,000</v>
      </c>
      <c r="W2792" t="str">
        <f t="shared" si="1798"/>
        <v>Lista 4</v>
      </c>
      <c r="X2792" t="str">
        <f t="shared" si="1799"/>
        <v>Lista 5</v>
      </c>
      <c r="Y2792" t="str">
        <f t="shared" si="1800"/>
        <v>Oferta Gral.</v>
      </c>
      <c r="Z2792" t="str">
        <f t="shared" si="1801"/>
        <v>Rubro</v>
      </c>
      <c r="AA2792" t="str">
        <f t="shared" si="1802"/>
        <v>Cantidad por Bulto</v>
      </c>
      <c r="AB2792" t="str">
        <f t="shared" si="1803"/>
        <v>INNER</v>
      </c>
      <c r="AC2792" t="str">
        <f t="shared" si="1804"/>
        <v>Stock en Bultos</v>
      </c>
      <c r="AD2792" t="str">
        <f t="shared" si="1805"/>
        <v>SubDepósito</v>
      </c>
      <c r="AE2792" t="str">
        <f t="shared" si="1806"/>
        <v>Marca</v>
      </c>
      <c r="AF2792" t="str">
        <f t="shared" si="1807"/>
        <v>Super Rubro</v>
      </c>
      <c r="AG2792" t="str">
        <f t="shared" si="1808"/>
        <v>ComercioExterior</v>
      </c>
      <c r="AH2792" t="str">
        <f t="shared" si="1809"/>
        <v>PrecioFOB</v>
      </c>
      <c r="AI2792" t="str">
        <f t="shared" si="1810"/>
        <v>Monto II</v>
      </c>
      <c r="AJ2792" t="str">
        <f t="shared" si="1811"/>
        <v>Porcentaje II</v>
      </c>
      <c r="AK2792" t="str">
        <f t="shared" si="1812"/>
        <v>Foto</v>
      </c>
      <c r="AL279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2" t="str">
        <f t="shared" si="1823"/>
        <v>-</v>
      </c>
    </row>
    <row r="2793" spans="1:39" x14ac:dyDescent="0.25">
      <c r="A2793" t="str">
        <f>"FI30144"</f>
        <v>FI30144</v>
      </c>
      <c r="B2793" t="str">
        <f>"SENSOR RPM ALFA 145 / 146 / 147 / 156 / 166 / IE Y T.SPARK - FIAT MAREA 2.0 150 20V / 2.4 20V"</f>
        <v>SENSOR RPM ALFA 145 / 146 / 147 / 156 / 166 / IE Y T.SPARK - FIAT MAREA 2.0 150 20V / 2.4 20V</v>
      </c>
      <c r="C2793" t="str">
        <f>"$ 30724,46"</f>
        <v>$ 30724,46</v>
      </c>
      <c r="D2793" t="str">
        <f>"$ 30724,46"</f>
        <v>$ 30724,46</v>
      </c>
      <c r="E2793" t="str">
        <f>"$ 30724,46"</f>
        <v>$ 30724,46</v>
      </c>
      <c r="F2793" t="str">
        <f>"$ 30724,46"</f>
        <v>$ 30724,46</v>
      </c>
      <c r="G2793" t="str">
        <f>"$ 30724,46"</f>
        <v>$ 30724,46</v>
      </c>
      <c r="H2793" t="str">
        <f t="shared" si="1795"/>
        <v>$ 0,00</v>
      </c>
      <c r="I2793" t="str">
        <f t="shared" si="1820"/>
        <v>SENSOR RPM</v>
      </c>
      <c r="J2793" t="str">
        <f t="shared" si="1796"/>
        <v>1</v>
      </c>
      <c r="K2793" t="str">
        <f t="shared" si="1821"/>
        <v>1</v>
      </c>
      <c r="L2793" t="str">
        <f t="shared" si="1824"/>
        <v>0,000</v>
      </c>
      <c r="M2793" t="str">
        <f t="shared" si="1797"/>
        <v xml:space="preserve"> </v>
      </c>
      <c r="N2793" t="str">
        <f t="shared" si="1822"/>
        <v>FISPA</v>
      </c>
      <c r="O2793" t="str">
        <f t="shared" si="1819"/>
        <v>SENSORES</v>
      </c>
      <c r="P2793" t="str">
        <f t="shared" si="1817"/>
        <v>0</v>
      </c>
      <c r="Q2793" t="str">
        <f t="shared" si="1817"/>
        <v>0</v>
      </c>
      <c r="R2793" t="str">
        <f t="shared" si="1818"/>
        <v>0,00</v>
      </c>
      <c r="S2793" t="str">
        <f t="shared" si="1818"/>
        <v>0,00</v>
      </c>
      <c r="T2793" t="str">
        <f t="shared" si="1792"/>
        <v xml:space="preserve"> </v>
      </c>
      <c r="U2793" t="str">
        <f t="shared" si="1794"/>
        <v xml:space="preserve"> </v>
      </c>
      <c r="V2793" t="str">
        <f t="shared" si="1825"/>
        <v>0,000</v>
      </c>
      <c r="W2793" t="str">
        <f t="shared" si="1798"/>
        <v>Lista 4</v>
      </c>
      <c r="X2793" t="str">
        <f t="shared" si="1799"/>
        <v>Lista 5</v>
      </c>
      <c r="Y2793" t="str">
        <f t="shared" si="1800"/>
        <v>Oferta Gral.</v>
      </c>
      <c r="Z2793" t="str">
        <f t="shared" si="1801"/>
        <v>Rubro</v>
      </c>
      <c r="AA2793" t="str">
        <f t="shared" si="1802"/>
        <v>Cantidad por Bulto</v>
      </c>
      <c r="AB2793" t="str">
        <f t="shared" si="1803"/>
        <v>INNER</v>
      </c>
      <c r="AC2793" t="str">
        <f t="shared" si="1804"/>
        <v>Stock en Bultos</v>
      </c>
      <c r="AD2793" t="str">
        <f t="shared" si="1805"/>
        <v>SubDepósito</v>
      </c>
      <c r="AE2793" t="str">
        <f t="shared" si="1806"/>
        <v>Marca</v>
      </c>
      <c r="AF2793" t="str">
        <f t="shared" si="1807"/>
        <v>Super Rubro</v>
      </c>
      <c r="AG2793" t="str">
        <f t="shared" si="1808"/>
        <v>ComercioExterior</v>
      </c>
      <c r="AH2793" t="str">
        <f t="shared" si="1809"/>
        <v>PrecioFOB</v>
      </c>
      <c r="AI2793" t="str">
        <f t="shared" si="1810"/>
        <v>Monto II</v>
      </c>
      <c r="AJ2793" t="str">
        <f t="shared" si="1811"/>
        <v>Porcentaje II</v>
      </c>
      <c r="AK2793" t="str">
        <f t="shared" si="1812"/>
        <v>Foto</v>
      </c>
      <c r="AL2793" t="str">
        <f>" "</f>
        <v xml:space="preserve"> </v>
      </c>
      <c r="AM2793" t="str">
        <f t="shared" si="1823"/>
        <v>-</v>
      </c>
    </row>
    <row r="2794" spans="1:39" x14ac:dyDescent="0.25">
      <c r="A2794" t="str">
        <f>"FI30123"</f>
        <v>FI30123</v>
      </c>
      <c r="B2794" t="str">
        <f>"SENSOR RPM ALFA ROMEO 145 - 146 - 147 - 156 - 166 - GTV - SPIDER"</f>
        <v>SENSOR RPM ALFA ROMEO 145 - 146 - 147 - 156 - 166 - GTV - SPIDER</v>
      </c>
      <c r="C2794" t="str">
        <f>"$ 50622,37"</f>
        <v>$ 50622,37</v>
      </c>
      <c r="D2794" t="str">
        <f>"$ 50622,37"</f>
        <v>$ 50622,37</v>
      </c>
      <c r="E2794" t="str">
        <f>"$ 50622,37"</f>
        <v>$ 50622,37</v>
      </c>
      <c r="F2794" t="str">
        <f>"$ 50622,37"</f>
        <v>$ 50622,37</v>
      </c>
      <c r="G2794" t="str">
        <f>"$ 50622,37"</f>
        <v>$ 50622,37</v>
      </c>
      <c r="H2794" t="str">
        <f t="shared" si="1795"/>
        <v>$ 0,00</v>
      </c>
      <c r="I2794" t="str">
        <f t="shared" si="1820"/>
        <v>SENSOR RPM</v>
      </c>
      <c r="J2794" t="str">
        <f t="shared" si="1796"/>
        <v>1</v>
      </c>
      <c r="K2794" t="str">
        <f t="shared" si="1821"/>
        <v>1</v>
      </c>
      <c r="L2794" t="str">
        <f t="shared" si="1824"/>
        <v>0,000</v>
      </c>
      <c r="M2794" t="str">
        <f t="shared" si="1797"/>
        <v xml:space="preserve"> </v>
      </c>
      <c r="N2794" t="str">
        <f t="shared" si="1822"/>
        <v>FISPA</v>
      </c>
      <c r="O2794" t="str">
        <f t="shared" si="1819"/>
        <v>SENSORES</v>
      </c>
      <c r="P2794" t="str">
        <f t="shared" si="1817"/>
        <v>0</v>
      </c>
      <c r="Q2794" t="str">
        <f t="shared" si="1817"/>
        <v>0</v>
      </c>
      <c r="R2794" t="str">
        <f t="shared" si="1818"/>
        <v>0,00</v>
      </c>
      <c r="S2794" t="str">
        <f t="shared" si="1818"/>
        <v>0,00</v>
      </c>
      <c r="T2794" t="str">
        <f t="shared" si="1792"/>
        <v xml:space="preserve"> </v>
      </c>
      <c r="U2794" t="str">
        <f t="shared" si="1794"/>
        <v xml:space="preserve"> </v>
      </c>
      <c r="V2794" t="str">
        <f t="shared" si="1825"/>
        <v>0,000</v>
      </c>
      <c r="W2794" t="str">
        <f t="shared" si="1798"/>
        <v>Lista 4</v>
      </c>
      <c r="X2794" t="str">
        <f t="shared" si="1799"/>
        <v>Lista 5</v>
      </c>
      <c r="Y2794" t="str">
        <f t="shared" si="1800"/>
        <v>Oferta Gral.</v>
      </c>
      <c r="Z2794" t="str">
        <f t="shared" si="1801"/>
        <v>Rubro</v>
      </c>
      <c r="AA2794" t="str">
        <f t="shared" si="1802"/>
        <v>Cantidad por Bulto</v>
      </c>
      <c r="AB2794" t="str">
        <f t="shared" si="1803"/>
        <v>INNER</v>
      </c>
      <c r="AC2794" t="str">
        <f t="shared" si="1804"/>
        <v>Stock en Bultos</v>
      </c>
      <c r="AD2794" t="str">
        <f t="shared" si="1805"/>
        <v>SubDepósito</v>
      </c>
      <c r="AE2794" t="str">
        <f t="shared" si="1806"/>
        <v>Marca</v>
      </c>
      <c r="AF2794" t="str">
        <f t="shared" si="1807"/>
        <v>Super Rubro</v>
      </c>
      <c r="AG2794" t="str">
        <f t="shared" si="1808"/>
        <v>ComercioExterior</v>
      </c>
      <c r="AH2794" t="str">
        <f t="shared" si="1809"/>
        <v>PrecioFOB</v>
      </c>
      <c r="AI2794" t="str">
        <f t="shared" si="1810"/>
        <v>Monto II</v>
      </c>
      <c r="AJ2794" t="str">
        <f t="shared" si="1811"/>
        <v>Porcentaje II</v>
      </c>
      <c r="AK2794" t="str">
        <f t="shared" si="1812"/>
        <v>Foto</v>
      </c>
      <c r="AL279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94" t="str">
        <f t="shared" si="1823"/>
        <v>-</v>
      </c>
    </row>
    <row r="2795" spans="1:39" x14ac:dyDescent="0.25">
      <c r="A2795" t="str">
        <f>"FI30124"</f>
        <v>FI30124</v>
      </c>
      <c r="B2795" t="str">
        <f>"SENSOR RPM ALFA ROMEO 145/146/147/156 1.9 /2.4 JTD/FIAT BRAVA / BRAVO / MAREA"</f>
        <v>SENSOR RPM ALFA ROMEO 145/146/147/156 1.9 /2.4 JTD/FIAT BRAVA / BRAVO / MAREA</v>
      </c>
      <c r="C2795" t="str">
        <f>"$ 43666,28"</f>
        <v>$ 43666,28</v>
      </c>
      <c r="D2795" t="str">
        <f>"$ 43666,28"</f>
        <v>$ 43666,28</v>
      </c>
      <c r="E2795" t="str">
        <f>"$ 43666,28"</f>
        <v>$ 43666,28</v>
      </c>
      <c r="F2795" t="str">
        <f>"$ 43666,28"</f>
        <v>$ 43666,28</v>
      </c>
      <c r="G2795" t="str">
        <f>"$ 43666,28"</f>
        <v>$ 43666,28</v>
      </c>
      <c r="H2795" t="str">
        <f t="shared" si="1795"/>
        <v>$ 0,00</v>
      </c>
      <c r="I2795" t="str">
        <f t="shared" si="1820"/>
        <v>SENSOR RPM</v>
      </c>
      <c r="J2795" t="str">
        <f t="shared" si="1796"/>
        <v>1</v>
      </c>
      <c r="K2795" t="str">
        <f t="shared" si="1821"/>
        <v>1</v>
      </c>
      <c r="L2795" t="str">
        <f>"2,000"</f>
        <v>2,000</v>
      </c>
      <c r="M2795" t="str">
        <f t="shared" si="1797"/>
        <v xml:space="preserve"> </v>
      </c>
      <c r="N2795" t="str">
        <f t="shared" si="1822"/>
        <v>FISPA</v>
      </c>
      <c r="O2795" t="str">
        <f t="shared" si="1819"/>
        <v>SENSORES</v>
      </c>
      <c r="P2795" t="str">
        <f t="shared" si="1817"/>
        <v>0</v>
      </c>
      <c r="Q2795" t="str">
        <f t="shared" si="1817"/>
        <v>0</v>
      </c>
      <c r="R2795" t="str">
        <f t="shared" si="1818"/>
        <v>0,00</v>
      </c>
      <c r="S2795" t="str">
        <f t="shared" si="1818"/>
        <v>0,00</v>
      </c>
      <c r="T2795" t="str">
        <f t="shared" si="1792"/>
        <v xml:space="preserve"> </v>
      </c>
      <c r="U2795" t="str">
        <f t="shared" si="1794"/>
        <v xml:space="preserve"> </v>
      </c>
      <c r="V2795" t="str">
        <f>"2,000"</f>
        <v>2,000</v>
      </c>
      <c r="W2795" t="str">
        <f t="shared" si="1798"/>
        <v>Lista 4</v>
      </c>
      <c r="X2795" t="str">
        <f t="shared" si="1799"/>
        <v>Lista 5</v>
      </c>
      <c r="Y2795" t="str">
        <f t="shared" si="1800"/>
        <v>Oferta Gral.</v>
      </c>
      <c r="Z2795" t="str">
        <f t="shared" si="1801"/>
        <v>Rubro</v>
      </c>
      <c r="AA2795" t="str">
        <f t="shared" si="1802"/>
        <v>Cantidad por Bulto</v>
      </c>
      <c r="AB2795" t="str">
        <f t="shared" si="1803"/>
        <v>INNER</v>
      </c>
      <c r="AC2795" t="str">
        <f t="shared" si="1804"/>
        <v>Stock en Bultos</v>
      </c>
      <c r="AD2795" t="str">
        <f t="shared" si="1805"/>
        <v>SubDepósito</v>
      </c>
      <c r="AE2795" t="str">
        <f t="shared" si="1806"/>
        <v>Marca</v>
      </c>
      <c r="AF2795" t="str">
        <f t="shared" si="1807"/>
        <v>Super Rubro</v>
      </c>
      <c r="AG2795" t="str">
        <f t="shared" si="1808"/>
        <v>ComercioExterior</v>
      </c>
      <c r="AH2795" t="str">
        <f t="shared" si="1809"/>
        <v>PrecioFOB</v>
      </c>
      <c r="AI2795" t="str">
        <f t="shared" si="1810"/>
        <v>Monto II</v>
      </c>
      <c r="AJ2795" t="str">
        <f t="shared" si="1811"/>
        <v>Porcentaje II</v>
      </c>
      <c r="AK2795" t="str">
        <f t="shared" si="1812"/>
        <v>Foto</v>
      </c>
      <c r="AL279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5" t="str">
        <f t="shared" si="1823"/>
        <v>-</v>
      </c>
    </row>
    <row r="2796" spans="1:39" x14ac:dyDescent="0.25">
      <c r="A2796" t="str">
        <f>"FI30128"</f>
        <v>FI30128</v>
      </c>
      <c r="B2796" t="str">
        <f>"SENSOR RPM ALFA ROMEO 155/156/164/166 Y 33 1.7 TS,1.8TS Y 2.0TS/GTV 3.0"</f>
        <v>SENSOR RPM ALFA ROMEO 155/156/164/166 Y 33 1.7 TS,1.8TS Y 2.0TS/GTV 3.0</v>
      </c>
      <c r="C2796" t="str">
        <f>"$ 27381,29"</f>
        <v>$ 27381,29</v>
      </c>
      <c r="D2796" t="str">
        <f>"$ 27381,29"</f>
        <v>$ 27381,29</v>
      </c>
      <c r="E2796" t="str">
        <f>"$ 27381,29"</f>
        <v>$ 27381,29</v>
      </c>
      <c r="F2796" t="str">
        <f>"$ 27381,29"</f>
        <v>$ 27381,29</v>
      </c>
      <c r="G2796" t="str">
        <f>"$ 27381,29"</f>
        <v>$ 27381,29</v>
      </c>
      <c r="H2796" t="str">
        <f t="shared" si="1795"/>
        <v>$ 0,00</v>
      </c>
      <c r="I2796" t="str">
        <f t="shared" si="1820"/>
        <v>SENSOR RPM</v>
      </c>
      <c r="J2796" t="str">
        <f t="shared" si="1796"/>
        <v>1</v>
      </c>
      <c r="K2796" t="str">
        <f t="shared" si="1821"/>
        <v>1</v>
      </c>
      <c r="L2796" t="str">
        <f>"0,000"</f>
        <v>0,000</v>
      </c>
      <c r="M2796" t="str">
        <f t="shared" si="1797"/>
        <v xml:space="preserve"> </v>
      </c>
      <c r="N2796" t="str">
        <f t="shared" si="1822"/>
        <v>FISPA</v>
      </c>
      <c r="O2796" t="str">
        <f t="shared" si="1819"/>
        <v>SENSORES</v>
      </c>
      <c r="P2796" t="str">
        <f t="shared" si="1817"/>
        <v>0</v>
      </c>
      <c r="Q2796" t="str">
        <f t="shared" si="1817"/>
        <v>0</v>
      </c>
      <c r="R2796" t="str">
        <f t="shared" si="1818"/>
        <v>0,00</v>
      </c>
      <c r="S2796" t="str">
        <f t="shared" si="1818"/>
        <v>0,00</v>
      </c>
      <c r="T2796" t="str">
        <f t="shared" si="1792"/>
        <v xml:space="preserve"> </v>
      </c>
      <c r="U2796" t="str">
        <f t="shared" si="1794"/>
        <v xml:space="preserve"> </v>
      </c>
      <c r="V2796" t="str">
        <f>"0,000"</f>
        <v>0,000</v>
      </c>
      <c r="W2796" t="str">
        <f t="shared" si="1798"/>
        <v>Lista 4</v>
      </c>
      <c r="X2796" t="str">
        <f t="shared" si="1799"/>
        <v>Lista 5</v>
      </c>
      <c r="Y2796" t="str">
        <f t="shared" si="1800"/>
        <v>Oferta Gral.</v>
      </c>
      <c r="Z2796" t="str">
        <f t="shared" si="1801"/>
        <v>Rubro</v>
      </c>
      <c r="AA2796" t="str">
        <f t="shared" si="1802"/>
        <v>Cantidad por Bulto</v>
      </c>
      <c r="AB2796" t="str">
        <f t="shared" si="1803"/>
        <v>INNER</v>
      </c>
      <c r="AC2796" t="str">
        <f t="shared" si="1804"/>
        <v>Stock en Bultos</v>
      </c>
      <c r="AD2796" t="str">
        <f t="shared" si="1805"/>
        <v>SubDepósito</v>
      </c>
      <c r="AE2796" t="str">
        <f t="shared" si="1806"/>
        <v>Marca</v>
      </c>
      <c r="AF2796" t="str">
        <f t="shared" si="1807"/>
        <v>Super Rubro</v>
      </c>
      <c r="AG2796" t="str">
        <f t="shared" si="1808"/>
        <v>ComercioExterior</v>
      </c>
      <c r="AH2796" t="str">
        <f t="shared" si="1809"/>
        <v>PrecioFOB</v>
      </c>
      <c r="AI2796" t="str">
        <f t="shared" si="1810"/>
        <v>Monto II</v>
      </c>
      <c r="AJ2796" t="str">
        <f t="shared" si="1811"/>
        <v>Porcentaje II</v>
      </c>
      <c r="AK2796" t="str">
        <f t="shared" si="1812"/>
        <v>Foto</v>
      </c>
      <c r="AL2796" t="str">
        <f>" "</f>
        <v xml:space="preserve"> </v>
      </c>
      <c r="AM2796" t="str">
        <f t="shared" si="1823"/>
        <v>-</v>
      </c>
    </row>
    <row r="2797" spans="1:39" x14ac:dyDescent="0.25">
      <c r="A2797" t="str">
        <f>"FI30045"</f>
        <v>FI30045</v>
      </c>
      <c r="B2797" t="str">
        <f>"SENSOR RPM ALFA ROMEO: 33 - 164 FIAT: DUCATO 10-14-18 2.5/2.8 TD - FIORINO - REGATA - UNO"</f>
        <v>SENSOR RPM ALFA ROMEO: 33 - 164 FIAT: DUCATO 10-14-18 2.5/2.8 TD - FIORINO - REGATA - UNO</v>
      </c>
      <c r="C2797" t="str">
        <f>"$ 19224,15"</f>
        <v>$ 19224,15</v>
      </c>
      <c r="D2797" t="str">
        <f>"$ 19224,15"</f>
        <v>$ 19224,15</v>
      </c>
      <c r="E2797" t="str">
        <f>"$ 19224,15"</f>
        <v>$ 19224,15</v>
      </c>
      <c r="F2797" t="str">
        <f>"$ 19224,15"</f>
        <v>$ 19224,15</v>
      </c>
      <c r="G2797" t="str">
        <f>"$ 19224,15"</f>
        <v>$ 19224,15</v>
      </c>
      <c r="H2797" t="str">
        <f t="shared" si="1795"/>
        <v>$ 0,00</v>
      </c>
      <c r="I2797" t="str">
        <f t="shared" si="1820"/>
        <v>SENSOR RPM</v>
      </c>
      <c r="J2797" t="str">
        <f t="shared" si="1796"/>
        <v>1</v>
      </c>
      <c r="K2797" t="str">
        <f t="shared" si="1821"/>
        <v>1</v>
      </c>
      <c r="L2797" t="str">
        <f>"0,000"</f>
        <v>0,000</v>
      </c>
      <c r="M2797" t="str">
        <f t="shared" si="1797"/>
        <v xml:space="preserve"> </v>
      </c>
      <c r="N2797" t="str">
        <f t="shared" si="1822"/>
        <v>FISPA</v>
      </c>
      <c r="O2797" t="str">
        <f t="shared" si="1819"/>
        <v>SENSORES</v>
      </c>
      <c r="P2797" t="str">
        <f t="shared" si="1817"/>
        <v>0</v>
      </c>
      <c r="Q2797" t="str">
        <f t="shared" si="1817"/>
        <v>0</v>
      </c>
      <c r="R2797" t="str">
        <f t="shared" si="1818"/>
        <v>0,00</v>
      </c>
      <c r="S2797" t="str">
        <f t="shared" si="1818"/>
        <v>0,00</v>
      </c>
      <c r="T2797" t="str">
        <f t="shared" si="1792"/>
        <v xml:space="preserve"> </v>
      </c>
      <c r="U2797" t="str">
        <f t="shared" si="1794"/>
        <v xml:space="preserve"> </v>
      </c>
      <c r="V2797" t="str">
        <f>"0,000"</f>
        <v>0,000</v>
      </c>
      <c r="W2797" t="str">
        <f t="shared" si="1798"/>
        <v>Lista 4</v>
      </c>
      <c r="X2797" t="str">
        <f t="shared" si="1799"/>
        <v>Lista 5</v>
      </c>
      <c r="Y2797" t="str">
        <f t="shared" si="1800"/>
        <v>Oferta Gral.</v>
      </c>
      <c r="Z2797" t="str">
        <f t="shared" si="1801"/>
        <v>Rubro</v>
      </c>
      <c r="AA2797" t="str">
        <f t="shared" si="1802"/>
        <v>Cantidad por Bulto</v>
      </c>
      <c r="AB2797" t="str">
        <f t="shared" si="1803"/>
        <v>INNER</v>
      </c>
      <c r="AC2797" t="str">
        <f t="shared" si="1804"/>
        <v>Stock en Bultos</v>
      </c>
      <c r="AD2797" t="str">
        <f t="shared" si="1805"/>
        <v>SubDepósito</v>
      </c>
      <c r="AE2797" t="str">
        <f t="shared" si="1806"/>
        <v>Marca</v>
      </c>
      <c r="AF2797" t="str">
        <f t="shared" si="1807"/>
        <v>Super Rubro</v>
      </c>
      <c r="AG2797" t="str">
        <f t="shared" si="1808"/>
        <v>ComercioExterior</v>
      </c>
      <c r="AH2797" t="str">
        <f t="shared" si="1809"/>
        <v>PrecioFOB</v>
      </c>
      <c r="AI2797" t="str">
        <f t="shared" si="1810"/>
        <v>Monto II</v>
      </c>
      <c r="AJ2797" t="str">
        <f t="shared" si="1811"/>
        <v>Porcentaje II</v>
      </c>
      <c r="AK2797" t="str">
        <f t="shared" si="1812"/>
        <v>Foto</v>
      </c>
      <c r="AL2797" t="str">
        <f>" "</f>
        <v xml:space="preserve"> </v>
      </c>
      <c r="AM2797" t="str">
        <f t="shared" si="1823"/>
        <v>-</v>
      </c>
    </row>
    <row r="2798" spans="1:39" x14ac:dyDescent="0.25">
      <c r="A2798" t="str">
        <f>"FI30143"</f>
        <v>FI30143</v>
      </c>
      <c r="B2798" t="str">
        <f>"SENSOR RPM ASTRA 1.6 16V - CORSA 1.4 - MERIVA 1.6 16V - VECTRA B 1.6 16V - "</f>
        <v xml:space="preserve">SENSOR RPM ASTRA 1.6 16V - CORSA 1.4 - MERIVA 1.6 16V - VECTRA B 1.6 16V - </v>
      </c>
      <c r="C2798" t="str">
        <f>"$ 38423,89"</f>
        <v>$ 38423,89</v>
      </c>
      <c r="D2798" t="str">
        <f>"$ 38423,89"</f>
        <v>$ 38423,89</v>
      </c>
      <c r="E2798" t="str">
        <f>"$ 38423,89"</f>
        <v>$ 38423,89</v>
      </c>
      <c r="F2798" t="str">
        <f>"$ 38423,89"</f>
        <v>$ 38423,89</v>
      </c>
      <c r="G2798" t="str">
        <f>"$ 38423,89"</f>
        <v>$ 38423,89</v>
      </c>
      <c r="H2798" t="str">
        <f t="shared" si="1795"/>
        <v>$ 0,00</v>
      </c>
      <c r="I2798" t="str">
        <f t="shared" si="1820"/>
        <v>SENSOR RPM</v>
      </c>
      <c r="J2798" t="str">
        <f t="shared" si="1796"/>
        <v>1</v>
      </c>
      <c r="K2798" t="str">
        <f t="shared" si="1821"/>
        <v>1</v>
      </c>
      <c r="L2798" t="str">
        <f>"0,000"</f>
        <v>0,000</v>
      </c>
      <c r="M2798" t="str">
        <f t="shared" si="1797"/>
        <v xml:space="preserve"> </v>
      </c>
      <c r="N2798" t="str">
        <f t="shared" si="1822"/>
        <v>FISPA</v>
      </c>
      <c r="O2798" t="str">
        <f t="shared" si="1819"/>
        <v>SENSORES</v>
      </c>
      <c r="P2798" t="str">
        <f t="shared" si="1817"/>
        <v>0</v>
      </c>
      <c r="Q2798" t="str">
        <f t="shared" si="1817"/>
        <v>0</v>
      </c>
      <c r="R2798" t="str">
        <f t="shared" si="1818"/>
        <v>0,00</v>
      </c>
      <c r="S2798" t="str">
        <f t="shared" si="1818"/>
        <v>0,00</v>
      </c>
      <c r="T2798" t="str">
        <f t="shared" si="1792"/>
        <v xml:space="preserve"> </v>
      </c>
      <c r="U2798" t="str">
        <f t="shared" si="1794"/>
        <v xml:space="preserve"> </v>
      </c>
      <c r="V2798" t="str">
        <f>"0,000"</f>
        <v>0,000</v>
      </c>
      <c r="W2798" t="str">
        <f t="shared" si="1798"/>
        <v>Lista 4</v>
      </c>
      <c r="X2798" t="str">
        <f t="shared" si="1799"/>
        <v>Lista 5</v>
      </c>
      <c r="Y2798" t="str">
        <f t="shared" si="1800"/>
        <v>Oferta Gral.</v>
      </c>
      <c r="Z2798" t="str">
        <f t="shared" si="1801"/>
        <v>Rubro</v>
      </c>
      <c r="AA2798" t="str">
        <f t="shared" si="1802"/>
        <v>Cantidad por Bulto</v>
      </c>
      <c r="AB2798" t="str">
        <f t="shared" si="1803"/>
        <v>INNER</v>
      </c>
      <c r="AC2798" t="str">
        <f t="shared" si="1804"/>
        <v>Stock en Bultos</v>
      </c>
      <c r="AD2798" t="str">
        <f t="shared" si="1805"/>
        <v>SubDepósito</v>
      </c>
      <c r="AE2798" t="str">
        <f t="shared" si="1806"/>
        <v>Marca</v>
      </c>
      <c r="AF2798" t="str">
        <f t="shared" si="1807"/>
        <v>Super Rubro</v>
      </c>
      <c r="AG2798" t="str">
        <f t="shared" si="1808"/>
        <v>ComercioExterior</v>
      </c>
      <c r="AH2798" t="str">
        <f t="shared" si="1809"/>
        <v>PrecioFOB</v>
      </c>
      <c r="AI2798" t="str">
        <f t="shared" si="1810"/>
        <v>Monto II</v>
      </c>
      <c r="AJ2798" t="str">
        <f t="shared" si="1811"/>
        <v>Porcentaje II</v>
      </c>
      <c r="AK2798" t="str">
        <f t="shared" si="1812"/>
        <v>Foto</v>
      </c>
      <c r="AL279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98" t="str">
        <f t="shared" si="1823"/>
        <v>-</v>
      </c>
    </row>
    <row r="2799" spans="1:39" x14ac:dyDescent="0.25">
      <c r="A2799" t="str">
        <f>"FI30078"</f>
        <v>FI30078</v>
      </c>
      <c r="B2799" t="str">
        <f>"SENSOR RPM AUDI A - SEAT ALTEA - VW TOURAN - VW FOX 1.6 2003&gt;"</f>
        <v>SENSOR RPM AUDI A - SEAT ALTEA - VW TOURAN - VW FOX 1.6 2003&gt;</v>
      </c>
      <c r="C2799" t="str">
        <f>"$ 42289,47"</f>
        <v>$ 42289,47</v>
      </c>
      <c r="D2799" t="str">
        <f>"$ 42289,47"</f>
        <v>$ 42289,47</v>
      </c>
      <c r="E2799" t="str">
        <f>"$ 42289,47"</f>
        <v>$ 42289,47</v>
      </c>
      <c r="F2799" t="str">
        <f>"$ 42289,47"</f>
        <v>$ 42289,47</v>
      </c>
      <c r="G2799" t="str">
        <f>"$ 42289,47"</f>
        <v>$ 42289,47</v>
      </c>
      <c r="H2799" t="str">
        <f t="shared" si="1795"/>
        <v>$ 0,00</v>
      </c>
      <c r="I2799" t="str">
        <f t="shared" si="1820"/>
        <v>SENSOR RPM</v>
      </c>
      <c r="J2799" t="str">
        <f t="shared" si="1796"/>
        <v>1</v>
      </c>
      <c r="K2799" t="str">
        <f>"0"</f>
        <v>0</v>
      </c>
      <c r="L2799" t="str">
        <f>"6,000"</f>
        <v>6,000</v>
      </c>
      <c r="M2799" t="str">
        <f t="shared" si="1797"/>
        <v xml:space="preserve"> </v>
      </c>
      <c r="N2799" t="str">
        <f t="shared" si="1822"/>
        <v>FISPA</v>
      </c>
      <c r="O2799" t="str">
        <f t="shared" si="1819"/>
        <v>SENSORES</v>
      </c>
      <c r="P2799" t="str">
        <f t="shared" si="1817"/>
        <v>0</v>
      </c>
      <c r="Q2799" t="str">
        <f t="shared" si="1817"/>
        <v>0</v>
      </c>
      <c r="R2799" t="str">
        <f t="shared" si="1818"/>
        <v>0,00</v>
      </c>
      <c r="S2799" t="str">
        <f t="shared" si="1818"/>
        <v>0,00</v>
      </c>
      <c r="T2799" t="str">
        <f t="shared" si="1792"/>
        <v xml:space="preserve"> </v>
      </c>
      <c r="U2799" t="str">
        <f t="shared" si="1794"/>
        <v xml:space="preserve"> </v>
      </c>
      <c r="V2799" t="str">
        <f>"6,000"</f>
        <v>6,000</v>
      </c>
      <c r="W2799" t="str">
        <f t="shared" si="1798"/>
        <v>Lista 4</v>
      </c>
      <c r="X2799" t="str">
        <f t="shared" si="1799"/>
        <v>Lista 5</v>
      </c>
      <c r="Y2799" t="str">
        <f t="shared" si="1800"/>
        <v>Oferta Gral.</v>
      </c>
      <c r="Z2799" t="str">
        <f t="shared" si="1801"/>
        <v>Rubro</v>
      </c>
      <c r="AA2799" t="str">
        <f t="shared" si="1802"/>
        <v>Cantidad por Bulto</v>
      </c>
      <c r="AB2799" t="str">
        <f t="shared" si="1803"/>
        <v>INNER</v>
      </c>
      <c r="AC2799" t="str">
        <f t="shared" si="1804"/>
        <v>Stock en Bultos</v>
      </c>
      <c r="AD2799" t="str">
        <f t="shared" si="1805"/>
        <v>SubDepósito</v>
      </c>
      <c r="AE2799" t="str">
        <f t="shared" si="1806"/>
        <v>Marca</v>
      </c>
      <c r="AF2799" t="str">
        <f t="shared" si="1807"/>
        <v>Super Rubro</v>
      </c>
      <c r="AG2799" t="str">
        <f t="shared" si="1808"/>
        <v>ComercioExterior</v>
      </c>
      <c r="AH2799" t="str">
        <f t="shared" si="1809"/>
        <v>PrecioFOB</v>
      </c>
      <c r="AI2799" t="str">
        <f t="shared" si="1810"/>
        <v>Monto II</v>
      </c>
      <c r="AJ2799" t="str">
        <f t="shared" si="1811"/>
        <v>Porcentaje II</v>
      </c>
      <c r="AK2799" t="str">
        <f t="shared" si="1812"/>
        <v>Foto</v>
      </c>
      <c r="AL279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9" t="str">
        <f t="shared" si="1823"/>
        <v>-</v>
      </c>
    </row>
    <row r="2800" spans="1:39" x14ac:dyDescent="0.25">
      <c r="A2800" t="str">
        <f>"FI30071"</f>
        <v>FI30071</v>
      </c>
      <c r="B2800" t="str">
        <f>"SENSOR RPM AUDI A2 1.4 TDI - A3 1.9 TDI VW BORA 1.9 TD V 1.9"</f>
        <v>SENSOR RPM AUDI A2 1.4 TDI - A3 1.9 TDI VW BORA 1.9 TD V 1.9</v>
      </c>
      <c r="C2800" t="str">
        <f>"$ 36379,41"</f>
        <v>$ 36379,41</v>
      </c>
      <c r="D2800" t="str">
        <f>"$ 36379,41"</f>
        <v>$ 36379,41</v>
      </c>
      <c r="E2800" t="str">
        <f>"$ 36379,41"</f>
        <v>$ 36379,41</v>
      </c>
      <c r="F2800" t="str">
        <f>"$ 36379,41"</f>
        <v>$ 36379,41</v>
      </c>
      <c r="G2800" t="str">
        <f>"$ 36379,41"</f>
        <v>$ 36379,41</v>
      </c>
      <c r="H2800" t="str">
        <f t="shared" si="1795"/>
        <v>$ 0,00</v>
      </c>
      <c r="I2800" t="str">
        <f t="shared" si="1820"/>
        <v>SENSOR RPM</v>
      </c>
      <c r="J2800" t="str">
        <f t="shared" si="1796"/>
        <v>1</v>
      </c>
      <c r="K2800" t="str">
        <f>"0"</f>
        <v>0</v>
      </c>
      <c r="L2800" t="str">
        <f>"1,000"</f>
        <v>1,000</v>
      </c>
      <c r="M2800" t="str">
        <f t="shared" si="1797"/>
        <v xml:space="preserve"> </v>
      </c>
      <c r="N2800" t="str">
        <f t="shared" si="1822"/>
        <v>FISPA</v>
      </c>
      <c r="O2800" t="str">
        <f t="shared" si="1819"/>
        <v>SENSORES</v>
      </c>
      <c r="P2800" t="str">
        <f t="shared" si="1817"/>
        <v>0</v>
      </c>
      <c r="Q2800" t="str">
        <f t="shared" si="1817"/>
        <v>0</v>
      </c>
      <c r="R2800" t="str">
        <f t="shared" si="1818"/>
        <v>0,00</v>
      </c>
      <c r="S2800" t="str">
        <f t="shared" si="1818"/>
        <v>0,00</v>
      </c>
      <c r="T2800" t="str">
        <f t="shared" si="1792"/>
        <v xml:space="preserve"> </v>
      </c>
      <c r="U2800" t="str">
        <f t="shared" si="1794"/>
        <v xml:space="preserve"> </v>
      </c>
      <c r="V2800" t="str">
        <f>"1,000"</f>
        <v>1,000</v>
      </c>
      <c r="W2800" t="str">
        <f t="shared" si="1798"/>
        <v>Lista 4</v>
      </c>
      <c r="X2800" t="str">
        <f t="shared" si="1799"/>
        <v>Lista 5</v>
      </c>
      <c r="Y2800" t="str">
        <f t="shared" si="1800"/>
        <v>Oferta Gral.</v>
      </c>
      <c r="Z2800" t="str">
        <f t="shared" si="1801"/>
        <v>Rubro</v>
      </c>
      <c r="AA2800" t="str">
        <f t="shared" si="1802"/>
        <v>Cantidad por Bulto</v>
      </c>
      <c r="AB2800" t="str">
        <f t="shared" si="1803"/>
        <v>INNER</v>
      </c>
      <c r="AC2800" t="str">
        <f t="shared" si="1804"/>
        <v>Stock en Bultos</v>
      </c>
      <c r="AD2800" t="str">
        <f t="shared" si="1805"/>
        <v>SubDepósito</v>
      </c>
      <c r="AE2800" t="str">
        <f t="shared" si="1806"/>
        <v>Marca</v>
      </c>
      <c r="AF2800" t="str">
        <f t="shared" si="1807"/>
        <v>Super Rubro</v>
      </c>
      <c r="AG2800" t="str">
        <f t="shared" si="1808"/>
        <v>ComercioExterior</v>
      </c>
      <c r="AH2800" t="str">
        <f t="shared" si="1809"/>
        <v>PrecioFOB</v>
      </c>
      <c r="AI2800" t="str">
        <f t="shared" si="1810"/>
        <v>Monto II</v>
      </c>
      <c r="AJ2800" t="str">
        <f t="shared" si="1811"/>
        <v>Porcentaje II</v>
      </c>
      <c r="AK2800" t="str">
        <f t="shared" si="1812"/>
        <v>Foto</v>
      </c>
      <c r="AL2800" t="str">
        <f>"{\rtf1\ansi\ansicpg1252\deff0\deflang11274{\fonttbl{\f0\fnil\fcharset0 MS Sans Serif}} \viewkind4\uc1\pard\f0\fs16 SENSOR RPM AUDI A2 1.4 TDI - A3 1.9 TDI VW BORA 1.9 TD V 1.9\par } "</f>
        <v xml:space="preserve">{\rtf1\ansi\ansicpg1252\deff0\deflang11274{\fonttbl{\f0\fnil\fcharset0 MS Sans Serif}} \viewkind4\uc1\pard\f0\fs16 SENSOR RPM AUDI A2 1.4 TDI - A3 1.9 TDI VW BORA 1.9 TD V 1.9\par } </v>
      </c>
      <c r="AM2800" t="str">
        <f t="shared" si="1823"/>
        <v>-</v>
      </c>
    </row>
    <row r="2801" spans="1:39" x14ac:dyDescent="0.25">
      <c r="A2801" t="str">
        <f>"FI30131"</f>
        <v>FI30131</v>
      </c>
      <c r="B2801" t="str">
        <f>"SENSOR RPM AUDI A3 / A4 / VW BORA/GOLF/ PASSAT/SHARAN/ TOUREG SISTEMA HALL"</f>
        <v>SENSOR RPM AUDI A3 / A4 / VW BORA/GOLF/ PASSAT/SHARAN/ TOUREG SISTEMA HALL</v>
      </c>
      <c r="C2801" t="str">
        <f>"$ 21772,72"</f>
        <v>$ 21772,72</v>
      </c>
      <c r="D2801" t="str">
        <f>"$ 21772,72"</f>
        <v>$ 21772,72</v>
      </c>
      <c r="E2801" t="str">
        <f>"$ 21772,72"</f>
        <v>$ 21772,72</v>
      </c>
      <c r="F2801" t="str">
        <f>"$ 21772,72"</f>
        <v>$ 21772,72</v>
      </c>
      <c r="G2801" t="str">
        <f>"$ 21772,72"</f>
        <v>$ 21772,72</v>
      </c>
      <c r="H2801" t="str">
        <f t="shared" si="1795"/>
        <v>$ 0,00</v>
      </c>
      <c r="I2801" t="str">
        <f t="shared" si="1820"/>
        <v>SENSOR RPM</v>
      </c>
      <c r="J2801" t="str">
        <f t="shared" si="1796"/>
        <v>1</v>
      </c>
      <c r="K2801" t="str">
        <f t="shared" ref="K2801:K2809" si="1826">"1"</f>
        <v>1</v>
      </c>
      <c r="L2801" t="str">
        <f t="shared" ref="L2801:L2809" si="1827">"0,000"</f>
        <v>0,000</v>
      </c>
      <c r="M2801" t="str">
        <f t="shared" si="1797"/>
        <v xml:space="preserve"> </v>
      </c>
      <c r="N2801" t="str">
        <f t="shared" si="1822"/>
        <v>FISPA</v>
      </c>
      <c r="O2801" t="str">
        <f t="shared" si="1819"/>
        <v>SENSORES</v>
      </c>
      <c r="P2801" t="str">
        <f t="shared" si="1817"/>
        <v>0</v>
      </c>
      <c r="Q2801" t="str">
        <f t="shared" si="1817"/>
        <v>0</v>
      </c>
      <c r="R2801" t="str">
        <f t="shared" si="1818"/>
        <v>0,00</v>
      </c>
      <c r="S2801" t="str">
        <f t="shared" si="1818"/>
        <v>0,00</v>
      </c>
      <c r="T2801" t="str">
        <f t="shared" si="1792"/>
        <v xml:space="preserve"> </v>
      </c>
      <c r="U2801" t="str">
        <f t="shared" si="1794"/>
        <v xml:space="preserve"> </v>
      </c>
      <c r="V2801" t="str">
        <f t="shared" ref="V2801:V2809" si="1828">"0,000"</f>
        <v>0,000</v>
      </c>
      <c r="W2801" t="str">
        <f t="shared" si="1798"/>
        <v>Lista 4</v>
      </c>
      <c r="X2801" t="str">
        <f t="shared" si="1799"/>
        <v>Lista 5</v>
      </c>
      <c r="Y2801" t="str">
        <f t="shared" si="1800"/>
        <v>Oferta Gral.</v>
      </c>
      <c r="Z2801" t="str">
        <f t="shared" si="1801"/>
        <v>Rubro</v>
      </c>
      <c r="AA2801" t="str">
        <f t="shared" si="1802"/>
        <v>Cantidad por Bulto</v>
      </c>
      <c r="AB2801" t="str">
        <f t="shared" si="1803"/>
        <v>INNER</v>
      </c>
      <c r="AC2801" t="str">
        <f t="shared" si="1804"/>
        <v>Stock en Bultos</v>
      </c>
      <c r="AD2801" t="str">
        <f t="shared" si="1805"/>
        <v>SubDepósito</v>
      </c>
      <c r="AE2801" t="str">
        <f t="shared" si="1806"/>
        <v>Marca</v>
      </c>
      <c r="AF2801" t="str">
        <f t="shared" si="1807"/>
        <v>Super Rubro</v>
      </c>
      <c r="AG2801" t="str">
        <f t="shared" si="1808"/>
        <v>ComercioExterior</v>
      </c>
      <c r="AH2801" t="str">
        <f t="shared" si="1809"/>
        <v>PrecioFOB</v>
      </c>
      <c r="AI2801" t="str">
        <f t="shared" si="1810"/>
        <v>Monto II</v>
      </c>
      <c r="AJ2801" t="str">
        <f t="shared" si="1811"/>
        <v>Porcentaje II</v>
      </c>
      <c r="AK2801" t="str">
        <f t="shared" si="1812"/>
        <v>Foto</v>
      </c>
      <c r="AL280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01" t="str">
        <f t="shared" si="1823"/>
        <v>-</v>
      </c>
    </row>
    <row r="2802" spans="1:39" x14ac:dyDescent="0.25">
      <c r="A2802" t="str">
        <f>"FI30087"</f>
        <v>FI30087</v>
      </c>
      <c r="B2802" t="str">
        <f>"SENSOR RPM AUDI A3 / A4 1.6 - SEAT LEON 1.6 - VW GOLF IV &amp; VI 1.6 -  PASSAT 1.6 - VENTO V 1.6"</f>
        <v>SENSOR RPM AUDI A3 / A4 1.6 - SEAT LEON 1.6 - VW GOLF IV &amp; VI 1.6 -  PASSAT 1.6 - VENTO V 1.6</v>
      </c>
      <c r="C2802" t="str">
        <f>"$ 25140,30"</f>
        <v>$ 25140,30</v>
      </c>
      <c r="D2802" t="str">
        <f>"$ 25140,30"</f>
        <v>$ 25140,30</v>
      </c>
      <c r="E2802" t="str">
        <f>"$ 25140,30"</f>
        <v>$ 25140,30</v>
      </c>
      <c r="F2802" t="str">
        <f>"$ 25140,30"</f>
        <v>$ 25140,30</v>
      </c>
      <c r="G2802" t="str">
        <f>"$ 25140,30"</f>
        <v>$ 25140,30</v>
      </c>
      <c r="H2802" t="str">
        <f t="shared" si="1795"/>
        <v>$ 0,00</v>
      </c>
      <c r="I2802" t="str">
        <f t="shared" si="1820"/>
        <v>SENSOR RPM</v>
      </c>
      <c r="J2802" t="str">
        <f t="shared" si="1796"/>
        <v>1</v>
      </c>
      <c r="K2802" t="str">
        <f t="shared" si="1826"/>
        <v>1</v>
      </c>
      <c r="L2802" t="str">
        <f t="shared" si="1827"/>
        <v>0,000</v>
      </c>
      <c r="M2802" t="str">
        <f t="shared" si="1797"/>
        <v xml:space="preserve"> </v>
      </c>
      <c r="N2802" t="str">
        <f t="shared" si="1822"/>
        <v>FISPA</v>
      </c>
      <c r="O2802" t="str">
        <f t="shared" si="1819"/>
        <v>SENSORES</v>
      </c>
      <c r="P2802" t="str">
        <f t="shared" si="1817"/>
        <v>0</v>
      </c>
      <c r="Q2802" t="str">
        <f t="shared" si="1817"/>
        <v>0</v>
      </c>
      <c r="R2802" t="str">
        <f t="shared" si="1818"/>
        <v>0,00</v>
      </c>
      <c r="S2802" t="str">
        <f t="shared" si="1818"/>
        <v>0,00</v>
      </c>
      <c r="T2802" t="str">
        <f t="shared" si="1792"/>
        <v xml:space="preserve"> </v>
      </c>
      <c r="U2802" t="str">
        <f t="shared" si="1794"/>
        <v xml:space="preserve"> </v>
      </c>
      <c r="V2802" t="str">
        <f t="shared" si="1828"/>
        <v>0,000</v>
      </c>
      <c r="W2802" t="str">
        <f t="shared" si="1798"/>
        <v>Lista 4</v>
      </c>
      <c r="X2802" t="str">
        <f t="shared" si="1799"/>
        <v>Lista 5</v>
      </c>
      <c r="Y2802" t="str">
        <f t="shared" si="1800"/>
        <v>Oferta Gral.</v>
      </c>
      <c r="Z2802" t="str">
        <f t="shared" si="1801"/>
        <v>Rubro</v>
      </c>
      <c r="AA2802" t="str">
        <f t="shared" si="1802"/>
        <v>Cantidad por Bulto</v>
      </c>
      <c r="AB2802" t="str">
        <f t="shared" si="1803"/>
        <v>INNER</v>
      </c>
      <c r="AC2802" t="str">
        <f t="shared" si="1804"/>
        <v>Stock en Bultos</v>
      </c>
      <c r="AD2802" t="str">
        <f t="shared" si="1805"/>
        <v>SubDepósito</v>
      </c>
      <c r="AE2802" t="str">
        <f t="shared" si="1806"/>
        <v>Marca</v>
      </c>
      <c r="AF2802" t="str">
        <f t="shared" si="1807"/>
        <v>Super Rubro</v>
      </c>
      <c r="AG2802" t="str">
        <f t="shared" si="1808"/>
        <v>ComercioExterior</v>
      </c>
      <c r="AH2802" t="str">
        <f t="shared" si="1809"/>
        <v>PrecioFOB</v>
      </c>
      <c r="AI2802" t="str">
        <f t="shared" si="1810"/>
        <v>Monto II</v>
      </c>
      <c r="AJ2802" t="str">
        <f t="shared" si="1811"/>
        <v>Porcentaje II</v>
      </c>
      <c r="AK2802" t="str">
        <f t="shared" si="1812"/>
        <v>Foto</v>
      </c>
      <c r="AL2802" t="str">
        <f>" "</f>
        <v xml:space="preserve"> </v>
      </c>
      <c r="AM2802" t="str">
        <f t="shared" si="1823"/>
        <v>-</v>
      </c>
    </row>
    <row r="2803" spans="1:39" x14ac:dyDescent="0.25">
      <c r="A2803" t="str">
        <f>"FI30040"</f>
        <v>FI30040</v>
      </c>
      <c r="B2803" t="str">
        <f>"SENSOR RPM AUDI A3 1.8 99/., A4 1.6, 2.4, 2.8 96/., A6 1.8, 2.4 97/  VW BORA/GOLF A4  1.6I, 2.0I 99/. 1.8I"</f>
        <v>SENSOR RPM AUDI A3 1.8 99/., A4 1.6, 2.4, 2.8 96/., A6 1.8, 2.4 97/  VW BORA/GOLF A4  1.6I, 2.0I 99/. 1.8I</v>
      </c>
      <c r="C2803" t="str">
        <f>"$ 18428,33"</f>
        <v>$ 18428,33</v>
      </c>
      <c r="D2803" t="str">
        <f>"$ 18428,33"</f>
        <v>$ 18428,33</v>
      </c>
      <c r="E2803" t="str">
        <f>"$ 18428,33"</f>
        <v>$ 18428,33</v>
      </c>
      <c r="F2803" t="str">
        <f>"$ 18428,33"</f>
        <v>$ 18428,33</v>
      </c>
      <c r="G2803" t="str">
        <f>"$ 18428,33"</f>
        <v>$ 18428,33</v>
      </c>
      <c r="H2803" t="str">
        <f t="shared" si="1795"/>
        <v>$ 0,00</v>
      </c>
      <c r="I2803" t="str">
        <f t="shared" si="1820"/>
        <v>SENSOR RPM</v>
      </c>
      <c r="J2803" t="str">
        <f t="shared" si="1796"/>
        <v>1</v>
      </c>
      <c r="K2803" t="str">
        <f t="shared" si="1826"/>
        <v>1</v>
      </c>
      <c r="L2803" t="str">
        <f t="shared" si="1827"/>
        <v>0,000</v>
      </c>
      <c r="M2803" t="str">
        <f t="shared" si="1797"/>
        <v xml:space="preserve"> </v>
      </c>
      <c r="N2803" t="str">
        <f t="shared" si="1822"/>
        <v>FISPA</v>
      </c>
      <c r="O2803" t="str">
        <f t="shared" si="1819"/>
        <v>SENSORES</v>
      </c>
      <c r="P2803" t="str">
        <f t="shared" ref="P2803:Q2822" si="1829">"0"</f>
        <v>0</v>
      </c>
      <c r="Q2803" t="str">
        <f t="shared" si="1829"/>
        <v>0</v>
      </c>
      <c r="R2803" t="str">
        <f t="shared" ref="R2803:S2822" si="1830">"0,00"</f>
        <v>0,00</v>
      </c>
      <c r="S2803" t="str">
        <f t="shared" si="1830"/>
        <v>0,00</v>
      </c>
      <c r="T2803" t="str">
        <f t="shared" si="1792"/>
        <v xml:space="preserve"> </v>
      </c>
      <c r="U2803" t="str">
        <f t="shared" si="1794"/>
        <v xml:space="preserve"> </v>
      </c>
      <c r="V2803" t="str">
        <f t="shared" si="1828"/>
        <v>0,000</v>
      </c>
      <c r="W2803" t="str">
        <f t="shared" si="1798"/>
        <v>Lista 4</v>
      </c>
      <c r="X2803" t="str">
        <f t="shared" si="1799"/>
        <v>Lista 5</v>
      </c>
      <c r="Y2803" t="str">
        <f t="shared" si="1800"/>
        <v>Oferta Gral.</v>
      </c>
      <c r="Z2803" t="str">
        <f t="shared" si="1801"/>
        <v>Rubro</v>
      </c>
      <c r="AA2803" t="str">
        <f t="shared" si="1802"/>
        <v>Cantidad por Bulto</v>
      </c>
      <c r="AB2803" t="str">
        <f t="shared" si="1803"/>
        <v>INNER</v>
      </c>
      <c r="AC2803" t="str">
        <f t="shared" si="1804"/>
        <v>Stock en Bultos</v>
      </c>
      <c r="AD2803" t="str">
        <f t="shared" si="1805"/>
        <v>SubDepósito</v>
      </c>
      <c r="AE2803" t="str">
        <f t="shared" si="1806"/>
        <v>Marca</v>
      </c>
      <c r="AF2803" t="str">
        <f t="shared" si="1807"/>
        <v>Super Rubro</v>
      </c>
      <c r="AG2803" t="str">
        <f t="shared" si="1808"/>
        <v>ComercioExterior</v>
      </c>
      <c r="AH2803" t="str">
        <f t="shared" si="1809"/>
        <v>PrecioFOB</v>
      </c>
      <c r="AI2803" t="str">
        <f t="shared" si="1810"/>
        <v>Monto II</v>
      </c>
      <c r="AJ2803" t="str">
        <f t="shared" si="1811"/>
        <v>Porcentaje II</v>
      </c>
      <c r="AK2803" t="str">
        <f t="shared" si="1812"/>
        <v>Foto</v>
      </c>
      <c r="AL280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03" t="str">
        <f t="shared" si="1823"/>
        <v>-</v>
      </c>
    </row>
    <row r="2804" spans="1:39" x14ac:dyDescent="0.25">
      <c r="A2804" t="str">
        <f>"FI30057"</f>
        <v>FI30057</v>
      </c>
      <c r="B2804" t="str">
        <f>"SENSOR RPM AUDI A3 1.8TDI  VW BORA 1.6/1.8/T/1.9TDI/2.0 GOLF IV 1.8/T/1.9 TDI2.0/2.3 V5"</f>
        <v>SENSOR RPM AUDI A3 1.8TDI  VW BORA 1.6/1.8/T/1.9TDI/2.0 GOLF IV 1.8/T/1.9 TDI2.0/2.3 V5</v>
      </c>
      <c r="C2804" t="str">
        <f t="shared" ref="C2804:G2805" si="1831">"$ 20494,77"</f>
        <v>$ 20494,77</v>
      </c>
      <c r="D2804" t="str">
        <f t="shared" si="1831"/>
        <v>$ 20494,77</v>
      </c>
      <c r="E2804" t="str">
        <f t="shared" si="1831"/>
        <v>$ 20494,77</v>
      </c>
      <c r="F2804" t="str">
        <f t="shared" si="1831"/>
        <v>$ 20494,77</v>
      </c>
      <c r="G2804" t="str">
        <f t="shared" si="1831"/>
        <v>$ 20494,77</v>
      </c>
      <c r="H2804" t="str">
        <f t="shared" si="1795"/>
        <v>$ 0,00</v>
      </c>
      <c r="I2804" t="str">
        <f t="shared" si="1820"/>
        <v>SENSOR RPM</v>
      </c>
      <c r="J2804" t="str">
        <f t="shared" si="1796"/>
        <v>1</v>
      </c>
      <c r="K2804" t="str">
        <f t="shared" si="1826"/>
        <v>1</v>
      </c>
      <c r="L2804" t="str">
        <f t="shared" si="1827"/>
        <v>0,000</v>
      </c>
      <c r="M2804" t="str">
        <f t="shared" si="1797"/>
        <v xml:space="preserve"> </v>
      </c>
      <c r="N2804" t="str">
        <f t="shared" si="1822"/>
        <v>FISPA</v>
      </c>
      <c r="O2804" t="str">
        <f t="shared" si="1819"/>
        <v>SENSORES</v>
      </c>
      <c r="P2804" t="str">
        <f t="shared" si="1829"/>
        <v>0</v>
      </c>
      <c r="Q2804" t="str">
        <f t="shared" si="1829"/>
        <v>0</v>
      </c>
      <c r="R2804" t="str">
        <f t="shared" si="1830"/>
        <v>0,00</v>
      </c>
      <c r="S2804" t="str">
        <f t="shared" si="1830"/>
        <v>0,00</v>
      </c>
      <c r="T2804" t="str">
        <f t="shared" si="1792"/>
        <v xml:space="preserve"> </v>
      </c>
      <c r="U2804" t="str">
        <f t="shared" si="1794"/>
        <v xml:space="preserve"> </v>
      </c>
      <c r="V2804" t="str">
        <f t="shared" si="1828"/>
        <v>0,000</v>
      </c>
      <c r="W2804" t="str">
        <f t="shared" si="1798"/>
        <v>Lista 4</v>
      </c>
      <c r="X2804" t="str">
        <f t="shared" si="1799"/>
        <v>Lista 5</v>
      </c>
      <c r="Y2804" t="str">
        <f t="shared" si="1800"/>
        <v>Oferta Gral.</v>
      </c>
      <c r="Z2804" t="str">
        <f t="shared" si="1801"/>
        <v>Rubro</v>
      </c>
      <c r="AA2804" t="str">
        <f t="shared" si="1802"/>
        <v>Cantidad por Bulto</v>
      </c>
      <c r="AB2804" t="str">
        <f t="shared" si="1803"/>
        <v>INNER</v>
      </c>
      <c r="AC2804" t="str">
        <f t="shared" si="1804"/>
        <v>Stock en Bultos</v>
      </c>
      <c r="AD2804" t="str">
        <f t="shared" si="1805"/>
        <v>SubDepósito</v>
      </c>
      <c r="AE2804" t="str">
        <f t="shared" si="1806"/>
        <v>Marca</v>
      </c>
      <c r="AF2804" t="str">
        <f t="shared" si="1807"/>
        <v>Super Rubro</v>
      </c>
      <c r="AG2804" t="str">
        <f t="shared" si="1808"/>
        <v>ComercioExterior</v>
      </c>
      <c r="AH2804" t="str">
        <f t="shared" si="1809"/>
        <v>PrecioFOB</v>
      </c>
      <c r="AI2804" t="str">
        <f t="shared" si="1810"/>
        <v>Monto II</v>
      </c>
      <c r="AJ2804" t="str">
        <f t="shared" si="1811"/>
        <v>Porcentaje II</v>
      </c>
      <c r="AK2804" t="str">
        <f t="shared" si="1812"/>
        <v>Foto</v>
      </c>
      <c r="AL280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04" t="str">
        <f t="shared" si="1823"/>
        <v>-</v>
      </c>
    </row>
    <row r="2805" spans="1:39" x14ac:dyDescent="0.25">
      <c r="A2805" t="str">
        <f>"FI30066"</f>
        <v>FI30066</v>
      </c>
      <c r="B2805" t="str">
        <f>"SENSOR RPM AUDI A3 1.9 TDI  VW BORA 1.9 SDI/TDI/ CADDY II 1.9 SDI/TDI/ "</f>
        <v xml:space="preserve">SENSOR RPM AUDI A3 1.9 TDI  VW BORA 1.9 SDI/TDI/ CADDY II 1.9 SDI/TDI/ </v>
      </c>
      <c r="C2805" t="str">
        <f t="shared" si="1831"/>
        <v>$ 20494,77</v>
      </c>
      <c r="D2805" t="str">
        <f t="shared" si="1831"/>
        <v>$ 20494,77</v>
      </c>
      <c r="E2805" t="str">
        <f t="shared" si="1831"/>
        <v>$ 20494,77</v>
      </c>
      <c r="F2805" t="str">
        <f t="shared" si="1831"/>
        <v>$ 20494,77</v>
      </c>
      <c r="G2805" t="str">
        <f t="shared" si="1831"/>
        <v>$ 20494,77</v>
      </c>
      <c r="H2805" t="str">
        <f t="shared" si="1795"/>
        <v>$ 0,00</v>
      </c>
      <c r="I2805" t="str">
        <f t="shared" si="1820"/>
        <v>SENSOR RPM</v>
      </c>
      <c r="J2805" t="str">
        <f t="shared" si="1796"/>
        <v>1</v>
      </c>
      <c r="K2805" t="str">
        <f t="shared" si="1826"/>
        <v>1</v>
      </c>
      <c r="L2805" t="str">
        <f t="shared" si="1827"/>
        <v>0,000</v>
      </c>
      <c r="M2805" t="str">
        <f t="shared" si="1797"/>
        <v xml:space="preserve"> </v>
      </c>
      <c r="N2805" t="str">
        <f t="shared" si="1822"/>
        <v>FISPA</v>
      </c>
      <c r="O2805" t="str">
        <f t="shared" si="1819"/>
        <v>SENSORES</v>
      </c>
      <c r="P2805" t="str">
        <f t="shared" si="1829"/>
        <v>0</v>
      </c>
      <c r="Q2805" t="str">
        <f t="shared" si="1829"/>
        <v>0</v>
      </c>
      <c r="R2805" t="str">
        <f t="shared" si="1830"/>
        <v>0,00</v>
      </c>
      <c r="S2805" t="str">
        <f t="shared" si="1830"/>
        <v>0,00</v>
      </c>
      <c r="T2805" t="str">
        <f t="shared" si="1792"/>
        <v xml:space="preserve"> </v>
      </c>
      <c r="U2805" t="str">
        <f t="shared" si="1794"/>
        <v xml:space="preserve"> </v>
      </c>
      <c r="V2805" t="str">
        <f t="shared" si="1828"/>
        <v>0,000</v>
      </c>
      <c r="W2805" t="str">
        <f t="shared" si="1798"/>
        <v>Lista 4</v>
      </c>
      <c r="X2805" t="str">
        <f t="shared" si="1799"/>
        <v>Lista 5</v>
      </c>
      <c r="Y2805" t="str">
        <f t="shared" si="1800"/>
        <v>Oferta Gral.</v>
      </c>
      <c r="Z2805" t="str">
        <f t="shared" si="1801"/>
        <v>Rubro</v>
      </c>
      <c r="AA2805" t="str">
        <f t="shared" si="1802"/>
        <v>Cantidad por Bulto</v>
      </c>
      <c r="AB2805" t="str">
        <f t="shared" si="1803"/>
        <v>INNER</v>
      </c>
      <c r="AC2805" t="str">
        <f t="shared" si="1804"/>
        <v>Stock en Bultos</v>
      </c>
      <c r="AD2805" t="str">
        <f t="shared" si="1805"/>
        <v>SubDepósito</v>
      </c>
      <c r="AE2805" t="str">
        <f t="shared" si="1806"/>
        <v>Marca</v>
      </c>
      <c r="AF2805" t="str">
        <f t="shared" si="1807"/>
        <v>Super Rubro</v>
      </c>
      <c r="AG2805" t="str">
        <f t="shared" si="1808"/>
        <v>ComercioExterior</v>
      </c>
      <c r="AH2805" t="str">
        <f t="shared" si="1809"/>
        <v>PrecioFOB</v>
      </c>
      <c r="AI2805" t="str">
        <f t="shared" si="1810"/>
        <v>Monto II</v>
      </c>
      <c r="AJ2805" t="str">
        <f t="shared" si="1811"/>
        <v>Porcentaje II</v>
      </c>
      <c r="AK2805" t="str">
        <f t="shared" si="1812"/>
        <v>Foto</v>
      </c>
      <c r="AL280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05" t="str">
        <f t="shared" si="1823"/>
        <v>-</v>
      </c>
    </row>
    <row r="2806" spans="1:39" x14ac:dyDescent="0.25">
      <c r="A2806" t="str">
        <f>"FI30007"</f>
        <v>FI30007</v>
      </c>
      <c r="B2806" t="str">
        <f>"SENSOR RPM AUDI A3/4/6/SEAT/VW"</f>
        <v>SENSOR RPM AUDI A3/4/6/SEAT/VW</v>
      </c>
      <c r="C2806" t="str">
        <f>"$ 15475,75"</f>
        <v>$ 15475,75</v>
      </c>
      <c r="D2806" t="str">
        <f>"$ 15475,75"</f>
        <v>$ 15475,75</v>
      </c>
      <c r="E2806" t="str">
        <f>"$ 15475,75"</f>
        <v>$ 15475,75</v>
      </c>
      <c r="F2806" t="str">
        <f>"$ 15475,75"</f>
        <v>$ 15475,75</v>
      </c>
      <c r="G2806" t="str">
        <f>"$ 15475,75"</f>
        <v>$ 15475,75</v>
      </c>
      <c r="H2806" t="str">
        <f t="shared" si="1795"/>
        <v>$ 0,00</v>
      </c>
      <c r="I2806" t="str">
        <f t="shared" si="1820"/>
        <v>SENSOR RPM</v>
      </c>
      <c r="J2806" t="str">
        <f t="shared" si="1796"/>
        <v>1</v>
      </c>
      <c r="K2806" t="str">
        <f t="shared" si="1826"/>
        <v>1</v>
      </c>
      <c r="L2806" t="str">
        <f t="shared" si="1827"/>
        <v>0,000</v>
      </c>
      <c r="M2806" t="str">
        <f t="shared" si="1797"/>
        <v xml:space="preserve"> </v>
      </c>
      <c r="N2806" t="str">
        <f t="shared" si="1822"/>
        <v>FISPA</v>
      </c>
      <c r="O2806" t="str">
        <f t="shared" si="1819"/>
        <v>SENSORES</v>
      </c>
      <c r="P2806" t="str">
        <f t="shared" si="1829"/>
        <v>0</v>
      </c>
      <c r="Q2806" t="str">
        <f t="shared" si="1829"/>
        <v>0</v>
      </c>
      <c r="R2806" t="str">
        <f t="shared" si="1830"/>
        <v>0,00</v>
      </c>
      <c r="S2806" t="str">
        <f t="shared" si="1830"/>
        <v>0,00</v>
      </c>
      <c r="T2806" t="str">
        <f t="shared" si="1792"/>
        <v xml:space="preserve"> </v>
      </c>
      <c r="U2806" t="str">
        <f t="shared" si="1794"/>
        <v xml:space="preserve"> </v>
      </c>
      <c r="V2806" t="str">
        <f t="shared" si="1828"/>
        <v>0,000</v>
      </c>
      <c r="W2806" t="str">
        <f t="shared" si="1798"/>
        <v>Lista 4</v>
      </c>
      <c r="X2806" t="str">
        <f t="shared" si="1799"/>
        <v>Lista 5</v>
      </c>
      <c r="Y2806" t="str">
        <f t="shared" si="1800"/>
        <v>Oferta Gral.</v>
      </c>
      <c r="Z2806" t="str">
        <f t="shared" si="1801"/>
        <v>Rubro</v>
      </c>
      <c r="AA2806" t="str">
        <f t="shared" si="1802"/>
        <v>Cantidad por Bulto</v>
      </c>
      <c r="AB2806" t="str">
        <f t="shared" si="1803"/>
        <v>INNER</v>
      </c>
      <c r="AC2806" t="str">
        <f t="shared" si="1804"/>
        <v>Stock en Bultos</v>
      </c>
      <c r="AD2806" t="str">
        <f t="shared" si="1805"/>
        <v>SubDepósito</v>
      </c>
      <c r="AE2806" t="str">
        <f t="shared" si="1806"/>
        <v>Marca</v>
      </c>
      <c r="AF2806" t="str">
        <f t="shared" si="1807"/>
        <v>Super Rubro</v>
      </c>
      <c r="AG2806" t="str">
        <f t="shared" si="1808"/>
        <v>ComercioExterior</v>
      </c>
      <c r="AH2806" t="str">
        <f t="shared" si="1809"/>
        <v>PrecioFOB</v>
      </c>
      <c r="AI2806" t="str">
        <f t="shared" si="1810"/>
        <v>Monto II</v>
      </c>
      <c r="AJ2806" t="str">
        <f t="shared" si="1811"/>
        <v>Porcentaje II</v>
      </c>
      <c r="AK2806" t="str">
        <f t="shared" si="1812"/>
        <v>Foto</v>
      </c>
      <c r="AL280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06" t="str">
        <f t="shared" si="1823"/>
        <v>-</v>
      </c>
    </row>
    <row r="2807" spans="1:39" x14ac:dyDescent="0.25">
      <c r="A2807" t="str">
        <f>"FI30077"</f>
        <v>FI30077</v>
      </c>
      <c r="B2807" t="str">
        <f>"SENSOR RPM AUDI A3/A4 1.8 / 1.9TDI  FIAT  TEMPRA 1.8IE / 2.0IE - TIPO 1.8IE / 2.0IE"</f>
        <v>SENSOR RPM AUDI A3/A4 1.8 / 1.9TDI  FIAT  TEMPRA 1.8IE / 2.0IE - TIPO 1.8IE / 2.0IE</v>
      </c>
      <c r="C2807" t="str">
        <f>"$ 36124,31"</f>
        <v>$ 36124,31</v>
      </c>
      <c r="D2807" t="str">
        <f>"$ 36124,31"</f>
        <v>$ 36124,31</v>
      </c>
      <c r="E2807" t="str">
        <f>"$ 36124,31"</f>
        <v>$ 36124,31</v>
      </c>
      <c r="F2807" t="str">
        <f>"$ 36124,31"</f>
        <v>$ 36124,31</v>
      </c>
      <c r="G2807" t="str">
        <f>"$ 36124,31"</f>
        <v>$ 36124,31</v>
      </c>
      <c r="H2807" t="str">
        <f t="shared" si="1795"/>
        <v>$ 0,00</v>
      </c>
      <c r="I2807" t="str">
        <f t="shared" si="1820"/>
        <v>SENSOR RPM</v>
      </c>
      <c r="J2807" t="str">
        <f t="shared" si="1796"/>
        <v>1</v>
      </c>
      <c r="K2807" t="str">
        <f t="shared" si="1826"/>
        <v>1</v>
      </c>
      <c r="L2807" t="str">
        <f t="shared" si="1827"/>
        <v>0,000</v>
      </c>
      <c r="M2807" t="str">
        <f t="shared" si="1797"/>
        <v xml:space="preserve"> </v>
      </c>
      <c r="N2807" t="str">
        <f t="shared" si="1822"/>
        <v>FISPA</v>
      </c>
      <c r="O2807" t="str">
        <f t="shared" si="1819"/>
        <v>SENSORES</v>
      </c>
      <c r="P2807" t="str">
        <f t="shared" si="1829"/>
        <v>0</v>
      </c>
      <c r="Q2807" t="str">
        <f t="shared" si="1829"/>
        <v>0</v>
      </c>
      <c r="R2807" t="str">
        <f t="shared" si="1830"/>
        <v>0,00</v>
      </c>
      <c r="S2807" t="str">
        <f t="shared" si="1830"/>
        <v>0,00</v>
      </c>
      <c r="T2807" t="str">
        <f t="shared" si="1792"/>
        <v xml:space="preserve"> </v>
      </c>
      <c r="U2807" t="str">
        <f t="shared" si="1794"/>
        <v xml:space="preserve"> </v>
      </c>
      <c r="V2807" t="str">
        <f t="shared" si="1828"/>
        <v>0,000</v>
      </c>
      <c r="W2807" t="str">
        <f t="shared" si="1798"/>
        <v>Lista 4</v>
      </c>
      <c r="X2807" t="str">
        <f t="shared" si="1799"/>
        <v>Lista 5</v>
      </c>
      <c r="Y2807" t="str">
        <f t="shared" si="1800"/>
        <v>Oferta Gral.</v>
      </c>
      <c r="Z2807" t="str">
        <f t="shared" si="1801"/>
        <v>Rubro</v>
      </c>
      <c r="AA2807" t="str">
        <f t="shared" si="1802"/>
        <v>Cantidad por Bulto</v>
      </c>
      <c r="AB2807" t="str">
        <f t="shared" si="1803"/>
        <v>INNER</v>
      </c>
      <c r="AC2807" t="str">
        <f t="shared" si="1804"/>
        <v>Stock en Bultos</v>
      </c>
      <c r="AD2807" t="str">
        <f t="shared" si="1805"/>
        <v>SubDepósito</v>
      </c>
      <c r="AE2807" t="str">
        <f t="shared" si="1806"/>
        <v>Marca</v>
      </c>
      <c r="AF2807" t="str">
        <f t="shared" si="1807"/>
        <v>Super Rubro</v>
      </c>
      <c r="AG2807" t="str">
        <f t="shared" si="1808"/>
        <v>ComercioExterior</v>
      </c>
      <c r="AH2807" t="str">
        <f t="shared" si="1809"/>
        <v>PrecioFOB</v>
      </c>
      <c r="AI2807" t="str">
        <f t="shared" si="1810"/>
        <v>Monto II</v>
      </c>
      <c r="AJ2807" t="str">
        <f t="shared" si="1811"/>
        <v>Porcentaje II</v>
      </c>
      <c r="AK2807" t="str">
        <f t="shared" si="1812"/>
        <v>Foto</v>
      </c>
      <c r="AL280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07" t="str">
        <f t="shared" si="1823"/>
        <v>-</v>
      </c>
    </row>
    <row r="2808" spans="1:39" x14ac:dyDescent="0.25">
      <c r="A2808" t="str">
        <f>"FI30022"</f>
        <v>FI30022</v>
      </c>
      <c r="B2808" t="str">
        <f>"SENSOR RPM AUDI A4 1.6, 1.8T-VW PASSAT 1.6, 1.8T, 2.0 20V,2.5 00/05"</f>
        <v>SENSOR RPM AUDI A4 1.6, 1.8T-VW PASSAT 1.6, 1.8T, 2.0 20V,2.5 00/05</v>
      </c>
      <c r="C2808" t="str">
        <f>"$ 16447,33"</f>
        <v>$ 16447,33</v>
      </c>
      <c r="D2808" t="str">
        <f>"$ 16447,33"</f>
        <v>$ 16447,33</v>
      </c>
      <c r="E2808" t="str">
        <f>"$ 16447,33"</f>
        <v>$ 16447,33</v>
      </c>
      <c r="F2808" t="str">
        <f>"$ 16447,33"</f>
        <v>$ 16447,33</v>
      </c>
      <c r="G2808" t="str">
        <f>"$ 16447,33"</f>
        <v>$ 16447,33</v>
      </c>
      <c r="H2808" t="str">
        <f t="shared" si="1795"/>
        <v>$ 0,00</v>
      </c>
      <c r="I2808" t="str">
        <f t="shared" si="1820"/>
        <v>SENSOR RPM</v>
      </c>
      <c r="J2808" t="str">
        <f t="shared" si="1796"/>
        <v>1</v>
      </c>
      <c r="K2808" t="str">
        <f t="shared" si="1826"/>
        <v>1</v>
      </c>
      <c r="L2808" t="str">
        <f t="shared" si="1827"/>
        <v>0,000</v>
      </c>
      <c r="M2808" t="str">
        <f t="shared" si="1797"/>
        <v xml:space="preserve"> </v>
      </c>
      <c r="N2808" t="str">
        <f t="shared" si="1822"/>
        <v>FISPA</v>
      </c>
      <c r="O2808" t="str">
        <f t="shared" si="1819"/>
        <v>SENSORES</v>
      </c>
      <c r="P2808" t="str">
        <f t="shared" si="1829"/>
        <v>0</v>
      </c>
      <c r="Q2808" t="str">
        <f t="shared" si="1829"/>
        <v>0</v>
      </c>
      <c r="R2808" t="str">
        <f t="shared" si="1830"/>
        <v>0,00</v>
      </c>
      <c r="S2808" t="str">
        <f t="shared" si="1830"/>
        <v>0,00</v>
      </c>
      <c r="T2808" t="str">
        <f t="shared" si="1792"/>
        <v xml:space="preserve"> </v>
      </c>
      <c r="U2808" t="str">
        <f t="shared" si="1794"/>
        <v xml:space="preserve"> </v>
      </c>
      <c r="V2808" t="str">
        <f t="shared" si="1828"/>
        <v>0,000</v>
      </c>
      <c r="W2808" t="str">
        <f t="shared" si="1798"/>
        <v>Lista 4</v>
      </c>
      <c r="X2808" t="str">
        <f t="shared" si="1799"/>
        <v>Lista 5</v>
      </c>
      <c r="Y2808" t="str">
        <f t="shared" si="1800"/>
        <v>Oferta Gral.</v>
      </c>
      <c r="Z2808" t="str">
        <f t="shared" si="1801"/>
        <v>Rubro</v>
      </c>
      <c r="AA2808" t="str">
        <f t="shared" si="1802"/>
        <v>Cantidad por Bulto</v>
      </c>
      <c r="AB2808" t="str">
        <f t="shared" si="1803"/>
        <v>INNER</v>
      </c>
      <c r="AC2808" t="str">
        <f t="shared" si="1804"/>
        <v>Stock en Bultos</v>
      </c>
      <c r="AD2808" t="str">
        <f t="shared" si="1805"/>
        <v>SubDepósito</v>
      </c>
      <c r="AE2808" t="str">
        <f t="shared" si="1806"/>
        <v>Marca</v>
      </c>
      <c r="AF2808" t="str">
        <f t="shared" si="1807"/>
        <v>Super Rubro</v>
      </c>
      <c r="AG2808" t="str">
        <f t="shared" si="1808"/>
        <v>ComercioExterior</v>
      </c>
      <c r="AH2808" t="str">
        <f t="shared" si="1809"/>
        <v>PrecioFOB</v>
      </c>
      <c r="AI2808" t="str">
        <f t="shared" si="1810"/>
        <v>Monto II</v>
      </c>
      <c r="AJ2808" t="str">
        <f t="shared" si="1811"/>
        <v>Porcentaje II</v>
      </c>
      <c r="AK2808" t="str">
        <f t="shared" si="1812"/>
        <v>Foto</v>
      </c>
      <c r="AL280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08" t="str">
        <f t="shared" si="1823"/>
        <v>-</v>
      </c>
    </row>
    <row r="2809" spans="1:39" x14ac:dyDescent="0.25">
      <c r="A2809" t="str">
        <f>"FI30030"</f>
        <v>FI30030</v>
      </c>
      <c r="B2809" t="str">
        <f>"SENSOR RPM AUDI, SEAT, VW, FIAT PALIO/SIENA 1.0, 1.5 MPI 8V 99/00. UNO 1.0, 1.3, 1.5, 1.6 MPI"</f>
        <v>SENSOR RPM AUDI, SEAT, VW, FIAT PALIO/SIENA 1.0, 1.5 MPI 8V 99/00. UNO 1.0, 1.3, 1.5, 1.6 MPI</v>
      </c>
      <c r="C2809" t="str">
        <f>"$ 22394,00"</f>
        <v>$ 22394,00</v>
      </c>
      <c r="D2809" t="str">
        <f>"$ 22394,00"</f>
        <v>$ 22394,00</v>
      </c>
      <c r="E2809" t="str">
        <f>"$ 22394,00"</f>
        <v>$ 22394,00</v>
      </c>
      <c r="F2809" t="str">
        <f>"$ 22394,00"</f>
        <v>$ 22394,00</v>
      </c>
      <c r="G2809" t="str">
        <f>"$ 22394,00"</f>
        <v>$ 22394,00</v>
      </c>
      <c r="H2809" t="str">
        <f t="shared" si="1795"/>
        <v>$ 0,00</v>
      </c>
      <c r="I2809" t="str">
        <f t="shared" si="1820"/>
        <v>SENSOR RPM</v>
      </c>
      <c r="J2809" t="str">
        <f t="shared" si="1796"/>
        <v>1</v>
      </c>
      <c r="K2809" t="str">
        <f t="shared" si="1826"/>
        <v>1</v>
      </c>
      <c r="L2809" t="str">
        <f t="shared" si="1827"/>
        <v>0,000</v>
      </c>
      <c r="M2809" t="str">
        <f t="shared" si="1797"/>
        <v xml:space="preserve"> </v>
      </c>
      <c r="N2809" t="str">
        <f t="shared" si="1822"/>
        <v>FISPA</v>
      </c>
      <c r="O2809" t="str">
        <f t="shared" si="1819"/>
        <v>SENSORES</v>
      </c>
      <c r="P2809" t="str">
        <f t="shared" si="1829"/>
        <v>0</v>
      </c>
      <c r="Q2809" t="str">
        <f t="shared" si="1829"/>
        <v>0</v>
      </c>
      <c r="R2809" t="str">
        <f t="shared" si="1830"/>
        <v>0,00</v>
      </c>
      <c r="S2809" t="str">
        <f t="shared" si="1830"/>
        <v>0,00</v>
      </c>
      <c r="T2809" t="str">
        <f t="shared" si="1792"/>
        <v xml:space="preserve"> </v>
      </c>
      <c r="U2809" t="str">
        <f t="shared" si="1794"/>
        <v xml:space="preserve"> </v>
      </c>
      <c r="V2809" t="str">
        <f t="shared" si="1828"/>
        <v>0,000</v>
      </c>
      <c r="W2809" t="str">
        <f t="shared" si="1798"/>
        <v>Lista 4</v>
      </c>
      <c r="X2809" t="str">
        <f t="shared" si="1799"/>
        <v>Lista 5</v>
      </c>
      <c r="Y2809" t="str">
        <f t="shared" si="1800"/>
        <v>Oferta Gral.</v>
      </c>
      <c r="Z2809" t="str">
        <f t="shared" si="1801"/>
        <v>Rubro</v>
      </c>
      <c r="AA2809" t="str">
        <f t="shared" si="1802"/>
        <v>Cantidad por Bulto</v>
      </c>
      <c r="AB2809" t="str">
        <f t="shared" si="1803"/>
        <v>INNER</v>
      </c>
      <c r="AC2809" t="str">
        <f t="shared" si="1804"/>
        <v>Stock en Bultos</v>
      </c>
      <c r="AD2809" t="str">
        <f t="shared" si="1805"/>
        <v>SubDepósito</v>
      </c>
      <c r="AE2809" t="str">
        <f t="shared" si="1806"/>
        <v>Marca</v>
      </c>
      <c r="AF2809" t="str">
        <f t="shared" si="1807"/>
        <v>Super Rubro</v>
      </c>
      <c r="AG2809" t="str">
        <f t="shared" si="1808"/>
        <v>ComercioExterior</v>
      </c>
      <c r="AH2809" t="str">
        <f t="shared" si="1809"/>
        <v>PrecioFOB</v>
      </c>
      <c r="AI2809" t="str">
        <f t="shared" si="1810"/>
        <v>Monto II</v>
      </c>
      <c r="AJ2809" t="str">
        <f t="shared" si="1811"/>
        <v>Porcentaje II</v>
      </c>
      <c r="AK2809" t="str">
        <f t="shared" si="1812"/>
        <v>Foto</v>
      </c>
      <c r="AL280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09" t="str">
        <f t="shared" si="1823"/>
        <v>-</v>
      </c>
    </row>
    <row r="2810" spans="1:39" x14ac:dyDescent="0.25">
      <c r="A2810" t="str">
        <f>"FI30076"</f>
        <v>FI30076</v>
      </c>
      <c r="B2810" t="str">
        <f>"SENSOR RPM AUDI/VOLKSWAGEN AMAROK/FOX 1.4 /1.6/PASSAT/POLO/VENTO/VOYAGE &amp; GOL 1.6"</f>
        <v>SENSOR RPM AUDI/VOLKSWAGEN AMAROK/FOX 1.4 /1.6/PASSAT/POLO/VENTO/VOYAGE &amp; GOL 1.6</v>
      </c>
      <c r="C2810" t="str">
        <f>"$ 31842,51"</f>
        <v>$ 31842,51</v>
      </c>
      <c r="D2810" t="str">
        <f>"$ 31842,51"</f>
        <v>$ 31842,51</v>
      </c>
      <c r="E2810" t="str">
        <f>"$ 31842,51"</f>
        <v>$ 31842,51</v>
      </c>
      <c r="F2810" t="str">
        <f>"$ 31842,51"</f>
        <v>$ 31842,51</v>
      </c>
      <c r="G2810" t="str">
        <f>"$ 31842,51"</f>
        <v>$ 31842,51</v>
      </c>
      <c r="H2810" t="str">
        <f t="shared" si="1795"/>
        <v>$ 0,00</v>
      </c>
      <c r="I2810" t="str">
        <f t="shared" si="1820"/>
        <v>SENSOR RPM</v>
      </c>
      <c r="J2810" t="str">
        <f t="shared" si="1796"/>
        <v>1</v>
      </c>
      <c r="K2810" t="str">
        <f>"0"</f>
        <v>0</v>
      </c>
      <c r="L2810" t="str">
        <f>"2,000"</f>
        <v>2,000</v>
      </c>
      <c r="M2810" t="str">
        <f t="shared" si="1797"/>
        <v xml:space="preserve"> </v>
      </c>
      <c r="N2810" t="str">
        <f t="shared" si="1822"/>
        <v>FISPA</v>
      </c>
      <c r="O2810" t="str">
        <f t="shared" si="1819"/>
        <v>SENSORES</v>
      </c>
      <c r="P2810" t="str">
        <f t="shared" si="1829"/>
        <v>0</v>
      </c>
      <c r="Q2810" t="str">
        <f t="shared" si="1829"/>
        <v>0</v>
      </c>
      <c r="R2810" t="str">
        <f t="shared" si="1830"/>
        <v>0,00</v>
      </c>
      <c r="S2810" t="str">
        <f t="shared" si="1830"/>
        <v>0,00</v>
      </c>
      <c r="T2810" t="str">
        <f t="shared" si="1792"/>
        <v xml:space="preserve"> </v>
      </c>
      <c r="U2810" t="str">
        <f t="shared" si="1794"/>
        <v xml:space="preserve"> </v>
      </c>
      <c r="V2810" t="str">
        <f>"2,000"</f>
        <v>2,000</v>
      </c>
      <c r="W2810" t="str">
        <f t="shared" si="1798"/>
        <v>Lista 4</v>
      </c>
      <c r="X2810" t="str">
        <f t="shared" si="1799"/>
        <v>Lista 5</v>
      </c>
      <c r="Y2810" t="str">
        <f t="shared" si="1800"/>
        <v>Oferta Gral.</v>
      </c>
      <c r="Z2810" t="str">
        <f t="shared" si="1801"/>
        <v>Rubro</v>
      </c>
      <c r="AA2810" t="str">
        <f t="shared" si="1802"/>
        <v>Cantidad por Bulto</v>
      </c>
      <c r="AB2810" t="str">
        <f t="shared" si="1803"/>
        <v>INNER</v>
      </c>
      <c r="AC2810" t="str">
        <f t="shared" si="1804"/>
        <v>Stock en Bultos</v>
      </c>
      <c r="AD2810" t="str">
        <f t="shared" si="1805"/>
        <v>SubDepósito</v>
      </c>
      <c r="AE2810" t="str">
        <f t="shared" si="1806"/>
        <v>Marca</v>
      </c>
      <c r="AF2810" t="str">
        <f t="shared" si="1807"/>
        <v>Super Rubro</v>
      </c>
      <c r="AG2810" t="str">
        <f t="shared" si="1808"/>
        <v>ComercioExterior</v>
      </c>
      <c r="AH2810" t="str">
        <f t="shared" si="1809"/>
        <v>PrecioFOB</v>
      </c>
      <c r="AI2810" t="str">
        <f t="shared" si="1810"/>
        <v>Monto II</v>
      </c>
      <c r="AJ2810" t="str">
        <f t="shared" si="1811"/>
        <v>Porcentaje II</v>
      </c>
      <c r="AK2810" t="str">
        <f t="shared" si="1812"/>
        <v>Foto</v>
      </c>
      <c r="AL2810" t="str">
        <f>"{\rtf1\ansi\ansicpg1252\deff0\deflang11274{\fonttbl{\f0\fnil\fcharset0 MS Sans Serif}} \viewkind4\uc1\pard\f0\fs16 SENSOR RPM AUDI/VOLKSWAGEN AMAROK/FOX 1.4 /1.6/PASSAT/POLO/VENTO/VOYAGE &amp; GOL 1.6\par } "</f>
        <v xml:space="preserve">{\rtf1\ansi\ansicpg1252\deff0\deflang11274{\fonttbl{\f0\fnil\fcharset0 MS Sans Serif}} \viewkind4\uc1\pard\f0\fs16 SENSOR RPM AUDI/VOLKSWAGEN AMAROK/FOX 1.4 /1.6/PASSAT/POLO/VENTO/VOYAGE &amp; GOL 1.6\par } </v>
      </c>
      <c r="AM2810" t="str">
        <f t="shared" si="1823"/>
        <v>-</v>
      </c>
    </row>
    <row r="2811" spans="1:39" x14ac:dyDescent="0.25">
      <c r="A2811" t="str">
        <f>"FI30041"</f>
        <v>FI30041</v>
      </c>
      <c r="B2811" t="str">
        <f>"SENSOR RPM AUDI: A3 1,6 FSI - VW: FOX 1,6 - GOL - GOLF - POLO 1,6 - SAVERIO"</f>
        <v>SENSOR RPM AUDI: A3 1,6 FSI - VW: FOX 1,6 - GOL - GOLF - POLO 1,6 - SAVERIO</v>
      </c>
      <c r="C2811" t="str">
        <f>"$ 26614,77"</f>
        <v>$ 26614,77</v>
      </c>
      <c r="D2811" t="str">
        <f>"$ 26614,77"</f>
        <v>$ 26614,77</v>
      </c>
      <c r="E2811" t="str">
        <f>"$ 26614,77"</f>
        <v>$ 26614,77</v>
      </c>
      <c r="F2811" t="str">
        <f>"$ 26614,77"</f>
        <v>$ 26614,77</v>
      </c>
      <c r="G2811" t="str">
        <f>"$ 26614,77"</f>
        <v>$ 26614,77</v>
      </c>
      <c r="H2811" t="str">
        <f t="shared" si="1795"/>
        <v>$ 0,00</v>
      </c>
      <c r="I2811" t="str">
        <f t="shared" si="1820"/>
        <v>SENSOR RPM</v>
      </c>
      <c r="J2811" t="str">
        <f t="shared" si="1796"/>
        <v>1</v>
      </c>
      <c r="K2811" t="str">
        <f>"0"</f>
        <v>0</v>
      </c>
      <c r="L2811" t="str">
        <f>"2,000"</f>
        <v>2,000</v>
      </c>
      <c r="M2811" t="str">
        <f t="shared" si="1797"/>
        <v xml:space="preserve"> </v>
      </c>
      <c r="N2811" t="str">
        <f t="shared" si="1822"/>
        <v>FISPA</v>
      </c>
      <c r="O2811" t="str">
        <f t="shared" si="1819"/>
        <v>SENSORES</v>
      </c>
      <c r="P2811" t="str">
        <f t="shared" si="1829"/>
        <v>0</v>
      </c>
      <c r="Q2811" t="str">
        <f t="shared" si="1829"/>
        <v>0</v>
      </c>
      <c r="R2811" t="str">
        <f t="shared" si="1830"/>
        <v>0,00</v>
      </c>
      <c r="S2811" t="str">
        <f t="shared" si="1830"/>
        <v>0,00</v>
      </c>
      <c r="T2811" t="str">
        <f t="shared" si="1792"/>
        <v xml:space="preserve"> </v>
      </c>
      <c r="U2811" t="str">
        <f t="shared" si="1794"/>
        <v xml:space="preserve"> </v>
      </c>
      <c r="V2811" t="str">
        <f>"2,000"</f>
        <v>2,000</v>
      </c>
      <c r="W2811" t="str">
        <f t="shared" si="1798"/>
        <v>Lista 4</v>
      </c>
      <c r="X2811" t="str">
        <f t="shared" si="1799"/>
        <v>Lista 5</v>
      </c>
      <c r="Y2811" t="str">
        <f t="shared" si="1800"/>
        <v>Oferta Gral.</v>
      </c>
      <c r="Z2811" t="str">
        <f t="shared" si="1801"/>
        <v>Rubro</v>
      </c>
      <c r="AA2811" t="str">
        <f t="shared" si="1802"/>
        <v>Cantidad por Bulto</v>
      </c>
      <c r="AB2811" t="str">
        <f t="shared" si="1803"/>
        <v>INNER</v>
      </c>
      <c r="AC2811" t="str">
        <f t="shared" si="1804"/>
        <v>Stock en Bultos</v>
      </c>
      <c r="AD2811" t="str">
        <f t="shared" si="1805"/>
        <v>SubDepósito</v>
      </c>
      <c r="AE2811" t="str">
        <f t="shared" si="1806"/>
        <v>Marca</v>
      </c>
      <c r="AF2811" t="str">
        <f t="shared" si="1807"/>
        <v>Super Rubro</v>
      </c>
      <c r="AG2811" t="str">
        <f t="shared" si="1808"/>
        <v>ComercioExterior</v>
      </c>
      <c r="AH2811" t="str">
        <f t="shared" si="1809"/>
        <v>PrecioFOB</v>
      </c>
      <c r="AI2811" t="str">
        <f t="shared" si="1810"/>
        <v>Monto II</v>
      </c>
      <c r="AJ2811" t="str">
        <f t="shared" si="1811"/>
        <v>Porcentaje II</v>
      </c>
      <c r="AK2811" t="str">
        <f t="shared" si="1812"/>
        <v>Foto</v>
      </c>
      <c r="AL2811" t="str">
        <f>" "</f>
        <v xml:space="preserve"> </v>
      </c>
      <c r="AM2811" t="str">
        <f t="shared" si="1823"/>
        <v>-</v>
      </c>
    </row>
    <row r="2812" spans="1:39" x14ac:dyDescent="0.25">
      <c r="A2812" t="str">
        <f>"FI30142"</f>
        <v>FI30142</v>
      </c>
      <c r="B2812" t="str">
        <f>"SENSOR RPM BERLINGO/ XSARA 1.4I / 1.6I  P106/205 1.4I - 306 1.1 XN / 1.4 - 405 1.4I - PARTNER 1.4I"</f>
        <v>SENSOR RPM BERLINGO/ XSARA 1.4I / 1.6I  P106/205 1.4I - 306 1.1 XN / 1.4 - 405 1.4I - PARTNER 1.4I</v>
      </c>
      <c r="C2812" t="str">
        <f>"$ 27714,51"</f>
        <v>$ 27714,51</v>
      </c>
      <c r="D2812" t="str">
        <f>"$ 27714,51"</f>
        <v>$ 27714,51</v>
      </c>
      <c r="E2812" t="str">
        <f>"$ 27714,51"</f>
        <v>$ 27714,51</v>
      </c>
      <c r="F2812" t="str">
        <f>"$ 27714,51"</f>
        <v>$ 27714,51</v>
      </c>
      <c r="G2812" t="str">
        <f>"$ 27714,51"</f>
        <v>$ 27714,51</v>
      </c>
      <c r="H2812" t="str">
        <f t="shared" si="1795"/>
        <v>$ 0,00</v>
      </c>
      <c r="I2812" t="str">
        <f t="shared" si="1820"/>
        <v>SENSOR RPM</v>
      </c>
      <c r="J2812" t="str">
        <f t="shared" si="1796"/>
        <v>1</v>
      </c>
      <c r="K2812" t="str">
        <f>"0"</f>
        <v>0</v>
      </c>
      <c r="L2812" t="str">
        <f>"2,000"</f>
        <v>2,000</v>
      </c>
      <c r="M2812" t="str">
        <f t="shared" si="1797"/>
        <v xml:space="preserve"> </v>
      </c>
      <c r="N2812" t="str">
        <f t="shared" si="1822"/>
        <v>FISPA</v>
      </c>
      <c r="O2812" t="str">
        <f t="shared" si="1819"/>
        <v>SENSORES</v>
      </c>
      <c r="P2812" t="str">
        <f t="shared" si="1829"/>
        <v>0</v>
      </c>
      <c r="Q2812" t="str">
        <f t="shared" si="1829"/>
        <v>0</v>
      </c>
      <c r="R2812" t="str">
        <f t="shared" si="1830"/>
        <v>0,00</v>
      </c>
      <c r="S2812" t="str">
        <f t="shared" si="1830"/>
        <v>0,00</v>
      </c>
      <c r="T2812" t="str">
        <f t="shared" si="1792"/>
        <v xml:space="preserve"> </v>
      </c>
      <c r="U2812" t="str">
        <f t="shared" si="1794"/>
        <v xml:space="preserve"> </v>
      </c>
      <c r="V2812" t="str">
        <f>"2,000"</f>
        <v>2,000</v>
      </c>
      <c r="W2812" t="str">
        <f t="shared" si="1798"/>
        <v>Lista 4</v>
      </c>
      <c r="X2812" t="str">
        <f t="shared" si="1799"/>
        <v>Lista 5</v>
      </c>
      <c r="Y2812" t="str">
        <f t="shared" si="1800"/>
        <v>Oferta Gral.</v>
      </c>
      <c r="Z2812" t="str">
        <f t="shared" si="1801"/>
        <v>Rubro</v>
      </c>
      <c r="AA2812" t="str">
        <f t="shared" si="1802"/>
        <v>Cantidad por Bulto</v>
      </c>
      <c r="AB2812" t="str">
        <f t="shared" si="1803"/>
        <v>INNER</v>
      </c>
      <c r="AC2812" t="str">
        <f t="shared" si="1804"/>
        <v>Stock en Bultos</v>
      </c>
      <c r="AD2812" t="str">
        <f t="shared" si="1805"/>
        <v>SubDepósito</v>
      </c>
      <c r="AE2812" t="str">
        <f t="shared" si="1806"/>
        <v>Marca</v>
      </c>
      <c r="AF2812" t="str">
        <f t="shared" si="1807"/>
        <v>Super Rubro</v>
      </c>
      <c r="AG2812" t="str">
        <f t="shared" si="1808"/>
        <v>ComercioExterior</v>
      </c>
      <c r="AH2812" t="str">
        <f t="shared" si="1809"/>
        <v>PrecioFOB</v>
      </c>
      <c r="AI2812" t="str">
        <f t="shared" si="1810"/>
        <v>Monto II</v>
      </c>
      <c r="AJ2812" t="str">
        <f t="shared" si="1811"/>
        <v>Porcentaje II</v>
      </c>
      <c r="AK2812" t="str">
        <f t="shared" si="1812"/>
        <v>Foto</v>
      </c>
      <c r="AL2812" t="str">
        <f>"{\rtf1\ansi\ansicpg1252\deff0\deflang11274{\fonttbl{\f0\fnil\fcharset0 MS Sans Serif}} \viewkind4\uc1\pard\f0\fs16 SENSOR RPM BERLINGO/ XSARA 1.4I / 1.6I  P106/205 1.4I - 306 1.1 XN / 1.4 - 405 1.4I - PARTNER 1.4I\par } "</f>
        <v xml:space="preserve">{\rtf1\ansi\ansicpg1252\deff0\deflang11274{\fonttbl{\f0\fnil\fcharset0 MS Sans Serif}} \viewkind4\uc1\pard\f0\fs16 SENSOR RPM BERLINGO/ XSARA 1.4I / 1.6I  P106/205 1.4I - 306 1.1 XN / 1.4 - 405 1.4I - PARTNER 1.4I\par } </v>
      </c>
      <c r="AM2812" t="str">
        <f t="shared" si="1823"/>
        <v>-</v>
      </c>
    </row>
    <row r="2813" spans="1:39" x14ac:dyDescent="0.25">
      <c r="A2813" t="str">
        <f>"FI30145"</f>
        <v>FI30145</v>
      </c>
      <c r="B2813" t="str">
        <f>"SENSOR RPM BMW 1  130 I - BMW 3  323 I / 325 I / 330 I / 335 "</f>
        <v xml:space="preserve">SENSOR RPM BMW 1  130 I - BMW 3  323 I / 325 I / 330 I / 335 </v>
      </c>
      <c r="C2813" t="str">
        <f>"$ 30457,16"</f>
        <v>$ 30457,16</v>
      </c>
      <c r="D2813" t="str">
        <f>"$ 30457,16"</f>
        <v>$ 30457,16</v>
      </c>
      <c r="E2813" t="str">
        <f>"$ 30457,16"</f>
        <v>$ 30457,16</v>
      </c>
      <c r="F2813" t="str">
        <f>"$ 30457,16"</f>
        <v>$ 30457,16</v>
      </c>
      <c r="G2813" t="str">
        <f>"$ 30457,16"</f>
        <v>$ 30457,16</v>
      </c>
      <c r="H2813" t="str">
        <f t="shared" si="1795"/>
        <v>$ 0,00</v>
      </c>
      <c r="I2813" t="str">
        <f t="shared" si="1820"/>
        <v>SENSOR RPM</v>
      </c>
      <c r="J2813" t="str">
        <f t="shared" si="1796"/>
        <v>1</v>
      </c>
      <c r="K2813" t="str">
        <f>"1"</f>
        <v>1</v>
      </c>
      <c r="L2813" t="str">
        <f>"0,000"</f>
        <v>0,000</v>
      </c>
      <c r="M2813" t="str">
        <f t="shared" si="1797"/>
        <v xml:space="preserve"> </v>
      </c>
      <c r="N2813" t="str">
        <f t="shared" si="1822"/>
        <v>FISPA</v>
      </c>
      <c r="O2813" t="str">
        <f t="shared" si="1819"/>
        <v>SENSORES</v>
      </c>
      <c r="P2813" t="str">
        <f t="shared" si="1829"/>
        <v>0</v>
      </c>
      <c r="Q2813" t="str">
        <f t="shared" si="1829"/>
        <v>0</v>
      </c>
      <c r="R2813" t="str">
        <f t="shared" si="1830"/>
        <v>0,00</v>
      </c>
      <c r="S2813" t="str">
        <f t="shared" si="1830"/>
        <v>0,00</v>
      </c>
      <c r="T2813" t="str">
        <f t="shared" si="1792"/>
        <v xml:space="preserve"> </v>
      </c>
      <c r="U2813" t="str">
        <f t="shared" si="1794"/>
        <v xml:space="preserve"> </v>
      </c>
      <c r="V2813" t="str">
        <f>"0,000"</f>
        <v>0,000</v>
      </c>
      <c r="W2813" t="str">
        <f t="shared" si="1798"/>
        <v>Lista 4</v>
      </c>
      <c r="X2813" t="str">
        <f t="shared" si="1799"/>
        <v>Lista 5</v>
      </c>
      <c r="Y2813" t="str">
        <f t="shared" si="1800"/>
        <v>Oferta Gral.</v>
      </c>
      <c r="Z2813" t="str">
        <f t="shared" si="1801"/>
        <v>Rubro</v>
      </c>
      <c r="AA2813" t="str">
        <f t="shared" si="1802"/>
        <v>Cantidad por Bulto</v>
      </c>
      <c r="AB2813" t="str">
        <f t="shared" si="1803"/>
        <v>INNER</v>
      </c>
      <c r="AC2813" t="str">
        <f t="shared" si="1804"/>
        <v>Stock en Bultos</v>
      </c>
      <c r="AD2813" t="str">
        <f t="shared" si="1805"/>
        <v>SubDepósito</v>
      </c>
      <c r="AE2813" t="str">
        <f t="shared" si="1806"/>
        <v>Marca</v>
      </c>
      <c r="AF2813" t="str">
        <f t="shared" si="1807"/>
        <v>Super Rubro</v>
      </c>
      <c r="AG2813" t="str">
        <f t="shared" si="1808"/>
        <v>ComercioExterior</v>
      </c>
      <c r="AH2813" t="str">
        <f t="shared" si="1809"/>
        <v>PrecioFOB</v>
      </c>
      <c r="AI2813" t="str">
        <f t="shared" si="1810"/>
        <v>Monto II</v>
      </c>
      <c r="AJ2813" t="str">
        <f t="shared" si="1811"/>
        <v>Porcentaje II</v>
      </c>
      <c r="AK2813" t="str">
        <f t="shared" si="1812"/>
        <v>Foto</v>
      </c>
      <c r="AL281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13" t="str">
        <f t="shared" si="1823"/>
        <v>-</v>
      </c>
    </row>
    <row r="2814" spans="1:39" x14ac:dyDescent="0.25">
      <c r="A2814" t="str">
        <f>"FI30134"</f>
        <v>FI30134</v>
      </c>
      <c r="B2814" t="str">
        <f>"SENSOR RPM BMW SERIE 6 E63 645CI 2004 BMW SERIE 7  E38 728I 95 &lt; 2001 – BMW 7 E65"</f>
        <v>SENSOR RPM BMW SERIE 6 E63 645CI 2004 BMW SERIE 7  E38 728I 95 &lt; 2001 – BMW 7 E65</v>
      </c>
      <c r="C2814" t="str">
        <f>"$ 29320,79"</f>
        <v>$ 29320,79</v>
      </c>
      <c r="D2814" t="str">
        <f>"$ 29320,79"</f>
        <v>$ 29320,79</v>
      </c>
      <c r="E2814" t="str">
        <f>"$ 29320,79"</f>
        <v>$ 29320,79</v>
      </c>
      <c r="F2814" t="str">
        <f>"$ 29320,79"</f>
        <v>$ 29320,79</v>
      </c>
      <c r="G2814" t="str">
        <f>"$ 29320,79"</f>
        <v>$ 29320,79</v>
      </c>
      <c r="H2814" t="str">
        <f t="shared" si="1795"/>
        <v>$ 0,00</v>
      </c>
      <c r="I2814" t="str">
        <f t="shared" si="1820"/>
        <v>SENSOR RPM</v>
      </c>
      <c r="J2814" t="str">
        <f t="shared" si="1796"/>
        <v>1</v>
      </c>
      <c r="K2814" t="str">
        <f>"1"</f>
        <v>1</v>
      </c>
      <c r="L2814" t="str">
        <f>"0,000"</f>
        <v>0,000</v>
      </c>
      <c r="M2814" t="str">
        <f t="shared" si="1797"/>
        <v xml:space="preserve"> </v>
      </c>
      <c r="N2814" t="str">
        <f t="shared" si="1822"/>
        <v>FISPA</v>
      </c>
      <c r="O2814" t="str">
        <f t="shared" si="1819"/>
        <v>SENSORES</v>
      </c>
      <c r="P2814" t="str">
        <f t="shared" si="1829"/>
        <v>0</v>
      </c>
      <c r="Q2814" t="str">
        <f t="shared" si="1829"/>
        <v>0</v>
      </c>
      <c r="R2814" t="str">
        <f t="shared" si="1830"/>
        <v>0,00</v>
      </c>
      <c r="S2814" t="str">
        <f t="shared" si="1830"/>
        <v>0,00</v>
      </c>
      <c r="T2814" t="str">
        <f t="shared" si="1792"/>
        <v xml:space="preserve"> </v>
      </c>
      <c r="U2814" t="str">
        <f t="shared" si="1794"/>
        <v xml:space="preserve"> </v>
      </c>
      <c r="V2814" t="str">
        <f>"0,000"</f>
        <v>0,000</v>
      </c>
      <c r="W2814" t="str">
        <f t="shared" si="1798"/>
        <v>Lista 4</v>
      </c>
      <c r="X2814" t="str">
        <f t="shared" si="1799"/>
        <v>Lista 5</v>
      </c>
      <c r="Y2814" t="str">
        <f t="shared" si="1800"/>
        <v>Oferta Gral.</v>
      </c>
      <c r="Z2814" t="str">
        <f t="shared" si="1801"/>
        <v>Rubro</v>
      </c>
      <c r="AA2814" t="str">
        <f t="shared" si="1802"/>
        <v>Cantidad por Bulto</v>
      </c>
      <c r="AB2814" t="str">
        <f t="shared" si="1803"/>
        <v>INNER</v>
      </c>
      <c r="AC2814" t="str">
        <f t="shared" si="1804"/>
        <v>Stock en Bultos</v>
      </c>
      <c r="AD2814" t="str">
        <f t="shared" si="1805"/>
        <v>SubDepósito</v>
      </c>
      <c r="AE2814" t="str">
        <f t="shared" si="1806"/>
        <v>Marca</v>
      </c>
      <c r="AF2814" t="str">
        <f t="shared" si="1807"/>
        <v>Super Rubro</v>
      </c>
      <c r="AG2814" t="str">
        <f t="shared" si="1808"/>
        <v>ComercioExterior</v>
      </c>
      <c r="AH2814" t="str">
        <f t="shared" si="1809"/>
        <v>PrecioFOB</v>
      </c>
      <c r="AI2814" t="str">
        <f t="shared" si="1810"/>
        <v>Monto II</v>
      </c>
      <c r="AJ2814" t="str">
        <f t="shared" si="1811"/>
        <v>Porcentaje II</v>
      </c>
      <c r="AK2814" t="str">
        <f t="shared" si="1812"/>
        <v>Foto</v>
      </c>
      <c r="AL281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14" t="str">
        <f t="shared" si="1823"/>
        <v>-</v>
      </c>
    </row>
    <row r="2815" spans="1:39" x14ac:dyDescent="0.25">
      <c r="A2815" t="str">
        <f>"FI30135"</f>
        <v>FI30135</v>
      </c>
      <c r="B2815" t="str">
        <f>"SENSOR RPM BMW SERIE BMW X3 E83 2.5I 2004 &lt; – 3.0I 2004 &lt; BMW X5   "</f>
        <v xml:space="preserve">SENSOR RPM BMW SERIE BMW X3 E83 2.5I 2004 &lt; – 3.0I 2004 &lt; BMW X5   </v>
      </c>
      <c r="C2815" t="str">
        <f>"$ 37623,19"</f>
        <v>$ 37623,19</v>
      </c>
      <c r="D2815" t="str">
        <f>"$ 37623,19"</f>
        <v>$ 37623,19</v>
      </c>
      <c r="E2815" t="str">
        <f>"$ 37623,19"</f>
        <v>$ 37623,19</v>
      </c>
      <c r="F2815" t="str">
        <f>"$ 37623,19"</f>
        <v>$ 37623,19</v>
      </c>
      <c r="G2815" t="str">
        <f>"$ 37623,19"</f>
        <v>$ 37623,19</v>
      </c>
      <c r="H2815" t="str">
        <f t="shared" si="1795"/>
        <v>$ 0,00</v>
      </c>
      <c r="I2815" t="str">
        <f t="shared" si="1820"/>
        <v>SENSOR RPM</v>
      </c>
      <c r="J2815" t="str">
        <f t="shared" si="1796"/>
        <v>1</v>
      </c>
      <c r="K2815" t="str">
        <f>"1"</f>
        <v>1</v>
      </c>
      <c r="L2815" t="str">
        <f>"0,000"</f>
        <v>0,000</v>
      </c>
      <c r="M2815" t="str">
        <f t="shared" si="1797"/>
        <v xml:space="preserve"> </v>
      </c>
      <c r="N2815" t="str">
        <f t="shared" si="1822"/>
        <v>FISPA</v>
      </c>
      <c r="O2815" t="str">
        <f t="shared" si="1819"/>
        <v>SENSORES</v>
      </c>
      <c r="P2815" t="str">
        <f t="shared" si="1829"/>
        <v>0</v>
      </c>
      <c r="Q2815" t="str">
        <f t="shared" si="1829"/>
        <v>0</v>
      </c>
      <c r="R2815" t="str">
        <f t="shared" si="1830"/>
        <v>0,00</v>
      </c>
      <c r="S2815" t="str">
        <f t="shared" si="1830"/>
        <v>0,00</v>
      </c>
      <c r="T2815" t="str">
        <f t="shared" ref="T2815:T2878" si="1832">" "</f>
        <v xml:space="preserve"> </v>
      </c>
      <c r="U2815" t="str">
        <f t="shared" si="1794"/>
        <v xml:space="preserve"> </v>
      </c>
      <c r="V2815" t="str">
        <f>"0,000"</f>
        <v>0,000</v>
      </c>
      <c r="W2815" t="str">
        <f t="shared" si="1798"/>
        <v>Lista 4</v>
      </c>
      <c r="X2815" t="str">
        <f t="shared" si="1799"/>
        <v>Lista 5</v>
      </c>
      <c r="Y2815" t="str">
        <f t="shared" si="1800"/>
        <v>Oferta Gral.</v>
      </c>
      <c r="Z2815" t="str">
        <f t="shared" si="1801"/>
        <v>Rubro</v>
      </c>
      <c r="AA2815" t="str">
        <f t="shared" si="1802"/>
        <v>Cantidad por Bulto</v>
      </c>
      <c r="AB2815" t="str">
        <f t="shared" si="1803"/>
        <v>INNER</v>
      </c>
      <c r="AC2815" t="str">
        <f t="shared" si="1804"/>
        <v>Stock en Bultos</v>
      </c>
      <c r="AD2815" t="str">
        <f t="shared" si="1805"/>
        <v>SubDepósito</v>
      </c>
      <c r="AE2815" t="str">
        <f t="shared" si="1806"/>
        <v>Marca</v>
      </c>
      <c r="AF2815" t="str">
        <f t="shared" si="1807"/>
        <v>Super Rubro</v>
      </c>
      <c r="AG2815" t="str">
        <f t="shared" si="1808"/>
        <v>ComercioExterior</v>
      </c>
      <c r="AH2815" t="str">
        <f t="shared" si="1809"/>
        <v>PrecioFOB</v>
      </c>
      <c r="AI2815" t="str">
        <f t="shared" si="1810"/>
        <v>Monto II</v>
      </c>
      <c r="AJ2815" t="str">
        <f t="shared" si="1811"/>
        <v>Porcentaje II</v>
      </c>
      <c r="AK2815" t="str">
        <f t="shared" si="1812"/>
        <v>Foto</v>
      </c>
      <c r="AL281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15" t="str">
        <f t="shared" si="1823"/>
        <v>-</v>
      </c>
    </row>
    <row r="2816" spans="1:39" x14ac:dyDescent="0.25">
      <c r="A2816" t="str">
        <f>"FI30044"</f>
        <v>FI30044</v>
      </c>
      <c r="B2816" t="str">
        <f>"SENSOR RPM BORA - GOLF - NEW BEETLE -PASSAT - POLO -SHARAN"</f>
        <v>SENSOR RPM BORA - GOLF - NEW BEETLE -PASSAT - POLO -SHARAN</v>
      </c>
      <c r="C2816" t="str">
        <f>"$ 20602,19"</f>
        <v>$ 20602,19</v>
      </c>
      <c r="D2816" t="str">
        <f>"$ 20602,19"</f>
        <v>$ 20602,19</v>
      </c>
      <c r="E2816" t="str">
        <f>"$ 20602,19"</f>
        <v>$ 20602,19</v>
      </c>
      <c r="F2816" t="str">
        <f>"$ 20602,19"</f>
        <v>$ 20602,19</v>
      </c>
      <c r="G2816" t="str">
        <f>"$ 20602,19"</f>
        <v>$ 20602,19</v>
      </c>
      <c r="H2816" t="str">
        <f t="shared" si="1795"/>
        <v>$ 0,00</v>
      </c>
      <c r="I2816" t="str">
        <f t="shared" si="1820"/>
        <v>SENSOR RPM</v>
      </c>
      <c r="J2816" t="str">
        <f t="shared" si="1796"/>
        <v>1</v>
      </c>
      <c r="K2816" t="str">
        <f>"1"</f>
        <v>1</v>
      </c>
      <c r="L2816" t="str">
        <f>"0,000"</f>
        <v>0,000</v>
      </c>
      <c r="M2816" t="str">
        <f t="shared" si="1797"/>
        <v xml:space="preserve"> </v>
      </c>
      <c r="N2816" t="str">
        <f t="shared" si="1822"/>
        <v>FISPA</v>
      </c>
      <c r="O2816" t="str">
        <f t="shared" ref="O2816:O2847" si="1833">"SENSORES"</f>
        <v>SENSORES</v>
      </c>
      <c r="P2816" t="str">
        <f t="shared" si="1829"/>
        <v>0</v>
      </c>
      <c r="Q2816" t="str">
        <f t="shared" si="1829"/>
        <v>0</v>
      </c>
      <c r="R2816" t="str">
        <f t="shared" si="1830"/>
        <v>0,00</v>
      </c>
      <c r="S2816" t="str">
        <f t="shared" si="1830"/>
        <v>0,00</v>
      </c>
      <c r="T2816" t="str">
        <f t="shared" si="1832"/>
        <v xml:space="preserve"> </v>
      </c>
      <c r="U2816" t="str">
        <f t="shared" si="1794"/>
        <v xml:space="preserve"> </v>
      </c>
      <c r="V2816" t="str">
        <f>"0,000"</f>
        <v>0,000</v>
      </c>
      <c r="W2816" t="str">
        <f t="shared" si="1798"/>
        <v>Lista 4</v>
      </c>
      <c r="X2816" t="str">
        <f t="shared" si="1799"/>
        <v>Lista 5</v>
      </c>
      <c r="Y2816" t="str">
        <f t="shared" si="1800"/>
        <v>Oferta Gral.</v>
      </c>
      <c r="Z2816" t="str">
        <f t="shared" si="1801"/>
        <v>Rubro</v>
      </c>
      <c r="AA2816" t="str">
        <f t="shared" si="1802"/>
        <v>Cantidad por Bulto</v>
      </c>
      <c r="AB2816" t="str">
        <f t="shared" si="1803"/>
        <v>INNER</v>
      </c>
      <c r="AC2816" t="str">
        <f t="shared" si="1804"/>
        <v>Stock en Bultos</v>
      </c>
      <c r="AD2816" t="str">
        <f t="shared" si="1805"/>
        <v>SubDepósito</v>
      </c>
      <c r="AE2816" t="str">
        <f t="shared" si="1806"/>
        <v>Marca</v>
      </c>
      <c r="AF2816" t="str">
        <f t="shared" si="1807"/>
        <v>Super Rubro</v>
      </c>
      <c r="AG2816" t="str">
        <f t="shared" si="1808"/>
        <v>ComercioExterior</v>
      </c>
      <c r="AH2816" t="str">
        <f t="shared" si="1809"/>
        <v>PrecioFOB</v>
      </c>
      <c r="AI2816" t="str">
        <f t="shared" si="1810"/>
        <v>Monto II</v>
      </c>
      <c r="AJ2816" t="str">
        <f t="shared" si="1811"/>
        <v>Porcentaje II</v>
      </c>
      <c r="AK2816" t="str">
        <f t="shared" si="1812"/>
        <v>Foto</v>
      </c>
      <c r="AL281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16" t="str">
        <f t="shared" si="1823"/>
        <v>-</v>
      </c>
    </row>
    <row r="2817" spans="1:39" x14ac:dyDescent="0.25">
      <c r="A2817" t="str">
        <f>"144441"</f>
        <v>144441</v>
      </c>
      <c r="B2817" t="str">
        <f>"SENSOR RPM BOUGICORD FRANCE  EXPRESS, 21, LAGUNA  C3J,F3N,J7T,Z7X)"</f>
        <v>SENSOR RPM BOUGICORD FRANCE  EXPRESS, 21, LAGUNA  C3J,F3N,J7T,Z7X)</v>
      </c>
      <c r="C2817" t="str">
        <f>"$ 29384,69"</f>
        <v>$ 29384,69</v>
      </c>
      <c r="D2817" t="str">
        <f>"$ 29384,69"</f>
        <v>$ 29384,69</v>
      </c>
      <c r="E2817" t="str">
        <f>"$ 29384,69"</f>
        <v>$ 29384,69</v>
      </c>
      <c r="F2817" t="str">
        <f>"$ 29384,69"</f>
        <v>$ 29384,69</v>
      </c>
      <c r="G2817" t="str">
        <f>"$ 29384,69"</f>
        <v>$ 29384,69</v>
      </c>
      <c r="H2817" t="str">
        <f t="shared" si="1795"/>
        <v>$ 0,00</v>
      </c>
      <c r="I2817" t="str">
        <f t="shared" si="1820"/>
        <v>SENSOR RPM</v>
      </c>
      <c r="J2817" t="str">
        <f t="shared" si="1796"/>
        <v>1</v>
      </c>
      <c r="K2817" t="str">
        <f t="shared" ref="K2817:K2825" si="1834">"0"</f>
        <v>0</v>
      </c>
      <c r="L2817" t="str">
        <f>"1,000"</f>
        <v>1,000</v>
      </c>
      <c r="M2817" t="str">
        <f t="shared" si="1797"/>
        <v xml:space="preserve"> </v>
      </c>
      <c r="N2817" t="str">
        <f t="shared" ref="N2817:N2825" si="1835">"BOUGICORD"</f>
        <v>BOUGICORD</v>
      </c>
      <c r="O2817" t="str">
        <f t="shared" si="1833"/>
        <v>SENSORES</v>
      </c>
      <c r="P2817" t="str">
        <f t="shared" si="1829"/>
        <v>0</v>
      </c>
      <c r="Q2817" t="str">
        <f t="shared" si="1829"/>
        <v>0</v>
      </c>
      <c r="R2817" t="str">
        <f t="shared" si="1830"/>
        <v>0,00</v>
      </c>
      <c r="S2817" t="str">
        <f t="shared" si="1830"/>
        <v>0,00</v>
      </c>
      <c r="T2817" t="str">
        <f t="shared" si="1832"/>
        <v xml:space="preserve"> </v>
      </c>
      <c r="U2817" t="str">
        <f t="shared" si="1794"/>
        <v xml:space="preserve"> </v>
      </c>
      <c r="V2817" t="str">
        <f>"1,000"</f>
        <v>1,000</v>
      </c>
      <c r="W2817" t="str">
        <f t="shared" si="1798"/>
        <v>Lista 4</v>
      </c>
      <c r="X2817" t="str">
        <f t="shared" si="1799"/>
        <v>Lista 5</v>
      </c>
      <c r="Y2817" t="str">
        <f t="shared" si="1800"/>
        <v>Oferta Gral.</v>
      </c>
      <c r="Z2817" t="str">
        <f t="shared" si="1801"/>
        <v>Rubro</v>
      </c>
      <c r="AA2817" t="str">
        <f t="shared" si="1802"/>
        <v>Cantidad por Bulto</v>
      </c>
      <c r="AB2817" t="str">
        <f t="shared" si="1803"/>
        <v>INNER</v>
      </c>
      <c r="AC2817" t="str">
        <f t="shared" si="1804"/>
        <v>Stock en Bultos</v>
      </c>
      <c r="AD2817" t="str">
        <f t="shared" si="1805"/>
        <v>SubDepósito</v>
      </c>
      <c r="AE2817" t="str">
        <f t="shared" si="1806"/>
        <v>Marca</v>
      </c>
      <c r="AF2817" t="str">
        <f t="shared" si="1807"/>
        <v>Super Rubro</v>
      </c>
      <c r="AG2817" t="str">
        <f t="shared" si="1808"/>
        <v>ComercioExterior</v>
      </c>
      <c r="AH2817" t="str">
        <f t="shared" si="1809"/>
        <v>PrecioFOB</v>
      </c>
      <c r="AI2817" t="str">
        <f t="shared" si="1810"/>
        <v>Monto II</v>
      </c>
      <c r="AJ2817" t="str">
        <f t="shared" si="1811"/>
        <v>Porcentaje II</v>
      </c>
      <c r="AK2817" t="str">
        <f t="shared" si="1812"/>
        <v>Foto</v>
      </c>
      <c r="AL2817" t="str">
        <f>"{\rtf1\ansi\ansicpg1252\deff0\deflang11274{\fonttbl{\f0\fnil\fcharset0 MS Sans Serif}} \viewkind4\uc1\pard\f0\fs16 SENSOR RPM BOUGICORD FRANCE  EXPRESS, 21, LAGUNA  C3J,F3N,J7T,Z7X)\par } "</f>
        <v xml:space="preserve">{\rtf1\ansi\ansicpg1252\deff0\deflang11274{\fonttbl{\f0\fnil\fcharset0 MS Sans Serif}} \viewkind4\uc1\pard\f0\fs16 SENSOR RPM BOUGICORD FRANCE  EXPRESS, 21, LAGUNA  C3J,F3N,J7T,Z7X)\par } </v>
      </c>
      <c r="AM2817" t="str">
        <f t="shared" si="1823"/>
        <v>-</v>
      </c>
    </row>
    <row r="2818" spans="1:39" x14ac:dyDescent="0.25">
      <c r="A2818" t="str">
        <f>"144328"</f>
        <v>144328</v>
      </c>
      <c r="B2818" t="str">
        <f>"SENSOR RPM BOUGICORD FRANCE CITROEN - BERLINGO - XSARA - PEUGEOT 306  406"</f>
        <v>SENSOR RPM BOUGICORD FRANCE CITROEN - BERLINGO - XSARA - PEUGEOT 306  406</v>
      </c>
      <c r="C2818" t="str">
        <f>"$ 35606,82"</f>
        <v>$ 35606,82</v>
      </c>
      <c r="D2818" t="str">
        <f>"$ 35606,82"</f>
        <v>$ 35606,82</v>
      </c>
      <c r="E2818" t="str">
        <f>"$ 35606,82"</f>
        <v>$ 35606,82</v>
      </c>
      <c r="F2818" t="str">
        <f>"$ 35606,82"</f>
        <v>$ 35606,82</v>
      </c>
      <c r="G2818" t="str">
        <f>"$ 35606,82"</f>
        <v>$ 35606,82</v>
      </c>
      <c r="H2818" t="str">
        <f t="shared" si="1795"/>
        <v>$ 0,00</v>
      </c>
      <c r="I2818" t="str">
        <f t="shared" si="1820"/>
        <v>SENSOR RPM</v>
      </c>
      <c r="J2818" t="str">
        <f t="shared" si="1796"/>
        <v>1</v>
      </c>
      <c r="K2818" t="str">
        <f t="shared" si="1834"/>
        <v>0</v>
      </c>
      <c r="L2818" t="str">
        <f>"1,000"</f>
        <v>1,000</v>
      </c>
      <c r="M2818" t="str">
        <f t="shared" si="1797"/>
        <v xml:space="preserve"> </v>
      </c>
      <c r="N2818" t="str">
        <f t="shared" si="1835"/>
        <v>BOUGICORD</v>
      </c>
      <c r="O2818" t="str">
        <f t="shared" si="1833"/>
        <v>SENSORES</v>
      </c>
      <c r="P2818" t="str">
        <f t="shared" si="1829"/>
        <v>0</v>
      </c>
      <c r="Q2818" t="str">
        <f t="shared" si="1829"/>
        <v>0</v>
      </c>
      <c r="R2818" t="str">
        <f t="shared" si="1830"/>
        <v>0,00</v>
      </c>
      <c r="S2818" t="str">
        <f t="shared" si="1830"/>
        <v>0,00</v>
      </c>
      <c r="T2818" t="str">
        <f t="shared" si="1832"/>
        <v xml:space="preserve"> </v>
      </c>
      <c r="U2818" t="str">
        <f t="shared" ref="U2818:U2881" si="1836">" "</f>
        <v xml:space="preserve"> </v>
      </c>
      <c r="V2818" t="str">
        <f>"1,000"</f>
        <v>1,000</v>
      </c>
      <c r="W2818" t="str">
        <f t="shared" si="1798"/>
        <v>Lista 4</v>
      </c>
      <c r="X2818" t="str">
        <f t="shared" si="1799"/>
        <v>Lista 5</v>
      </c>
      <c r="Y2818" t="str">
        <f t="shared" si="1800"/>
        <v>Oferta Gral.</v>
      </c>
      <c r="Z2818" t="str">
        <f t="shared" si="1801"/>
        <v>Rubro</v>
      </c>
      <c r="AA2818" t="str">
        <f t="shared" si="1802"/>
        <v>Cantidad por Bulto</v>
      </c>
      <c r="AB2818" t="str">
        <f t="shared" si="1803"/>
        <v>INNER</v>
      </c>
      <c r="AC2818" t="str">
        <f t="shared" si="1804"/>
        <v>Stock en Bultos</v>
      </c>
      <c r="AD2818" t="str">
        <f t="shared" si="1805"/>
        <v>SubDepósito</v>
      </c>
      <c r="AE2818" t="str">
        <f t="shared" si="1806"/>
        <v>Marca</v>
      </c>
      <c r="AF2818" t="str">
        <f t="shared" si="1807"/>
        <v>Super Rubro</v>
      </c>
      <c r="AG2818" t="str">
        <f t="shared" si="1808"/>
        <v>ComercioExterior</v>
      </c>
      <c r="AH2818" t="str">
        <f t="shared" si="1809"/>
        <v>PrecioFOB</v>
      </c>
      <c r="AI2818" t="str">
        <f t="shared" si="1810"/>
        <v>Monto II</v>
      </c>
      <c r="AJ2818" t="str">
        <f t="shared" si="1811"/>
        <v>Porcentaje II</v>
      </c>
      <c r="AK2818" t="str">
        <f t="shared" si="1812"/>
        <v>Foto</v>
      </c>
      <c r="AL2818" t="str">
        <f>"{\rtf1\ansi\ansicpg1252\deff0\deflang11274{\fonttbl{\f0\fnil\fcharset0 MS Sans Serif}} \viewkind4\uc1\pard\f0\fs16 SENSOR RPM BOUGICORD FRANCE CITROEN - BERLINGO - XSARA - PEUGEOT 306  406\par } "</f>
        <v xml:space="preserve">{\rtf1\ansi\ansicpg1252\deff0\deflang11274{\fonttbl{\f0\fnil\fcharset0 MS Sans Serif}} \viewkind4\uc1\pard\f0\fs16 SENSOR RPM BOUGICORD FRANCE CITROEN - BERLINGO - XSARA - PEUGEOT 306  406\par } </v>
      </c>
      <c r="AM2818" t="str">
        <f t="shared" si="1823"/>
        <v>-</v>
      </c>
    </row>
    <row r="2819" spans="1:39" x14ac:dyDescent="0.25">
      <c r="A2819" t="str">
        <f>"144329"</f>
        <v>144329</v>
      </c>
      <c r="B2819" t="str">
        <f>"SENSOR RPM BOUGICORD FRANCE CITROEN - PICASSO - PEUGEOT 406 607 - PARTNER"</f>
        <v>SENSOR RPM BOUGICORD FRANCE CITROEN - PICASSO - PEUGEOT 406 607 - PARTNER</v>
      </c>
      <c r="C2819" t="str">
        <f>"$ 2139,93"</f>
        <v>$ 2139,93</v>
      </c>
      <c r="D2819" t="str">
        <f>"$ 1268,74"</f>
        <v>$ 1268,74</v>
      </c>
      <c r="E2819" t="str">
        <f>"$ 2139,93"</f>
        <v>$ 2139,93</v>
      </c>
      <c r="F2819" t="str">
        <f>"$ 0,00"</f>
        <v>$ 0,00</v>
      </c>
      <c r="G2819" t="str">
        <f>"$ 0,00"</f>
        <v>$ 0,00</v>
      </c>
      <c r="H2819" t="str">
        <f t="shared" ref="H2819:H2882" si="1837">"$ 0,00"</f>
        <v>$ 0,00</v>
      </c>
      <c r="I2819" t="str">
        <f t="shared" ref="I2819:I2850" si="1838">"SENSOR RPM"</f>
        <v>SENSOR RPM</v>
      </c>
      <c r="J2819" t="str">
        <f t="shared" ref="J2819:J2882" si="1839">"1"</f>
        <v>1</v>
      </c>
      <c r="K2819" t="str">
        <f t="shared" si="1834"/>
        <v>0</v>
      </c>
      <c r="L2819" t="str">
        <f>"1,000"</f>
        <v>1,000</v>
      </c>
      <c r="M2819" t="str">
        <f t="shared" ref="M2819:M2882" si="1840">" "</f>
        <v xml:space="preserve"> </v>
      </c>
      <c r="N2819" t="str">
        <f t="shared" si="1835"/>
        <v>BOUGICORD</v>
      </c>
      <c r="O2819" t="str">
        <f t="shared" si="1833"/>
        <v>SENSORES</v>
      </c>
      <c r="P2819" t="str">
        <f t="shared" si="1829"/>
        <v>0</v>
      </c>
      <c r="Q2819" t="str">
        <f t="shared" si="1829"/>
        <v>0</v>
      </c>
      <c r="R2819" t="str">
        <f t="shared" si="1830"/>
        <v>0,00</v>
      </c>
      <c r="S2819" t="str">
        <f t="shared" si="1830"/>
        <v>0,00</v>
      </c>
      <c r="T2819" t="str">
        <f t="shared" si="1832"/>
        <v xml:space="preserve"> </v>
      </c>
      <c r="U2819" t="str">
        <f t="shared" si="1836"/>
        <v xml:space="preserve"> </v>
      </c>
      <c r="V2819" t="str">
        <f>"1,000"</f>
        <v>1,000</v>
      </c>
      <c r="W2819" t="str">
        <f t="shared" ref="W2819:W2882" si="1841">"Lista 4"</f>
        <v>Lista 4</v>
      </c>
      <c r="X2819" t="str">
        <f t="shared" ref="X2819:X2882" si="1842">"Lista 5"</f>
        <v>Lista 5</v>
      </c>
      <c r="Y2819" t="str">
        <f t="shared" ref="Y2819:Y2882" si="1843">"Oferta Gral."</f>
        <v>Oferta Gral.</v>
      </c>
      <c r="Z2819" t="str">
        <f t="shared" ref="Z2819:Z2882" si="1844">"Rubro"</f>
        <v>Rubro</v>
      </c>
      <c r="AA2819" t="str">
        <f t="shared" ref="AA2819:AA2882" si="1845">"Cantidad por Bulto"</f>
        <v>Cantidad por Bulto</v>
      </c>
      <c r="AB2819" t="str">
        <f t="shared" ref="AB2819:AB2882" si="1846">"INNER"</f>
        <v>INNER</v>
      </c>
      <c r="AC2819" t="str">
        <f t="shared" ref="AC2819:AC2882" si="1847">"Stock en Bultos"</f>
        <v>Stock en Bultos</v>
      </c>
      <c r="AD2819" t="str">
        <f t="shared" ref="AD2819:AD2882" si="1848">"SubDepósito"</f>
        <v>SubDepósito</v>
      </c>
      <c r="AE2819" t="str">
        <f t="shared" ref="AE2819:AE2882" si="1849">"Marca"</f>
        <v>Marca</v>
      </c>
      <c r="AF2819" t="str">
        <f t="shared" ref="AF2819:AF2882" si="1850">"Super Rubro"</f>
        <v>Super Rubro</v>
      </c>
      <c r="AG2819" t="str">
        <f t="shared" ref="AG2819:AG2882" si="1851">"ComercioExterior"</f>
        <v>ComercioExterior</v>
      </c>
      <c r="AH2819" t="str">
        <f t="shared" ref="AH2819:AH2882" si="1852">"PrecioFOB"</f>
        <v>PrecioFOB</v>
      </c>
      <c r="AI2819" t="str">
        <f t="shared" ref="AI2819:AI2882" si="1853">"Monto II"</f>
        <v>Monto II</v>
      </c>
      <c r="AJ2819" t="str">
        <f t="shared" ref="AJ2819:AJ2882" si="1854">"Porcentaje II"</f>
        <v>Porcentaje II</v>
      </c>
      <c r="AK2819" t="str">
        <f t="shared" ref="AK2819:AK2882" si="1855">"Foto"</f>
        <v>Foto</v>
      </c>
      <c r="AL281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19" t="str">
        <f t="shared" ref="AM2819:AM2850" si="1856">"-"</f>
        <v>-</v>
      </c>
    </row>
    <row r="2820" spans="1:39" x14ac:dyDescent="0.25">
      <c r="A2820" t="str">
        <f>"144339"</f>
        <v>144339</v>
      </c>
      <c r="B2820" t="str">
        <f>"SENSOR RPM BOUGICORD FRANCE CITROEN C3 - P206/307 1.4 HDI DV4TD DV4TED4 DIESEL"</f>
        <v>SENSOR RPM BOUGICORD FRANCE CITROEN C3 - P206/307 1.4 HDI DV4TD DV4TED4 DIESEL</v>
      </c>
      <c r="C2820" t="str">
        <f>"$ 37884,97"</f>
        <v>$ 37884,97</v>
      </c>
      <c r="D2820" t="str">
        <f>"$ 37884,97"</f>
        <v>$ 37884,97</v>
      </c>
      <c r="E2820" t="str">
        <f>"$ 37884,97"</f>
        <v>$ 37884,97</v>
      </c>
      <c r="F2820" t="str">
        <f>"$ 37884,97"</f>
        <v>$ 37884,97</v>
      </c>
      <c r="G2820" t="str">
        <f>"$ 37884,97"</f>
        <v>$ 37884,97</v>
      </c>
      <c r="H2820" t="str">
        <f t="shared" si="1837"/>
        <v>$ 0,00</v>
      </c>
      <c r="I2820" t="str">
        <f t="shared" si="1838"/>
        <v>SENSOR RPM</v>
      </c>
      <c r="J2820" t="str">
        <f t="shared" si="1839"/>
        <v>1</v>
      </c>
      <c r="K2820" t="str">
        <f t="shared" si="1834"/>
        <v>0</v>
      </c>
      <c r="L2820" t="str">
        <f>"0,000"</f>
        <v>0,000</v>
      </c>
      <c r="M2820" t="str">
        <f t="shared" si="1840"/>
        <v xml:space="preserve"> </v>
      </c>
      <c r="N2820" t="str">
        <f t="shared" si="1835"/>
        <v>BOUGICORD</v>
      </c>
      <c r="O2820" t="str">
        <f t="shared" si="1833"/>
        <v>SENSORES</v>
      </c>
      <c r="P2820" t="str">
        <f t="shared" si="1829"/>
        <v>0</v>
      </c>
      <c r="Q2820" t="str">
        <f t="shared" si="1829"/>
        <v>0</v>
      </c>
      <c r="R2820" t="str">
        <f t="shared" si="1830"/>
        <v>0,00</v>
      </c>
      <c r="S2820" t="str">
        <f t="shared" si="1830"/>
        <v>0,00</v>
      </c>
      <c r="T2820" t="str">
        <f t="shared" si="1832"/>
        <v xml:space="preserve"> </v>
      </c>
      <c r="U2820" t="str">
        <f t="shared" si="1836"/>
        <v xml:space="preserve"> </v>
      </c>
      <c r="V2820" t="str">
        <f>"0,000"</f>
        <v>0,000</v>
      </c>
      <c r="W2820" t="str">
        <f t="shared" si="1841"/>
        <v>Lista 4</v>
      </c>
      <c r="X2820" t="str">
        <f t="shared" si="1842"/>
        <v>Lista 5</v>
      </c>
      <c r="Y2820" t="str">
        <f t="shared" si="1843"/>
        <v>Oferta Gral.</v>
      </c>
      <c r="Z2820" t="str">
        <f t="shared" si="1844"/>
        <v>Rubro</v>
      </c>
      <c r="AA2820" t="str">
        <f t="shared" si="1845"/>
        <v>Cantidad por Bulto</v>
      </c>
      <c r="AB2820" t="str">
        <f t="shared" si="1846"/>
        <v>INNER</v>
      </c>
      <c r="AC2820" t="str">
        <f t="shared" si="1847"/>
        <v>Stock en Bultos</v>
      </c>
      <c r="AD2820" t="str">
        <f t="shared" si="1848"/>
        <v>SubDepósito</v>
      </c>
      <c r="AE2820" t="str">
        <f t="shared" si="1849"/>
        <v>Marca</v>
      </c>
      <c r="AF2820" t="str">
        <f t="shared" si="1850"/>
        <v>Super Rubro</v>
      </c>
      <c r="AG2820" t="str">
        <f t="shared" si="1851"/>
        <v>ComercioExterior</v>
      </c>
      <c r="AH2820" t="str">
        <f t="shared" si="1852"/>
        <v>PrecioFOB</v>
      </c>
      <c r="AI2820" t="str">
        <f t="shared" si="1853"/>
        <v>Monto II</v>
      </c>
      <c r="AJ2820" t="str">
        <f t="shared" si="1854"/>
        <v>Porcentaje II</v>
      </c>
      <c r="AK2820" t="str">
        <f t="shared" si="1855"/>
        <v>Foto</v>
      </c>
      <c r="AL2820" t="str">
        <f>"{\rtf1\ansi\ansicpg1252\deff0\deflang11274{\fonttbl{\f0\fnil\fcharset0 MS Sans Serif}} \viewkind4\uc1\pard\f0\fs16 SENSOR RPM BOUGICORD FRANCE CITROEN C3 - P206/307 1.4 HDI DV4TD DV4TED4 DIESEL\par } "</f>
        <v xml:space="preserve">{\rtf1\ansi\ansicpg1252\deff0\deflang11274{\fonttbl{\f0\fnil\fcharset0 MS Sans Serif}} \viewkind4\uc1\pard\f0\fs16 SENSOR RPM BOUGICORD FRANCE CITROEN C3 - P206/307 1.4 HDI DV4TD DV4TED4 DIESEL\par } </v>
      </c>
      <c r="AM2820" t="str">
        <f t="shared" si="1856"/>
        <v>-</v>
      </c>
    </row>
    <row r="2821" spans="1:39" x14ac:dyDescent="0.25">
      <c r="A2821" t="str">
        <f>"144327"</f>
        <v>144327</v>
      </c>
      <c r="B2821" t="str">
        <f>"SENSOR RPM BOUGICORD FRANCE CITROEN C4 – PICASSO - PEUGEOT 206  307"</f>
        <v>SENSOR RPM BOUGICORD FRANCE CITROEN C4 – PICASSO - PEUGEOT 206  307</v>
      </c>
      <c r="C2821" t="str">
        <f>"$ 29183,43"</f>
        <v>$ 29183,43</v>
      </c>
      <c r="D2821" t="str">
        <f>"$ 29183,43"</f>
        <v>$ 29183,43</v>
      </c>
      <c r="E2821" t="str">
        <f>"$ 29183,43"</f>
        <v>$ 29183,43</v>
      </c>
      <c r="F2821" t="str">
        <f>"$ 29183,43"</f>
        <v>$ 29183,43</v>
      </c>
      <c r="G2821" t="str">
        <f>"$ 29183,43"</f>
        <v>$ 29183,43</v>
      </c>
      <c r="H2821" t="str">
        <f t="shared" si="1837"/>
        <v>$ 0,00</v>
      </c>
      <c r="I2821" t="str">
        <f t="shared" si="1838"/>
        <v>SENSOR RPM</v>
      </c>
      <c r="J2821" t="str">
        <f t="shared" si="1839"/>
        <v>1</v>
      </c>
      <c r="K2821" t="str">
        <f t="shared" si="1834"/>
        <v>0</v>
      </c>
      <c r="L2821" t="str">
        <f>"2,000"</f>
        <v>2,000</v>
      </c>
      <c r="M2821" t="str">
        <f t="shared" si="1840"/>
        <v xml:space="preserve"> </v>
      </c>
      <c r="N2821" t="str">
        <f t="shared" si="1835"/>
        <v>BOUGICORD</v>
      </c>
      <c r="O2821" t="str">
        <f t="shared" si="1833"/>
        <v>SENSORES</v>
      </c>
      <c r="P2821" t="str">
        <f t="shared" si="1829"/>
        <v>0</v>
      </c>
      <c r="Q2821" t="str">
        <f t="shared" si="1829"/>
        <v>0</v>
      </c>
      <c r="R2821" t="str">
        <f t="shared" si="1830"/>
        <v>0,00</v>
      </c>
      <c r="S2821" t="str">
        <f t="shared" si="1830"/>
        <v>0,00</v>
      </c>
      <c r="T2821" t="str">
        <f t="shared" si="1832"/>
        <v xml:space="preserve"> </v>
      </c>
      <c r="U2821" t="str">
        <f t="shared" si="1836"/>
        <v xml:space="preserve"> </v>
      </c>
      <c r="V2821" t="str">
        <f>"2,000"</f>
        <v>2,000</v>
      </c>
      <c r="W2821" t="str">
        <f t="shared" si="1841"/>
        <v>Lista 4</v>
      </c>
      <c r="X2821" t="str">
        <f t="shared" si="1842"/>
        <v>Lista 5</v>
      </c>
      <c r="Y2821" t="str">
        <f t="shared" si="1843"/>
        <v>Oferta Gral.</v>
      </c>
      <c r="Z2821" t="str">
        <f t="shared" si="1844"/>
        <v>Rubro</v>
      </c>
      <c r="AA2821" t="str">
        <f t="shared" si="1845"/>
        <v>Cantidad por Bulto</v>
      </c>
      <c r="AB2821" t="str">
        <f t="shared" si="1846"/>
        <v>INNER</v>
      </c>
      <c r="AC2821" t="str">
        <f t="shared" si="1847"/>
        <v>Stock en Bultos</v>
      </c>
      <c r="AD2821" t="str">
        <f t="shared" si="1848"/>
        <v>SubDepósito</v>
      </c>
      <c r="AE2821" t="str">
        <f t="shared" si="1849"/>
        <v>Marca</v>
      </c>
      <c r="AF2821" t="str">
        <f t="shared" si="1850"/>
        <v>Super Rubro</v>
      </c>
      <c r="AG2821" t="str">
        <f t="shared" si="1851"/>
        <v>ComercioExterior</v>
      </c>
      <c r="AH2821" t="str">
        <f t="shared" si="1852"/>
        <v>PrecioFOB</v>
      </c>
      <c r="AI2821" t="str">
        <f t="shared" si="1853"/>
        <v>Monto II</v>
      </c>
      <c r="AJ2821" t="str">
        <f t="shared" si="1854"/>
        <v>Porcentaje II</v>
      </c>
      <c r="AK2821" t="str">
        <f t="shared" si="1855"/>
        <v>Foto</v>
      </c>
      <c r="AL2821" t="str">
        <f>"{\rtf1\ansi\ansicpg1252\deff0\deflang11274{\fonttbl{\f0\fnil\fcharset0 MS Sans Serif}} \viewkind4\uc1\pard\f0\fs16 SENSOR RPM BOUGICORD FRANCE CITROEN C4 \endash  PICASSO - PEUGEOT 206  307\par } "</f>
        <v xml:space="preserve">{\rtf1\ansi\ansicpg1252\deff0\deflang11274{\fonttbl{\f0\fnil\fcharset0 MS Sans Serif}} \viewkind4\uc1\pard\f0\fs16 SENSOR RPM BOUGICORD FRANCE CITROEN C4 \endash  PICASSO - PEUGEOT 206  307\par } </v>
      </c>
      <c r="AM2821" t="str">
        <f t="shared" si="1856"/>
        <v>-</v>
      </c>
    </row>
    <row r="2822" spans="1:39" x14ac:dyDescent="0.25">
      <c r="A2822" t="str">
        <f>"144331"</f>
        <v>144331</v>
      </c>
      <c r="B2822" t="str">
        <f>"SENSOR RPM BOUGICORD FRANCE CITROEN – JUMPER – XANTIA -  XSARA -  P307 406"</f>
        <v>SENSOR RPM BOUGICORD FRANCE CITROEN – JUMPER – XANTIA -  XSARA -  P307 406</v>
      </c>
      <c r="C2822" t="str">
        <f>"$ 35508,30"</f>
        <v>$ 35508,30</v>
      </c>
      <c r="D2822" t="str">
        <f>"$ 35508,30"</f>
        <v>$ 35508,30</v>
      </c>
      <c r="E2822" t="str">
        <f>"$ 35508,30"</f>
        <v>$ 35508,30</v>
      </c>
      <c r="F2822" t="str">
        <f>"$ 35508,30"</f>
        <v>$ 35508,30</v>
      </c>
      <c r="G2822" t="str">
        <f>"$ 35508,30"</f>
        <v>$ 35508,30</v>
      </c>
      <c r="H2822" t="str">
        <f t="shared" si="1837"/>
        <v>$ 0,00</v>
      </c>
      <c r="I2822" t="str">
        <f t="shared" si="1838"/>
        <v>SENSOR RPM</v>
      </c>
      <c r="J2822" t="str">
        <f t="shared" si="1839"/>
        <v>1</v>
      </c>
      <c r="K2822" t="str">
        <f t="shared" si="1834"/>
        <v>0</v>
      </c>
      <c r="L2822" t="str">
        <f>"3,000"</f>
        <v>3,000</v>
      </c>
      <c r="M2822" t="str">
        <f t="shared" si="1840"/>
        <v xml:space="preserve"> </v>
      </c>
      <c r="N2822" t="str">
        <f t="shared" si="1835"/>
        <v>BOUGICORD</v>
      </c>
      <c r="O2822" t="str">
        <f t="shared" si="1833"/>
        <v>SENSORES</v>
      </c>
      <c r="P2822" t="str">
        <f t="shared" si="1829"/>
        <v>0</v>
      </c>
      <c r="Q2822" t="str">
        <f t="shared" si="1829"/>
        <v>0</v>
      </c>
      <c r="R2822" t="str">
        <f t="shared" si="1830"/>
        <v>0,00</v>
      </c>
      <c r="S2822" t="str">
        <f t="shared" si="1830"/>
        <v>0,00</v>
      </c>
      <c r="T2822" t="str">
        <f t="shared" si="1832"/>
        <v xml:space="preserve"> </v>
      </c>
      <c r="U2822" t="str">
        <f t="shared" si="1836"/>
        <v xml:space="preserve"> </v>
      </c>
      <c r="V2822" t="str">
        <f>"3,000"</f>
        <v>3,000</v>
      </c>
      <c r="W2822" t="str">
        <f t="shared" si="1841"/>
        <v>Lista 4</v>
      </c>
      <c r="X2822" t="str">
        <f t="shared" si="1842"/>
        <v>Lista 5</v>
      </c>
      <c r="Y2822" t="str">
        <f t="shared" si="1843"/>
        <v>Oferta Gral.</v>
      </c>
      <c r="Z2822" t="str">
        <f t="shared" si="1844"/>
        <v>Rubro</v>
      </c>
      <c r="AA2822" t="str">
        <f t="shared" si="1845"/>
        <v>Cantidad por Bulto</v>
      </c>
      <c r="AB2822" t="str">
        <f t="shared" si="1846"/>
        <v>INNER</v>
      </c>
      <c r="AC2822" t="str">
        <f t="shared" si="1847"/>
        <v>Stock en Bultos</v>
      </c>
      <c r="AD2822" t="str">
        <f t="shared" si="1848"/>
        <v>SubDepósito</v>
      </c>
      <c r="AE2822" t="str">
        <f t="shared" si="1849"/>
        <v>Marca</v>
      </c>
      <c r="AF2822" t="str">
        <f t="shared" si="1850"/>
        <v>Super Rubro</v>
      </c>
      <c r="AG2822" t="str">
        <f t="shared" si="1851"/>
        <v>ComercioExterior</v>
      </c>
      <c r="AH2822" t="str">
        <f t="shared" si="1852"/>
        <v>PrecioFOB</v>
      </c>
      <c r="AI2822" t="str">
        <f t="shared" si="1853"/>
        <v>Monto II</v>
      </c>
      <c r="AJ2822" t="str">
        <f t="shared" si="1854"/>
        <v>Porcentaje II</v>
      </c>
      <c r="AK2822" t="str">
        <f t="shared" si="1855"/>
        <v>Foto</v>
      </c>
      <c r="AL2822" t="str">
        <f>"{\rtf1\ansi\ansicpg1252\deff0\deflang11274{\fonttbl{\f0\fnil\fcharset0 MS Sans Serif}} \viewkind4\uc1\pard\f0\fs16 SENSOR RPM BOUGICORD FRANCE CITROEN \endash  JUMPER \endash  XANTIA -  XSARA -  P307 406\par } "</f>
        <v xml:space="preserve">{\rtf1\ansi\ansicpg1252\deff0\deflang11274{\fonttbl{\f0\fnil\fcharset0 MS Sans Serif}} \viewkind4\uc1\pard\f0\fs16 SENSOR RPM BOUGICORD FRANCE CITROEN \endash  JUMPER \endash  XANTIA -  XSARA -  P307 406\par } </v>
      </c>
      <c r="AM2822" t="str">
        <f t="shared" si="1856"/>
        <v>-</v>
      </c>
    </row>
    <row r="2823" spans="1:39" x14ac:dyDescent="0.25">
      <c r="A2823" t="str">
        <f>"144436"</f>
        <v>144436</v>
      </c>
      <c r="B2823" t="str">
        <f>"SENSOR RPM BOUGICORD FRANCE CLIO, EXPRESS, 21 (MOTOR C1E,F2N,C1J, F2R)"</f>
        <v>SENSOR RPM BOUGICORD FRANCE CLIO, EXPRESS, 21 (MOTOR C1E,F2N,C1J, F2R)</v>
      </c>
      <c r="C2823" t="str">
        <f>"$ 24635,73"</f>
        <v>$ 24635,73</v>
      </c>
      <c r="D2823" t="str">
        <f>"$ 24635,73"</f>
        <v>$ 24635,73</v>
      </c>
      <c r="E2823" t="str">
        <f>"$ 24635,73"</f>
        <v>$ 24635,73</v>
      </c>
      <c r="F2823" t="str">
        <f>"$ 24635,73"</f>
        <v>$ 24635,73</v>
      </c>
      <c r="G2823" t="str">
        <f>"$ 24635,73"</f>
        <v>$ 24635,73</v>
      </c>
      <c r="H2823" t="str">
        <f t="shared" si="1837"/>
        <v>$ 0,00</v>
      </c>
      <c r="I2823" t="str">
        <f t="shared" si="1838"/>
        <v>SENSOR RPM</v>
      </c>
      <c r="J2823" t="str">
        <f t="shared" si="1839"/>
        <v>1</v>
      </c>
      <c r="K2823" t="str">
        <f t="shared" si="1834"/>
        <v>0</v>
      </c>
      <c r="L2823" t="str">
        <f>"1,000"</f>
        <v>1,000</v>
      </c>
      <c r="M2823" t="str">
        <f t="shared" si="1840"/>
        <v xml:space="preserve"> </v>
      </c>
      <c r="N2823" t="str">
        <f t="shared" si="1835"/>
        <v>BOUGICORD</v>
      </c>
      <c r="O2823" t="str">
        <f t="shared" si="1833"/>
        <v>SENSORES</v>
      </c>
      <c r="P2823" t="str">
        <f t="shared" ref="P2823:Q2842" si="1857">"0"</f>
        <v>0</v>
      </c>
      <c r="Q2823" t="str">
        <f t="shared" si="1857"/>
        <v>0</v>
      </c>
      <c r="R2823" t="str">
        <f t="shared" ref="R2823:S2842" si="1858">"0,00"</f>
        <v>0,00</v>
      </c>
      <c r="S2823" t="str">
        <f t="shared" si="1858"/>
        <v>0,00</v>
      </c>
      <c r="T2823" t="str">
        <f t="shared" si="1832"/>
        <v xml:space="preserve"> </v>
      </c>
      <c r="U2823" t="str">
        <f t="shared" si="1836"/>
        <v xml:space="preserve"> </v>
      </c>
      <c r="V2823" t="str">
        <f>"1,000"</f>
        <v>1,000</v>
      </c>
      <c r="W2823" t="str">
        <f t="shared" si="1841"/>
        <v>Lista 4</v>
      </c>
      <c r="X2823" t="str">
        <f t="shared" si="1842"/>
        <v>Lista 5</v>
      </c>
      <c r="Y2823" t="str">
        <f t="shared" si="1843"/>
        <v>Oferta Gral.</v>
      </c>
      <c r="Z2823" t="str">
        <f t="shared" si="1844"/>
        <v>Rubro</v>
      </c>
      <c r="AA2823" t="str">
        <f t="shared" si="1845"/>
        <v>Cantidad por Bulto</v>
      </c>
      <c r="AB2823" t="str">
        <f t="shared" si="1846"/>
        <v>INNER</v>
      </c>
      <c r="AC2823" t="str">
        <f t="shared" si="1847"/>
        <v>Stock en Bultos</v>
      </c>
      <c r="AD2823" t="str">
        <f t="shared" si="1848"/>
        <v>SubDepósito</v>
      </c>
      <c r="AE2823" t="str">
        <f t="shared" si="1849"/>
        <v>Marca</v>
      </c>
      <c r="AF2823" t="str">
        <f t="shared" si="1850"/>
        <v>Super Rubro</v>
      </c>
      <c r="AG2823" t="str">
        <f t="shared" si="1851"/>
        <v>ComercioExterior</v>
      </c>
      <c r="AH2823" t="str">
        <f t="shared" si="1852"/>
        <v>PrecioFOB</v>
      </c>
      <c r="AI2823" t="str">
        <f t="shared" si="1853"/>
        <v>Monto II</v>
      </c>
      <c r="AJ2823" t="str">
        <f t="shared" si="1854"/>
        <v>Porcentaje II</v>
      </c>
      <c r="AK2823" t="str">
        <f t="shared" si="1855"/>
        <v>Foto</v>
      </c>
      <c r="AL2823" t="str">
        <f>"{\rtf1\ansi\ansicpg1252\deff0\deflang11274{\fonttbl{\f0\fnil\fcharset0 MS Sans Serif}} \viewkind4\uc1\pard\f0\fs16 SENSOR RPM BOUGICORD FRANCE CLIO, EXPRESS, 21 (MOTOR C1E,F2N,C1J, F2R)\par } "</f>
        <v xml:space="preserve">{\rtf1\ansi\ansicpg1252\deff0\deflang11274{\fonttbl{\f0\fnil\fcharset0 MS Sans Serif}} \viewkind4\uc1\pard\f0\fs16 SENSOR RPM BOUGICORD FRANCE CLIO, EXPRESS, 21 (MOTOR C1E,F2N,C1J, F2R)\par } </v>
      </c>
      <c r="AM2823" t="str">
        <f t="shared" si="1856"/>
        <v>-</v>
      </c>
    </row>
    <row r="2824" spans="1:39" x14ac:dyDescent="0.25">
      <c r="A2824" t="str">
        <f>"144314"</f>
        <v>144314</v>
      </c>
      <c r="B2824" t="str">
        <f>"SENSOR RPM BOUGICORD FRANCE P106/205  SAXO-ZX MOTOR TU1M, TU3,TU5JP"</f>
        <v>SENSOR RPM BOUGICORD FRANCE P106/205  SAXO-ZX MOTOR TU1M, TU3,TU5JP</v>
      </c>
      <c r="C2824" t="str">
        <f>"$ 15747,71"</f>
        <v>$ 15747,71</v>
      </c>
      <c r="D2824" t="str">
        <f>"$ 15747,71"</f>
        <v>$ 15747,71</v>
      </c>
      <c r="E2824" t="str">
        <f>"$ 15747,71"</f>
        <v>$ 15747,71</v>
      </c>
      <c r="F2824" t="str">
        <f>"$ 15747,71"</f>
        <v>$ 15747,71</v>
      </c>
      <c r="G2824" t="str">
        <f>"$ 15747,71"</f>
        <v>$ 15747,71</v>
      </c>
      <c r="H2824" t="str">
        <f t="shared" si="1837"/>
        <v>$ 0,00</v>
      </c>
      <c r="I2824" t="str">
        <f t="shared" si="1838"/>
        <v>SENSOR RPM</v>
      </c>
      <c r="J2824" t="str">
        <f t="shared" si="1839"/>
        <v>1</v>
      </c>
      <c r="K2824" t="str">
        <f t="shared" si="1834"/>
        <v>0</v>
      </c>
      <c r="L2824" t="str">
        <f>"5,000"</f>
        <v>5,000</v>
      </c>
      <c r="M2824" t="str">
        <f t="shared" si="1840"/>
        <v xml:space="preserve"> </v>
      </c>
      <c r="N2824" t="str">
        <f t="shared" si="1835"/>
        <v>BOUGICORD</v>
      </c>
      <c r="O2824" t="str">
        <f t="shared" si="1833"/>
        <v>SENSORES</v>
      </c>
      <c r="P2824" t="str">
        <f t="shared" si="1857"/>
        <v>0</v>
      </c>
      <c r="Q2824" t="str">
        <f t="shared" si="1857"/>
        <v>0</v>
      </c>
      <c r="R2824" t="str">
        <f t="shared" si="1858"/>
        <v>0,00</v>
      </c>
      <c r="S2824" t="str">
        <f t="shared" si="1858"/>
        <v>0,00</v>
      </c>
      <c r="T2824" t="str">
        <f t="shared" si="1832"/>
        <v xml:space="preserve"> </v>
      </c>
      <c r="U2824" t="str">
        <f t="shared" si="1836"/>
        <v xml:space="preserve"> </v>
      </c>
      <c r="V2824" t="str">
        <f>"5,000"</f>
        <v>5,000</v>
      </c>
      <c r="W2824" t="str">
        <f t="shared" si="1841"/>
        <v>Lista 4</v>
      </c>
      <c r="X2824" t="str">
        <f t="shared" si="1842"/>
        <v>Lista 5</v>
      </c>
      <c r="Y2824" t="str">
        <f t="shared" si="1843"/>
        <v>Oferta Gral.</v>
      </c>
      <c r="Z2824" t="str">
        <f t="shared" si="1844"/>
        <v>Rubro</v>
      </c>
      <c r="AA2824" t="str">
        <f t="shared" si="1845"/>
        <v>Cantidad por Bulto</v>
      </c>
      <c r="AB2824" t="str">
        <f t="shared" si="1846"/>
        <v>INNER</v>
      </c>
      <c r="AC2824" t="str">
        <f t="shared" si="1847"/>
        <v>Stock en Bultos</v>
      </c>
      <c r="AD2824" t="str">
        <f t="shared" si="1848"/>
        <v>SubDepósito</v>
      </c>
      <c r="AE2824" t="str">
        <f t="shared" si="1849"/>
        <v>Marca</v>
      </c>
      <c r="AF2824" t="str">
        <f t="shared" si="1850"/>
        <v>Super Rubro</v>
      </c>
      <c r="AG2824" t="str">
        <f t="shared" si="1851"/>
        <v>ComercioExterior</v>
      </c>
      <c r="AH2824" t="str">
        <f t="shared" si="1852"/>
        <v>PrecioFOB</v>
      </c>
      <c r="AI2824" t="str">
        <f t="shared" si="1853"/>
        <v>Monto II</v>
      </c>
      <c r="AJ2824" t="str">
        <f t="shared" si="1854"/>
        <v>Porcentaje II</v>
      </c>
      <c r="AK2824" t="str">
        <f t="shared" si="1855"/>
        <v>Foto</v>
      </c>
      <c r="AL2824" t="str">
        <f>"{\rtf1\ansi\ansicpg1252\deff0\deflang11274{\fonttbl{\f0\fnil\fcharset0 MS Sans Serif}} \viewkind4\uc1\pard\f0\fs16 SENSOR RPM BOUGICORD FRANCE P106/205  SAXO-ZX MOTOR TU1M, TU3,TU5JP\par } "</f>
        <v xml:space="preserve">{\rtf1\ansi\ansicpg1252\deff0\deflang11274{\fonttbl{\f0\fnil\fcharset0 MS Sans Serif}} \viewkind4\uc1\pard\f0\fs16 SENSOR RPM BOUGICORD FRANCE P106/205  SAXO-ZX MOTOR TU1M, TU3,TU5JP\par } </v>
      </c>
      <c r="AM2824" t="str">
        <f t="shared" si="1856"/>
        <v>-</v>
      </c>
    </row>
    <row r="2825" spans="1:39" x14ac:dyDescent="0.25">
      <c r="A2825" t="str">
        <f>"144445"</f>
        <v>144445</v>
      </c>
      <c r="B2825" t="str">
        <f>"SENSOR RPM BOUGICORD FRANCE RENAULT CLIO, MEGANE  DERECHO"</f>
        <v>SENSOR RPM BOUGICORD FRANCE RENAULT CLIO, MEGANE  DERECHO</v>
      </c>
      <c r="C2825" t="str">
        <f>"$ 19186,06"</f>
        <v>$ 19186,06</v>
      </c>
      <c r="D2825" t="str">
        <f>"$ 19186,06"</f>
        <v>$ 19186,06</v>
      </c>
      <c r="E2825" t="str">
        <f>"$ 19186,06"</f>
        <v>$ 19186,06</v>
      </c>
      <c r="F2825" t="str">
        <f>"$ 19186,06"</f>
        <v>$ 19186,06</v>
      </c>
      <c r="G2825" t="str">
        <f>"$ 19186,06"</f>
        <v>$ 19186,06</v>
      </c>
      <c r="H2825" t="str">
        <f t="shared" si="1837"/>
        <v>$ 0,00</v>
      </c>
      <c r="I2825" t="str">
        <f t="shared" si="1838"/>
        <v>SENSOR RPM</v>
      </c>
      <c r="J2825" t="str">
        <f t="shared" si="1839"/>
        <v>1</v>
      </c>
      <c r="K2825" t="str">
        <f t="shared" si="1834"/>
        <v>0</v>
      </c>
      <c r="L2825" t="str">
        <f>"4,000"</f>
        <v>4,000</v>
      </c>
      <c r="M2825" t="str">
        <f t="shared" si="1840"/>
        <v xml:space="preserve"> </v>
      </c>
      <c r="N2825" t="str">
        <f t="shared" si="1835"/>
        <v>BOUGICORD</v>
      </c>
      <c r="O2825" t="str">
        <f t="shared" si="1833"/>
        <v>SENSORES</v>
      </c>
      <c r="P2825" t="str">
        <f t="shared" si="1857"/>
        <v>0</v>
      </c>
      <c r="Q2825" t="str">
        <f t="shared" si="1857"/>
        <v>0</v>
      </c>
      <c r="R2825" t="str">
        <f t="shared" si="1858"/>
        <v>0,00</v>
      </c>
      <c r="S2825" t="str">
        <f t="shared" si="1858"/>
        <v>0,00</v>
      </c>
      <c r="T2825" t="str">
        <f t="shared" si="1832"/>
        <v xml:space="preserve"> </v>
      </c>
      <c r="U2825" t="str">
        <f t="shared" si="1836"/>
        <v xml:space="preserve"> </v>
      </c>
      <c r="V2825" t="str">
        <f>"4,000"</f>
        <v>4,000</v>
      </c>
      <c r="W2825" t="str">
        <f t="shared" si="1841"/>
        <v>Lista 4</v>
      </c>
      <c r="X2825" t="str">
        <f t="shared" si="1842"/>
        <v>Lista 5</v>
      </c>
      <c r="Y2825" t="str">
        <f t="shared" si="1843"/>
        <v>Oferta Gral.</v>
      </c>
      <c r="Z2825" t="str">
        <f t="shared" si="1844"/>
        <v>Rubro</v>
      </c>
      <c r="AA2825" t="str">
        <f t="shared" si="1845"/>
        <v>Cantidad por Bulto</v>
      </c>
      <c r="AB2825" t="str">
        <f t="shared" si="1846"/>
        <v>INNER</v>
      </c>
      <c r="AC2825" t="str">
        <f t="shared" si="1847"/>
        <v>Stock en Bultos</v>
      </c>
      <c r="AD2825" t="str">
        <f t="shared" si="1848"/>
        <v>SubDepósito</v>
      </c>
      <c r="AE2825" t="str">
        <f t="shared" si="1849"/>
        <v>Marca</v>
      </c>
      <c r="AF2825" t="str">
        <f t="shared" si="1850"/>
        <v>Super Rubro</v>
      </c>
      <c r="AG2825" t="str">
        <f t="shared" si="1851"/>
        <v>ComercioExterior</v>
      </c>
      <c r="AH2825" t="str">
        <f t="shared" si="1852"/>
        <v>PrecioFOB</v>
      </c>
      <c r="AI2825" t="str">
        <f t="shared" si="1853"/>
        <v>Monto II</v>
      </c>
      <c r="AJ2825" t="str">
        <f t="shared" si="1854"/>
        <v>Porcentaje II</v>
      </c>
      <c r="AK2825" t="str">
        <f t="shared" si="1855"/>
        <v>Foto</v>
      </c>
      <c r="AL2825" t="str">
        <f>"{\rtf1\ansi\ansicpg1252\deff0\deflang11274{\fonttbl{\f0\fnil\fcharset0 MS Sans Serif}} \viewkind4\uc1\pard\f0\fs16 SENSOR RPM BOUGICORD FRANCE RENAULT CLIO, MEGANE  DERECHO\par } "</f>
        <v xml:space="preserve">{\rtf1\ansi\ansicpg1252\deff0\deflang11274{\fonttbl{\f0\fnil\fcharset0 MS Sans Serif}} \viewkind4\uc1\pard\f0\fs16 SENSOR RPM BOUGICORD FRANCE RENAULT CLIO, MEGANE  DERECHO\par } </v>
      </c>
      <c r="AM2825" t="str">
        <f t="shared" si="1856"/>
        <v>-</v>
      </c>
    </row>
    <row r="2826" spans="1:39" x14ac:dyDescent="0.25">
      <c r="A2826" t="str">
        <f>"FI30024"</f>
        <v>FI30024</v>
      </c>
      <c r="B2826" t="str">
        <f>"SENSOR RPM C20 4.1 96/.SILVERADO KIA SPORTAGE 2.0,2,2I 94/97, 2.0 16V 94/. P 405 1.9 93/96"</f>
        <v>SENSOR RPM C20 4.1 96/.SILVERADO KIA SPORTAGE 2.0,2,2I 94/97, 2.0 16V 94/. P 405 1.9 93/96</v>
      </c>
      <c r="C2826" t="str">
        <f>"$ 36538,09"</f>
        <v>$ 36538,09</v>
      </c>
      <c r="D2826" t="str">
        <f>"$ 36538,09"</f>
        <v>$ 36538,09</v>
      </c>
      <c r="E2826" t="str">
        <f>"$ 36538,09"</f>
        <v>$ 36538,09</v>
      </c>
      <c r="F2826" t="str">
        <f>"$ 36538,09"</f>
        <v>$ 36538,09</v>
      </c>
      <c r="G2826" t="str">
        <f>"$ 36538,09"</f>
        <v>$ 36538,09</v>
      </c>
      <c r="H2826" t="str">
        <f t="shared" si="1837"/>
        <v>$ 0,00</v>
      </c>
      <c r="I2826" t="str">
        <f t="shared" si="1838"/>
        <v>SENSOR RPM</v>
      </c>
      <c r="J2826" t="str">
        <f t="shared" si="1839"/>
        <v>1</v>
      </c>
      <c r="K2826" t="str">
        <f t="shared" ref="K2826:K2836" si="1859">"1"</f>
        <v>1</v>
      </c>
      <c r="L2826" t="str">
        <f>"0,000"</f>
        <v>0,000</v>
      </c>
      <c r="M2826" t="str">
        <f t="shared" si="1840"/>
        <v xml:space="preserve"> </v>
      </c>
      <c r="N2826" t="str">
        <f t="shared" ref="N2826:N2844" si="1860">"FISPA"</f>
        <v>FISPA</v>
      </c>
      <c r="O2826" t="str">
        <f t="shared" si="1833"/>
        <v>SENSORES</v>
      </c>
      <c r="P2826" t="str">
        <f t="shared" si="1857"/>
        <v>0</v>
      </c>
      <c r="Q2826" t="str">
        <f t="shared" si="1857"/>
        <v>0</v>
      </c>
      <c r="R2826" t="str">
        <f t="shared" si="1858"/>
        <v>0,00</v>
      </c>
      <c r="S2826" t="str">
        <f t="shared" si="1858"/>
        <v>0,00</v>
      </c>
      <c r="T2826" t="str">
        <f t="shared" si="1832"/>
        <v xml:space="preserve"> </v>
      </c>
      <c r="U2826" t="str">
        <f t="shared" si="1836"/>
        <v xml:space="preserve"> </v>
      </c>
      <c r="V2826" t="str">
        <f>"0,000"</f>
        <v>0,000</v>
      </c>
      <c r="W2826" t="str">
        <f t="shared" si="1841"/>
        <v>Lista 4</v>
      </c>
      <c r="X2826" t="str">
        <f t="shared" si="1842"/>
        <v>Lista 5</v>
      </c>
      <c r="Y2826" t="str">
        <f t="shared" si="1843"/>
        <v>Oferta Gral.</v>
      </c>
      <c r="Z2826" t="str">
        <f t="shared" si="1844"/>
        <v>Rubro</v>
      </c>
      <c r="AA2826" t="str">
        <f t="shared" si="1845"/>
        <v>Cantidad por Bulto</v>
      </c>
      <c r="AB2826" t="str">
        <f t="shared" si="1846"/>
        <v>INNER</v>
      </c>
      <c r="AC2826" t="str">
        <f t="shared" si="1847"/>
        <v>Stock en Bultos</v>
      </c>
      <c r="AD2826" t="str">
        <f t="shared" si="1848"/>
        <v>SubDepósito</v>
      </c>
      <c r="AE2826" t="str">
        <f t="shared" si="1849"/>
        <v>Marca</v>
      </c>
      <c r="AF2826" t="str">
        <f t="shared" si="1850"/>
        <v>Super Rubro</v>
      </c>
      <c r="AG2826" t="str">
        <f t="shared" si="1851"/>
        <v>ComercioExterior</v>
      </c>
      <c r="AH2826" t="str">
        <f t="shared" si="1852"/>
        <v>PrecioFOB</v>
      </c>
      <c r="AI2826" t="str">
        <f t="shared" si="1853"/>
        <v>Monto II</v>
      </c>
      <c r="AJ2826" t="str">
        <f t="shared" si="1854"/>
        <v>Porcentaje II</v>
      </c>
      <c r="AK2826" t="str">
        <f t="shared" si="1855"/>
        <v>Foto</v>
      </c>
      <c r="AL282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26" t="str">
        <f t="shared" si="1856"/>
        <v>-</v>
      </c>
    </row>
    <row r="2827" spans="1:39" x14ac:dyDescent="0.25">
      <c r="A2827" t="str">
        <f>"FI30113"</f>
        <v>FI30113</v>
      </c>
      <c r="B2827" t="str">
        <f>"SENSOR RPM CHERY TIGGO 2.0 - FIAT FIORINO 70IE 1.4 / 1.6 - PALIO 1.5 - SCUDO 1.6 - PEUGEOT EXPERT 1.6I"</f>
        <v>SENSOR RPM CHERY TIGGO 2.0 - FIAT FIORINO 70IE 1.4 / 1.6 - PALIO 1.5 - SCUDO 1.6 - PEUGEOT EXPERT 1.6I</v>
      </c>
      <c r="C2827" t="str">
        <f>"$ 12015,40"</f>
        <v>$ 12015,40</v>
      </c>
      <c r="D2827" t="str">
        <f>"$ 12015,40"</f>
        <v>$ 12015,40</v>
      </c>
      <c r="E2827" t="str">
        <f>"$ 12015,40"</f>
        <v>$ 12015,40</v>
      </c>
      <c r="F2827" t="str">
        <f>"$ 12015,40"</f>
        <v>$ 12015,40</v>
      </c>
      <c r="G2827" t="str">
        <f>"$ 12015,40"</f>
        <v>$ 12015,40</v>
      </c>
      <c r="H2827" t="str">
        <f t="shared" si="1837"/>
        <v>$ 0,00</v>
      </c>
      <c r="I2827" t="str">
        <f t="shared" si="1838"/>
        <v>SENSOR RPM</v>
      </c>
      <c r="J2827" t="str">
        <f t="shared" si="1839"/>
        <v>1</v>
      </c>
      <c r="K2827" t="str">
        <f t="shared" si="1859"/>
        <v>1</v>
      </c>
      <c r="L2827" t="str">
        <f>"2,000"</f>
        <v>2,000</v>
      </c>
      <c r="M2827" t="str">
        <f t="shared" si="1840"/>
        <v xml:space="preserve"> </v>
      </c>
      <c r="N2827" t="str">
        <f t="shared" si="1860"/>
        <v>FISPA</v>
      </c>
      <c r="O2827" t="str">
        <f t="shared" si="1833"/>
        <v>SENSORES</v>
      </c>
      <c r="P2827" t="str">
        <f t="shared" si="1857"/>
        <v>0</v>
      </c>
      <c r="Q2827" t="str">
        <f t="shared" si="1857"/>
        <v>0</v>
      </c>
      <c r="R2827" t="str">
        <f t="shared" si="1858"/>
        <v>0,00</v>
      </c>
      <c r="S2827" t="str">
        <f t="shared" si="1858"/>
        <v>0,00</v>
      </c>
      <c r="T2827" t="str">
        <f t="shared" si="1832"/>
        <v xml:space="preserve"> </v>
      </c>
      <c r="U2827" t="str">
        <f t="shared" si="1836"/>
        <v xml:space="preserve"> </v>
      </c>
      <c r="V2827" t="str">
        <f>"2,000"</f>
        <v>2,000</v>
      </c>
      <c r="W2827" t="str">
        <f t="shared" si="1841"/>
        <v>Lista 4</v>
      </c>
      <c r="X2827" t="str">
        <f t="shared" si="1842"/>
        <v>Lista 5</v>
      </c>
      <c r="Y2827" t="str">
        <f t="shared" si="1843"/>
        <v>Oferta Gral.</v>
      </c>
      <c r="Z2827" t="str">
        <f t="shared" si="1844"/>
        <v>Rubro</v>
      </c>
      <c r="AA2827" t="str">
        <f t="shared" si="1845"/>
        <v>Cantidad por Bulto</v>
      </c>
      <c r="AB2827" t="str">
        <f t="shared" si="1846"/>
        <v>INNER</v>
      </c>
      <c r="AC2827" t="str">
        <f t="shared" si="1847"/>
        <v>Stock en Bultos</v>
      </c>
      <c r="AD2827" t="str">
        <f t="shared" si="1848"/>
        <v>SubDepósito</v>
      </c>
      <c r="AE2827" t="str">
        <f t="shared" si="1849"/>
        <v>Marca</v>
      </c>
      <c r="AF2827" t="str">
        <f t="shared" si="1850"/>
        <v>Super Rubro</v>
      </c>
      <c r="AG2827" t="str">
        <f t="shared" si="1851"/>
        <v>ComercioExterior</v>
      </c>
      <c r="AH2827" t="str">
        <f t="shared" si="1852"/>
        <v>PrecioFOB</v>
      </c>
      <c r="AI2827" t="str">
        <f t="shared" si="1853"/>
        <v>Monto II</v>
      </c>
      <c r="AJ2827" t="str">
        <f t="shared" si="1854"/>
        <v>Porcentaje II</v>
      </c>
      <c r="AK2827" t="str">
        <f t="shared" si="1855"/>
        <v>Foto</v>
      </c>
      <c r="AL2827" t="str">
        <f>"{\rtf1\ansi\ansicpg1252\deff0\deflang2058{\fonttbl{\f0\fnil\fcharset0 MS Sans Serif}} \viewkind4\uc1\pard\f0\fs16 SENSOR RPM CHERY TIGGO 2.0 - FIAT FIORINO 70IE 1.4 / 1.6 - PALIO 1.5 - SCUDO 1.6 - PEUGEOT EXPERT 1.6I\par } "</f>
        <v xml:space="preserve">{\rtf1\ansi\ansicpg1252\deff0\deflang2058{\fonttbl{\f0\fnil\fcharset0 MS Sans Serif}} \viewkind4\uc1\pard\f0\fs16 SENSOR RPM CHERY TIGGO 2.0 - FIAT FIORINO 70IE 1.4 / 1.6 - PALIO 1.5 - SCUDO 1.6 - PEUGEOT EXPERT 1.6I\par } </v>
      </c>
      <c r="AM2827" t="str">
        <f t="shared" si="1856"/>
        <v>-</v>
      </c>
    </row>
    <row r="2828" spans="1:39" x14ac:dyDescent="0.25">
      <c r="A2828" t="str">
        <f>"FI30027"</f>
        <v>FI30027</v>
      </c>
      <c r="B2828" t="str">
        <f>"SENSOR RPM CHEVROLET AGILE 1.2 16V Z 12 XE 09.00, 1.2 16V  ASTRA "</f>
        <v xml:space="preserve">SENSOR RPM CHEVROLET AGILE 1.2 16V Z 12 XE 09.00, 1.2 16V  ASTRA </v>
      </c>
      <c r="C2828" t="str">
        <f>"$ 17040,53"</f>
        <v>$ 17040,53</v>
      </c>
      <c r="D2828" t="str">
        <f>"$ 17040,53"</f>
        <v>$ 17040,53</v>
      </c>
      <c r="E2828" t="str">
        <f>"$ 17040,53"</f>
        <v>$ 17040,53</v>
      </c>
      <c r="F2828" t="str">
        <f>"$ 17040,53"</f>
        <v>$ 17040,53</v>
      </c>
      <c r="G2828" t="str">
        <f>"$ 17040,53"</f>
        <v>$ 17040,53</v>
      </c>
      <c r="H2828" t="str">
        <f t="shared" si="1837"/>
        <v>$ 0,00</v>
      </c>
      <c r="I2828" t="str">
        <f t="shared" si="1838"/>
        <v>SENSOR RPM</v>
      </c>
      <c r="J2828" t="str">
        <f t="shared" si="1839"/>
        <v>1</v>
      </c>
      <c r="K2828" t="str">
        <f t="shared" si="1859"/>
        <v>1</v>
      </c>
      <c r="L2828" t="str">
        <f>"0,000"</f>
        <v>0,000</v>
      </c>
      <c r="M2828" t="str">
        <f t="shared" si="1840"/>
        <v xml:space="preserve"> </v>
      </c>
      <c r="N2828" t="str">
        <f t="shared" si="1860"/>
        <v>FISPA</v>
      </c>
      <c r="O2828" t="str">
        <f t="shared" si="1833"/>
        <v>SENSORES</v>
      </c>
      <c r="P2828" t="str">
        <f t="shared" si="1857"/>
        <v>0</v>
      </c>
      <c r="Q2828" t="str">
        <f t="shared" si="1857"/>
        <v>0</v>
      </c>
      <c r="R2828" t="str">
        <f t="shared" si="1858"/>
        <v>0,00</v>
      </c>
      <c r="S2828" t="str">
        <f t="shared" si="1858"/>
        <v>0,00</v>
      </c>
      <c r="T2828" t="str">
        <f t="shared" si="1832"/>
        <v xml:space="preserve"> </v>
      </c>
      <c r="U2828" t="str">
        <f t="shared" si="1836"/>
        <v xml:space="preserve"> </v>
      </c>
      <c r="V2828" t="str">
        <f>"0,000"</f>
        <v>0,000</v>
      </c>
      <c r="W2828" t="str">
        <f t="shared" si="1841"/>
        <v>Lista 4</v>
      </c>
      <c r="X2828" t="str">
        <f t="shared" si="1842"/>
        <v>Lista 5</v>
      </c>
      <c r="Y2828" t="str">
        <f t="shared" si="1843"/>
        <v>Oferta Gral.</v>
      </c>
      <c r="Z2828" t="str">
        <f t="shared" si="1844"/>
        <v>Rubro</v>
      </c>
      <c r="AA2828" t="str">
        <f t="shared" si="1845"/>
        <v>Cantidad por Bulto</v>
      </c>
      <c r="AB2828" t="str">
        <f t="shared" si="1846"/>
        <v>INNER</v>
      </c>
      <c r="AC2828" t="str">
        <f t="shared" si="1847"/>
        <v>Stock en Bultos</v>
      </c>
      <c r="AD2828" t="str">
        <f t="shared" si="1848"/>
        <v>SubDepósito</v>
      </c>
      <c r="AE2828" t="str">
        <f t="shared" si="1849"/>
        <v>Marca</v>
      </c>
      <c r="AF2828" t="str">
        <f t="shared" si="1850"/>
        <v>Super Rubro</v>
      </c>
      <c r="AG2828" t="str">
        <f t="shared" si="1851"/>
        <v>ComercioExterior</v>
      </c>
      <c r="AH2828" t="str">
        <f t="shared" si="1852"/>
        <v>PrecioFOB</v>
      </c>
      <c r="AI2828" t="str">
        <f t="shared" si="1853"/>
        <v>Monto II</v>
      </c>
      <c r="AJ2828" t="str">
        <f t="shared" si="1854"/>
        <v>Porcentaje II</v>
      </c>
      <c r="AK2828" t="str">
        <f t="shared" si="1855"/>
        <v>Foto</v>
      </c>
      <c r="AL282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28" t="str">
        <f t="shared" si="1856"/>
        <v>-</v>
      </c>
    </row>
    <row r="2829" spans="1:39" x14ac:dyDescent="0.25">
      <c r="A2829" t="str">
        <f>"FI30028"</f>
        <v>FI30028</v>
      </c>
      <c r="B2829" t="str">
        <f>"SENSOR RPM CHEVROLET ASTRA, CORSA C 1.8 09.00 MERIVA 1.8 05.03, TIGRA 1.8"</f>
        <v>SENSOR RPM CHEVROLET ASTRA, CORSA C 1.8 09.00 MERIVA 1.8 05.03, TIGRA 1.8</v>
      </c>
      <c r="C2829" t="str">
        <f>"$ 37571,92"</f>
        <v>$ 37571,92</v>
      </c>
      <c r="D2829" t="str">
        <f>"$ 37571,92"</f>
        <v>$ 37571,92</v>
      </c>
      <c r="E2829" t="str">
        <f>"$ 37571,92"</f>
        <v>$ 37571,92</v>
      </c>
      <c r="F2829" t="str">
        <f>"$ 37571,92"</f>
        <v>$ 37571,92</v>
      </c>
      <c r="G2829" t="str">
        <f>"$ 37571,92"</f>
        <v>$ 37571,92</v>
      </c>
      <c r="H2829" t="str">
        <f t="shared" si="1837"/>
        <v>$ 0,00</v>
      </c>
      <c r="I2829" t="str">
        <f t="shared" si="1838"/>
        <v>SENSOR RPM</v>
      </c>
      <c r="J2829" t="str">
        <f t="shared" si="1839"/>
        <v>1</v>
      </c>
      <c r="K2829" t="str">
        <f t="shared" si="1859"/>
        <v>1</v>
      </c>
      <c r="L2829" t="str">
        <f>"0,000"</f>
        <v>0,000</v>
      </c>
      <c r="M2829" t="str">
        <f t="shared" si="1840"/>
        <v xml:space="preserve"> </v>
      </c>
      <c r="N2829" t="str">
        <f t="shared" si="1860"/>
        <v>FISPA</v>
      </c>
      <c r="O2829" t="str">
        <f t="shared" si="1833"/>
        <v>SENSORES</v>
      </c>
      <c r="P2829" t="str">
        <f t="shared" si="1857"/>
        <v>0</v>
      </c>
      <c r="Q2829" t="str">
        <f t="shared" si="1857"/>
        <v>0</v>
      </c>
      <c r="R2829" t="str">
        <f t="shared" si="1858"/>
        <v>0,00</v>
      </c>
      <c r="S2829" t="str">
        <f t="shared" si="1858"/>
        <v>0,00</v>
      </c>
      <c r="T2829" t="str">
        <f t="shared" si="1832"/>
        <v xml:space="preserve"> </v>
      </c>
      <c r="U2829" t="str">
        <f t="shared" si="1836"/>
        <v xml:space="preserve"> </v>
      </c>
      <c r="V2829" t="str">
        <f>"0,000"</f>
        <v>0,000</v>
      </c>
      <c r="W2829" t="str">
        <f t="shared" si="1841"/>
        <v>Lista 4</v>
      </c>
      <c r="X2829" t="str">
        <f t="shared" si="1842"/>
        <v>Lista 5</v>
      </c>
      <c r="Y2829" t="str">
        <f t="shared" si="1843"/>
        <v>Oferta Gral.</v>
      </c>
      <c r="Z2829" t="str">
        <f t="shared" si="1844"/>
        <v>Rubro</v>
      </c>
      <c r="AA2829" t="str">
        <f t="shared" si="1845"/>
        <v>Cantidad por Bulto</v>
      </c>
      <c r="AB2829" t="str">
        <f t="shared" si="1846"/>
        <v>INNER</v>
      </c>
      <c r="AC2829" t="str">
        <f t="shared" si="1847"/>
        <v>Stock en Bultos</v>
      </c>
      <c r="AD2829" t="str">
        <f t="shared" si="1848"/>
        <v>SubDepósito</v>
      </c>
      <c r="AE2829" t="str">
        <f t="shared" si="1849"/>
        <v>Marca</v>
      </c>
      <c r="AF2829" t="str">
        <f t="shared" si="1850"/>
        <v>Super Rubro</v>
      </c>
      <c r="AG2829" t="str">
        <f t="shared" si="1851"/>
        <v>ComercioExterior</v>
      </c>
      <c r="AH2829" t="str">
        <f t="shared" si="1852"/>
        <v>PrecioFOB</v>
      </c>
      <c r="AI2829" t="str">
        <f t="shared" si="1853"/>
        <v>Monto II</v>
      </c>
      <c r="AJ2829" t="str">
        <f t="shared" si="1854"/>
        <v>Porcentaje II</v>
      </c>
      <c r="AK2829" t="str">
        <f t="shared" si="1855"/>
        <v>Foto</v>
      </c>
      <c r="AL282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29" t="str">
        <f t="shared" si="1856"/>
        <v>-</v>
      </c>
    </row>
    <row r="2830" spans="1:39" x14ac:dyDescent="0.25">
      <c r="A2830" t="str">
        <f>"FI30026"</f>
        <v>FI30026</v>
      </c>
      <c r="B2830" t="str">
        <f>"SENSOR RPM CHEVROLET ASTRAZAFIRA 2.2 DTI 16V 01.02-06.05AAB 9-3 2.2 TID 09.02"</f>
        <v>SENSOR RPM CHEVROLET ASTRAZAFIRA 2.2 DTI 16V 01.02-06.05AAB 9-3 2.2 TID 09.02</v>
      </c>
      <c r="C2830" t="str">
        <f>"$ 38646,03"</f>
        <v>$ 38646,03</v>
      </c>
      <c r="D2830" t="str">
        <f>"$ 38646,03"</f>
        <v>$ 38646,03</v>
      </c>
      <c r="E2830" t="str">
        <f>"$ 38646,03"</f>
        <v>$ 38646,03</v>
      </c>
      <c r="F2830" t="str">
        <f>"$ 38646,03"</f>
        <v>$ 38646,03</v>
      </c>
      <c r="G2830" t="str">
        <f>"$ 38646,03"</f>
        <v>$ 38646,03</v>
      </c>
      <c r="H2830" t="str">
        <f t="shared" si="1837"/>
        <v>$ 0,00</v>
      </c>
      <c r="I2830" t="str">
        <f t="shared" si="1838"/>
        <v>SENSOR RPM</v>
      </c>
      <c r="J2830" t="str">
        <f t="shared" si="1839"/>
        <v>1</v>
      </c>
      <c r="K2830" t="str">
        <f t="shared" si="1859"/>
        <v>1</v>
      </c>
      <c r="L2830" t="str">
        <f>"0,000"</f>
        <v>0,000</v>
      </c>
      <c r="M2830" t="str">
        <f t="shared" si="1840"/>
        <v xml:space="preserve"> </v>
      </c>
      <c r="N2830" t="str">
        <f t="shared" si="1860"/>
        <v>FISPA</v>
      </c>
      <c r="O2830" t="str">
        <f t="shared" si="1833"/>
        <v>SENSORES</v>
      </c>
      <c r="P2830" t="str">
        <f t="shared" si="1857"/>
        <v>0</v>
      </c>
      <c r="Q2830" t="str">
        <f t="shared" si="1857"/>
        <v>0</v>
      </c>
      <c r="R2830" t="str">
        <f t="shared" si="1858"/>
        <v>0,00</v>
      </c>
      <c r="S2830" t="str">
        <f t="shared" si="1858"/>
        <v>0,00</v>
      </c>
      <c r="T2830" t="str">
        <f t="shared" si="1832"/>
        <v xml:space="preserve"> </v>
      </c>
      <c r="U2830" t="str">
        <f t="shared" si="1836"/>
        <v xml:space="preserve"> </v>
      </c>
      <c r="V2830" t="str">
        <f>"0,000"</f>
        <v>0,000</v>
      </c>
      <c r="W2830" t="str">
        <f t="shared" si="1841"/>
        <v>Lista 4</v>
      </c>
      <c r="X2830" t="str">
        <f t="shared" si="1842"/>
        <v>Lista 5</v>
      </c>
      <c r="Y2830" t="str">
        <f t="shared" si="1843"/>
        <v>Oferta Gral.</v>
      </c>
      <c r="Z2830" t="str">
        <f t="shared" si="1844"/>
        <v>Rubro</v>
      </c>
      <c r="AA2830" t="str">
        <f t="shared" si="1845"/>
        <v>Cantidad por Bulto</v>
      </c>
      <c r="AB2830" t="str">
        <f t="shared" si="1846"/>
        <v>INNER</v>
      </c>
      <c r="AC2830" t="str">
        <f t="shared" si="1847"/>
        <v>Stock en Bultos</v>
      </c>
      <c r="AD2830" t="str">
        <f t="shared" si="1848"/>
        <v>SubDepósito</v>
      </c>
      <c r="AE2830" t="str">
        <f t="shared" si="1849"/>
        <v>Marca</v>
      </c>
      <c r="AF2830" t="str">
        <f t="shared" si="1850"/>
        <v>Super Rubro</v>
      </c>
      <c r="AG2830" t="str">
        <f t="shared" si="1851"/>
        <v>ComercioExterior</v>
      </c>
      <c r="AH2830" t="str">
        <f t="shared" si="1852"/>
        <v>PrecioFOB</v>
      </c>
      <c r="AI2830" t="str">
        <f t="shared" si="1853"/>
        <v>Monto II</v>
      </c>
      <c r="AJ2830" t="str">
        <f t="shared" si="1854"/>
        <v>Porcentaje II</v>
      </c>
      <c r="AK2830" t="str">
        <f t="shared" si="1855"/>
        <v>Foto</v>
      </c>
      <c r="AL283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30" t="str">
        <f t="shared" si="1856"/>
        <v>-</v>
      </c>
    </row>
    <row r="2831" spans="1:39" x14ac:dyDescent="0.25">
      <c r="A2831" t="str">
        <f>"FI30095"</f>
        <v>FI30095</v>
      </c>
      <c r="B2831" t="str">
        <f>"SENSOR RPM CHEVROLET AVEO - KALOS 1.4 / 1.4 16V - DAEWOO LANCETTI 1.6 - NUBIRA 1.6 - "</f>
        <v xml:space="preserve">SENSOR RPM CHEVROLET AVEO - KALOS 1.4 / 1.4 16V - DAEWOO LANCETTI 1.6 - NUBIRA 1.6 - </v>
      </c>
      <c r="C2831" t="str">
        <f>"$ 20771,85"</f>
        <v>$ 20771,85</v>
      </c>
      <c r="D2831" t="str">
        <f>"$ 20771,85"</f>
        <v>$ 20771,85</v>
      </c>
      <c r="E2831" t="str">
        <f>"$ 20771,85"</f>
        <v>$ 20771,85</v>
      </c>
      <c r="F2831" t="str">
        <f>"$ 20771,85"</f>
        <v>$ 20771,85</v>
      </c>
      <c r="G2831" t="str">
        <f>"$ 20771,85"</f>
        <v>$ 20771,85</v>
      </c>
      <c r="H2831" t="str">
        <f t="shared" si="1837"/>
        <v>$ 0,00</v>
      </c>
      <c r="I2831" t="str">
        <f t="shared" si="1838"/>
        <v>SENSOR RPM</v>
      </c>
      <c r="J2831" t="str">
        <f t="shared" si="1839"/>
        <v>1</v>
      </c>
      <c r="K2831" t="str">
        <f t="shared" si="1859"/>
        <v>1</v>
      </c>
      <c r="L2831" t="str">
        <f>"0,000"</f>
        <v>0,000</v>
      </c>
      <c r="M2831" t="str">
        <f t="shared" si="1840"/>
        <v xml:space="preserve"> </v>
      </c>
      <c r="N2831" t="str">
        <f t="shared" si="1860"/>
        <v>FISPA</v>
      </c>
      <c r="O2831" t="str">
        <f t="shared" si="1833"/>
        <v>SENSORES</v>
      </c>
      <c r="P2831" t="str">
        <f t="shared" si="1857"/>
        <v>0</v>
      </c>
      <c r="Q2831" t="str">
        <f t="shared" si="1857"/>
        <v>0</v>
      </c>
      <c r="R2831" t="str">
        <f t="shared" si="1858"/>
        <v>0,00</v>
      </c>
      <c r="S2831" t="str">
        <f t="shared" si="1858"/>
        <v>0,00</v>
      </c>
      <c r="T2831" t="str">
        <f t="shared" si="1832"/>
        <v xml:space="preserve"> </v>
      </c>
      <c r="U2831" t="str">
        <f t="shared" si="1836"/>
        <v xml:space="preserve"> </v>
      </c>
      <c r="V2831" t="str">
        <f>"0,000"</f>
        <v>0,000</v>
      </c>
      <c r="W2831" t="str">
        <f t="shared" si="1841"/>
        <v>Lista 4</v>
      </c>
      <c r="X2831" t="str">
        <f t="shared" si="1842"/>
        <v>Lista 5</v>
      </c>
      <c r="Y2831" t="str">
        <f t="shared" si="1843"/>
        <v>Oferta Gral.</v>
      </c>
      <c r="Z2831" t="str">
        <f t="shared" si="1844"/>
        <v>Rubro</v>
      </c>
      <c r="AA2831" t="str">
        <f t="shared" si="1845"/>
        <v>Cantidad por Bulto</v>
      </c>
      <c r="AB2831" t="str">
        <f t="shared" si="1846"/>
        <v>INNER</v>
      </c>
      <c r="AC2831" t="str">
        <f t="shared" si="1847"/>
        <v>Stock en Bultos</v>
      </c>
      <c r="AD2831" t="str">
        <f t="shared" si="1848"/>
        <v>SubDepósito</v>
      </c>
      <c r="AE2831" t="str">
        <f t="shared" si="1849"/>
        <v>Marca</v>
      </c>
      <c r="AF2831" t="str">
        <f t="shared" si="1850"/>
        <v>Super Rubro</v>
      </c>
      <c r="AG2831" t="str">
        <f t="shared" si="1851"/>
        <v>ComercioExterior</v>
      </c>
      <c r="AH2831" t="str">
        <f t="shared" si="1852"/>
        <v>PrecioFOB</v>
      </c>
      <c r="AI2831" t="str">
        <f t="shared" si="1853"/>
        <v>Monto II</v>
      </c>
      <c r="AJ2831" t="str">
        <f t="shared" si="1854"/>
        <v>Porcentaje II</v>
      </c>
      <c r="AK2831" t="str">
        <f t="shared" si="1855"/>
        <v>Foto</v>
      </c>
      <c r="AL283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31" t="str">
        <f t="shared" si="1856"/>
        <v>-</v>
      </c>
    </row>
    <row r="2832" spans="1:39" x14ac:dyDescent="0.25">
      <c r="A2832" t="str">
        <f>"FI30093"</f>
        <v>FI30093</v>
      </c>
      <c r="B2832" t="str">
        <f>"SENSOR RPM CHEVROLET AVEO 1.4 / 1.6 2005&gt;"</f>
        <v>SENSOR RPM CHEVROLET AVEO 1.4 / 1.6 2005&gt;</v>
      </c>
      <c r="C2832" t="str">
        <f>"$ 24373,78"</f>
        <v>$ 24373,78</v>
      </c>
      <c r="D2832" t="str">
        <f>"$ 24373,78"</f>
        <v>$ 24373,78</v>
      </c>
      <c r="E2832" t="str">
        <f>"$ 24373,78"</f>
        <v>$ 24373,78</v>
      </c>
      <c r="F2832" t="str">
        <f>"$ 24373,78"</f>
        <v>$ 24373,78</v>
      </c>
      <c r="G2832" t="str">
        <f>"$ 24373,78"</f>
        <v>$ 24373,78</v>
      </c>
      <c r="H2832" t="str">
        <f t="shared" si="1837"/>
        <v>$ 0,00</v>
      </c>
      <c r="I2832" t="str">
        <f t="shared" si="1838"/>
        <v>SENSOR RPM</v>
      </c>
      <c r="J2832" t="str">
        <f t="shared" si="1839"/>
        <v>1</v>
      </c>
      <c r="K2832" t="str">
        <f t="shared" si="1859"/>
        <v>1</v>
      </c>
      <c r="L2832" t="str">
        <f>"1,000"</f>
        <v>1,000</v>
      </c>
      <c r="M2832" t="str">
        <f t="shared" si="1840"/>
        <v xml:space="preserve"> </v>
      </c>
      <c r="N2832" t="str">
        <f t="shared" si="1860"/>
        <v>FISPA</v>
      </c>
      <c r="O2832" t="str">
        <f t="shared" si="1833"/>
        <v>SENSORES</v>
      </c>
      <c r="P2832" t="str">
        <f t="shared" si="1857"/>
        <v>0</v>
      </c>
      <c r="Q2832" t="str">
        <f t="shared" si="1857"/>
        <v>0</v>
      </c>
      <c r="R2832" t="str">
        <f t="shared" si="1858"/>
        <v>0,00</v>
      </c>
      <c r="S2832" t="str">
        <f t="shared" si="1858"/>
        <v>0,00</v>
      </c>
      <c r="T2832" t="str">
        <f t="shared" si="1832"/>
        <v xml:space="preserve"> </v>
      </c>
      <c r="U2832" t="str">
        <f t="shared" si="1836"/>
        <v xml:space="preserve"> </v>
      </c>
      <c r="V2832" t="str">
        <f>"1,000"</f>
        <v>1,000</v>
      </c>
      <c r="W2832" t="str">
        <f t="shared" si="1841"/>
        <v>Lista 4</v>
      </c>
      <c r="X2832" t="str">
        <f t="shared" si="1842"/>
        <v>Lista 5</v>
      </c>
      <c r="Y2832" t="str">
        <f t="shared" si="1843"/>
        <v>Oferta Gral.</v>
      </c>
      <c r="Z2832" t="str">
        <f t="shared" si="1844"/>
        <v>Rubro</v>
      </c>
      <c r="AA2832" t="str">
        <f t="shared" si="1845"/>
        <v>Cantidad por Bulto</v>
      </c>
      <c r="AB2832" t="str">
        <f t="shared" si="1846"/>
        <v>INNER</v>
      </c>
      <c r="AC2832" t="str">
        <f t="shared" si="1847"/>
        <v>Stock en Bultos</v>
      </c>
      <c r="AD2832" t="str">
        <f t="shared" si="1848"/>
        <v>SubDepósito</v>
      </c>
      <c r="AE2832" t="str">
        <f t="shared" si="1849"/>
        <v>Marca</v>
      </c>
      <c r="AF2832" t="str">
        <f t="shared" si="1850"/>
        <v>Super Rubro</v>
      </c>
      <c r="AG2832" t="str">
        <f t="shared" si="1851"/>
        <v>ComercioExterior</v>
      </c>
      <c r="AH2832" t="str">
        <f t="shared" si="1852"/>
        <v>PrecioFOB</v>
      </c>
      <c r="AI2832" t="str">
        <f t="shared" si="1853"/>
        <v>Monto II</v>
      </c>
      <c r="AJ2832" t="str">
        <f t="shared" si="1854"/>
        <v>Porcentaje II</v>
      </c>
      <c r="AK2832" t="str">
        <f t="shared" si="1855"/>
        <v>Foto</v>
      </c>
      <c r="AL2832" t="str">
        <f>"{\rtf1\ansi\ansicpg1252\deff0\deflang11274{\fonttbl{\f0\fnil\fcharset0 MS Sans Serif}} \viewkind4\uc1\pard\f0\fs16 SENSOR RPM CHEVROLET AVEO 1.4 / 1.6 2005&gt;\par } "</f>
        <v xml:space="preserve">{\rtf1\ansi\ansicpg1252\deff0\deflang11274{\fonttbl{\f0\fnil\fcharset0 MS Sans Serif}} \viewkind4\uc1\pard\f0\fs16 SENSOR RPM CHEVROLET AVEO 1.4 / 1.6 2005&gt;\par } </v>
      </c>
      <c r="AM2832" t="str">
        <f t="shared" si="1856"/>
        <v>-</v>
      </c>
    </row>
    <row r="2833" spans="1:39" x14ac:dyDescent="0.25">
      <c r="A2833" t="str">
        <f>"FI30090"</f>
        <v>FI30090</v>
      </c>
      <c r="B2833" t="str">
        <f>"SENSOR RPM CHEVROLET C20 / SILVERADO 4.1"</f>
        <v>SENSOR RPM CHEVROLET C20 / SILVERADO 4.1</v>
      </c>
      <c r="C2833" t="str">
        <f>"$ 34327,62"</f>
        <v>$ 34327,62</v>
      </c>
      <c r="D2833" t="str">
        <f>"$ 34327,62"</f>
        <v>$ 34327,62</v>
      </c>
      <c r="E2833" t="str">
        <f>"$ 34327,62"</f>
        <v>$ 34327,62</v>
      </c>
      <c r="F2833" t="str">
        <f>"$ 34327,62"</f>
        <v>$ 34327,62</v>
      </c>
      <c r="G2833" t="str">
        <f>"$ 34327,62"</f>
        <v>$ 34327,62</v>
      </c>
      <c r="H2833" t="str">
        <f t="shared" si="1837"/>
        <v>$ 0,00</v>
      </c>
      <c r="I2833" t="str">
        <f t="shared" si="1838"/>
        <v>SENSOR RPM</v>
      </c>
      <c r="J2833" t="str">
        <f t="shared" si="1839"/>
        <v>1</v>
      </c>
      <c r="K2833" t="str">
        <f t="shared" si="1859"/>
        <v>1</v>
      </c>
      <c r="L2833" t="str">
        <f>"0,000"</f>
        <v>0,000</v>
      </c>
      <c r="M2833" t="str">
        <f t="shared" si="1840"/>
        <v xml:space="preserve"> </v>
      </c>
      <c r="N2833" t="str">
        <f t="shared" si="1860"/>
        <v>FISPA</v>
      </c>
      <c r="O2833" t="str">
        <f t="shared" si="1833"/>
        <v>SENSORES</v>
      </c>
      <c r="P2833" t="str">
        <f t="shared" si="1857"/>
        <v>0</v>
      </c>
      <c r="Q2833" t="str">
        <f t="shared" si="1857"/>
        <v>0</v>
      </c>
      <c r="R2833" t="str">
        <f t="shared" si="1858"/>
        <v>0,00</v>
      </c>
      <c r="S2833" t="str">
        <f t="shared" si="1858"/>
        <v>0,00</v>
      </c>
      <c r="T2833" t="str">
        <f t="shared" si="1832"/>
        <v xml:space="preserve"> </v>
      </c>
      <c r="U2833" t="str">
        <f t="shared" si="1836"/>
        <v xml:space="preserve"> </v>
      </c>
      <c r="V2833" t="str">
        <f>"0,000"</f>
        <v>0,000</v>
      </c>
      <c r="W2833" t="str">
        <f t="shared" si="1841"/>
        <v>Lista 4</v>
      </c>
      <c r="X2833" t="str">
        <f t="shared" si="1842"/>
        <v>Lista 5</v>
      </c>
      <c r="Y2833" t="str">
        <f t="shared" si="1843"/>
        <v>Oferta Gral.</v>
      </c>
      <c r="Z2833" t="str">
        <f t="shared" si="1844"/>
        <v>Rubro</v>
      </c>
      <c r="AA2833" t="str">
        <f t="shared" si="1845"/>
        <v>Cantidad por Bulto</v>
      </c>
      <c r="AB2833" t="str">
        <f t="shared" si="1846"/>
        <v>INNER</v>
      </c>
      <c r="AC2833" t="str">
        <f t="shared" si="1847"/>
        <v>Stock en Bultos</v>
      </c>
      <c r="AD2833" t="str">
        <f t="shared" si="1848"/>
        <v>SubDepósito</v>
      </c>
      <c r="AE2833" t="str">
        <f t="shared" si="1849"/>
        <v>Marca</v>
      </c>
      <c r="AF2833" t="str">
        <f t="shared" si="1850"/>
        <v>Super Rubro</v>
      </c>
      <c r="AG2833" t="str">
        <f t="shared" si="1851"/>
        <v>ComercioExterior</v>
      </c>
      <c r="AH2833" t="str">
        <f t="shared" si="1852"/>
        <v>PrecioFOB</v>
      </c>
      <c r="AI2833" t="str">
        <f t="shared" si="1853"/>
        <v>Monto II</v>
      </c>
      <c r="AJ2833" t="str">
        <f t="shared" si="1854"/>
        <v>Porcentaje II</v>
      </c>
      <c r="AK2833" t="str">
        <f t="shared" si="1855"/>
        <v>Foto</v>
      </c>
      <c r="AL2833" t="str">
        <f>" "</f>
        <v xml:space="preserve"> </v>
      </c>
      <c r="AM2833" t="str">
        <f t="shared" si="1856"/>
        <v>-</v>
      </c>
    </row>
    <row r="2834" spans="1:39" x14ac:dyDescent="0.25">
      <c r="A2834" t="str">
        <f>"FI30023"</f>
        <v>FI30023</v>
      </c>
      <c r="B2834" t="str">
        <f>"SENSOR RPM CHEVROLET CAPTIVA 2.4 06/06, DAEWOO LEGANZA 2.2 16V 04.99-12.02  NUBIRA 2.0 "</f>
        <v xml:space="preserve">SENSOR RPM CHEVROLET CAPTIVA 2.4 06/06, DAEWOO LEGANZA 2.2 16V 04.99-12.02  NUBIRA 2.0 </v>
      </c>
      <c r="C2834" t="str">
        <f>"$ 57688,32"</f>
        <v>$ 57688,32</v>
      </c>
      <c r="D2834" t="str">
        <f>"$ 57688,32"</f>
        <v>$ 57688,32</v>
      </c>
      <c r="E2834" t="str">
        <f>"$ 57688,32"</f>
        <v>$ 57688,32</v>
      </c>
      <c r="F2834" t="str">
        <f>"$ 57688,32"</f>
        <v>$ 57688,32</v>
      </c>
      <c r="G2834" t="str">
        <f>"$ 57688,32"</f>
        <v>$ 57688,32</v>
      </c>
      <c r="H2834" t="str">
        <f t="shared" si="1837"/>
        <v>$ 0,00</v>
      </c>
      <c r="I2834" t="str">
        <f t="shared" si="1838"/>
        <v>SENSOR RPM</v>
      </c>
      <c r="J2834" t="str">
        <f t="shared" si="1839"/>
        <v>1</v>
      </c>
      <c r="K2834" t="str">
        <f t="shared" si="1859"/>
        <v>1</v>
      </c>
      <c r="L2834" t="str">
        <f>"0,000"</f>
        <v>0,000</v>
      </c>
      <c r="M2834" t="str">
        <f t="shared" si="1840"/>
        <v xml:space="preserve"> </v>
      </c>
      <c r="N2834" t="str">
        <f t="shared" si="1860"/>
        <v>FISPA</v>
      </c>
      <c r="O2834" t="str">
        <f t="shared" si="1833"/>
        <v>SENSORES</v>
      </c>
      <c r="P2834" t="str">
        <f t="shared" si="1857"/>
        <v>0</v>
      </c>
      <c r="Q2834" t="str">
        <f t="shared" si="1857"/>
        <v>0</v>
      </c>
      <c r="R2834" t="str">
        <f t="shared" si="1858"/>
        <v>0,00</v>
      </c>
      <c r="S2834" t="str">
        <f t="shared" si="1858"/>
        <v>0,00</v>
      </c>
      <c r="T2834" t="str">
        <f t="shared" si="1832"/>
        <v xml:space="preserve"> </v>
      </c>
      <c r="U2834" t="str">
        <f t="shared" si="1836"/>
        <v xml:space="preserve"> </v>
      </c>
      <c r="V2834" t="str">
        <f>"0,000"</f>
        <v>0,000</v>
      </c>
      <c r="W2834" t="str">
        <f t="shared" si="1841"/>
        <v>Lista 4</v>
      </c>
      <c r="X2834" t="str">
        <f t="shared" si="1842"/>
        <v>Lista 5</v>
      </c>
      <c r="Y2834" t="str">
        <f t="shared" si="1843"/>
        <v>Oferta Gral.</v>
      </c>
      <c r="Z2834" t="str">
        <f t="shared" si="1844"/>
        <v>Rubro</v>
      </c>
      <c r="AA2834" t="str">
        <f t="shared" si="1845"/>
        <v>Cantidad por Bulto</v>
      </c>
      <c r="AB2834" t="str">
        <f t="shared" si="1846"/>
        <v>INNER</v>
      </c>
      <c r="AC2834" t="str">
        <f t="shared" si="1847"/>
        <v>Stock en Bultos</v>
      </c>
      <c r="AD2834" t="str">
        <f t="shared" si="1848"/>
        <v>SubDepósito</v>
      </c>
      <c r="AE2834" t="str">
        <f t="shared" si="1849"/>
        <v>Marca</v>
      </c>
      <c r="AF2834" t="str">
        <f t="shared" si="1850"/>
        <v>Super Rubro</v>
      </c>
      <c r="AG2834" t="str">
        <f t="shared" si="1851"/>
        <v>ComercioExterior</v>
      </c>
      <c r="AH2834" t="str">
        <f t="shared" si="1852"/>
        <v>PrecioFOB</v>
      </c>
      <c r="AI2834" t="str">
        <f t="shared" si="1853"/>
        <v>Monto II</v>
      </c>
      <c r="AJ2834" t="str">
        <f t="shared" si="1854"/>
        <v>Porcentaje II</v>
      </c>
      <c r="AK2834" t="str">
        <f t="shared" si="1855"/>
        <v>Foto</v>
      </c>
      <c r="AL283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34" t="str">
        <f t="shared" si="1856"/>
        <v>-</v>
      </c>
    </row>
    <row r="2835" spans="1:39" x14ac:dyDescent="0.25">
      <c r="A2835" t="str">
        <f>"FI30091"</f>
        <v>FI30091</v>
      </c>
      <c r="B2835" t="str">
        <f>"SENSOR RPM CHEVROLET CORSA (TODOS SIN DISTRIBUIDOR)"</f>
        <v>SENSOR RPM CHEVROLET CORSA (TODOS SIN DISTRIBUIDOR)</v>
      </c>
      <c r="C2835" t="str">
        <f>"$ 48830,19"</f>
        <v>$ 48830,19</v>
      </c>
      <c r="D2835" t="str">
        <f>"$ 48830,19"</f>
        <v>$ 48830,19</v>
      </c>
      <c r="E2835" t="str">
        <f>"$ 48830,19"</f>
        <v>$ 48830,19</v>
      </c>
      <c r="F2835" t="str">
        <f>"$ 48830,19"</f>
        <v>$ 48830,19</v>
      </c>
      <c r="G2835" t="str">
        <f>"$ 48830,19"</f>
        <v>$ 48830,19</v>
      </c>
      <c r="H2835" t="str">
        <f t="shared" si="1837"/>
        <v>$ 0,00</v>
      </c>
      <c r="I2835" t="str">
        <f t="shared" si="1838"/>
        <v>SENSOR RPM</v>
      </c>
      <c r="J2835" t="str">
        <f t="shared" si="1839"/>
        <v>1</v>
      </c>
      <c r="K2835" t="str">
        <f t="shared" si="1859"/>
        <v>1</v>
      </c>
      <c r="L2835" t="str">
        <f>"0,000"</f>
        <v>0,000</v>
      </c>
      <c r="M2835" t="str">
        <f t="shared" si="1840"/>
        <v xml:space="preserve"> </v>
      </c>
      <c r="N2835" t="str">
        <f t="shared" si="1860"/>
        <v>FISPA</v>
      </c>
      <c r="O2835" t="str">
        <f t="shared" si="1833"/>
        <v>SENSORES</v>
      </c>
      <c r="P2835" t="str">
        <f t="shared" si="1857"/>
        <v>0</v>
      </c>
      <c r="Q2835" t="str">
        <f t="shared" si="1857"/>
        <v>0</v>
      </c>
      <c r="R2835" t="str">
        <f t="shared" si="1858"/>
        <v>0,00</v>
      </c>
      <c r="S2835" t="str">
        <f t="shared" si="1858"/>
        <v>0,00</v>
      </c>
      <c r="T2835" t="str">
        <f t="shared" si="1832"/>
        <v xml:space="preserve"> </v>
      </c>
      <c r="U2835" t="str">
        <f t="shared" si="1836"/>
        <v xml:space="preserve"> </v>
      </c>
      <c r="V2835" t="str">
        <f>"0,000"</f>
        <v>0,000</v>
      </c>
      <c r="W2835" t="str">
        <f t="shared" si="1841"/>
        <v>Lista 4</v>
      </c>
      <c r="X2835" t="str">
        <f t="shared" si="1842"/>
        <v>Lista 5</v>
      </c>
      <c r="Y2835" t="str">
        <f t="shared" si="1843"/>
        <v>Oferta Gral.</v>
      </c>
      <c r="Z2835" t="str">
        <f t="shared" si="1844"/>
        <v>Rubro</v>
      </c>
      <c r="AA2835" t="str">
        <f t="shared" si="1845"/>
        <v>Cantidad por Bulto</v>
      </c>
      <c r="AB2835" t="str">
        <f t="shared" si="1846"/>
        <v>INNER</v>
      </c>
      <c r="AC2835" t="str">
        <f t="shared" si="1847"/>
        <v>Stock en Bultos</v>
      </c>
      <c r="AD2835" t="str">
        <f t="shared" si="1848"/>
        <v>SubDepósito</v>
      </c>
      <c r="AE2835" t="str">
        <f t="shared" si="1849"/>
        <v>Marca</v>
      </c>
      <c r="AF2835" t="str">
        <f t="shared" si="1850"/>
        <v>Super Rubro</v>
      </c>
      <c r="AG2835" t="str">
        <f t="shared" si="1851"/>
        <v>ComercioExterior</v>
      </c>
      <c r="AH2835" t="str">
        <f t="shared" si="1852"/>
        <v>PrecioFOB</v>
      </c>
      <c r="AI2835" t="str">
        <f t="shared" si="1853"/>
        <v>Monto II</v>
      </c>
      <c r="AJ2835" t="str">
        <f t="shared" si="1854"/>
        <v>Porcentaje II</v>
      </c>
      <c r="AK2835" t="str">
        <f t="shared" si="1855"/>
        <v>Foto</v>
      </c>
      <c r="AL2835" t="str">
        <f>" "</f>
        <v xml:space="preserve"> </v>
      </c>
      <c r="AM2835" t="str">
        <f t="shared" si="1856"/>
        <v>-</v>
      </c>
    </row>
    <row r="2836" spans="1:39" x14ac:dyDescent="0.25">
      <c r="A2836" t="str">
        <f>"FI30081"</f>
        <v>FI30081</v>
      </c>
      <c r="B2836" t="str">
        <f>"SENSOR RPM CHEVROLET CORSA - VECTRA 1.6I 16V"</f>
        <v>SENSOR RPM CHEVROLET CORSA - VECTRA 1.6I 16V</v>
      </c>
      <c r="C2836" t="str">
        <f>"$ 20024,85"</f>
        <v>$ 20024,85</v>
      </c>
      <c r="D2836" t="str">
        <f>"$ 20024,85"</f>
        <v>$ 20024,85</v>
      </c>
      <c r="E2836" t="str">
        <f>"$ 20024,85"</f>
        <v>$ 20024,85</v>
      </c>
      <c r="F2836" t="str">
        <f>"$ 20024,85"</f>
        <v>$ 20024,85</v>
      </c>
      <c r="G2836" t="str">
        <f>"$ 20024,85"</f>
        <v>$ 20024,85</v>
      </c>
      <c r="H2836" t="str">
        <f t="shared" si="1837"/>
        <v>$ 0,00</v>
      </c>
      <c r="I2836" t="str">
        <f t="shared" si="1838"/>
        <v>SENSOR RPM</v>
      </c>
      <c r="J2836" t="str">
        <f t="shared" si="1839"/>
        <v>1</v>
      </c>
      <c r="K2836" t="str">
        <f t="shared" si="1859"/>
        <v>1</v>
      </c>
      <c r="L2836" t="str">
        <f>"0,000"</f>
        <v>0,000</v>
      </c>
      <c r="M2836" t="str">
        <f t="shared" si="1840"/>
        <v xml:space="preserve"> </v>
      </c>
      <c r="N2836" t="str">
        <f t="shared" si="1860"/>
        <v>FISPA</v>
      </c>
      <c r="O2836" t="str">
        <f t="shared" si="1833"/>
        <v>SENSORES</v>
      </c>
      <c r="P2836" t="str">
        <f t="shared" si="1857"/>
        <v>0</v>
      </c>
      <c r="Q2836" t="str">
        <f t="shared" si="1857"/>
        <v>0</v>
      </c>
      <c r="R2836" t="str">
        <f t="shared" si="1858"/>
        <v>0,00</v>
      </c>
      <c r="S2836" t="str">
        <f t="shared" si="1858"/>
        <v>0,00</v>
      </c>
      <c r="T2836" t="str">
        <f t="shared" si="1832"/>
        <v xml:space="preserve"> </v>
      </c>
      <c r="U2836" t="str">
        <f t="shared" si="1836"/>
        <v xml:space="preserve"> </v>
      </c>
      <c r="V2836" t="str">
        <f>"0,000"</f>
        <v>0,000</v>
      </c>
      <c r="W2836" t="str">
        <f t="shared" si="1841"/>
        <v>Lista 4</v>
      </c>
      <c r="X2836" t="str">
        <f t="shared" si="1842"/>
        <v>Lista 5</v>
      </c>
      <c r="Y2836" t="str">
        <f t="shared" si="1843"/>
        <v>Oferta Gral.</v>
      </c>
      <c r="Z2836" t="str">
        <f t="shared" si="1844"/>
        <v>Rubro</v>
      </c>
      <c r="AA2836" t="str">
        <f t="shared" si="1845"/>
        <v>Cantidad por Bulto</v>
      </c>
      <c r="AB2836" t="str">
        <f t="shared" si="1846"/>
        <v>INNER</v>
      </c>
      <c r="AC2836" t="str">
        <f t="shared" si="1847"/>
        <v>Stock en Bultos</v>
      </c>
      <c r="AD2836" t="str">
        <f t="shared" si="1848"/>
        <v>SubDepósito</v>
      </c>
      <c r="AE2836" t="str">
        <f t="shared" si="1849"/>
        <v>Marca</v>
      </c>
      <c r="AF2836" t="str">
        <f t="shared" si="1850"/>
        <v>Super Rubro</v>
      </c>
      <c r="AG2836" t="str">
        <f t="shared" si="1851"/>
        <v>ComercioExterior</v>
      </c>
      <c r="AH2836" t="str">
        <f t="shared" si="1852"/>
        <v>PrecioFOB</v>
      </c>
      <c r="AI2836" t="str">
        <f t="shared" si="1853"/>
        <v>Monto II</v>
      </c>
      <c r="AJ2836" t="str">
        <f t="shared" si="1854"/>
        <v>Porcentaje II</v>
      </c>
      <c r="AK2836" t="str">
        <f t="shared" si="1855"/>
        <v>Foto</v>
      </c>
      <c r="AL283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36" t="str">
        <f t="shared" si="1856"/>
        <v>-</v>
      </c>
    </row>
    <row r="2837" spans="1:39" x14ac:dyDescent="0.25">
      <c r="A2837" t="str">
        <f>"FI30004"</f>
        <v>FI30004</v>
      </c>
      <c r="B2837" t="str">
        <f>"SENSOR RPM CHEVROLET CORSA / ASTRA 1,4 - 1,6"</f>
        <v>SENSOR RPM CHEVROLET CORSA / ASTRA 1,4 - 1,6</v>
      </c>
      <c r="C2837" t="str">
        <f>"$ 21852,06"</f>
        <v>$ 21852,06</v>
      </c>
      <c r="D2837" t="str">
        <f>"$ 21852,06"</f>
        <v>$ 21852,06</v>
      </c>
      <c r="E2837" t="str">
        <f>"$ 21852,06"</f>
        <v>$ 21852,06</v>
      </c>
      <c r="F2837" t="str">
        <f>"$ 21852,06"</f>
        <v>$ 21852,06</v>
      </c>
      <c r="G2837" t="str">
        <f>"$ 21852,06"</f>
        <v>$ 21852,06</v>
      </c>
      <c r="H2837" t="str">
        <f t="shared" si="1837"/>
        <v>$ 0,00</v>
      </c>
      <c r="I2837" t="str">
        <f t="shared" si="1838"/>
        <v>SENSOR RPM</v>
      </c>
      <c r="J2837" t="str">
        <f t="shared" si="1839"/>
        <v>1</v>
      </c>
      <c r="K2837" t="str">
        <f>"0"</f>
        <v>0</v>
      </c>
      <c r="L2837" t="str">
        <f>"3,000"</f>
        <v>3,000</v>
      </c>
      <c r="M2837" t="str">
        <f t="shared" si="1840"/>
        <v xml:space="preserve"> </v>
      </c>
      <c r="N2837" t="str">
        <f t="shared" si="1860"/>
        <v>FISPA</v>
      </c>
      <c r="O2837" t="str">
        <f t="shared" si="1833"/>
        <v>SENSORES</v>
      </c>
      <c r="P2837" t="str">
        <f t="shared" si="1857"/>
        <v>0</v>
      </c>
      <c r="Q2837" t="str">
        <f t="shared" si="1857"/>
        <v>0</v>
      </c>
      <c r="R2837" t="str">
        <f t="shared" si="1858"/>
        <v>0,00</v>
      </c>
      <c r="S2837" t="str">
        <f t="shared" si="1858"/>
        <v>0,00</v>
      </c>
      <c r="T2837" t="str">
        <f t="shared" si="1832"/>
        <v xml:space="preserve"> </v>
      </c>
      <c r="U2837" t="str">
        <f t="shared" si="1836"/>
        <v xml:space="preserve"> </v>
      </c>
      <c r="V2837" t="str">
        <f>"3,000"</f>
        <v>3,000</v>
      </c>
      <c r="W2837" t="str">
        <f t="shared" si="1841"/>
        <v>Lista 4</v>
      </c>
      <c r="X2837" t="str">
        <f t="shared" si="1842"/>
        <v>Lista 5</v>
      </c>
      <c r="Y2837" t="str">
        <f t="shared" si="1843"/>
        <v>Oferta Gral.</v>
      </c>
      <c r="Z2837" t="str">
        <f t="shared" si="1844"/>
        <v>Rubro</v>
      </c>
      <c r="AA2837" t="str">
        <f t="shared" si="1845"/>
        <v>Cantidad por Bulto</v>
      </c>
      <c r="AB2837" t="str">
        <f t="shared" si="1846"/>
        <v>INNER</v>
      </c>
      <c r="AC2837" t="str">
        <f t="shared" si="1847"/>
        <v>Stock en Bultos</v>
      </c>
      <c r="AD2837" t="str">
        <f t="shared" si="1848"/>
        <v>SubDepósito</v>
      </c>
      <c r="AE2837" t="str">
        <f t="shared" si="1849"/>
        <v>Marca</v>
      </c>
      <c r="AF2837" t="str">
        <f t="shared" si="1850"/>
        <v>Super Rubro</v>
      </c>
      <c r="AG2837" t="str">
        <f t="shared" si="1851"/>
        <v>ComercioExterior</v>
      </c>
      <c r="AH2837" t="str">
        <f t="shared" si="1852"/>
        <v>PrecioFOB</v>
      </c>
      <c r="AI2837" t="str">
        <f t="shared" si="1853"/>
        <v>Monto II</v>
      </c>
      <c r="AJ2837" t="str">
        <f t="shared" si="1854"/>
        <v>Porcentaje II</v>
      </c>
      <c r="AK2837" t="str">
        <f t="shared" si="1855"/>
        <v>Foto</v>
      </c>
      <c r="AL2837" t="str">
        <f>"{\rtf1\ansi\ansicpg1252\deff0\deflang11274{\fonttbl{\f0\fnil\fcharset0 MS Sans Serif}} \viewkind4\uc1\pard\f0\fs16 SENSOR RPM CHEVROLET CORSA / ASTRA 1,4 - 1,6\par } "</f>
        <v xml:space="preserve">{\rtf1\ansi\ansicpg1252\deff0\deflang11274{\fonttbl{\f0\fnil\fcharset0 MS Sans Serif}} \viewkind4\uc1\pard\f0\fs16 SENSOR RPM CHEVROLET CORSA / ASTRA 1,4 - 1,6\par } </v>
      </c>
      <c r="AM2837" t="str">
        <f t="shared" si="1856"/>
        <v>-</v>
      </c>
    </row>
    <row r="2838" spans="1:39" x14ac:dyDescent="0.25">
      <c r="A2838" t="str">
        <f>"FI30092"</f>
        <v>FI30092</v>
      </c>
      <c r="B2838" t="str">
        <f>"SENSOR RPM CHEVROLET MERIVA 1.8"</f>
        <v>SENSOR RPM CHEVROLET MERIVA 1.8</v>
      </c>
      <c r="C2838" t="str">
        <f>"$ 21499,31"</f>
        <v>$ 21499,31</v>
      </c>
      <c r="D2838" t="str">
        <f>"$ 21499,31"</f>
        <v>$ 21499,31</v>
      </c>
      <c r="E2838" t="str">
        <f>"$ 21499,31"</f>
        <v>$ 21499,31</v>
      </c>
      <c r="F2838" t="str">
        <f>"$ 21499,31"</f>
        <v>$ 21499,31</v>
      </c>
      <c r="G2838" t="str">
        <f>"$ 21499,31"</f>
        <v>$ 21499,31</v>
      </c>
      <c r="H2838" t="str">
        <f t="shared" si="1837"/>
        <v>$ 0,00</v>
      </c>
      <c r="I2838" t="str">
        <f t="shared" si="1838"/>
        <v>SENSOR RPM</v>
      </c>
      <c r="J2838" t="str">
        <f t="shared" si="1839"/>
        <v>1</v>
      </c>
      <c r="K2838" t="str">
        <f>"0"</f>
        <v>0</v>
      </c>
      <c r="L2838" t="str">
        <f>"9,000"</f>
        <v>9,000</v>
      </c>
      <c r="M2838" t="str">
        <f t="shared" si="1840"/>
        <v xml:space="preserve"> </v>
      </c>
      <c r="N2838" t="str">
        <f t="shared" si="1860"/>
        <v>FISPA</v>
      </c>
      <c r="O2838" t="str">
        <f t="shared" si="1833"/>
        <v>SENSORES</v>
      </c>
      <c r="P2838" t="str">
        <f t="shared" si="1857"/>
        <v>0</v>
      </c>
      <c r="Q2838" t="str">
        <f t="shared" si="1857"/>
        <v>0</v>
      </c>
      <c r="R2838" t="str">
        <f t="shared" si="1858"/>
        <v>0,00</v>
      </c>
      <c r="S2838" t="str">
        <f t="shared" si="1858"/>
        <v>0,00</v>
      </c>
      <c r="T2838" t="str">
        <f t="shared" si="1832"/>
        <v xml:space="preserve"> </v>
      </c>
      <c r="U2838" t="str">
        <f t="shared" si="1836"/>
        <v xml:space="preserve"> </v>
      </c>
      <c r="V2838" t="str">
        <f>"9,000"</f>
        <v>9,000</v>
      </c>
      <c r="W2838" t="str">
        <f t="shared" si="1841"/>
        <v>Lista 4</v>
      </c>
      <c r="X2838" t="str">
        <f t="shared" si="1842"/>
        <v>Lista 5</v>
      </c>
      <c r="Y2838" t="str">
        <f t="shared" si="1843"/>
        <v>Oferta Gral.</v>
      </c>
      <c r="Z2838" t="str">
        <f t="shared" si="1844"/>
        <v>Rubro</v>
      </c>
      <c r="AA2838" t="str">
        <f t="shared" si="1845"/>
        <v>Cantidad por Bulto</v>
      </c>
      <c r="AB2838" t="str">
        <f t="shared" si="1846"/>
        <v>INNER</v>
      </c>
      <c r="AC2838" t="str">
        <f t="shared" si="1847"/>
        <v>Stock en Bultos</v>
      </c>
      <c r="AD2838" t="str">
        <f t="shared" si="1848"/>
        <v>SubDepósito</v>
      </c>
      <c r="AE2838" t="str">
        <f t="shared" si="1849"/>
        <v>Marca</v>
      </c>
      <c r="AF2838" t="str">
        <f t="shared" si="1850"/>
        <v>Super Rubro</v>
      </c>
      <c r="AG2838" t="str">
        <f t="shared" si="1851"/>
        <v>ComercioExterior</v>
      </c>
      <c r="AH2838" t="str">
        <f t="shared" si="1852"/>
        <v>PrecioFOB</v>
      </c>
      <c r="AI2838" t="str">
        <f t="shared" si="1853"/>
        <v>Monto II</v>
      </c>
      <c r="AJ2838" t="str">
        <f t="shared" si="1854"/>
        <v>Porcentaje II</v>
      </c>
      <c r="AK2838" t="str">
        <f t="shared" si="1855"/>
        <v>Foto</v>
      </c>
      <c r="AL2838" t="str">
        <f>"{\rtf1\ansi\ansicpg1252\deff0\deflang11274{\fonttbl{\f0\fnil\fcharset0 MS Sans Serif}} \viewkind4\uc1\pard\f0\fs16 SENSOR RPM CHEVROLET MERIVA 1.8\par } "</f>
        <v xml:space="preserve">{\rtf1\ansi\ansicpg1252\deff0\deflang11274{\fonttbl{\f0\fnil\fcharset0 MS Sans Serif}} \viewkind4\uc1\pard\f0\fs16 SENSOR RPM CHEVROLET MERIVA 1.8\par } </v>
      </c>
      <c r="AM2838" t="str">
        <f t="shared" si="1856"/>
        <v>-</v>
      </c>
    </row>
    <row r="2839" spans="1:39" x14ac:dyDescent="0.25">
      <c r="A2839" t="str">
        <f>"FI30094"</f>
        <v>FI30094</v>
      </c>
      <c r="B2839" t="str">
        <f>"SENSOR RPM CHEVROLET S10 - BLAZER 2.2 / 2.4"</f>
        <v>SENSOR RPM CHEVROLET S10 - BLAZER 2.2 / 2.4</v>
      </c>
      <c r="C2839" t="str">
        <f>"$ 22512,39"</f>
        <v>$ 22512,39</v>
      </c>
      <c r="D2839" t="str">
        <f>"$ 22512,39"</f>
        <v>$ 22512,39</v>
      </c>
      <c r="E2839" t="str">
        <f>"$ 22512,39"</f>
        <v>$ 22512,39</v>
      </c>
      <c r="F2839" t="str">
        <f>"$ 22512,39"</f>
        <v>$ 22512,39</v>
      </c>
      <c r="G2839" t="str">
        <f>"$ 22512,39"</f>
        <v>$ 22512,39</v>
      </c>
      <c r="H2839" t="str">
        <f t="shared" si="1837"/>
        <v>$ 0,00</v>
      </c>
      <c r="I2839" t="str">
        <f t="shared" si="1838"/>
        <v>SENSOR RPM</v>
      </c>
      <c r="J2839" t="str">
        <f t="shared" si="1839"/>
        <v>1</v>
      </c>
      <c r="K2839" t="str">
        <f>"1"</f>
        <v>1</v>
      </c>
      <c r="L2839" t="str">
        <f>"0,000"</f>
        <v>0,000</v>
      </c>
      <c r="M2839" t="str">
        <f t="shared" si="1840"/>
        <v xml:space="preserve"> </v>
      </c>
      <c r="N2839" t="str">
        <f t="shared" si="1860"/>
        <v>FISPA</v>
      </c>
      <c r="O2839" t="str">
        <f t="shared" si="1833"/>
        <v>SENSORES</v>
      </c>
      <c r="P2839" t="str">
        <f t="shared" si="1857"/>
        <v>0</v>
      </c>
      <c r="Q2839" t="str">
        <f t="shared" si="1857"/>
        <v>0</v>
      </c>
      <c r="R2839" t="str">
        <f t="shared" si="1858"/>
        <v>0,00</v>
      </c>
      <c r="S2839" t="str">
        <f t="shared" si="1858"/>
        <v>0,00</v>
      </c>
      <c r="T2839" t="str">
        <f t="shared" si="1832"/>
        <v xml:space="preserve"> </v>
      </c>
      <c r="U2839" t="str">
        <f t="shared" si="1836"/>
        <v xml:space="preserve"> </v>
      </c>
      <c r="V2839" t="str">
        <f>"0,000"</f>
        <v>0,000</v>
      </c>
      <c r="W2839" t="str">
        <f t="shared" si="1841"/>
        <v>Lista 4</v>
      </c>
      <c r="X2839" t="str">
        <f t="shared" si="1842"/>
        <v>Lista 5</v>
      </c>
      <c r="Y2839" t="str">
        <f t="shared" si="1843"/>
        <v>Oferta Gral.</v>
      </c>
      <c r="Z2839" t="str">
        <f t="shared" si="1844"/>
        <v>Rubro</v>
      </c>
      <c r="AA2839" t="str">
        <f t="shared" si="1845"/>
        <v>Cantidad por Bulto</v>
      </c>
      <c r="AB2839" t="str">
        <f t="shared" si="1846"/>
        <v>INNER</v>
      </c>
      <c r="AC2839" t="str">
        <f t="shared" si="1847"/>
        <v>Stock en Bultos</v>
      </c>
      <c r="AD2839" t="str">
        <f t="shared" si="1848"/>
        <v>SubDepósito</v>
      </c>
      <c r="AE2839" t="str">
        <f t="shared" si="1849"/>
        <v>Marca</v>
      </c>
      <c r="AF2839" t="str">
        <f t="shared" si="1850"/>
        <v>Super Rubro</v>
      </c>
      <c r="AG2839" t="str">
        <f t="shared" si="1851"/>
        <v>ComercioExterior</v>
      </c>
      <c r="AH2839" t="str">
        <f t="shared" si="1852"/>
        <v>PrecioFOB</v>
      </c>
      <c r="AI2839" t="str">
        <f t="shared" si="1853"/>
        <v>Monto II</v>
      </c>
      <c r="AJ2839" t="str">
        <f t="shared" si="1854"/>
        <v>Porcentaje II</v>
      </c>
      <c r="AK2839" t="str">
        <f t="shared" si="1855"/>
        <v>Foto</v>
      </c>
      <c r="AL2839" t="str">
        <f>" "</f>
        <v xml:space="preserve"> </v>
      </c>
      <c r="AM2839" t="str">
        <f t="shared" si="1856"/>
        <v>-</v>
      </c>
    </row>
    <row r="2840" spans="1:39" x14ac:dyDescent="0.25">
      <c r="A2840" t="str">
        <f>"FI30038"</f>
        <v>FI30038</v>
      </c>
      <c r="B2840" t="str">
        <f>"SENSOR RPM CHEVROLET ZAFIRA, ASTRA 2.0I16V 99/. VECTRA 2.4 16V 06/. 2.2I 16V "</f>
        <v xml:space="preserve">SENSOR RPM CHEVROLET ZAFIRA, ASTRA 2.0I16V 99/. VECTRA 2.4 16V 06/. 2.2I 16V </v>
      </c>
      <c r="C2840" t="str">
        <f>"$ 22282,92"</f>
        <v>$ 22282,92</v>
      </c>
      <c r="D2840" t="str">
        <f>"$ 22282,92"</f>
        <v>$ 22282,92</v>
      </c>
      <c r="E2840" t="str">
        <f>"$ 22282,92"</f>
        <v>$ 22282,92</v>
      </c>
      <c r="F2840" t="str">
        <f>"$ 22282,92"</f>
        <v>$ 22282,92</v>
      </c>
      <c r="G2840" t="str">
        <f>"$ 22282,92"</f>
        <v>$ 22282,92</v>
      </c>
      <c r="H2840" t="str">
        <f t="shared" si="1837"/>
        <v>$ 0,00</v>
      </c>
      <c r="I2840" t="str">
        <f t="shared" si="1838"/>
        <v>SENSOR RPM</v>
      </c>
      <c r="J2840" t="str">
        <f t="shared" si="1839"/>
        <v>1</v>
      </c>
      <c r="K2840" t="str">
        <f>"1"</f>
        <v>1</v>
      </c>
      <c r="L2840" t="str">
        <f>"0,000"</f>
        <v>0,000</v>
      </c>
      <c r="M2840" t="str">
        <f t="shared" si="1840"/>
        <v xml:space="preserve"> </v>
      </c>
      <c r="N2840" t="str">
        <f t="shared" si="1860"/>
        <v>FISPA</v>
      </c>
      <c r="O2840" t="str">
        <f t="shared" si="1833"/>
        <v>SENSORES</v>
      </c>
      <c r="P2840" t="str">
        <f t="shared" si="1857"/>
        <v>0</v>
      </c>
      <c r="Q2840" t="str">
        <f t="shared" si="1857"/>
        <v>0</v>
      </c>
      <c r="R2840" t="str">
        <f t="shared" si="1858"/>
        <v>0,00</v>
      </c>
      <c r="S2840" t="str">
        <f t="shared" si="1858"/>
        <v>0,00</v>
      </c>
      <c r="T2840" t="str">
        <f t="shared" si="1832"/>
        <v xml:space="preserve"> </v>
      </c>
      <c r="U2840" t="str">
        <f t="shared" si="1836"/>
        <v xml:space="preserve"> </v>
      </c>
      <c r="V2840" t="str">
        <f>"0,000"</f>
        <v>0,000</v>
      </c>
      <c r="W2840" t="str">
        <f t="shared" si="1841"/>
        <v>Lista 4</v>
      </c>
      <c r="X2840" t="str">
        <f t="shared" si="1842"/>
        <v>Lista 5</v>
      </c>
      <c r="Y2840" t="str">
        <f t="shared" si="1843"/>
        <v>Oferta Gral.</v>
      </c>
      <c r="Z2840" t="str">
        <f t="shared" si="1844"/>
        <v>Rubro</v>
      </c>
      <c r="AA2840" t="str">
        <f t="shared" si="1845"/>
        <v>Cantidad por Bulto</v>
      </c>
      <c r="AB2840" t="str">
        <f t="shared" si="1846"/>
        <v>INNER</v>
      </c>
      <c r="AC2840" t="str">
        <f t="shared" si="1847"/>
        <v>Stock en Bultos</v>
      </c>
      <c r="AD2840" t="str">
        <f t="shared" si="1848"/>
        <v>SubDepósito</v>
      </c>
      <c r="AE2840" t="str">
        <f t="shared" si="1849"/>
        <v>Marca</v>
      </c>
      <c r="AF2840" t="str">
        <f t="shared" si="1850"/>
        <v>Super Rubro</v>
      </c>
      <c r="AG2840" t="str">
        <f t="shared" si="1851"/>
        <v>ComercioExterior</v>
      </c>
      <c r="AH2840" t="str">
        <f t="shared" si="1852"/>
        <v>PrecioFOB</v>
      </c>
      <c r="AI2840" t="str">
        <f t="shared" si="1853"/>
        <v>Monto II</v>
      </c>
      <c r="AJ2840" t="str">
        <f t="shared" si="1854"/>
        <v>Porcentaje II</v>
      </c>
      <c r="AK2840" t="str">
        <f t="shared" si="1855"/>
        <v>Foto</v>
      </c>
      <c r="AL284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0" t="str">
        <f t="shared" si="1856"/>
        <v>-</v>
      </c>
    </row>
    <row r="2841" spans="1:39" x14ac:dyDescent="0.25">
      <c r="A2841" t="str">
        <f>"FI30136"</f>
        <v>FI30136</v>
      </c>
      <c r="B2841" t="str">
        <f>"SENSOR RPM CHRYSLER / DODGE SEBRING 1996 MITSUBISHI ECLIPSE 1994 &lt; 1996 - GALANT 94/95"</f>
        <v>SENSOR RPM CHRYSLER / DODGE SEBRING 1996 MITSUBISHI ECLIPSE 1994 &lt; 1996 - GALANT 94/95</v>
      </c>
      <c r="C2841" t="str">
        <f>"$ 35133,20"</f>
        <v>$ 35133,20</v>
      </c>
      <c r="D2841" t="str">
        <f>"$ 35133,20"</f>
        <v>$ 35133,20</v>
      </c>
      <c r="E2841" t="str">
        <f>"$ 35133,20"</f>
        <v>$ 35133,20</v>
      </c>
      <c r="F2841" t="str">
        <f>"$ 35133,20"</f>
        <v>$ 35133,20</v>
      </c>
      <c r="G2841" t="str">
        <f>"$ 35133,20"</f>
        <v>$ 35133,20</v>
      </c>
      <c r="H2841" t="str">
        <f t="shared" si="1837"/>
        <v>$ 0,00</v>
      </c>
      <c r="I2841" t="str">
        <f t="shared" si="1838"/>
        <v>SENSOR RPM</v>
      </c>
      <c r="J2841" t="str">
        <f t="shared" si="1839"/>
        <v>1</v>
      </c>
      <c r="K2841" t="str">
        <f>"1"</f>
        <v>1</v>
      </c>
      <c r="L2841" t="str">
        <f>"0,000"</f>
        <v>0,000</v>
      </c>
      <c r="M2841" t="str">
        <f t="shared" si="1840"/>
        <v xml:space="preserve"> </v>
      </c>
      <c r="N2841" t="str">
        <f t="shared" si="1860"/>
        <v>FISPA</v>
      </c>
      <c r="O2841" t="str">
        <f t="shared" si="1833"/>
        <v>SENSORES</v>
      </c>
      <c r="P2841" t="str">
        <f t="shared" si="1857"/>
        <v>0</v>
      </c>
      <c r="Q2841" t="str">
        <f t="shared" si="1857"/>
        <v>0</v>
      </c>
      <c r="R2841" t="str">
        <f t="shared" si="1858"/>
        <v>0,00</v>
      </c>
      <c r="S2841" t="str">
        <f t="shared" si="1858"/>
        <v>0,00</v>
      </c>
      <c r="T2841" t="str">
        <f t="shared" si="1832"/>
        <v xml:space="preserve"> </v>
      </c>
      <c r="U2841" t="str">
        <f t="shared" si="1836"/>
        <v xml:space="preserve"> </v>
      </c>
      <c r="V2841" t="str">
        <f>"0,000"</f>
        <v>0,000</v>
      </c>
      <c r="W2841" t="str">
        <f t="shared" si="1841"/>
        <v>Lista 4</v>
      </c>
      <c r="X2841" t="str">
        <f t="shared" si="1842"/>
        <v>Lista 5</v>
      </c>
      <c r="Y2841" t="str">
        <f t="shared" si="1843"/>
        <v>Oferta Gral.</v>
      </c>
      <c r="Z2841" t="str">
        <f t="shared" si="1844"/>
        <v>Rubro</v>
      </c>
      <c r="AA2841" t="str">
        <f t="shared" si="1845"/>
        <v>Cantidad por Bulto</v>
      </c>
      <c r="AB2841" t="str">
        <f t="shared" si="1846"/>
        <v>INNER</v>
      </c>
      <c r="AC2841" t="str">
        <f t="shared" si="1847"/>
        <v>Stock en Bultos</v>
      </c>
      <c r="AD2841" t="str">
        <f t="shared" si="1848"/>
        <v>SubDepósito</v>
      </c>
      <c r="AE2841" t="str">
        <f t="shared" si="1849"/>
        <v>Marca</v>
      </c>
      <c r="AF2841" t="str">
        <f t="shared" si="1850"/>
        <v>Super Rubro</v>
      </c>
      <c r="AG2841" t="str">
        <f t="shared" si="1851"/>
        <v>ComercioExterior</v>
      </c>
      <c r="AH2841" t="str">
        <f t="shared" si="1852"/>
        <v>PrecioFOB</v>
      </c>
      <c r="AI2841" t="str">
        <f t="shared" si="1853"/>
        <v>Monto II</v>
      </c>
      <c r="AJ2841" t="str">
        <f t="shared" si="1854"/>
        <v>Porcentaje II</v>
      </c>
      <c r="AK2841" t="str">
        <f t="shared" si="1855"/>
        <v>Foto</v>
      </c>
      <c r="AL284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1" t="str">
        <f t="shared" si="1856"/>
        <v>-</v>
      </c>
    </row>
    <row r="2842" spans="1:39" x14ac:dyDescent="0.25">
      <c r="A2842" t="str">
        <f>"FI30130"</f>
        <v>FI30130</v>
      </c>
      <c r="B2842" t="str">
        <f>"SENSOR RPM CHRYSLER/DODGE BREEZE 96&lt;2000 - CIRRUS 95&lt;2003 - NEON 96&lt;99 - PT CRUISER 01&lt;2010"</f>
        <v>SENSOR RPM CHRYSLER/DODGE BREEZE 96&lt;2000 - CIRRUS 95&lt;2003 - NEON 96&lt;99 - PT CRUISER 01&lt;2010</v>
      </c>
      <c r="C2842" t="str">
        <f>"$ 22428,17"</f>
        <v>$ 22428,17</v>
      </c>
      <c r="D2842" t="str">
        <f>"$ 22428,17"</f>
        <v>$ 22428,17</v>
      </c>
      <c r="E2842" t="str">
        <f>"$ 22428,17"</f>
        <v>$ 22428,17</v>
      </c>
      <c r="F2842" t="str">
        <f>"$ 22428,17"</f>
        <v>$ 22428,17</v>
      </c>
      <c r="G2842" t="str">
        <f>"$ 22428,17"</f>
        <v>$ 22428,17</v>
      </c>
      <c r="H2842" t="str">
        <f t="shared" si="1837"/>
        <v>$ 0,00</v>
      </c>
      <c r="I2842" t="str">
        <f t="shared" si="1838"/>
        <v>SENSOR RPM</v>
      </c>
      <c r="J2842" t="str">
        <f t="shared" si="1839"/>
        <v>1</v>
      </c>
      <c r="K2842" t="str">
        <f>"1"</f>
        <v>1</v>
      </c>
      <c r="L2842" t="str">
        <f>"0,000"</f>
        <v>0,000</v>
      </c>
      <c r="M2842" t="str">
        <f t="shared" si="1840"/>
        <v xml:space="preserve"> </v>
      </c>
      <c r="N2842" t="str">
        <f t="shared" si="1860"/>
        <v>FISPA</v>
      </c>
      <c r="O2842" t="str">
        <f t="shared" si="1833"/>
        <v>SENSORES</v>
      </c>
      <c r="P2842" t="str">
        <f t="shared" si="1857"/>
        <v>0</v>
      </c>
      <c r="Q2842" t="str">
        <f t="shared" si="1857"/>
        <v>0</v>
      </c>
      <c r="R2842" t="str">
        <f t="shared" si="1858"/>
        <v>0,00</v>
      </c>
      <c r="S2842" t="str">
        <f t="shared" si="1858"/>
        <v>0,00</v>
      </c>
      <c r="T2842" t="str">
        <f t="shared" si="1832"/>
        <v xml:space="preserve"> </v>
      </c>
      <c r="U2842" t="str">
        <f t="shared" si="1836"/>
        <v xml:space="preserve"> </v>
      </c>
      <c r="V2842" t="str">
        <f>"0,000"</f>
        <v>0,000</v>
      </c>
      <c r="W2842" t="str">
        <f t="shared" si="1841"/>
        <v>Lista 4</v>
      </c>
      <c r="X2842" t="str">
        <f t="shared" si="1842"/>
        <v>Lista 5</v>
      </c>
      <c r="Y2842" t="str">
        <f t="shared" si="1843"/>
        <v>Oferta Gral.</v>
      </c>
      <c r="Z2842" t="str">
        <f t="shared" si="1844"/>
        <v>Rubro</v>
      </c>
      <c r="AA2842" t="str">
        <f t="shared" si="1845"/>
        <v>Cantidad por Bulto</v>
      </c>
      <c r="AB2842" t="str">
        <f t="shared" si="1846"/>
        <v>INNER</v>
      </c>
      <c r="AC2842" t="str">
        <f t="shared" si="1847"/>
        <v>Stock en Bultos</v>
      </c>
      <c r="AD2842" t="str">
        <f t="shared" si="1848"/>
        <v>SubDepósito</v>
      </c>
      <c r="AE2842" t="str">
        <f t="shared" si="1849"/>
        <v>Marca</v>
      </c>
      <c r="AF2842" t="str">
        <f t="shared" si="1850"/>
        <v>Super Rubro</v>
      </c>
      <c r="AG2842" t="str">
        <f t="shared" si="1851"/>
        <v>ComercioExterior</v>
      </c>
      <c r="AH2842" t="str">
        <f t="shared" si="1852"/>
        <v>PrecioFOB</v>
      </c>
      <c r="AI2842" t="str">
        <f t="shared" si="1853"/>
        <v>Monto II</v>
      </c>
      <c r="AJ2842" t="str">
        <f t="shared" si="1854"/>
        <v>Porcentaje II</v>
      </c>
      <c r="AK2842" t="str">
        <f t="shared" si="1855"/>
        <v>Foto</v>
      </c>
      <c r="AL284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2" t="str">
        <f t="shared" si="1856"/>
        <v>-</v>
      </c>
    </row>
    <row r="2843" spans="1:39" x14ac:dyDescent="0.25">
      <c r="A2843" t="str">
        <f>"FI30013"</f>
        <v>FI30013</v>
      </c>
      <c r="B2843" t="str">
        <f>"SENSOR RPM CITROEN BERLINGO - SAXO - XSARA -P206 1.4 - 1.6 / 306 (7BN) 1.4 - 1.6 /PARTNER 1.4 I"</f>
        <v>SENSOR RPM CITROEN BERLINGO - SAXO - XSARA -P206 1.4 - 1.6 / 306 (7BN) 1.4 - 1.6 /PARTNER 1.4 I</v>
      </c>
      <c r="C2843" t="str">
        <f>"$ 19121,62"</f>
        <v>$ 19121,62</v>
      </c>
      <c r="D2843" t="str">
        <f>"$ 19121,62"</f>
        <v>$ 19121,62</v>
      </c>
      <c r="E2843" t="str">
        <f>"$ 19121,62"</f>
        <v>$ 19121,62</v>
      </c>
      <c r="F2843" t="str">
        <f>"$ 19121,62"</f>
        <v>$ 19121,62</v>
      </c>
      <c r="G2843" t="str">
        <f>"$ 19121,62"</f>
        <v>$ 19121,62</v>
      </c>
      <c r="H2843" t="str">
        <f t="shared" si="1837"/>
        <v>$ 0,00</v>
      </c>
      <c r="I2843" t="str">
        <f t="shared" si="1838"/>
        <v>SENSOR RPM</v>
      </c>
      <c r="J2843" t="str">
        <f t="shared" si="1839"/>
        <v>1</v>
      </c>
      <c r="K2843" t="str">
        <f>"1"</f>
        <v>1</v>
      </c>
      <c r="L2843" t="str">
        <f>"3,000"</f>
        <v>3,000</v>
      </c>
      <c r="M2843" t="str">
        <f t="shared" si="1840"/>
        <v xml:space="preserve"> </v>
      </c>
      <c r="N2843" t="str">
        <f t="shared" si="1860"/>
        <v>FISPA</v>
      </c>
      <c r="O2843" t="str">
        <f t="shared" si="1833"/>
        <v>SENSORES</v>
      </c>
      <c r="P2843" t="str">
        <f t="shared" ref="P2843:Q2862" si="1861">"0"</f>
        <v>0</v>
      </c>
      <c r="Q2843" t="str">
        <f t="shared" si="1861"/>
        <v>0</v>
      </c>
      <c r="R2843" t="str">
        <f t="shared" ref="R2843:S2862" si="1862">"0,00"</f>
        <v>0,00</v>
      </c>
      <c r="S2843" t="str">
        <f t="shared" si="1862"/>
        <v>0,00</v>
      </c>
      <c r="T2843" t="str">
        <f t="shared" si="1832"/>
        <v xml:space="preserve"> </v>
      </c>
      <c r="U2843" t="str">
        <f t="shared" si="1836"/>
        <v xml:space="preserve"> </v>
      </c>
      <c r="V2843" t="str">
        <f>"3,000"</f>
        <v>3,000</v>
      </c>
      <c r="W2843" t="str">
        <f t="shared" si="1841"/>
        <v>Lista 4</v>
      </c>
      <c r="X2843" t="str">
        <f t="shared" si="1842"/>
        <v>Lista 5</v>
      </c>
      <c r="Y2843" t="str">
        <f t="shared" si="1843"/>
        <v>Oferta Gral.</v>
      </c>
      <c r="Z2843" t="str">
        <f t="shared" si="1844"/>
        <v>Rubro</v>
      </c>
      <c r="AA2843" t="str">
        <f t="shared" si="1845"/>
        <v>Cantidad por Bulto</v>
      </c>
      <c r="AB2843" t="str">
        <f t="shared" si="1846"/>
        <v>INNER</v>
      </c>
      <c r="AC2843" t="str">
        <f t="shared" si="1847"/>
        <v>Stock en Bultos</v>
      </c>
      <c r="AD2843" t="str">
        <f t="shared" si="1848"/>
        <v>SubDepósito</v>
      </c>
      <c r="AE2843" t="str">
        <f t="shared" si="1849"/>
        <v>Marca</v>
      </c>
      <c r="AF2843" t="str">
        <f t="shared" si="1850"/>
        <v>Super Rubro</v>
      </c>
      <c r="AG2843" t="str">
        <f t="shared" si="1851"/>
        <v>ComercioExterior</v>
      </c>
      <c r="AH2843" t="str">
        <f t="shared" si="1852"/>
        <v>PrecioFOB</v>
      </c>
      <c r="AI2843" t="str">
        <f t="shared" si="1853"/>
        <v>Monto II</v>
      </c>
      <c r="AJ2843" t="str">
        <f t="shared" si="1854"/>
        <v>Porcentaje II</v>
      </c>
      <c r="AK2843" t="str">
        <f t="shared" si="1855"/>
        <v>Foto</v>
      </c>
      <c r="AL2843" t="str">
        <f>"{\rtf1\ansi\ansicpg1252\deff0\deflang2058{\fonttbl{\f0\fnil\fcharset0 MS Sans Serif}} \viewkind4\uc1\pard\f0\fs16 SENSOR RPM CITROEN BERLINGO - SAXO - XSARA -P206 1.4 - 1.6 / 306 (7BN) 1.4 - 1.6 /PARTNER 1.4 I\par } "</f>
        <v xml:space="preserve">{\rtf1\ansi\ansicpg1252\deff0\deflang2058{\fonttbl{\f0\fnil\fcharset0 MS Sans Serif}} \viewkind4\uc1\pard\f0\fs16 SENSOR RPM CITROEN BERLINGO - SAXO - XSARA -P206 1.4 - 1.6 / 306 (7BN) 1.4 - 1.6 /PARTNER 1.4 I\par } </v>
      </c>
      <c r="AM2843" t="str">
        <f t="shared" si="1856"/>
        <v>-</v>
      </c>
    </row>
    <row r="2844" spans="1:39" x14ac:dyDescent="0.25">
      <c r="A2844" t="str">
        <f>"FI30037"</f>
        <v>FI30037</v>
      </c>
      <c r="B2844" t="str">
        <f>"SENSOR RPM CITROEN BERLINGO 1.6 04/08,C4/XSARA PICASSO 1.6 04.01-10.04. P307/308 1.6 16V "</f>
        <v xml:space="preserve">SENSOR RPM CITROEN BERLINGO 1.6 04/08,C4/XSARA PICASSO 1.6 04.01-10.04. P307/308 1.6 16V </v>
      </c>
      <c r="C2844" t="str">
        <f>"$ 23508,39"</f>
        <v>$ 23508,39</v>
      </c>
      <c r="D2844" t="str">
        <f>"$ 23508,39"</f>
        <v>$ 23508,39</v>
      </c>
      <c r="E2844" t="str">
        <f>"$ 23508,39"</f>
        <v>$ 23508,39</v>
      </c>
      <c r="F2844" t="str">
        <f>"$ 23508,39"</f>
        <v>$ 23508,39</v>
      </c>
      <c r="G2844" t="str">
        <f>"$ 23508,39"</f>
        <v>$ 23508,39</v>
      </c>
      <c r="H2844" t="str">
        <f t="shared" si="1837"/>
        <v>$ 0,00</v>
      </c>
      <c r="I2844" t="str">
        <f t="shared" si="1838"/>
        <v>SENSOR RPM</v>
      </c>
      <c r="J2844" t="str">
        <f t="shared" si="1839"/>
        <v>1</v>
      </c>
      <c r="K2844" t="str">
        <f>"0"</f>
        <v>0</v>
      </c>
      <c r="L2844" t="str">
        <f>"2,000"</f>
        <v>2,000</v>
      </c>
      <c r="M2844" t="str">
        <f t="shared" si="1840"/>
        <v xml:space="preserve"> </v>
      </c>
      <c r="N2844" t="str">
        <f t="shared" si="1860"/>
        <v>FISPA</v>
      </c>
      <c r="O2844" t="str">
        <f t="shared" si="1833"/>
        <v>SENSORES</v>
      </c>
      <c r="P2844" t="str">
        <f t="shared" si="1861"/>
        <v>0</v>
      </c>
      <c r="Q2844" t="str">
        <f t="shared" si="1861"/>
        <v>0</v>
      </c>
      <c r="R2844" t="str">
        <f t="shared" si="1862"/>
        <v>0,00</v>
      </c>
      <c r="S2844" t="str">
        <f t="shared" si="1862"/>
        <v>0,00</v>
      </c>
      <c r="T2844" t="str">
        <f t="shared" si="1832"/>
        <v xml:space="preserve"> </v>
      </c>
      <c r="U2844" t="str">
        <f t="shared" si="1836"/>
        <v xml:space="preserve"> </v>
      </c>
      <c r="V2844" t="str">
        <f>"2,000"</f>
        <v>2,000</v>
      </c>
      <c r="W2844" t="str">
        <f t="shared" si="1841"/>
        <v>Lista 4</v>
      </c>
      <c r="X2844" t="str">
        <f t="shared" si="1842"/>
        <v>Lista 5</v>
      </c>
      <c r="Y2844" t="str">
        <f t="shared" si="1843"/>
        <v>Oferta Gral.</v>
      </c>
      <c r="Z2844" t="str">
        <f t="shared" si="1844"/>
        <v>Rubro</v>
      </c>
      <c r="AA2844" t="str">
        <f t="shared" si="1845"/>
        <v>Cantidad por Bulto</v>
      </c>
      <c r="AB2844" t="str">
        <f t="shared" si="1846"/>
        <v>INNER</v>
      </c>
      <c r="AC2844" t="str">
        <f t="shared" si="1847"/>
        <v>Stock en Bultos</v>
      </c>
      <c r="AD2844" t="str">
        <f t="shared" si="1848"/>
        <v>SubDepósito</v>
      </c>
      <c r="AE2844" t="str">
        <f t="shared" si="1849"/>
        <v>Marca</v>
      </c>
      <c r="AF2844" t="str">
        <f t="shared" si="1850"/>
        <v>Super Rubro</v>
      </c>
      <c r="AG2844" t="str">
        <f t="shared" si="1851"/>
        <v>ComercioExterior</v>
      </c>
      <c r="AH2844" t="str">
        <f t="shared" si="1852"/>
        <v>PrecioFOB</v>
      </c>
      <c r="AI2844" t="str">
        <f t="shared" si="1853"/>
        <v>Monto II</v>
      </c>
      <c r="AJ2844" t="str">
        <f t="shared" si="1854"/>
        <v>Porcentaje II</v>
      </c>
      <c r="AK2844" t="str">
        <f t="shared" si="1855"/>
        <v>Foto</v>
      </c>
      <c r="AL284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4" t="str">
        <f t="shared" si="1856"/>
        <v>-</v>
      </c>
    </row>
    <row r="2845" spans="1:39" x14ac:dyDescent="0.25">
      <c r="A2845" t="str">
        <f>"144313"</f>
        <v>144313</v>
      </c>
      <c r="B2845" t="str">
        <f>"SENSOR RPM CITROEN BERLINGO PEUGEOT PARTNER 406 306 1920W9"</f>
        <v>SENSOR RPM CITROEN BERLINGO PEUGEOT PARTNER 406 306 1920W9</v>
      </c>
      <c r="C2845" t="str">
        <f>"$ 23513,75"</f>
        <v>$ 23513,75</v>
      </c>
      <c r="D2845" t="str">
        <f>"$ 23513,75"</f>
        <v>$ 23513,75</v>
      </c>
      <c r="E2845" t="str">
        <f>"$ 23513,75"</f>
        <v>$ 23513,75</v>
      </c>
      <c r="F2845" t="str">
        <f>"$ 23513,75"</f>
        <v>$ 23513,75</v>
      </c>
      <c r="G2845" t="str">
        <f>"$ 23513,75"</f>
        <v>$ 23513,75</v>
      </c>
      <c r="H2845" t="str">
        <f t="shared" si="1837"/>
        <v>$ 0,00</v>
      </c>
      <c r="I2845" t="str">
        <f t="shared" si="1838"/>
        <v>SENSOR RPM</v>
      </c>
      <c r="J2845" t="str">
        <f t="shared" si="1839"/>
        <v>1</v>
      </c>
      <c r="K2845" t="str">
        <f>"0"</f>
        <v>0</v>
      </c>
      <c r="L2845" t="str">
        <f>"3,000"</f>
        <v>3,000</v>
      </c>
      <c r="M2845" t="str">
        <f t="shared" si="1840"/>
        <v xml:space="preserve"> </v>
      </c>
      <c r="N2845" t="str">
        <f>"BOUGICORD"</f>
        <v>BOUGICORD</v>
      </c>
      <c r="O2845" t="str">
        <f t="shared" si="1833"/>
        <v>SENSORES</v>
      </c>
      <c r="P2845" t="str">
        <f t="shared" si="1861"/>
        <v>0</v>
      </c>
      <c r="Q2845" t="str">
        <f t="shared" si="1861"/>
        <v>0</v>
      </c>
      <c r="R2845" t="str">
        <f t="shared" si="1862"/>
        <v>0,00</v>
      </c>
      <c r="S2845" t="str">
        <f t="shared" si="1862"/>
        <v>0,00</v>
      </c>
      <c r="T2845" t="str">
        <f t="shared" si="1832"/>
        <v xml:space="preserve"> </v>
      </c>
      <c r="U2845" t="str">
        <f t="shared" si="1836"/>
        <v xml:space="preserve"> </v>
      </c>
      <c r="V2845" t="str">
        <f>"3,000"</f>
        <v>3,000</v>
      </c>
      <c r="W2845" t="str">
        <f t="shared" si="1841"/>
        <v>Lista 4</v>
      </c>
      <c r="X2845" t="str">
        <f t="shared" si="1842"/>
        <v>Lista 5</v>
      </c>
      <c r="Y2845" t="str">
        <f t="shared" si="1843"/>
        <v>Oferta Gral.</v>
      </c>
      <c r="Z2845" t="str">
        <f t="shared" si="1844"/>
        <v>Rubro</v>
      </c>
      <c r="AA2845" t="str">
        <f t="shared" si="1845"/>
        <v>Cantidad por Bulto</v>
      </c>
      <c r="AB2845" t="str">
        <f t="shared" si="1846"/>
        <v>INNER</v>
      </c>
      <c r="AC2845" t="str">
        <f t="shared" si="1847"/>
        <v>Stock en Bultos</v>
      </c>
      <c r="AD2845" t="str">
        <f t="shared" si="1848"/>
        <v>SubDepósito</v>
      </c>
      <c r="AE2845" t="str">
        <f t="shared" si="1849"/>
        <v>Marca</v>
      </c>
      <c r="AF2845" t="str">
        <f t="shared" si="1850"/>
        <v>Super Rubro</v>
      </c>
      <c r="AG2845" t="str">
        <f t="shared" si="1851"/>
        <v>ComercioExterior</v>
      </c>
      <c r="AH2845" t="str">
        <f t="shared" si="1852"/>
        <v>PrecioFOB</v>
      </c>
      <c r="AI2845" t="str">
        <f t="shared" si="1853"/>
        <v>Monto II</v>
      </c>
      <c r="AJ2845" t="str">
        <f t="shared" si="1854"/>
        <v>Porcentaje II</v>
      </c>
      <c r="AK2845" t="str">
        <f t="shared" si="1855"/>
        <v>Foto</v>
      </c>
      <c r="AL2845" t="str">
        <f>"{\rtf1\ansi\ansicpg1252\deff0\deflang11274{\fonttbl{\f0\fnil\fcharset0 MS Sans Serif}} \viewkind4\uc1\pard\f0\fs16 SENSOR RPM CITROEN BERLINGO PEUGEOT PARTNER 406 306 1920W9\par } "</f>
        <v xml:space="preserve">{\rtf1\ansi\ansicpg1252\deff0\deflang11274{\fonttbl{\f0\fnil\fcharset0 MS Sans Serif}} \viewkind4\uc1\pard\f0\fs16 SENSOR RPM CITROEN BERLINGO PEUGEOT PARTNER 406 306 1920W9\par } </v>
      </c>
      <c r="AM2845" t="str">
        <f t="shared" si="1856"/>
        <v>-</v>
      </c>
    </row>
    <row r="2846" spans="1:39" x14ac:dyDescent="0.25">
      <c r="A2846" t="str">
        <f>"FI30048"</f>
        <v>FI30048</v>
      </c>
      <c r="B2846" t="str">
        <f>"SENSOR RPM CITROEN C5/BERLINGO/XSARA 2.0 HDI PARTNER/306/406/LAGUNA 3.0 V6 1.9 HDI"</f>
        <v>SENSOR RPM CITROEN C5/BERLINGO/XSARA 2.0 HDI PARTNER/306/406/LAGUNA 3.0 V6 1.9 HDI</v>
      </c>
      <c r="C2846" t="str">
        <f>"$ 19658,68"</f>
        <v>$ 19658,68</v>
      </c>
      <c r="D2846" t="str">
        <f>"$ 19658,68"</f>
        <v>$ 19658,68</v>
      </c>
      <c r="E2846" t="str">
        <f>"$ 19658,68"</f>
        <v>$ 19658,68</v>
      </c>
      <c r="F2846" t="str">
        <f>"$ 19658,68"</f>
        <v>$ 19658,68</v>
      </c>
      <c r="G2846" t="str">
        <f>"$ 19658,68"</f>
        <v>$ 19658,68</v>
      </c>
      <c r="H2846" t="str">
        <f t="shared" si="1837"/>
        <v>$ 0,00</v>
      </c>
      <c r="I2846" t="str">
        <f t="shared" si="1838"/>
        <v>SENSOR RPM</v>
      </c>
      <c r="J2846" t="str">
        <f t="shared" si="1839"/>
        <v>1</v>
      </c>
      <c r="K2846" t="str">
        <f>"1"</f>
        <v>1</v>
      </c>
      <c r="L2846" t="str">
        <f>"0,000"</f>
        <v>0,000</v>
      </c>
      <c r="M2846" t="str">
        <f t="shared" si="1840"/>
        <v xml:space="preserve"> </v>
      </c>
      <c r="N2846" t="str">
        <f t="shared" ref="N2846:N2859" si="1863">"FISPA"</f>
        <v>FISPA</v>
      </c>
      <c r="O2846" t="str">
        <f t="shared" si="1833"/>
        <v>SENSORES</v>
      </c>
      <c r="P2846" t="str">
        <f t="shared" si="1861"/>
        <v>0</v>
      </c>
      <c r="Q2846" t="str">
        <f t="shared" si="1861"/>
        <v>0</v>
      </c>
      <c r="R2846" t="str">
        <f t="shared" si="1862"/>
        <v>0,00</v>
      </c>
      <c r="S2846" t="str">
        <f t="shared" si="1862"/>
        <v>0,00</v>
      </c>
      <c r="T2846" t="str">
        <f t="shared" si="1832"/>
        <v xml:space="preserve"> </v>
      </c>
      <c r="U2846" t="str">
        <f t="shared" si="1836"/>
        <v xml:space="preserve"> </v>
      </c>
      <c r="V2846" t="str">
        <f>"0,000"</f>
        <v>0,000</v>
      </c>
      <c r="W2846" t="str">
        <f t="shared" si="1841"/>
        <v>Lista 4</v>
      </c>
      <c r="X2846" t="str">
        <f t="shared" si="1842"/>
        <v>Lista 5</v>
      </c>
      <c r="Y2846" t="str">
        <f t="shared" si="1843"/>
        <v>Oferta Gral.</v>
      </c>
      <c r="Z2846" t="str">
        <f t="shared" si="1844"/>
        <v>Rubro</v>
      </c>
      <c r="AA2846" t="str">
        <f t="shared" si="1845"/>
        <v>Cantidad por Bulto</v>
      </c>
      <c r="AB2846" t="str">
        <f t="shared" si="1846"/>
        <v>INNER</v>
      </c>
      <c r="AC2846" t="str">
        <f t="shared" si="1847"/>
        <v>Stock en Bultos</v>
      </c>
      <c r="AD2846" t="str">
        <f t="shared" si="1848"/>
        <v>SubDepósito</v>
      </c>
      <c r="AE2846" t="str">
        <f t="shared" si="1849"/>
        <v>Marca</v>
      </c>
      <c r="AF2846" t="str">
        <f t="shared" si="1850"/>
        <v>Super Rubro</v>
      </c>
      <c r="AG2846" t="str">
        <f t="shared" si="1851"/>
        <v>ComercioExterior</v>
      </c>
      <c r="AH2846" t="str">
        <f t="shared" si="1852"/>
        <v>PrecioFOB</v>
      </c>
      <c r="AI2846" t="str">
        <f t="shared" si="1853"/>
        <v>Monto II</v>
      </c>
      <c r="AJ2846" t="str">
        <f t="shared" si="1854"/>
        <v>Porcentaje II</v>
      </c>
      <c r="AK2846" t="str">
        <f t="shared" si="1855"/>
        <v>Foto</v>
      </c>
      <c r="AL284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6" t="str">
        <f t="shared" si="1856"/>
        <v>-</v>
      </c>
    </row>
    <row r="2847" spans="1:39" x14ac:dyDescent="0.25">
      <c r="A2847" t="str">
        <f>"FI30046"</f>
        <v>FI30046</v>
      </c>
      <c r="B2847" t="str">
        <f>"SENSOR RPM CITROEN PICASSO 2.0 16V- 2.0HDI - XSARA 2.0 16V - PEUGEOT: 307 2.0HDI - 307 SW HDI"</f>
        <v>SENSOR RPM CITROEN PICASSO 2.0 16V- 2.0HDI - XSARA 2.0 16V - PEUGEOT: 307 2.0HDI - 307 SW HDI</v>
      </c>
      <c r="C2847" t="str">
        <f>"$ 19061,81"</f>
        <v>$ 19061,81</v>
      </c>
      <c r="D2847" t="str">
        <f>"$ 19061,81"</f>
        <v>$ 19061,81</v>
      </c>
      <c r="E2847" t="str">
        <f>"$ 19061,81"</f>
        <v>$ 19061,81</v>
      </c>
      <c r="F2847" t="str">
        <f>"$ 19061,81"</f>
        <v>$ 19061,81</v>
      </c>
      <c r="G2847" t="str">
        <f>"$ 19061,81"</f>
        <v>$ 19061,81</v>
      </c>
      <c r="H2847" t="str">
        <f t="shared" si="1837"/>
        <v>$ 0,00</v>
      </c>
      <c r="I2847" t="str">
        <f t="shared" si="1838"/>
        <v>SENSOR RPM</v>
      </c>
      <c r="J2847" t="str">
        <f t="shared" si="1839"/>
        <v>1</v>
      </c>
      <c r="K2847" t="str">
        <f>"1"</f>
        <v>1</v>
      </c>
      <c r="L2847" t="str">
        <f>"0,000"</f>
        <v>0,000</v>
      </c>
      <c r="M2847" t="str">
        <f t="shared" si="1840"/>
        <v xml:space="preserve"> </v>
      </c>
      <c r="N2847" t="str">
        <f t="shared" si="1863"/>
        <v>FISPA</v>
      </c>
      <c r="O2847" t="str">
        <f t="shared" si="1833"/>
        <v>SENSORES</v>
      </c>
      <c r="P2847" t="str">
        <f t="shared" si="1861"/>
        <v>0</v>
      </c>
      <c r="Q2847" t="str">
        <f t="shared" si="1861"/>
        <v>0</v>
      </c>
      <c r="R2847" t="str">
        <f t="shared" si="1862"/>
        <v>0,00</v>
      </c>
      <c r="S2847" t="str">
        <f t="shared" si="1862"/>
        <v>0,00</v>
      </c>
      <c r="T2847" t="str">
        <f t="shared" si="1832"/>
        <v xml:space="preserve"> </v>
      </c>
      <c r="U2847" t="str">
        <f t="shared" si="1836"/>
        <v xml:space="preserve"> </v>
      </c>
      <c r="V2847" t="str">
        <f>"0,000"</f>
        <v>0,000</v>
      </c>
      <c r="W2847" t="str">
        <f t="shared" si="1841"/>
        <v>Lista 4</v>
      </c>
      <c r="X2847" t="str">
        <f t="shared" si="1842"/>
        <v>Lista 5</v>
      </c>
      <c r="Y2847" t="str">
        <f t="shared" si="1843"/>
        <v>Oferta Gral.</v>
      </c>
      <c r="Z2847" t="str">
        <f t="shared" si="1844"/>
        <v>Rubro</v>
      </c>
      <c r="AA2847" t="str">
        <f t="shared" si="1845"/>
        <v>Cantidad por Bulto</v>
      </c>
      <c r="AB2847" t="str">
        <f t="shared" si="1846"/>
        <v>INNER</v>
      </c>
      <c r="AC2847" t="str">
        <f t="shared" si="1847"/>
        <v>Stock en Bultos</v>
      </c>
      <c r="AD2847" t="str">
        <f t="shared" si="1848"/>
        <v>SubDepósito</v>
      </c>
      <c r="AE2847" t="str">
        <f t="shared" si="1849"/>
        <v>Marca</v>
      </c>
      <c r="AF2847" t="str">
        <f t="shared" si="1850"/>
        <v>Super Rubro</v>
      </c>
      <c r="AG2847" t="str">
        <f t="shared" si="1851"/>
        <v>ComercioExterior</v>
      </c>
      <c r="AH2847" t="str">
        <f t="shared" si="1852"/>
        <v>PrecioFOB</v>
      </c>
      <c r="AI2847" t="str">
        <f t="shared" si="1853"/>
        <v>Monto II</v>
      </c>
      <c r="AJ2847" t="str">
        <f t="shared" si="1854"/>
        <v>Porcentaje II</v>
      </c>
      <c r="AK2847" t="str">
        <f t="shared" si="1855"/>
        <v>Foto</v>
      </c>
      <c r="AL2847" t="str">
        <f>" "</f>
        <v xml:space="preserve"> </v>
      </c>
      <c r="AM2847" t="str">
        <f t="shared" si="1856"/>
        <v>-</v>
      </c>
    </row>
    <row r="2848" spans="1:39" x14ac:dyDescent="0.25">
      <c r="A2848" t="str">
        <f>"FI30011"</f>
        <v>FI30011</v>
      </c>
      <c r="B2848" t="str">
        <f>"SENSOR RPM CITROEN XANTIA-BERLINGO/P306/405/406 1,6 - 1,8 - 1,8 16V  BOXER - PARTNER -"</f>
        <v>SENSOR RPM CITROEN XANTIA-BERLINGO/P306/405/406 1,6 - 1,8 - 1,8 16V  BOXER - PARTNER -</v>
      </c>
      <c r="C2848" t="str">
        <f>"$ 16386,30"</f>
        <v>$ 16386,30</v>
      </c>
      <c r="D2848" t="str">
        <f>"$ 16386,30"</f>
        <v>$ 16386,30</v>
      </c>
      <c r="E2848" t="str">
        <f>"$ 16386,30"</f>
        <v>$ 16386,30</v>
      </c>
      <c r="F2848" t="str">
        <f>"$ 16386,30"</f>
        <v>$ 16386,30</v>
      </c>
      <c r="G2848" t="str">
        <f>"$ 16386,30"</f>
        <v>$ 16386,30</v>
      </c>
      <c r="H2848" t="str">
        <f t="shared" si="1837"/>
        <v>$ 0,00</v>
      </c>
      <c r="I2848" t="str">
        <f t="shared" si="1838"/>
        <v>SENSOR RPM</v>
      </c>
      <c r="J2848" t="str">
        <f t="shared" si="1839"/>
        <v>1</v>
      </c>
      <c r="K2848" t="str">
        <f>"1"</f>
        <v>1</v>
      </c>
      <c r="L2848" t="str">
        <f>"0,000"</f>
        <v>0,000</v>
      </c>
      <c r="M2848" t="str">
        <f t="shared" si="1840"/>
        <v xml:space="preserve"> </v>
      </c>
      <c r="N2848" t="str">
        <f t="shared" si="1863"/>
        <v>FISPA</v>
      </c>
      <c r="O2848" t="str">
        <f t="shared" ref="O2848:O2879" si="1864">"SENSORES"</f>
        <v>SENSORES</v>
      </c>
      <c r="P2848" t="str">
        <f t="shared" si="1861"/>
        <v>0</v>
      </c>
      <c r="Q2848" t="str">
        <f t="shared" si="1861"/>
        <v>0</v>
      </c>
      <c r="R2848" t="str">
        <f t="shared" si="1862"/>
        <v>0,00</v>
      </c>
      <c r="S2848" t="str">
        <f t="shared" si="1862"/>
        <v>0,00</v>
      </c>
      <c r="T2848" t="str">
        <f t="shared" si="1832"/>
        <v xml:space="preserve"> </v>
      </c>
      <c r="U2848" t="str">
        <f t="shared" si="1836"/>
        <v xml:space="preserve"> </v>
      </c>
      <c r="V2848" t="str">
        <f>"0,000"</f>
        <v>0,000</v>
      </c>
      <c r="W2848" t="str">
        <f t="shared" si="1841"/>
        <v>Lista 4</v>
      </c>
      <c r="X2848" t="str">
        <f t="shared" si="1842"/>
        <v>Lista 5</v>
      </c>
      <c r="Y2848" t="str">
        <f t="shared" si="1843"/>
        <v>Oferta Gral.</v>
      </c>
      <c r="Z2848" t="str">
        <f t="shared" si="1844"/>
        <v>Rubro</v>
      </c>
      <c r="AA2848" t="str">
        <f t="shared" si="1845"/>
        <v>Cantidad por Bulto</v>
      </c>
      <c r="AB2848" t="str">
        <f t="shared" si="1846"/>
        <v>INNER</v>
      </c>
      <c r="AC2848" t="str">
        <f t="shared" si="1847"/>
        <v>Stock en Bultos</v>
      </c>
      <c r="AD2848" t="str">
        <f t="shared" si="1848"/>
        <v>SubDepósito</v>
      </c>
      <c r="AE2848" t="str">
        <f t="shared" si="1849"/>
        <v>Marca</v>
      </c>
      <c r="AF2848" t="str">
        <f t="shared" si="1850"/>
        <v>Super Rubro</v>
      </c>
      <c r="AG2848" t="str">
        <f t="shared" si="1851"/>
        <v>ComercioExterior</v>
      </c>
      <c r="AH2848" t="str">
        <f t="shared" si="1852"/>
        <v>PrecioFOB</v>
      </c>
      <c r="AI2848" t="str">
        <f t="shared" si="1853"/>
        <v>Monto II</v>
      </c>
      <c r="AJ2848" t="str">
        <f t="shared" si="1854"/>
        <v>Porcentaje II</v>
      </c>
      <c r="AK2848" t="str">
        <f t="shared" si="1855"/>
        <v>Foto</v>
      </c>
      <c r="AL284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8" t="str">
        <f t="shared" si="1856"/>
        <v>-</v>
      </c>
    </row>
    <row r="2849" spans="1:39" x14ac:dyDescent="0.25">
      <c r="A2849" t="str">
        <f>"FI30083"</f>
        <v>FI30083</v>
      </c>
      <c r="B2849" t="str">
        <f>"SENSOR RPM CITROEN/FIESTA/FOCUS/PEUGEOT 206 1.6 HDI - 207 1.4HDI - 307 1.6 HDI"</f>
        <v>SENSOR RPM CITROEN/FIESTA/FOCUS/PEUGEOT 206 1.6 HDI - 207 1.4HDI - 307 1.6 HDI</v>
      </c>
      <c r="C2849" t="str">
        <f>"$ 33810,09"</f>
        <v>$ 33810,09</v>
      </c>
      <c r="D2849" t="str">
        <f>"$ 33810,09"</f>
        <v>$ 33810,09</v>
      </c>
      <c r="E2849" t="str">
        <f>"$ 33810,09"</f>
        <v>$ 33810,09</v>
      </c>
      <c r="F2849" t="str">
        <f>"$ 33810,09"</f>
        <v>$ 33810,09</v>
      </c>
      <c r="G2849" t="str">
        <f>"$ 33810,09"</f>
        <v>$ 33810,09</v>
      </c>
      <c r="H2849" t="str">
        <f t="shared" si="1837"/>
        <v>$ 0,00</v>
      </c>
      <c r="I2849" t="str">
        <f t="shared" si="1838"/>
        <v>SENSOR RPM</v>
      </c>
      <c r="J2849" t="str">
        <f t="shared" si="1839"/>
        <v>1</v>
      </c>
      <c r="K2849" t="str">
        <f>"0"</f>
        <v>0</v>
      </c>
      <c r="L2849" t="str">
        <f>"4,000"</f>
        <v>4,000</v>
      </c>
      <c r="M2849" t="str">
        <f t="shared" si="1840"/>
        <v xml:space="preserve"> </v>
      </c>
      <c r="N2849" t="str">
        <f t="shared" si="1863"/>
        <v>FISPA</v>
      </c>
      <c r="O2849" t="str">
        <f t="shared" si="1864"/>
        <v>SENSORES</v>
      </c>
      <c r="P2849" t="str">
        <f t="shared" si="1861"/>
        <v>0</v>
      </c>
      <c r="Q2849" t="str">
        <f t="shared" si="1861"/>
        <v>0</v>
      </c>
      <c r="R2849" t="str">
        <f t="shared" si="1862"/>
        <v>0,00</v>
      </c>
      <c r="S2849" t="str">
        <f t="shared" si="1862"/>
        <v>0,00</v>
      </c>
      <c r="T2849" t="str">
        <f t="shared" si="1832"/>
        <v xml:space="preserve"> </v>
      </c>
      <c r="U2849" t="str">
        <f t="shared" si="1836"/>
        <v xml:space="preserve"> </v>
      </c>
      <c r="V2849" t="str">
        <f>"4,000"</f>
        <v>4,000</v>
      </c>
      <c r="W2849" t="str">
        <f t="shared" si="1841"/>
        <v>Lista 4</v>
      </c>
      <c r="X2849" t="str">
        <f t="shared" si="1842"/>
        <v>Lista 5</v>
      </c>
      <c r="Y2849" t="str">
        <f t="shared" si="1843"/>
        <v>Oferta Gral.</v>
      </c>
      <c r="Z2849" t="str">
        <f t="shared" si="1844"/>
        <v>Rubro</v>
      </c>
      <c r="AA2849" t="str">
        <f t="shared" si="1845"/>
        <v>Cantidad por Bulto</v>
      </c>
      <c r="AB2849" t="str">
        <f t="shared" si="1846"/>
        <v>INNER</v>
      </c>
      <c r="AC2849" t="str">
        <f t="shared" si="1847"/>
        <v>Stock en Bultos</v>
      </c>
      <c r="AD2849" t="str">
        <f t="shared" si="1848"/>
        <v>SubDepósito</v>
      </c>
      <c r="AE2849" t="str">
        <f t="shared" si="1849"/>
        <v>Marca</v>
      </c>
      <c r="AF2849" t="str">
        <f t="shared" si="1850"/>
        <v>Super Rubro</v>
      </c>
      <c r="AG2849" t="str">
        <f t="shared" si="1851"/>
        <v>ComercioExterior</v>
      </c>
      <c r="AH2849" t="str">
        <f t="shared" si="1852"/>
        <v>PrecioFOB</v>
      </c>
      <c r="AI2849" t="str">
        <f t="shared" si="1853"/>
        <v>Monto II</v>
      </c>
      <c r="AJ2849" t="str">
        <f t="shared" si="1854"/>
        <v>Porcentaje II</v>
      </c>
      <c r="AK2849" t="str">
        <f t="shared" si="1855"/>
        <v>Foto</v>
      </c>
      <c r="AL2849" t="str">
        <f>"{\rtf1\ansi\ansicpg1252\deff0\deflang11274{\fonttbl{\f0\fnil\fcharset0 MS Sans Serif}} \viewkind4\uc1\pard\f0\fs16 SENSOR RPM CITROEN/FIESTA/FOCUS/PEUGEOT 206 1.6 HDI - 207 1.4HDI - 307 1.6 HDI\par } "</f>
        <v xml:space="preserve">{\rtf1\ansi\ansicpg1252\deff0\deflang11274{\fonttbl{\f0\fnil\fcharset0 MS Sans Serif}} \viewkind4\uc1\pard\f0\fs16 SENSOR RPM CITROEN/FIESTA/FOCUS/PEUGEOT 206 1.6 HDI - 207 1.4HDI - 307 1.6 HDI\par } </v>
      </c>
      <c r="AM2849" t="str">
        <f t="shared" si="1856"/>
        <v>-</v>
      </c>
    </row>
    <row r="2850" spans="1:39" x14ac:dyDescent="0.25">
      <c r="A2850" t="str">
        <f>"FI30047"</f>
        <v>FI30047</v>
      </c>
      <c r="B2850" t="str">
        <f>"SENSOR RPM CITROEN: C3 - BERLINGO - XASO - XSARA  PARTNER - 160- 206- 306- 307- 1.4I - 1.6I 6V"</f>
        <v>SENSOR RPM CITROEN: C3 - BERLINGO - XASO - XSARA  PARTNER - 160- 206- 306- 307- 1.4I - 1.6I 6V</v>
      </c>
      <c r="C2850" t="str">
        <f>"$ 18855,53"</f>
        <v>$ 18855,53</v>
      </c>
      <c r="D2850" t="str">
        <f>"$ 18855,53"</f>
        <v>$ 18855,53</v>
      </c>
      <c r="E2850" t="str">
        <f>"$ 18855,53"</f>
        <v>$ 18855,53</v>
      </c>
      <c r="F2850" t="str">
        <f>"$ 18855,53"</f>
        <v>$ 18855,53</v>
      </c>
      <c r="G2850" t="str">
        <f>"$ 18855,53"</f>
        <v>$ 18855,53</v>
      </c>
      <c r="H2850" t="str">
        <f t="shared" si="1837"/>
        <v>$ 0,00</v>
      </c>
      <c r="I2850" t="str">
        <f t="shared" si="1838"/>
        <v>SENSOR RPM</v>
      </c>
      <c r="J2850" t="str">
        <f t="shared" si="1839"/>
        <v>1</v>
      </c>
      <c r="K2850" t="str">
        <f>"1"</f>
        <v>1</v>
      </c>
      <c r="L2850" t="str">
        <f>"0,000"</f>
        <v>0,000</v>
      </c>
      <c r="M2850" t="str">
        <f t="shared" si="1840"/>
        <v xml:space="preserve"> </v>
      </c>
      <c r="N2850" t="str">
        <f t="shared" si="1863"/>
        <v>FISPA</v>
      </c>
      <c r="O2850" t="str">
        <f t="shared" si="1864"/>
        <v>SENSORES</v>
      </c>
      <c r="P2850" t="str">
        <f t="shared" si="1861"/>
        <v>0</v>
      </c>
      <c r="Q2850" t="str">
        <f t="shared" si="1861"/>
        <v>0</v>
      </c>
      <c r="R2850" t="str">
        <f t="shared" si="1862"/>
        <v>0,00</v>
      </c>
      <c r="S2850" t="str">
        <f t="shared" si="1862"/>
        <v>0,00</v>
      </c>
      <c r="T2850" t="str">
        <f t="shared" si="1832"/>
        <v xml:space="preserve"> </v>
      </c>
      <c r="U2850" t="str">
        <f t="shared" si="1836"/>
        <v xml:space="preserve"> </v>
      </c>
      <c r="V2850" t="str">
        <f>"0,000"</f>
        <v>0,000</v>
      </c>
      <c r="W2850" t="str">
        <f t="shared" si="1841"/>
        <v>Lista 4</v>
      </c>
      <c r="X2850" t="str">
        <f t="shared" si="1842"/>
        <v>Lista 5</v>
      </c>
      <c r="Y2850" t="str">
        <f t="shared" si="1843"/>
        <v>Oferta Gral.</v>
      </c>
      <c r="Z2850" t="str">
        <f t="shared" si="1844"/>
        <v>Rubro</v>
      </c>
      <c r="AA2850" t="str">
        <f t="shared" si="1845"/>
        <v>Cantidad por Bulto</v>
      </c>
      <c r="AB2850" t="str">
        <f t="shared" si="1846"/>
        <v>INNER</v>
      </c>
      <c r="AC2850" t="str">
        <f t="shared" si="1847"/>
        <v>Stock en Bultos</v>
      </c>
      <c r="AD2850" t="str">
        <f t="shared" si="1848"/>
        <v>SubDepósito</v>
      </c>
      <c r="AE2850" t="str">
        <f t="shared" si="1849"/>
        <v>Marca</v>
      </c>
      <c r="AF2850" t="str">
        <f t="shared" si="1850"/>
        <v>Super Rubro</v>
      </c>
      <c r="AG2850" t="str">
        <f t="shared" si="1851"/>
        <v>ComercioExterior</v>
      </c>
      <c r="AH2850" t="str">
        <f t="shared" si="1852"/>
        <v>PrecioFOB</v>
      </c>
      <c r="AI2850" t="str">
        <f t="shared" si="1853"/>
        <v>Monto II</v>
      </c>
      <c r="AJ2850" t="str">
        <f t="shared" si="1854"/>
        <v>Porcentaje II</v>
      </c>
      <c r="AK2850" t="str">
        <f t="shared" si="1855"/>
        <v>Foto</v>
      </c>
      <c r="AL285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0" t="str">
        <f t="shared" si="1856"/>
        <v>-</v>
      </c>
    </row>
    <row r="2851" spans="1:39" x14ac:dyDescent="0.25">
      <c r="A2851" t="str">
        <f>"FI30043"</f>
        <v>FI30043</v>
      </c>
      <c r="B2851" t="str">
        <f>"SENSOR RPM CITROEN: JUMPER 2.8 HDI - FIAT: DUCATO 2.8 JTD"</f>
        <v>SENSOR RPM CITROEN: JUMPER 2.8 HDI - FIAT: DUCATO 2.8 JTD</v>
      </c>
      <c r="C2851" t="str">
        <f>"$ 25091,48"</f>
        <v>$ 25091,48</v>
      </c>
      <c r="D2851" t="str">
        <f>"$ 25091,48"</f>
        <v>$ 25091,48</v>
      </c>
      <c r="E2851" t="str">
        <f>"$ 25091,48"</f>
        <v>$ 25091,48</v>
      </c>
      <c r="F2851" t="str">
        <f>"$ 25091,48"</f>
        <v>$ 25091,48</v>
      </c>
      <c r="G2851" t="str">
        <f>"$ 25091,48"</f>
        <v>$ 25091,48</v>
      </c>
      <c r="H2851" t="str">
        <f t="shared" si="1837"/>
        <v>$ 0,00</v>
      </c>
      <c r="I2851" t="str">
        <f t="shared" ref="I2851:I2882" si="1865">"SENSOR RPM"</f>
        <v>SENSOR RPM</v>
      </c>
      <c r="J2851" t="str">
        <f t="shared" si="1839"/>
        <v>1</v>
      </c>
      <c r="K2851" t="str">
        <f>"1"</f>
        <v>1</v>
      </c>
      <c r="L2851" t="str">
        <f>"0,000"</f>
        <v>0,000</v>
      </c>
      <c r="M2851" t="str">
        <f t="shared" si="1840"/>
        <v xml:space="preserve"> </v>
      </c>
      <c r="N2851" t="str">
        <f t="shared" si="1863"/>
        <v>FISPA</v>
      </c>
      <c r="O2851" t="str">
        <f t="shared" si="1864"/>
        <v>SENSORES</v>
      </c>
      <c r="P2851" t="str">
        <f t="shared" si="1861"/>
        <v>0</v>
      </c>
      <c r="Q2851" t="str">
        <f t="shared" si="1861"/>
        <v>0</v>
      </c>
      <c r="R2851" t="str">
        <f t="shared" si="1862"/>
        <v>0,00</v>
      </c>
      <c r="S2851" t="str">
        <f t="shared" si="1862"/>
        <v>0,00</v>
      </c>
      <c r="T2851" t="str">
        <f t="shared" si="1832"/>
        <v xml:space="preserve"> </v>
      </c>
      <c r="U2851" t="str">
        <f t="shared" si="1836"/>
        <v xml:space="preserve"> </v>
      </c>
      <c r="V2851" t="str">
        <f>"0,000"</f>
        <v>0,000</v>
      </c>
      <c r="W2851" t="str">
        <f t="shared" si="1841"/>
        <v>Lista 4</v>
      </c>
      <c r="X2851" t="str">
        <f t="shared" si="1842"/>
        <v>Lista 5</v>
      </c>
      <c r="Y2851" t="str">
        <f t="shared" si="1843"/>
        <v>Oferta Gral.</v>
      </c>
      <c r="Z2851" t="str">
        <f t="shared" si="1844"/>
        <v>Rubro</v>
      </c>
      <c r="AA2851" t="str">
        <f t="shared" si="1845"/>
        <v>Cantidad por Bulto</v>
      </c>
      <c r="AB2851" t="str">
        <f t="shared" si="1846"/>
        <v>INNER</v>
      </c>
      <c r="AC2851" t="str">
        <f t="shared" si="1847"/>
        <v>Stock en Bultos</v>
      </c>
      <c r="AD2851" t="str">
        <f t="shared" si="1848"/>
        <v>SubDepósito</v>
      </c>
      <c r="AE2851" t="str">
        <f t="shared" si="1849"/>
        <v>Marca</v>
      </c>
      <c r="AF2851" t="str">
        <f t="shared" si="1850"/>
        <v>Super Rubro</v>
      </c>
      <c r="AG2851" t="str">
        <f t="shared" si="1851"/>
        <v>ComercioExterior</v>
      </c>
      <c r="AH2851" t="str">
        <f t="shared" si="1852"/>
        <v>PrecioFOB</v>
      </c>
      <c r="AI2851" t="str">
        <f t="shared" si="1853"/>
        <v>Monto II</v>
      </c>
      <c r="AJ2851" t="str">
        <f t="shared" si="1854"/>
        <v>Porcentaje II</v>
      </c>
      <c r="AK2851" t="str">
        <f t="shared" si="1855"/>
        <v>Foto</v>
      </c>
      <c r="AL2851" t="str">
        <f>" "</f>
        <v xml:space="preserve"> </v>
      </c>
      <c r="AM2851" t="str">
        <f t="shared" ref="AM2851:AM2859" si="1866">"-"</f>
        <v>-</v>
      </c>
    </row>
    <row r="2852" spans="1:39" x14ac:dyDescent="0.25">
      <c r="A2852" t="str">
        <f>"FI30126"</f>
        <v>FI30126</v>
      </c>
      <c r="B2852" t="str">
        <f>"SENSOR RPM CITROËN  JUMPY 1.9 D – HDI / 2.0 HDI 2.0I 16V - P 806 2.0 HDI / EXPERT 2.0 – 2.0 HDI"</f>
        <v>SENSOR RPM CITROËN  JUMPY 1.9 D – HDI / 2.0 HDI 2.0I 16V - P 806 2.0 HDI / EXPERT 2.0 – 2.0 HDI</v>
      </c>
      <c r="C2852" t="str">
        <f>"$ 21628,69"</f>
        <v>$ 21628,69</v>
      </c>
      <c r="D2852" t="str">
        <f>"$ 21628,69"</f>
        <v>$ 21628,69</v>
      </c>
      <c r="E2852" t="str">
        <f>"$ 21628,69"</f>
        <v>$ 21628,69</v>
      </c>
      <c r="F2852" t="str">
        <f>"$ 21628,69"</f>
        <v>$ 21628,69</v>
      </c>
      <c r="G2852" t="str">
        <f>"$ 21628,69"</f>
        <v>$ 21628,69</v>
      </c>
      <c r="H2852" t="str">
        <f t="shared" si="1837"/>
        <v>$ 0,00</v>
      </c>
      <c r="I2852" t="str">
        <f t="shared" si="1865"/>
        <v>SENSOR RPM</v>
      </c>
      <c r="J2852" t="str">
        <f t="shared" si="1839"/>
        <v>1</v>
      </c>
      <c r="K2852" t="str">
        <f>"1"</f>
        <v>1</v>
      </c>
      <c r="L2852" t="str">
        <f>"0,000"</f>
        <v>0,000</v>
      </c>
      <c r="M2852" t="str">
        <f t="shared" si="1840"/>
        <v xml:space="preserve"> </v>
      </c>
      <c r="N2852" t="str">
        <f t="shared" si="1863"/>
        <v>FISPA</v>
      </c>
      <c r="O2852" t="str">
        <f t="shared" si="1864"/>
        <v>SENSORES</v>
      </c>
      <c r="P2852" t="str">
        <f t="shared" si="1861"/>
        <v>0</v>
      </c>
      <c r="Q2852" t="str">
        <f t="shared" si="1861"/>
        <v>0</v>
      </c>
      <c r="R2852" t="str">
        <f t="shared" si="1862"/>
        <v>0,00</v>
      </c>
      <c r="S2852" t="str">
        <f t="shared" si="1862"/>
        <v>0,00</v>
      </c>
      <c r="T2852" t="str">
        <f t="shared" si="1832"/>
        <v xml:space="preserve"> </v>
      </c>
      <c r="U2852" t="str">
        <f t="shared" si="1836"/>
        <v xml:space="preserve"> </v>
      </c>
      <c r="V2852" t="str">
        <f>"0,000"</f>
        <v>0,000</v>
      </c>
      <c r="W2852" t="str">
        <f t="shared" si="1841"/>
        <v>Lista 4</v>
      </c>
      <c r="X2852" t="str">
        <f t="shared" si="1842"/>
        <v>Lista 5</v>
      </c>
      <c r="Y2852" t="str">
        <f t="shared" si="1843"/>
        <v>Oferta Gral.</v>
      </c>
      <c r="Z2852" t="str">
        <f t="shared" si="1844"/>
        <v>Rubro</v>
      </c>
      <c r="AA2852" t="str">
        <f t="shared" si="1845"/>
        <v>Cantidad por Bulto</v>
      </c>
      <c r="AB2852" t="str">
        <f t="shared" si="1846"/>
        <v>INNER</v>
      </c>
      <c r="AC2852" t="str">
        <f t="shared" si="1847"/>
        <v>Stock en Bultos</v>
      </c>
      <c r="AD2852" t="str">
        <f t="shared" si="1848"/>
        <v>SubDepósito</v>
      </c>
      <c r="AE2852" t="str">
        <f t="shared" si="1849"/>
        <v>Marca</v>
      </c>
      <c r="AF2852" t="str">
        <f t="shared" si="1850"/>
        <v>Super Rubro</v>
      </c>
      <c r="AG2852" t="str">
        <f t="shared" si="1851"/>
        <v>ComercioExterior</v>
      </c>
      <c r="AH2852" t="str">
        <f t="shared" si="1852"/>
        <v>PrecioFOB</v>
      </c>
      <c r="AI2852" t="str">
        <f t="shared" si="1853"/>
        <v>Monto II</v>
      </c>
      <c r="AJ2852" t="str">
        <f t="shared" si="1854"/>
        <v>Porcentaje II</v>
      </c>
      <c r="AK2852" t="str">
        <f t="shared" si="1855"/>
        <v>Foto</v>
      </c>
      <c r="AL285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2" t="str">
        <f t="shared" si="1866"/>
        <v>-</v>
      </c>
    </row>
    <row r="2853" spans="1:39" x14ac:dyDescent="0.25">
      <c r="A2853" t="str">
        <f>"FI30125"</f>
        <v>FI30125</v>
      </c>
      <c r="B2853" t="str">
        <f>"SENSOR RPM CITROËN C3/C4/C5/PICASSO/XSARA  P206/207/306/406/607/806/  BOXER"</f>
        <v>SENSOR RPM CITROËN C3/C4/C5/PICASSO/XSARA  P206/207/306/406/607/806/  BOXER</v>
      </c>
      <c r="C2853" t="str">
        <f>"$ 30457,16"</f>
        <v>$ 30457,16</v>
      </c>
      <c r="D2853" t="str">
        <f>"$ 30457,16"</f>
        <v>$ 30457,16</v>
      </c>
      <c r="E2853" t="str">
        <f>"$ 30457,16"</f>
        <v>$ 30457,16</v>
      </c>
      <c r="F2853" t="str">
        <f>"$ 30457,16"</f>
        <v>$ 30457,16</v>
      </c>
      <c r="G2853" t="str">
        <f>"$ 30457,16"</f>
        <v>$ 30457,16</v>
      </c>
      <c r="H2853" t="str">
        <f t="shared" si="1837"/>
        <v>$ 0,00</v>
      </c>
      <c r="I2853" t="str">
        <f t="shared" si="1865"/>
        <v>SENSOR RPM</v>
      </c>
      <c r="J2853" t="str">
        <f t="shared" si="1839"/>
        <v>1</v>
      </c>
      <c r="K2853" t="str">
        <f>"1"</f>
        <v>1</v>
      </c>
      <c r="L2853" t="str">
        <f>"0,000"</f>
        <v>0,000</v>
      </c>
      <c r="M2853" t="str">
        <f t="shared" si="1840"/>
        <v xml:space="preserve"> </v>
      </c>
      <c r="N2853" t="str">
        <f t="shared" si="1863"/>
        <v>FISPA</v>
      </c>
      <c r="O2853" t="str">
        <f t="shared" si="1864"/>
        <v>SENSORES</v>
      </c>
      <c r="P2853" t="str">
        <f t="shared" si="1861"/>
        <v>0</v>
      </c>
      <c r="Q2853" t="str">
        <f t="shared" si="1861"/>
        <v>0</v>
      </c>
      <c r="R2853" t="str">
        <f t="shared" si="1862"/>
        <v>0,00</v>
      </c>
      <c r="S2853" t="str">
        <f t="shared" si="1862"/>
        <v>0,00</v>
      </c>
      <c r="T2853" t="str">
        <f t="shared" si="1832"/>
        <v xml:space="preserve"> </v>
      </c>
      <c r="U2853" t="str">
        <f t="shared" si="1836"/>
        <v xml:space="preserve"> </v>
      </c>
      <c r="V2853" t="str">
        <f>"0,000"</f>
        <v>0,000</v>
      </c>
      <c r="W2853" t="str">
        <f t="shared" si="1841"/>
        <v>Lista 4</v>
      </c>
      <c r="X2853" t="str">
        <f t="shared" si="1842"/>
        <v>Lista 5</v>
      </c>
      <c r="Y2853" t="str">
        <f t="shared" si="1843"/>
        <v>Oferta Gral.</v>
      </c>
      <c r="Z2853" t="str">
        <f t="shared" si="1844"/>
        <v>Rubro</v>
      </c>
      <c r="AA2853" t="str">
        <f t="shared" si="1845"/>
        <v>Cantidad por Bulto</v>
      </c>
      <c r="AB2853" t="str">
        <f t="shared" si="1846"/>
        <v>INNER</v>
      </c>
      <c r="AC2853" t="str">
        <f t="shared" si="1847"/>
        <v>Stock en Bultos</v>
      </c>
      <c r="AD2853" t="str">
        <f t="shared" si="1848"/>
        <v>SubDepósito</v>
      </c>
      <c r="AE2853" t="str">
        <f t="shared" si="1849"/>
        <v>Marca</v>
      </c>
      <c r="AF2853" t="str">
        <f t="shared" si="1850"/>
        <v>Super Rubro</v>
      </c>
      <c r="AG2853" t="str">
        <f t="shared" si="1851"/>
        <v>ComercioExterior</v>
      </c>
      <c r="AH2853" t="str">
        <f t="shared" si="1852"/>
        <v>PrecioFOB</v>
      </c>
      <c r="AI2853" t="str">
        <f t="shared" si="1853"/>
        <v>Monto II</v>
      </c>
      <c r="AJ2853" t="str">
        <f t="shared" si="1854"/>
        <v>Porcentaje II</v>
      </c>
      <c r="AK2853" t="str">
        <f t="shared" si="1855"/>
        <v>Foto</v>
      </c>
      <c r="AL285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53" t="str">
        <f t="shared" si="1866"/>
        <v>-</v>
      </c>
    </row>
    <row r="2854" spans="1:39" x14ac:dyDescent="0.25">
      <c r="A2854" t="str">
        <f>"FI30111"</f>
        <v>FI30111</v>
      </c>
      <c r="B2854" t="str">
        <f>"SENSOR RPM CITRÖEN XSARA - PEUGEOT 206 16V"</f>
        <v>SENSOR RPM CITRÖEN XSARA - PEUGEOT 206 16V</v>
      </c>
      <c r="C2854" t="str">
        <f>"$ 16123,87"</f>
        <v>$ 16123,87</v>
      </c>
      <c r="D2854" t="str">
        <f>"$ 16123,87"</f>
        <v>$ 16123,87</v>
      </c>
      <c r="E2854" t="str">
        <f>"$ 16123,87"</f>
        <v>$ 16123,87</v>
      </c>
      <c r="F2854" t="str">
        <f>"$ 16123,87"</f>
        <v>$ 16123,87</v>
      </c>
      <c r="G2854" t="str">
        <f>"$ 16123,87"</f>
        <v>$ 16123,87</v>
      </c>
      <c r="H2854" t="str">
        <f t="shared" si="1837"/>
        <v>$ 0,00</v>
      </c>
      <c r="I2854" t="str">
        <f t="shared" si="1865"/>
        <v>SENSOR RPM</v>
      </c>
      <c r="J2854" t="str">
        <f t="shared" si="1839"/>
        <v>1</v>
      </c>
      <c r="K2854" t="str">
        <f>"1"</f>
        <v>1</v>
      </c>
      <c r="L2854" t="str">
        <f>"0,000"</f>
        <v>0,000</v>
      </c>
      <c r="M2854" t="str">
        <f t="shared" si="1840"/>
        <v xml:space="preserve"> </v>
      </c>
      <c r="N2854" t="str">
        <f t="shared" si="1863"/>
        <v>FISPA</v>
      </c>
      <c r="O2854" t="str">
        <f t="shared" si="1864"/>
        <v>SENSORES</v>
      </c>
      <c r="P2854" t="str">
        <f t="shared" si="1861"/>
        <v>0</v>
      </c>
      <c r="Q2854" t="str">
        <f t="shared" si="1861"/>
        <v>0</v>
      </c>
      <c r="R2854" t="str">
        <f t="shared" si="1862"/>
        <v>0,00</v>
      </c>
      <c r="S2854" t="str">
        <f t="shared" si="1862"/>
        <v>0,00</v>
      </c>
      <c r="T2854" t="str">
        <f t="shared" si="1832"/>
        <v xml:space="preserve"> </v>
      </c>
      <c r="U2854" t="str">
        <f t="shared" si="1836"/>
        <v xml:space="preserve"> </v>
      </c>
      <c r="V2854" t="str">
        <f>"0,000"</f>
        <v>0,000</v>
      </c>
      <c r="W2854" t="str">
        <f t="shared" si="1841"/>
        <v>Lista 4</v>
      </c>
      <c r="X2854" t="str">
        <f t="shared" si="1842"/>
        <v>Lista 5</v>
      </c>
      <c r="Y2854" t="str">
        <f t="shared" si="1843"/>
        <v>Oferta Gral.</v>
      </c>
      <c r="Z2854" t="str">
        <f t="shared" si="1844"/>
        <v>Rubro</v>
      </c>
      <c r="AA2854" t="str">
        <f t="shared" si="1845"/>
        <v>Cantidad por Bulto</v>
      </c>
      <c r="AB2854" t="str">
        <f t="shared" si="1846"/>
        <v>INNER</v>
      </c>
      <c r="AC2854" t="str">
        <f t="shared" si="1847"/>
        <v>Stock en Bultos</v>
      </c>
      <c r="AD2854" t="str">
        <f t="shared" si="1848"/>
        <v>SubDepósito</v>
      </c>
      <c r="AE2854" t="str">
        <f t="shared" si="1849"/>
        <v>Marca</v>
      </c>
      <c r="AF2854" t="str">
        <f t="shared" si="1850"/>
        <v>Super Rubro</v>
      </c>
      <c r="AG2854" t="str">
        <f t="shared" si="1851"/>
        <v>ComercioExterior</v>
      </c>
      <c r="AH2854" t="str">
        <f t="shared" si="1852"/>
        <v>PrecioFOB</v>
      </c>
      <c r="AI2854" t="str">
        <f t="shared" si="1853"/>
        <v>Monto II</v>
      </c>
      <c r="AJ2854" t="str">
        <f t="shared" si="1854"/>
        <v>Porcentaje II</v>
      </c>
      <c r="AK2854" t="str">
        <f t="shared" si="1855"/>
        <v>Foto</v>
      </c>
      <c r="AL2854" t="str">
        <f>" "</f>
        <v xml:space="preserve"> </v>
      </c>
      <c r="AM2854" t="str">
        <f t="shared" si="1866"/>
        <v>-</v>
      </c>
    </row>
    <row r="2855" spans="1:39" x14ac:dyDescent="0.25">
      <c r="A2855" t="str">
        <f>"FI30001"</f>
        <v>FI30001</v>
      </c>
      <c r="B2855" t="str">
        <f>"SENSOR RPM CLIO - MEGANE - KANGOO - DIESEL DTI"</f>
        <v>SENSOR RPM CLIO - MEGANE - KANGOO - DIESEL DTI</v>
      </c>
      <c r="C2855" t="str">
        <f>"$ 18203,74"</f>
        <v>$ 18203,74</v>
      </c>
      <c r="D2855" t="str">
        <f>"$ 18203,74"</f>
        <v>$ 18203,74</v>
      </c>
      <c r="E2855" t="str">
        <f>"$ 18203,74"</f>
        <v>$ 18203,74</v>
      </c>
      <c r="F2855" t="str">
        <f>"$ 18203,74"</f>
        <v>$ 18203,74</v>
      </c>
      <c r="G2855" t="str">
        <f>"$ 18203,74"</f>
        <v>$ 18203,74</v>
      </c>
      <c r="H2855" t="str">
        <f t="shared" si="1837"/>
        <v>$ 0,00</v>
      </c>
      <c r="I2855" t="str">
        <f t="shared" si="1865"/>
        <v>SENSOR RPM</v>
      </c>
      <c r="J2855" t="str">
        <f t="shared" si="1839"/>
        <v>1</v>
      </c>
      <c r="K2855" t="str">
        <f>"0"</f>
        <v>0</v>
      </c>
      <c r="L2855" t="str">
        <f>"2,000"</f>
        <v>2,000</v>
      </c>
      <c r="M2855" t="str">
        <f t="shared" si="1840"/>
        <v xml:space="preserve"> </v>
      </c>
      <c r="N2855" t="str">
        <f t="shared" si="1863"/>
        <v>FISPA</v>
      </c>
      <c r="O2855" t="str">
        <f t="shared" si="1864"/>
        <v>SENSORES</v>
      </c>
      <c r="P2855" t="str">
        <f t="shared" si="1861"/>
        <v>0</v>
      </c>
      <c r="Q2855" t="str">
        <f t="shared" si="1861"/>
        <v>0</v>
      </c>
      <c r="R2855" t="str">
        <f t="shared" si="1862"/>
        <v>0,00</v>
      </c>
      <c r="S2855" t="str">
        <f t="shared" si="1862"/>
        <v>0,00</v>
      </c>
      <c r="T2855" t="str">
        <f t="shared" si="1832"/>
        <v xml:space="preserve"> </v>
      </c>
      <c r="U2855" t="str">
        <f t="shared" si="1836"/>
        <v xml:space="preserve"> </v>
      </c>
      <c r="V2855" t="str">
        <f>"2,000"</f>
        <v>2,000</v>
      </c>
      <c r="W2855" t="str">
        <f t="shared" si="1841"/>
        <v>Lista 4</v>
      </c>
      <c r="X2855" t="str">
        <f t="shared" si="1842"/>
        <v>Lista 5</v>
      </c>
      <c r="Y2855" t="str">
        <f t="shared" si="1843"/>
        <v>Oferta Gral.</v>
      </c>
      <c r="Z2855" t="str">
        <f t="shared" si="1844"/>
        <v>Rubro</v>
      </c>
      <c r="AA2855" t="str">
        <f t="shared" si="1845"/>
        <v>Cantidad por Bulto</v>
      </c>
      <c r="AB2855" t="str">
        <f t="shared" si="1846"/>
        <v>INNER</v>
      </c>
      <c r="AC2855" t="str">
        <f t="shared" si="1847"/>
        <v>Stock en Bultos</v>
      </c>
      <c r="AD2855" t="str">
        <f t="shared" si="1848"/>
        <v>SubDepósito</v>
      </c>
      <c r="AE2855" t="str">
        <f t="shared" si="1849"/>
        <v>Marca</v>
      </c>
      <c r="AF2855" t="str">
        <f t="shared" si="1850"/>
        <v>Super Rubro</v>
      </c>
      <c r="AG2855" t="str">
        <f t="shared" si="1851"/>
        <v>ComercioExterior</v>
      </c>
      <c r="AH2855" t="str">
        <f t="shared" si="1852"/>
        <v>PrecioFOB</v>
      </c>
      <c r="AI2855" t="str">
        <f t="shared" si="1853"/>
        <v>Monto II</v>
      </c>
      <c r="AJ2855" t="str">
        <f t="shared" si="1854"/>
        <v>Porcentaje II</v>
      </c>
      <c r="AK2855" t="str">
        <f t="shared" si="1855"/>
        <v>Foto</v>
      </c>
      <c r="AL285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5" t="str">
        <f t="shared" si="1866"/>
        <v>-</v>
      </c>
    </row>
    <row r="2856" spans="1:39" x14ac:dyDescent="0.25">
      <c r="A2856" t="str">
        <f>"FI30002"</f>
        <v>FI30002</v>
      </c>
      <c r="B2856" t="str">
        <f>"SENSOR RPM CLIO - MEGANE - KANGOO - LAGUNA (LADO IZQUIERDO)"</f>
        <v>SENSOR RPM CLIO - MEGANE - KANGOO - LAGUNA (LADO IZQUIERDO)</v>
      </c>
      <c r="C2856" t="str">
        <f>"$ 15475,75"</f>
        <v>$ 15475,75</v>
      </c>
      <c r="D2856" t="str">
        <f>"$ 15475,75"</f>
        <v>$ 15475,75</v>
      </c>
      <c r="E2856" t="str">
        <f>"$ 15475,75"</f>
        <v>$ 15475,75</v>
      </c>
      <c r="F2856" t="str">
        <f>"$ 15475,75"</f>
        <v>$ 15475,75</v>
      </c>
      <c r="G2856" t="str">
        <f>"$ 15475,75"</f>
        <v>$ 15475,75</v>
      </c>
      <c r="H2856" t="str">
        <f t="shared" si="1837"/>
        <v>$ 0,00</v>
      </c>
      <c r="I2856" t="str">
        <f t="shared" si="1865"/>
        <v>SENSOR RPM</v>
      </c>
      <c r="J2856" t="str">
        <f t="shared" si="1839"/>
        <v>1</v>
      </c>
      <c r="K2856" t="str">
        <f>"0"</f>
        <v>0</v>
      </c>
      <c r="L2856" t="str">
        <f>"3,000"</f>
        <v>3,000</v>
      </c>
      <c r="M2856" t="str">
        <f t="shared" si="1840"/>
        <v xml:space="preserve"> </v>
      </c>
      <c r="N2856" t="str">
        <f t="shared" si="1863"/>
        <v>FISPA</v>
      </c>
      <c r="O2856" t="str">
        <f t="shared" si="1864"/>
        <v>SENSORES</v>
      </c>
      <c r="P2856" t="str">
        <f t="shared" si="1861"/>
        <v>0</v>
      </c>
      <c r="Q2856" t="str">
        <f t="shared" si="1861"/>
        <v>0</v>
      </c>
      <c r="R2856" t="str">
        <f t="shared" si="1862"/>
        <v>0,00</v>
      </c>
      <c r="S2856" t="str">
        <f t="shared" si="1862"/>
        <v>0,00</v>
      </c>
      <c r="T2856" t="str">
        <f t="shared" si="1832"/>
        <v xml:space="preserve"> </v>
      </c>
      <c r="U2856" t="str">
        <f t="shared" si="1836"/>
        <v xml:space="preserve"> </v>
      </c>
      <c r="V2856" t="str">
        <f>"3,000"</f>
        <v>3,000</v>
      </c>
      <c r="W2856" t="str">
        <f t="shared" si="1841"/>
        <v>Lista 4</v>
      </c>
      <c r="X2856" t="str">
        <f t="shared" si="1842"/>
        <v>Lista 5</v>
      </c>
      <c r="Y2856" t="str">
        <f t="shared" si="1843"/>
        <v>Oferta Gral.</v>
      </c>
      <c r="Z2856" t="str">
        <f t="shared" si="1844"/>
        <v>Rubro</v>
      </c>
      <c r="AA2856" t="str">
        <f t="shared" si="1845"/>
        <v>Cantidad por Bulto</v>
      </c>
      <c r="AB2856" t="str">
        <f t="shared" si="1846"/>
        <v>INNER</v>
      </c>
      <c r="AC2856" t="str">
        <f t="shared" si="1847"/>
        <v>Stock en Bultos</v>
      </c>
      <c r="AD2856" t="str">
        <f t="shared" si="1848"/>
        <v>SubDepósito</v>
      </c>
      <c r="AE2856" t="str">
        <f t="shared" si="1849"/>
        <v>Marca</v>
      </c>
      <c r="AF2856" t="str">
        <f t="shared" si="1850"/>
        <v>Super Rubro</v>
      </c>
      <c r="AG2856" t="str">
        <f t="shared" si="1851"/>
        <v>ComercioExterior</v>
      </c>
      <c r="AH2856" t="str">
        <f t="shared" si="1852"/>
        <v>PrecioFOB</v>
      </c>
      <c r="AI2856" t="str">
        <f t="shared" si="1853"/>
        <v>Monto II</v>
      </c>
      <c r="AJ2856" t="str">
        <f t="shared" si="1854"/>
        <v>Porcentaje II</v>
      </c>
      <c r="AK2856" t="str">
        <f t="shared" si="1855"/>
        <v>Foto</v>
      </c>
      <c r="AL2856" t="str">
        <f>"{\rtf1\ansi\ansicpg1252\deff0\deflang2058{\fonttbl{\f0\fnil\fcharset0 MS Sans Serif}} \viewkind4\uc1\pard\f0\fs16 SENSOR RPM CLIO - MEGANE - KANGOO - LAGUNA (LADO IZQUIERDO)\par } "</f>
        <v xml:space="preserve">{\rtf1\ansi\ansicpg1252\deff0\deflang2058{\fonttbl{\f0\fnil\fcharset0 MS Sans Serif}} \viewkind4\uc1\pard\f0\fs16 SENSOR RPM CLIO - MEGANE - KANGOO - LAGUNA (LADO IZQUIERDO)\par } </v>
      </c>
      <c r="AM2856" t="str">
        <f t="shared" si="1866"/>
        <v>-</v>
      </c>
    </row>
    <row r="2857" spans="1:39" x14ac:dyDescent="0.25">
      <c r="A2857" t="str">
        <f>"FI30003"</f>
        <v>FI30003</v>
      </c>
      <c r="B2857" t="str">
        <f>"SENSOR RPM CLIO - MEGANE - KANGOO -LAGUNA (LADO DERECHO)"</f>
        <v>SENSOR RPM CLIO - MEGANE - KANGOO -LAGUNA (LADO DERECHO)</v>
      </c>
      <c r="C2857" t="str">
        <f>"$ 16172,70"</f>
        <v>$ 16172,70</v>
      </c>
      <c r="D2857" t="str">
        <f>"$ 16172,70"</f>
        <v>$ 16172,70</v>
      </c>
      <c r="E2857" t="str">
        <f>"$ 16172,70"</f>
        <v>$ 16172,70</v>
      </c>
      <c r="F2857" t="str">
        <f>"$ 16172,70"</f>
        <v>$ 16172,70</v>
      </c>
      <c r="G2857" t="str">
        <f>"$ 16172,70"</f>
        <v>$ 16172,70</v>
      </c>
      <c r="H2857" t="str">
        <f t="shared" si="1837"/>
        <v>$ 0,00</v>
      </c>
      <c r="I2857" t="str">
        <f t="shared" si="1865"/>
        <v>SENSOR RPM</v>
      </c>
      <c r="J2857" t="str">
        <f t="shared" si="1839"/>
        <v>1</v>
      </c>
      <c r="K2857" t="str">
        <f>"0"</f>
        <v>0</v>
      </c>
      <c r="L2857" t="str">
        <f>"3,000"</f>
        <v>3,000</v>
      </c>
      <c r="M2857" t="str">
        <f t="shared" si="1840"/>
        <v xml:space="preserve"> </v>
      </c>
      <c r="N2857" t="str">
        <f t="shared" si="1863"/>
        <v>FISPA</v>
      </c>
      <c r="O2857" t="str">
        <f t="shared" si="1864"/>
        <v>SENSORES</v>
      </c>
      <c r="P2857" t="str">
        <f t="shared" si="1861"/>
        <v>0</v>
      </c>
      <c r="Q2857" t="str">
        <f t="shared" si="1861"/>
        <v>0</v>
      </c>
      <c r="R2857" t="str">
        <f t="shared" si="1862"/>
        <v>0,00</v>
      </c>
      <c r="S2857" t="str">
        <f t="shared" si="1862"/>
        <v>0,00</v>
      </c>
      <c r="T2857" t="str">
        <f t="shared" si="1832"/>
        <v xml:space="preserve"> </v>
      </c>
      <c r="U2857" t="str">
        <f t="shared" si="1836"/>
        <v xml:space="preserve"> </v>
      </c>
      <c r="V2857" t="str">
        <f>"3,000"</f>
        <v>3,000</v>
      </c>
      <c r="W2857" t="str">
        <f t="shared" si="1841"/>
        <v>Lista 4</v>
      </c>
      <c r="X2857" t="str">
        <f t="shared" si="1842"/>
        <v>Lista 5</v>
      </c>
      <c r="Y2857" t="str">
        <f t="shared" si="1843"/>
        <v>Oferta Gral.</v>
      </c>
      <c r="Z2857" t="str">
        <f t="shared" si="1844"/>
        <v>Rubro</v>
      </c>
      <c r="AA2857" t="str">
        <f t="shared" si="1845"/>
        <v>Cantidad por Bulto</v>
      </c>
      <c r="AB2857" t="str">
        <f t="shared" si="1846"/>
        <v>INNER</v>
      </c>
      <c r="AC2857" t="str">
        <f t="shared" si="1847"/>
        <v>Stock en Bultos</v>
      </c>
      <c r="AD2857" t="str">
        <f t="shared" si="1848"/>
        <v>SubDepósito</v>
      </c>
      <c r="AE2857" t="str">
        <f t="shared" si="1849"/>
        <v>Marca</v>
      </c>
      <c r="AF2857" t="str">
        <f t="shared" si="1850"/>
        <v>Super Rubro</v>
      </c>
      <c r="AG2857" t="str">
        <f t="shared" si="1851"/>
        <v>ComercioExterior</v>
      </c>
      <c r="AH2857" t="str">
        <f t="shared" si="1852"/>
        <v>PrecioFOB</v>
      </c>
      <c r="AI2857" t="str">
        <f t="shared" si="1853"/>
        <v>Monto II</v>
      </c>
      <c r="AJ2857" t="str">
        <f t="shared" si="1854"/>
        <v>Porcentaje II</v>
      </c>
      <c r="AK2857" t="str">
        <f t="shared" si="1855"/>
        <v>Foto</v>
      </c>
      <c r="AL285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7" t="str">
        <f t="shared" si="1866"/>
        <v>-</v>
      </c>
    </row>
    <row r="2858" spans="1:39" x14ac:dyDescent="0.25">
      <c r="A2858" t="str">
        <f>"FI30006"</f>
        <v>FI30006</v>
      </c>
      <c r="B2858" t="str">
        <f>"SENSOR RPM CLIO 1,2I - 1,4I - 1,8I 1,9D - EXPRESS/LAGUNA/MEGANE/SCENIC/19/21 1,4 - 1,6 - TWINGO"</f>
        <v>SENSOR RPM CLIO 1,2I - 1,4I - 1,8I 1,9D - EXPRESS/LAGUNA/MEGANE/SCENIC/19/21 1,4 - 1,6 - TWINGO</v>
      </c>
      <c r="C2858" t="str">
        <f>"$ 25123,22"</f>
        <v>$ 25123,22</v>
      </c>
      <c r="D2858" t="str">
        <f>"$ 25123,22"</f>
        <v>$ 25123,22</v>
      </c>
      <c r="E2858" t="str">
        <f>"$ 25123,22"</f>
        <v>$ 25123,22</v>
      </c>
      <c r="F2858" t="str">
        <f>"$ 25123,22"</f>
        <v>$ 25123,22</v>
      </c>
      <c r="G2858" t="str">
        <f>"$ 25123,22"</f>
        <v>$ 25123,22</v>
      </c>
      <c r="H2858" t="str">
        <f t="shared" si="1837"/>
        <v>$ 0,00</v>
      </c>
      <c r="I2858" t="str">
        <f t="shared" si="1865"/>
        <v>SENSOR RPM</v>
      </c>
      <c r="J2858" t="str">
        <f t="shared" si="1839"/>
        <v>1</v>
      </c>
      <c r="K2858" t="str">
        <f>"0"</f>
        <v>0</v>
      </c>
      <c r="L2858" t="str">
        <f>"4,000"</f>
        <v>4,000</v>
      </c>
      <c r="M2858" t="str">
        <f t="shared" si="1840"/>
        <v xml:space="preserve"> </v>
      </c>
      <c r="N2858" t="str">
        <f t="shared" si="1863"/>
        <v>FISPA</v>
      </c>
      <c r="O2858" t="str">
        <f t="shared" si="1864"/>
        <v>SENSORES</v>
      </c>
      <c r="P2858" t="str">
        <f t="shared" si="1861"/>
        <v>0</v>
      </c>
      <c r="Q2858" t="str">
        <f t="shared" si="1861"/>
        <v>0</v>
      </c>
      <c r="R2858" t="str">
        <f t="shared" si="1862"/>
        <v>0,00</v>
      </c>
      <c r="S2858" t="str">
        <f t="shared" si="1862"/>
        <v>0,00</v>
      </c>
      <c r="T2858" t="str">
        <f t="shared" si="1832"/>
        <v xml:space="preserve"> </v>
      </c>
      <c r="U2858" t="str">
        <f t="shared" si="1836"/>
        <v xml:space="preserve"> </v>
      </c>
      <c r="V2858" t="str">
        <f>"4,000"</f>
        <v>4,000</v>
      </c>
      <c r="W2858" t="str">
        <f t="shared" si="1841"/>
        <v>Lista 4</v>
      </c>
      <c r="X2858" t="str">
        <f t="shared" si="1842"/>
        <v>Lista 5</v>
      </c>
      <c r="Y2858" t="str">
        <f t="shared" si="1843"/>
        <v>Oferta Gral.</v>
      </c>
      <c r="Z2858" t="str">
        <f t="shared" si="1844"/>
        <v>Rubro</v>
      </c>
      <c r="AA2858" t="str">
        <f t="shared" si="1845"/>
        <v>Cantidad por Bulto</v>
      </c>
      <c r="AB2858" t="str">
        <f t="shared" si="1846"/>
        <v>INNER</v>
      </c>
      <c r="AC2858" t="str">
        <f t="shared" si="1847"/>
        <v>Stock en Bultos</v>
      </c>
      <c r="AD2858" t="str">
        <f t="shared" si="1848"/>
        <v>SubDepósito</v>
      </c>
      <c r="AE2858" t="str">
        <f t="shared" si="1849"/>
        <v>Marca</v>
      </c>
      <c r="AF2858" t="str">
        <f t="shared" si="1850"/>
        <v>Super Rubro</v>
      </c>
      <c r="AG2858" t="str">
        <f t="shared" si="1851"/>
        <v>ComercioExterior</v>
      </c>
      <c r="AH2858" t="str">
        <f t="shared" si="1852"/>
        <v>PrecioFOB</v>
      </c>
      <c r="AI2858" t="str">
        <f t="shared" si="1853"/>
        <v>Monto II</v>
      </c>
      <c r="AJ2858" t="str">
        <f t="shared" si="1854"/>
        <v>Porcentaje II</v>
      </c>
      <c r="AK2858" t="str">
        <f t="shared" si="1855"/>
        <v>Foto</v>
      </c>
      <c r="AL2858" t="str">
        <f>"{\rtf1\ansi\ansicpg1252\deff0\deflang2058{\fonttbl{\f0\fnil\fcharset0 MS Sans Serif}} \viewkind4\uc1\pard\f0\fs16 SENSOR RPM CLIO 1,2I - 1,4I - 1,8I 1,9D - EXPRESS/LAGUNA/MEGANE/SCENIC/19/21\par 1,4 - 1,6 - TWINGO\par } "</f>
        <v xml:space="preserve">{\rtf1\ansi\ansicpg1252\deff0\deflang2058{\fonttbl{\f0\fnil\fcharset0 MS Sans Serif}} \viewkind4\uc1\pard\f0\fs16 SENSOR RPM CLIO 1,2I - 1,4I - 1,8I 1,9D - EXPRESS/LAGUNA/MEGANE/SCENIC/19/21\par 1,4 - 1,6 - TWINGO\par } </v>
      </c>
      <c r="AM2858" t="str">
        <f t="shared" si="1866"/>
        <v>-</v>
      </c>
    </row>
    <row r="2859" spans="1:39" x14ac:dyDescent="0.25">
      <c r="A2859" t="str">
        <f>"FI30114"</f>
        <v>FI30114</v>
      </c>
      <c r="B2859" t="str">
        <f>"SENSOR RPM CLIO II/MEGANE I 1.4 / 1.6 / 1.9/ DTI / 2.0 16V -KANGOO 1.4 / CON DISTANCIAL - SAL. DER."</f>
        <v>SENSOR RPM CLIO II/MEGANE I 1.4 / 1.6 / 1.9/ DTI / 2.0 16V -KANGOO 1.4 / CON DISTANCIAL - SAL. DER.</v>
      </c>
      <c r="C2859" t="str">
        <f>"$ 17334,69"</f>
        <v>$ 17334,69</v>
      </c>
      <c r="D2859" t="str">
        <f>"$ 17334,69"</f>
        <v>$ 17334,69</v>
      </c>
      <c r="E2859" t="str">
        <f>"$ 17334,69"</f>
        <v>$ 17334,69</v>
      </c>
      <c r="F2859" t="str">
        <f>"$ 17334,69"</f>
        <v>$ 17334,69</v>
      </c>
      <c r="G2859" t="str">
        <f>"$ 17334,69"</f>
        <v>$ 17334,69</v>
      </c>
      <c r="H2859" t="str">
        <f t="shared" si="1837"/>
        <v>$ 0,00</v>
      </c>
      <c r="I2859" t="str">
        <f t="shared" si="1865"/>
        <v>SENSOR RPM</v>
      </c>
      <c r="J2859" t="str">
        <f t="shared" si="1839"/>
        <v>1</v>
      </c>
      <c r="K2859" t="str">
        <f>"1"</f>
        <v>1</v>
      </c>
      <c r="L2859" t="str">
        <f>"0,000"</f>
        <v>0,000</v>
      </c>
      <c r="M2859" t="str">
        <f t="shared" si="1840"/>
        <v xml:space="preserve"> </v>
      </c>
      <c r="N2859" t="str">
        <f t="shared" si="1863"/>
        <v>FISPA</v>
      </c>
      <c r="O2859" t="str">
        <f t="shared" si="1864"/>
        <v>SENSORES</v>
      </c>
      <c r="P2859" t="str">
        <f t="shared" si="1861"/>
        <v>0</v>
      </c>
      <c r="Q2859" t="str">
        <f t="shared" si="1861"/>
        <v>0</v>
      </c>
      <c r="R2859" t="str">
        <f t="shared" si="1862"/>
        <v>0,00</v>
      </c>
      <c r="S2859" t="str">
        <f t="shared" si="1862"/>
        <v>0,00</v>
      </c>
      <c r="T2859" t="str">
        <f t="shared" si="1832"/>
        <v xml:space="preserve"> </v>
      </c>
      <c r="U2859" t="str">
        <f t="shared" si="1836"/>
        <v xml:space="preserve"> </v>
      </c>
      <c r="V2859" t="str">
        <f>"0,000"</f>
        <v>0,000</v>
      </c>
      <c r="W2859" t="str">
        <f t="shared" si="1841"/>
        <v>Lista 4</v>
      </c>
      <c r="X2859" t="str">
        <f t="shared" si="1842"/>
        <v>Lista 5</v>
      </c>
      <c r="Y2859" t="str">
        <f t="shared" si="1843"/>
        <v>Oferta Gral.</v>
      </c>
      <c r="Z2859" t="str">
        <f t="shared" si="1844"/>
        <v>Rubro</v>
      </c>
      <c r="AA2859" t="str">
        <f t="shared" si="1845"/>
        <v>Cantidad por Bulto</v>
      </c>
      <c r="AB2859" t="str">
        <f t="shared" si="1846"/>
        <v>INNER</v>
      </c>
      <c r="AC2859" t="str">
        <f t="shared" si="1847"/>
        <v>Stock en Bultos</v>
      </c>
      <c r="AD2859" t="str">
        <f t="shared" si="1848"/>
        <v>SubDepósito</v>
      </c>
      <c r="AE2859" t="str">
        <f t="shared" si="1849"/>
        <v>Marca</v>
      </c>
      <c r="AF2859" t="str">
        <f t="shared" si="1850"/>
        <v>Super Rubro</v>
      </c>
      <c r="AG2859" t="str">
        <f t="shared" si="1851"/>
        <v>ComercioExterior</v>
      </c>
      <c r="AH2859" t="str">
        <f t="shared" si="1852"/>
        <v>PrecioFOB</v>
      </c>
      <c r="AI2859" t="str">
        <f t="shared" si="1853"/>
        <v>Monto II</v>
      </c>
      <c r="AJ2859" t="str">
        <f t="shared" si="1854"/>
        <v>Porcentaje II</v>
      </c>
      <c r="AK2859" t="str">
        <f t="shared" si="1855"/>
        <v>Foto</v>
      </c>
      <c r="AL285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9" t="str">
        <f t="shared" si="1866"/>
        <v>-</v>
      </c>
    </row>
    <row r="2860" spans="1:39" x14ac:dyDescent="0.25">
      <c r="A2860" t="str">
        <f>"VK7700875184"</f>
        <v>VK7700875184</v>
      </c>
      <c r="B2860" t="str">
        <f>"SENSOR RPM CLIO/KANGOO/MEGANE SALIDA DER."</f>
        <v>SENSOR RPM CLIO/KANGOO/MEGANE SALIDA DER.</v>
      </c>
      <c r="C2860" t="str">
        <f>"$ 14293,38"</f>
        <v>$ 14293,38</v>
      </c>
      <c r="D2860" t="str">
        <f>"$ 14293,38"</f>
        <v>$ 14293,38</v>
      </c>
      <c r="E2860" t="str">
        <f>"$ 14293,38"</f>
        <v>$ 14293,38</v>
      </c>
      <c r="F2860" t="str">
        <f>"$ 14293,38"</f>
        <v>$ 14293,38</v>
      </c>
      <c r="G2860" t="str">
        <f>"$ 14293,38"</f>
        <v>$ 14293,38</v>
      </c>
      <c r="H2860" t="str">
        <f t="shared" si="1837"/>
        <v>$ 0,00</v>
      </c>
      <c r="I2860" t="str">
        <f t="shared" si="1865"/>
        <v>SENSOR RPM</v>
      </c>
      <c r="J2860" t="str">
        <f t="shared" si="1839"/>
        <v>1</v>
      </c>
      <c r="K2860" t="str">
        <f>"0"</f>
        <v>0</v>
      </c>
      <c r="L2860" t="str">
        <f>"10,000"</f>
        <v>10,000</v>
      </c>
      <c r="M2860" t="str">
        <f t="shared" si="1840"/>
        <v xml:space="preserve"> </v>
      </c>
      <c r="N2860" t="str">
        <f>"VERKEHR"</f>
        <v>VERKEHR</v>
      </c>
      <c r="O2860" t="str">
        <f t="shared" si="1864"/>
        <v>SENSORES</v>
      </c>
      <c r="P2860" t="str">
        <f t="shared" si="1861"/>
        <v>0</v>
      </c>
      <c r="Q2860" t="str">
        <f t="shared" si="1861"/>
        <v>0</v>
      </c>
      <c r="R2860" t="str">
        <f t="shared" si="1862"/>
        <v>0,00</v>
      </c>
      <c r="S2860" t="str">
        <f t="shared" si="1862"/>
        <v>0,00</v>
      </c>
      <c r="T2860" t="str">
        <f t="shared" si="1832"/>
        <v xml:space="preserve"> </v>
      </c>
      <c r="U2860" t="str">
        <f t="shared" si="1836"/>
        <v xml:space="preserve"> </v>
      </c>
      <c r="V2860" t="str">
        <f>"10,000"</f>
        <v>10,000</v>
      </c>
      <c r="W2860" t="str">
        <f t="shared" si="1841"/>
        <v>Lista 4</v>
      </c>
      <c r="X2860" t="str">
        <f t="shared" si="1842"/>
        <v>Lista 5</v>
      </c>
      <c r="Y2860" t="str">
        <f t="shared" si="1843"/>
        <v>Oferta Gral.</v>
      </c>
      <c r="Z2860" t="str">
        <f t="shared" si="1844"/>
        <v>Rubro</v>
      </c>
      <c r="AA2860" t="str">
        <f t="shared" si="1845"/>
        <v>Cantidad por Bulto</v>
      </c>
      <c r="AB2860" t="str">
        <f t="shared" si="1846"/>
        <v>INNER</v>
      </c>
      <c r="AC2860" t="str">
        <f t="shared" si="1847"/>
        <v>Stock en Bultos</v>
      </c>
      <c r="AD2860" t="str">
        <f t="shared" si="1848"/>
        <v>SubDepósito</v>
      </c>
      <c r="AE2860" t="str">
        <f t="shared" si="1849"/>
        <v>Marca</v>
      </c>
      <c r="AF2860" t="str">
        <f t="shared" si="1850"/>
        <v>Super Rubro</v>
      </c>
      <c r="AG2860" t="str">
        <f t="shared" si="1851"/>
        <v>ComercioExterior</v>
      </c>
      <c r="AH2860" t="str">
        <f t="shared" si="1852"/>
        <v>PrecioFOB</v>
      </c>
      <c r="AI2860" t="str">
        <f t="shared" si="1853"/>
        <v>Monto II</v>
      </c>
      <c r="AJ2860" t="str">
        <f t="shared" si="1854"/>
        <v>Porcentaje II</v>
      </c>
      <c r="AK2860" t="str">
        <f t="shared" si="1855"/>
        <v>Foto</v>
      </c>
      <c r="AL2860" t="str">
        <f>"{\rtf1\ansi\ansicpg1252\deff0\deflang11274{\fonttbl{\f0\fnil\fcharset0 MS Sans Serif}} \viewkind4\uc1\pard\f0\fs16 SENSOR RPM CLIO/KANGOO/MEGANE SALIDA DER.\par } "</f>
        <v xml:space="preserve">{\rtf1\ansi\ansicpg1252\deff0\deflang11274{\fonttbl{\f0\fnil\fcharset0 MS Sans Serif}} \viewkind4\uc1\pard\f0\fs16 SENSOR RPM CLIO/KANGOO/MEGANE SALIDA DER.\par } </v>
      </c>
      <c r="AM2860" t="str">
        <f>" "</f>
        <v xml:space="preserve"> </v>
      </c>
    </row>
    <row r="2861" spans="1:39" x14ac:dyDescent="0.25">
      <c r="A2861" t="str">
        <f>"FI30100"</f>
        <v>FI30100</v>
      </c>
      <c r="B2861" t="str">
        <f>"SENSOR RPM ESCORT VI &amp; VII 1.6 16V / 1.8 16V FIESTA - FOCUS 1.8 16V / 2.0 16V  - MONDEO I &amp; II 1.8 16V"</f>
        <v>SENSOR RPM ESCORT VI &amp; VII 1.6 16V / 1.8 16V FIESTA - FOCUS 1.8 16V / 2.0 16V  - MONDEO I &amp; II 1.8 16V</v>
      </c>
      <c r="C2861" t="str">
        <f>"$ 26269,34"</f>
        <v>$ 26269,34</v>
      </c>
      <c r="D2861" t="str">
        <f>"$ 26269,34"</f>
        <v>$ 26269,34</v>
      </c>
      <c r="E2861" t="str">
        <f>"$ 26269,34"</f>
        <v>$ 26269,34</v>
      </c>
      <c r="F2861" t="str">
        <f>"$ 26269,34"</f>
        <v>$ 26269,34</v>
      </c>
      <c r="G2861" t="str">
        <f>"$ 26269,34"</f>
        <v>$ 26269,34</v>
      </c>
      <c r="H2861" t="str">
        <f t="shared" si="1837"/>
        <v>$ 0,00</v>
      </c>
      <c r="I2861" t="str">
        <f t="shared" si="1865"/>
        <v>SENSOR RPM</v>
      </c>
      <c r="J2861" t="str">
        <f t="shared" si="1839"/>
        <v>1</v>
      </c>
      <c r="K2861" t="str">
        <f>"1"</f>
        <v>1</v>
      </c>
      <c r="L2861" t="str">
        <f>"0,000"</f>
        <v>0,000</v>
      </c>
      <c r="M2861" t="str">
        <f t="shared" si="1840"/>
        <v xml:space="preserve"> </v>
      </c>
      <c r="N2861" t="str">
        <f t="shared" ref="N2861:N2908" si="1867">"FISPA"</f>
        <v>FISPA</v>
      </c>
      <c r="O2861" t="str">
        <f t="shared" si="1864"/>
        <v>SENSORES</v>
      </c>
      <c r="P2861" t="str">
        <f t="shared" si="1861"/>
        <v>0</v>
      </c>
      <c r="Q2861" t="str">
        <f t="shared" si="1861"/>
        <v>0</v>
      </c>
      <c r="R2861" t="str">
        <f t="shared" si="1862"/>
        <v>0,00</v>
      </c>
      <c r="S2861" t="str">
        <f t="shared" si="1862"/>
        <v>0,00</v>
      </c>
      <c r="T2861" t="str">
        <f t="shared" si="1832"/>
        <v xml:space="preserve"> </v>
      </c>
      <c r="U2861" t="str">
        <f t="shared" si="1836"/>
        <v xml:space="preserve"> </v>
      </c>
      <c r="V2861" t="str">
        <f>"0,000"</f>
        <v>0,000</v>
      </c>
      <c r="W2861" t="str">
        <f t="shared" si="1841"/>
        <v>Lista 4</v>
      </c>
      <c r="X2861" t="str">
        <f t="shared" si="1842"/>
        <v>Lista 5</v>
      </c>
      <c r="Y2861" t="str">
        <f t="shared" si="1843"/>
        <v>Oferta Gral.</v>
      </c>
      <c r="Z2861" t="str">
        <f t="shared" si="1844"/>
        <v>Rubro</v>
      </c>
      <c r="AA2861" t="str">
        <f t="shared" si="1845"/>
        <v>Cantidad por Bulto</v>
      </c>
      <c r="AB2861" t="str">
        <f t="shared" si="1846"/>
        <v>INNER</v>
      </c>
      <c r="AC2861" t="str">
        <f t="shared" si="1847"/>
        <v>Stock en Bultos</v>
      </c>
      <c r="AD2861" t="str">
        <f t="shared" si="1848"/>
        <v>SubDepósito</v>
      </c>
      <c r="AE2861" t="str">
        <f t="shared" si="1849"/>
        <v>Marca</v>
      </c>
      <c r="AF2861" t="str">
        <f t="shared" si="1850"/>
        <v>Super Rubro</v>
      </c>
      <c r="AG2861" t="str">
        <f t="shared" si="1851"/>
        <v>ComercioExterior</v>
      </c>
      <c r="AH2861" t="str">
        <f t="shared" si="1852"/>
        <v>PrecioFOB</v>
      </c>
      <c r="AI2861" t="str">
        <f t="shared" si="1853"/>
        <v>Monto II</v>
      </c>
      <c r="AJ2861" t="str">
        <f t="shared" si="1854"/>
        <v>Porcentaje II</v>
      </c>
      <c r="AK2861" t="str">
        <f t="shared" si="1855"/>
        <v>Foto</v>
      </c>
      <c r="AL286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1" t="str">
        <f t="shared" ref="AM2861:AM2908" si="1868">"-"</f>
        <v>-</v>
      </c>
    </row>
    <row r="2862" spans="1:39" x14ac:dyDescent="0.25">
      <c r="A2862" t="str">
        <f>"FI30015"</f>
        <v>FI30015</v>
      </c>
      <c r="B2862" t="str">
        <f>"SENSOR RPM ESCORT/FIESTAFOCUS 1.4 1.6 16V / KA 1.3I / MONDEO 1.6I 16V / MAZDA 121 III I.3 - 1.8D"</f>
        <v>SENSOR RPM ESCORT/FIESTAFOCUS 1.4 1.6 16V / KA 1.3I / MONDEO 1.6I 16V / MAZDA 121 III I.3 - 1.8D</v>
      </c>
      <c r="C2862" t="str">
        <f>"$ 22097,40"</f>
        <v>$ 22097,40</v>
      </c>
      <c r="D2862" t="str">
        <f>"$ 22097,40"</f>
        <v>$ 22097,40</v>
      </c>
      <c r="E2862" t="str">
        <f>"$ 22097,40"</f>
        <v>$ 22097,40</v>
      </c>
      <c r="F2862" t="str">
        <f>"$ 22097,40"</f>
        <v>$ 22097,40</v>
      </c>
      <c r="G2862" t="str">
        <f>"$ 22097,40"</f>
        <v>$ 22097,40</v>
      </c>
      <c r="H2862" t="str">
        <f t="shared" si="1837"/>
        <v>$ 0,00</v>
      </c>
      <c r="I2862" t="str">
        <f t="shared" si="1865"/>
        <v>SENSOR RPM</v>
      </c>
      <c r="J2862" t="str">
        <f t="shared" si="1839"/>
        <v>1</v>
      </c>
      <c r="K2862" t="str">
        <f>"0"</f>
        <v>0</v>
      </c>
      <c r="L2862" t="str">
        <f>"2,000"</f>
        <v>2,000</v>
      </c>
      <c r="M2862" t="str">
        <f t="shared" si="1840"/>
        <v xml:space="preserve"> </v>
      </c>
      <c r="N2862" t="str">
        <f t="shared" si="1867"/>
        <v>FISPA</v>
      </c>
      <c r="O2862" t="str">
        <f t="shared" si="1864"/>
        <v>SENSORES</v>
      </c>
      <c r="P2862" t="str">
        <f t="shared" si="1861"/>
        <v>0</v>
      </c>
      <c r="Q2862" t="str">
        <f t="shared" si="1861"/>
        <v>0</v>
      </c>
      <c r="R2862" t="str">
        <f t="shared" si="1862"/>
        <v>0,00</v>
      </c>
      <c r="S2862" t="str">
        <f t="shared" si="1862"/>
        <v>0,00</v>
      </c>
      <c r="T2862" t="str">
        <f t="shared" si="1832"/>
        <v xml:space="preserve"> </v>
      </c>
      <c r="U2862" t="str">
        <f t="shared" si="1836"/>
        <v xml:space="preserve"> </v>
      </c>
      <c r="V2862" t="str">
        <f>"2,000"</f>
        <v>2,000</v>
      </c>
      <c r="W2862" t="str">
        <f t="shared" si="1841"/>
        <v>Lista 4</v>
      </c>
      <c r="X2862" t="str">
        <f t="shared" si="1842"/>
        <v>Lista 5</v>
      </c>
      <c r="Y2862" t="str">
        <f t="shared" si="1843"/>
        <v>Oferta Gral.</v>
      </c>
      <c r="Z2862" t="str">
        <f t="shared" si="1844"/>
        <v>Rubro</v>
      </c>
      <c r="AA2862" t="str">
        <f t="shared" si="1845"/>
        <v>Cantidad por Bulto</v>
      </c>
      <c r="AB2862" t="str">
        <f t="shared" si="1846"/>
        <v>INNER</v>
      </c>
      <c r="AC2862" t="str">
        <f t="shared" si="1847"/>
        <v>Stock en Bultos</v>
      </c>
      <c r="AD2862" t="str">
        <f t="shared" si="1848"/>
        <v>SubDepósito</v>
      </c>
      <c r="AE2862" t="str">
        <f t="shared" si="1849"/>
        <v>Marca</v>
      </c>
      <c r="AF2862" t="str">
        <f t="shared" si="1850"/>
        <v>Super Rubro</v>
      </c>
      <c r="AG2862" t="str">
        <f t="shared" si="1851"/>
        <v>ComercioExterior</v>
      </c>
      <c r="AH2862" t="str">
        <f t="shared" si="1852"/>
        <v>PrecioFOB</v>
      </c>
      <c r="AI2862" t="str">
        <f t="shared" si="1853"/>
        <v>Monto II</v>
      </c>
      <c r="AJ2862" t="str">
        <f t="shared" si="1854"/>
        <v>Porcentaje II</v>
      </c>
      <c r="AK2862" t="str">
        <f t="shared" si="1855"/>
        <v>Foto</v>
      </c>
      <c r="AL286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2" t="str">
        <f t="shared" si="1868"/>
        <v>-</v>
      </c>
    </row>
    <row r="2863" spans="1:39" x14ac:dyDescent="0.25">
      <c r="A2863" t="str">
        <f>"FI30096"</f>
        <v>FI30096</v>
      </c>
      <c r="B2863" t="str">
        <f>"SENSOR RPM FIAT  BRAVO I 1.6 16V / GOLF IV 2.0 / MAREA 1.6 16V / PALIO 1.6 16V / SIENA 1.6 16V"</f>
        <v>SENSOR RPM FIAT  BRAVO I 1.6 16V / GOLF IV 2.0 / MAREA 1.6 16V / PALIO 1.6 16V / SIENA 1.6 16V</v>
      </c>
      <c r="C2863" t="str">
        <f>"$ 29707,72"</f>
        <v>$ 29707,72</v>
      </c>
      <c r="D2863" t="str">
        <f>"$ 29707,72"</f>
        <v>$ 29707,72</v>
      </c>
      <c r="E2863" t="str">
        <f>"$ 29707,72"</f>
        <v>$ 29707,72</v>
      </c>
      <c r="F2863" t="str">
        <f>"$ 29707,72"</f>
        <v>$ 29707,72</v>
      </c>
      <c r="G2863" t="str">
        <f>"$ 29707,72"</f>
        <v>$ 29707,72</v>
      </c>
      <c r="H2863" t="str">
        <f t="shared" si="1837"/>
        <v>$ 0,00</v>
      </c>
      <c r="I2863" t="str">
        <f t="shared" si="1865"/>
        <v>SENSOR RPM</v>
      </c>
      <c r="J2863" t="str">
        <f t="shared" si="1839"/>
        <v>1</v>
      </c>
      <c r="K2863" t="str">
        <f t="shared" ref="K2863:K2870" si="1869">"1"</f>
        <v>1</v>
      </c>
      <c r="L2863" t="str">
        <f>"0,000"</f>
        <v>0,000</v>
      </c>
      <c r="M2863" t="str">
        <f t="shared" si="1840"/>
        <v xml:space="preserve"> </v>
      </c>
      <c r="N2863" t="str">
        <f t="shared" si="1867"/>
        <v>FISPA</v>
      </c>
      <c r="O2863" t="str">
        <f t="shared" si="1864"/>
        <v>SENSORES</v>
      </c>
      <c r="P2863" t="str">
        <f t="shared" ref="P2863:Q2882" si="1870">"0"</f>
        <v>0</v>
      </c>
      <c r="Q2863" t="str">
        <f t="shared" si="1870"/>
        <v>0</v>
      </c>
      <c r="R2863" t="str">
        <f t="shared" ref="R2863:S2882" si="1871">"0,00"</f>
        <v>0,00</v>
      </c>
      <c r="S2863" t="str">
        <f t="shared" si="1871"/>
        <v>0,00</v>
      </c>
      <c r="T2863" t="str">
        <f t="shared" si="1832"/>
        <v xml:space="preserve"> </v>
      </c>
      <c r="U2863" t="str">
        <f t="shared" si="1836"/>
        <v xml:space="preserve"> </v>
      </c>
      <c r="V2863" t="str">
        <f>"0,000"</f>
        <v>0,000</v>
      </c>
      <c r="W2863" t="str">
        <f t="shared" si="1841"/>
        <v>Lista 4</v>
      </c>
      <c r="X2863" t="str">
        <f t="shared" si="1842"/>
        <v>Lista 5</v>
      </c>
      <c r="Y2863" t="str">
        <f t="shared" si="1843"/>
        <v>Oferta Gral.</v>
      </c>
      <c r="Z2863" t="str">
        <f t="shared" si="1844"/>
        <v>Rubro</v>
      </c>
      <c r="AA2863" t="str">
        <f t="shared" si="1845"/>
        <v>Cantidad por Bulto</v>
      </c>
      <c r="AB2863" t="str">
        <f t="shared" si="1846"/>
        <v>INNER</v>
      </c>
      <c r="AC2863" t="str">
        <f t="shared" si="1847"/>
        <v>Stock en Bultos</v>
      </c>
      <c r="AD2863" t="str">
        <f t="shared" si="1848"/>
        <v>SubDepósito</v>
      </c>
      <c r="AE2863" t="str">
        <f t="shared" si="1849"/>
        <v>Marca</v>
      </c>
      <c r="AF2863" t="str">
        <f t="shared" si="1850"/>
        <v>Super Rubro</v>
      </c>
      <c r="AG2863" t="str">
        <f t="shared" si="1851"/>
        <v>ComercioExterior</v>
      </c>
      <c r="AH2863" t="str">
        <f t="shared" si="1852"/>
        <v>PrecioFOB</v>
      </c>
      <c r="AI2863" t="str">
        <f t="shared" si="1853"/>
        <v>Monto II</v>
      </c>
      <c r="AJ2863" t="str">
        <f t="shared" si="1854"/>
        <v>Porcentaje II</v>
      </c>
      <c r="AK2863" t="str">
        <f t="shared" si="1855"/>
        <v>Foto</v>
      </c>
      <c r="AL2863" t="str">
        <f>" "</f>
        <v xml:space="preserve"> </v>
      </c>
      <c r="AM2863" t="str">
        <f t="shared" si="1868"/>
        <v>-</v>
      </c>
    </row>
    <row r="2864" spans="1:39" x14ac:dyDescent="0.25">
      <c r="A2864" t="str">
        <f>"FI30070"</f>
        <v>FI30070</v>
      </c>
      <c r="B2864" t="str">
        <f>"SENSOR RPM FIAT 500 1.2/1.4 - BRAVO 1.4 T-JET - IDEA 1.4 - PUNTO 1.2 / 1.2 16V - STILO 1.4 16V"</f>
        <v>SENSOR RPM FIAT 500 1.2/1.4 - BRAVO 1.4 T-JET - IDEA 1.4 - PUNTO 1.2 / 1.2 16V - STILO 1.4 16V</v>
      </c>
      <c r="C2864" t="str">
        <f>"$ 23834,28"</f>
        <v>$ 23834,28</v>
      </c>
      <c r="D2864" t="str">
        <f>"$ 23834,28"</f>
        <v>$ 23834,28</v>
      </c>
      <c r="E2864" t="str">
        <f>"$ 23834,28"</f>
        <v>$ 23834,28</v>
      </c>
      <c r="F2864" t="str">
        <f>"$ 23834,28"</f>
        <v>$ 23834,28</v>
      </c>
      <c r="G2864" t="str">
        <f>"$ 23834,28"</f>
        <v>$ 23834,28</v>
      </c>
      <c r="H2864" t="str">
        <f t="shared" si="1837"/>
        <v>$ 0,00</v>
      </c>
      <c r="I2864" t="str">
        <f t="shared" si="1865"/>
        <v>SENSOR RPM</v>
      </c>
      <c r="J2864" t="str">
        <f t="shared" si="1839"/>
        <v>1</v>
      </c>
      <c r="K2864" t="str">
        <f t="shared" si="1869"/>
        <v>1</v>
      </c>
      <c r="L2864" t="str">
        <f>"0,000"</f>
        <v>0,000</v>
      </c>
      <c r="M2864" t="str">
        <f t="shared" si="1840"/>
        <v xml:space="preserve"> </v>
      </c>
      <c r="N2864" t="str">
        <f t="shared" si="1867"/>
        <v>FISPA</v>
      </c>
      <c r="O2864" t="str">
        <f t="shared" si="1864"/>
        <v>SENSORES</v>
      </c>
      <c r="P2864" t="str">
        <f t="shared" si="1870"/>
        <v>0</v>
      </c>
      <c r="Q2864" t="str">
        <f t="shared" si="1870"/>
        <v>0</v>
      </c>
      <c r="R2864" t="str">
        <f t="shared" si="1871"/>
        <v>0,00</v>
      </c>
      <c r="S2864" t="str">
        <f t="shared" si="1871"/>
        <v>0,00</v>
      </c>
      <c r="T2864" t="str">
        <f t="shared" si="1832"/>
        <v xml:space="preserve"> </v>
      </c>
      <c r="U2864" t="str">
        <f t="shared" si="1836"/>
        <v xml:space="preserve"> </v>
      </c>
      <c r="V2864" t="str">
        <f>"0,000"</f>
        <v>0,000</v>
      </c>
      <c r="W2864" t="str">
        <f t="shared" si="1841"/>
        <v>Lista 4</v>
      </c>
      <c r="X2864" t="str">
        <f t="shared" si="1842"/>
        <v>Lista 5</v>
      </c>
      <c r="Y2864" t="str">
        <f t="shared" si="1843"/>
        <v>Oferta Gral.</v>
      </c>
      <c r="Z2864" t="str">
        <f t="shared" si="1844"/>
        <v>Rubro</v>
      </c>
      <c r="AA2864" t="str">
        <f t="shared" si="1845"/>
        <v>Cantidad por Bulto</v>
      </c>
      <c r="AB2864" t="str">
        <f t="shared" si="1846"/>
        <v>INNER</v>
      </c>
      <c r="AC2864" t="str">
        <f t="shared" si="1847"/>
        <v>Stock en Bultos</v>
      </c>
      <c r="AD2864" t="str">
        <f t="shared" si="1848"/>
        <v>SubDepósito</v>
      </c>
      <c r="AE2864" t="str">
        <f t="shared" si="1849"/>
        <v>Marca</v>
      </c>
      <c r="AF2864" t="str">
        <f t="shared" si="1850"/>
        <v>Super Rubro</v>
      </c>
      <c r="AG2864" t="str">
        <f t="shared" si="1851"/>
        <v>ComercioExterior</v>
      </c>
      <c r="AH2864" t="str">
        <f t="shared" si="1852"/>
        <v>PrecioFOB</v>
      </c>
      <c r="AI2864" t="str">
        <f t="shared" si="1853"/>
        <v>Monto II</v>
      </c>
      <c r="AJ2864" t="str">
        <f t="shared" si="1854"/>
        <v>Porcentaje II</v>
      </c>
      <c r="AK2864" t="str">
        <f t="shared" si="1855"/>
        <v>Foto</v>
      </c>
      <c r="AL286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64" t="str">
        <f t="shared" si="1868"/>
        <v>-</v>
      </c>
    </row>
    <row r="2865" spans="1:39" x14ac:dyDescent="0.25">
      <c r="A2865" t="str">
        <f>"FI30133"</f>
        <v>FI30133</v>
      </c>
      <c r="B2865" t="str">
        <f>"SENSOR RPM FIAT BRAVA 1.9 TD - BRAVO 1.9 TD / HGT 20V - COUPE 2.0 20V - MAREA 2.0I 20VLARGO 420MM"</f>
        <v>SENSOR RPM FIAT BRAVA 1.9 TD - BRAVO 1.9 TD / HGT 20V - COUPE 2.0 20V - MAREA 2.0I 20VLARGO 420MM</v>
      </c>
      <c r="C2865" t="str">
        <f>"$ 23448,58"</f>
        <v>$ 23448,58</v>
      </c>
      <c r="D2865" t="str">
        <f>"$ 23448,58"</f>
        <v>$ 23448,58</v>
      </c>
      <c r="E2865" t="str">
        <f>"$ 23448,58"</f>
        <v>$ 23448,58</v>
      </c>
      <c r="F2865" t="str">
        <f>"$ 23448,58"</f>
        <v>$ 23448,58</v>
      </c>
      <c r="G2865" t="str">
        <f>"$ 23448,58"</f>
        <v>$ 23448,58</v>
      </c>
      <c r="H2865" t="str">
        <f t="shared" si="1837"/>
        <v>$ 0,00</v>
      </c>
      <c r="I2865" t="str">
        <f t="shared" si="1865"/>
        <v>SENSOR RPM</v>
      </c>
      <c r="J2865" t="str">
        <f t="shared" si="1839"/>
        <v>1</v>
      </c>
      <c r="K2865" t="str">
        <f t="shared" si="1869"/>
        <v>1</v>
      </c>
      <c r="L2865" t="str">
        <f>"0,000"</f>
        <v>0,000</v>
      </c>
      <c r="M2865" t="str">
        <f t="shared" si="1840"/>
        <v xml:space="preserve"> </v>
      </c>
      <c r="N2865" t="str">
        <f t="shared" si="1867"/>
        <v>FISPA</v>
      </c>
      <c r="O2865" t="str">
        <f t="shared" si="1864"/>
        <v>SENSORES</v>
      </c>
      <c r="P2865" t="str">
        <f t="shared" si="1870"/>
        <v>0</v>
      </c>
      <c r="Q2865" t="str">
        <f t="shared" si="1870"/>
        <v>0</v>
      </c>
      <c r="R2865" t="str">
        <f t="shared" si="1871"/>
        <v>0,00</v>
      </c>
      <c r="S2865" t="str">
        <f t="shared" si="1871"/>
        <v>0,00</v>
      </c>
      <c r="T2865" t="str">
        <f t="shared" si="1832"/>
        <v xml:space="preserve"> </v>
      </c>
      <c r="U2865" t="str">
        <f t="shared" si="1836"/>
        <v xml:space="preserve"> </v>
      </c>
      <c r="V2865" t="str">
        <f>"0,000"</f>
        <v>0,000</v>
      </c>
      <c r="W2865" t="str">
        <f t="shared" si="1841"/>
        <v>Lista 4</v>
      </c>
      <c r="X2865" t="str">
        <f t="shared" si="1842"/>
        <v>Lista 5</v>
      </c>
      <c r="Y2865" t="str">
        <f t="shared" si="1843"/>
        <v>Oferta Gral.</v>
      </c>
      <c r="Z2865" t="str">
        <f t="shared" si="1844"/>
        <v>Rubro</v>
      </c>
      <c r="AA2865" t="str">
        <f t="shared" si="1845"/>
        <v>Cantidad por Bulto</v>
      </c>
      <c r="AB2865" t="str">
        <f t="shared" si="1846"/>
        <v>INNER</v>
      </c>
      <c r="AC2865" t="str">
        <f t="shared" si="1847"/>
        <v>Stock en Bultos</v>
      </c>
      <c r="AD2865" t="str">
        <f t="shared" si="1848"/>
        <v>SubDepósito</v>
      </c>
      <c r="AE2865" t="str">
        <f t="shared" si="1849"/>
        <v>Marca</v>
      </c>
      <c r="AF2865" t="str">
        <f t="shared" si="1850"/>
        <v>Super Rubro</v>
      </c>
      <c r="AG2865" t="str">
        <f t="shared" si="1851"/>
        <v>ComercioExterior</v>
      </c>
      <c r="AH2865" t="str">
        <f t="shared" si="1852"/>
        <v>PrecioFOB</v>
      </c>
      <c r="AI2865" t="str">
        <f t="shared" si="1853"/>
        <v>Monto II</v>
      </c>
      <c r="AJ2865" t="str">
        <f t="shared" si="1854"/>
        <v>Porcentaje II</v>
      </c>
      <c r="AK2865" t="str">
        <f t="shared" si="1855"/>
        <v>Foto</v>
      </c>
      <c r="AL2865" t="str">
        <f>" "</f>
        <v xml:space="preserve"> </v>
      </c>
      <c r="AM2865" t="str">
        <f t="shared" si="1868"/>
        <v>-</v>
      </c>
    </row>
    <row r="2866" spans="1:39" x14ac:dyDescent="0.25">
      <c r="A2866" t="str">
        <f>"FI30122"</f>
        <v>FI30122</v>
      </c>
      <c r="B2866" t="str">
        <f>"SENSOR RPM FIAT BRAVO 2.0 HGT - COUPE 2.0 20V - MAREA 2.0 150 / 155 20V - STILO 2.4 20V"</f>
        <v>SENSOR RPM FIAT BRAVO 2.0 HGT - COUPE 2.0 20V - MAREA 2.0 150 / 155 20V - STILO 2.4 20V</v>
      </c>
      <c r="C2866" t="str">
        <f>"$ 54739,39"</f>
        <v>$ 54739,39</v>
      </c>
      <c r="D2866" t="str">
        <f>"$ 54739,39"</f>
        <v>$ 54739,39</v>
      </c>
      <c r="E2866" t="str">
        <f>"$ 54739,39"</f>
        <v>$ 54739,39</v>
      </c>
      <c r="F2866" t="str">
        <f>"$ 54739,39"</f>
        <v>$ 54739,39</v>
      </c>
      <c r="G2866" t="str">
        <f>"$ 54739,39"</f>
        <v>$ 54739,39</v>
      </c>
      <c r="H2866" t="str">
        <f t="shared" si="1837"/>
        <v>$ 0,00</v>
      </c>
      <c r="I2866" t="str">
        <f t="shared" si="1865"/>
        <v>SENSOR RPM</v>
      </c>
      <c r="J2866" t="str">
        <f t="shared" si="1839"/>
        <v>1</v>
      </c>
      <c r="K2866" t="str">
        <f t="shared" si="1869"/>
        <v>1</v>
      </c>
      <c r="L2866" t="str">
        <f>"0,000"</f>
        <v>0,000</v>
      </c>
      <c r="M2866" t="str">
        <f t="shared" si="1840"/>
        <v xml:space="preserve"> </v>
      </c>
      <c r="N2866" t="str">
        <f t="shared" si="1867"/>
        <v>FISPA</v>
      </c>
      <c r="O2866" t="str">
        <f t="shared" si="1864"/>
        <v>SENSORES</v>
      </c>
      <c r="P2866" t="str">
        <f t="shared" si="1870"/>
        <v>0</v>
      </c>
      <c r="Q2866" t="str">
        <f t="shared" si="1870"/>
        <v>0</v>
      </c>
      <c r="R2866" t="str">
        <f t="shared" si="1871"/>
        <v>0,00</v>
      </c>
      <c r="S2866" t="str">
        <f t="shared" si="1871"/>
        <v>0,00</v>
      </c>
      <c r="T2866" t="str">
        <f t="shared" si="1832"/>
        <v xml:space="preserve"> </v>
      </c>
      <c r="U2866" t="str">
        <f t="shared" si="1836"/>
        <v xml:space="preserve"> </v>
      </c>
      <c r="V2866" t="str">
        <f>"0,000"</f>
        <v>0,000</v>
      </c>
      <c r="W2866" t="str">
        <f t="shared" si="1841"/>
        <v>Lista 4</v>
      </c>
      <c r="X2866" t="str">
        <f t="shared" si="1842"/>
        <v>Lista 5</v>
      </c>
      <c r="Y2866" t="str">
        <f t="shared" si="1843"/>
        <v>Oferta Gral.</v>
      </c>
      <c r="Z2866" t="str">
        <f t="shared" si="1844"/>
        <v>Rubro</v>
      </c>
      <c r="AA2866" t="str">
        <f t="shared" si="1845"/>
        <v>Cantidad por Bulto</v>
      </c>
      <c r="AB2866" t="str">
        <f t="shared" si="1846"/>
        <v>INNER</v>
      </c>
      <c r="AC2866" t="str">
        <f t="shared" si="1847"/>
        <v>Stock en Bultos</v>
      </c>
      <c r="AD2866" t="str">
        <f t="shared" si="1848"/>
        <v>SubDepósito</v>
      </c>
      <c r="AE2866" t="str">
        <f t="shared" si="1849"/>
        <v>Marca</v>
      </c>
      <c r="AF2866" t="str">
        <f t="shared" si="1850"/>
        <v>Super Rubro</v>
      </c>
      <c r="AG2866" t="str">
        <f t="shared" si="1851"/>
        <v>ComercioExterior</v>
      </c>
      <c r="AH2866" t="str">
        <f t="shared" si="1852"/>
        <v>PrecioFOB</v>
      </c>
      <c r="AI2866" t="str">
        <f t="shared" si="1853"/>
        <v>Monto II</v>
      </c>
      <c r="AJ2866" t="str">
        <f t="shared" si="1854"/>
        <v>Porcentaje II</v>
      </c>
      <c r="AK2866" t="str">
        <f t="shared" si="1855"/>
        <v>Foto</v>
      </c>
      <c r="AL2866" t="str">
        <f>" "</f>
        <v xml:space="preserve"> </v>
      </c>
      <c r="AM2866" t="str">
        <f t="shared" si="1868"/>
        <v>-</v>
      </c>
    </row>
    <row r="2867" spans="1:39" x14ac:dyDescent="0.25">
      <c r="A2867" t="str">
        <f>"FI30067"</f>
        <v>FI30067</v>
      </c>
      <c r="B2867" t="str">
        <f>"SENSOR RPM FIAT DOBLO / PANDA / PUNTO 1.3 MTJ / 1.3 JTD 16V - OPELA AGILA / CORSA"</f>
        <v>SENSOR RPM FIAT DOBLO / PANDA / PUNTO 1.3 MTJ / 1.3 JTD 16V - OPELA AGILA / CORSA</v>
      </c>
      <c r="C2867" t="str">
        <f>"$ 22346,40"</f>
        <v>$ 22346,40</v>
      </c>
      <c r="D2867" t="str">
        <f>"$ 22346,40"</f>
        <v>$ 22346,40</v>
      </c>
      <c r="E2867" t="str">
        <f>"$ 22346,40"</f>
        <v>$ 22346,40</v>
      </c>
      <c r="F2867" t="str">
        <f>"$ 22346,40"</f>
        <v>$ 22346,40</v>
      </c>
      <c r="G2867" t="str">
        <f>"$ 22346,40"</f>
        <v>$ 22346,40</v>
      </c>
      <c r="H2867" t="str">
        <f t="shared" si="1837"/>
        <v>$ 0,00</v>
      </c>
      <c r="I2867" t="str">
        <f t="shared" si="1865"/>
        <v>SENSOR RPM</v>
      </c>
      <c r="J2867" t="str">
        <f t="shared" si="1839"/>
        <v>1</v>
      </c>
      <c r="K2867" t="str">
        <f t="shared" si="1869"/>
        <v>1</v>
      </c>
      <c r="L2867" t="str">
        <f>"2,000"</f>
        <v>2,000</v>
      </c>
      <c r="M2867" t="str">
        <f t="shared" si="1840"/>
        <v xml:space="preserve"> </v>
      </c>
      <c r="N2867" t="str">
        <f t="shared" si="1867"/>
        <v>FISPA</v>
      </c>
      <c r="O2867" t="str">
        <f t="shared" si="1864"/>
        <v>SENSORES</v>
      </c>
      <c r="P2867" t="str">
        <f t="shared" si="1870"/>
        <v>0</v>
      </c>
      <c r="Q2867" t="str">
        <f t="shared" si="1870"/>
        <v>0</v>
      </c>
      <c r="R2867" t="str">
        <f t="shared" si="1871"/>
        <v>0,00</v>
      </c>
      <c r="S2867" t="str">
        <f t="shared" si="1871"/>
        <v>0,00</v>
      </c>
      <c r="T2867" t="str">
        <f t="shared" si="1832"/>
        <v xml:space="preserve"> </v>
      </c>
      <c r="U2867" t="str">
        <f t="shared" si="1836"/>
        <v xml:space="preserve"> </v>
      </c>
      <c r="V2867" t="str">
        <f>"2,000"</f>
        <v>2,000</v>
      </c>
      <c r="W2867" t="str">
        <f t="shared" si="1841"/>
        <v>Lista 4</v>
      </c>
      <c r="X2867" t="str">
        <f t="shared" si="1842"/>
        <v>Lista 5</v>
      </c>
      <c r="Y2867" t="str">
        <f t="shared" si="1843"/>
        <v>Oferta Gral.</v>
      </c>
      <c r="Z2867" t="str">
        <f t="shared" si="1844"/>
        <v>Rubro</v>
      </c>
      <c r="AA2867" t="str">
        <f t="shared" si="1845"/>
        <v>Cantidad por Bulto</v>
      </c>
      <c r="AB2867" t="str">
        <f t="shared" si="1846"/>
        <v>INNER</v>
      </c>
      <c r="AC2867" t="str">
        <f t="shared" si="1847"/>
        <v>Stock en Bultos</v>
      </c>
      <c r="AD2867" t="str">
        <f t="shared" si="1848"/>
        <v>SubDepósito</v>
      </c>
      <c r="AE2867" t="str">
        <f t="shared" si="1849"/>
        <v>Marca</v>
      </c>
      <c r="AF2867" t="str">
        <f t="shared" si="1850"/>
        <v>Super Rubro</v>
      </c>
      <c r="AG2867" t="str">
        <f t="shared" si="1851"/>
        <v>ComercioExterior</v>
      </c>
      <c r="AH2867" t="str">
        <f t="shared" si="1852"/>
        <v>PrecioFOB</v>
      </c>
      <c r="AI2867" t="str">
        <f t="shared" si="1853"/>
        <v>Monto II</v>
      </c>
      <c r="AJ2867" t="str">
        <f t="shared" si="1854"/>
        <v>Porcentaje II</v>
      </c>
      <c r="AK2867" t="str">
        <f t="shared" si="1855"/>
        <v>Foto</v>
      </c>
      <c r="AL286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67" t="str">
        <f t="shared" si="1868"/>
        <v>-</v>
      </c>
    </row>
    <row r="2868" spans="1:39" x14ac:dyDescent="0.25">
      <c r="A2868" t="str">
        <f>"FI30097"</f>
        <v>FI30097</v>
      </c>
      <c r="B2868" t="str">
        <f>"SENSOR RPM FIAT DOBLO 1.2 - MONDEO III 1.8 SCI  2003-2007 PALIO / PUNTO - CIVIC VII 1.7 CTDI "</f>
        <v xml:space="preserve">SENSOR RPM FIAT DOBLO 1.2 - MONDEO III 1.8 SCI  2003-2007 PALIO / PUNTO - CIVIC VII 1.7 CTDI </v>
      </c>
      <c r="C2868" t="str">
        <f>"$ 17881,51"</f>
        <v>$ 17881,51</v>
      </c>
      <c r="D2868" t="str">
        <f>"$ 17881,51"</f>
        <v>$ 17881,51</v>
      </c>
      <c r="E2868" t="str">
        <f>"$ 17881,51"</f>
        <v>$ 17881,51</v>
      </c>
      <c r="F2868" t="str">
        <f>"$ 17881,51"</f>
        <v>$ 17881,51</v>
      </c>
      <c r="G2868" t="str">
        <f>"$ 17881,51"</f>
        <v>$ 17881,51</v>
      </c>
      <c r="H2868" t="str">
        <f t="shared" si="1837"/>
        <v>$ 0,00</v>
      </c>
      <c r="I2868" t="str">
        <f t="shared" si="1865"/>
        <v>SENSOR RPM</v>
      </c>
      <c r="J2868" t="str">
        <f t="shared" si="1839"/>
        <v>1</v>
      </c>
      <c r="K2868" t="str">
        <f t="shared" si="1869"/>
        <v>1</v>
      </c>
      <c r="L2868" t="str">
        <f>"0,000"</f>
        <v>0,000</v>
      </c>
      <c r="M2868" t="str">
        <f t="shared" si="1840"/>
        <v xml:space="preserve"> </v>
      </c>
      <c r="N2868" t="str">
        <f t="shared" si="1867"/>
        <v>FISPA</v>
      </c>
      <c r="O2868" t="str">
        <f t="shared" si="1864"/>
        <v>SENSORES</v>
      </c>
      <c r="P2868" t="str">
        <f t="shared" si="1870"/>
        <v>0</v>
      </c>
      <c r="Q2868" t="str">
        <f t="shared" si="1870"/>
        <v>0</v>
      </c>
      <c r="R2868" t="str">
        <f t="shared" si="1871"/>
        <v>0,00</v>
      </c>
      <c r="S2868" t="str">
        <f t="shared" si="1871"/>
        <v>0,00</v>
      </c>
      <c r="T2868" t="str">
        <f t="shared" si="1832"/>
        <v xml:space="preserve"> </v>
      </c>
      <c r="U2868" t="str">
        <f t="shared" si="1836"/>
        <v xml:space="preserve"> </v>
      </c>
      <c r="V2868" t="str">
        <f>"0,000"</f>
        <v>0,000</v>
      </c>
      <c r="W2868" t="str">
        <f t="shared" si="1841"/>
        <v>Lista 4</v>
      </c>
      <c r="X2868" t="str">
        <f t="shared" si="1842"/>
        <v>Lista 5</v>
      </c>
      <c r="Y2868" t="str">
        <f t="shared" si="1843"/>
        <v>Oferta Gral.</v>
      </c>
      <c r="Z2868" t="str">
        <f t="shared" si="1844"/>
        <v>Rubro</v>
      </c>
      <c r="AA2868" t="str">
        <f t="shared" si="1845"/>
        <v>Cantidad por Bulto</v>
      </c>
      <c r="AB2868" t="str">
        <f t="shared" si="1846"/>
        <v>INNER</v>
      </c>
      <c r="AC2868" t="str">
        <f t="shared" si="1847"/>
        <v>Stock en Bultos</v>
      </c>
      <c r="AD2868" t="str">
        <f t="shared" si="1848"/>
        <v>SubDepósito</v>
      </c>
      <c r="AE2868" t="str">
        <f t="shared" si="1849"/>
        <v>Marca</v>
      </c>
      <c r="AF2868" t="str">
        <f t="shared" si="1850"/>
        <v>Super Rubro</v>
      </c>
      <c r="AG2868" t="str">
        <f t="shared" si="1851"/>
        <v>ComercioExterior</v>
      </c>
      <c r="AH2868" t="str">
        <f t="shared" si="1852"/>
        <v>PrecioFOB</v>
      </c>
      <c r="AI2868" t="str">
        <f t="shared" si="1853"/>
        <v>Monto II</v>
      </c>
      <c r="AJ2868" t="str">
        <f t="shared" si="1854"/>
        <v>Porcentaje II</v>
      </c>
      <c r="AK2868" t="str">
        <f t="shared" si="1855"/>
        <v>Foto</v>
      </c>
      <c r="AL286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8" t="str">
        <f t="shared" si="1868"/>
        <v>-</v>
      </c>
    </row>
    <row r="2869" spans="1:39" x14ac:dyDescent="0.25">
      <c r="A2869" t="str">
        <f>"FI30080"</f>
        <v>FI30080</v>
      </c>
      <c r="B2869" t="str">
        <f>"SENSOR RPM FIAT DOBLO 1.3 JTD 16V / PUNTO 1.3 D MULTIJET - ALFA - FORD GALAXY - GM / CORSA "</f>
        <v xml:space="preserve">SENSOR RPM FIAT DOBLO 1.3 JTD 16V / PUNTO 1.3 D MULTIJET - ALFA - FORD GALAXY - GM / CORSA </v>
      </c>
      <c r="C2869" t="str">
        <f>"$ 19224,15"</f>
        <v>$ 19224,15</v>
      </c>
      <c r="D2869" t="str">
        <f>"$ 19224,15"</f>
        <v>$ 19224,15</v>
      </c>
      <c r="E2869" t="str">
        <f>"$ 19224,15"</f>
        <v>$ 19224,15</v>
      </c>
      <c r="F2869" t="str">
        <f>"$ 19224,15"</f>
        <v>$ 19224,15</v>
      </c>
      <c r="G2869" t="str">
        <f>"$ 19224,15"</f>
        <v>$ 19224,15</v>
      </c>
      <c r="H2869" t="str">
        <f t="shared" si="1837"/>
        <v>$ 0,00</v>
      </c>
      <c r="I2869" t="str">
        <f t="shared" si="1865"/>
        <v>SENSOR RPM</v>
      </c>
      <c r="J2869" t="str">
        <f t="shared" si="1839"/>
        <v>1</v>
      </c>
      <c r="K2869" t="str">
        <f t="shared" si="1869"/>
        <v>1</v>
      </c>
      <c r="L2869" t="str">
        <f>"0,000"</f>
        <v>0,000</v>
      </c>
      <c r="M2869" t="str">
        <f t="shared" si="1840"/>
        <v xml:space="preserve"> </v>
      </c>
      <c r="N2869" t="str">
        <f t="shared" si="1867"/>
        <v>FISPA</v>
      </c>
      <c r="O2869" t="str">
        <f t="shared" si="1864"/>
        <v>SENSORES</v>
      </c>
      <c r="P2869" t="str">
        <f t="shared" si="1870"/>
        <v>0</v>
      </c>
      <c r="Q2869" t="str">
        <f t="shared" si="1870"/>
        <v>0</v>
      </c>
      <c r="R2869" t="str">
        <f t="shared" si="1871"/>
        <v>0,00</v>
      </c>
      <c r="S2869" t="str">
        <f t="shared" si="1871"/>
        <v>0,00</v>
      </c>
      <c r="T2869" t="str">
        <f t="shared" si="1832"/>
        <v xml:space="preserve"> </v>
      </c>
      <c r="U2869" t="str">
        <f t="shared" si="1836"/>
        <v xml:space="preserve"> </v>
      </c>
      <c r="V2869" t="str">
        <f>"0,000"</f>
        <v>0,000</v>
      </c>
      <c r="W2869" t="str">
        <f t="shared" si="1841"/>
        <v>Lista 4</v>
      </c>
      <c r="X2869" t="str">
        <f t="shared" si="1842"/>
        <v>Lista 5</v>
      </c>
      <c r="Y2869" t="str">
        <f t="shared" si="1843"/>
        <v>Oferta Gral.</v>
      </c>
      <c r="Z2869" t="str">
        <f t="shared" si="1844"/>
        <v>Rubro</v>
      </c>
      <c r="AA2869" t="str">
        <f t="shared" si="1845"/>
        <v>Cantidad por Bulto</v>
      </c>
      <c r="AB2869" t="str">
        <f t="shared" si="1846"/>
        <v>INNER</v>
      </c>
      <c r="AC2869" t="str">
        <f t="shared" si="1847"/>
        <v>Stock en Bultos</v>
      </c>
      <c r="AD2869" t="str">
        <f t="shared" si="1848"/>
        <v>SubDepósito</v>
      </c>
      <c r="AE2869" t="str">
        <f t="shared" si="1849"/>
        <v>Marca</v>
      </c>
      <c r="AF2869" t="str">
        <f t="shared" si="1850"/>
        <v>Super Rubro</v>
      </c>
      <c r="AG2869" t="str">
        <f t="shared" si="1851"/>
        <v>ComercioExterior</v>
      </c>
      <c r="AH2869" t="str">
        <f t="shared" si="1852"/>
        <v>PrecioFOB</v>
      </c>
      <c r="AI2869" t="str">
        <f t="shared" si="1853"/>
        <v>Monto II</v>
      </c>
      <c r="AJ2869" t="str">
        <f t="shared" si="1854"/>
        <v>Porcentaje II</v>
      </c>
      <c r="AK2869" t="str">
        <f t="shared" si="1855"/>
        <v>Foto</v>
      </c>
      <c r="AL286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9" t="str">
        <f t="shared" si="1868"/>
        <v>-</v>
      </c>
    </row>
    <row r="2870" spans="1:39" x14ac:dyDescent="0.25">
      <c r="A2870" t="str">
        <f>"FI30034"</f>
        <v>FI30034</v>
      </c>
      <c r="B2870" t="str">
        <f>"SENSOR RPM FIAT DOBLO 1.6 MPI 16V 02/03 PALIO/SIENA 1.6 16V MPI 96/03"</f>
        <v>SENSOR RPM FIAT DOBLO 1.6 MPI 16V 02/03 PALIO/SIENA 1.6 16V MPI 96/03</v>
      </c>
      <c r="C2870" t="str">
        <f>"$ 48064,03"</f>
        <v>$ 48064,03</v>
      </c>
      <c r="D2870" t="str">
        <f>"$ 48064,03"</f>
        <v>$ 48064,03</v>
      </c>
      <c r="E2870" t="str">
        <f>"$ 48064,03"</f>
        <v>$ 48064,03</v>
      </c>
      <c r="F2870" t="str">
        <f>"$ 48064,03"</f>
        <v>$ 48064,03</v>
      </c>
      <c r="G2870" t="str">
        <f>"$ 48064,03"</f>
        <v>$ 48064,03</v>
      </c>
      <c r="H2870" t="str">
        <f t="shared" si="1837"/>
        <v>$ 0,00</v>
      </c>
      <c r="I2870" t="str">
        <f t="shared" si="1865"/>
        <v>SENSOR RPM</v>
      </c>
      <c r="J2870" t="str">
        <f t="shared" si="1839"/>
        <v>1</v>
      </c>
      <c r="K2870" t="str">
        <f t="shared" si="1869"/>
        <v>1</v>
      </c>
      <c r="L2870" t="str">
        <f>"0,000"</f>
        <v>0,000</v>
      </c>
      <c r="M2870" t="str">
        <f t="shared" si="1840"/>
        <v xml:space="preserve"> </v>
      </c>
      <c r="N2870" t="str">
        <f t="shared" si="1867"/>
        <v>FISPA</v>
      </c>
      <c r="O2870" t="str">
        <f t="shared" si="1864"/>
        <v>SENSORES</v>
      </c>
      <c r="P2870" t="str">
        <f t="shared" si="1870"/>
        <v>0</v>
      </c>
      <c r="Q2870" t="str">
        <f t="shared" si="1870"/>
        <v>0</v>
      </c>
      <c r="R2870" t="str">
        <f t="shared" si="1871"/>
        <v>0,00</v>
      </c>
      <c r="S2870" t="str">
        <f t="shared" si="1871"/>
        <v>0,00</v>
      </c>
      <c r="T2870" t="str">
        <f t="shared" si="1832"/>
        <v xml:space="preserve"> </v>
      </c>
      <c r="U2870" t="str">
        <f t="shared" si="1836"/>
        <v xml:space="preserve"> </v>
      </c>
      <c r="V2870" t="str">
        <f>"0,000"</f>
        <v>0,000</v>
      </c>
      <c r="W2870" t="str">
        <f t="shared" si="1841"/>
        <v>Lista 4</v>
      </c>
      <c r="X2870" t="str">
        <f t="shared" si="1842"/>
        <v>Lista 5</v>
      </c>
      <c r="Y2870" t="str">
        <f t="shared" si="1843"/>
        <v>Oferta Gral.</v>
      </c>
      <c r="Z2870" t="str">
        <f t="shared" si="1844"/>
        <v>Rubro</v>
      </c>
      <c r="AA2870" t="str">
        <f t="shared" si="1845"/>
        <v>Cantidad por Bulto</v>
      </c>
      <c r="AB2870" t="str">
        <f t="shared" si="1846"/>
        <v>INNER</v>
      </c>
      <c r="AC2870" t="str">
        <f t="shared" si="1847"/>
        <v>Stock en Bultos</v>
      </c>
      <c r="AD2870" t="str">
        <f t="shared" si="1848"/>
        <v>SubDepósito</v>
      </c>
      <c r="AE2870" t="str">
        <f t="shared" si="1849"/>
        <v>Marca</v>
      </c>
      <c r="AF2870" t="str">
        <f t="shared" si="1850"/>
        <v>Super Rubro</v>
      </c>
      <c r="AG2870" t="str">
        <f t="shared" si="1851"/>
        <v>ComercioExterior</v>
      </c>
      <c r="AH2870" t="str">
        <f t="shared" si="1852"/>
        <v>PrecioFOB</v>
      </c>
      <c r="AI2870" t="str">
        <f t="shared" si="1853"/>
        <v>Monto II</v>
      </c>
      <c r="AJ2870" t="str">
        <f t="shared" si="1854"/>
        <v>Porcentaje II</v>
      </c>
      <c r="AK2870" t="str">
        <f t="shared" si="1855"/>
        <v>Foto</v>
      </c>
      <c r="AL287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70" t="str">
        <f t="shared" si="1868"/>
        <v>-</v>
      </c>
    </row>
    <row r="2871" spans="1:39" x14ac:dyDescent="0.25">
      <c r="A2871" t="str">
        <f>"FI30031"</f>
        <v>FI30031</v>
      </c>
      <c r="B2871" t="str">
        <f>"SENSOR RPM FIAT FIORINO  1.3 MPI8V FIRE 00/.PALIO/SIENA 1.0, 1.3 MPI 8V FIRE FLEX 02/"</f>
        <v>SENSOR RPM FIAT FIORINO  1.3 MPI8V FIRE 00/.PALIO/SIENA 1.0, 1.3 MPI 8V FIRE FLEX 02/</v>
      </c>
      <c r="C2871" t="str">
        <f>"$ 16918,47"</f>
        <v>$ 16918,47</v>
      </c>
      <c r="D2871" t="str">
        <f>"$ 16918,47"</f>
        <v>$ 16918,47</v>
      </c>
      <c r="E2871" t="str">
        <f>"$ 16918,47"</f>
        <v>$ 16918,47</v>
      </c>
      <c r="F2871" t="str">
        <f>"$ 16918,47"</f>
        <v>$ 16918,47</v>
      </c>
      <c r="G2871" t="str">
        <f>"$ 16918,47"</f>
        <v>$ 16918,47</v>
      </c>
      <c r="H2871" t="str">
        <f t="shared" si="1837"/>
        <v>$ 0,00</v>
      </c>
      <c r="I2871" t="str">
        <f t="shared" si="1865"/>
        <v>SENSOR RPM</v>
      </c>
      <c r="J2871" t="str">
        <f t="shared" si="1839"/>
        <v>1</v>
      </c>
      <c r="K2871" t="str">
        <f>"0"</f>
        <v>0</v>
      </c>
      <c r="L2871" t="str">
        <f>"4,000"</f>
        <v>4,000</v>
      </c>
      <c r="M2871" t="str">
        <f t="shared" si="1840"/>
        <v xml:space="preserve"> </v>
      </c>
      <c r="N2871" t="str">
        <f t="shared" si="1867"/>
        <v>FISPA</v>
      </c>
      <c r="O2871" t="str">
        <f t="shared" si="1864"/>
        <v>SENSORES</v>
      </c>
      <c r="P2871" t="str">
        <f t="shared" si="1870"/>
        <v>0</v>
      </c>
      <c r="Q2871" t="str">
        <f t="shared" si="1870"/>
        <v>0</v>
      </c>
      <c r="R2871" t="str">
        <f t="shared" si="1871"/>
        <v>0,00</v>
      </c>
      <c r="S2871" t="str">
        <f t="shared" si="1871"/>
        <v>0,00</v>
      </c>
      <c r="T2871" t="str">
        <f t="shared" si="1832"/>
        <v xml:space="preserve"> </v>
      </c>
      <c r="U2871" t="str">
        <f t="shared" si="1836"/>
        <v xml:space="preserve"> </v>
      </c>
      <c r="V2871" t="str">
        <f>"4,000"</f>
        <v>4,000</v>
      </c>
      <c r="W2871" t="str">
        <f t="shared" si="1841"/>
        <v>Lista 4</v>
      </c>
      <c r="X2871" t="str">
        <f t="shared" si="1842"/>
        <v>Lista 5</v>
      </c>
      <c r="Y2871" t="str">
        <f t="shared" si="1843"/>
        <v>Oferta Gral.</v>
      </c>
      <c r="Z2871" t="str">
        <f t="shared" si="1844"/>
        <v>Rubro</v>
      </c>
      <c r="AA2871" t="str">
        <f t="shared" si="1845"/>
        <v>Cantidad por Bulto</v>
      </c>
      <c r="AB2871" t="str">
        <f t="shared" si="1846"/>
        <v>INNER</v>
      </c>
      <c r="AC2871" t="str">
        <f t="shared" si="1847"/>
        <v>Stock en Bultos</v>
      </c>
      <c r="AD2871" t="str">
        <f t="shared" si="1848"/>
        <v>SubDepósito</v>
      </c>
      <c r="AE2871" t="str">
        <f t="shared" si="1849"/>
        <v>Marca</v>
      </c>
      <c r="AF2871" t="str">
        <f t="shared" si="1850"/>
        <v>Super Rubro</v>
      </c>
      <c r="AG2871" t="str">
        <f t="shared" si="1851"/>
        <v>ComercioExterior</v>
      </c>
      <c r="AH2871" t="str">
        <f t="shared" si="1852"/>
        <v>PrecioFOB</v>
      </c>
      <c r="AI2871" t="str">
        <f t="shared" si="1853"/>
        <v>Monto II</v>
      </c>
      <c r="AJ2871" t="str">
        <f t="shared" si="1854"/>
        <v>Porcentaje II</v>
      </c>
      <c r="AK2871" t="str">
        <f t="shared" si="1855"/>
        <v>Foto</v>
      </c>
      <c r="AL287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71" t="str">
        <f t="shared" si="1868"/>
        <v>-</v>
      </c>
    </row>
    <row r="2872" spans="1:39" x14ac:dyDescent="0.25">
      <c r="A2872" t="str">
        <f>"FI30062"</f>
        <v>FI30062</v>
      </c>
      <c r="B2872" t="str">
        <f>"SENSOR RPM FIAT FIORINO FURGON 70 I.E. 1.4 / 75 I.E. 1.6 - TIPO 1.6 I.E. - UNO 70 I.E. 1.4 / 70 S 1.4"</f>
        <v>SENSOR RPM FIAT FIORINO FURGON 70 I.E. 1.4 / 75 I.E. 1.6 - TIPO 1.6 I.E. - UNO 70 I.E. 1.4 / 70 S 1.4</v>
      </c>
      <c r="C2872" t="str">
        <f>"$ 18203,74"</f>
        <v>$ 18203,74</v>
      </c>
      <c r="D2872" t="str">
        <f>"$ 18203,74"</f>
        <v>$ 18203,74</v>
      </c>
      <c r="E2872" t="str">
        <f>"$ 18203,74"</f>
        <v>$ 18203,74</v>
      </c>
      <c r="F2872" t="str">
        <f>"$ 18203,74"</f>
        <v>$ 18203,74</v>
      </c>
      <c r="G2872" t="str">
        <f>"$ 18203,74"</f>
        <v>$ 18203,74</v>
      </c>
      <c r="H2872" t="str">
        <f t="shared" si="1837"/>
        <v>$ 0,00</v>
      </c>
      <c r="I2872" t="str">
        <f t="shared" si="1865"/>
        <v>SENSOR RPM</v>
      </c>
      <c r="J2872" t="str">
        <f t="shared" si="1839"/>
        <v>1</v>
      </c>
      <c r="K2872" t="str">
        <f>"1"</f>
        <v>1</v>
      </c>
      <c r="L2872" t="str">
        <f>"0,000"</f>
        <v>0,000</v>
      </c>
      <c r="M2872" t="str">
        <f t="shared" si="1840"/>
        <v xml:space="preserve"> </v>
      </c>
      <c r="N2872" t="str">
        <f t="shared" si="1867"/>
        <v>FISPA</v>
      </c>
      <c r="O2872" t="str">
        <f t="shared" si="1864"/>
        <v>SENSORES</v>
      </c>
      <c r="P2872" t="str">
        <f t="shared" si="1870"/>
        <v>0</v>
      </c>
      <c r="Q2872" t="str">
        <f t="shared" si="1870"/>
        <v>0</v>
      </c>
      <c r="R2872" t="str">
        <f t="shared" si="1871"/>
        <v>0,00</v>
      </c>
      <c r="S2872" t="str">
        <f t="shared" si="1871"/>
        <v>0,00</v>
      </c>
      <c r="T2872" t="str">
        <f t="shared" si="1832"/>
        <v xml:space="preserve"> </v>
      </c>
      <c r="U2872" t="str">
        <f t="shared" si="1836"/>
        <v xml:space="preserve"> </v>
      </c>
      <c r="V2872" t="str">
        <f>"0,000"</f>
        <v>0,000</v>
      </c>
      <c r="W2872" t="str">
        <f t="shared" si="1841"/>
        <v>Lista 4</v>
      </c>
      <c r="X2872" t="str">
        <f t="shared" si="1842"/>
        <v>Lista 5</v>
      </c>
      <c r="Y2872" t="str">
        <f t="shared" si="1843"/>
        <v>Oferta Gral.</v>
      </c>
      <c r="Z2872" t="str">
        <f t="shared" si="1844"/>
        <v>Rubro</v>
      </c>
      <c r="AA2872" t="str">
        <f t="shared" si="1845"/>
        <v>Cantidad por Bulto</v>
      </c>
      <c r="AB2872" t="str">
        <f t="shared" si="1846"/>
        <v>INNER</v>
      </c>
      <c r="AC2872" t="str">
        <f t="shared" si="1847"/>
        <v>Stock en Bultos</v>
      </c>
      <c r="AD2872" t="str">
        <f t="shared" si="1848"/>
        <v>SubDepósito</v>
      </c>
      <c r="AE2872" t="str">
        <f t="shared" si="1849"/>
        <v>Marca</v>
      </c>
      <c r="AF2872" t="str">
        <f t="shared" si="1850"/>
        <v>Super Rubro</v>
      </c>
      <c r="AG2872" t="str">
        <f t="shared" si="1851"/>
        <v>ComercioExterior</v>
      </c>
      <c r="AH2872" t="str">
        <f t="shared" si="1852"/>
        <v>PrecioFOB</v>
      </c>
      <c r="AI2872" t="str">
        <f t="shared" si="1853"/>
        <v>Monto II</v>
      </c>
      <c r="AJ2872" t="str">
        <f t="shared" si="1854"/>
        <v>Porcentaje II</v>
      </c>
      <c r="AK2872" t="str">
        <f t="shared" si="1855"/>
        <v>Foto</v>
      </c>
      <c r="AL2872" t="str">
        <f>" "</f>
        <v xml:space="preserve"> </v>
      </c>
      <c r="AM2872" t="str">
        <f t="shared" si="1868"/>
        <v>-</v>
      </c>
    </row>
    <row r="2873" spans="1:39" x14ac:dyDescent="0.25">
      <c r="A2873" t="str">
        <f>"FI30140"</f>
        <v>FI30140</v>
      </c>
      <c r="B2873" t="str">
        <f>"SENSOR RPM FIAT PALIO - SIENA - STILO - 1.8 - CHEVROLET CORSA, MERIVA &amp; MONTANA 1.8"</f>
        <v>SENSOR RPM FIAT PALIO - SIENA - STILO - 1.8 - CHEVROLET CORSA, MERIVA &amp; MONTANA 1.8</v>
      </c>
      <c r="C2873" t="str">
        <f>"$ 21487,11"</f>
        <v>$ 21487,11</v>
      </c>
      <c r="D2873" t="str">
        <f>"$ 21487,11"</f>
        <v>$ 21487,11</v>
      </c>
      <c r="E2873" t="str">
        <f>"$ 21487,11"</f>
        <v>$ 21487,11</v>
      </c>
      <c r="F2873" t="str">
        <f>"$ 21487,11"</f>
        <v>$ 21487,11</v>
      </c>
      <c r="G2873" t="str">
        <f>"$ 21487,11"</f>
        <v>$ 21487,11</v>
      </c>
      <c r="H2873" t="str">
        <f t="shared" si="1837"/>
        <v>$ 0,00</v>
      </c>
      <c r="I2873" t="str">
        <f t="shared" si="1865"/>
        <v>SENSOR RPM</v>
      </c>
      <c r="J2873" t="str">
        <f t="shared" si="1839"/>
        <v>1</v>
      </c>
      <c r="K2873" t="str">
        <f>"1"</f>
        <v>1</v>
      </c>
      <c r="L2873" t="str">
        <f>"0,000"</f>
        <v>0,000</v>
      </c>
      <c r="M2873" t="str">
        <f t="shared" si="1840"/>
        <v xml:space="preserve"> </v>
      </c>
      <c r="N2873" t="str">
        <f t="shared" si="1867"/>
        <v>FISPA</v>
      </c>
      <c r="O2873" t="str">
        <f t="shared" si="1864"/>
        <v>SENSORES</v>
      </c>
      <c r="P2873" t="str">
        <f t="shared" si="1870"/>
        <v>0</v>
      </c>
      <c r="Q2873" t="str">
        <f t="shared" si="1870"/>
        <v>0</v>
      </c>
      <c r="R2873" t="str">
        <f t="shared" si="1871"/>
        <v>0,00</v>
      </c>
      <c r="S2873" t="str">
        <f t="shared" si="1871"/>
        <v>0,00</v>
      </c>
      <c r="T2873" t="str">
        <f t="shared" si="1832"/>
        <v xml:space="preserve"> </v>
      </c>
      <c r="U2873" t="str">
        <f t="shared" si="1836"/>
        <v xml:space="preserve"> </v>
      </c>
      <c r="V2873" t="str">
        <f>"0,000"</f>
        <v>0,000</v>
      </c>
      <c r="W2873" t="str">
        <f t="shared" si="1841"/>
        <v>Lista 4</v>
      </c>
      <c r="X2873" t="str">
        <f t="shared" si="1842"/>
        <v>Lista 5</v>
      </c>
      <c r="Y2873" t="str">
        <f t="shared" si="1843"/>
        <v>Oferta Gral.</v>
      </c>
      <c r="Z2873" t="str">
        <f t="shared" si="1844"/>
        <v>Rubro</v>
      </c>
      <c r="AA2873" t="str">
        <f t="shared" si="1845"/>
        <v>Cantidad por Bulto</v>
      </c>
      <c r="AB2873" t="str">
        <f t="shared" si="1846"/>
        <v>INNER</v>
      </c>
      <c r="AC2873" t="str">
        <f t="shared" si="1847"/>
        <v>Stock en Bultos</v>
      </c>
      <c r="AD2873" t="str">
        <f t="shared" si="1848"/>
        <v>SubDepósito</v>
      </c>
      <c r="AE2873" t="str">
        <f t="shared" si="1849"/>
        <v>Marca</v>
      </c>
      <c r="AF2873" t="str">
        <f t="shared" si="1850"/>
        <v>Super Rubro</v>
      </c>
      <c r="AG2873" t="str">
        <f t="shared" si="1851"/>
        <v>ComercioExterior</v>
      </c>
      <c r="AH2873" t="str">
        <f t="shared" si="1852"/>
        <v>PrecioFOB</v>
      </c>
      <c r="AI2873" t="str">
        <f t="shared" si="1853"/>
        <v>Monto II</v>
      </c>
      <c r="AJ2873" t="str">
        <f t="shared" si="1854"/>
        <v>Porcentaje II</v>
      </c>
      <c r="AK2873" t="str">
        <f t="shared" si="1855"/>
        <v>Foto</v>
      </c>
      <c r="AL287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73" t="str">
        <f t="shared" si="1868"/>
        <v>-</v>
      </c>
    </row>
    <row r="2874" spans="1:39" x14ac:dyDescent="0.25">
      <c r="A2874" t="str">
        <f>"FI30005"</f>
        <v>FI30005</v>
      </c>
      <c r="B2874" t="str">
        <f>"SENSOR RPM FIAT PALIO - SIENA - STRADA"</f>
        <v>SENSOR RPM FIAT PALIO - SIENA - STRADA</v>
      </c>
      <c r="C2874" t="str">
        <f>"$ 60531,05"</f>
        <v>$ 60531,05</v>
      </c>
      <c r="D2874" t="str">
        <f>"$ 60531,05"</f>
        <v>$ 60531,05</v>
      </c>
      <c r="E2874" t="str">
        <f>"$ 60531,05"</f>
        <v>$ 60531,05</v>
      </c>
      <c r="F2874" t="str">
        <f>"$ 60531,05"</f>
        <v>$ 60531,05</v>
      </c>
      <c r="G2874" t="str">
        <f>"$ 60531,05"</f>
        <v>$ 60531,05</v>
      </c>
      <c r="H2874" t="str">
        <f t="shared" si="1837"/>
        <v>$ 0,00</v>
      </c>
      <c r="I2874" t="str">
        <f t="shared" si="1865"/>
        <v>SENSOR RPM</v>
      </c>
      <c r="J2874" t="str">
        <f t="shared" si="1839"/>
        <v>1</v>
      </c>
      <c r="K2874" t="str">
        <f>"0"</f>
        <v>0</v>
      </c>
      <c r="L2874" t="str">
        <f>"3,000"</f>
        <v>3,000</v>
      </c>
      <c r="M2874" t="str">
        <f t="shared" si="1840"/>
        <v xml:space="preserve"> </v>
      </c>
      <c r="N2874" t="str">
        <f t="shared" si="1867"/>
        <v>FISPA</v>
      </c>
      <c r="O2874" t="str">
        <f t="shared" si="1864"/>
        <v>SENSORES</v>
      </c>
      <c r="P2874" t="str">
        <f t="shared" si="1870"/>
        <v>0</v>
      </c>
      <c r="Q2874" t="str">
        <f t="shared" si="1870"/>
        <v>0</v>
      </c>
      <c r="R2874" t="str">
        <f t="shared" si="1871"/>
        <v>0,00</v>
      </c>
      <c r="S2874" t="str">
        <f t="shared" si="1871"/>
        <v>0,00</v>
      </c>
      <c r="T2874" t="str">
        <f t="shared" si="1832"/>
        <v xml:space="preserve"> </v>
      </c>
      <c r="U2874" t="str">
        <f t="shared" si="1836"/>
        <v xml:space="preserve"> </v>
      </c>
      <c r="V2874" t="str">
        <f>"3,000"</f>
        <v>3,000</v>
      </c>
      <c r="W2874" t="str">
        <f t="shared" si="1841"/>
        <v>Lista 4</v>
      </c>
      <c r="X2874" t="str">
        <f t="shared" si="1842"/>
        <v>Lista 5</v>
      </c>
      <c r="Y2874" t="str">
        <f t="shared" si="1843"/>
        <v>Oferta Gral.</v>
      </c>
      <c r="Z2874" t="str">
        <f t="shared" si="1844"/>
        <v>Rubro</v>
      </c>
      <c r="AA2874" t="str">
        <f t="shared" si="1845"/>
        <v>Cantidad por Bulto</v>
      </c>
      <c r="AB2874" t="str">
        <f t="shared" si="1846"/>
        <v>INNER</v>
      </c>
      <c r="AC2874" t="str">
        <f t="shared" si="1847"/>
        <v>Stock en Bultos</v>
      </c>
      <c r="AD2874" t="str">
        <f t="shared" si="1848"/>
        <v>SubDepósito</v>
      </c>
      <c r="AE2874" t="str">
        <f t="shared" si="1849"/>
        <v>Marca</v>
      </c>
      <c r="AF2874" t="str">
        <f t="shared" si="1850"/>
        <v>Super Rubro</v>
      </c>
      <c r="AG2874" t="str">
        <f t="shared" si="1851"/>
        <v>ComercioExterior</v>
      </c>
      <c r="AH2874" t="str">
        <f t="shared" si="1852"/>
        <v>PrecioFOB</v>
      </c>
      <c r="AI2874" t="str">
        <f t="shared" si="1853"/>
        <v>Monto II</v>
      </c>
      <c r="AJ2874" t="str">
        <f t="shared" si="1854"/>
        <v>Porcentaje II</v>
      </c>
      <c r="AK2874" t="str">
        <f t="shared" si="1855"/>
        <v>Foto</v>
      </c>
      <c r="AL2874" t="str">
        <f>"{\rtf1\ansi\ansicpg1252\deff0\deflang11274{\fonttbl{\f0\fnil\fcharset0 MS Sans Serif}} \viewkind4\uc1\pard\f0\fs16 SENSOR RPM FIAT PALIO - SIENA - STRADA\par } "</f>
        <v xml:space="preserve">{\rtf1\ansi\ansicpg1252\deff0\deflang11274{\fonttbl{\f0\fnil\fcharset0 MS Sans Serif}} \viewkind4\uc1\pard\f0\fs16 SENSOR RPM FIAT PALIO - SIENA - STRADA\par } </v>
      </c>
      <c r="AM2874" t="str">
        <f t="shared" si="1868"/>
        <v>-</v>
      </c>
    </row>
    <row r="2875" spans="1:39" x14ac:dyDescent="0.25">
      <c r="A2875" t="str">
        <f>"FI30008"</f>
        <v>FI30008</v>
      </c>
      <c r="B2875" t="str">
        <f>"SENSOR RPM FIAT PALIO - SIENA - STRADA -BRAVO - STILO -MOTORES: 1,6 / 1,6 I 16V"</f>
        <v>SENSOR RPM FIAT PALIO - SIENA - STRADA -BRAVO - STILO -MOTORES: 1,6 / 1,6 I 16V</v>
      </c>
      <c r="C2875" t="str">
        <f>"$ 14401,63"</f>
        <v>$ 14401,63</v>
      </c>
      <c r="D2875" t="str">
        <f>"$ 14401,63"</f>
        <v>$ 14401,63</v>
      </c>
      <c r="E2875" t="str">
        <f>"$ 14401,63"</f>
        <v>$ 14401,63</v>
      </c>
      <c r="F2875" t="str">
        <f>"$ 14401,63"</f>
        <v>$ 14401,63</v>
      </c>
      <c r="G2875" t="str">
        <f>"$ 14401,63"</f>
        <v>$ 14401,63</v>
      </c>
      <c r="H2875" t="str">
        <f t="shared" si="1837"/>
        <v>$ 0,00</v>
      </c>
      <c r="I2875" t="str">
        <f t="shared" si="1865"/>
        <v>SENSOR RPM</v>
      </c>
      <c r="J2875" t="str">
        <f t="shared" si="1839"/>
        <v>1</v>
      </c>
      <c r="K2875" t="str">
        <f>"0"</f>
        <v>0</v>
      </c>
      <c r="L2875" t="str">
        <f>"4,000"</f>
        <v>4,000</v>
      </c>
      <c r="M2875" t="str">
        <f t="shared" si="1840"/>
        <v xml:space="preserve"> </v>
      </c>
      <c r="N2875" t="str">
        <f t="shared" si="1867"/>
        <v>FISPA</v>
      </c>
      <c r="O2875" t="str">
        <f t="shared" si="1864"/>
        <v>SENSORES</v>
      </c>
      <c r="P2875" t="str">
        <f t="shared" si="1870"/>
        <v>0</v>
      </c>
      <c r="Q2875" t="str">
        <f t="shared" si="1870"/>
        <v>0</v>
      </c>
      <c r="R2875" t="str">
        <f t="shared" si="1871"/>
        <v>0,00</v>
      </c>
      <c r="S2875" t="str">
        <f t="shared" si="1871"/>
        <v>0,00</v>
      </c>
      <c r="T2875" t="str">
        <f t="shared" si="1832"/>
        <v xml:space="preserve"> </v>
      </c>
      <c r="U2875" t="str">
        <f t="shared" si="1836"/>
        <v xml:space="preserve"> </v>
      </c>
      <c r="V2875" t="str">
        <f>"4,000"</f>
        <v>4,000</v>
      </c>
      <c r="W2875" t="str">
        <f t="shared" si="1841"/>
        <v>Lista 4</v>
      </c>
      <c r="X2875" t="str">
        <f t="shared" si="1842"/>
        <v>Lista 5</v>
      </c>
      <c r="Y2875" t="str">
        <f t="shared" si="1843"/>
        <v>Oferta Gral.</v>
      </c>
      <c r="Z2875" t="str">
        <f t="shared" si="1844"/>
        <v>Rubro</v>
      </c>
      <c r="AA2875" t="str">
        <f t="shared" si="1845"/>
        <v>Cantidad por Bulto</v>
      </c>
      <c r="AB2875" t="str">
        <f t="shared" si="1846"/>
        <v>INNER</v>
      </c>
      <c r="AC2875" t="str">
        <f t="shared" si="1847"/>
        <v>Stock en Bultos</v>
      </c>
      <c r="AD2875" t="str">
        <f t="shared" si="1848"/>
        <v>SubDepósito</v>
      </c>
      <c r="AE2875" t="str">
        <f t="shared" si="1849"/>
        <v>Marca</v>
      </c>
      <c r="AF2875" t="str">
        <f t="shared" si="1850"/>
        <v>Super Rubro</v>
      </c>
      <c r="AG2875" t="str">
        <f t="shared" si="1851"/>
        <v>ComercioExterior</v>
      </c>
      <c r="AH2875" t="str">
        <f t="shared" si="1852"/>
        <v>PrecioFOB</v>
      </c>
      <c r="AI2875" t="str">
        <f t="shared" si="1853"/>
        <v>Monto II</v>
      </c>
      <c r="AJ2875" t="str">
        <f t="shared" si="1854"/>
        <v>Porcentaje II</v>
      </c>
      <c r="AK2875" t="str">
        <f t="shared" si="1855"/>
        <v>Foto</v>
      </c>
      <c r="AL287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75" t="str">
        <f t="shared" si="1868"/>
        <v>-</v>
      </c>
    </row>
    <row r="2876" spans="1:39" x14ac:dyDescent="0.25">
      <c r="A2876" t="str">
        <f>"FI30009"</f>
        <v>FI30009</v>
      </c>
      <c r="B2876" t="str">
        <f>"SENSOR RPM FIAT PALIO 1,0I 16V - 1,3I 16V - SIENA 1,3I 16V - PUNTO 1300 CC (1300) - STILO 1300 CC (1300)"</f>
        <v>SENSOR RPM FIAT PALIO 1,0I 16V - 1,3I 16V - SIENA 1,3I 16V - PUNTO 1300 CC (1300) - STILO 1300 CC (1300)</v>
      </c>
      <c r="C2876" t="str">
        <f>"$ 17295,63"</f>
        <v>$ 17295,63</v>
      </c>
      <c r="D2876" t="str">
        <f>"$ 17295,63"</f>
        <v>$ 17295,63</v>
      </c>
      <c r="E2876" t="str">
        <f>"$ 17295,63"</f>
        <v>$ 17295,63</v>
      </c>
      <c r="F2876" t="str">
        <f>"$ 17295,63"</f>
        <v>$ 17295,63</v>
      </c>
      <c r="G2876" t="str">
        <f>"$ 17295,63"</f>
        <v>$ 17295,63</v>
      </c>
      <c r="H2876" t="str">
        <f t="shared" si="1837"/>
        <v>$ 0,00</v>
      </c>
      <c r="I2876" t="str">
        <f t="shared" si="1865"/>
        <v>SENSOR RPM</v>
      </c>
      <c r="J2876" t="str">
        <f t="shared" si="1839"/>
        <v>1</v>
      </c>
      <c r="K2876" t="str">
        <f>"0"</f>
        <v>0</v>
      </c>
      <c r="L2876" t="str">
        <f>"5,000"</f>
        <v>5,000</v>
      </c>
      <c r="M2876" t="str">
        <f t="shared" si="1840"/>
        <v xml:space="preserve"> </v>
      </c>
      <c r="N2876" t="str">
        <f t="shared" si="1867"/>
        <v>FISPA</v>
      </c>
      <c r="O2876" t="str">
        <f t="shared" si="1864"/>
        <v>SENSORES</v>
      </c>
      <c r="P2876" t="str">
        <f t="shared" si="1870"/>
        <v>0</v>
      </c>
      <c r="Q2876" t="str">
        <f t="shared" si="1870"/>
        <v>0</v>
      </c>
      <c r="R2876" t="str">
        <f t="shared" si="1871"/>
        <v>0,00</v>
      </c>
      <c r="S2876" t="str">
        <f t="shared" si="1871"/>
        <v>0,00</v>
      </c>
      <c r="T2876" t="str">
        <f t="shared" si="1832"/>
        <v xml:space="preserve"> </v>
      </c>
      <c r="U2876" t="str">
        <f t="shared" si="1836"/>
        <v xml:space="preserve"> </v>
      </c>
      <c r="V2876" t="str">
        <f>"5,000"</f>
        <v>5,000</v>
      </c>
      <c r="W2876" t="str">
        <f t="shared" si="1841"/>
        <v>Lista 4</v>
      </c>
      <c r="X2876" t="str">
        <f t="shared" si="1842"/>
        <v>Lista 5</v>
      </c>
      <c r="Y2876" t="str">
        <f t="shared" si="1843"/>
        <v>Oferta Gral.</v>
      </c>
      <c r="Z2876" t="str">
        <f t="shared" si="1844"/>
        <v>Rubro</v>
      </c>
      <c r="AA2876" t="str">
        <f t="shared" si="1845"/>
        <v>Cantidad por Bulto</v>
      </c>
      <c r="AB2876" t="str">
        <f t="shared" si="1846"/>
        <v>INNER</v>
      </c>
      <c r="AC2876" t="str">
        <f t="shared" si="1847"/>
        <v>Stock en Bultos</v>
      </c>
      <c r="AD2876" t="str">
        <f t="shared" si="1848"/>
        <v>SubDepósito</v>
      </c>
      <c r="AE2876" t="str">
        <f t="shared" si="1849"/>
        <v>Marca</v>
      </c>
      <c r="AF2876" t="str">
        <f t="shared" si="1850"/>
        <v>Super Rubro</v>
      </c>
      <c r="AG2876" t="str">
        <f t="shared" si="1851"/>
        <v>ComercioExterior</v>
      </c>
      <c r="AH2876" t="str">
        <f t="shared" si="1852"/>
        <v>PrecioFOB</v>
      </c>
      <c r="AI2876" t="str">
        <f t="shared" si="1853"/>
        <v>Monto II</v>
      </c>
      <c r="AJ2876" t="str">
        <f t="shared" si="1854"/>
        <v>Porcentaje II</v>
      </c>
      <c r="AK2876" t="str">
        <f t="shared" si="1855"/>
        <v>Foto</v>
      </c>
      <c r="AL287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76" t="str">
        <f t="shared" si="1868"/>
        <v>-</v>
      </c>
    </row>
    <row r="2877" spans="1:39" x14ac:dyDescent="0.25">
      <c r="A2877" t="str">
        <f>"FI30055"</f>
        <v>FI30055</v>
      </c>
      <c r="B2877" t="str">
        <f>"SENSOR RPM FIAT PALIO 1.4 / MPI - 1.4 / HDI  SIENA 1.4 / MPI  HYUNDAI H1 2.5 TD KIA SPORTAGE 2.0"</f>
        <v>SENSOR RPM FIAT PALIO 1.4 / MPI - 1.4 / HDI  SIENA 1.4 / MPI  HYUNDAI H1 2.5 TD KIA SPORTAGE 2.0</v>
      </c>
      <c r="C2877" t="str">
        <f>"$ 19005,67"</f>
        <v>$ 19005,67</v>
      </c>
      <c r="D2877" t="str">
        <f>"$ 19005,67"</f>
        <v>$ 19005,67</v>
      </c>
      <c r="E2877" t="str">
        <f>"$ 19005,67"</f>
        <v>$ 19005,67</v>
      </c>
      <c r="F2877" t="str">
        <f>"$ 19005,67"</f>
        <v>$ 19005,67</v>
      </c>
      <c r="G2877" t="str">
        <f>"$ 19005,67"</f>
        <v>$ 19005,67</v>
      </c>
      <c r="H2877" t="str">
        <f t="shared" si="1837"/>
        <v>$ 0,00</v>
      </c>
      <c r="I2877" t="str">
        <f t="shared" si="1865"/>
        <v>SENSOR RPM</v>
      </c>
      <c r="J2877" t="str">
        <f t="shared" si="1839"/>
        <v>1</v>
      </c>
      <c r="K2877" t="str">
        <f>"1"</f>
        <v>1</v>
      </c>
      <c r="L2877" t="str">
        <f>"0,000"</f>
        <v>0,000</v>
      </c>
      <c r="M2877" t="str">
        <f t="shared" si="1840"/>
        <v xml:space="preserve"> </v>
      </c>
      <c r="N2877" t="str">
        <f t="shared" si="1867"/>
        <v>FISPA</v>
      </c>
      <c r="O2877" t="str">
        <f t="shared" si="1864"/>
        <v>SENSORES</v>
      </c>
      <c r="P2877" t="str">
        <f t="shared" si="1870"/>
        <v>0</v>
      </c>
      <c r="Q2877" t="str">
        <f t="shared" si="1870"/>
        <v>0</v>
      </c>
      <c r="R2877" t="str">
        <f t="shared" si="1871"/>
        <v>0,00</v>
      </c>
      <c r="S2877" t="str">
        <f t="shared" si="1871"/>
        <v>0,00</v>
      </c>
      <c r="T2877" t="str">
        <f t="shared" si="1832"/>
        <v xml:space="preserve"> </v>
      </c>
      <c r="U2877" t="str">
        <f t="shared" si="1836"/>
        <v xml:space="preserve"> </v>
      </c>
      <c r="V2877" t="str">
        <f>"0,000"</f>
        <v>0,000</v>
      </c>
      <c r="W2877" t="str">
        <f t="shared" si="1841"/>
        <v>Lista 4</v>
      </c>
      <c r="X2877" t="str">
        <f t="shared" si="1842"/>
        <v>Lista 5</v>
      </c>
      <c r="Y2877" t="str">
        <f t="shared" si="1843"/>
        <v>Oferta Gral.</v>
      </c>
      <c r="Z2877" t="str">
        <f t="shared" si="1844"/>
        <v>Rubro</v>
      </c>
      <c r="AA2877" t="str">
        <f t="shared" si="1845"/>
        <v>Cantidad por Bulto</v>
      </c>
      <c r="AB2877" t="str">
        <f t="shared" si="1846"/>
        <v>INNER</v>
      </c>
      <c r="AC2877" t="str">
        <f t="shared" si="1847"/>
        <v>Stock en Bultos</v>
      </c>
      <c r="AD2877" t="str">
        <f t="shared" si="1848"/>
        <v>SubDepósito</v>
      </c>
      <c r="AE2877" t="str">
        <f t="shared" si="1849"/>
        <v>Marca</v>
      </c>
      <c r="AF2877" t="str">
        <f t="shared" si="1850"/>
        <v>Super Rubro</v>
      </c>
      <c r="AG2877" t="str">
        <f t="shared" si="1851"/>
        <v>ComercioExterior</v>
      </c>
      <c r="AH2877" t="str">
        <f t="shared" si="1852"/>
        <v>PrecioFOB</v>
      </c>
      <c r="AI2877" t="str">
        <f t="shared" si="1853"/>
        <v>Monto II</v>
      </c>
      <c r="AJ2877" t="str">
        <f t="shared" si="1854"/>
        <v>Porcentaje II</v>
      </c>
      <c r="AK2877" t="str">
        <f t="shared" si="1855"/>
        <v>Foto</v>
      </c>
      <c r="AL287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77" t="str">
        <f t="shared" si="1868"/>
        <v>-</v>
      </c>
    </row>
    <row r="2878" spans="1:39" x14ac:dyDescent="0.25">
      <c r="A2878" t="str">
        <f>"FI30032"</f>
        <v>FI30032</v>
      </c>
      <c r="B2878" t="str">
        <f>"SENSOR RPM FIAT TIPO 1.6 IE, S/AR 92/., 1.6 SPI 8V 93/95"</f>
        <v>SENSOR RPM FIAT TIPO 1.6 IE, S/AR 92/., 1.6 SPI 8V 93/95</v>
      </c>
      <c r="C2878" t="str">
        <f>"$ 27714,51"</f>
        <v>$ 27714,51</v>
      </c>
      <c r="D2878" t="str">
        <f>"$ 27714,51"</f>
        <v>$ 27714,51</v>
      </c>
      <c r="E2878" t="str">
        <f>"$ 27714,51"</f>
        <v>$ 27714,51</v>
      </c>
      <c r="F2878" t="str">
        <f>"$ 27714,51"</f>
        <v>$ 27714,51</v>
      </c>
      <c r="G2878" t="str">
        <f>"$ 27714,51"</f>
        <v>$ 27714,51</v>
      </c>
      <c r="H2878" t="str">
        <f t="shared" si="1837"/>
        <v>$ 0,00</v>
      </c>
      <c r="I2878" t="str">
        <f t="shared" si="1865"/>
        <v>SENSOR RPM</v>
      </c>
      <c r="J2878" t="str">
        <f t="shared" si="1839"/>
        <v>1</v>
      </c>
      <c r="K2878" t="str">
        <f>"0"</f>
        <v>0</v>
      </c>
      <c r="L2878" t="str">
        <f>"2,000"</f>
        <v>2,000</v>
      </c>
      <c r="M2878" t="str">
        <f t="shared" si="1840"/>
        <v xml:space="preserve"> </v>
      </c>
      <c r="N2878" t="str">
        <f t="shared" si="1867"/>
        <v>FISPA</v>
      </c>
      <c r="O2878" t="str">
        <f t="shared" si="1864"/>
        <v>SENSORES</v>
      </c>
      <c r="P2878" t="str">
        <f t="shared" si="1870"/>
        <v>0</v>
      </c>
      <c r="Q2878" t="str">
        <f t="shared" si="1870"/>
        <v>0</v>
      </c>
      <c r="R2878" t="str">
        <f t="shared" si="1871"/>
        <v>0,00</v>
      </c>
      <c r="S2878" t="str">
        <f t="shared" si="1871"/>
        <v>0,00</v>
      </c>
      <c r="T2878" t="str">
        <f t="shared" si="1832"/>
        <v xml:space="preserve"> </v>
      </c>
      <c r="U2878" t="str">
        <f t="shared" si="1836"/>
        <v xml:space="preserve"> </v>
      </c>
      <c r="V2878" t="str">
        <f>"2,000"</f>
        <v>2,000</v>
      </c>
      <c r="W2878" t="str">
        <f t="shared" si="1841"/>
        <v>Lista 4</v>
      </c>
      <c r="X2878" t="str">
        <f t="shared" si="1842"/>
        <v>Lista 5</v>
      </c>
      <c r="Y2878" t="str">
        <f t="shared" si="1843"/>
        <v>Oferta Gral.</v>
      </c>
      <c r="Z2878" t="str">
        <f t="shared" si="1844"/>
        <v>Rubro</v>
      </c>
      <c r="AA2878" t="str">
        <f t="shared" si="1845"/>
        <v>Cantidad por Bulto</v>
      </c>
      <c r="AB2878" t="str">
        <f t="shared" si="1846"/>
        <v>INNER</v>
      </c>
      <c r="AC2878" t="str">
        <f t="shared" si="1847"/>
        <v>Stock en Bultos</v>
      </c>
      <c r="AD2878" t="str">
        <f t="shared" si="1848"/>
        <v>SubDepósito</v>
      </c>
      <c r="AE2878" t="str">
        <f t="shared" si="1849"/>
        <v>Marca</v>
      </c>
      <c r="AF2878" t="str">
        <f t="shared" si="1850"/>
        <v>Super Rubro</v>
      </c>
      <c r="AG2878" t="str">
        <f t="shared" si="1851"/>
        <v>ComercioExterior</v>
      </c>
      <c r="AH2878" t="str">
        <f t="shared" si="1852"/>
        <v>PrecioFOB</v>
      </c>
      <c r="AI2878" t="str">
        <f t="shared" si="1853"/>
        <v>Monto II</v>
      </c>
      <c r="AJ2878" t="str">
        <f t="shared" si="1854"/>
        <v>Porcentaje II</v>
      </c>
      <c r="AK2878" t="str">
        <f t="shared" si="1855"/>
        <v>Foto</v>
      </c>
      <c r="AL287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78" t="str">
        <f t="shared" si="1868"/>
        <v>-</v>
      </c>
    </row>
    <row r="2879" spans="1:39" x14ac:dyDescent="0.25">
      <c r="A2879" t="str">
        <f>"FI30035"</f>
        <v>FI30035</v>
      </c>
      <c r="B2879" t="str">
        <f>"SENSOR RPM FIAT/ALFA/CHEVROLET CORSA/FORD FIESTA/FOCUS"</f>
        <v>SENSOR RPM FIAT/ALFA/CHEVROLET CORSA/FORD FIESTA/FOCUS</v>
      </c>
      <c r="C2879" t="str">
        <f>"$ 41948,92"</f>
        <v>$ 41948,92</v>
      </c>
      <c r="D2879" t="str">
        <f>"$ 41948,92"</f>
        <v>$ 41948,92</v>
      </c>
      <c r="E2879" t="str">
        <f>"$ 41948,92"</f>
        <v>$ 41948,92</v>
      </c>
      <c r="F2879" t="str">
        <f>"$ 41948,92"</f>
        <v>$ 41948,92</v>
      </c>
      <c r="G2879" t="str">
        <f>"$ 41948,92"</f>
        <v>$ 41948,92</v>
      </c>
      <c r="H2879" t="str">
        <f t="shared" si="1837"/>
        <v>$ 0,00</v>
      </c>
      <c r="I2879" t="str">
        <f t="shared" si="1865"/>
        <v>SENSOR RPM</v>
      </c>
      <c r="J2879" t="str">
        <f t="shared" si="1839"/>
        <v>1</v>
      </c>
      <c r="K2879" t="str">
        <f>"0"</f>
        <v>0</v>
      </c>
      <c r="L2879" t="str">
        <f>"4,000"</f>
        <v>4,000</v>
      </c>
      <c r="M2879" t="str">
        <f t="shared" si="1840"/>
        <v xml:space="preserve"> </v>
      </c>
      <c r="N2879" t="str">
        <f t="shared" si="1867"/>
        <v>FISPA</v>
      </c>
      <c r="O2879" t="str">
        <f t="shared" si="1864"/>
        <v>SENSORES</v>
      </c>
      <c r="P2879" t="str">
        <f t="shared" si="1870"/>
        <v>0</v>
      </c>
      <c r="Q2879" t="str">
        <f t="shared" si="1870"/>
        <v>0</v>
      </c>
      <c r="R2879" t="str">
        <f t="shared" si="1871"/>
        <v>0,00</v>
      </c>
      <c r="S2879" t="str">
        <f t="shared" si="1871"/>
        <v>0,00</v>
      </c>
      <c r="T2879" t="str">
        <f t="shared" ref="T2879:T2942" si="1872">" "</f>
        <v xml:space="preserve"> </v>
      </c>
      <c r="U2879" t="str">
        <f t="shared" si="1836"/>
        <v xml:space="preserve"> </v>
      </c>
      <c r="V2879" t="str">
        <f>"4,000"</f>
        <v>4,000</v>
      </c>
      <c r="W2879" t="str">
        <f t="shared" si="1841"/>
        <v>Lista 4</v>
      </c>
      <c r="X2879" t="str">
        <f t="shared" si="1842"/>
        <v>Lista 5</v>
      </c>
      <c r="Y2879" t="str">
        <f t="shared" si="1843"/>
        <v>Oferta Gral.</v>
      </c>
      <c r="Z2879" t="str">
        <f t="shared" si="1844"/>
        <v>Rubro</v>
      </c>
      <c r="AA2879" t="str">
        <f t="shared" si="1845"/>
        <v>Cantidad por Bulto</v>
      </c>
      <c r="AB2879" t="str">
        <f t="shared" si="1846"/>
        <v>INNER</v>
      </c>
      <c r="AC2879" t="str">
        <f t="shared" si="1847"/>
        <v>Stock en Bultos</v>
      </c>
      <c r="AD2879" t="str">
        <f t="shared" si="1848"/>
        <v>SubDepósito</v>
      </c>
      <c r="AE2879" t="str">
        <f t="shared" si="1849"/>
        <v>Marca</v>
      </c>
      <c r="AF2879" t="str">
        <f t="shared" si="1850"/>
        <v>Super Rubro</v>
      </c>
      <c r="AG2879" t="str">
        <f t="shared" si="1851"/>
        <v>ComercioExterior</v>
      </c>
      <c r="AH2879" t="str">
        <f t="shared" si="1852"/>
        <v>PrecioFOB</v>
      </c>
      <c r="AI2879" t="str">
        <f t="shared" si="1853"/>
        <v>Monto II</v>
      </c>
      <c r="AJ2879" t="str">
        <f t="shared" si="1854"/>
        <v>Porcentaje II</v>
      </c>
      <c r="AK2879" t="str">
        <f t="shared" si="1855"/>
        <v>Foto</v>
      </c>
      <c r="AL287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79" t="str">
        <f t="shared" si="1868"/>
        <v>-</v>
      </c>
    </row>
    <row r="2880" spans="1:39" x14ac:dyDescent="0.25">
      <c r="A2880" t="str">
        <f>"FI30029"</f>
        <v>FI30029</v>
      </c>
      <c r="B2880" t="str">
        <f>"SENSOR RPM FIORINO/UNO 1.0, 1.3, 1.5, 1.6 SPI 8V 94/96. RENAULT MASTER 2.5 TD 8V 89/98"</f>
        <v>SENSOR RPM FIORINO/UNO 1.0, 1.3, 1.5, 1.6 SPI 8V 94/96. RENAULT MASTER 2.5 TD 8V 89/98</v>
      </c>
      <c r="C2880" t="str">
        <f>"$ 22408,64"</f>
        <v>$ 22408,64</v>
      </c>
      <c r="D2880" t="str">
        <f>"$ 22408,64"</f>
        <v>$ 22408,64</v>
      </c>
      <c r="E2880" t="str">
        <f>"$ 22408,64"</f>
        <v>$ 22408,64</v>
      </c>
      <c r="F2880" t="str">
        <f>"$ 22408,64"</f>
        <v>$ 22408,64</v>
      </c>
      <c r="G2880" t="str">
        <f>"$ 22408,64"</f>
        <v>$ 22408,64</v>
      </c>
      <c r="H2880" t="str">
        <f t="shared" si="1837"/>
        <v>$ 0,00</v>
      </c>
      <c r="I2880" t="str">
        <f t="shared" si="1865"/>
        <v>SENSOR RPM</v>
      </c>
      <c r="J2880" t="str">
        <f t="shared" si="1839"/>
        <v>1</v>
      </c>
      <c r="K2880" t="str">
        <f>"1"</f>
        <v>1</v>
      </c>
      <c r="L2880" t="str">
        <f>"0,000"</f>
        <v>0,000</v>
      </c>
      <c r="M2880" t="str">
        <f t="shared" si="1840"/>
        <v xml:space="preserve"> </v>
      </c>
      <c r="N2880" t="str">
        <f t="shared" si="1867"/>
        <v>FISPA</v>
      </c>
      <c r="O2880" t="str">
        <f t="shared" ref="O2880:O2911" si="1873">"SENSORES"</f>
        <v>SENSORES</v>
      </c>
      <c r="P2880" t="str">
        <f t="shared" si="1870"/>
        <v>0</v>
      </c>
      <c r="Q2880" t="str">
        <f t="shared" si="1870"/>
        <v>0</v>
      </c>
      <c r="R2880" t="str">
        <f t="shared" si="1871"/>
        <v>0,00</v>
      </c>
      <c r="S2880" t="str">
        <f t="shared" si="1871"/>
        <v>0,00</v>
      </c>
      <c r="T2880" t="str">
        <f t="shared" si="1872"/>
        <v xml:space="preserve"> </v>
      </c>
      <c r="U2880" t="str">
        <f t="shared" si="1836"/>
        <v xml:space="preserve"> </v>
      </c>
      <c r="V2880" t="str">
        <f>"0,000"</f>
        <v>0,000</v>
      </c>
      <c r="W2880" t="str">
        <f t="shared" si="1841"/>
        <v>Lista 4</v>
      </c>
      <c r="X2880" t="str">
        <f t="shared" si="1842"/>
        <v>Lista 5</v>
      </c>
      <c r="Y2880" t="str">
        <f t="shared" si="1843"/>
        <v>Oferta Gral.</v>
      </c>
      <c r="Z2880" t="str">
        <f t="shared" si="1844"/>
        <v>Rubro</v>
      </c>
      <c r="AA2880" t="str">
        <f t="shared" si="1845"/>
        <v>Cantidad por Bulto</v>
      </c>
      <c r="AB2880" t="str">
        <f t="shared" si="1846"/>
        <v>INNER</v>
      </c>
      <c r="AC2880" t="str">
        <f t="shared" si="1847"/>
        <v>Stock en Bultos</v>
      </c>
      <c r="AD2880" t="str">
        <f t="shared" si="1848"/>
        <v>SubDepósito</v>
      </c>
      <c r="AE2880" t="str">
        <f t="shared" si="1849"/>
        <v>Marca</v>
      </c>
      <c r="AF2880" t="str">
        <f t="shared" si="1850"/>
        <v>Super Rubro</v>
      </c>
      <c r="AG2880" t="str">
        <f t="shared" si="1851"/>
        <v>ComercioExterior</v>
      </c>
      <c r="AH2880" t="str">
        <f t="shared" si="1852"/>
        <v>PrecioFOB</v>
      </c>
      <c r="AI2880" t="str">
        <f t="shared" si="1853"/>
        <v>Monto II</v>
      </c>
      <c r="AJ2880" t="str">
        <f t="shared" si="1854"/>
        <v>Porcentaje II</v>
      </c>
      <c r="AK2880" t="str">
        <f t="shared" si="1855"/>
        <v>Foto</v>
      </c>
      <c r="AL288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0" t="str">
        <f t="shared" si="1868"/>
        <v>-</v>
      </c>
    </row>
    <row r="2881" spans="1:39" x14ac:dyDescent="0.25">
      <c r="A2881" t="str">
        <f>"FI30033"</f>
        <v>FI30033</v>
      </c>
      <c r="B2881" t="str">
        <f>"SENSOR RPM FIORINOPICK UP LX / UNO 1.6 MPI 8V 95/96, TIPO 1.6IE C/AR 92/., 1.6 SPI 8V 93/95, 1,6 MPI 95/."</f>
        <v>SENSOR RPM FIORINOPICK UP LX / UNO 1.6 MPI 8V 95/96, TIPO 1.6IE C/AR 92/., 1.6 SPI 8V 93/95, 1,6 MPI 95/.</v>
      </c>
      <c r="C2881" t="str">
        <f>"$ 18854,31"</f>
        <v>$ 18854,31</v>
      </c>
      <c r="D2881" t="str">
        <f>"$ 18854,31"</f>
        <v>$ 18854,31</v>
      </c>
      <c r="E2881" t="str">
        <f>"$ 18854,31"</f>
        <v>$ 18854,31</v>
      </c>
      <c r="F2881" t="str">
        <f>"$ 18854,31"</f>
        <v>$ 18854,31</v>
      </c>
      <c r="G2881" t="str">
        <f>"$ 18854,31"</f>
        <v>$ 18854,31</v>
      </c>
      <c r="H2881" t="str">
        <f t="shared" si="1837"/>
        <v>$ 0,00</v>
      </c>
      <c r="I2881" t="str">
        <f t="shared" si="1865"/>
        <v>SENSOR RPM</v>
      </c>
      <c r="J2881" t="str">
        <f t="shared" si="1839"/>
        <v>1</v>
      </c>
      <c r="K2881" t="str">
        <f>"0"</f>
        <v>0</v>
      </c>
      <c r="L2881" t="str">
        <f>"5,000"</f>
        <v>5,000</v>
      </c>
      <c r="M2881" t="str">
        <f t="shared" si="1840"/>
        <v xml:space="preserve"> </v>
      </c>
      <c r="N2881" t="str">
        <f t="shared" si="1867"/>
        <v>FISPA</v>
      </c>
      <c r="O2881" t="str">
        <f t="shared" si="1873"/>
        <v>SENSORES</v>
      </c>
      <c r="P2881" t="str">
        <f t="shared" si="1870"/>
        <v>0</v>
      </c>
      <c r="Q2881" t="str">
        <f t="shared" si="1870"/>
        <v>0</v>
      </c>
      <c r="R2881" t="str">
        <f t="shared" si="1871"/>
        <v>0,00</v>
      </c>
      <c r="S2881" t="str">
        <f t="shared" si="1871"/>
        <v>0,00</v>
      </c>
      <c r="T2881" t="str">
        <f t="shared" si="1872"/>
        <v xml:space="preserve"> </v>
      </c>
      <c r="U2881" t="str">
        <f t="shared" si="1836"/>
        <v xml:space="preserve"> </v>
      </c>
      <c r="V2881" t="str">
        <f>"5,000"</f>
        <v>5,000</v>
      </c>
      <c r="W2881" t="str">
        <f t="shared" si="1841"/>
        <v>Lista 4</v>
      </c>
      <c r="X2881" t="str">
        <f t="shared" si="1842"/>
        <v>Lista 5</v>
      </c>
      <c r="Y2881" t="str">
        <f t="shared" si="1843"/>
        <v>Oferta Gral.</v>
      </c>
      <c r="Z2881" t="str">
        <f t="shared" si="1844"/>
        <v>Rubro</v>
      </c>
      <c r="AA2881" t="str">
        <f t="shared" si="1845"/>
        <v>Cantidad por Bulto</v>
      </c>
      <c r="AB2881" t="str">
        <f t="shared" si="1846"/>
        <v>INNER</v>
      </c>
      <c r="AC2881" t="str">
        <f t="shared" si="1847"/>
        <v>Stock en Bultos</v>
      </c>
      <c r="AD2881" t="str">
        <f t="shared" si="1848"/>
        <v>SubDepósito</v>
      </c>
      <c r="AE2881" t="str">
        <f t="shared" si="1849"/>
        <v>Marca</v>
      </c>
      <c r="AF2881" t="str">
        <f t="shared" si="1850"/>
        <v>Super Rubro</v>
      </c>
      <c r="AG2881" t="str">
        <f t="shared" si="1851"/>
        <v>ComercioExterior</v>
      </c>
      <c r="AH2881" t="str">
        <f t="shared" si="1852"/>
        <v>PrecioFOB</v>
      </c>
      <c r="AI2881" t="str">
        <f t="shared" si="1853"/>
        <v>Monto II</v>
      </c>
      <c r="AJ2881" t="str">
        <f t="shared" si="1854"/>
        <v>Porcentaje II</v>
      </c>
      <c r="AK2881" t="str">
        <f t="shared" si="1855"/>
        <v>Foto</v>
      </c>
      <c r="AL288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1" t="str">
        <f t="shared" si="1868"/>
        <v>-</v>
      </c>
    </row>
    <row r="2882" spans="1:39" x14ac:dyDescent="0.25">
      <c r="A2882" t="str">
        <f>"FI30054"</f>
        <v>FI30054</v>
      </c>
      <c r="B2882" t="str">
        <f>"SENSOR RPM FORD - CITROEN - PEUGEOT 1,4 HDI"</f>
        <v>SENSOR RPM FORD - CITROEN - PEUGEOT 1,4 HDI</v>
      </c>
      <c r="C2882" t="str">
        <f>"$ 33822,30"</f>
        <v>$ 33822,30</v>
      </c>
      <c r="D2882" t="str">
        <f>"$ 33822,30"</f>
        <v>$ 33822,30</v>
      </c>
      <c r="E2882" t="str">
        <f>"$ 33822,30"</f>
        <v>$ 33822,30</v>
      </c>
      <c r="F2882" t="str">
        <f>"$ 33822,30"</f>
        <v>$ 33822,30</v>
      </c>
      <c r="G2882" t="str">
        <f>"$ 33822,30"</f>
        <v>$ 33822,30</v>
      </c>
      <c r="H2882" t="str">
        <f t="shared" si="1837"/>
        <v>$ 0,00</v>
      </c>
      <c r="I2882" t="str">
        <f t="shared" si="1865"/>
        <v>SENSOR RPM</v>
      </c>
      <c r="J2882" t="str">
        <f t="shared" si="1839"/>
        <v>1</v>
      </c>
      <c r="K2882" t="str">
        <f>"0"</f>
        <v>0</v>
      </c>
      <c r="L2882" t="str">
        <f>"2,000"</f>
        <v>2,000</v>
      </c>
      <c r="M2882" t="str">
        <f t="shared" si="1840"/>
        <v xml:space="preserve"> </v>
      </c>
      <c r="N2882" t="str">
        <f t="shared" si="1867"/>
        <v>FISPA</v>
      </c>
      <c r="O2882" t="str">
        <f t="shared" si="1873"/>
        <v>SENSORES</v>
      </c>
      <c r="P2882" t="str">
        <f t="shared" si="1870"/>
        <v>0</v>
      </c>
      <c r="Q2882" t="str">
        <f t="shared" si="1870"/>
        <v>0</v>
      </c>
      <c r="R2882" t="str">
        <f t="shared" si="1871"/>
        <v>0,00</v>
      </c>
      <c r="S2882" t="str">
        <f t="shared" si="1871"/>
        <v>0,00</v>
      </c>
      <c r="T2882" t="str">
        <f t="shared" si="1872"/>
        <v xml:space="preserve"> </v>
      </c>
      <c r="U2882" t="str">
        <f t="shared" ref="U2882:U2945" si="1874">" "</f>
        <v xml:space="preserve"> </v>
      </c>
      <c r="V2882" t="str">
        <f>"2,000"</f>
        <v>2,000</v>
      </c>
      <c r="W2882" t="str">
        <f t="shared" si="1841"/>
        <v>Lista 4</v>
      </c>
      <c r="X2882" t="str">
        <f t="shared" si="1842"/>
        <v>Lista 5</v>
      </c>
      <c r="Y2882" t="str">
        <f t="shared" si="1843"/>
        <v>Oferta Gral.</v>
      </c>
      <c r="Z2882" t="str">
        <f t="shared" si="1844"/>
        <v>Rubro</v>
      </c>
      <c r="AA2882" t="str">
        <f t="shared" si="1845"/>
        <v>Cantidad por Bulto</v>
      </c>
      <c r="AB2882" t="str">
        <f t="shared" si="1846"/>
        <v>INNER</v>
      </c>
      <c r="AC2882" t="str">
        <f t="shared" si="1847"/>
        <v>Stock en Bultos</v>
      </c>
      <c r="AD2882" t="str">
        <f t="shared" si="1848"/>
        <v>SubDepósito</v>
      </c>
      <c r="AE2882" t="str">
        <f t="shared" si="1849"/>
        <v>Marca</v>
      </c>
      <c r="AF2882" t="str">
        <f t="shared" si="1850"/>
        <v>Super Rubro</v>
      </c>
      <c r="AG2882" t="str">
        <f t="shared" si="1851"/>
        <v>ComercioExterior</v>
      </c>
      <c r="AH2882" t="str">
        <f t="shared" si="1852"/>
        <v>PrecioFOB</v>
      </c>
      <c r="AI2882" t="str">
        <f t="shared" si="1853"/>
        <v>Monto II</v>
      </c>
      <c r="AJ2882" t="str">
        <f t="shared" si="1854"/>
        <v>Porcentaje II</v>
      </c>
      <c r="AK2882" t="str">
        <f t="shared" si="1855"/>
        <v>Foto</v>
      </c>
      <c r="AL2882" t="str">
        <f>" "</f>
        <v xml:space="preserve"> </v>
      </c>
      <c r="AM2882" t="str">
        <f t="shared" si="1868"/>
        <v>-</v>
      </c>
    </row>
    <row r="2883" spans="1:39" x14ac:dyDescent="0.25">
      <c r="A2883" t="str">
        <f>"FI30042"</f>
        <v>FI30042</v>
      </c>
      <c r="B2883" t="str">
        <f>"SENSOR RPM FORD C-MAX 1.8 TDCI FOCUS 1.8 TDCI - TRANSIT CONNECT 1.8 TDC  "</f>
        <v xml:space="preserve">SENSOR RPM FORD C-MAX 1.8 TDCI FOCUS 1.8 TDCI - TRANSIT CONNECT 1.8 TDC  </v>
      </c>
      <c r="C2883" t="str">
        <f>"$ 22428,17"</f>
        <v>$ 22428,17</v>
      </c>
      <c r="D2883" t="str">
        <f>"$ 22428,17"</f>
        <v>$ 22428,17</v>
      </c>
      <c r="E2883" t="str">
        <f>"$ 22428,17"</f>
        <v>$ 22428,17</v>
      </c>
      <c r="F2883" t="str">
        <f>"$ 22428,17"</f>
        <v>$ 22428,17</v>
      </c>
      <c r="G2883" t="str">
        <f>"$ 22428,17"</f>
        <v>$ 22428,17</v>
      </c>
      <c r="H2883" t="str">
        <f t="shared" ref="H2883:H2946" si="1875">"$ 0,00"</f>
        <v>$ 0,00</v>
      </c>
      <c r="I2883" t="str">
        <f t="shared" ref="I2883:I2914" si="1876">"SENSOR RPM"</f>
        <v>SENSOR RPM</v>
      </c>
      <c r="J2883" t="str">
        <f t="shared" ref="J2883:J2946" si="1877">"1"</f>
        <v>1</v>
      </c>
      <c r="K2883" t="str">
        <f>"0"</f>
        <v>0</v>
      </c>
      <c r="L2883" t="str">
        <f>"2,000"</f>
        <v>2,000</v>
      </c>
      <c r="M2883" t="str">
        <f t="shared" ref="M2883:M2946" si="1878">" "</f>
        <v xml:space="preserve"> </v>
      </c>
      <c r="N2883" t="str">
        <f t="shared" si="1867"/>
        <v>FISPA</v>
      </c>
      <c r="O2883" t="str">
        <f t="shared" si="1873"/>
        <v>SENSORES</v>
      </c>
      <c r="P2883" t="str">
        <f t="shared" ref="P2883:Q2902" si="1879">"0"</f>
        <v>0</v>
      </c>
      <c r="Q2883" t="str">
        <f t="shared" si="1879"/>
        <v>0</v>
      </c>
      <c r="R2883" t="str">
        <f t="shared" ref="R2883:S2902" si="1880">"0,00"</f>
        <v>0,00</v>
      </c>
      <c r="S2883" t="str">
        <f t="shared" si="1880"/>
        <v>0,00</v>
      </c>
      <c r="T2883" t="str">
        <f t="shared" si="1872"/>
        <v xml:space="preserve"> </v>
      </c>
      <c r="U2883" t="str">
        <f t="shared" si="1874"/>
        <v xml:space="preserve"> </v>
      </c>
      <c r="V2883" t="str">
        <f>"2,000"</f>
        <v>2,000</v>
      </c>
      <c r="W2883" t="str">
        <f t="shared" ref="W2883:W2946" si="1881">"Lista 4"</f>
        <v>Lista 4</v>
      </c>
      <c r="X2883" t="str">
        <f t="shared" ref="X2883:X2946" si="1882">"Lista 5"</f>
        <v>Lista 5</v>
      </c>
      <c r="Y2883" t="str">
        <f t="shared" ref="Y2883:Y2946" si="1883">"Oferta Gral."</f>
        <v>Oferta Gral.</v>
      </c>
      <c r="Z2883" t="str">
        <f t="shared" ref="Z2883:Z2946" si="1884">"Rubro"</f>
        <v>Rubro</v>
      </c>
      <c r="AA2883" t="str">
        <f t="shared" ref="AA2883:AA2946" si="1885">"Cantidad por Bulto"</f>
        <v>Cantidad por Bulto</v>
      </c>
      <c r="AB2883" t="str">
        <f t="shared" ref="AB2883:AB2946" si="1886">"INNER"</f>
        <v>INNER</v>
      </c>
      <c r="AC2883" t="str">
        <f t="shared" ref="AC2883:AC2946" si="1887">"Stock en Bultos"</f>
        <v>Stock en Bultos</v>
      </c>
      <c r="AD2883" t="str">
        <f t="shared" ref="AD2883:AD2946" si="1888">"SubDepósito"</f>
        <v>SubDepósito</v>
      </c>
      <c r="AE2883" t="str">
        <f t="shared" ref="AE2883:AE2946" si="1889">"Marca"</f>
        <v>Marca</v>
      </c>
      <c r="AF2883" t="str">
        <f t="shared" ref="AF2883:AF2946" si="1890">"Super Rubro"</f>
        <v>Super Rubro</v>
      </c>
      <c r="AG2883" t="str">
        <f t="shared" ref="AG2883:AG2946" si="1891">"ComercioExterior"</f>
        <v>ComercioExterior</v>
      </c>
      <c r="AH2883" t="str">
        <f t="shared" ref="AH2883:AH2946" si="1892">"PrecioFOB"</f>
        <v>PrecioFOB</v>
      </c>
      <c r="AI2883" t="str">
        <f t="shared" ref="AI2883:AI2946" si="1893">"Monto II"</f>
        <v>Monto II</v>
      </c>
      <c r="AJ2883" t="str">
        <f t="shared" ref="AJ2883:AJ2946" si="1894">"Porcentaje II"</f>
        <v>Porcentaje II</v>
      </c>
      <c r="AK2883" t="str">
        <f t="shared" ref="AK2883:AK2946" si="1895">"Foto"</f>
        <v>Foto</v>
      </c>
      <c r="AL288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3" t="str">
        <f t="shared" si="1868"/>
        <v>-</v>
      </c>
    </row>
    <row r="2884" spans="1:39" x14ac:dyDescent="0.25">
      <c r="A2884" t="str">
        <f>"FI30101"</f>
        <v>FI30101</v>
      </c>
      <c r="B2884" t="str">
        <f>"SENSOR RPM FORD ECOSPORT 2.0 - FIESTA - FOCUS II 1.8/ 2.0 / S-MAX 2.0 - MONDEO III &amp; IV 1.8 "</f>
        <v xml:space="preserve">SENSOR RPM FORD ECOSPORT 2.0 - FIESTA - FOCUS II 1.8/ 2.0 / S-MAX 2.0 - MONDEO III &amp; IV 1.8 </v>
      </c>
      <c r="C2884" t="str">
        <f>"$ 18421,01"</f>
        <v>$ 18421,01</v>
      </c>
      <c r="D2884" t="str">
        <f>"$ 18421,01"</f>
        <v>$ 18421,01</v>
      </c>
      <c r="E2884" t="str">
        <f>"$ 18421,01"</f>
        <v>$ 18421,01</v>
      </c>
      <c r="F2884" t="str">
        <f>"$ 18421,01"</f>
        <v>$ 18421,01</v>
      </c>
      <c r="G2884" t="str">
        <f>"$ 18421,01"</f>
        <v>$ 18421,01</v>
      </c>
      <c r="H2884" t="str">
        <f t="shared" si="1875"/>
        <v>$ 0,00</v>
      </c>
      <c r="I2884" t="str">
        <f t="shared" si="1876"/>
        <v>SENSOR RPM</v>
      </c>
      <c r="J2884" t="str">
        <f t="shared" si="1877"/>
        <v>1</v>
      </c>
      <c r="K2884" t="str">
        <f t="shared" ref="K2884:K2891" si="1896">"1"</f>
        <v>1</v>
      </c>
      <c r="L2884" t="str">
        <f t="shared" ref="L2884:L2891" si="1897">"0,000"</f>
        <v>0,000</v>
      </c>
      <c r="M2884" t="str">
        <f t="shared" si="1878"/>
        <v xml:space="preserve"> </v>
      </c>
      <c r="N2884" t="str">
        <f t="shared" si="1867"/>
        <v>FISPA</v>
      </c>
      <c r="O2884" t="str">
        <f t="shared" si="1873"/>
        <v>SENSORES</v>
      </c>
      <c r="P2884" t="str">
        <f t="shared" si="1879"/>
        <v>0</v>
      </c>
      <c r="Q2884" t="str">
        <f t="shared" si="1879"/>
        <v>0</v>
      </c>
      <c r="R2884" t="str">
        <f t="shared" si="1880"/>
        <v>0,00</v>
      </c>
      <c r="S2884" t="str">
        <f t="shared" si="1880"/>
        <v>0,00</v>
      </c>
      <c r="T2884" t="str">
        <f t="shared" si="1872"/>
        <v xml:space="preserve"> </v>
      </c>
      <c r="U2884" t="str">
        <f t="shared" si="1874"/>
        <v xml:space="preserve"> </v>
      </c>
      <c r="V2884" t="str">
        <f t="shared" ref="V2884:V2891" si="1898">"0,000"</f>
        <v>0,000</v>
      </c>
      <c r="W2884" t="str">
        <f t="shared" si="1881"/>
        <v>Lista 4</v>
      </c>
      <c r="X2884" t="str">
        <f t="shared" si="1882"/>
        <v>Lista 5</v>
      </c>
      <c r="Y2884" t="str">
        <f t="shared" si="1883"/>
        <v>Oferta Gral.</v>
      </c>
      <c r="Z2884" t="str">
        <f t="shared" si="1884"/>
        <v>Rubro</v>
      </c>
      <c r="AA2884" t="str">
        <f t="shared" si="1885"/>
        <v>Cantidad por Bulto</v>
      </c>
      <c r="AB2884" t="str">
        <f t="shared" si="1886"/>
        <v>INNER</v>
      </c>
      <c r="AC2884" t="str">
        <f t="shared" si="1887"/>
        <v>Stock en Bultos</v>
      </c>
      <c r="AD2884" t="str">
        <f t="shared" si="1888"/>
        <v>SubDepósito</v>
      </c>
      <c r="AE2884" t="str">
        <f t="shared" si="1889"/>
        <v>Marca</v>
      </c>
      <c r="AF2884" t="str">
        <f t="shared" si="1890"/>
        <v>Super Rubro</v>
      </c>
      <c r="AG2884" t="str">
        <f t="shared" si="1891"/>
        <v>ComercioExterior</v>
      </c>
      <c r="AH2884" t="str">
        <f t="shared" si="1892"/>
        <v>PrecioFOB</v>
      </c>
      <c r="AI2884" t="str">
        <f t="shared" si="1893"/>
        <v>Monto II</v>
      </c>
      <c r="AJ2884" t="str">
        <f t="shared" si="1894"/>
        <v>Porcentaje II</v>
      </c>
      <c r="AK2884" t="str">
        <f t="shared" si="1895"/>
        <v>Foto</v>
      </c>
      <c r="AL288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4" t="str">
        <f t="shared" si="1868"/>
        <v>-</v>
      </c>
    </row>
    <row r="2885" spans="1:39" x14ac:dyDescent="0.25">
      <c r="A2885" t="str">
        <f>"FI30061"</f>
        <v>FI30061</v>
      </c>
      <c r="B2885" t="str">
        <f>"SENSOR RPM FORD ESCORT 86-91 / RANCHERA FAMILIAR - ESCORT V Y FIESTA III 1.6"</f>
        <v>SENSOR RPM FORD ESCORT 86-91 / RANCHERA FAMILIAR - ESCORT V Y FIESTA III 1.6</v>
      </c>
      <c r="C2885" t="str">
        <f>"$ 43600,37"</f>
        <v>$ 43600,37</v>
      </c>
      <c r="D2885" t="str">
        <f>"$ 43600,37"</f>
        <v>$ 43600,37</v>
      </c>
      <c r="E2885" t="str">
        <f>"$ 43600,37"</f>
        <v>$ 43600,37</v>
      </c>
      <c r="F2885" t="str">
        <f>"$ 43600,37"</f>
        <v>$ 43600,37</v>
      </c>
      <c r="G2885" t="str">
        <f>"$ 43600,37"</f>
        <v>$ 43600,37</v>
      </c>
      <c r="H2885" t="str">
        <f t="shared" si="1875"/>
        <v>$ 0,00</v>
      </c>
      <c r="I2885" t="str">
        <f t="shared" si="1876"/>
        <v>SENSOR RPM</v>
      </c>
      <c r="J2885" t="str">
        <f t="shared" si="1877"/>
        <v>1</v>
      </c>
      <c r="K2885" t="str">
        <f t="shared" si="1896"/>
        <v>1</v>
      </c>
      <c r="L2885" t="str">
        <f t="shared" si="1897"/>
        <v>0,000</v>
      </c>
      <c r="M2885" t="str">
        <f t="shared" si="1878"/>
        <v xml:space="preserve"> </v>
      </c>
      <c r="N2885" t="str">
        <f t="shared" si="1867"/>
        <v>FISPA</v>
      </c>
      <c r="O2885" t="str">
        <f t="shared" si="1873"/>
        <v>SENSORES</v>
      </c>
      <c r="P2885" t="str">
        <f t="shared" si="1879"/>
        <v>0</v>
      </c>
      <c r="Q2885" t="str">
        <f t="shared" si="1879"/>
        <v>0</v>
      </c>
      <c r="R2885" t="str">
        <f t="shared" si="1880"/>
        <v>0,00</v>
      </c>
      <c r="S2885" t="str">
        <f t="shared" si="1880"/>
        <v>0,00</v>
      </c>
      <c r="T2885" t="str">
        <f t="shared" si="1872"/>
        <v xml:space="preserve"> </v>
      </c>
      <c r="U2885" t="str">
        <f t="shared" si="1874"/>
        <v xml:space="preserve"> </v>
      </c>
      <c r="V2885" t="str">
        <f t="shared" si="1898"/>
        <v>0,000</v>
      </c>
      <c r="W2885" t="str">
        <f t="shared" si="1881"/>
        <v>Lista 4</v>
      </c>
      <c r="X2885" t="str">
        <f t="shared" si="1882"/>
        <v>Lista 5</v>
      </c>
      <c r="Y2885" t="str">
        <f t="shared" si="1883"/>
        <v>Oferta Gral.</v>
      </c>
      <c r="Z2885" t="str">
        <f t="shared" si="1884"/>
        <v>Rubro</v>
      </c>
      <c r="AA2885" t="str">
        <f t="shared" si="1885"/>
        <v>Cantidad por Bulto</v>
      </c>
      <c r="AB2885" t="str">
        <f t="shared" si="1886"/>
        <v>INNER</v>
      </c>
      <c r="AC2885" t="str">
        <f t="shared" si="1887"/>
        <v>Stock en Bultos</v>
      </c>
      <c r="AD2885" t="str">
        <f t="shared" si="1888"/>
        <v>SubDepósito</v>
      </c>
      <c r="AE2885" t="str">
        <f t="shared" si="1889"/>
        <v>Marca</v>
      </c>
      <c r="AF2885" t="str">
        <f t="shared" si="1890"/>
        <v>Super Rubro</v>
      </c>
      <c r="AG2885" t="str">
        <f t="shared" si="1891"/>
        <v>ComercioExterior</v>
      </c>
      <c r="AH2885" t="str">
        <f t="shared" si="1892"/>
        <v>PrecioFOB</v>
      </c>
      <c r="AI2885" t="str">
        <f t="shared" si="1893"/>
        <v>Monto II</v>
      </c>
      <c r="AJ2885" t="str">
        <f t="shared" si="1894"/>
        <v>Porcentaje II</v>
      </c>
      <c r="AK2885" t="str">
        <f t="shared" si="1895"/>
        <v>Foto</v>
      </c>
      <c r="AL288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5" t="str">
        <f t="shared" si="1868"/>
        <v>-</v>
      </c>
    </row>
    <row r="2886" spans="1:39" x14ac:dyDescent="0.25">
      <c r="A2886" t="str">
        <f>"FI30105"</f>
        <v>FI30105</v>
      </c>
      <c r="B2886" t="str">
        <f>"SENSOR RPM FORD EXPLORER 4.0 1996-1999"</f>
        <v>SENSOR RPM FORD EXPLORER 4.0 1996-1999</v>
      </c>
      <c r="C2886" t="str">
        <f>"$ 41275,16"</f>
        <v>$ 41275,16</v>
      </c>
      <c r="D2886" t="str">
        <f>"$ 41275,16"</f>
        <v>$ 41275,16</v>
      </c>
      <c r="E2886" t="str">
        <f>"$ 41275,16"</f>
        <v>$ 41275,16</v>
      </c>
      <c r="F2886" t="str">
        <f>"$ 41275,16"</f>
        <v>$ 41275,16</v>
      </c>
      <c r="G2886" t="str">
        <f>"$ 41275,16"</f>
        <v>$ 41275,16</v>
      </c>
      <c r="H2886" t="str">
        <f t="shared" si="1875"/>
        <v>$ 0,00</v>
      </c>
      <c r="I2886" t="str">
        <f t="shared" si="1876"/>
        <v>SENSOR RPM</v>
      </c>
      <c r="J2886" t="str">
        <f t="shared" si="1877"/>
        <v>1</v>
      </c>
      <c r="K2886" t="str">
        <f t="shared" si="1896"/>
        <v>1</v>
      </c>
      <c r="L2886" t="str">
        <f t="shared" si="1897"/>
        <v>0,000</v>
      </c>
      <c r="M2886" t="str">
        <f t="shared" si="1878"/>
        <v xml:space="preserve"> </v>
      </c>
      <c r="N2886" t="str">
        <f t="shared" si="1867"/>
        <v>FISPA</v>
      </c>
      <c r="O2886" t="str">
        <f t="shared" si="1873"/>
        <v>SENSORES</v>
      </c>
      <c r="P2886" t="str">
        <f t="shared" si="1879"/>
        <v>0</v>
      </c>
      <c r="Q2886" t="str">
        <f t="shared" si="1879"/>
        <v>0</v>
      </c>
      <c r="R2886" t="str">
        <f t="shared" si="1880"/>
        <v>0,00</v>
      </c>
      <c r="S2886" t="str">
        <f t="shared" si="1880"/>
        <v>0,00</v>
      </c>
      <c r="T2886" t="str">
        <f t="shared" si="1872"/>
        <v xml:space="preserve"> </v>
      </c>
      <c r="U2886" t="str">
        <f t="shared" si="1874"/>
        <v xml:space="preserve"> </v>
      </c>
      <c r="V2886" t="str">
        <f t="shared" si="1898"/>
        <v>0,000</v>
      </c>
      <c r="W2886" t="str">
        <f t="shared" si="1881"/>
        <v>Lista 4</v>
      </c>
      <c r="X2886" t="str">
        <f t="shared" si="1882"/>
        <v>Lista 5</v>
      </c>
      <c r="Y2886" t="str">
        <f t="shared" si="1883"/>
        <v>Oferta Gral.</v>
      </c>
      <c r="Z2886" t="str">
        <f t="shared" si="1884"/>
        <v>Rubro</v>
      </c>
      <c r="AA2886" t="str">
        <f t="shared" si="1885"/>
        <v>Cantidad por Bulto</v>
      </c>
      <c r="AB2886" t="str">
        <f t="shared" si="1886"/>
        <v>INNER</v>
      </c>
      <c r="AC2886" t="str">
        <f t="shared" si="1887"/>
        <v>Stock en Bultos</v>
      </c>
      <c r="AD2886" t="str">
        <f t="shared" si="1888"/>
        <v>SubDepósito</v>
      </c>
      <c r="AE2886" t="str">
        <f t="shared" si="1889"/>
        <v>Marca</v>
      </c>
      <c r="AF2886" t="str">
        <f t="shared" si="1890"/>
        <v>Super Rubro</v>
      </c>
      <c r="AG2886" t="str">
        <f t="shared" si="1891"/>
        <v>ComercioExterior</v>
      </c>
      <c r="AH2886" t="str">
        <f t="shared" si="1892"/>
        <v>PrecioFOB</v>
      </c>
      <c r="AI2886" t="str">
        <f t="shared" si="1893"/>
        <v>Monto II</v>
      </c>
      <c r="AJ2886" t="str">
        <f t="shared" si="1894"/>
        <v>Porcentaje II</v>
      </c>
      <c r="AK2886" t="str">
        <f t="shared" si="1895"/>
        <v>Foto</v>
      </c>
      <c r="AL2886" t="str">
        <f>" "</f>
        <v xml:space="preserve"> </v>
      </c>
      <c r="AM2886" t="str">
        <f t="shared" si="1868"/>
        <v>-</v>
      </c>
    </row>
    <row r="2887" spans="1:39" x14ac:dyDescent="0.25">
      <c r="A2887" t="str">
        <f>"FI30098"</f>
        <v>FI30098</v>
      </c>
      <c r="B2887" t="str">
        <f>"SENSOR RPM FORD F100 3.9D - IVECO  EUROCARGO 100 E 18 / 21 /22 - 110 E 22 / 25 - 120 E 18 / 20 "</f>
        <v xml:space="preserve">SENSOR RPM FORD F100 3.9D - IVECO  EUROCARGO 100 E 18 / 21 /22 - 110 E 22 / 25 - 120 E 18 / 20 </v>
      </c>
      <c r="C2887" t="str">
        <f>"$ 15220,64"</f>
        <v>$ 15220,64</v>
      </c>
      <c r="D2887" t="str">
        <f>"$ 15220,64"</f>
        <v>$ 15220,64</v>
      </c>
      <c r="E2887" t="str">
        <f>"$ 15220,64"</f>
        <v>$ 15220,64</v>
      </c>
      <c r="F2887" t="str">
        <f>"$ 15220,64"</f>
        <v>$ 15220,64</v>
      </c>
      <c r="G2887" t="str">
        <f>"$ 15220,64"</f>
        <v>$ 15220,64</v>
      </c>
      <c r="H2887" t="str">
        <f t="shared" si="1875"/>
        <v>$ 0,00</v>
      </c>
      <c r="I2887" t="str">
        <f t="shared" si="1876"/>
        <v>SENSOR RPM</v>
      </c>
      <c r="J2887" t="str">
        <f t="shared" si="1877"/>
        <v>1</v>
      </c>
      <c r="K2887" t="str">
        <f t="shared" si="1896"/>
        <v>1</v>
      </c>
      <c r="L2887" t="str">
        <f t="shared" si="1897"/>
        <v>0,000</v>
      </c>
      <c r="M2887" t="str">
        <f t="shared" si="1878"/>
        <v xml:space="preserve"> </v>
      </c>
      <c r="N2887" t="str">
        <f t="shared" si="1867"/>
        <v>FISPA</v>
      </c>
      <c r="O2887" t="str">
        <f t="shared" si="1873"/>
        <v>SENSORES</v>
      </c>
      <c r="P2887" t="str">
        <f t="shared" si="1879"/>
        <v>0</v>
      </c>
      <c r="Q2887" t="str">
        <f t="shared" si="1879"/>
        <v>0</v>
      </c>
      <c r="R2887" t="str">
        <f t="shared" si="1880"/>
        <v>0,00</v>
      </c>
      <c r="S2887" t="str">
        <f t="shared" si="1880"/>
        <v>0,00</v>
      </c>
      <c r="T2887" t="str">
        <f t="shared" si="1872"/>
        <v xml:space="preserve"> </v>
      </c>
      <c r="U2887" t="str">
        <f t="shared" si="1874"/>
        <v xml:space="preserve"> </v>
      </c>
      <c r="V2887" t="str">
        <f t="shared" si="1898"/>
        <v>0,000</v>
      </c>
      <c r="W2887" t="str">
        <f t="shared" si="1881"/>
        <v>Lista 4</v>
      </c>
      <c r="X2887" t="str">
        <f t="shared" si="1882"/>
        <v>Lista 5</v>
      </c>
      <c r="Y2887" t="str">
        <f t="shared" si="1883"/>
        <v>Oferta Gral.</v>
      </c>
      <c r="Z2887" t="str">
        <f t="shared" si="1884"/>
        <v>Rubro</v>
      </c>
      <c r="AA2887" t="str">
        <f t="shared" si="1885"/>
        <v>Cantidad por Bulto</v>
      </c>
      <c r="AB2887" t="str">
        <f t="shared" si="1886"/>
        <v>INNER</v>
      </c>
      <c r="AC2887" t="str">
        <f t="shared" si="1887"/>
        <v>Stock en Bultos</v>
      </c>
      <c r="AD2887" t="str">
        <f t="shared" si="1888"/>
        <v>SubDepósito</v>
      </c>
      <c r="AE2887" t="str">
        <f t="shared" si="1889"/>
        <v>Marca</v>
      </c>
      <c r="AF2887" t="str">
        <f t="shared" si="1890"/>
        <v>Super Rubro</v>
      </c>
      <c r="AG2887" t="str">
        <f t="shared" si="1891"/>
        <v>ComercioExterior</v>
      </c>
      <c r="AH2887" t="str">
        <f t="shared" si="1892"/>
        <v>PrecioFOB</v>
      </c>
      <c r="AI2887" t="str">
        <f t="shared" si="1893"/>
        <v>Monto II</v>
      </c>
      <c r="AJ2887" t="str">
        <f t="shared" si="1894"/>
        <v>Porcentaje II</v>
      </c>
      <c r="AK2887" t="str">
        <f t="shared" si="1895"/>
        <v>Foto</v>
      </c>
      <c r="AL288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7" t="str">
        <f t="shared" si="1868"/>
        <v>-</v>
      </c>
    </row>
    <row r="2888" spans="1:39" x14ac:dyDescent="0.25">
      <c r="A2888" t="str">
        <f>"FI30103"</f>
        <v>FI30103</v>
      </c>
      <c r="B2888" t="str">
        <f>"SENSOR RPM FORD FIESTA IV &amp; V &amp; VI 1.3 / 1.4 / 1.6 16V - FOCUS  1.6 - FOCUS II 1.4 / 1.6 - KA 1.3 / 1.6"</f>
        <v>SENSOR RPM FORD FIESTA IV &amp; V &amp; VI 1.3 / 1.4 / 1.6 16V - FOCUS  1.6 - FOCUS II 1.4 / 1.6 - KA 1.3 / 1.6</v>
      </c>
      <c r="C2888" t="str">
        <f>"$ 27063,94"</f>
        <v>$ 27063,94</v>
      </c>
      <c r="D2888" t="str">
        <f>"$ 27063,94"</f>
        <v>$ 27063,94</v>
      </c>
      <c r="E2888" t="str">
        <f>"$ 27063,94"</f>
        <v>$ 27063,94</v>
      </c>
      <c r="F2888" t="str">
        <f>"$ 27063,94"</f>
        <v>$ 27063,94</v>
      </c>
      <c r="G2888" t="str">
        <f>"$ 27063,94"</f>
        <v>$ 27063,94</v>
      </c>
      <c r="H2888" t="str">
        <f t="shared" si="1875"/>
        <v>$ 0,00</v>
      </c>
      <c r="I2888" t="str">
        <f t="shared" si="1876"/>
        <v>SENSOR RPM</v>
      </c>
      <c r="J2888" t="str">
        <f t="shared" si="1877"/>
        <v>1</v>
      </c>
      <c r="K2888" t="str">
        <f t="shared" si="1896"/>
        <v>1</v>
      </c>
      <c r="L2888" t="str">
        <f t="shared" si="1897"/>
        <v>0,000</v>
      </c>
      <c r="M2888" t="str">
        <f t="shared" si="1878"/>
        <v xml:space="preserve"> </v>
      </c>
      <c r="N2888" t="str">
        <f t="shared" si="1867"/>
        <v>FISPA</v>
      </c>
      <c r="O2888" t="str">
        <f t="shared" si="1873"/>
        <v>SENSORES</v>
      </c>
      <c r="P2888" t="str">
        <f t="shared" si="1879"/>
        <v>0</v>
      </c>
      <c r="Q2888" t="str">
        <f t="shared" si="1879"/>
        <v>0</v>
      </c>
      <c r="R2888" t="str">
        <f t="shared" si="1880"/>
        <v>0,00</v>
      </c>
      <c r="S2888" t="str">
        <f t="shared" si="1880"/>
        <v>0,00</v>
      </c>
      <c r="T2888" t="str">
        <f t="shared" si="1872"/>
        <v xml:space="preserve"> </v>
      </c>
      <c r="U2888" t="str">
        <f t="shared" si="1874"/>
        <v xml:space="preserve"> </v>
      </c>
      <c r="V2888" t="str">
        <f t="shared" si="1898"/>
        <v>0,000</v>
      </c>
      <c r="W2888" t="str">
        <f t="shared" si="1881"/>
        <v>Lista 4</v>
      </c>
      <c r="X2888" t="str">
        <f t="shared" si="1882"/>
        <v>Lista 5</v>
      </c>
      <c r="Y2888" t="str">
        <f t="shared" si="1883"/>
        <v>Oferta Gral.</v>
      </c>
      <c r="Z2888" t="str">
        <f t="shared" si="1884"/>
        <v>Rubro</v>
      </c>
      <c r="AA2888" t="str">
        <f t="shared" si="1885"/>
        <v>Cantidad por Bulto</v>
      </c>
      <c r="AB2888" t="str">
        <f t="shared" si="1886"/>
        <v>INNER</v>
      </c>
      <c r="AC2888" t="str">
        <f t="shared" si="1887"/>
        <v>Stock en Bultos</v>
      </c>
      <c r="AD2888" t="str">
        <f t="shared" si="1888"/>
        <v>SubDepósito</v>
      </c>
      <c r="AE2888" t="str">
        <f t="shared" si="1889"/>
        <v>Marca</v>
      </c>
      <c r="AF2888" t="str">
        <f t="shared" si="1890"/>
        <v>Super Rubro</v>
      </c>
      <c r="AG2888" t="str">
        <f t="shared" si="1891"/>
        <v>ComercioExterior</v>
      </c>
      <c r="AH2888" t="str">
        <f t="shared" si="1892"/>
        <v>PrecioFOB</v>
      </c>
      <c r="AI2888" t="str">
        <f t="shared" si="1893"/>
        <v>Monto II</v>
      </c>
      <c r="AJ2888" t="str">
        <f t="shared" si="1894"/>
        <v>Porcentaje II</v>
      </c>
      <c r="AK2888" t="str">
        <f t="shared" si="1895"/>
        <v>Foto</v>
      </c>
      <c r="AL288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8" t="str">
        <f t="shared" si="1868"/>
        <v>-</v>
      </c>
    </row>
    <row r="2889" spans="1:39" x14ac:dyDescent="0.25">
      <c r="A2889" t="str">
        <f>"FI30069"</f>
        <v>FI30069</v>
      </c>
      <c r="B2889" t="str">
        <f>"SENSOR RPM FORD FIESTA IV 1.8 DI - FOCUS 1.8 DI/ TTDI/ 1.8 TURBO DI / TDDI - TRANSIT 1.8 TDCI"</f>
        <v>SENSOR RPM FORD FIESTA IV 1.8 DI - FOCUS 1.8 DI/ TTDI/ 1.8 TURBO DI / TDDI - TRANSIT 1.8 TDCI</v>
      </c>
      <c r="C2889" t="str">
        <f>"$ 21772,72"</f>
        <v>$ 21772,72</v>
      </c>
      <c r="D2889" t="str">
        <f>"$ 21772,72"</f>
        <v>$ 21772,72</v>
      </c>
      <c r="E2889" t="str">
        <f>"$ 21772,72"</f>
        <v>$ 21772,72</v>
      </c>
      <c r="F2889" t="str">
        <f>"$ 21772,72"</f>
        <v>$ 21772,72</v>
      </c>
      <c r="G2889" t="str">
        <f>"$ 21772,72"</f>
        <v>$ 21772,72</v>
      </c>
      <c r="H2889" t="str">
        <f t="shared" si="1875"/>
        <v>$ 0,00</v>
      </c>
      <c r="I2889" t="str">
        <f t="shared" si="1876"/>
        <v>SENSOR RPM</v>
      </c>
      <c r="J2889" t="str">
        <f t="shared" si="1877"/>
        <v>1</v>
      </c>
      <c r="K2889" t="str">
        <f t="shared" si="1896"/>
        <v>1</v>
      </c>
      <c r="L2889" t="str">
        <f t="shared" si="1897"/>
        <v>0,000</v>
      </c>
      <c r="M2889" t="str">
        <f t="shared" si="1878"/>
        <v xml:space="preserve"> </v>
      </c>
      <c r="N2889" t="str">
        <f t="shared" si="1867"/>
        <v>FISPA</v>
      </c>
      <c r="O2889" t="str">
        <f t="shared" si="1873"/>
        <v>SENSORES</v>
      </c>
      <c r="P2889" t="str">
        <f t="shared" si="1879"/>
        <v>0</v>
      </c>
      <c r="Q2889" t="str">
        <f t="shared" si="1879"/>
        <v>0</v>
      </c>
      <c r="R2889" t="str">
        <f t="shared" si="1880"/>
        <v>0,00</v>
      </c>
      <c r="S2889" t="str">
        <f t="shared" si="1880"/>
        <v>0,00</v>
      </c>
      <c r="T2889" t="str">
        <f t="shared" si="1872"/>
        <v xml:space="preserve"> </v>
      </c>
      <c r="U2889" t="str">
        <f t="shared" si="1874"/>
        <v xml:space="preserve"> </v>
      </c>
      <c r="V2889" t="str">
        <f t="shared" si="1898"/>
        <v>0,000</v>
      </c>
      <c r="W2889" t="str">
        <f t="shared" si="1881"/>
        <v>Lista 4</v>
      </c>
      <c r="X2889" t="str">
        <f t="shared" si="1882"/>
        <v>Lista 5</v>
      </c>
      <c r="Y2889" t="str">
        <f t="shared" si="1883"/>
        <v>Oferta Gral.</v>
      </c>
      <c r="Z2889" t="str">
        <f t="shared" si="1884"/>
        <v>Rubro</v>
      </c>
      <c r="AA2889" t="str">
        <f t="shared" si="1885"/>
        <v>Cantidad por Bulto</v>
      </c>
      <c r="AB2889" t="str">
        <f t="shared" si="1886"/>
        <v>INNER</v>
      </c>
      <c r="AC2889" t="str">
        <f t="shared" si="1887"/>
        <v>Stock en Bultos</v>
      </c>
      <c r="AD2889" t="str">
        <f t="shared" si="1888"/>
        <v>SubDepósito</v>
      </c>
      <c r="AE2889" t="str">
        <f t="shared" si="1889"/>
        <v>Marca</v>
      </c>
      <c r="AF2889" t="str">
        <f t="shared" si="1890"/>
        <v>Super Rubro</v>
      </c>
      <c r="AG2889" t="str">
        <f t="shared" si="1891"/>
        <v>ComercioExterior</v>
      </c>
      <c r="AH2889" t="str">
        <f t="shared" si="1892"/>
        <v>PrecioFOB</v>
      </c>
      <c r="AI2889" t="str">
        <f t="shared" si="1893"/>
        <v>Monto II</v>
      </c>
      <c r="AJ2889" t="str">
        <f t="shared" si="1894"/>
        <v>Porcentaje II</v>
      </c>
      <c r="AK2889" t="str">
        <f t="shared" si="1895"/>
        <v>Foto</v>
      </c>
      <c r="AL288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9" t="str">
        <f t="shared" si="1868"/>
        <v>-</v>
      </c>
    </row>
    <row r="2890" spans="1:39" x14ac:dyDescent="0.25">
      <c r="A2890" t="str">
        <f>"FI30102"</f>
        <v>FI30102</v>
      </c>
      <c r="B2890" t="str">
        <f>"SENSOR RPM FORD FIESTA V 1.3 / 1.4 / 1.6 - C-MAX 1.6 - FOCUS II 1.4 / 1.6 - KA 1.3I / 1.6I"</f>
        <v>SENSOR RPM FORD FIESTA V 1.3 / 1.4 / 1.6 - C-MAX 1.6 - FOCUS II 1.4 / 1.6 - KA 1.3I / 1.6I</v>
      </c>
      <c r="C2890" t="str">
        <f>"$ 29485,57"</f>
        <v>$ 29485,57</v>
      </c>
      <c r="D2890" t="str">
        <f>"$ 29485,57"</f>
        <v>$ 29485,57</v>
      </c>
      <c r="E2890" t="str">
        <f>"$ 29485,57"</f>
        <v>$ 29485,57</v>
      </c>
      <c r="F2890" t="str">
        <f>"$ 29485,57"</f>
        <v>$ 29485,57</v>
      </c>
      <c r="G2890" t="str">
        <f>"$ 29485,57"</f>
        <v>$ 29485,57</v>
      </c>
      <c r="H2890" t="str">
        <f t="shared" si="1875"/>
        <v>$ 0,00</v>
      </c>
      <c r="I2890" t="str">
        <f t="shared" si="1876"/>
        <v>SENSOR RPM</v>
      </c>
      <c r="J2890" t="str">
        <f t="shared" si="1877"/>
        <v>1</v>
      </c>
      <c r="K2890" t="str">
        <f t="shared" si="1896"/>
        <v>1</v>
      </c>
      <c r="L2890" t="str">
        <f t="shared" si="1897"/>
        <v>0,000</v>
      </c>
      <c r="M2890" t="str">
        <f t="shared" si="1878"/>
        <v xml:space="preserve"> </v>
      </c>
      <c r="N2890" t="str">
        <f t="shared" si="1867"/>
        <v>FISPA</v>
      </c>
      <c r="O2890" t="str">
        <f t="shared" si="1873"/>
        <v>SENSORES</v>
      </c>
      <c r="P2890" t="str">
        <f t="shared" si="1879"/>
        <v>0</v>
      </c>
      <c r="Q2890" t="str">
        <f t="shared" si="1879"/>
        <v>0</v>
      </c>
      <c r="R2890" t="str">
        <f t="shared" si="1880"/>
        <v>0,00</v>
      </c>
      <c r="S2890" t="str">
        <f t="shared" si="1880"/>
        <v>0,00</v>
      </c>
      <c r="T2890" t="str">
        <f t="shared" si="1872"/>
        <v xml:space="preserve"> </v>
      </c>
      <c r="U2890" t="str">
        <f t="shared" si="1874"/>
        <v xml:space="preserve"> </v>
      </c>
      <c r="V2890" t="str">
        <f t="shared" si="1898"/>
        <v>0,000</v>
      </c>
      <c r="W2890" t="str">
        <f t="shared" si="1881"/>
        <v>Lista 4</v>
      </c>
      <c r="X2890" t="str">
        <f t="shared" si="1882"/>
        <v>Lista 5</v>
      </c>
      <c r="Y2890" t="str">
        <f t="shared" si="1883"/>
        <v>Oferta Gral.</v>
      </c>
      <c r="Z2890" t="str">
        <f t="shared" si="1884"/>
        <v>Rubro</v>
      </c>
      <c r="AA2890" t="str">
        <f t="shared" si="1885"/>
        <v>Cantidad por Bulto</v>
      </c>
      <c r="AB2890" t="str">
        <f t="shared" si="1886"/>
        <v>INNER</v>
      </c>
      <c r="AC2890" t="str">
        <f t="shared" si="1887"/>
        <v>Stock en Bultos</v>
      </c>
      <c r="AD2890" t="str">
        <f t="shared" si="1888"/>
        <v>SubDepósito</v>
      </c>
      <c r="AE2890" t="str">
        <f t="shared" si="1889"/>
        <v>Marca</v>
      </c>
      <c r="AF2890" t="str">
        <f t="shared" si="1890"/>
        <v>Super Rubro</v>
      </c>
      <c r="AG2890" t="str">
        <f t="shared" si="1891"/>
        <v>ComercioExterior</v>
      </c>
      <c r="AH2890" t="str">
        <f t="shared" si="1892"/>
        <v>PrecioFOB</v>
      </c>
      <c r="AI2890" t="str">
        <f t="shared" si="1893"/>
        <v>Monto II</v>
      </c>
      <c r="AJ2890" t="str">
        <f t="shared" si="1894"/>
        <v>Porcentaje II</v>
      </c>
      <c r="AK2890" t="str">
        <f t="shared" si="1895"/>
        <v>Foto</v>
      </c>
      <c r="AL2890" t="str">
        <f>" "</f>
        <v xml:space="preserve"> </v>
      </c>
      <c r="AM2890" t="str">
        <f t="shared" si="1868"/>
        <v>-</v>
      </c>
    </row>
    <row r="2891" spans="1:39" x14ac:dyDescent="0.25">
      <c r="A2891" t="str">
        <f>"FI30099"</f>
        <v>FI30099</v>
      </c>
      <c r="B2891" t="str">
        <f>"SENSOR RPM FORD FIESTA V ST 150 / FOCUS 1.8/ 2.0 - MONDEO III 2.0I / 2.0 16V / S-MAX 2.0 - "</f>
        <v xml:space="preserve">SENSOR RPM FORD FIESTA V ST 150 / FOCUS 1.8/ 2.0 - MONDEO III 2.0I / 2.0 16V / S-MAX 2.0 - </v>
      </c>
      <c r="C2891" t="str">
        <f>"$ 16320,39"</f>
        <v>$ 16320,39</v>
      </c>
      <c r="D2891" t="str">
        <f>"$ 16320,39"</f>
        <v>$ 16320,39</v>
      </c>
      <c r="E2891" t="str">
        <f>"$ 16320,39"</f>
        <v>$ 16320,39</v>
      </c>
      <c r="F2891" t="str">
        <f>"$ 16320,39"</f>
        <v>$ 16320,39</v>
      </c>
      <c r="G2891" t="str">
        <f>"$ 16320,39"</f>
        <v>$ 16320,39</v>
      </c>
      <c r="H2891" t="str">
        <f t="shared" si="1875"/>
        <v>$ 0,00</v>
      </c>
      <c r="I2891" t="str">
        <f t="shared" si="1876"/>
        <v>SENSOR RPM</v>
      </c>
      <c r="J2891" t="str">
        <f t="shared" si="1877"/>
        <v>1</v>
      </c>
      <c r="K2891" t="str">
        <f t="shared" si="1896"/>
        <v>1</v>
      </c>
      <c r="L2891" t="str">
        <f t="shared" si="1897"/>
        <v>0,000</v>
      </c>
      <c r="M2891" t="str">
        <f t="shared" si="1878"/>
        <v xml:space="preserve"> </v>
      </c>
      <c r="N2891" t="str">
        <f t="shared" si="1867"/>
        <v>FISPA</v>
      </c>
      <c r="O2891" t="str">
        <f t="shared" si="1873"/>
        <v>SENSORES</v>
      </c>
      <c r="P2891" t="str">
        <f t="shared" si="1879"/>
        <v>0</v>
      </c>
      <c r="Q2891" t="str">
        <f t="shared" si="1879"/>
        <v>0</v>
      </c>
      <c r="R2891" t="str">
        <f t="shared" si="1880"/>
        <v>0,00</v>
      </c>
      <c r="S2891" t="str">
        <f t="shared" si="1880"/>
        <v>0,00</v>
      </c>
      <c r="T2891" t="str">
        <f t="shared" si="1872"/>
        <v xml:space="preserve"> </v>
      </c>
      <c r="U2891" t="str">
        <f t="shared" si="1874"/>
        <v xml:space="preserve"> </v>
      </c>
      <c r="V2891" t="str">
        <f t="shared" si="1898"/>
        <v>0,000</v>
      </c>
      <c r="W2891" t="str">
        <f t="shared" si="1881"/>
        <v>Lista 4</v>
      </c>
      <c r="X2891" t="str">
        <f t="shared" si="1882"/>
        <v>Lista 5</v>
      </c>
      <c r="Y2891" t="str">
        <f t="shared" si="1883"/>
        <v>Oferta Gral.</v>
      </c>
      <c r="Z2891" t="str">
        <f t="shared" si="1884"/>
        <v>Rubro</v>
      </c>
      <c r="AA2891" t="str">
        <f t="shared" si="1885"/>
        <v>Cantidad por Bulto</v>
      </c>
      <c r="AB2891" t="str">
        <f t="shared" si="1886"/>
        <v>INNER</v>
      </c>
      <c r="AC2891" t="str">
        <f t="shared" si="1887"/>
        <v>Stock en Bultos</v>
      </c>
      <c r="AD2891" t="str">
        <f t="shared" si="1888"/>
        <v>SubDepósito</v>
      </c>
      <c r="AE2891" t="str">
        <f t="shared" si="1889"/>
        <v>Marca</v>
      </c>
      <c r="AF2891" t="str">
        <f t="shared" si="1890"/>
        <v>Super Rubro</v>
      </c>
      <c r="AG2891" t="str">
        <f t="shared" si="1891"/>
        <v>ComercioExterior</v>
      </c>
      <c r="AH2891" t="str">
        <f t="shared" si="1892"/>
        <v>PrecioFOB</v>
      </c>
      <c r="AI2891" t="str">
        <f t="shared" si="1893"/>
        <v>Monto II</v>
      </c>
      <c r="AJ2891" t="str">
        <f t="shared" si="1894"/>
        <v>Porcentaje II</v>
      </c>
      <c r="AK2891" t="str">
        <f t="shared" si="1895"/>
        <v>Foto</v>
      </c>
      <c r="AL289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91" t="str">
        <f t="shared" si="1868"/>
        <v>-</v>
      </c>
    </row>
    <row r="2892" spans="1:39" x14ac:dyDescent="0.25">
      <c r="A2892" t="str">
        <f>"FI30049"</f>
        <v>FI30049</v>
      </c>
      <c r="B2892" t="str">
        <f>"SENSOR RPM FORD FOCUS 1.6  / 1.8 / 2.0 16V"</f>
        <v>SENSOR RPM FORD FOCUS 1.6  / 1.8 / 2.0 16V</v>
      </c>
      <c r="C2892" t="str">
        <f>"$ 55662,15"</f>
        <v>$ 55662,15</v>
      </c>
      <c r="D2892" t="str">
        <f>"$ 55662,15"</f>
        <v>$ 55662,15</v>
      </c>
      <c r="E2892" t="str">
        <f>"$ 55662,15"</f>
        <v>$ 55662,15</v>
      </c>
      <c r="F2892" t="str">
        <f>"$ 55662,15"</f>
        <v>$ 55662,15</v>
      </c>
      <c r="G2892" t="str">
        <f>"$ 55662,15"</f>
        <v>$ 55662,15</v>
      </c>
      <c r="H2892" t="str">
        <f t="shared" si="1875"/>
        <v>$ 0,00</v>
      </c>
      <c r="I2892" t="str">
        <f t="shared" si="1876"/>
        <v>SENSOR RPM</v>
      </c>
      <c r="J2892" t="str">
        <f t="shared" si="1877"/>
        <v>1</v>
      </c>
      <c r="K2892" t="str">
        <f>"0"</f>
        <v>0</v>
      </c>
      <c r="L2892" t="str">
        <f>"3,000"</f>
        <v>3,000</v>
      </c>
      <c r="M2892" t="str">
        <f t="shared" si="1878"/>
        <v xml:space="preserve"> </v>
      </c>
      <c r="N2892" t="str">
        <f t="shared" si="1867"/>
        <v>FISPA</v>
      </c>
      <c r="O2892" t="str">
        <f t="shared" si="1873"/>
        <v>SENSORES</v>
      </c>
      <c r="P2892" t="str">
        <f t="shared" si="1879"/>
        <v>0</v>
      </c>
      <c r="Q2892" t="str">
        <f t="shared" si="1879"/>
        <v>0</v>
      </c>
      <c r="R2892" t="str">
        <f t="shared" si="1880"/>
        <v>0,00</v>
      </c>
      <c r="S2892" t="str">
        <f t="shared" si="1880"/>
        <v>0,00</v>
      </c>
      <c r="T2892" t="str">
        <f t="shared" si="1872"/>
        <v xml:space="preserve"> </v>
      </c>
      <c r="U2892" t="str">
        <f t="shared" si="1874"/>
        <v xml:space="preserve"> </v>
      </c>
      <c r="V2892" t="str">
        <f>"3,000"</f>
        <v>3,000</v>
      </c>
      <c r="W2892" t="str">
        <f t="shared" si="1881"/>
        <v>Lista 4</v>
      </c>
      <c r="X2892" t="str">
        <f t="shared" si="1882"/>
        <v>Lista 5</v>
      </c>
      <c r="Y2892" t="str">
        <f t="shared" si="1883"/>
        <v>Oferta Gral.</v>
      </c>
      <c r="Z2892" t="str">
        <f t="shared" si="1884"/>
        <v>Rubro</v>
      </c>
      <c r="AA2892" t="str">
        <f t="shared" si="1885"/>
        <v>Cantidad por Bulto</v>
      </c>
      <c r="AB2892" t="str">
        <f t="shared" si="1886"/>
        <v>INNER</v>
      </c>
      <c r="AC2892" t="str">
        <f t="shared" si="1887"/>
        <v>Stock en Bultos</v>
      </c>
      <c r="AD2892" t="str">
        <f t="shared" si="1888"/>
        <v>SubDepósito</v>
      </c>
      <c r="AE2892" t="str">
        <f t="shared" si="1889"/>
        <v>Marca</v>
      </c>
      <c r="AF2892" t="str">
        <f t="shared" si="1890"/>
        <v>Super Rubro</v>
      </c>
      <c r="AG2892" t="str">
        <f t="shared" si="1891"/>
        <v>ComercioExterior</v>
      </c>
      <c r="AH2892" t="str">
        <f t="shared" si="1892"/>
        <v>PrecioFOB</v>
      </c>
      <c r="AI2892" t="str">
        <f t="shared" si="1893"/>
        <v>Monto II</v>
      </c>
      <c r="AJ2892" t="str">
        <f t="shared" si="1894"/>
        <v>Porcentaje II</v>
      </c>
      <c r="AK2892" t="str">
        <f t="shared" si="1895"/>
        <v>Foto</v>
      </c>
      <c r="AL2892" t="str">
        <f>" "</f>
        <v xml:space="preserve"> </v>
      </c>
      <c r="AM2892" t="str">
        <f t="shared" si="1868"/>
        <v>-</v>
      </c>
    </row>
    <row r="2893" spans="1:39" x14ac:dyDescent="0.25">
      <c r="A2893" t="str">
        <f>"FI30016"</f>
        <v>FI30016</v>
      </c>
      <c r="B2893" t="str">
        <f>"SENSOR RPM FORD KA (RB) 1.3I / FORD FIESTA IV1.4 I 16V  FOCUS 1.6 16V(DAW-DBW) FOCUS 1.4"</f>
        <v>SENSOR RPM FORD KA (RB) 1.3I / FORD FIESTA IV1.4 I 16V  FOCUS 1.6 16V(DAW-DBW) FOCUS 1.4</v>
      </c>
      <c r="C2893" t="str">
        <f>"$ 30507,20"</f>
        <v>$ 30507,20</v>
      </c>
      <c r="D2893" t="str">
        <f>"$ 30507,20"</f>
        <v>$ 30507,20</v>
      </c>
      <c r="E2893" t="str">
        <f>"$ 30507,20"</f>
        <v>$ 30507,20</v>
      </c>
      <c r="F2893" t="str">
        <f>"$ 30507,20"</f>
        <v>$ 30507,20</v>
      </c>
      <c r="G2893" t="str">
        <f>"$ 30507,20"</f>
        <v>$ 30507,20</v>
      </c>
      <c r="H2893" t="str">
        <f t="shared" si="1875"/>
        <v>$ 0,00</v>
      </c>
      <c r="I2893" t="str">
        <f t="shared" si="1876"/>
        <v>SENSOR RPM</v>
      </c>
      <c r="J2893" t="str">
        <f t="shared" si="1877"/>
        <v>1</v>
      </c>
      <c r="K2893" t="str">
        <f>"0"</f>
        <v>0</v>
      </c>
      <c r="L2893" t="str">
        <f>"3,000"</f>
        <v>3,000</v>
      </c>
      <c r="M2893" t="str">
        <f t="shared" si="1878"/>
        <v xml:space="preserve"> </v>
      </c>
      <c r="N2893" t="str">
        <f t="shared" si="1867"/>
        <v>FISPA</v>
      </c>
      <c r="O2893" t="str">
        <f t="shared" si="1873"/>
        <v>SENSORES</v>
      </c>
      <c r="P2893" t="str">
        <f t="shared" si="1879"/>
        <v>0</v>
      </c>
      <c r="Q2893" t="str">
        <f t="shared" si="1879"/>
        <v>0</v>
      </c>
      <c r="R2893" t="str">
        <f t="shared" si="1880"/>
        <v>0,00</v>
      </c>
      <c r="S2893" t="str">
        <f t="shared" si="1880"/>
        <v>0,00</v>
      </c>
      <c r="T2893" t="str">
        <f t="shared" si="1872"/>
        <v xml:space="preserve"> </v>
      </c>
      <c r="U2893" t="str">
        <f t="shared" si="1874"/>
        <v xml:space="preserve"> </v>
      </c>
      <c r="V2893" t="str">
        <f>"3,000"</f>
        <v>3,000</v>
      </c>
      <c r="W2893" t="str">
        <f t="shared" si="1881"/>
        <v>Lista 4</v>
      </c>
      <c r="X2893" t="str">
        <f t="shared" si="1882"/>
        <v>Lista 5</v>
      </c>
      <c r="Y2893" t="str">
        <f t="shared" si="1883"/>
        <v>Oferta Gral.</v>
      </c>
      <c r="Z2893" t="str">
        <f t="shared" si="1884"/>
        <v>Rubro</v>
      </c>
      <c r="AA2893" t="str">
        <f t="shared" si="1885"/>
        <v>Cantidad por Bulto</v>
      </c>
      <c r="AB2893" t="str">
        <f t="shared" si="1886"/>
        <v>INNER</v>
      </c>
      <c r="AC2893" t="str">
        <f t="shared" si="1887"/>
        <v>Stock en Bultos</v>
      </c>
      <c r="AD2893" t="str">
        <f t="shared" si="1888"/>
        <v>SubDepósito</v>
      </c>
      <c r="AE2893" t="str">
        <f t="shared" si="1889"/>
        <v>Marca</v>
      </c>
      <c r="AF2893" t="str">
        <f t="shared" si="1890"/>
        <v>Super Rubro</v>
      </c>
      <c r="AG2893" t="str">
        <f t="shared" si="1891"/>
        <v>ComercioExterior</v>
      </c>
      <c r="AH2893" t="str">
        <f t="shared" si="1892"/>
        <v>PrecioFOB</v>
      </c>
      <c r="AI2893" t="str">
        <f t="shared" si="1893"/>
        <v>Monto II</v>
      </c>
      <c r="AJ2893" t="str">
        <f t="shared" si="1894"/>
        <v>Porcentaje II</v>
      </c>
      <c r="AK2893" t="str">
        <f t="shared" si="1895"/>
        <v>Foto</v>
      </c>
      <c r="AL289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93" t="str">
        <f t="shared" si="1868"/>
        <v>-</v>
      </c>
    </row>
    <row r="2894" spans="1:39" x14ac:dyDescent="0.25">
      <c r="A2894" t="str">
        <f>"FI30121"</f>
        <v>FI30121</v>
      </c>
      <c r="B2894" t="str">
        <f>"SENSOR RPM FORD MONDEO II – III"</f>
        <v>SENSOR RPM FORD MONDEO II – III</v>
      </c>
      <c r="C2894" t="str">
        <f>"$ 46555,40"</f>
        <v>$ 46555,40</v>
      </c>
      <c r="D2894" t="str">
        <f>"$ 46555,40"</f>
        <v>$ 46555,40</v>
      </c>
      <c r="E2894" t="str">
        <f>"$ 46555,40"</f>
        <v>$ 46555,40</v>
      </c>
      <c r="F2894" t="str">
        <f>"$ 46555,40"</f>
        <v>$ 46555,40</v>
      </c>
      <c r="G2894" t="str">
        <f>"$ 46555,40"</f>
        <v>$ 46555,40</v>
      </c>
      <c r="H2894" t="str">
        <f t="shared" si="1875"/>
        <v>$ 0,00</v>
      </c>
      <c r="I2894" t="str">
        <f t="shared" si="1876"/>
        <v>SENSOR RPM</v>
      </c>
      <c r="J2894" t="str">
        <f t="shared" si="1877"/>
        <v>1</v>
      </c>
      <c r="K2894" t="str">
        <f t="shared" ref="K2894:K2908" si="1899">"1"</f>
        <v>1</v>
      </c>
      <c r="L2894" t="str">
        <f>"0,000"</f>
        <v>0,000</v>
      </c>
      <c r="M2894" t="str">
        <f t="shared" si="1878"/>
        <v xml:space="preserve"> </v>
      </c>
      <c r="N2894" t="str">
        <f t="shared" si="1867"/>
        <v>FISPA</v>
      </c>
      <c r="O2894" t="str">
        <f t="shared" si="1873"/>
        <v>SENSORES</v>
      </c>
      <c r="P2894" t="str">
        <f t="shared" si="1879"/>
        <v>0</v>
      </c>
      <c r="Q2894" t="str">
        <f t="shared" si="1879"/>
        <v>0</v>
      </c>
      <c r="R2894" t="str">
        <f t="shared" si="1880"/>
        <v>0,00</v>
      </c>
      <c r="S2894" t="str">
        <f t="shared" si="1880"/>
        <v>0,00</v>
      </c>
      <c r="T2894" t="str">
        <f t="shared" si="1872"/>
        <v xml:space="preserve"> </v>
      </c>
      <c r="U2894" t="str">
        <f t="shared" si="1874"/>
        <v xml:space="preserve"> </v>
      </c>
      <c r="V2894" t="str">
        <f>"0,000"</f>
        <v>0,000</v>
      </c>
      <c r="W2894" t="str">
        <f t="shared" si="1881"/>
        <v>Lista 4</v>
      </c>
      <c r="X2894" t="str">
        <f t="shared" si="1882"/>
        <v>Lista 5</v>
      </c>
      <c r="Y2894" t="str">
        <f t="shared" si="1883"/>
        <v>Oferta Gral.</v>
      </c>
      <c r="Z2894" t="str">
        <f t="shared" si="1884"/>
        <v>Rubro</v>
      </c>
      <c r="AA2894" t="str">
        <f t="shared" si="1885"/>
        <v>Cantidad por Bulto</v>
      </c>
      <c r="AB2894" t="str">
        <f t="shared" si="1886"/>
        <v>INNER</v>
      </c>
      <c r="AC2894" t="str">
        <f t="shared" si="1887"/>
        <v>Stock en Bultos</v>
      </c>
      <c r="AD2894" t="str">
        <f t="shared" si="1888"/>
        <v>SubDepósito</v>
      </c>
      <c r="AE2894" t="str">
        <f t="shared" si="1889"/>
        <v>Marca</v>
      </c>
      <c r="AF2894" t="str">
        <f t="shared" si="1890"/>
        <v>Super Rubro</v>
      </c>
      <c r="AG2894" t="str">
        <f t="shared" si="1891"/>
        <v>ComercioExterior</v>
      </c>
      <c r="AH2894" t="str">
        <f t="shared" si="1892"/>
        <v>PrecioFOB</v>
      </c>
      <c r="AI2894" t="str">
        <f t="shared" si="1893"/>
        <v>Monto II</v>
      </c>
      <c r="AJ2894" t="str">
        <f t="shared" si="1894"/>
        <v>Porcentaje II</v>
      </c>
      <c r="AK2894" t="str">
        <f t="shared" si="1895"/>
        <v>Foto</v>
      </c>
      <c r="AL289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94" t="str">
        <f t="shared" si="1868"/>
        <v>-</v>
      </c>
    </row>
    <row r="2895" spans="1:39" x14ac:dyDescent="0.25">
      <c r="A2895" t="str">
        <f>"FI30138"</f>
        <v>FI30138</v>
      </c>
      <c r="B2895" t="str">
        <f>"SENSOR RPM FORD MONDEO III 2.0 16V DI / TDDI / TDCI - TRANSIT  2.0 / 2.4 TDCI  - "</f>
        <v xml:space="preserve">SENSOR RPM FORD MONDEO III 2.0 16V DI / TDDI / TDCI - TRANSIT  2.0 / 2.4 TDCI  - </v>
      </c>
      <c r="C2895" t="str">
        <f>"$ 19706,28"</f>
        <v>$ 19706,28</v>
      </c>
      <c r="D2895" t="str">
        <f>"$ 19706,28"</f>
        <v>$ 19706,28</v>
      </c>
      <c r="E2895" t="str">
        <f>"$ 19706,28"</f>
        <v>$ 19706,28</v>
      </c>
      <c r="F2895" t="str">
        <f>"$ 19706,28"</f>
        <v>$ 19706,28</v>
      </c>
      <c r="G2895" t="str">
        <f>"$ 19706,28"</f>
        <v>$ 19706,28</v>
      </c>
      <c r="H2895" t="str">
        <f t="shared" si="1875"/>
        <v>$ 0,00</v>
      </c>
      <c r="I2895" t="str">
        <f t="shared" si="1876"/>
        <v>SENSOR RPM</v>
      </c>
      <c r="J2895" t="str">
        <f t="shared" si="1877"/>
        <v>1</v>
      </c>
      <c r="K2895" t="str">
        <f t="shared" si="1899"/>
        <v>1</v>
      </c>
      <c r="L2895" t="str">
        <f>"3,000"</f>
        <v>3,000</v>
      </c>
      <c r="M2895" t="str">
        <f t="shared" si="1878"/>
        <v xml:space="preserve"> </v>
      </c>
      <c r="N2895" t="str">
        <f t="shared" si="1867"/>
        <v>FISPA</v>
      </c>
      <c r="O2895" t="str">
        <f t="shared" si="1873"/>
        <v>SENSORES</v>
      </c>
      <c r="P2895" t="str">
        <f t="shared" si="1879"/>
        <v>0</v>
      </c>
      <c r="Q2895" t="str">
        <f t="shared" si="1879"/>
        <v>0</v>
      </c>
      <c r="R2895" t="str">
        <f t="shared" si="1880"/>
        <v>0,00</v>
      </c>
      <c r="S2895" t="str">
        <f t="shared" si="1880"/>
        <v>0,00</v>
      </c>
      <c r="T2895" t="str">
        <f t="shared" si="1872"/>
        <v xml:space="preserve"> </v>
      </c>
      <c r="U2895" t="str">
        <f t="shared" si="1874"/>
        <v xml:space="preserve"> </v>
      </c>
      <c r="V2895" t="str">
        <f>"3,000"</f>
        <v>3,000</v>
      </c>
      <c r="W2895" t="str">
        <f t="shared" si="1881"/>
        <v>Lista 4</v>
      </c>
      <c r="X2895" t="str">
        <f t="shared" si="1882"/>
        <v>Lista 5</v>
      </c>
      <c r="Y2895" t="str">
        <f t="shared" si="1883"/>
        <v>Oferta Gral.</v>
      </c>
      <c r="Z2895" t="str">
        <f t="shared" si="1884"/>
        <v>Rubro</v>
      </c>
      <c r="AA2895" t="str">
        <f t="shared" si="1885"/>
        <v>Cantidad por Bulto</v>
      </c>
      <c r="AB2895" t="str">
        <f t="shared" si="1886"/>
        <v>INNER</v>
      </c>
      <c r="AC2895" t="str">
        <f t="shared" si="1887"/>
        <v>Stock en Bultos</v>
      </c>
      <c r="AD2895" t="str">
        <f t="shared" si="1888"/>
        <v>SubDepósito</v>
      </c>
      <c r="AE2895" t="str">
        <f t="shared" si="1889"/>
        <v>Marca</v>
      </c>
      <c r="AF2895" t="str">
        <f t="shared" si="1890"/>
        <v>Super Rubro</v>
      </c>
      <c r="AG2895" t="str">
        <f t="shared" si="1891"/>
        <v>ComercioExterior</v>
      </c>
      <c r="AH2895" t="str">
        <f t="shared" si="1892"/>
        <v>PrecioFOB</v>
      </c>
      <c r="AI2895" t="str">
        <f t="shared" si="1893"/>
        <v>Monto II</v>
      </c>
      <c r="AJ2895" t="str">
        <f t="shared" si="1894"/>
        <v>Porcentaje II</v>
      </c>
      <c r="AK2895" t="str">
        <f t="shared" si="1895"/>
        <v>Foto</v>
      </c>
      <c r="AL2895" t="str">
        <f>"{\rtf1\ansi\ansicpg1252\deff0\deflang11274{\fonttbl{\f0\fnil\fcharset0 MS Sans Serif}} \viewkind4\uc1\pard\f0\fs16 SENSOR RPM FORD MONDEO III 2.0 16V DI / TDDI / TDCI - TRANSIT  2.0 / 2.4 TDCI  - \par } "</f>
        <v xml:space="preserve">{\rtf1\ansi\ansicpg1252\deff0\deflang11274{\fonttbl{\f0\fnil\fcharset0 MS Sans Serif}} \viewkind4\uc1\pard\f0\fs16 SENSOR RPM FORD MONDEO III 2.0 16V DI / TDDI / TDCI - TRANSIT  2.0 / 2.4 TDCI  - \par } </v>
      </c>
      <c r="AM2895" t="str">
        <f t="shared" si="1868"/>
        <v>-</v>
      </c>
    </row>
    <row r="2896" spans="1:39" x14ac:dyDescent="0.25">
      <c r="A2896" t="str">
        <f>"FI30106"</f>
        <v>FI30106</v>
      </c>
      <c r="B2896" t="str">
        <f>"SENSOR RPM FORD RANGER 3.0 - USA EXPLORER 4.0 / 4.0 4X4 V6"</f>
        <v>SENSOR RPM FORD RANGER 3.0 - USA EXPLORER 4.0 / 4.0 4X4 V6</v>
      </c>
      <c r="C2896" t="str">
        <f>"$ 39388,15"</f>
        <v>$ 39388,15</v>
      </c>
      <c r="D2896" t="str">
        <f>"$ 39388,15"</f>
        <v>$ 39388,15</v>
      </c>
      <c r="E2896" t="str">
        <f>"$ 39388,15"</f>
        <v>$ 39388,15</v>
      </c>
      <c r="F2896" t="str">
        <f>"$ 39388,15"</f>
        <v>$ 39388,15</v>
      </c>
      <c r="G2896" t="str">
        <f>"$ 39388,15"</f>
        <v>$ 39388,15</v>
      </c>
      <c r="H2896" t="str">
        <f t="shared" si="1875"/>
        <v>$ 0,00</v>
      </c>
      <c r="I2896" t="str">
        <f t="shared" si="1876"/>
        <v>SENSOR RPM</v>
      </c>
      <c r="J2896" t="str">
        <f t="shared" si="1877"/>
        <v>1</v>
      </c>
      <c r="K2896" t="str">
        <f t="shared" si="1899"/>
        <v>1</v>
      </c>
      <c r="L2896" t="str">
        <f t="shared" ref="L2896:L2908" si="1900">"0,000"</f>
        <v>0,000</v>
      </c>
      <c r="M2896" t="str">
        <f t="shared" si="1878"/>
        <v xml:space="preserve"> </v>
      </c>
      <c r="N2896" t="str">
        <f t="shared" si="1867"/>
        <v>FISPA</v>
      </c>
      <c r="O2896" t="str">
        <f t="shared" si="1873"/>
        <v>SENSORES</v>
      </c>
      <c r="P2896" t="str">
        <f t="shared" si="1879"/>
        <v>0</v>
      </c>
      <c r="Q2896" t="str">
        <f t="shared" si="1879"/>
        <v>0</v>
      </c>
      <c r="R2896" t="str">
        <f t="shared" si="1880"/>
        <v>0,00</v>
      </c>
      <c r="S2896" t="str">
        <f t="shared" si="1880"/>
        <v>0,00</v>
      </c>
      <c r="T2896" t="str">
        <f t="shared" si="1872"/>
        <v xml:space="preserve"> </v>
      </c>
      <c r="U2896" t="str">
        <f t="shared" si="1874"/>
        <v xml:space="preserve"> </v>
      </c>
      <c r="V2896" t="str">
        <f t="shared" ref="V2896:V2908" si="1901">"0,000"</f>
        <v>0,000</v>
      </c>
      <c r="W2896" t="str">
        <f t="shared" si="1881"/>
        <v>Lista 4</v>
      </c>
      <c r="X2896" t="str">
        <f t="shared" si="1882"/>
        <v>Lista 5</v>
      </c>
      <c r="Y2896" t="str">
        <f t="shared" si="1883"/>
        <v>Oferta Gral.</v>
      </c>
      <c r="Z2896" t="str">
        <f t="shared" si="1884"/>
        <v>Rubro</v>
      </c>
      <c r="AA2896" t="str">
        <f t="shared" si="1885"/>
        <v>Cantidad por Bulto</v>
      </c>
      <c r="AB2896" t="str">
        <f t="shared" si="1886"/>
        <v>INNER</v>
      </c>
      <c r="AC2896" t="str">
        <f t="shared" si="1887"/>
        <v>Stock en Bultos</v>
      </c>
      <c r="AD2896" t="str">
        <f t="shared" si="1888"/>
        <v>SubDepósito</v>
      </c>
      <c r="AE2896" t="str">
        <f t="shared" si="1889"/>
        <v>Marca</v>
      </c>
      <c r="AF2896" t="str">
        <f t="shared" si="1890"/>
        <v>Super Rubro</v>
      </c>
      <c r="AG2896" t="str">
        <f t="shared" si="1891"/>
        <v>ComercioExterior</v>
      </c>
      <c r="AH2896" t="str">
        <f t="shared" si="1892"/>
        <v>PrecioFOB</v>
      </c>
      <c r="AI2896" t="str">
        <f t="shared" si="1893"/>
        <v>Monto II</v>
      </c>
      <c r="AJ2896" t="str">
        <f t="shared" si="1894"/>
        <v>Porcentaje II</v>
      </c>
      <c r="AK2896" t="str">
        <f t="shared" si="1895"/>
        <v>Foto</v>
      </c>
      <c r="AL289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96" t="str">
        <f t="shared" si="1868"/>
        <v>-</v>
      </c>
    </row>
    <row r="2897" spans="1:39" x14ac:dyDescent="0.25">
      <c r="A2897" t="str">
        <f>"FI30104"</f>
        <v>FI30104</v>
      </c>
      <c r="B2897" t="str">
        <f>"SENSOR RPM FORD USA EXPLORER 4.0 V6 4X4"</f>
        <v>SENSOR RPM FORD USA EXPLORER 4.0 V6 4X4</v>
      </c>
      <c r="C2897" t="str">
        <f>"$ 50999,53"</f>
        <v>$ 50999,53</v>
      </c>
      <c r="D2897" t="str">
        <f>"$ 50999,53"</f>
        <v>$ 50999,53</v>
      </c>
      <c r="E2897" t="str">
        <f>"$ 50999,53"</f>
        <v>$ 50999,53</v>
      </c>
      <c r="F2897" t="str">
        <f>"$ 50999,53"</f>
        <v>$ 50999,53</v>
      </c>
      <c r="G2897" t="str">
        <f>"$ 50999,53"</f>
        <v>$ 50999,53</v>
      </c>
      <c r="H2897" t="str">
        <f t="shared" si="1875"/>
        <v>$ 0,00</v>
      </c>
      <c r="I2897" t="str">
        <f t="shared" si="1876"/>
        <v>SENSOR RPM</v>
      </c>
      <c r="J2897" t="str">
        <f t="shared" si="1877"/>
        <v>1</v>
      </c>
      <c r="K2897" t="str">
        <f t="shared" si="1899"/>
        <v>1</v>
      </c>
      <c r="L2897" t="str">
        <f t="shared" si="1900"/>
        <v>0,000</v>
      </c>
      <c r="M2897" t="str">
        <f t="shared" si="1878"/>
        <v xml:space="preserve"> </v>
      </c>
      <c r="N2897" t="str">
        <f t="shared" si="1867"/>
        <v>FISPA</v>
      </c>
      <c r="O2897" t="str">
        <f t="shared" si="1873"/>
        <v>SENSORES</v>
      </c>
      <c r="P2897" t="str">
        <f t="shared" si="1879"/>
        <v>0</v>
      </c>
      <c r="Q2897" t="str">
        <f t="shared" si="1879"/>
        <v>0</v>
      </c>
      <c r="R2897" t="str">
        <f t="shared" si="1880"/>
        <v>0,00</v>
      </c>
      <c r="S2897" t="str">
        <f t="shared" si="1880"/>
        <v>0,00</v>
      </c>
      <c r="T2897" t="str">
        <f t="shared" si="1872"/>
        <v xml:space="preserve"> </v>
      </c>
      <c r="U2897" t="str">
        <f t="shared" si="1874"/>
        <v xml:space="preserve"> </v>
      </c>
      <c r="V2897" t="str">
        <f t="shared" si="1901"/>
        <v>0,000</v>
      </c>
      <c r="W2897" t="str">
        <f t="shared" si="1881"/>
        <v>Lista 4</v>
      </c>
      <c r="X2897" t="str">
        <f t="shared" si="1882"/>
        <v>Lista 5</v>
      </c>
      <c r="Y2897" t="str">
        <f t="shared" si="1883"/>
        <v>Oferta Gral.</v>
      </c>
      <c r="Z2897" t="str">
        <f t="shared" si="1884"/>
        <v>Rubro</v>
      </c>
      <c r="AA2897" t="str">
        <f t="shared" si="1885"/>
        <v>Cantidad por Bulto</v>
      </c>
      <c r="AB2897" t="str">
        <f t="shared" si="1886"/>
        <v>INNER</v>
      </c>
      <c r="AC2897" t="str">
        <f t="shared" si="1887"/>
        <v>Stock en Bultos</v>
      </c>
      <c r="AD2897" t="str">
        <f t="shared" si="1888"/>
        <v>SubDepósito</v>
      </c>
      <c r="AE2897" t="str">
        <f t="shared" si="1889"/>
        <v>Marca</v>
      </c>
      <c r="AF2897" t="str">
        <f t="shared" si="1890"/>
        <v>Super Rubro</v>
      </c>
      <c r="AG2897" t="str">
        <f t="shared" si="1891"/>
        <v>ComercioExterior</v>
      </c>
      <c r="AH2897" t="str">
        <f t="shared" si="1892"/>
        <v>PrecioFOB</v>
      </c>
      <c r="AI2897" t="str">
        <f t="shared" si="1893"/>
        <v>Monto II</v>
      </c>
      <c r="AJ2897" t="str">
        <f t="shared" si="1894"/>
        <v>Porcentaje II</v>
      </c>
      <c r="AK2897" t="str">
        <f t="shared" si="1895"/>
        <v>Foto</v>
      </c>
      <c r="AL2897" t="str">
        <f t="shared" ref="AL2897:AL2904" si="1902">" "</f>
        <v xml:space="preserve"> </v>
      </c>
      <c r="AM2897" t="str">
        <f t="shared" si="1868"/>
        <v>-</v>
      </c>
    </row>
    <row r="2898" spans="1:39" x14ac:dyDescent="0.25">
      <c r="A2898" t="str">
        <f>"FI30079"</f>
        <v>FI30079</v>
      </c>
      <c r="B2898" t="str">
        <f>"SENSOR RPM GENERAL MOTOR  - OPEL CORSA C / MERIVA DTI"</f>
        <v>SENSOR RPM GENERAL MOTOR  - OPEL CORSA C / MERIVA DTI</v>
      </c>
      <c r="C2898" t="str">
        <f>"$ 21557,90"</f>
        <v>$ 21557,90</v>
      </c>
      <c r="D2898" t="str">
        <f>"$ 21557,90"</f>
        <v>$ 21557,90</v>
      </c>
      <c r="E2898" t="str">
        <f>"$ 21557,90"</f>
        <v>$ 21557,90</v>
      </c>
      <c r="F2898" t="str">
        <f>"$ 21557,90"</f>
        <v>$ 21557,90</v>
      </c>
      <c r="G2898" t="str">
        <f>"$ 21557,90"</f>
        <v>$ 21557,90</v>
      </c>
      <c r="H2898" t="str">
        <f t="shared" si="1875"/>
        <v>$ 0,00</v>
      </c>
      <c r="I2898" t="str">
        <f t="shared" si="1876"/>
        <v>SENSOR RPM</v>
      </c>
      <c r="J2898" t="str">
        <f t="shared" si="1877"/>
        <v>1</v>
      </c>
      <c r="K2898" t="str">
        <f t="shared" si="1899"/>
        <v>1</v>
      </c>
      <c r="L2898" t="str">
        <f t="shared" si="1900"/>
        <v>0,000</v>
      </c>
      <c r="M2898" t="str">
        <f t="shared" si="1878"/>
        <v xml:space="preserve"> </v>
      </c>
      <c r="N2898" t="str">
        <f t="shared" si="1867"/>
        <v>FISPA</v>
      </c>
      <c r="O2898" t="str">
        <f t="shared" si="1873"/>
        <v>SENSORES</v>
      </c>
      <c r="P2898" t="str">
        <f t="shared" si="1879"/>
        <v>0</v>
      </c>
      <c r="Q2898" t="str">
        <f t="shared" si="1879"/>
        <v>0</v>
      </c>
      <c r="R2898" t="str">
        <f t="shared" si="1880"/>
        <v>0,00</v>
      </c>
      <c r="S2898" t="str">
        <f t="shared" si="1880"/>
        <v>0,00</v>
      </c>
      <c r="T2898" t="str">
        <f t="shared" si="1872"/>
        <v xml:space="preserve"> </v>
      </c>
      <c r="U2898" t="str">
        <f t="shared" si="1874"/>
        <v xml:space="preserve"> </v>
      </c>
      <c r="V2898" t="str">
        <f t="shared" si="1901"/>
        <v>0,000</v>
      </c>
      <c r="W2898" t="str">
        <f t="shared" si="1881"/>
        <v>Lista 4</v>
      </c>
      <c r="X2898" t="str">
        <f t="shared" si="1882"/>
        <v>Lista 5</v>
      </c>
      <c r="Y2898" t="str">
        <f t="shared" si="1883"/>
        <v>Oferta Gral.</v>
      </c>
      <c r="Z2898" t="str">
        <f t="shared" si="1884"/>
        <v>Rubro</v>
      </c>
      <c r="AA2898" t="str">
        <f t="shared" si="1885"/>
        <v>Cantidad por Bulto</v>
      </c>
      <c r="AB2898" t="str">
        <f t="shared" si="1886"/>
        <v>INNER</v>
      </c>
      <c r="AC2898" t="str">
        <f t="shared" si="1887"/>
        <v>Stock en Bultos</v>
      </c>
      <c r="AD2898" t="str">
        <f t="shared" si="1888"/>
        <v>SubDepósito</v>
      </c>
      <c r="AE2898" t="str">
        <f t="shared" si="1889"/>
        <v>Marca</v>
      </c>
      <c r="AF2898" t="str">
        <f t="shared" si="1890"/>
        <v>Super Rubro</v>
      </c>
      <c r="AG2898" t="str">
        <f t="shared" si="1891"/>
        <v>ComercioExterior</v>
      </c>
      <c r="AH2898" t="str">
        <f t="shared" si="1892"/>
        <v>PrecioFOB</v>
      </c>
      <c r="AI2898" t="str">
        <f t="shared" si="1893"/>
        <v>Monto II</v>
      </c>
      <c r="AJ2898" t="str">
        <f t="shared" si="1894"/>
        <v>Porcentaje II</v>
      </c>
      <c r="AK2898" t="str">
        <f t="shared" si="1895"/>
        <v>Foto</v>
      </c>
      <c r="AL2898" t="str">
        <f t="shared" si="1902"/>
        <v xml:space="preserve"> </v>
      </c>
      <c r="AM2898" t="str">
        <f t="shared" si="1868"/>
        <v>-</v>
      </c>
    </row>
    <row r="2899" spans="1:39" x14ac:dyDescent="0.25">
      <c r="A2899" t="str">
        <f>"FI30088"</f>
        <v>FI30088</v>
      </c>
      <c r="B2899" t="str">
        <f>"SENSOR RPM GM - OPEL  ASTRA / ZAFIRA 500 OHM"</f>
        <v>SENSOR RPM GM - OPEL  ASTRA / ZAFIRA 500 OHM</v>
      </c>
      <c r="C2899" t="str">
        <f>"$ 18541,84"</f>
        <v>$ 18541,84</v>
      </c>
      <c r="D2899" t="str">
        <f>"$ 18541,84"</f>
        <v>$ 18541,84</v>
      </c>
      <c r="E2899" t="str">
        <f>"$ 18541,84"</f>
        <v>$ 18541,84</v>
      </c>
      <c r="F2899" t="str">
        <f>"$ 18541,84"</f>
        <v>$ 18541,84</v>
      </c>
      <c r="G2899" t="str">
        <f>"$ 18541,84"</f>
        <v>$ 18541,84</v>
      </c>
      <c r="H2899" t="str">
        <f t="shared" si="1875"/>
        <v>$ 0,00</v>
      </c>
      <c r="I2899" t="str">
        <f t="shared" si="1876"/>
        <v>SENSOR RPM</v>
      </c>
      <c r="J2899" t="str">
        <f t="shared" si="1877"/>
        <v>1</v>
      </c>
      <c r="K2899" t="str">
        <f t="shared" si="1899"/>
        <v>1</v>
      </c>
      <c r="L2899" t="str">
        <f t="shared" si="1900"/>
        <v>0,000</v>
      </c>
      <c r="M2899" t="str">
        <f t="shared" si="1878"/>
        <v xml:space="preserve"> </v>
      </c>
      <c r="N2899" t="str">
        <f t="shared" si="1867"/>
        <v>FISPA</v>
      </c>
      <c r="O2899" t="str">
        <f t="shared" si="1873"/>
        <v>SENSORES</v>
      </c>
      <c r="P2899" t="str">
        <f t="shared" si="1879"/>
        <v>0</v>
      </c>
      <c r="Q2899" t="str">
        <f t="shared" si="1879"/>
        <v>0</v>
      </c>
      <c r="R2899" t="str">
        <f t="shared" si="1880"/>
        <v>0,00</v>
      </c>
      <c r="S2899" t="str">
        <f t="shared" si="1880"/>
        <v>0,00</v>
      </c>
      <c r="T2899" t="str">
        <f t="shared" si="1872"/>
        <v xml:space="preserve"> </v>
      </c>
      <c r="U2899" t="str">
        <f t="shared" si="1874"/>
        <v xml:space="preserve"> </v>
      </c>
      <c r="V2899" t="str">
        <f t="shared" si="1901"/>
        <v>0,000</v>
      </c>
      <c r="W2899" t="str">
        <f t="shared" si="1881"/>
        <v>Lista 4</v>
      </c>
      <c r="X2899" t="str">
        <f t="shared" si="1882"/>
        <v>Lista 5</v>
      </c>
      <c r="Y2899" t="str">
        <f t="shared" si="1883"/>
        <v>Oferta Gral.</v>
      </c>
      <c r="Z2899" t="str">
        <f t="shared" si="1884"/>
        <v>Rubro</v>
      </c>
      <c r="AA2899" t="str">
        <f t="shared" si="1885"/>
        <v>Cantidad por Bulto</v>
      </c>
      <c r="AB2899" t="str">
        <f t="shared" si="1886"/>
        <v>INNER</v>
      </c>
      <c r="AC2899" t="str">
        <f t="shared" si="1887"/>
        <v>Stock en Bultos</v>
      </c>
      <c r="AD2899" t="str">
        <f t="shared" si="1888"/>
        <v>SubDepósito</v>
      </c>
      <c r="AE2899" t="str">
        <f t="shared" si="1889"/>
        <v>Marca</v>
      </c>
      <c r="AF2899" t="str">
        <f t="shared" si="1890"/>
        <v>Super Rubro</v>
      </c>
      <c r="AG2899" t="str">
        <f t="shared" si="1891"/>
        <v>ComercioExterior</v>
      </c>
      <c r="AH2899" t="str">
        <f t="shared" si="1892"/>
        <v>PrecioFOB</v>
      </c>
      <c r="AI2899" t="str">
        <f t="shared" si="1893"/>
        <v>Monto II</v>
      </c>
      <c r="AJ2899" t="str">
        <f t="shared" si="1894"/>
        <v>Porcentaje II</v>
      </c>
      <c r="AK2899" t="str">
        <f t="shared" si="1895"/>
        <v>Foto</v>
      </c>
      <c r="AL2899" t="str">
        <f t="shared" si="1902"/>
        <v xml:space="preserve"> </v>
      </c>
      <c r="AM2899" t="str">
        <f t="shared" si="1868"/>
        <v>-</v>
      </c>
    </row>
    <row r="2900" spans="1:39" x14ac:dyDescent="0.25">
      <c r="A2900" t="str">
        <f>"FI30141"</f>
        <v>FI30141</v>
      </c>
      <c r="B2900" t="str">
        <f>"SENSOR RPM HONDA ACCORD VII 2.4 - CIVIC VIII 1.8"</f>
        <v>SENSOR RPM HONDA ACCORD VII 2.4 - CIVIC VIII 1.8</v>
      </c>
      <c r="C2900" t="str">
        <f>"$ 28710,50"</f>
        <v>$ 28710,50</v>
      </c>
      <c r="D2900" t="str">
        <f>"$ 28710,50"</f>
        <v>$ 28710,50</v>
      </c>
      <c r="E2900" t="str">
        <f>"$ 28710,50"</f>
        <v>$ 28710,50</v>
      </c>
      <c r="F2900" t="str">
        <f>"$ 28710,50"</f>
        <v>$ 28710,50</v>
      </c>
      <c r="G2900" t="str">
        <f>"$ 28710,50"</f>
        <v>$ 28710,50</v>
      </c>
      <c r="H2900" t="str">
        <f t="shared" si="1875"/>
        <v>$ 0,00</v>
      </c>
      <c r="I2900" t="str">
        <f t="shared" si="1876"/>
        <v>SENSOR RPM</v>
      </c>
      <c r="J2900" t="str">
        <f t="shared" si="1877"/>
        <v>1</v>
      </c>
      <c r="K2900" t="str">
        <f t="shared" si="1899"/>
        <v>1</v>
      </c>
      <c r="L2900" t="str">
        <f t="shared" si="1900"/>
        <v>0,000</v>
      </c>
      <c r="M2900" t="str">
        <f t="shared" si="1878"/>
        <v xml:space="preserve"> </v>
      </c>
      <c r="N2900" t="str">
        <f t="shared" si="1867"/>
        <v>FISPA</v>
      </c>
      <c r="O2900" t="str">
        <f t="shared" si="1873"/>
        <v>SENSORES</v>
      </c>
      <c r="P2900" t="str">
        <f t="shared" si="1879"/>
        <v>0</v>
      </c>
      <c r="Q2900" t="str">
        <f t="shared" si="1879"/>
        <v>0</v>
      </c>
      <c r="R2900" t="str">
        <f t="shared" si="1880"/>
        <v>0,00</v>
      </c>
      <c r="S2900" t="str">
        <f t="shared" si="1880"/>
        <v>0,00</v>
      </c>
      <c r="T2900" t="str">
        <f t="shared" si="1872"/>
        <v xml:space="preserve"> </v>
      </c>
      <c r="U2900" t="str">
        <f t="shared" si="1874"/>
        <v xml:space="preserve"> </v>
      </c>
      <c r="V2900" t="str">
        <f t="shared" si="1901"/>
        <v>0,000</v>
      </c>
      <c r="W2900" t="str">
        <f t="shared" si="1881"/>
        <v>Lista 4</v>
      </c>
      <c r="X2900" t="str">
        <f t="shared" si="1882"/>
        <v>Lista 5</v>
      </c>
      <c r="Y2900" t="str">
        <f t="shared" si="1883"/>
        <v>Oferta Gral.</v>
      </c>
      <c r="Z2900" t="str">
        <f t="shared" si="1884"/>
        <v>Rubro</v>
      </c>
      <c r="AA2900" t="str">
        <f t="shared" si="1885"/>
        <v>Cantidad por Bulto</v>
      </c>
      <c r="AB2900" t="str">
        <f t="shared" si="1886"/>
        <v>INNER</v>
      </c>
      <c r="AC2900" t="str">
        <f t="shared" si="1887"/>
        <v>Stock en Bultos</v>
      </c>
      <c r="AD2900" t="str">
        <f t="shared" si="1888"/>
        <v>SubDepósito</v>
      </c>
      <c r="AE2900" t="str">
        <f t="shared" si="1889"/>
        <v>Marca</v>
      </c>
      <c r="AF2900" t="str">
        <f t="shared" si="1890"/>
        <v>Super Rubro</v>
      </c>
      <c r="AG2900" t="str">
        <f t="shared" si="1891"/>
        <v>ComercioExterior</v>
      </c>
      <c r="AH2900" t="str">
        <f t="shared" si="1892"/>
        <v>PrecioFOB</v>
      </c>
      <c r="AI2900" t="str">
        <f t="shared" si="1893"/>
        <v>Monto II</v>
      </c>
      <c r="AJ2900" t="str">
        <f t="shared" si="1894"/>
        <v>Porcentaje II</v>
      </c>
      <c r="AK2900" t="str">
        <f t="shared" si="1895"/>
        <v>Foto</v>
      </c>
      <c r="AL2900" t="str">
        <f t="shared" si="1902"/>
        <v xml:space="preserve"> </v>
      </c>
      <c r="AM2900" t="str">
        <f t="shared" si="1868"/>
        <v>-</v>
      </c>
    </row>
    <row r="2901" spans="1:39" x14ac:dyDescent="0.25">
      <c r="A2901" t="str">
        <f>"FI30118"</f>
        <v>FI30118</v>
      </c>
      <c r="B2901" t="str">
        <f>"SENSOR RPM HONDA CIVIC 1.7I (01&lt;06) - MITSUBISHI"</f>
        <v>SENSOR RPM HONDA CIVIC 1.7I (01&lt;06) - MITSUBISHI</v>
      </c>
      <c r="C2901" t="str">
        <f>"$ 20602,19"</f>
        <v>$ 20602,19</v>
      </c>
      <c r="D2901" t="str">
        <f>"$ 20602,19"</f>
        <v>$ 20602,19</v>
      </c>
      <c r="E2901" t="str">
        <f>"$ 20602,19"</f>
        <v>$ 20602,19</v>
      </c>
      <c r="F2901" t="str">
        <f>"$ 20602,19"</f>
        <v>$ 20602,19</v>
      </c>
      <c r="G2901" t="str">
        <f>"$ 20602,19"</f>
        <v>$ 20602,19</v>
      </c>
      <c r="H2901" t="str">
        <f t="shared" si="1875"/>
        <v>$ 0,00</v>
      </c>
      <c r="I2901" t="str">
        <f t="shared" si="1876"/>
        <v>SENSOR RPM</v>
      </c>
      <c r="J2901" t="str">
        <f t="shared" si="1877"/>
        <v>1</v>
      </c>
      <c r="K2901" t="str">
        <f t="shared" si="1899"/>
        <v>1</v>
      </c>
      <c r="L2901" t="str">
        <f t="shared" si="1900"/>
        <v>0,000</v>
      </c>
      <c r="M2901" t="str">
        <f t="shared" si="1878"/>
        <v xml:space="preserve"> </v>
      </c>
      <c r="N2901" t="str">
        <f t="shared" si="1867"/>
        <v>FISPA</v>
      </c>
      <c r="O2901" t="str">
        <f t="shared" si="1873"/>
        <v>SENSORES</v>
      </c>
      <c r="P2901" t="str">
        <f t="shared" si="1879"/>
        <v>0</v>
      </c>
      <c r="Q2901" t="str">
        <f t="shared" si="1879"/>
        <v>0</v>
      </c>
      <c r="R2901" t="str">
        <f t="shared" si="1880"/>
        <v>0,00</v>
      </c>
      <c r="S2901" t="str">
        <f t="shared" si="1880"/>
        <v>0,00</v>
      </c>
      <c r="T2901" t="str">
        <f t="shared" si="1872"/>
        <v xml:space="preserve"> </v>
      </c>
      <c r="U2901" t="str">
        <f t="shared" si="1874"/>
        <v xml:space="preserve"> </v>
      </c>
      <c r="V2901" t="str">
        <f t="shared" si="1901"/>
        <v>0,000</v>
      </c>
      <c r="W2901" t="str">
        <f t="shared" si="1881"/>
        <v>Lista 4</v>
      </c>
      <c r="X2901" t="str">
        <f t="shared" si="1882"/>
        <v>Lista 5</v>
      </c>
      <c r="Y2901" t="str">
        <f t="shared" si="1883"/>
        <v>Oferta Gral.</v>
      </c>
      <c r="Z2901" t="str">
        <f t="shared" si="1884"/>
        <v>Rubro</v>
      </c>
      <c r="AA2901" t="str">
        <f t="shared" si="1885"/>
        <v>Cantidad por Bulto</v>
      </c>
      <c r="AB2901" t="str">
        <f t="shared" si="1886"/>
        <v>INNER</v>
      </c>
      <c r="AC2901" t="str">
        <f t="shared" si="1887"/>
        <v>Stock en Bultos</v>
      </c>
      <c r="AD2901" t="str">
        <f t="shared" si="1888"/>
        <v>SubDepósito</v>
      </c>
      <c r="AE2901" t="str">
        <f t="shared" si="1889"/>
        <v>Marca</v>
      </c>
      <c r="AF2901" t="str">
        <f t="shared" si="1890"/>
        <v>Super Rubro</v>
      </c>
      <c r="AG2901" t="str">
        <f t="shared" si="1891"/>
        <v>ComercioExterior</v>
      </c>
      <c r="AH2901" t="str">
        <f t="shared" si="1892"/>
        <v>PrecioFOB</v>
      </c>
      <c r="AI2901" t="str">
        <f t="shared" si="1893"/>
        <v>Monto II</v>
      </c>
      <c r="AJ2901" t="str">
        <f t="shared" si="1894"/>
        <v>Porcentaje II</v>
      </c>
      <c r="AK2901" t="str">
        <f t="shared" si="1895"/>
        <v>Foto</v>
      </c>
      <c r="AL2901" t="str">
        <f t="shared" si="1902"/>
        <v xml:space="preserve"> </v>
      </c>
      <c r="AM2901" t="str">
        <f t="shared" si="1868"/>
        <v>-</v>
      </c>
    </row>
    <row r="2902" spans="1:39" x14ac:dyDescent="0.25">
      <c r="A2902" t="str">
        <f>"FI30082"</f>
        <v>FI30082</v>
      </c>
      <c r="B2902" t="str">
        <f>"SENSOR RPM HONDA CIVIC VII HATCHBACK 1.4I / 1.6 / 1.7 - FR-V 1.7"</f>
        <v>SENSOR RPM HONDA CIVIC VII HATCHBACK 1.4I / 1.6 / 1.7 - FR-V 1.7</v>
      </c>
      <c r="C2902" t="str">
        <f>"$ 22020,50"</f>
        <v>$ 22020,50</v>
      </c>
      <c r="D2902" t="str">
        <f>"$ 22020,50"</f>
        <v>$ 22020,50</v>
      </c>
      <c r="E2902" t="str">
        <f>"$ 22020,50"</f>
        <v>$ 22020,50</v>
      </c>
      <c r="F2902" t="str">
        <f>"$ 22020,50"</f>
        <v>$ 22020,50</v>
      </c>
      <c r="G2902" t="str">
        <f>"$ 22020,50"</f>
        <v>$ 22020,50</v>
      </c>
      <c r="H2902" t="str">
        <f t="shared" si="1875"/>
        <v>$ 0,00</v>
      </c>
      <c r="I2902" t="str">
        <f t="shared" si="1876"/>
        <v>SENSOR RPM</v>
      </c>
      <c r="J2902" t="str">
        <f t="shared" si="1877"/>
        <v>1</v>
      </c>
      <c r="K2902" t="str">
        <f t="shared" si="1899"/>
        <v>1</v>
      </c>
      <c r="L2902" t="str">
        <f t="shared" si="1900"/>
        <v>0,000</v>
      </c>
      <c r="M2902" t="str">
        <f t="shared" si="1878"/>
        <v xml:space="preserve"> </v>
      </c>
      <c r="N2902" t="str">
        <f t="shared" si="1867"/>
        <v>FISPA</v>
      </c>
      <c r="O2902" t="str">
        <f t="shared" si="1873"/>
        <v>SENSORES</v>
      </c>
      <c r="P2902" t="str">
        <f t="shared" si="1879"/>
        <v>0</v>
      </c>
      <c r="Q2902" t="str">
        <f t="shared" si="1879"/>
        <v>0</v>
      </c>
      <c r="R2902" t="str">
        <f t="shared" si="1880"/>
        <v>0,00</v>
      </c>
      <c r="S2902" t="str">
        <f t="shared" si="1880"/>
        <v>0,00</v>
      </c>
      <c r="T2902" t="str">
        <f t="shared" si="1872"/>
        <v xml:space="preserve"> </v>
      </c>
      <c r="U2902" t="str">
        <f t="shared" si="1874"/>
        <v xml:space="preserve"> </v>
      </c>
      <c r="V2902" t="str">
        <f t="shared" si="1901"/>
        <v>0,000</v>
      </c>
      <c r="W2902" t="str">
        <f t="shared" si="1881"/>
        <v>Lista 4</v>
      </c>
      <c r="X2902" t="str">
        <f t="shared" si="1882"/>
        <v>Lista 5</v>
      </c>
      <c r="Y2902" t="str">
        <f t="shared" si="1883"/>
        <v>Oferta Gral.</v>
      </c>
      <c r="Z2902" t="str">
        <f t="shared" si="1884"/>
        <v>Rubro</v>
      </c>
      <c r="AA2902" t="str">
        <f t="shared" si="1885"/>
        <v>Cantidad por Bulto</v>
      </c>
      <c r="AB2902" t="str">
        <f t="shared" si="1886"/>
        <v>INNER</v>
      </c>
      <c r="AC2902" t="str">
        <f t="shared" si="1887"/>
        <v>Stock en Bultos</v>
      </c>
      <c r="AD2902" t="str">
        <f t="shared" si="1888"/>
        <v>SubDepósito</v>
      </c>
      <c r="AE2902" t="str">
        <f t="shared" si="1889"/>
        <v>Marca</v>
      </c>
      <c r="AF2902" t="str">
        <f t="shared" si="1890"/>
        <v>Super Rubro</v>
      </c>
      <c r="AG2902" t="str">
        <f t="shared" si="1891"/>
        <v>ComercioExterior</v>
      </c>
      <c r="AH2902" t="str">
        <f t="shared" si="1892"/>
        <v>PrecioFOB</v>
      </c>
      <c r="AI2902" t="str">
        <f t="shared" si="1893"/>
        <v>Monto II</v>
      </c>
      <c r="AJ2902" t="str">
        <f t="shared" si="1894"/>
        <v>Porcentaje II</v>
      </c>
      <c r="AK2902" t="str">
        <f t="shared" si="1895"/>
        <v>Foto</v>
      </c>
      <c r="AL2902" t="str">
        <f t="shared" si="1902"/>
        <v xml:space="preserve"> </v>
      </c>
      <c r="AM2902" t="str">
        <f t="shared" si="1868"/>
        <v>-</v>
      </c>
    </row>
    <row r="2903" spans="1:39" x14ac:dyDescent="0.25">
      <c r="A2903" t="str">
        <f>"FI30139"</f>
        <v>FI30139</v>
      </c>
      <c r="B2903" t="str">
        <f>"SENSOR RPM HONDA CR-V 2.0 / 2.4 VTEC 4X4 - HONDA FR-V 2.0"</f>
        <v>SENSOR RPM HONDA CR-V 2.0 / 2.4 VTEC 4X4 - HONDA FR-V 2.0</v>
      </c>
      <c r="C2903" t="str">
        <f>"$ 28493,24"</f>
        <v>$ 28493,24</v>
      </c>
      <c r="D2903" t="str">
        <f>"$ 28493,24"</f>
        <v>$ 28493,24</v>
      </c>
      <c r="E2903" t="str">
        <f>"$ 28493,24"</f>
        <v>$ 28493,24</v>
      </c>
      <c r="F2903" t="str">
        <f>"$ 28493,24"</f>
        <v>$ 28493,24</v>
      </c>
      <c r="G2903" t="str">
        <f>"$ 28493,24"</f>
        <v>$ 28493,24</v>
      </c>
      <c r="H2903" t="str">
        <f t="shared" si="1875"/>
        <v>$ 0,00</v>
      </c>
      <c r="I2903" t="str">
        <f t="shared" si="1876"/>
        <v>SENSOR RPM</v>
      </c>
      <c r="J2903" t="str">
        <f t="shared" si="1877"/>
        <v>1</v>
      </c>
      <c r="K2903" t="str">
        <f t="shared" si="1899"/>
        <v>1</v>
      </c>
      <c r="L2903" t="str">
        <f t="shared" si="1900"/>
        <v>0,000</v>
      </c>
      <c r="M2903" t="str">
        <f t="shared" si="1878"/>
        <v xml:space="preserve"> </v>
      </c>
      <c r="N2903" t="str">
        <f t="shared" si="1867"/>
        <v>FISPA</v>
      </c>
      <c r="O2903" t="str">
        <f t="shared" si="1873"/>
        <v>SENSORES</v>
      </c>
      <c r="P2903" t="str">
        <f t="shared" ref="P2903:Q2922" si="1903">"0"</f>
        <v>0</v>
      </c>
      <c r="Q2903" t="str">
        <f t="shared" si="1903"/>
        <v>0</v>
      </c>
      <c r="R2903" t="str">
        <f t="shared" ref="R2903:S2922" si="1904">"0,00"</f>
        <v>0,00</v>
      </c>
      <c r="S2903" t="str">
        <f t="shared" si="1904"/>
        <v>0,00</v>
      </c>
      <c r="T2903" t="str">
        <f t="shared" si="1872"/>
        <v xml:space="preserve"> </v>
      </c>
      <c r="U2903" t="str">
        <f t="shared" si="1874"/>
        <v xml:space="preserve"> </v>
      </c>
      <c r="V2903" t="str">
        <f t="shared" si="1901"/>
        <v>0,000</v>
      </c>
      <c r="W2903" t="str">
        <f t="shared" si="1881"/>
        <v>Lista 4</v>
      </c>
      <c r="X2903" t="str">
        <f t="shared" si="1882"/>
        <v>Lista 5</v>
      </c>
      <c r="Y2903" t="str">
        <f t="shared" si="1883"/>
        <v>Oferta Gral.</v>
      </c>
      <c r="Z2903" t="str">
        <f t="shared" si="1884"/>
        <v>Rubro</v>
      </c>
      <c r="AA2903" t="str">
        <f t="shared" si="1885"/>
        <v>Cantidad por Bulto</v>
      </c>
      <c r="AB2903" t="str">
        <f t="shared" si="1886"/>
        <v>INNER</v>
      </c>
      <c r="AC2903" t="str">
        <f t="shared" si="1887"/>
        <v>Stock en Bultos</v>
      </c>
      <c r="AD2903" t="str">
        <f t="shared" si="1888"/>
        <v>SubDepósito</v>
      </c>
      <c r="AE2903" t="str">
        <f t="shared" si="1889"/>
        <v>Marca</v>
      </c>
      <c r="AF2903" t="str">
        <f t="shared" si="1890"/>
        <v>Super Rubro</v>
      </c>
      <c r="AG2903" t="str">
        <f t="shared" si="1891"/>
        <v>ComercioExterior</v>
      </c>
      <c r="AH2903" t="str">
        <f t="shared" si="1892"/>
        <v>PrecioFOB</v>
      </c>
      <c r="AI2903" t="str">
        <f t="shared" si="1893"/>
        <v>Monto II</v>
      </c>
      <c r="AJ2903" t="str">
        <f t="shared" si="1894"/>
        <v>Porcentaje II</v>
      </c>
      <c r="AK2903" t="str">
        <f t="shared" si="1895"/>
        <v>Foto</v>
      </c>
      <c r="AL2903" t="str">
        <f t="shared" si="1902"/>
        <v xml:space="preserve"> </v>
      </c>
      <c r="AM2903" t="str">
        <f t="shared" si="1868"/>
        <v>-</v>
      </c>
    </row>
    <row r="2904" spans="1:39" x14ac:dyDescent="0.25">
      <c r="A2904" t="str">
        <f>"FI30108"</f>
        <v>FI30108</v>
      </c>
      <c r="B2904" t="str">
        <f>"SENSOR RPM HYUNDAI ACCENT 1.3/ 1.5 - S COUPE 1.5I TURBO"</f>
        <v>SENSOR RPM HYUNDAI ACCENT 1.3/ 1.5 - S COUPE 1.5I TURBO</v>
      </c>
      <c r="C2904" t="str">
        <f>"$ 56698,42"</f>
        <v>$ 56698,42</v>
      </c>
      <c r="D2904" t="str">
        <f>"$ 56698,42"</f>
        <v>$ 56698,42</v>
      </c>
      <c r="E2904" t="str">
        <f>"$ 56698,42"</f>
        <v>$ 56698,42</v>
      </c>
      <c r="F2904" t="str">
        <f>"$ 56698,42"</f>
        <v>$ 56698,42</v>
      </c>
      <c r="G2904" t="str">
        <f>"$ 56698,42"</f>
        <v>$ 56698,42</v>
      </c>
      <c r="H2904" t="str">
        <f t="shared" si="1875"/>
        <v>$ 0,00</v>
      </c>
      <c r="I2904" t="str">
        <f t="shared" si="1876"/>
        <v>SENSOR RPM</v>
      </c>
      <c r="J2904" t="str">
        <f t="shared" si="1877"/>
        <v>1</v>
      </c>
      <c r="K2904" t="str">
        <f t="shared" si="1899"/>
        <v>1</v>
      </c>
      <c r="L2904" t="str">
        <f t="shared" si="1900"/>
        <v>0,000</v>
      </c>
      <c r="M2904" t="str">
        <f t="shared" si="1878"/>
        <v xml:space="preserve"> </v>
      </c>
      <c r="N2904" t="str">
        <f t="shared" si="1867"/>
        <v>FISPA</v>
      </c>
      <c r="O2904" t="str">
        <f t="shared" si="1873"/>
        <v>SENSORES</v>
      </c>
      <c r="P2904" t="str">
        <f t="shared" si="1903"/>
        <v>0</v>
      </c>
      <c r="Q2904" t="str">
        <f t="shared" si="1903"/>
        <v>0</v>
      </c>
      <c r="R2904" t="str">
        <f t="shared" si="1904"/>
        <v>0,00</v>
      </c>
      <c r="S2904" t="str">
        <f t="shared" si="1904"/>
        <v>0,00</v>
      </c>
      <c r="T2904" t="str">
        <f t="shared" si="1872"/>
        <v xml:space="preserve"> </v>
      </c>
      <c r="U2904" t="str">
        <f t="shared" si="1874"/>
        <v xml:space="preserve"> </v>
      </c>
      <c r="V2904" t="str">
        <f t="shared" si="1901"/>
        <v>0,000</v>
      </c>
      <c r="W2904" t="str">
        <f t="shared" si="1881"/>
        <v>Lista 4</v>
      </c>
      <c r="X2904" t="str">
        <f t="shared" si="1882"/>
        <v>Lista 5</v>
      </c>
      <c r="Y2904" t="str">
        <f t="shared" si="1883"/>
        <v>Oferta Gral.</v>
      </c>
      <c r="Z2904" t="str">
        <f t="shared" si="1884"/>
        <v>Rubro</v>
      </c>
      <c r="AA2904" t="str">
        <f t="shared" si="1885"/>
        <v>Cantidad por Bulto</v>
      </c>
      <c r="AB2904" t="str">
        <f t="shared" si="1886"/>
        <v>INNER</v>
      </c>
      <c r="AC2904" t="str">
        <f t="shared" si="1887"/>
        <v>Stock en Bultos</v>
      </c>
      <c r="AD2904" t="str">
        <f t="shared" si="1888"/>
        <v>SubDepósito</v>
      </c>
      <c r="AE2904" t="str">
        <f t="shared" si="1889"/>
        <v>Marca</v>
      </c>
      <c r="AF2904" t="str">
        <f t="shared" si="1890"/>
        <v>Super Rubro</v>
      </c>
      <c r="AG2904" t="str">
        <f t="shared" si="1891"/>
        <v>ComercioExterior</v>
      </c>
      <c r="AH2904" t="str">
        <f t="shared" si="1892"/>
        <v>PrecioFOB</v>
      </c>
      <c r="AI2904" t="str">
        <f t="shared" si="1893"/>
        <v>Monto II</v>
      </c>
      <c r="AJ2904" t="str">
        <f t="shared" si="1894"/>
        <v>Porcentaje II</v>
      </c>
      <c r="AK2904" t="str">
        <f t="shared" si="1895"/>
        <v>Foto</v>
      </c>
      <c r="AL2904" t="str">
        <f t="shared" si="1902"/>
        <v xml:space="preserve"> </v>
      </c>
      <c r="AM2904" t="str">
        <f t="shared" si="1868"/>
        <v>-</v>
      </c>
    </row>
    <row r="2905" spans="1:39" x14ac:dyDescent="0.25">
      <c r="A2905" t="str">
        <f>"FI30109"</f>
        <v>FI30109</v>
      </c>
      <c r="B2905" t="str">
        <f>"SENSOR RPM HYUNDAI ACCENT I &amp; II 1.3I 12V - 1.5I 16V - COUPE 1.6 16V - ELANTRA 1.6"</f>
        <v>SENSOR RPM HYUNDAI ACCENT I &amp; II 1.3I 12V - 1.5I 16V - COUPE 1.6 16V - ELANTRA 1.6</v>
      </c>
      <c r="C2905" t="str">
        <f>"$ 44645,19"</f>
        <v>$ 44645,19</v>
      </c>
      <c r="D2905" t="str">
        <f>"$ 44645,19"</f>
        <v>$ 44645,19</v>
      </c>
      <c r="E2905" t="str">
        <f>"$ 44645,19"</f>
        <v>$ 44645,19</v>
      </c>
      <c r="F2905" t="str">
        <f>"$ 44645,19"</f>
        <v>$ 44645,19</v>
      </c>
      <c r="G2905" t="str">
        <f>"$ 44645,19"</f>
        <v>$ 44645,19</v>
      </c>
      <c r="H2905" t="str">
        <f t="shared" si="1875"/>
        <v>$ 0,00</v>
      </c>
      <c r="I2905" t="str">
        <f t="shared" si="1876"/>
        <v>SENSOR RPM</v>
      </c>
      <c r="J2905" t="str">
        <f t="shared" si="1877"/>
        <v>1</v>
      </c>
      <c r="K2905" t="str">
        <f t="shared" si="1899"/>
        <v>1</v>
      </c>
      <c r="L2905" t="str">
        <f t="shared" si="1900"/>
        <v>0,000</v>
      </c>
      <c r="M2905" t="str">
        <f t="shared" si="1878"/>
        <v xml:space="preserve"> </v>
      </c>
      <c r="N2905" t="str">
        <f t="shared" si="1867"/>
        <v>FISPA</v>
      </c>
      <c r="O2905" t="str">
        <f t="shared" si="1873"/>
        <v>SENSORES</v>
      </c>
      <c r="P2905" t="str">
        <f t="shared" si="1903"/>
        <v>0</v>
      </c>
      <c r="Q2905" t="str">
        <f t="shared" si="1903"/>
        <v>0</v>
      </c>
      <c r="R2905" t="str">
        <f t="shared" si="1904"/>
        <v>0,00</v>
      </c>
      <c r="S2905" t="str">
        <f t="shared" si="1904"/>
        <v>0,00</v>
      </c>
      <c r="T2905" t="str">
        <f t="shared" si="1872"/>
        <v xml:space="preserve"> </v>
      </c>
      <c r="U2905" t="str">
        <f t="shared" si="1874"/>
        <v xml:space="preserve"> </v>
      </c>
      <c r="V2905" t="str">
        <f t="shared" si="1901"/>
        <v>0,000</v>
      </c>
      <c r="W2905" t="str">
        <f t="shared" si="1881"/>
        <v>Lista 4</v>
      </c>
      <c r="X2905" t="str">
        <f t="shared" si="1882"/>
        <v>Lista 5</v>
      </c>
      <c r="Y2905" t="str">
        <f t="shared" si="1883"/>
        <v>Oferta Gral.</v>
      </c>
      <c r="Z2905" t="str">
        <f t="shared" si="1884"/>
        <v>Rubro</v>
      </c>
      <c r="AA2905" t="str">
        <f t="shared" si="1885"/>
        <v>Cantidad por Bulto</v>
      </c>
      <c r="AB2905" t="str">
        <f t="shared" si="1886"/>
        <v>INNER</v>
      </c>
      <c r="AC2905" t="str">
        <f t="shared" si="1887"/>
        <v>Stock en Bultos</v>
      </c>
      <c r="AD2905" t="str">
        <f t="shared" si="1888"/>
        <v>SubDepósito</v>
      </c>
      <c r="AE2905" t="str">
        <f t="shared" si="1889"/>
        <v>Marca</v>
      </c>
      <c r="AF2905" t="str">
        <f t="shared" si="1890"/>
        <v>Super Rubro</v>
      </c>
      <c r="AG2905" t="str">
        <f t="shared" si="1891"/>
        <v>ComercioExterior</v>
      </c>
      <c r="AH2905" t="str">
        <f t="shared" si="1892"/>
        <v>PrecioFOB</v>
      </c>
      <c r="AI2905" t="str">
        <f t="shared" si="1893"/>
        <v>Monto II</v>
      </c>
      <c r="AJ2905" t="str">
        <f t="shared" si="1894"/>
        <v>Porcentaje II</v>
      </c>
      <c r="AK2905" t="str">
        <f t="shared" si="1895"/>
        <v>Foto</v>
      </c>
      <c r="AL290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05" t="str">
        <f t="shared" si="1868"/>
        <v>-</v>
      </c>
    </row>
    <row r="2906" spans="1:39" x14ac:dyDescent="0.25">
      <c r="A2906" t="str">
        <f>"FI30036"</f>
        <v>FI30036</v>
      </c>
      <c r="B2906" t="str">
        <f>"SENSOR RPM HYUNDAI ATOS PRIME 1.1 09.05, SANTA FE 2.0 08.01., SONATA 2.0 04. 04-04.06."</f>
        <v>SENSOR RPM HYUNDAI ATOS PRIME 1.1 09.05, SANTA FE 2.0 08.01., SONATA 2.0 04. 04-04.06.</v>
      </c>
      <c r="C2906" t="str">
        <f>"$ 44314,41"</f>
        <v>$ 44314,41</v>
      </c>
      <c r="D2906" t="str">
        <f>"$ 44314,41"</f>
        <v>$ 44314,41</v>
      </c>
      <c r="E2906" t="str">
        <f>"$ 44314,41"</f>
        <v>$ 44314,41</v>
      </c>
      <c r="F2906" t="str">
        <f>"$ 44314,41"</f>
        <v>$ 44314,41</v>
      </c>
      <c r="G2906" t="str">
        <f>"$ 44314,41"</f>
        <v>$ 44314,41</v>
      </c>
      <c r="H2906" t="str">
        <f t="shared" si="1875"/>
        <v>$ 0,00</v>
      </c>
      <c r="I2906" t="str">
        <f t="shared" si="1876"/>
        <v>SENSOR RPM</v>
      </c>
      <c r="J2906" t="str">
        <f t="shared" si="1877"/>
        <v>1</v>
      </c>
      <c r="K2906" t="str">
        <f t="shared" si="1899"/>
        <v>1</v>
      </c>
      <c r="L2906" t="str">
        <f t="shared" si="1900"/>
        <v>0,000</v>
      </c>
      <c r="M2906" t="str">
        <f t="shared" si="1878"/>
        <v xml:space="preserve"> </v>
      </c>
      <c r="N2906" t="str">
        <f t="shared" si="1867"/>
        <v>FISPA</v>
      </c>
      <c r="O2906" t="str">
        <f t="shared" si="1873"/>
        <v>SENSORES</v>
      </c>
      <c r="P2906" t="str">
        <f t="shared" si="1903"/>
        <v>0</v>
      </c>
      <c r="Q2906" t="str">
        <f t="shared" si="1903"/>
        <v>0</v>
      </c>
      <c r="R2906" t="str">
        <f t="shared" si="1904"/>
        <v>0,00</v>
      </c>
      <c r="S2906" t="str">
        <f t="shared" si="1904"/>
        <v>0,00</v>
      </c>
      <c r="T2906" t="str">
        <f t="shared" si="1872"/>
        <v xml:space="preserve"> </v>
      </c>
      <c r="U2906" t="str">
        <f t="shared" si="1874"/>
        <v xml:space="preserve"> </v>
      </c>
      <c r="V2906" t="str">
        <f t="shared" si="1901"/>
        <v>0,000</v>
      </c>
      <c r="W2906" t="str">
        <f t="shared" si="1881"/>
        <v>Lista 4</v>
      </c>
      <c r="X2906" t="str">
        <f t="shared" si="1882"/>
        <v>Lista 5</v>
      </c>
      <c r="Y2906" t="str">
        <f t="shared" si="1883"/>
        <v>Oferta Gral.</v>
      </c>
      <c r="Z2906" t="str">
        <f t="shared" si="1884"/>
        <v>Rubro</v>
      </c>
      <c r="AA2906" t="str">
        <f t="shared" si="1885"/>
        <v>Cantidad por Bulto</v>
      </c>
      <c r="AB2906" t="str">
        <f t="shared" si="1886"/>
        <v>INNER</v>
      </c>
      <c r="AC2906" t="str">
        <f t="shared" si="1887"/>
        <v>Stock en Bultos</v>
      </c>
      <c r="AD2906" t="str">
        <f t="shared" si="1888"/>
        <v>SubDepósito</v>
      </c>
      <c r="AE2906" t="str">
        <f t="shared" si="1889"/>
        <v>Marca</v>
      </c>
      <c r="AF2906" t="str">
        <f t="shared" si="1890"/>
        <v>Super Rubro</v>
      </c>
      <c r="AG2906" t="str">
        <f t="shared" si="1891"/>
        <v>ComercioExterior</v>
      </c>
      <c r="AH2906" t="str">
        <f t="shared" si="1892"/>
        <v>PrecioFOB</v>
      </c>
      <c r="AI2906" t="str">
        <f t="shared" si="1893"/>
        <v>Monto II</v>
      </c>
      <c r="AJ2906" t="str">
        <f t="shared" si="1894"/>
        <v>Porcentaje II</v>
      </c>
      <c r="AK2906" t="str">
        <f t="shared" si="1895"/>
        <v>Foto</v>
      </c>
      <c r="AL290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06" t="str">
        <f t="shared" si="1868"/>
        <v>-</v>
      </c>
    </row>
    <row r="2907" spans="1:39" x14ac:dyDescent="0.25">
      <c r="A2907" t="str">
        <f>"FI30129"</f>
        <v>FI30129</v>
      </c>
      <c r="B2907" t="str">
        <f>"SENSOR RPM JEEP CHEROKEE 00&lt;2001 - GRAND CHEROKEE 99&lt;2004 - WRANGLER 00&lt;2004"</f>
        <v>SENSOR RPM JEEP CHEROKEE 00&lt;2001 - GRAND CHEROKEE 99&lt;2004 - WRANGLER 00&lt;2004</v>
      </c>
      <c r="C2907" t="str">
        <f>"$ 24122,34"</f>
        <v>$ 24122,34</v>
      </c>
      <c r="D2907" t="str">
        <f>"$ 24122,34"</f>
        <v>$ 24122,34</v>
      </c>
      <c r="E2907" t="str">
        <f>"$ 24122,34"</f>
        <v>$ 24122,34</v>
      </c>
      <c r="F2907" t="str">
        <f>"$ 24122,34"</f>
        <v>$ 24122,34</v>
      </c>
      <c r="G2907" t="str">
        <f>"$ 24122,34"</f>
        <v>$ 24122,34</v>
      </c>
      <c r="H2907" t="str">
        <f t="shared" si="1875"/>
        <v>$ 0,00</v>
      </c>
      <c r="I2907" t="str">
        <f t="shared" si="1876"/>
        <v>SENSOR RPM</v>
      </c>
      <c r="J2907" t="str">
        <f t="shared" si="1877"/>
        <v>1</v>
      </c>
      <c r="K2907" t="str">
        <f t="shared" si="1899"/>
        <v>1</v>
      </c>
      <c r="L2907" t="str">
        <f t="shared" si="1900"/>
        <v>0,000</v>
      </c>
      <c r="M2907" t="str">
        <f t="shared" si="1878"/>
        <v xml:space="preserve"> </v>
      </c>
      <c r="N2907" t="str">
        <f t="shared" si="1867"/>
        <v>FISPA</v>
      </c>
      <c r="O2907" t="str">
        <f t="shared" si="1873"/>
        <v>SENSORES</v>
      </c>
      <c r="P2907" t="str">
        <f t="shared" si="1903"/>
        <v>0</v>
      </c>
      <c r="Q2907" t="str">
        <f t="shared" si="1903"/>
        <v>0</v>
      </c>
      <c r="R2907" t="str">
        <f t="shared" si="1904"/>
        <v>0,00</v>
      </c>
      <c r="S2907" t="str">
        <f t="shared" si="1904"/>
        <v>0,00</v>
      </c>
      <c r="T2907" t="str">
        <f t="shared" si="1872"/>
        <v xml:space="preserve"> </v>
      </c>
      <c r="U2907" t="str">
        <f t="shared" si="1874"/>
        <v xml:space="preserve"> </v>
      </c>
      <c r="V2907" t="str">
        <f t="shared" si="1901"/>
        <v>0,000</v>
      </c>
      <c r="W2907" t="str">
        <f t="shared" si="1881"/>
        <v>Lista 4</v>
      </c>
      <c r="X2907" t="str">
        <f t="shared" si="1882"/>
        <v>Lista 5</v>
      </c>
      <c r="Y2907" t="str">
        <f t="shared" si="1883"/>
        <v>Oferta Gral.</v>
      </c>
      <c r="Z2907" t="str">
        <f t="shared" si="1884"/>
        <v>Rubro</v>
      </c>
      <c r="AA2907" t="str">
        <f t="shared" si="1885"/>
        <v>Cantidad por Bulto</v>
      </c>
      <c r="AB2907" t="str">
        <f t="shared" si="1886"/>
        <v>INNER</v>
      </c>
      <c r="AC2907" t="str">
        <f t="shared" si="1887"/>
        <v>Stock en Bultos</v>
      </c>
      <c r="AD2907" t="str">
        <f t="shared" si="1888"/>
        <v>SubDepósito</v>
      </c>
      <c r="AE2907" t="str">
        <f t="shared" si="1889"/>
        <v>Marca</v>
      </c>
      <c r="AF2907" t="str">
        <f t="shared" si="1890"/>
        <v>Super Rubro</v>
      </c>
      <c r="AG2907" t="str">
        <f t="shared" si="1891"/>
        <v>ComercioExterior</v>
      </c>
      <c r="AH2907" t="str">
        <f t="shared" si="1892"/>
        <v>PrecioFOB</v>
      </c>
      <c r="AI2907" t="str">
        <f t="shared" si="1893"/>
        <v>Monto II</v>
      </c>
      <c r="AJ2907" t="str">
        <f t="shared" si="1894"/>
        <v>Porcentaje II</v>
      </c>
      <c r="AK2907" t="str">
        <f t="shared" si="1895"/>
        <v>Foto</v>
      </c>
      <c r="AL290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07" t="str">
        <f t="shared" si="1868"/>
        <v>-</v>
      </c>
    </row>
    <row r="2908" spans="1:39" x14ac:dyDescent="0.25">
      <c r="A2908" t="str">
        <f>"FI30086"</f>
        <v>FI30086</v>
      </c>
      <c r="B2908" t="str">
        <f>"SENSOR RPM KANGOO/LAGUNA/MASTER/MEGANE I &amp; II 1.9DCI - TRAFIC II 1.9DCI 80 / 100"</f>
        <v>SENSOR RPM KANGOO/LAGUNA/MASTER/MEGANE I &amp; II 1.9DCI - TRAFIC II 1.9DCI 80 / 100</v>
      </c>
      <c r="C2908" t="str">
        <f>"$ 29798,04"</f>
        <v>$ 29798,04</v>
      </c>
      <c r="D2908" t="str">
        <f>"$ 29798,04"</f>
        <v>$ 29798,04</v>
      </c>
      <c r="E2908" t="str">
        <f>"$ 29798,04"</f>
        <v>$ 29798,04</v>
      </c>
      <c r="F2908" t="str">
        <f>"$ 29798,04"</f>
        <v>$ 29798,04</v>
      </c>
      <c r="G2908" t="str">
        <f>"$ 29798,04"</f>
        <v>$ 29798,04</v>
      </c>
      <c r="H2908" t="str">
        <f t="shared" si="1875"/>
        <v>$ 0,00</v>
      </c>
      <c r="I2908" t="str">
        <f t="shared" si="1876"/>
        <v>SENSOR RPM</v>
      </c>
      <c r="J2908" t="str">
        <f t="shared" si="1877"/>
        <v>1</v>
      </c>
      <c r="K2908" t="str">
        <f t="shared" si="1899"/>
        <v>1</v>
      </c>
      <c r="L2908" t="str">
        <f t="shared" si="1900"/>
        <v>0,000</v>
      </c>
      <c r="M2908" t="str">
        <f t="shared" si="1878"/>
        <v xml:space="preserve"> </v>
      </c>
      <c r="N2908" t="str">
        <f t="shared" si="1867"/>
        <v>FISPA</v>
      </c>
      <c r="O2908" t="str">
        <f t="shared" si="1873"/>
        <v>SENSORES</v>
      </c>
      <c r="P2908" t="str">
        <f t="shared" si="1903"/>
        <v>0</v>
      </c>
      <c r="Q2908" t="str">
        <f t="shared" si="1903"/>
        <v>0</v>
      </c>
      <c r="R2908" t="str">
        <f t="shared" si="1904"/>
        <v>0,00</v>
      </c>
      <c r="S2908" t="str">
        <f t="shared" si="1904"/>
        <v>0,00</v>
      </c>
      <c r="T2908" t="str">
        <f t="shared" si="1872"/>
        <v xml:space="preserve"> </v>
      </c>
      <c r="U2908" t="str">
        <f t="shared" si="1874"/>
        <v xml:space="preserve"> </v>
      </c>
      <c r="V2908" t="str">
        <f t="shared" si="1901"/>
        <v>0,000</v>
      </c>
      <c r="W2908" t="str">
        <f t="shared" si="1881"/>
        <v>Lista 4</v>
      </c>
      <c r="X2908" t="str">
        <f t="shared" si="1882"/>
        <v>Lista 5</v>
      </c>
      <c r="Y2908" t="str">
        <f t="shared" si="1883"/>
        <v>Oferta Gral.</v>
      </c>
      <c r="Z2908" t="str">
        <f t="shared" si="1884"/>
        <v>Rubro</v>
      </c>
      <c r="AA2908" t="str">
        <f t="shared" si="1885"/>
        <v>Cantidad por Bulto</v>
      </c>
      <c r="AB2908" t="str">
        <f t="shared" si="1886"/>
        <v>INNER</v>
      </c>
      <c r="AC2908" t="str">
        <f t="shared" si="1887"/>
        <v>Stock en Bultos</v>
      </c>
      <c r="AD2908" t="str">
        <f t="shared" si="1888"/>
        <v>SubDepósito</v>
      </c>
      <c r="AE2908" t="str">
        <f t="shared" si="1889"/>
        <v>Marca</v>
      </c>
      <c r="AF2908" t="str">
        <f t="shared" si="1890"/>
        <v>Super Rubro</v>
      </c>
      <c r="AG2908" t="str">
        <f t="shared" si="1891"/>
        <v>ComercioExterior</v>
      </c>
      <c r="AH2908" t="str">
        <f t="shared" si="1892"/>
        <v>PrecioFOB</v>
      </c>
      <c r="AI2908" t="str">
        <f t="shared" si="1893"/>
        <v>Monto II</v>
      </c>
      <c r="AJ2908" t="str">
        <f t="shared" si="1894"/>
        <v>Porcentaje II</v>
      </c>
      <c r="AK2908" t="str">
        <f t="shared" si="1895"/>
        <v>Foto</v>
      </c>
      <c r="AL290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08" t="str">
        <f t="shared" si="1868"/>
        <v>-</v>
      </c>
    </row>
    <row r="2909" spans="1:39" x14ac:dyDescent="0.25">
      <c r="A2909" t="str">
        <f>"VK7700103069"</f>
        <v>VK7700103069</v>
      </c>
      <c r="B2909" t="str">
        <f>"SENSOR RPM KANGOO/MEGANE/CLIO SALIDA IZQ."</f>
        <v>SENSOR RPM KANGOO/MEGANE/CLIO SALIDA IZQ.</v>
      </c>
      <c r="C2909" t="str">
        <f>"$ 14293,38"</f>
        <v>$ 14293,38</v>
      </c>
      <c r="D2909" t="str">
        <f>"$ 14293,38"</f>
        <v>$ 14293,38</v>
      </c>
      <c r="E2909" t="str">
        <f>"$ 14293,38"</f>
        <v>$ 14293,38</v>
      </c>
      <c r="F2909" t="str">
        <f>"$ 14293,38"</f>
        <v>$ 14293,38</v>
      </c>
      <c r="G2909" t="str">
        <f>"$ 14293,38"</f>
        <v>$ 14293,38</v>
      </c>
      <c r="H2909" t="str">
        <f t="shared" si="1875"/>
        <v>$ 0,00</v>
      </c>
      <c r="I2909" t="str">
        <f t="shared" si="1876"/>
        <v>SENSOR RPM</v>
      </c>
      <c r="J2909" t="str">
        <f t="shared" si="1877"/>
        <v>1</v>
      </c>
      <c r="K2909" t="str">
        <f>"0"</f>
        <v>0</v>
      </c>
      <c r="L2909" t="str">
        <f>"13,000"</f>
        <v>13,000</v>
      </c>
      <c r="M2909" t="str">
        <f t="shared" si="1878"/>
        <v xml:space="preserve"> </v>
      </c>
      <c r="N2909" t="str">
        <f>"VERKEHR"</f>
        <v>VERKEHR</v>
      </c>
      <c r="O2909" t="str">
        <f t="shared" si="1873"/>
        <v>SENSORES</v>
      </c>
      <c r="P2909" t="str">
        <f t="shared" si="1903"/>
        <v>0</v>
      </c>
      <c r="Q2909" t="str">
        <f t="shared" si="1903"/>
        <v>0</v>
      </c>
      <c r="R2909" t="str">
        <f t="shared" si="1904"/>
        <v>0,00</v>
      </c>
      <c r="S2909" t="str">
        <f t="shared" si="1904"/>
        <v>0,00</v>
      </c>
      <c r="T2909" t="str">
        <f t="shared" si="1872"/>
        <v xml:space="preserve"> </v>
      </c>
      <c r="U2909" t="str">
        <f t="shared" si="1874"/>
        <v xml:space="preserve"> </v>
      </c>
      <c r="V2909" t="str">
        <f>"13,000"</f>
        <v>13,000</v>
      </c>
      <c r="W2909" t="str">
        <f t="shared" si="1881"/>
        <v>Lista 4</v>
      </c>
      <c r="X2909" t="str">
        <f t="shared" si="1882"/>
        <v>Lista 5</v>
      </c>
      <c r="Y2909" t="str">
        <f t="shared" si="1883"/>
        <v>Oferta Gral.</v>
      </c>
      <c r="Z2909" t="str">
        <f t="shared" si="1884"/>
        <v>Rubro</v>
      </c>
      <c r="AA2909" t="str">
        <f t="shared" si="1885"/>
        <v>Cantidad por Bulto</v>
      </c>
      <c r="AB2909" t="str">
        <f t="shared" si="1886"/>
        <v>INNER</v>
      </c>
      <c r="AC2909" t="str">
        <f t="shared" si="1887"/>
        <v>Stock en Bultos</v>
      </c>
      <c r="AD2909" t="str">
        <f t="shared" si="1888"/>
        <v>SubDepósito</v>
      </c>
      <c r="AE2909" t="str">
        <f t="shared" si="1889"/>
        <v>Marca</v>
      </c>
      <c r="AF2909" t="str">
        <f t="shared" si="1890"/>
        <v>Super Rubro</v>
      </c>
      <c r="AG2909" t="str">
        <f t="shared" si="1891"/>
        <v>ComercioExterior</v>
      </c>
      <c r="AH2909" t="str">
        <f t="shared" si="1892"/>
        <v>PrecioFOB</v>
      </c>
      <c r="AI2909" t="str">
        <f t="shared" si="1893"/>
        <v>Monto II</v>
      </c>
      <c r="AJ2909" t="str">
        <f t="shared" si="1894"/>
        <v>Porcentaje II</v>
      </c>
      <c r="AK2909" t="str">
        <f t="shared" si="1895"/>
        <v>Foto</v>
      </c>
      <c r="AL2909" t="str">
        <f>"{\rtf1\ansi\ansicpg1252\deff0\deflang11274{\fonttbl{\f0\fnil\fcharset0 MS Sans Serif}} \viewkind4\uc1\pard\f0\fs16 SENSOR RPM KANGOO/MEGANE/CLIO SALIDA IZQ.\par \par \par \par } "</f>
        <v xml:space="preserve">{\rtf1\ansi\ansicpg1252\deff0\deflang11274{\fonttbl{\f0\fnil\fcharset0 MS Sans Serif}} \viewkind4\uc1\pard\f0\fs16 SENSOR RPM KANGOO/MEGANE/CLIO SALIDA IZQ.\par \par \par \par } </v>
      </c>
      <c r="AM2909" t="str">
        <f>" "</f>
        <v xml:space="preserve"> </v>
      </c>
    </row>
    <row r="2910" spans="1:39" x14ac:dyDescent="0.25">
      <c r="A2910" t="str">
        <f>"FI30084"</f>
        <v>FI30084</v>
      </c>
      <c r="B2910" t="str">
        <f>"SENSOR RPM KIA  SORENTO 2.5 CRDI - HYUNDAI H-1 2.5 CRDI L260MM 900 OHM"</f>
        <v>SENSOR RPM KIA  SORENTO 2.5 CRDI - HYUNDAI H-1 2.5 CRDI L260MM 900 OHM</v>
      </c>
      <c r="C2910" t="str">
        <f>"$ 17610,54"</f>
        <v>$ 17610,54</v>
      </c>
      <c r="D2910" t="str">
        <f>"$ 17610,54"</f>
        <v>$ 17610,54</v>
      </c>
      <c r="E2910" t="str">
        <f>"$ 17610,54"</f>
        <v>$ 17610,54</v>
      </c>
      <c r="F2910" t="str">
        <f>"$ 17610,54"</f>
        <v>$ 17610,54</v>
      </c>
      <c r="G2910" t="str">
        <f>"$ 17610,54"</f>
        <v>$ 17610,54</v>
      </c>
      <c r="H2910" t="str">
        <f t="shared" si="1875"/>
        <v>$ 0,00</v>
      </c>
      <c r="I2910" t="str">
        <f t="shared" si="1876"/>
        <v>SENSOR RPM</v>
      </c>
      <c r="J2910" t="str">
        <f t="shared" si="1877"/>
        <v>1</v>
      </c>
      <c r="K2910" t="str">
        <f t="shared" ref="K2910:K2916" si="1905">"1"</f>
        <v>1</v>
      </c>
      <c r="L2910" t="str">
        <f>"0,000"</f>
        <v>0,000</v>
      </c>
      <c r="M2910" t="str">
        <f t="shared" si="1878"/>
        <v xml:space="preserve"> </v>
      </c>
      <c r="N2910" t="str">
        <f t="shared" ref="N2910:N2937" si="1906">"FISPA"</f>
        <v>FISPA</v>
      </c>
      <c r="O2910" t="str">
        <f t="shared" si="1873"/>
        <v>SENSORES</v>
      </c>
      <c r="P2910" t="str">
        <f t="shared" si="1903"/>
        <v>0</v>
      </c>
      <c r="Q2910" t="str">
        <f t="shared" si="1903"/>
        <v>0</v>
      </c>
      <c r="R2910" t="str">
        <f t="shared" si="1904"/>
        <v>0,00</v>
      </c>
      <c r="S2910" t="str">
        <f t="shared" si="1904"/>
        <v>0,00</v>
      </c>
      <c r="T2910" t="str">
        <f t="shared" si="1872"/>
        <v xml:space="preserve"> </v>
      </c>
      <c r="U2910" t="str">
        <f t="shared" si="1874"/>
        <v xml:space="preserve"> </v>
      </c>
      <c r="V2910" t="str">
        <f>"0,000"</f>
        <v>0,000</v>
      </c>
      <c r="W2910" t="str">
        <f t="shared" si="1881"/>
        <v>Lista 4</v>
      </c>
      <c r="X2910" t="str">
        <f t="shared" si="1882"/>
        <v>Lista 5</v>
      </c>
      <c r="Y2910" t="str">
        <f t="shared" si="1883"/>
        <v>Oferta Gral.</v>
      </c>
      <c r="Z2910" t="str">
        <f t="shared" si="1884"/>
        <v>Rubro</v>
      </c>
      <c r="AA2910" t="str">
        <f t="shared" si="1885"/>
        <v>Cantidad por Bulto</v>
      </c>
      <c r="AB2910" t="str">
        <f t="shared" si="1886"/>
        <v>INNER</v>
      </c>
      <c r="AC2910" t="str">
        <f t="shared" si="1887"/>
        <v>Stock en Bultos</v>
      </c>
      <c r="AD2910" t="str">
        <f t="shared" si="1888"/>
        <v>SubDepósito</v>
      </c>
      <c r="AE2910" t="str">
        <f t="shared" si="1889"/>
        <v>Marca</v>
      </c>
      <c r="AF2910" t="str">
        <f t="shared" si="1890"/>
        <v>Super Rubro</v>
      </c>
      <c r="AG2910" t="str">
        <f t="shared" si="1891"/>
        <v>ComercioExterior</v>
      </c>
      <c r="AH2910" t="str">
        <f t="shared" si="1892"/>
        <v>PrecioFOB</v>
      </c>
      <c r="AI2910" t="str">
        <f t="shared" si="1893"/>
        <v>Monto II</v>
      </c>
      <c r="AJ2910" t="str">
        <f t="shared" si="1894"/>
        <v>Porcentaje II</v>
      </c>
      <c r="AK2910" t="str">
        <f t="shared" si="1895"/>
        <v>Foto</v>
      </c>
      <c r="AL2910" t="str">
        <f>" "</f>
        <v xml:space="preserve"> </v>
      </c>
      <c r="AM2910" t="str">
        <f t="shared" ref="AM2910:AM2937" si="1907">"-"</f>
        <v>-</v>
      </c>
    </row>
    <row r="2911" spans="1:39" x14ac:dyDescent="0.25">
      <c r="A2911" t="str">
        <f>"FI30012"</f>
        <v>FI30012</v>
      </c>
      <c r="B2911" t="str">
        <f>"SENSOR RPM MEGANE/SCENIC 1,6 - 1,8 - 2,0 16V - LAGUNA 1,6 - 1,8 - 2,0 MOTORES: 1,6 I - 2,0 I 16 V"</f>
        <v>SENSOR RPM MEGANE/SCENIC 1,6 - 1,8 - 2,0 16V - LAGUNA 1,6 - 1,8 - 2,0 MOTORES: 1,6 I - 2,0 I 16 V</v>
      </c>
      <c r="C2911" t="str">
        <f>"$ 25239,17"</f>
        <v>$ 25239,17</v>
      </c>
      <c r="D2911" t="str">
        <f>"$ 25239,17"</f>
        <v>$ 25239,17</v>
      </c>
      <c r="E2911" t="str">
        <f>"$ 25239,17"</f>
        <v>$ 25239,17</v>
      </c>
      <c r="F2911" t="str">
        <f>"$ 25239,17"</f>
        <v>$ 25239,17</v>
      </c>
      <c r="G2911" t="str">
        <f>"$ 25239,17"</f>
        <v>$ 25239,17</v>
      </c>
      <c r="H2911" t="str">
        <f t="shared" si="1875"/>
        <v>$ 0,00</v>
      </c>
      <c r="I2911" t="str">
        <f t="shared" si="1876"/>
        <v>SENSOR RPM</v>
      </c>
      <c r="J2911" t="str">
        <f t="shared" si="1877"/>
        <v>1</v>
      </c>
      <c r="K2911" t="str">
        <f t="shared" si="1905"/>
        <v>1</v>
      </c>
      <c r="L2911" t="str">
        <f>"0,000"</f>
        <v>0,000</v>
      </c>
      <c r="M2911" t="str">
        <f t="shared" si="1878"/>
        <v xml:space="preserve"> </v>
      </c>
      <c r="N2911" t="str">
        <f t="shared" si="1906"/>
        <v>FISPA</v>
      </c>
      <c r="O2911" t="str">
        <f t="shared" si="1873"/>
        <v>SENSORES</v>
      </c>
      <c r="P2911" t="str">
        <f t="shared" si="1903"/>
        <v>0</v>
      </c>
      <c r="Q2911" t="str">
        <f t="shared" si="1903"/>
        <v>0</v>
      </c>
      <c r="R2911" t="str">
        <f t="shared" si="1904"/>
        <v>0,00</v>
      </c>
      <c r="S2911" t="str">
        <f t="shared" si="1904"/>
        <v>0,00</v>
      </c>
      <c r="T2911" t="str">
        <f t="shared" si="1872"/>
        <v xml:space="preserve"> </v>
      </c>
      <c r="U2911" t="str">
        <f t="shared" si="1874"/>
        <v xml:space="preserve"> </v>
      </c>
      <c r="V2911" t="str">
        <f>"0,000"</f>
        <v>0,000</v>
      </c>
      <c r="W2911" t="str">
        <f t="shared" si="1881"/>
        <v>Lista 4</v>
      </c>
      <c r="X2911" t="str">
        <f t="shared" si="1882"/>
        <v>Lista 5</v>
      </c>
      <c r="Y2911" t="str">
        <f t="shared" si="1883"/>
        <v>Oferta Gral.</v>
      </c>
      <c r="Z2911" t="str">
        <f t="shared" si="1884"/>
        <v>Rubro</v>
      </c>
      <c r="AA2911" t="str">
        <f t="shared" si="1885"/>
        <v>Cantidad por Bulto</v>
      </c>
      <c r="AB2911" t="str">
        <f t="shared" si="1886"/>
        <v>INNER</v>
      </c>
      <c r="AC2911" t="str">
        <f t="shared" si="1887"/>
        <v>Stock en Bultos</v>
      </c>
      <c r="AD2911" t="str">
        <f t="shared" si="1888"/>
        <v>SubDepósito</v>
      </c>
      <c r="AE2911" t="str">
        <f t="shared" si="1889"/>
        <v>Marca</v>
      </c>
      <c r="AF2911" t="str">
        <f t="shared" si="1890"/>
        <v>Super Rubro</v>
      </c>
      <c r="AG2911" t="str">
        <f t="shared" si="1891"/>
        <v>ComercioExterior</v>
      </c>
      <c r="AH2911" t="str">
        <f t="shared" si="1892"/>
        <v>PrecioFOB</v>
      </c>
      <c r="AI2911" t="str">
        <f t="shared" si="1893"/>
        <v>Monto II</v>
      </c>
      <c r="AJ2911" t="str">
        <f t="shared" si="1894"/>
        <v>Porcentaje II</v>
      </c>
      <c r="AK2911" t="str">
        <f t="shared" si="1895"/>
        <v>Foto</v>
      </c>
      <c r="AL291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11" t="str">
        <f t="shared" si="1907"/>
        <v>-</v>
      </c>
    </row>
    <row r="2912" spans="1:39" x14ac:dyDescent="0.25">
      <c r="A2912" t="str">
        <f>"FI30120"</f>
        <v>FI30120</v>
      </c>
      <c r="B2912" t="str">
        <f>"SENSOR RPM MERCEDES BENZ CLASE A 140 - 150 - 160 - 170 - 180 - 200 - 210 - CLASE B 150 - 160 "</f>
        <v xml:space="preserve">SENSOR RPM MERCEDES BENZ CLASE A 140 - 150 - 160 - 170 - 180 - 200 - 210 - CLASE B 150 - 160 </v>
      </c>
      <c r="C2912" t="str">
        <f>"$ 19348,65"</f>
        <v>$ 19348,65</v>
      </c>
      <c r="D2912" t="str">
        <f>"$ 19348,65"</f>
        <v>$ 19348,65</v>
      </c>
      <c r="E2912" t="str">
        <f>"$ 19348,65"</f>
        <v>$ 19348,65</v>
      </c>
      <c r="F2912" t="str">
        <f>"$ 19348,65"</f>
        <v>$ 19348,65</v>
      </c>
      <c r="G2912" t="str">
        <f>"$ 19348,65"</f>
        <v>$ 19348,65</v>
      </c>
      <c r="H2912" t="str">
        <f t="shared" si="1875"/>
        <v>$ 0,00</v>
      </c>
      <c r="I2912" t="str">
        <f t="shared" si="1876"/>
        <v>SENSOR RPM</v>
      </c>
      <c r="J2912" t="str">
        <f t="shared" si="1877"/>
        <v>1</v>
      </c>
      <c r="K2912" t="str">
        <f t="shared" si="1905"/>
        <v>1</v>
      </c>
      <c r="L2912" t="str">
        <f>"1,000"</f>
        <v>1,000</v>
      </c>
      <c r="M2912" t="str">
        <f t="shared" si="1878"/>
        <v xml:space="preserve"> </v>
      </c>
      <c r="N2912" t="str">
        <f t="shared" si="1906"/>
        <v>FISPA</v>
      </c>
      <c r="O2912" t="str">
        <f t="shared" ref="O2912:O2937" si="1908">"SENSORES"</f>
        <v>SENSORES</v>
      </c>
      <c r="P2912" t="str">
        <f t="shared" si="1903"/>
        <v>0</v>
      </c>
      <c r="Q2912" t="str">
        <f t="shared" si="1903"/>
        <v>0</v>
      </c>
      <c r="R2912" t="str">
        <f t="shared" si="1904"/>
        <v>0,00</v>
      </c>
      <c r="S2912" t="str">
        <f t="shared" si="1904"/>
        <v>0,00</v>
      </c>
      <c r="T2912" t="str">
        <f t="shared" si="1872"/>
        <v xml:space="preserve"> </v>
      </c>
      <c r="U2912" t="str">
        <f t="shared" si="1874"/>
        <v xml:space="preserve"> </v>
      </c>
      <c r="V2912" t="str">
        <f>"1,000"</f>
        <v>1,000</v>
      </c>
      <c r="W2912" t="str">
        <f t="shared" si="1881"/>
        <v>Lista 4</v>
      </c>
      <c r="X2912" t="str">
        <f t="shared" si="1882"/>
        <v>Lista 5</v>
      </c>
      <c r="Y2912" t="str">
        <f t="shared" si="1883"/>
        <v>Oferta Gral.</v>
      </c>
      <c r="Z2912" t="str">
        <f t="shared" si="1884"/>
        <v>Rubro</v>
      </c>
      <c r="AA2912" t="str">
        <f t="shared" si="1885"/>
        <v>Cantidad por Bulto</v>
      </c>
      <c r="AB2912" t="str">
        <f t="shared" si="1886"/>
        <v>INNER</v>
      </c>
      <c r="AC2912" t="str">
        <f t="shared" si="1887"/>
        <v>Stock en Bultos</v>
      </c>
      <c r="AD2912" t="str">
        <f t="shared" si="1888"/>
        <v>SubDepósito</v>
      </c>
      <c r="AE2912" t="str">
        <f t="shared" si="1889"/>
        <v>Marca</v>
      </c>
      <c r="AF2912" t="str">
        <f t="shared" si="1890"/>
        <v>Super Rubro</v>
      </c>
      <c r="AG2912" t="str">
        <f t="shared" si="1891"/>
        <v>ComercioExterior</v>
      </c>
      <c r="AH2912" t="str">
        <f t="shared" si="1892"/>
        <v>PrecioFOB</v>
      </c>
      <c r="AI2912" t="str">
        <f t="shared" si="1893"/>
        <v>Monto II</v>
      </c>
      <c r="AJ2912" t="str">
        <f t="shared" si="1894"/>
        <v>Porcentaje II</v>
      </c>
      <c r="AK2912" t="str">
        <f t="shared" si="1895"/>
        <v>Foto</v>
      </c>
      <c r="AL2912" t="str">
        <f>"{\rtf1\ansi\ansicpg1252\deff0\deflang2058{\fonttbl{\f0\fnil\fcharset0 MS Sans Serif}} \viewkind4\uc1\pard\f0\fs16 SENSOR RPM MERCEDES BENZ CLASE A 140 - 150 - 160 - 170 - 180 - 200 - 210 - CLASE B 150 - 160 \par } "</f>
        <v xml:space="preserve">{\rtf1\ansi\ansicpg1252\deff0\deflang2058{\fonttbl{\f0\fnil\fcharset0 MS Sans Serif}} \viewkind4\uc1\pard\f0\fs16 SENSOR RPM MERCEDES BENZ CLASE A 140 - 150 - 160 - 170 - 180 - 200 - 210 - CLASE B 150 - 160 \par } </v>
      </c>
      <c r="AM2912" t="str">
        <f t="shared" si="1907"/>
        <v>-</v>
      </c>
    </row>
    <row r="2913" spans="1:39" x14ac:dyDescent="0.25">
      <c r="A2913" t="str">
        <f>"FI30110"</f>
        <v>FI30110</v>
      </c>
      <c r="B2913" t="str">
        <f>"SENSOR RPM MERCEDES BENZ E 220 / E 36 / E DESCAPOTABLE E 320 / S 300SE 2.8 / COUPE 320 CE "</f>
        <v xml:space="preserve">SENSOR RPM MERCEDES BENZ E 220 / E 36 / E DESCAPOTABLE E 320 / S 300SE 2.8 / COUPE 320 CE </v>
      </c>
      <c r="C2913" t="str">
        <f>"$ 29829,78"</f>
        <v>$ 29829,78</v>
      </c>
      <c r="D2913" t="str">
        <f>"$ 29829,78"</f>
        <v>$ 29829,78</v>
      </c>
      <c r="E2913" t="str">
        <f>"$ 29829,78"</f>
        <v>$ 29829,78</v>
      </c>
      <c r="F2913" t="str">
        <f>"$ 29829,78"</f>
        <v>$ 29829,78</v>
      </c>
      <c r="G2913" t="str">
        <f>"$ 29829,78"</f>
        <v>$ 29829,78</v>
      </c>
      <c r="H2913" t="str">
        <f t="shared" si="1875"/>
        <v>$ 0,00</v>
      </c>
      <c r="I2913" t="str">
        <f t="shared" si="1876"/>
        <v>SENSOR RPM</v>
      </c>
      <c r="J2913" t="str">
        <f t="shared" si="1877"/>
        <v>1</v>
      </c>
      <c r="K2913" t="str">
        <f t="shared" si="1905"/>
        <v>1</v>
      </c>
      <c r="L2913" t="str">
        <f>"0,000"</f>
        <v>0,000</v>
      </c>
      <c r="M2913" t="str">
        <f t="shared" si="1878"/>
        <v xml:space="preserve"> </v>
      </c>
      <c r="N2913" t="str">
        <f t="shared" si="1906"/>
        <v>FISPA</v>
      </c>
      <c r="O2913" t="str">
        <f t="shared" si="1908"/>
        <v>SENSORES</v>
      </c>
      <c r="P2913" t="str">
        <f t="shared" si="1903"/>
        <v>0</v>
      </c>
      <c r="Q2913" t="str">
        <f t="shared" si="1903"/>
        <v>0</v>
      </c>
      <c r="R2913" t="str">
        <f t="shared" si="1904"/>
        <v>0,00</v>
      </c>
      <c r="S2913" t="str">
        <f t="shared" si="1904"/>
        <v>0,00</v>
      </c>
      <c r="T2913" t="str">
        <f t="shared" si="1872"/>
        <v xml:space="preserve"> </v>
      </c>
      <c r="U2913" t="str">
        <f t="shared" si="1874"/>
        <v xml:space="preserve"> </v>
      </c>
      <c r="V2913" t="str">
        <f>"0,000"</f>
        <v>0,000</v>
      </c>
      <c r="W2913" t="str">
        <f t="shared" si="1881"/>
        <v>Lista 4</v>
      </c>
      <c r="X2913" t="str">
        <f t="shared" si="1882"/>
        <v>Lista 5</v>
      </c>
      <c r="Y2913" t="str">
        <f t="shared" si="1883"/>
        <v>Oferta Gral.</v>
      </c>
      <c r="Z2913" t="str">
        <f t="shared" si="1884"/>
        <v>Rubro</v>
      </c>
      <c r="AA2913" t="str">
        <f t="shared" si="1885"/>
        <v>Cantidad por Bulto</v>
      </c>
      <c r="AB2913" t="str">
        <f t="shared" si="1886"/>
        <v>INNER</v>
      </c>
      <c r="AC2913" t="str">
        <f t="shared" si="1887"/>
        <v>Stock en Bultos</v>
      </c>
      <c r="AD2913" t="str">
        <f t="shared" si="1888"/>
        <v>SubDepósito</v>
      </c>
      <c r="AE2913" t="str">
        <f t="shared" si="1889"/>
        <v>Marca</v>
      </c>
      <c r="AF2913" t="str">
        <f t="shared" si="1890"/>
        <v>Super Rubro</v>
      </c>
      <c r="AG2913" t="str">
        <f t="shared" si="1891"/>
        <v>ComercioExterior</v>
      </c>
      <c r="AH2913" t="str">
        <f t="shared" si="1892"/>
        <v>PrecioFOB</v>
      </c>
      <c r="AI2913" t="str">
        <f t="shared" si="1893"/>
        <v>Monto II</v>
      </c>
      <c r="AJ2913" t="str">
        <f t="shared" si="1894"/>
        <v>Porcentaje II</v>
      </c>
      <c r="AK2913" t="str">
        <f t="shared" si="1895"/>
        <v>Foto</v>
      </c>
      <c r="AL291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3" t="str">
        <f t="shared" si="1907"/>
        <v>-</v>
      </c>
    </row>
    <row r="2914" spans="1:39" x14ac:dyDescent="0.25">
      <c r="A2914" t="str">
        <f>"FI30072"</f>
        <v>FI30072</v>
      </c>
      <c r="B2914" t="str">
        <f>"SENSOR RPM MERCEDES CLASE C - C240 / C280 / C180 / C200 CDI / C220 CDI / C230 / C270 CDI "</f>
        <v xml:space="preserve">SENSOR RPM MERCEDES CLASE C - C240 / C280 / C180 / C200 CDI / C220 CDI / C230 / C270 CDI </v>
      </c>
      <c r="C2914" t="str">
        <f>"$ 25953,21"</f>
        <v>$ 25953,21</v>
      </c>
      <c r="D2914" t="str">
        <f>"$ 25953,21"</f>
        <v>$ 25953,21</v>
      </c>
      <c r="E2914" t="str">
        <f>"$ 25953,21"</f>
        <v>$ 25953,21</v>
      </c>
      <c r="F2914" t="str">
        <f>"$ 25953,21"</f>
        <v>$ 25953,21</v>
      </c>
      <c r="G2914" t="str">
        <f>"$ 25953,21"</f>
        <v>$ 25953,21</v>
      </c>
      <c r="H2914" t="str">
        <f t="shared" si="1875"/>
        <v>$ 0,00</v>
      </c>
      <c r="I2914" t="str">
        <f t="shared" si="1876"/>
        <v>SENSOR RPM</v>
      </c>
      <c r="J2914" t="str">
        <f t="shared" si="1877"/>
        <v>1</v>
      </c>
      <c r="K2914" t="str">
        <f t="shared" si="1905"/>
        <v>1</v>
      </c>
      <c r="L2914" t="str">
        <f>"0,000"</f>
        <v>0,000</v>
      </c>
      <c r="M2914" t="str">
        <f t="shared" si="1878"/>
        <v xml:space="preserve"> </v>
      </c>
      <c r="N2914" t="str">
        <f t="shared" si="1906"/>
        <v>FISPA</v>
      </c>
      <c r="O2914" t="str">
        <f t="shared" si="1908"/>
        <v>SENSORES</v>
      </c>
      <c r="P2914" t="str">
        <f t="shared" si="1903"/>
        <v>0</v>
      </c>
      <c r="Q2914" t="str">
        <f t="shared" si="1903"/>
        <v>0</v>
      </c>
      <c r="R2914" t="str">
        <f t="shared" si="1904"/>
        <v>0,00</v>
      </c>
      <c r="S2914" t="str">
        <f t="shared" si="1904"/>
        <v>0,00</v>
      </c>
      <c r="T2914" t="str">
        <f t="shared" si="1872"/>
        <v xml:space="preserve"> </v>
      </c>
      <c r="U2914" t="str">
        <f t="shared" si="1874"/>
        <v xml:space="preserve"> </v>
      </c>
      <c r="V2914" t="str">
        <f>"0,000"</f>
        <v>0,000</v>
      </c>
      <c r="W2914" t="str">
        <f t="shared" si="1881"/>
        <v>Lista 4</v>
      </c>
      <c r="X2914" t="str">
        <f t="shared" si="1882"/>
        <v>Lista 5</v>
      </c>
      <c r="Y2914" t="str">
        <f t="shared" si="1883"/>
        <v>Oferta Gral.</v>
      </c>
      <c r="Z2914" t="str">
        <f t="shared" si="1884"/>
        <v>Rubro</v>
      </c>
      <c r="AA2914" t="str">
        <f t="shared" si="1885"/>
        <v>Cantidad por Bulto</v>
      </c>
      <c r="AB2914" t="str">
        <f t="shared" si="1886"/>
        <v>INNER</v>
      </c>
      <c r="AC2914" t="str">
        <f t="shared" si="1887"/>
        <v>Stock en Bultos</v>
      </c>
      <c r="AD2914" t="str">
        <f t="shared" si="1888"/>
        <v>SubDepósito</v>
      </c>
      <c r="AE2914" t="str">
        <f t="shared" si="1889"/>
        <v>Marca</v>
      </c>
      <c r="AF2914" t="str">
        <f t="shared" si="1890"/>
        <v>Super Rubro</v>
      </c>
      <c r="AG2914" t="str">
        <f t="shared" si="1891"/>
        <v>ComercioExterior</v>
      </c>
      <c r="AH2914" t="str">
        <f t="shared" si="1892"/>
        <v>PrecioFOB</v>
      </c>
      <c r="AI2914" t="str">
        <f t="shared" si="1893"/>
        <v>Monto II</v>
      </c>
      <c r="AJ2914" t="str">
        <f t="shared" si="1894"/>
        <v>Porcentaje II</v>
      </c>
      <c r="AK2914" t="str">
        <f t="shared" si="1895"/>
        <v>Foto</v>
      </c>
      <c r="AL291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4" t="str">
        <f t="shared" si="1907"/>
        <v>-</v>
      </c>
    </row>
    <row r="2915" spans="1:39" x14ac:dyDescent="0.25">
      <c r="A2915" t="str">
        <f>"FI30085"</f>
        <v>FI30085</v>
      </c>
      <c r="B2915" t="str">
        <f>"SENSOR RPM OPEL ASTRA G / CORSA B 1.4 / ZAFIRA"</f>
        <v>SENSOR RPM OPEL ASTRA G / CORSA B 1.4 / ZAFIRA</v>
      </c>
      <c r="C2915" t="str">
        <f>"$ 46419,91"</f>
        <v>$ 46419,91</v>
      </c>
      <c r="D2915" t="str">
        <f>"$ 46419,91"</f>
        <v>$ 46419,91</v>
      </c>
      <c r="E2915" t="str">
        <f>"$ 46419,91"</f>
        <v>$ 46419,91</v>
      </c>
      <c r="F2915" t="str">
        <f>"$ 46419,91"</f>
        <v>$ 46419,91</v>
      </c>
      <c r="G2915" t="str">
        <f>"$ 46419,91"</f>
        <v>$ 46419,91</v>
      </c>
      <c r="H2915" t="str">
        <f t="shared" si="1875"/>
        <v>$ 0,00</v>
      </c>
      <c r="I2915" t="str">
        <f t="shared" ref="I2915:I2937" si="1909">"SENSOR RPM"</f>
        <v>SENSOR RPM</v>
      </c>
      <c r="J2915" t="str">
        <f t="shared" si="1877"/>
        <v>1</v>
      </c>
      <c r="K2915" t="str">
        <f t="shared" si="1905"/>
        <v>1</v>
      </c>
      <c r="L2915" t="str">
        <f>"0,000"</f>
        <v>0,000</v>
      </c>
      <c r="M2915" t="str">
        <f t="shared" si="1878"/>
        <v xml:space="preserve"> </v>
      </c>
      <c r="N2915" t="str">
        <f t="shared" si="1906"/>
        <v>FISPA</v>
      </c>
      <c r="O2915" t="str">
        <f t="shared" si="1908"/>
        <v>SENSORES</v>
      </c>
      <c r="P2915" t="str">
        <f t="shared" si="1903"/>
        <v>0</v>
      </c>
      <c r="Q2915" t="str">
        <f t="shared" si="1903"/>
        <v>0</v>
      </c>
      <c r="R2915" t="str">
        <f t="shared" si="1904"/>
        <v>0,00</v>
      </c>
      <c r="S2915" t="str">
        <f t="shared" si="1904"/>
        <v>0,00</v>
      </c>
      <c r="T2915" t="str">
        <f t="shared" si="1872"/>
        <v xml:space="preserve"> </v>
      </c>
      <c r="U2915" t="str">
        <f t="shared" si="1874"/>
        <v xml:space="preserve"> </v>
      </c>
      <c r="V2915" t="str">
        <f>"0,000"</f>
        <v>0,000</v>
      </c>
      <c r="W2915" t="str">
        <f t="shared" si="1881"/>
        <v>Lista 4</v>
      </c>
      <c r="X2915" t="str">
        <f t="shared" si="1882"/>
        <v>Lista 5</v>
      </c>
      <c r="Y2915" t="str">
        <f t="shared" si="1883"/>
        <v>Oferta Gral.</v>
      </c>
      <c r="Z2915" t="str">
        <f t="shared" si="1884"/>
        <v>Rubro</v>
      </c>
      <c r="AA2915" t="str">
        <f t="shared" si="1885"/>
        <v>Cantidad por Bulto</v>
      </c>
      <c r="AB2915" t="str">
        <f t="shared" si="1886"/>
        <v>INNER</v>
      </c>
      <c r="AC2915" t="str">
        <f t="shared" si="1887"/>
        <v>Stock en Bultos</v>
      </c>
      <c r="AD2915" t="str">
        <f t="shared" si="1888"/>
        <v>SubDepósito</v>
      </c>
      <c r="AE2915" t="str">
        <f t="shared" si="1889"/>
        <v>Marca</v>
      </c>
      <c r="AF2915" t="str">
        <f t="shared" si="1890"/>
        <v>Super Rubro</v>
      </c>
      <c r="AG2915" t="str">
        <f t="shared" si="1891"/>
        <v>ComercioExterior</v>
      </c>
      <c r="AH2915" t="str">
        <f t="shared" si="1892"/>
        <v>PrecioFOB</v>
      </c>
      <c r="AI2915" t="str">
        <f t="shared" si="1893"/>
        <v>Monto II</v>
      </c>
      <c r="AJ2915" t="str">
        <f t="shared" si="1894"/>
        <v>Porcentaje II</v>
      </c>
      <c r="AK2915" t="str">
        <f t="shared" si="1895"/>
        <v>Foto</v>
      </c>
      <c r="AL291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5" t="str">
        <f t="shared" si="1907"/>
        <v>-</v>
      </c>
    </row>
    <row r="2916" spans="1:39" x14ac:dyDescent="0.25">
      <c r="A2916" t="str">
        <f>"FI30010"</f>
        <v>FI30010</v>
      </c>
      <c r="B2916" t="str">
        <f>"SENSOR RPM OPEL KADETT - OPEL ASTRA -"</f>
        <v>SENSOR RPM OPEL KADETT - OPEL ASTRA -</v>
      </c>
      <c r="C2916" t="str">
        <f>"$ 25079,28"</f>
        <v>$ 25079,28</v>
      </c>
      <c r="D2916" t="str">
        <f>"$ 25079,28"</f>
        <v>$ 25079,28</v>
      </c>
      <c r="E2916" t="str">
        <f>"$ 25079,28"</f>
        <v>$ 25079,28</v>
      </c>
      <c r="F2916" t="str">
        <f>"$ 25079,28"</f>
        <v>$ 25079,28</v>
      </c>
      <c r="G2916" t="str">
        <f>"$ 25079,28"</f>
        <v>$ 25079,28</v>
      </c>
      <c r="H2916" t="str">
        <f t="shared" si="1875"/>
        <v>$ 0,00</v>
      </c>
      <c r="I2916" t="str">
        <f t="shared" si="1909"/>
        <v>SENSOR RPM</v>
      </c>
      <c r="J2916" t="str">
        <f t="shared" si="1877"/>
        <v>1</v>
      </c>
      <c r="K2916" t="str">
        <f t="shared" si="1905"/>
        <v>1</v>
      </c>
      <c r="L2916" t="str">
        <f>"0,000"</f>
        <v>0,000</v>
      </c>
      <c r="M2916" t="str">
        <f t="shared" si="1878"/>
        <v xml:space="preserve"> </v>
      </c>
      <c r="N2916" t="str">
        <f t="shared" si="1906"/>
        <v>FISPA</v>
      </c>
      <c r="O2916" t="str">
        <f t="shared" si="1908"/>
        <v>SENSORES</v>
      </c>
      <c r="P2916" t="str">
        <f t="shared" si="1903"/>
        <v>0</v>
      </c>
      <c r="Q2916" t="str">
        <f t="shared" si="1903"/>
        <v>0</v>
      </c>
      <c r="R2916" t="str">
        <f t="shared" si="1904"/>
        <v>0,00</v>
      </c>
      <c r="S2916" t="str">
        <f t="shared" si="1904"/>
        <v>0,00</v>
      </c>
      <c r="T2916" t="str">
        <f t="shared" si="1872"/>
        <v xml:space="preserve"> </v>
      </c>
      <c r="U2916" t="str">
        <f t="shared" si="1874"/>
        <v xml:space="preserve"> </v>
      </c>
      <c r="V2916" t="str">
        <f>"0,000"</f>
        <v>0,000</v>
      </c>
      <c r="W2916" t="str">
        <f t="shared" si="1881"/>
        <v>Lista 4</v>
      </c>
      <c r="X2916" t="str">
        <f t="shared" si="1882"/>
        <v>Lista 5</v>
      </c>
      <c r="Y2916" t="str">
        <f t="shared" si="1883"/>
        <v>Oferta Gral.</v>
      </c>
      <c r="Z2916" t="str">
        <f t="shared" si="1884"/>
        <v>Rubro</v>
      </c>
      <c r="AA2916" t="str">
        <f t="shared" si="1885"/>
        <v>Cantidad por Bulto</v>
      </c>
      <c r="AB2916" t="str">
        <f t="shared" si="1886"/>
        <v>INNER</v>
      </c>
      <c r="AC2916" t="str">
        <f t="shared" si="1887"/>
        <v>Stock en Bultos</v>
      </c>
      <c r="AD2916" t="str">
        <f t="shared" si="1888"/>
        <v>SubDepósito</v>
      </c>
      <c r="AE2916" t="str">
        <f t="shared" si="1889"/>
        <v>Marca</v>
      </c>
      <c r="AF2916" t="str">
        <f t="shared" si="1890"/>
        <v>Super Rubro</v>
      </c>
      <c r="AG2916" t="str">
        <f t="shared" si="1891"/>
        <v>ComercioExterior</v>
      </c>
      <c r="AH2916" t="str">
        <f t="shared" si="1892"/>
        <v>PrecioFOB</v>
      </c>
      <c r="AI2916" t="str">
        <f t="shared" si="1893"/>
        <v>Monto II</v>
      </c>
      <c r="AJ2916" t="str">
        <f t="shared" si="1894"/>
        <v>Porcentaje II</v>
      </c>
      <c r="AK2916" t="str">
        <f t="shared" si="1895"/>
        <v>Foto</v>
      </c>
      <c r="AL29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6" t="str">
        <f t="shared" si="1907"/>
        <v>-</v>
      </c>
    </row>
    <row r="2917" spans="1:39" x14ac:dyDescent="0.25">
      <c r="A2917" t="str">
        <f>"FI30017"</f>
        <v>FI30017</v>
      </c>
      <c r="B2917" t="str">
        <f>"SENSOR RPM P106-206-306-307 1.4 1.6 16V / PARTNER/BERLINGO/C3/C4 / SAXO 1.6 / XSARA1.4 - 1.6"</f>
        <v>SENSOR RPM P106-206-306-307 1.4 1.6 16V / PARTNER/BERLINGO/C3/C4 / SAXO 1.6 / XSARA1.4 - 1.6</v>
      </c>
      <c r="C2917" t="str">
        <f>"$ 17936,44"</f>
        <v>$ 17936,44</v>
      </c>
      <c r="D2917" t="str">
        <f>"$ 17936,44"</f>
        <v>$ 17936,44</v>
      </c>
      <c r="E2917" t="str">
        <f>"$ 17936,44"</f>
        <v>$ 17936,44</v>
      </c>
      <c r="F2917" t="str">
        <f>"$ 17936,44"</f>
        <v>$ 17936,44</v>
      </c>
      <c r="G2917" t="str">
        <f>"$ 17936,44"</f>
        <v>$ 17936,44</v>
      </c>
      <c r="H2917" t="str">
        <f t="shared" si="1875"/>
        <v>$ 0,00</v>
      </c>
      <c r="I2917" t="str">
        <f t="shared" si="1909"/>
        <v>SENSOR RPM</v>
      </c>
      <c r="J2917" t="str">
        <f t="shared" si="1877"/>
        <v>1</v>
      </c>
      <c r="K2917" t="str">
        <f>"0"</f>
        <v>0</v>
      </c>
      <c r="L2917" t="str">
        <f>"2,000"</f>
        <v>2,000</v>
      </c>
      <c r="M2917" t="str">
        <f t="shared" si="1878"/>
        <v xml:space="preserve"> </v>
      </c>
      <c r="N2917" t="str">
        <f t="shared" si="1906"/>
        <v>FISPA</v>
      </c>
      <c r="O2917" t="str">
        <f t="shared" si="1908"/>
        <v>SENSORES</v>
      </c>
      <c r="P2917" t="str">
        <f t="shared" si="1903"/>
        <v>0</v>
      </c>
      <c r="Q2917" t="str">
        <f t="shared" si="1903"/>
        <v>0</v>
      </c>
      <c r="R2917" t="str">
        <f t="shared" si="1904"/>
        <v>0,00</v>
      </c>
      <c r="S2917" t="str">
        <f t="shared" si="1904"/>
        <v>0,00</v>
      </c>
      <c r="T2917" t="str">
        <f t="shared" si="1872"/>
        <v xml:space="preserve"> </v>
      </c>
      <c r="U2917" t="str">
        <f t="shared" si="1874"/>
        <v xml:space="preserve"> </v>
      </c>
      <c r="V2917" t="str">
        <f>"2,000"</f>
        <v>2,000</v>
      </c>
      <c r="W2917" t="str">
        <f t="shared" si="1881"/>
        <v>Lista 4</v>
      </c>
      <c r="X2917" t="str">
        <f t="shared" si="1882"/>
        <v>Lista 5</v>
      </c>
      <c r="Y2917" t="str">
        <f t="shared" si="1883"/>
        <v>Oferta Gral.</v>
      </c>
      <c r="Z2917" t="str">
        <f t="shared" si="1884"/>
        <v>Rubro</v>
      </c>
      <c r="AA2917" t="str">
        <f t="shared" si="1885"/>
        <v>Cantidad por Bulto</v>
      </c>
      <c r="AB2917" t="str">
        <f t="shared" si="1886"/>
        <v>INNER</v>
      </c>
      <c r="AC2917" t="str">
        <f t="shared" si="1887"/>
        <v>Stock en Bultos</v>
      </c>
      <c r="AD2917" t="str">
        <f t="shared" si="1888"/>
        <v>SubDepósito</v>
      </c>
      <c r="AE2917" t="str">
        <f t="shared" si="1889"/>
        <v>Marca</v>
      </c>
      <c r="AF2917" t="str">
        <f t="shared" si="1890"/>
        <v>Super Rubro</v>
      </c>
      <c r="AG2917" t="str">
        <f t="shared" si="1891"/>
        <v>ComercioExterior</v>
      </c>
      <c r="AH2917" t="str">
        <f t="shared" si="1892"/>
        <v>PrecioFOB</v>
      </c>
      <c r="AI2917" t="str">
        <f t="shared" si="1893"/>
        <v>Monto II</v>
      </c>
      <c r="AJ2917" t="str">
        <f t="shared" si="1894"/>
        <v>Porcentaje II</v>
      </c>
      <c r="AK2917" t="str">
        <f t="shared" si="1895"/>
        <v>Foto</v>
      </c>
      <c r="AL291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17" t="str">
        <f t="shared" si="1907"/>
        <v>-</v>
      </c>
    </row>
    <row r="2918" spans="1:39" x14ac:dyDescent="0.25">
      <c r="A2918" t="str">
        <f>"FI30018"</f>
        <v>FI30018</v>
      </c>
      <c r="B2918" t="str">
        <f>"SENSOR RPM PEUGEOT 206-306-307 1.6 16VCITROEN XSARA (N1) 1.6 16VMOTOR NFU (TU5JP4)"</f>
        <v>SENSOR RPM PEUGEOT 206-306-307 1.6 16VCITROEN XSARA (N1) 1.6 16VMOTOR NFU (TU5JP4)</v>
      </c>
      <c r="C2918" t="str">
        <f>"$ 19085,00"</f>
        <v>$ 19085,00</v>
      </c>
      <c r="D2918" t="str">
        <f>"$ 19085,00"</f>
        <v>$ 19085,00</v>
      </c>
      <c r="E2918" t="str">
        <f>"$ 19085,00"</f>
        <v>$ 19085,00</v>
      </c>
      <c r="F2918" t="str">
        <f>"$ 19085,00"</f>
        <v>$ 19085,00</v>
      </c>
      <c r="G2918" t="str">
        <f>"$ 19085,00"</f>
        <v>$ 19085,00</v>
      </c>
      <c r="H2918" t="str">
        <f t="shared" si="1875"/>
        <v>$ 0,00</v>
      </c>
      <c r="I2918" t="str">
        <f t="shared" si="1909"/>
        <v>SENSOR RPM</v>
      </c>
      <c r="J2918" t="str">
        <f t="shared" si="1877"/>
        <v>1</v>
      </c>
      <c r="K2918" t="str">
        <f>"1"</f>
        <v>1</v>
      </c>
      <c r="L2918" t="str">
        <f>"0,000"</f>
        <v>0,000</v>
      </c>
      <c r="M2918" t="str">
        <f t="shared" si="1878"/>
        <v xml:space="preserve"> </v>
      </c>
      <c r="N2918" t="str">
        <f t="shared" si="1906"/>
        <v>FISPA</v>
      </c>
      <c r="O2918" t="str">
        <f t="shared" si="1908"/>
        <v>SENSORES</v>
      </c>
      <c r="P2918" t="str">
        <f t="shared" si="1903"/>
        <v>0</v>
      </c>
      <c r="Q2918" t="str">
        <f t="shared" si="1903"/>
        <v>0</v>
      </c>
      <c r="R2918" t="str">
        <f t="shared" si="1904"/>
        <v>0,00</v>
      </c>
      <c r="S2918" t="str">
        <f t="shared" si="1904"/>
        <v>0,00</v>
      </c>
      <c r="T2918" t="str">
        <f t="shared" si="1872"/>
        <v xml:space="preserve"> </v>
      </c>
      <c r="U2918" t="str">
        <f t="shared" si="1874"/>
        <v xml:space="preserve"> </v>
      </c>
      <c r="V2918" t="str">
        <f>"0,000"</f>
        <v>0,000</v>
      </c>
      <c r="W2918" t="str">
        <f t="shared" si="1881"/>
        <v>Lista 4</v>
      </c>
      <c r="X2918" t="str">
        <f t="shared" si="1882"/>
        <v>Lista 5</v>
      </c>
      <c r="Y2918" t="str">
        <f t="shared" si="1883"/>
        <v>Oferta Gral.</v>
      </c>
      <c r="Z2918" t="str">
        <f t="shared" si="1884"/>
        <v>Rubro</v>
      </c>
      <c r="AA2918" t="str">
        <f t="shared" si="1885"/>
        <v>Cantidad por Bulto</v>
      </c>
      <c r="AB2918" t="str">
        <f t="shared" si="1886"/>
        <v>INNER</v>
      </c>
      <c r="AC2918" t="str">
        <f t="shared" si="1887"/>
        <v>Stock en Bultos</v>
      </c>
      <c r="AD2918" t="str">
        <f t="shared" si="1888"/>
        <v>SubDepósito</v>
      </c>
      <c r="AE2918" t="str">
        <f t="shared" si="1889"/>
        <v>Marca</v>
      </c>
      <c r="AF2918" t="str">
        <f t="shared" si="1890"/>
        <v>Super Rubro</v>
      </c>
      <c r="AG2918" t="str">
        <f t="shared" si="1891"/>
        <v>ComercioExterior</v>
      </c>
      <c r="AH2918" t="str">
        <f t="shared" si="1892"/>
        <v>PrecioFOB</v>
      </c>
      <c r="AI2918" t="str">
        <f t="shared" si="1893"/>
        <v>Monto II</v>
      </c>
      <c r="AJ2918" t="str">
        <f t="shared" si="1894"/>
        <v>Porcentaje II</v>
      </c>
      <c r="AK2918" t="str">
        <f t="shared" si="1895"/>
        <v>Foto</v>
      </c>
      <c r="AL291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8" t="str">
        <f t="shared" si="1907"/>
        <v>-</v>
      </c>
    </row>
    <row r="2919" spans="1:39" x14ac:dyDescent="0.25">
      <c r="A2919" t="str">
        <f>"FI30112"</f>
        <v>FI30112</v>
      </c>
      <c r="B2919" t="str">
        <f>"SENSOR RPM PEUGEOT 306 1.8 8V - 406 1.8 16V - CITRÖEN XANTIA 1.8 16V"</f>
        <v>SENSOR RPM PEUGEOT 306 1.8 8V - 406 1.8 16V - CITRÖEN XANTIA 1.8 16V</v>
      </c>
      <c r="C2919" t="str">
        <f>"$ 46950,86"</f>
        <v>$ 46950,86</v>
      </c>
      <c r="D2919" t="str">
        <f>"$ 46950,86"</f>
        <v>$ 46950,86</v>
      </c>
      <c r="E2919" t="str">
        <f>"$ 46950,86"</f>
        <v>$ 46950,86</v>
      </c>
      <c r="F2919" t="str">
        <f>"$ 46950,86"</f>
        <v>$ 46950,86</v>
      </c>
      <c r="G2919" t="str">
        <f>"$ 46950,86"</f>
        <v>$ 46950,86</v>
      </c>
      <c r="H2919" t="str">
        <f t="shared" si="1875"/>
        <v>$ 0,00</v>
      </c>
      <c r="I2919" t="str">
        <f t="shared" si="1909"/>
        <v>SENSOR RPM</v>
      </c>
      <c r="J2919" t="str">
        <f t="shared" si="1877"/>
        <v>1</v>
      </c>
      <c r="K2919" t="str">
        <f>"1"</f>
        <v>1</v>
      </c>
      <c r="L2919" t="str">
        <f>"0,000"</f>
        <v>0,000</v>
      </c>
      <c r="M2919" t="str">
        <f t="shared" si="1878"/>
        <v xml:space="preserve"> </v>
      </c>
      <c r="N2919" t="str">
        <f t="shared" si="1906"/>
        <v>FISPA</v>
      </c>
      <c r="O2919" t="str">
        <f t="shared" si="1908"/>
        <v>SENSORES</v>
      </c>
      <c r="P2919" t="str">
        <f t="shared" si="1903"/>
        <v>0</v>
      </c>
      <c r="Q2919" t="str">
        <f t="shared" si="1903"/>
        <v>0</v>
      </c>
      <c r="R2919" t="str">
        <f t="shared" si="1904"/>
        <v>0,00</v>
      </c>
      <c r="S2919" t="str">
        <f t="shared" si="1904"/>
        <v>0,00</v>
      </c>
      <c r="T2919" t="str">
        <f t="shared" si="1872"/>
        <v xml:space="preserve"> </v>
      </c>
      <c r="U2919" t="str">
        <f t="shared" si="1874"/>
        <v xml:space="preserve"> </v>
      </c>
      <c r="V2919" t="str">
        <f>"0,000"</f>
        <v>0,000</v>
      </c>
      <c r="W2919" t="str">
        <f t="shared" si="1881"/>
        <v>Lista 4</v>
      </c>
      <c r="X2919" t="str">
        <f t="shared" si="1882"/>
        <v>Lista 5</v>
      </c>
      <c r="Y2919" t="str">
        <f t="shared" si="1883"/>
        <v>Oferta Gral.</v>
      </c>
      <c r="Z2919" t="str">
        <f t="shared" si="1884"/>
        <v>Rubro</v>
      </c>
      <c r="AA2919" t="str">
        <f t="shared" si="1885"/>
        <v>Cantidad por Bulto</v>
      </c>
      <c r="AB2919" t="str">
        <f t="shared" si="1886"/>
        <v>INNER</v>
      </c>
      <c r="AC2919" t="str">
        <f t="shared" si="1887"/>
        <v>Stock en Bultos</v>
      </c>
      <c r="AD2919" t="str">
        <f t="shared" si="1888"/>
        <v>SubDepósito</v>
      </c>
      <c r="AE2919" t="str">
        <f t="shared" si="1889"/>
        <v>Marca</v>
      </c>
      <c r="AF2919" t="str">
        <f t="shared" si="1890"/>
        <v>Super Rubro</v>
      </c>
      <c r="AG2919" t="str">
        <f t="shared" si="1891"/>
        <v>ComercioExterior</v>
      </c>
      <c r="AH2919" t="str">
        <f t="shared" si="1892"/>
        <v>PrecioFOB</v>
      </c>
      <c r="AI2919" t="str">
        <f t="shared" si="1893"/>
        <v>Monto II</v>
      </c>
      <c r="AJ2919" t="str">
        <f t="shared" si="1894"/>
        <v>Porcentaje II</v>
      </c>
      <c r="AK2919" t="str">
        <f t="shared" si="1895"/>
        <v>Foto</v>
      </c>
      <c r="AL291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9" t="str">
        <f t="shared" si="1907"/>
        <v>-</v>
      </c>
    </row>
    <row r="2920" spans="1:39" x14ac:dyDescent="0.25">
      <c r="A2920" t="str">
        <f>"FI30063"</f>
        <v>FI30063</v>
      </c>
      <c r="B2920" t="str">
        <f>"SENSOR RPM R19 1.7/1.8/1.8 16V - 21 1.7 CLIO I 1.4 - LAGUNA I 2.0 / 1.6 E  MEGANE SCENIC 1.6 E"</f>
        <v>SENSOR RPM R19 1.7/1.8/1.8 16V - 21 1.7 CLIO I 1.4 - LAGUNA I 2.0 / 1.6 E  MEGANE SCENIC 1.6 E</v>
      </c>
      <c r="C2920" t="str">
        <f>"$ 37585,35"</f>
        <v>$ 37585,35</v>
      </c>
      <c r="D2920" t="str">
        <f>"$ 37585,35"</f>
        <v>$ 37585,35</v>
      </c>
      <c r="E2920" t="str">
        <f>"$ 37585,35"</f>
        <v>$ 37585,35</v>
      </c>
      <c r="F2920" t="str">
        <f>"$ 37585,35"</f>
        <v>$ 37585,35</v>
      </c>
      <c r="G2920" t="str">
        <f>"$ 37585,35"</f>
        <v>$ 37585,35</v>
      </c>
      <c r="H2920" t="str">
        <f t="shared" si="1875"/>
        <v>$ 0,00</v>
      </c>
      <c r="I2920" t="str">
        <f t="shared" si="1909"/>
        <v>SENSOR RPM</v>
      </c>
      <c r="J2920" t="str">
        <f t="shared" si="1877"/>
        <v>1</v>
      </c>
      <c r="K2920" t="str">
        <f>"1"</f>
        <v>1</v>
      </c>
      <c r="L2920" t="str">
        <f>"0,000"</f>
        <v>0,000</v>
      </c>
      <c r="M2920" t="str">
        <f t="shared" si="1878"/>
        <v xml:space="preserve"> </v>
      </c>
      <c r="N2920" t="str">
        <f t="shared" si="1906"/>
        <v>FISPA</v>
      </c>
      <c r="O2920" t="str">
        <f t="shared" si="1908"/>
        <v>SENSORES</v>
      </c>
      <c r="P2920" t="str">
        <f t="shared" si="1903"/>
        <v>0</v>
      </c>
      <c r="Q2920" t="str">
        <f t="shared" si="1903"/>
        <v>0</v>
      </c>
      <c r="R2920" t="str">
        <f t="shared" si="1904"/>
        <v>0,00</v>
      </c>
      <c r="S2920" t="str">
        <f t="shared" si="1904"/>
        <v>0,00</v>
      </c>
      <c r="T2920" t="str">
        <f t="shared" si="1872"/>
        <v xml:space="preserve"> </v>
      </c>
      <c r="U2920" t="str">
        <f t="shared" si="1874"/>
        <v xml:space="preserve"> </v>
      </c>
      <c r="V2920" t="str">
        <f>"0,000"</f>
        <v>0,000</v>
      </c>
      <c r="W2920" t="str">
        <f t="shared" si="1881"/>
        <v>Lista 4</v>
      </c>
      <c r="X2920" t="str">
        <f t="shared" si="1882"/>
        <v>Lista 5</v>
      </c>
      <c r="Y2920" t="str">
        <f t="shared" si="1883"/>
        <v>Oferta Gral.</v>
      </c>
      <c r="Z2920" t="str">
        <f t="shared" si="1884"/>
        <v>Rubro</v>
      </c>
      <c r="AA2920" t="str">
        <f t="shared" si="1885"/>
        <v>Cantidad por Bulto</v>
      </c>
      <c r="AB2920" t="str">
        <f t="shared" si="1886"/>
        <v>INNER</v>
      </c>
      <c r="AC2920" t="str">
        <f t="shared" si="1887"/>
        <v>Stock en Bultos</v>
      </c>
      <c r="AD2920" t="str">
        <f t="shared" si="1888"/>
        <v>SubDepósito</v>
      </c>
      <c r="AE2920" t="str">
        <f t="shared" si="1889"/>
        <v>Marca</v>
      </c>
      <c r="AF2920" t="str">
        <f t="shared" si="1890"/>
        <v>Super Rubro</v>
      </c>
      <c r="AG2920" t="str">
        <f t="shared" si="1891"/>
        <v>ComercioExterior</v>
      </c>
      <c r="AH2920" t="str">
        <f t="shared" si="1892"/>
        <v>PrecioFOB</v>
      </c>
      <c r="AI2920" t="str">
        <f t="shared" si="1893"/>
        <v>Monto II</v>
      </c>
      <c r="AJ2920" t="str">
        <f t="shared" si="1894"/>
        <v>Porcentaje II</v>
      </c>
      <c r="AK2920" t="str">
        <f t="shared" si="1895"/>
        <v>Foto</v>
      </c>
      <c r="AL292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0" t="str">
        <f t="shared" si="1907"/>
        <v>-</v>
      </c>
    </row>
    <row r="2921" spans="1:39" x14ac:dyDescent="0.25">
      <c r="A2921" t="str">
        <f>"FI30014"</f>
        <v>FI30014</v>
      </c>
      <c r="B2921" t="str">
        <f>"SENSOR RPM R19 C/CABLE FICHA MACHO R21 MOTOR F3N722 - CLIO I 1.2 MOTOR: C3G720"</f>
        <v>SENSOR RPM R19 C/CABLE FICHA MACHO R21 MOTOR F3N722 - CLIO I 1.2 MOTOR: C3G720</v>
      </c>
      <c r="C2921" t="str">
        <f>"$ 20602,19"</f>
        <v>$ 20602,19</v>
      </c>
      <c r="D2921" t="str">
        <f>"$ 20602,19"</f>
        <v>$ 20602,19</v>
      </c>
      <c r="E2921" t="str">
        <f>"$ 20602,19"</f>
        <v>$ 20602,19</v>
      </c>
      <c r="F2921" t="str">
        <f>"$ 20602,19"</f>
        <v>$ 20602,19</v>
      </c>
      <c r="G2921" t="str">
        <f>"$ 20602,19"</f>
        <v>$ 20602,19</v>
      </c>
      <c r="H2921" t="str">
        <f t="shared" si="1875"/>
        <v>$ 0,00</v>
      </c>
      <c r="I2921" t="str">
        <f t="shared" si="1909"/>
        <v>SENSOR RPM</v>
      </c>
      <c r="J2921" t="str">
        <f t="shared" si="1877"/>
        <v>1</v>
      </c>
      <c r="K2921" t="str">
        <f>"0"</f>
        <v>0</v>
      </c>
      <c r="L2921" t="str">
        <f>"1,000"</f>
        <v>1,000</v>
      </c>
      <c r="M2921" t="str">
        <f t="shared" si="1878"/>
        <v xml:space="preserve"> </v>
      </c>
      <c r="N2921" t="str">
        <f t="shared" si="1906"/>
        <v>FISPA</v>
      </c>
      <c r="O2921" t="str">
        <f t="shared" si="1908"/>
        <v>SENSORES</v>
      </c>
      <c r="P2921" t="str">
        <f t="shared" si="1903"/>
        <v>0</v>
      </c>
      <c r="Q2921" t="str">
        <f t="shared" si="1903"/>
        <v>0</v>
      </c>
      <c r="R2921" t="str">
        <f t="shared" si="1904"/>
        <v>0,00</v>
      </c>
      <c r="S2921" t="str">
        <f t="shared" si="1904"/>
        <v>0,00</v>
      </c>
      <c r="T2921" t="str">
        <f t="shared" si="1872"/>
        <v xml:space="preserve"> </v>
      </c>
      <c r="U2921" t="str">
        <f t="shared" si="1874"/>
        <v xml:space="preserve"> </v>
      </c>
      <c r="V2921" t="str">
        <f>"1,000"</f>
        <v>1,000</v>
      </c>
      <c r="W2921" t="str">
        <f t="shared" si="1881"/>
        <v>Lista 4</v>
      </c>
      <c r="X2921" t="str">
        <f t="shared" si="1882"/>
        <v>Lista 5</v>
      </c>
      <c r="Y2921" t="str">
        <f t="shared" si="1883"/>
        <v>Oferta Gral.</v>
      </c>
      <c r="Z2921" t="str">
        <f t="shared" si="1884"/>
        <v>Rubro</v>
      </c>
      <c r="AA2921" t="str">
        <f t="shared" si="1885"/>
        <v>Cantidad por Bulto</v>
      </c>
      <c r="AB2921" t="str">
        <f t="shared" si="1886"/>
        <v>INNER</v>
      </c>
      <c r="AC2921" t="str">
        <f t="shared" si="1887"/>
        <v>Stock en Bultos</v>
      </c>
      <c r="AD2921" t="str">
        <f t="shared" si="1888"/>
        <v>SubDepósito</v>
      </c>
      <c r="AE2921" t="str">
        <f t="shared" si="1889"/>
        <v>Marca</v>
      </c>
      <c r="AF2921" t="str">
        <f t="shared" si="1890"/>
        <v>Super Rubro</v>
      </c>
      <c r="AG2921" t="str">
        <f t="shared" si="1891"/>
        <v>ComercioExterior</v>
      </c>
      <c r="AH2921" t="str">
        <f t="shared" si="1892"/>
        <v>PrecioFOB</v>
      </c>
      <c r="AI2921" t="str">
        <f t="shared" si="1893"/>
        <v>Monto II</v>
      </c>
      <c r="AJ2921" t="str">
        <f t="shared" si="1894"/>
        <v>Porcentaje II</v>
      </c>
      <c r="AK2921" t="str">
        <f t="shared" si="1895"/>
        <v>Foto</v>
      </c>
      <c r="AL292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1" t="str">
        <f t="shared" si="1907"/>
        <v>-</v>
      </c>
    </row>
    <row r="2922" spans="1:39" x14ac:dyDescent="0.25">
      <c r="A2922" t="str">
        <f>"FI30020"</f>
        <v>FI30020</v>
      </c>
      <c r="B2922" t="str">
        <f>"SENSOR RPM RENAULT 19 / CLIO 1.6 SPI"</f>
        <v>SENSOR RPM RENAULT 19 / CLIO 1.6 SPI</v>
      </c>
      <c r="C2922" t="str">
        <f>"$ 25706,65"</f>
        <v>$ 25706,65</v>
      </c>
      <c r="D2922" t="str">
        <f>"$ 25706,65"</f>
        <v>$ 25706,65</v>
      </c>
      <c r="E2922" t="str">
        <f>"$ 25706,65"</f>
        <v>$ 25706,65</v>
      </c>
      <c r="F2922" t="str">
        <f>"$ 25706,65"</f>
        <v>$ 25706,65</v>
      </c>
      <c r="G2922" t="str">
        <f>"$ 25706,65"</f>
        <v>$ 25706,65</v>
      </c>
      <c r="H2922" t="str">
        <f t="shared" si="1875"/>
        <v>$ 0,00</v>
      </c>
      <c r="I2922" t="str">
        <f t="shared" si="1909"/>
        <v>SENSOR RPM</v>
      </c>
      <c r="J2922" t="str">
        <f t="shared" si="1877"/>
        <v>1</v>
      </c>
      <c r="K2922" t="str">
        <f>"0"</f>
        <v>0</v>
      </c>
      <c r="L2922" t="str">
        <f>"2,000"</f>
        <v>2,000</v>
      </c>
      <c r="M2922" t="str">
        <f t="shared" si="1878"/>
        <v xml:space="preserve"> </v>
      </c>
      <c r="N2922" t="str">
        <f t="shared" si="1906"/>
        <v>FISPA</v>
      </c>
      <c r="O2922" t="str">
        <f t="shared" si="1908"/>
        <v>SENSORES</v>
      </c>
      <c r="P2922" t="str">
        <f t="shared" si="1903"/>
        <v>0</v>
      </c>
      <c r="Q2922" t="str">
        <f t="shared" si="1903"/>
        <v>0</v>
      </c>
      <c r="R2922" t="str">
        <f t="shared" si="1904"/>
        <v>0,00</v>
      </c>
      <c r="S2922" t="str">
        <f t="shared" si="1904"/>
        <v>0,00</v>
      </c>
      <c r="T2922" t="str">
        <f t="shared" si="1872"/>
        <v xml:space="preserve"> </v>
      </c>
      <c r="U2922" t="str">
        <f t="shared" si="1874"/>
        <v xml:space="preserve"> </v>
      </c>
      <c r="V2922" t="str">
        <f>"2,000"</f>
        <v>2,000</v>
      </c>
      <c r="W2922" t="str">
        <f t="shared" si="1881"/>
        <v>Lista 4</v>
      </c>
      <c r="X2922" t="str">
        <f t="shared" si="1882"/>
        <v>Lista 5</v>
      </c>
      <c r="Y2922" t="str">
        <f t="shared" si="1883"/>
        <v>Oferta Gral.</v>
      </c>
      <c r="Z2922" t="str">
        <f t="shared" si="1884"/>
        <v>Rubro</v>
      </c>
      <c r="AA2922" t="str">
        <f t="shared" si="1885"/>
        <v>Cantidad por Bulto</v>
      </c>
      <c r="AB2922" t="str">
        <f t="shared" si="1886"/>
        <v>INNER</v>
      </c>
      <c r="AC2922" t="str">
        <f t="shared" si="1887"/>
        <v>Stock en Bultos</v>
      </c>
      <c r="AD2922" t="str">
        <f t="shared" si="1888"/>
        <v>SubDepósito</v>
      </c>
      <c r="AE2922" t="str">
        <f t="shared" si="1889"/>
        <v>Marca</v>
      </c>
      <c r="AF2922" t="str">
        <f t="shared" si="1890"/>
        <v>Super Rubro</v>
      </c>
      <c r="AG2922" t="str">
        <f t="shared" si="1891"/>
        <v>ComercioExterior</v>
      </c>
      <c r="AH2922" t="str">
        <f t="shared" si="1892"/>
        <v>PrecioFOB</v>
      </c>
      <c r="AI2922" t="str">
        <f t="shared" si="1893"/>
        <v>Monto II</v>
      </c>
      <c r="AJ2922" t="str">
        <f t="shared" si="1894"/>
        <v>Porcentaje II</v>
      </c>
      <c r="AK2922" t="str">
        <f t="shared" si="1895"/>
        <v>Foto</v>
      </c>
      <c r="AL29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2" t="str">
        <f t="shared" si="1907"/>
        <v>-</v>
      </c>
    </row>
    <row r="2923" spans="1:39" x14ac:dyDescent="0.25">
      <c r="A2923" t="str">
        <f>"FI30053"</f>
        <v>FI30053</v>
      </c>
      <c r="B2923" t="str">
        <f>"SENSOR RPM RENAULT CLIO 1.2 16V/ LOGAN 1.6 16V - SCENIC 1.6 - KANGOO EXPRESS 1.6"</f>
        <v>SENSOR RPM RENAULT CLIO 1.2 16V/ LOGAN 1.6 16V - SCENIC 1.6 - KANGOO EXPRESS 1.6</v>
      </c>
      <c r="C2923" t="str">
        <f>"$ 15505,04"</f>
        <v>$ 15505,04</v>
      </c>
      <c r="D2923" t="str">
        <f>"$ 15505,04"</f>
        <v>$ 15505,04</v>
      </c>
      <c r="E2923" t="str">
        <f>"$ 15505,04"</f>
        <v>$ 15505,04</v>
      </c>
      <c r="F2923" t="str">
        <f>"$ 15505,04"</f>
        <v>$ 15505,04</v>
      </c>
      <c r="G2923" t="str">
        <f>"$ 15505,04"</f>
        <v>$ 15505,04</v>
      </c>
      <c r="H2923" t="str">
        <f t="shared" si="1875"/>
        <v>$ 0,00</v>
      </c>
      <c r="I2923" t="str">
        <f t="shared" si="1909"/>
        <v>SENSOR RPM</v>
      </c>
      <c r="J2923" t="str">
        <f t="shared" si="1877"/>
        <v>1</v>
      </c>
      <c r="K2923" t="str">
        <f>"1"</f>
        <v>1</v>
      </c>
      <c r="L2923" t="str">
        <f>"0,000"</f>
        <v>0,000</v>
      </c>
      <c r="M2923" t="str">
        <f t="shared" si="1878"/>
        <v xml:space="preserve"> </v>
      </c>
      <c r="N2923" t="str">
        <f t="shared" si="1906"/>
        <v>FISPA</v>
      </c>
      <c r="O2923" t="str">
        <f t="shared" si="1908"/>
        <v>SENSORES</v>
      </c>
      <c r="P2923" t="str">
        <f t="shared" ref="P2923:Q2942" si="1910">"0"</f>
        <v>0</v>
      </c>
      <c r="Q2923" t="str">
        <f t="shared" si="1910"/>
        <v>0</v>
      </c>
      <c r="R2923" t="str">
        <f t="shared" ref="R2923:S2942" si="1911">"0,00"</f>
        <v>0,00</v>
      </c>
      <c r="S2923" t="str">
        <f t="shared" si="1911"/>
        <v>0,00</v>
      </c>
      <c r="T2923" t="str">
        <f t="shared" si="1872"/>
        <v xml:space="preserve"> </v>
      </c>
      <c r="U2923" t="str">
        <f t="shared" si="1874"/>
        <v xml:space="preserve"> </v>
      </c>
      <c r="V2923" t="str">
        <f>"0,000"</f>
        <v>0,000</v>
      </c>
      <c r="W2923" t="str">
        <f t="shared" si="1881"/>
        <v>Lista 4</v>
      </c>
      <c r="X2923" t="str">
        <f t="shared" si="1882"/>
        <v>Lista 5</v>
      </c>
      <c r="Y2923" t="str">
        <f t="shared" si="1883"/>
        <v>Oferta Gral.</v>
      </c>
      <c r="Z2923" t="str">
        <f t="shared" si="1884"/>
        <v>Rubro</v>
      </c>
      <c r="AA2923" t="str">
        <f t="shared" si="1885"/>
        <v>Cantidad por Bulto</v>
      </c>
      <c r="AB2923" t="str">
        <f t="shared" si="1886"/>
        <v>INNER</v>
      </c>
      <c r="AC2923" t="str">
        <f t="shared" si="1887"/>
        <v>Stock en Bultos</v>
      </c>
      <c r="AD2923" t="str">
        <f t="shared" si="1888"/>
        <v>SubDepósito</v>
      </c>
      <c r="AE2923" t="str">
        <f t="shared" si="1889"/>
        <v>Marca</v>
      </c>
      <c r="AF2923" t="str">
        <f t="shared" si="1890"/>
        <v>Super Rubro</v>
      </c>
      <c r="AG2923" t="str">
        <f t="shared" si="1891"/>
        <v>ComercioExterior</v>
      </c>
      <c r="AH2923" t="str">
        <f t="shared" si="1892"/>
        <v>PrecioFOB</v>
      </c>
      <c r="AI2923" t="str">
        <f t="shared" si="1893"/>
        <v>Monto II</v>
      </c>
      <c r="AJ2923" t="str">
        <f t="shared" si="1894"/>
        <v>Porcentaje II</v>
      </c>
      <c r="AK2923" t="str">
        <f t="shared" si="1895"/>
        <v>Foto</v>
      </c>
      <c r="AL292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23" t="str">
        <f t="shared" si="1907"/>
        <v>-</v>
      </c>
    </row>
    <row r="2924" spans="1:39" x14ac:dyDescent="0.25">
      <c r="A2924" t="str">
        <f>"FI30052"</f>
        <v>FI30052</v>
      </c>
      <c r="B2924" t="str">
        <f>"SENSOR RPM RENAULT CLIO 1.2 16V/1.4/1.6 - KANGOO 1.6 - MEGANE 1.4/1.6"</f>
        <v>SENSOR RPM RENAULT CLIO 1.2 16V/1.4/1.6 - KANGOO 1.6 - MEGANE 1.4/1.6</v>
      </c>
      <c r="C2924" t="str">
        <f>"$ 15956,65"</f>
        <v>$ 15956,65</v>
      </c>
      <c r="D2924" t="str">
        <f>"$ 15956,65"</f>
        <v>$ 15956,65</v>
      </c>
      <c r="E2924" t="str">
        <f>"$ 15956,65"</f>
        <v>$ 15956,65</v>
      </c>
      <c r="F2924" t="str">
        <f>"$ 15956,65"</f>
        <v>$ 15956,65</v>
      </c>
      <c r="G2924" t="str">
        <f>"$ 15956,65"</f>
        <v>$ 15956,65</v>
      </c>
      <c r="H2924" t="str">
        <f t="shared" si="1875"/>
        <v>$ 0,00</v>
      </c>
      <c r="I2924" t="str">
        <f t="shared" si="1909"/>
        <v>SENSOR RPM</v>
      </c>
      <c r="J2924" t="str">
        <f t="shared" si="1877"/>
        <v>1</v>
      </c>
      <c r="K2924" t="str">
        <f>"0"</f>
        <v>0</v>
      </c>
      <c r="L2924" t="str">
        <f>"3,000"</f>
        <v>3,000</v>
      </c>
      <c r="M2924" t="str">
        <f t="shared" si="1878"/>
        <v xml:space="preserve"> </v>
      </c>
      <c r="N2924" t="str">
        <f t="shared" si="1906"/>
        <v>FISPA</v>
      </c>
      <c r="O2924" t="str">
        <f t="shared" si="1908"/>
        <v>SENSORES</v>
      </c>
      <c r="P2924" t="str">
        <f t="shared" si="1910"/>
        <v>0</v>
      </c>
      <c r="Q2924" t="str">
        <f t="shared" si="1910"/>
        <v>0</v>
      </c>
      <c r="R2924" t="str">
        <f t="shared" si="1911"/>
        <v>0,00</v>
      </c>
      <c r="S2924" t="str">
        <f t="shared" si="1911"/>
        <v>0,00</v>
      </c>
      <c r="T2924" t="str">
        <f t="shared" si="1872"/>
        <v xml:space="preserve"> </v>
      </c>
      <c r="U2924" t="str">
        <f t="shared" si="1874"/>
        <v xml:space="preserve"> </v>
      </c>
      <c r="V2924" t="str">
        <f>"3,000"</f>
        <v>3,000</v>
      </c>
      <c r="W2924" t="str">
        <f t="shared" si="1881"/>
        <v>Lista 4</v>
      </c>
      <c r="X2924" t="str">
        <f t="shared" si="1882"/>
        <v>Lista 5</v>
      </c>
      <c r="Y2924" t="str">
        <f t="shared" si="1883"/>
        <v>Oferta Gral.</v>
      </c>
      <c r="Z2924" t="str">
        <f t="shared" si="1884"/>
        <v>Rubro</v>
      </c>
      <c r="AA2924" t="str">
        <f t="shared" si="1885"/>
        <v>Cantidad por Bulto</v>
      </c>
      <c r="AB2924" t="str">
        <f t="shared" si="1886"/>
        <v>INNER</v>
      </c>
      <c r="AC2924" t="str">
        <f t="shared" si="1887"/>
        <v>Stock en Bultos</v>
      </c>
      <c r="AD2924" t="str">
        <f t="shared" si="1888"/>
        <v>SubDepósito</v>
      </c>
      <c r="AE2924" t="str">
        <f t="shared" si="1889"/>
        <v>Marca</v>
      </c>
      <c r="AF2924" t="str">
        <f t="shared" si="1890"/>
        <v>Super Rubro</v>
      </c>
      <c r="AG2924" t="str">
        <f t="shared" si="1891"/>
        <v>ComercioExterior</v>
      </c>
      <c r="AH2924" t="str">
        <f t="shared" si="1892"/>
        <v>PrecioFOB</v>
      </c>
      <c r="AI2924" t="str">
        <f t="shared" si="1893"/>
        <v>Monto II</v>
      </c>
      <c r="AJ2924" t="str">
        <f t="shared" si="1894"/>
        <v>Porcentaje II</v>
      </c>
      <c r="AK2924" t="str">
        <f t="shared" si="1895"/>
        <v>Foto</v>
      </c>
      <c r="AL2924" t="str">
        <f>"{\rtf1\ansi\ansicpg1252\deff0\deflang11274{\fonttbl{\f0\fnil\fcharset0 MS Sans Serif}} \viewkind4\uc1\pard\f0\fs16 SENSOR RPM RENAULT CLIO 1.2 16V/1.4/1.6 - KANGOO 1.6 - MEGANE 1.4/1.6\par } "</f>
        <v xml:space="preserve">{\rtf1\ansi\ansicpg1252\deff0\deflang11274{\fonttbl{\f0\fnil\fcharset0 MS Sans Serif}} \viewkind4\uc1\pard\f0\fs16 SENSOR RPM RENAULT CLIO 1.2 16V/1.4/1.6 - KANGOO 1.6 - MEGANE 1.4/1.6\par } </v>
      </c>
      <c r="AM2924" t="str">
        <f t="shared" si="1907"/>
        <v>-</v>
      </c>
    </row>
    <row r="2925" spans="1:39" x14ac:dyDescent="0.25">
      <c r="A2925" t="str">
        <f>"FI30068"</f>
        <v>FI30068</v>
      </c>
      <c r="B2925" t="str">
        <f>"SENSOR RPM RENAULT CLIO II 1.5 DCI - KANGOO 1.5 DCI"</f>
        <v>SENSOR RPM RENAULT CLIO II 1.5 DCI - KANGOO 1.5 DCI</v>
      </c>
      <c r="C2925" t="str">
        <f>"$ 20882,92"</f>
        <v>$ 20882,92</v>
      </c>
      <c r="D2925" t="str">
        <f>"$ 20882,92"</f>
        <v>$ 20882,92</v>
      </c>
      <c r="E2925" t="str">
        <f>"$ 20882,92"</f>
        <v>$ 20882,92</v>
      </c>
      <c r="F2925" t="str">
        <f>"$ 20882,92"</f>
        <v>$ 20882,92</v>
      </c>
      <c r="G2925" t="str">
        <f>"$ 20882,92"</f>
        <v>$ 20882,92</v>
      </c>
      <c r="H2925" t="str">
        <f t="shared" si="1875"/>
        <v>$ 0,00</v>
      </c>
      <c r="I2925" t="str">
        <f t="shared" si="1909"/>
        <v>SENSOR RPM</v>
      </c>
      <c r="J2925" t="str">
        <f t="shared" si="1877"/>
        <v>1</v>
      </c>
      <c r="K2925" t="str">
        <f>"0"</f>
        <v>0</v>
      </c>
      <c r="L2925" t="str">
        <f>"3,000"</f>
        <v>3,000</v>
      </c>
      <c r="M2925" t="str">
        <f t="shared" si="1878"/>
        <v xml:space="preserve"> </v>
      </c>
      <c r="N2925" t="str">
        <f t="shared" si="1906"/>
        <v>FISPA</v>
      </c>
      <c r="O2925" t="str">
        <f t="shared" si="1908"/>
        <v>SENSORES</v>
      </c>
      <c r="P2925" t="str">
        <f t="shared" si="1910"/>
        <v>0</v>
      </c>
      <c r="Q2925" t="str">
        <f t="shared" si="1910"/>
        <v>0</v>
      </c>
      <c r="R2925" t="str">
        <f t="shared" si="1911"/>
        <v>0,00</v>
      </c>
      <c r="S2925" t="str">
        <f t="shared" si="1911"/>
        <v>0,00</v>
      </c>
      <c r="T2925" t="str">
        <f t="shared" si="1872"/>
        <v xml:space="preserve"> </v>
      </c>
      <c r="U2925" t="str">
        <f t="shared" si="1874"/>
        <v xml:space="preserve"> </v>
      </c>
      <c r="V2925" t="str">
        <f>"3,000"</f>
        <v>3,000</v>
      </c>
      <c r="W2925" t="str">
        <f t="shared" si="1881"/>
        <v>Lista 4</v>
      </c>
      <c r="X2925" t="str">
        <f t="shared" si="1882"/>
        <v>Lista 5</v>
      </c>
      <c r="Y2925" t="str">
        <f t="shared" si="1883"/>
        <v>Oferta Gral.</v>
      </c>
      <c r="Z2925" t="str">
        <f t="shared" si="1884"/>
        <v>Rubro</v>
      </c>
      <c r="AA2925" t="str">
        <f t="shared" si="1885"/>
        <v>Cantidad por Bulto</v>
      </c>
      <c r="AB2925" t="str">
        <f t="shared" si="1886"/>
        <v>INNER</v>
      </c>
      <c r="AC2925" t="str">
        <f t="shared" si="1887"/>
        <v>Stock en Bultos</v>
      </c>
      <c r="AD2925" t="str">
        <f t="shared" si="1888"/>
        <v>SubDepósito</v>
      </c>
      <c r="AE2925" t="str">
        <f t="shared" si="1889"/>
        <v>Marca</v>
      </c>
      <c r="AF2925" t="str">
        <f t="shared" si="1890"/>
        <v>Super Rubro</v>
      </c>
      <c r="AG2925" t="str">
        <f t="shared" si="1891"/>
        <v>ComercioExterior</v>
      </c>
      <c r="AH2925" t="str">
        <f t="shared" si="1892"/>
        <v>PrecioFOB</v>
      </c>
      <c r="AI2925" t="str">
        <f t="shared" si="1893"/>
        <v>Monto II</v>
      </c>
      <c r="AJ2925" t="str">
        <f t="shared" si="1894"/>
        <v>Porcentaje II</v>
      </c>
      <c r="AK2925" t="str">
        <f t="shared" si="1895"/>
        <v>Foto</v>
      </c>
      <c r="AL292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25" t="str">
        <f t="shared" si="1907"/>
        <v>-</v>
      </c>
    </row>
    <row r="2926" spans="1:39" x14ac:dyDescent="0.25">
      <c r="A2926" t="str">
        <f>"FI30127"</f>
        <v>FI30127</v>
      </c>
      <c r="B2926" t="str">
        <f>"SENSOR RPM RENAULT CLIO/LOGAN/MEGANE II 1.5 DCI 2002 &lt; – 1.5 DCI 2003 &lt; – SCENIC II 1.5 DCI"</f>
        <v>SENSOR RPM RENAULT CLIO/LOGAN/MEGANE II 1.5 DCI 2002 &lt; – 1.5 DCI 2003 &lt; – SCENIC II 1.5 DCI</v>
      </c>
      <c r="C2926" t="str">
        <f>"$ 25049,98"</f>
        <v>$ 25049,98</v>
      </c>
      <c r="D2926" t="str">
        <f>"$ 25049,98"</f>
        <v>$ 25049,98</v>
      </c>
      <c r="E2926" t="str">
        <f>"$ 25049,98"</f>
        <v>$ 25049,98</v>
      </c>
      <c r="F2926" t="str">
        <f>"$ 25049,98"</f>
        <v>$ 25049,98</v>
      </c>
      <c r="G2926" t="str">
        <f>"$ 25049,98"</f>
        <v>$ 25049,98</v>
      </c>
      <c r="H2926" t="str">
        <f t="shared" si="1875"/>
        <v>$ 0,00</v>
      </c>
      <c r="I2926" t="str">
        <f t="shared" si="1909"/>
        <v>SENSOR RPM</v>
      </c>
      <c r="J2926" t="str">
        <f t="shared" si="1877"/>
        <v>1</v>
      </c>
      <c r="K2926" t="str">
        <f>"1"</f>
        <v>1</v>
      </c>
      <c r="L2926" t="str">
        <f>"0,000"</f>
        <v>0,000</v>
      </c>
      <c r="M2926" t="str">
        <f t="shared" si="1878"/>
        <v xml:space="preserve"> </v>
      </c>
      <c r="N2926" t="str">
        <f t="shared" si="1906"/>
        <v>FISPA</v>
      </c>
      <c r="O2926" t="str">
        <f t="shared" si="1908"/>
        <v>SENSORES</v>
      </c>
      <c r="P2926" t="str">
        <f t="shared" si="1910"/>
        <v>0</v>
      </c>
      <c r="Q2926" t="str">
        <f t="shared" si="1910"/>
        <v>0</v>
      </c>
      <c r="R2926" t="str">
        <f t="shared" si="1911"/>
        <v>0,00</v>
      </c>
      <c r="S2926" t="str">
        <f t="shared" si="1911"/>
        <v>0,00</v>
      </c>
      <c r="T2926" t="str">
        <f t="shared" si="1872"/>
        <v xml:space="preserve"> </v>
      </c>
      <c r="U2926" t="str">
        <f t="shared" si="1874"/>
        <v xml:space="preserve"> </v>
      </c>
      <c r="V2926" t="str">
        <f>"0,000"</f>
        <v>0,000</v>
      </c>
      <c r="W2926" t="str">
        <f t="shared" si="1881"/>
        <v>Lista 4</v>
      </c>
      <c r="X2926" t="str">
        <f t="shared" si="1882"/>
        <v>Lista 5</v>
      </c>
      <c r="Y2926" t="str">
        <f t="shared" si="1883"/>
        <v>Oferta Gral.</v>
      </c>
      <c r="Z2926" t="str">
        <f t="shared" si="1884"/>
        <v>Rubro</v>
      </c>
      <c r="AA2926" t="str">
        <f t="shared" si="1885"/>
        <v>Cantidad por Bulto</v>
      </c>
      <c r="AB2926" t="str">
        <f t="shared" si="1886"/>
        <v>INNER</v>
      </c>
      <c r="AC2926" t="str">
        <f t="shared" si="1887"/>
        <v>Stock en Bultos</v>
      </c>
      <c r="AD2926" t="str">
        <f t="shared" si="1888"/>
        <v>SubDepósito</v>
      </c>
      <c r="AE2926" t="str">
        <f t="shared" si="1889"/>
        <v>Marca</v>
      </c>
      <c r="AF2926" t="str">
        <f t="shared" si="1890"/>
        <v>Super Rubro</v>
      </c>
      <c r="AG2926" t="str">
        <f t="shared" si="1891"/>
        <v>ComercioExterior</v>
      </c>
      <c r="AH2926" t="str">
        <f t="shared" si="1892"/>
        <v>PrecioFOB</v>
      </c>
      <c r="AI2926" t="str">
        <f t="shared" si="1893"/>
        <v>Monto II</v>
      </c>
      <c r="AJ2926" t="str">
        <f t="shared" si="1894"/>
        <v>Porcentaje II</v>
      </c>
      <c r="AK2926" t="str">
        <f t="shared" si="1895"/>
        <v>Foto</v>
      </c>
      <c r="AL292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6" t="str">
        <f t="shared" si="1907"/>
        <v>-</v>
      </c>
    </row>
    <row r="2927" spans="1:39" x14ac:dyDescent="0.25">
      <c r="A2927" t="str">
        <f>"FI30075"</f>
        <v>FI30075</v>
      </c>
      <c r="B2927" t="str">
        <f>"SENSOR RPM RENAULT ESPACE IV 2.0 - LAGUNA II 2.0 16V / TURBO - MEGANE II 2.0 / 2.0 16V TURBO"</f>
        <v>SENSOR RPM RENAULT ESPACE IV 2.0 - LAGUNA II 2.0 16V / TURBO - MEGANE II 2.0 / 2.0 16V TURBO</v>
      </c>
      <c r="C2927" t="str">
        <f>"$ 22064,44"</f>
        <v>$ 22064,44</v>
      </c>
      <c r="D2927" t="str">
        <f>"$ 22064,44"</f>
        <v>$ 22064,44</v>
      </c>
      <c r="E2927" t="str">
        <f>"$ 22064,44"</f>
        <v>$ 22064,44</v>
      </c>
      <c r="F2927" t="str">
        <f>"$ 22064,44"</f>
        <v>$ 22064,44</v>
      </c>
      <c r="G2927" t="str">
        <f>"$ 22064,44"</f>
        <v>$ 22064,44</v>
      </c>
      <c r="H2927" t="str">
        <f t="shared" si="1875"/>
        <v>$ 0,00</v>
      </c>
      <c r="I2927" t="str">
        <f t="shared" si="1909"/>
        <v>SENSOR RPM</v>
      </c>
      <c r="J2927" t="str">
        <f t="shared" si="1877"/>
        <v>1</v>
      </c>
      <c r="K2927" t="str">
        <f>"1"</f>
        <v>1</v>
      </c>
      <c r="L2927" t="str">
        <f>"0,000"</f>
        <v>0,000</v>
      </c>
      <c r="M2927" t="str">
        <f t="shared" si="1878"/>
        <v xml:space="preserve"> </v>
      </c>
      <c r="N2927" t="str">
        <f t="shared" si="1906"/>
        <v>FISPA</v>
      </c>
      <c r="O2927" t="str">
        <f t="shared" si="1908"/>
        <v>SENSORES</v>
      </c>
      <c r="P2927" t="str">
        <f t="shared" si="1910"/>
        <v>0</v>
      </c>
      <c r="Q2927" t="str">
        <f t="shared" si="1910"/>
        <v>0</v>
      </c>
      <c r="R2927" t="str">
        <f t="shared" si="1911"/>
        <v>0,00</v>
      </c>
      <c r="S2927" t="str">
        <f t="shared" si="1911"/>
        <v>0,00</v>
      </c>
      <c r="T2927" t="str">
        <f t="shared" si="1872"/>
        <v xml:space="preserve"> </v>
      </c>
      <c r="U2927" t="str">
        <f t="shared" si="1874"/>
        <v xml:space="preserve"> </v>
      </c>
      <c r="V2927" t="str">
        <f>"0,000"</f>
        <v>0,000</v>
      </c>
      <c r="W2927" t="str">
        <f t="shared" si="1881"/>
        <v>Lista 4</v>
      </c>
      <c r="X2927" t="str">
        <f t="shared" si="1882"/>
        <v>Lista 5</v>
      </c>
      <c r="Y2927" t="str">
        <f t="shared" si="1883"/>
        <v>Oferta Gral.</v>
      </c>
      <c r="Z2927" t="str">
        <f t="shared" si="1884"/>
        <v>Rubro</v>
      </c>
      <c r="AA2927" t="str">
        <f t="shared" si="1885"/>
        <v>Cantidad por Bulto</v>
      </c>
      <c r="AB2927" t="str">
        <f t="shared" si="1886"/>
        <v>INNER</v>
      </c>
      <c r="AC2927" t="str">
        <f t="shared" si="1887"/>
        <v>Stock en Bultos</v>
      </c>
      <c r="AD2927" t="str">
        <f t="shared" si="1888"/>
        <v>SubDepósito</v>
      </c>
      <c r="AE2927" t="str">
        <f t="shared" si="1889"/>
        <v>Marca</v>
      </c>
      <c r="AF2927" t="str">
        <f t="shared" si="1890"/>
        <v>Super Rubro</v>
      </c>
      <c r="AG2927" t="str">
        <f t="shared" si="1891"/>
        <v>ComercioExterior</v>
      </c>
      <c r="AH2927" t="str">
        <f t="shared" si="1892"/>
        <v>PrecioFOB</v>
      </c>
      <c r="AI2927" t="str">
        <f t="shared" si="1893"/>
        <v>Monto II</v>
      </c>
      <c r="AJ2927" t="str">
        <f t="shared" si="1894"/>
        <v>Porcentaje II</v>
      </c>
      <c r="AK2927" t="str">
        <f t="shared" si="1895"/>
        <v>Foto</v>
      </c>
      <c r="AL292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27" t="str">
        <f t="shared" si="1907"/>
        <v>-</v>
      </c>
    </row>
    <row r="2928" spans="1:39" x14ac:dyDescent="0.25">
      <c r="A2928" t="str">
        <f>"FI30074"</f>
        <v>FI30074</v>
      </c>
      <c r="B2928" t="str">
        <f>"SENSOR RPM RENAULT GRAND SCENIC II 1.6 - MEGANE II (SEDÁN &amp; COUPÉ) 1.6"</f>
        <v>SENSOR RPM RENAULT GRAND SCENIC II 1.6 - MEGANE II (SEDÁN &amp; COUPÉ) 1.6</v>
      </c>
      <c r="C2928" t="str">
        <f>"$ 40911,43"</f>
        <v>$ 40911,43</v>
      </c>
      <c r="D2928" t="str">
        <f>"$ 40911,43"</f>
        <v>$ 40911,43</v>
      </c>
      <c r="E2928" t="str">
        <f>"$ 40911,43"</f>
        <v>$ 40911,43</v>
      </c>
      <c r="F2928" t="str">
        <f>"$ 40911,43"</f>
        <v>$ 40911,43</v>
      </c>
      <c r="G2928" t="str">
        <f>"$ 40911,43"</f>
        <v>$ 40911,43</v>
      </c>
      <c r="H2928" t="str">
        <f t="shared" si="1875"/>
        <v>$ 0,00</v>
      </c>
      <c r="I2928" t="str">
        <f t="shared" si="1909"/>
        <v>SENSOR RPM</v>
      </c>
      <c r="J2928" t="str">
        <f t="shared" si="1877"/>
        <v>1</v>
      </c>
      <c r="K2928" t="str">
        <f>"1"</f>
        <v>1</v>
      </c>
      <c r="L2928" t="str">
        <f>"0,000"</f>
        <v>0,000</v>
      </c>
      <c r="M2928" t="str">
        <f t="shared" si="1878"/>
        <v xml:space="preserve"> </v>
      </c>
      <c r="N2928" t="str">
        <f t="shared" si="1906"/>
        <v>FISPA</v>
      </c>
      <c r="O2928" t="str">
        <f t="shared" si="1908"/>
        <v>SENSORES</v>
      </c>
      <c r="P2928" t="str">
        <f t="shared" si="1910"/>
        <v>0</v>
      </c>
      <c r="Q2928" t="str">
        <f t="shared" si="1910"/>
        <v>0</v>
      </c>
      <c r="R2928" t="str">
        <f t="shared" si="1911"/>
        <v>0,00</v>
      </c>
      <c r="S2928" t="str">
        <f t="shared" si="1911"/>
        <v>0,00</v>
      </c>
      <c r="T2928" t="str">
        <f t="shared" si="1872"/>
        <v xml:space="preserve"> </v>
      </c>
      <c r="U2928" t="str">
        <f t="shared" si="1874"/>
        <v xml:space="preserve"> </v>
      </c>
      <c r="V2928" t="str">
        <f>"0,000"</f>
        <v>0,000</v>
      </c>
      <c r="W2928" t="str">
        <f t="shared" si="1881"/>
        <v>Lista 4</v>
      </c>
      <c r="X2928" t="str">
        <f t="shared" si="1882"/>
        <v>Lista 5</v>
      </c>
      <c r="Y2928" t="str">
        <f t="shared" si="1883"/>
        <v>Oferta Gral.</v>
      </c>
      <c r="Z2928" t="str">
        <f t="shared" si="1884"/>
        <v>Rubro</v>
      </c>
      <c r="AA2928" t="str">
        <f t="shared" si="1885"/>
        <v>Cantidad por Bulto</v>
      </c>
      <c r="AB2928" t="str">
        <f t="shared" si="1886"/>
        <v>INNER</v>
      </c>
      <c r="AC2928" t="str">
        <f t="shared" si="1887"/>
        <v>Stock en Bultos</v>
      </c>
      <c r="AD2928" t="str">
        <f t="shared" si="1888"/>
        <v>SubDepósito</v>
      </c>
      <c r="AE2928" t="str">
        <f t="shared" si="1889"/>
        <v>Marca</v>
      </c>
      <c r="AF2928" t="str">
        <f t="shared" si="1890"/>
        <v>Super Rubro</v>
      </c>
      <c r="AG2928" t="str">
        <f t="shared" si="1891"/>
        <v>ComercioExterior</v>
      </c>
      <c r="AH2928" t="str">
        <f t="shared" si="1892"/>
        <v>PrecioFOB</v>
      </c>
      <c r="AI2928" t="str">
        <f t="shared" si="1893"/>
        <v>Monto II</v>
      </c>
      <c r="AJ2928" t="str">
        <f t="shared" si="1894"/>
        <v>Porcentaje II</v>
      </c>
      <c r="AK2928" t="str">
        <f t="shared" si="1895"/>
        <v>Foto</v>
      </c>
      <c r="AL292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8" t="str">
        <f t="shared" si="1907"/>
        <v>-</v>
      </c>
    </row>
    <row r="2929" spans="1:39" x14ac:dyDescent="0.25">
      <c r="A2929" t="str">
        <f>"FI30116"</f>
        <v>FI30116</v>
      </c>
      <c r="B2929" t="str">
        <f>"SENSOR RPM RENAULT LOGAN- SANDERO 1.6 16V - DUSTER 1.6 16V HI-FLEX"</f>
        <v>SENSOR RPM RENAULT LOGAN- SANDERO 1.6 16V - DUSTER 1.6 16V HI-FLEX</v>
      </c>
      <c r="C2929" t="str">
        <f>"$ 13275,04"</f>
        <v>$ 13275,04</v>
      </c>
      <c r="D2929" t="str">
        <f>"$ 13275,04"</f>
        <v>$ 13275,04</v>
      </c>
      <c r="E2929" t="str">
        <f>"$ 13275,04"</f>
        <v>$ 13275,04</v>
      </c>
      <c r="F2929" t="str">
        <f>"$ 13275,04"</f>
        <v>$ 13275,04</v>
      </c>
      <c r="G2929" t="str">
        <f>"$ 13275,04"</f>
        <v>$ 13275,04</v>
      </c>
      <c r="H2929" t="str">
        <f t="shared" si="1875"/>
        <v>$ 0,00</v>
      </c>
      <c r="I2929" t="str">
        <f t="shared" si="1909"/>
        <v>SENSOR RPM</v>
      </c>
      <c r="J2929" t="str">
        <f t="shared" si="1877"/>
        <v>1</v>
      </c>
      <c r="K2929" t="str">
        <f>"0"</f>
        <v>0</v>
      </c>
      <c r="L2929" t="str">
        <f>"8,000"</f>
        <v>8,000</v>
      </c>
      <c r="M2929" t="str">
        <f t="shared" si="1878"/>
        <v xml:space="preserve"> </v>
      </c>
      <c r="N2929" t="str">
        <f t="shared" si="1906"/>
        <v>FISPA</v>
      </c>
      <c r="O2929" t="str">
        <f t="shared" si="1908"/>
        <v>SENSORES</v>
      </c>
      <c r="P2929" t="str">
        <f t="shared" si="1910"/>
        <v>0</v>
      </c>
      <c r="Q2929" t="str">
        <f t="shared" si="1910"/>
        <v>0</v>
      </c>
      <c r="R2929" t="str">
        <f t="shared" si="1911"/>
        <v>0,00</v>
      </c>
      <c r="S2929" t="str">
        <f t="shared" si="1911"/>
        <v>0,00</v>
      </c>
      <c r="T2929" t="str">
        <f t="shared" si="1872"/>
        <v xml:space="preserve"> </v>
      </c>
      <c r="U2929" t="str">
        <f t="shared" si="1874"/>
        <v xml:space="preserve"> </v>
      </c>
      <c r="V2929" t="str">
        <f>"8,000"</f>
        <v>8,000</v>
      </c>
      <c r="W2929" t="str">
        <f t="shared" si="1881"/>
        <v>Lista 4</v>
      </c>
      <c r="X2929" t="str">
        <f t="shared" si="1882"/>
        <v>Lista 5</v>
      </c>
      <c r="Y2929" t="str">
        <f t="shared" si="1883"/>
        <v>Oferta Gral.</v>
      </c>
      <c r="Z2929" t="str">
        <f t="shared" si="1884"/>
        <v>Rubro</v>
      </c>
      <c r="AA2929" t="str">
        <f t="shared" si="1885"/>
        <v>Cantidad por Bulto</v>
      </c>
      <c r="AB2929" t="str">
        <f t="shared" si="1886"/>
        <v>INNER</v>
      </c>
      <c r="AC2929" t="str">
        <f t="shared" si="1887"/>
        <v>Stock en Bultos</v>
      </c>
      <c r="AD2929" t="str">
        <f t="shared" si="1888"/>
        <v>SubDepósito</v>
      </c>
      <c r="AE2929" t="str">
        <f t="shared" si="1889"/>
        <v>Marca</v>
      </c>
      <c r="AF2929" t="str">
        <f t="shared" si="1890"/>
        <v>Super Rubro</v>
      </c>
      <c r="AG2929" t="str">
        <f t="shared" si="1891"/>
        <v>ComercioExterior</v>
      </c>
      <c r="AH2929" t="str">
        <f t="shared" si="1892"/>
        <v>PrecioFOB</v>
      </c>
      <c r="AI2929" t="str">
        <f t="shared" si="1893"/>
        <v>Monto II</v>
      </c>
      <c r="AJ2929" t="str">
        <f t="shared" si="1894"/>
        <v>Porcentaje II</v>
      </c>
      <c r="AK2929" t="str">
        <f t="shared" si="1895"/>
        <v>Foto</v>
      </c>
      <c r="AL2929" t="str">
        <f>"{\rtf1\ansi\ansicpg1252\deff0\deflang2058{\fonttbl{\f0\fnil\fcharset0 MS Sans Serif}} \viewkind4\uc1\pard\f0\fs16 SENSOR RPM RENAULT LOGAN- SANDERO 1.6 16V - DUSTER 1.6 16V HI-FLEX\par } "</f>
        <v xml:space="preserve">{\rtf1\ansi\ansicpg1252\deff0\deflang2058{\fonttbl{\f0\fnil\fcharset0 MS Sans Serif}} \viewkind4\uc1\pard\f0\fs16 SENSOR RPM RENAULT LOGAN- SANDERO 1.6 16V - DUSTER 1.6 16V HI-FLEX\par } </v>
      </c>
      <c r="AM2929" t="str">
        <f t="shared" si="1907"/>
        <v>-</v>
      </c>
    </row>
    <row r="2930" spans="1:39" x14ac:dyDescent="0.25">
      <c r="A2930" t="str">
        <f>"FI30115"</f>
        <v>FI30115</v>
      </c>
      <c r="B2930" t="str">
        <f>"SENSOR RPM RENAULT LOGAN- SANDERO STEPWAY 1.6 K7M"</f>
        <v>SENSOR RPM RENAULT LOGAN- SANDERO STEPWAY 1.6 K7M</v>
      </c>
      <c r="C2930" t="str">
        <f>"$ 22716,23"</f>
        <v>$ 22716,23</v>
      </c>
      <c r="D2930" t="str">
        <f>"$ 22716,23"</f>
        <v>$ 22716,23</v>
      </c>
      <c r="E2930" t="str">
        <f>"$ 22716,23"</f>
        <v>$ 22716,23</v>
      </c>
      <c r="F2930" t="str">
        <f>"$ 22716,23"</f>
        <v>$ 22716,23</v>
      </c>
      <c r="G2930" t="str">
        <f>"$ 22716,23"</f>
        <v>$ 22716,23</v>
      </c>
      <c r="H2930" t="str">
        <f t="shared" si="1875"/>
        <v>$ 0,00</v>
      </c>
      <c r="I2930" t="str">
        <f t="shared" si="1909"/>
        <v>SENSOR RPM</v>
      </c>
      <c r="J2930" t="str">
        <f t="shared" si="1877"/>
        <v>1</v>
      </c>
      <c r="K2930" t="str">
        <f>"1"</f>
        <v>1</v>
      </c>
      <c r="L2930" t="str">
        <f>"0,000"</f>
        <v>0,000</v>
      </c>
      <c r="M2930" t="str">
        <f t="shared" si="1878"/>
        <v xml:space="preserve"> </v>
      </c>
      <c r="N2930" t="str">
        <f t="shared" si="1906"/>
        <v>FISPA</v>
      </c>
      <c r="O2930" t="str">
        <f t="shared" si="1908"/>
        <v>SENSORES</v>
      </c>
      <c r="P2930" t="str">
        <f t="shared" si="1910"/>
        <v>0</v>
      </c>
      <c r="Q2930" t="str">
        <f t="shared" si="1910"/>
        <v>0</v>
      </c>
      <c r="R2930" t="str">
        <f t="shared" si="1911"/>
        <v>0,00</v>
      </c>
      <c r="S2930" t="str">
        <f t="shared" si="1911"/>
        <v>0,00</v>
      </c>
      <c r="T2930" t="str">
        <f t="shared" si="1872"/>
        <v xml:space="preserve"> </v>
      </c>
      <c r="U2930" t="str">
        <f t="shared" si="1874"/>
        <v xml:space="preserve"> </v>
      </c>
      <c r="V2930" t="str">
        <f>"0,000"</f>
        <v>0,000</v>
      </c>
      <c r="W2930" t="str">
        <f t="shared" si="1881"/>
        <v>Lista 4</v>
      </c>
      <c r="X2930" t="str">
        <f t="shared" si="1882"/>
        <v>Lista 5</v>
      </c>
      <c r="Y2930" t="str">
        <f t="shared" si="1883"/>
        <v>Oferta Gral.</v>
      </c>
      <c r="Z2930" t="str">
        <f t="shared" si="1884"/>
        <v>Rubro</v>
      </c>
      <c r="AA2930" t="str">
        <f t="shared" si="1885"/>
        <v>Cantidad por Bulto</v>
      </c>
      <c r="AB2930" t="str">
        <f t="shared" si="1886"/>
        <v>INNER</v>
      </c>
      <c r="AC2930" t="str">
        <f t="shared" si="1887"/>
        <v>Stock en Bultos</v>
      </c>
      <c r="AD2930" t="str">
        <f t="shared" si="1888"/>
        <v>SubDepósito</v>
      </c>
      <c r="AE2930" t="str">
        <f t="shared" si="1889"/>
        <v>Marca</v>
      </c>
      <c r="AF2930" t="str">
        <f t="shared" si="1890"/>
        <v>Super Rubro</v>
      </c>
      <c r="AG2930" t="str">
        <f t="shared" si="1891"/>
        <v>ComercioExterior</v>
      </c>
      <c r="AH2930" t="str">
        <f t="shared" si="1892"/>
        <v>PrecioFOB</v>
      </c>
      <c r="AI2930" t="str">
        <f t="shared" si="1893"/>
        <v>Monto II</v>
      </c>
      <c r="AJ2930" t="str">
        <f t="shared" si="1894"/>
        <v>Porcentaje II</v>
      </c>
      <c r="AK2930" t="str">
        <f t="shared" si="1895"/>
        <v>Foto</v>
      </c>
      <c r="AL293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30" t="str">
        <f t="shared" si="1907"/>
        <v>-</v>
      </c>
    </row>
    <row r="2931" spans="1:39" x14ac:dyDescent="0.25">
      <c r="A2931" t="str">
        <f>"FI30050"</f>
        <v>FI30050</v>
      </c>
      <c r="B2931" t="str">
        <f>"SENSOR RPM RENAULT: LAGUNA/MASTER/MEGANE  1.9 DCI- SUZUKI GRAND VITARA - VOLVO:  S40 "</f>
        <v xml:space="preserve">SENSOR RPM RENAULT: LAGUNA/MASTER/MEGANE  1.9 DCI- SUZUKI GRAND VITARA - VOLVO:  S40 </v>
      </c>
      <c r="C2931" t="str">
        <f>"$ 20748,65"</f>
        <v>$ 20748,65</v>
      </c>
      <c r="D2931" t="str">
        <f>"$ 20748,65"</f>
        <v>$ 20748,65</v>
      </c>
      <c r="E2931" t="str">
        <f>"$ 20748,65"</f>
        <v>$ 20748,65</v>
      </c>
      <c r="F2931" t="str">
        <f>"$ 20748,65"</f>
        <v>$ 20748,65</v>
      </c>
      <c r="G2931" t="str">
        <f>"$ 20748,65"</f>
        <v>$ 20748,65</v>
      </c>
      <c r="H2931" t="str">
        <f t="shared" si="1875"/>
        <v>$ 0,00</v>
      </c>
      <c r="I2931" t="str">
        <f t="shared" si="1909"/>
        <v>SENSOR RPM</v>
      </c>
      <c r="J2931" t="str">
        <f t="shared" si="1877"/>
        <v>1</v>
      </c>
      <c r="K2931" t="str">
        <f>"1"</f>
        <v>1</v>
      </c>
      <c r="L2931" t="str">
        <f>"0,000"</f>
        <v>0,000</v>
      </c>
      <c r="M2931" t="str">
        <f t="shared" si="1878"/>
        <v xml:space="preserve"> </v>
      </c>
      <c r="N2931" t="str">
        <f t="shared" si="1906"/>
        <v>FISPA</v>
      </c>
      <c r="O2931" t="str">
        <f t="shared" si="1908"/>
        <v>SENSORES</v>
      </c>
      <c r="P2931" t="str">
        <f t="shared" si="1910"/>
        <v>0</v>
      </c>
      <c r="Q2931" t="str">
        <f t="shared" si="1910"/>
        <v>0</v>
      </c>
      <c r="R2931" t="str">
        <f t="shared" si="1911"/>
        <v>0,00</v>
      </c>
      <c r="S2931" t="str">
        <f t="shared" si="1911"/>
        <v>0,00</v>
      </c>
      <c r="T2931" t="str">
        <f t="shared" si="1872"/>
        <v xml:space="preserve"> </v>
      </c>
      <c r="U2931" t="str">
        <f t="shared" si="1874"/>
        <v xml:space="preserve"> </v>
      </c>
      <c r="V2931" t="str">
        <f>"0,000"</f>
        <v>0,000</v>
      </c>
      <c r="W2931" t="str">
        <f t="shared" si="1881"/>
        <v>Lista 4</v>
      </c>
      <c r="X2931" t="str">
        <f t="shared" si="1882"/>
        <v>Lista 5</v>
      </c>
      <c r="Y2931" t="str">
        <f t="shared" si="1883"/>
        <v>Oferta Gral.</v>
      </c>
      <c r="Z2931" t="str">
        <f t="shared" si="1884"/>
        <v>Rubro</v>
      </c>
      <c r="AA2931" t="str">
        <f t="shared" si="1885"/>
        <v>Cantidad por Bulto</v>
      </c>
      <c r="AB2931" t="str">
        <f t="shared" si="1886"/>
        <v>INNER</v>
      </c>
      <c r="AC2931" t="str">
        <f t="shared" si="1887"/>
        <v>Stock en Bultos</v>
      </c>
      <c r="AD2931" t="str">
        <f t="shared" si="1888"/>
        <v>SubDepósito</v>
      </c>
      <c r="AE2931" t="str">
        <f t="shared" si="1889"/>
        <v>Marca</v>
      </c>
      <c r="AF2931" t="str">
        <f t="shared" si="1890"/>
        <v>Super Rubro</v>
      </c>
      <c r="AG2931" t="str">
        <f t="shared" si="1891"/>
        <v>ComercioExterior</v>
      </c>
      <c r="AH2931" t="str">
        <f t="shared" si="1892"/>
        <v>PrecioFOB</v>
      </c>
      <c r="AI2931" t="str">
        <f t="shared" si="1893"/>
        <v>Monto II</v>
      </c>
      <c r="AJ2931" t="str">
        <f t="shared" si="1894"/>
        <v>Porcentaje II</v>
      </c>
      <c r="AK2931" t="str">
        <f t="shared" si="1895"/>
        <v>Foto</v>
      </c>
      <c r="AL293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31" t="str">
        <f t="shared" si="1907"/>
        <v>-</v>
      </c>
    </row>
    <row r="2932" spans="1:39" x14ac:dyDescent="0.25">
      <c r="A2932" t="str">
        <f>"FI30051"</f>
        <v>FI30051</v>
      </c>
      <c r="B2932" t="str">
        <f>"SENSOR RPM SEAT CORDOBA/IBIZA/TOLEDO VW GOL 2.0I 16V - GOLF III -GOLF IV - PASSAT/SAVEIRO"</f>
        <v>SENSOR RPM SEAT CORDOBA/IBIZA/TOLEDO VW GOL 2.0I 16V - GOLF III -GOLF IV - PASSAT/SAVEIRO</v>
      </c>
      <c r="C2932" t="str">
        <f>"$ 30315,57"</f>
        <v>$ 30315,57</v>
      </c>
      <c r="D2932" t="str">
        <f>"$ 30315,57"</f>
        <v>$ 30315,57</v>
      </c>
      <c r="E2932" t="str">
        <f>"$ 30315,57"</f>
        <v>$ 30315,57</v>
      </c>
      <c r="F2932" t="str">
        <f>"$ 30315,57"</f>
        <v>$ 30315,57</v>
      </c>
      <c r="G2932" t="str">
        <f>"$ 30315,57"</f>
        <v>$ 30315,57</v>
      </c>
      <c r="H2932" t="str">
        <f t="shared" si="1875"/>
        <v>$ 0,00</v>
      </c>
      <c r="I2932" t="str">
        <f t="shared" si="1909"/>
        <v>SENSOR RPM</v>
      </c>
      <c r="J2932" t="str">
        <f t="shared" si="1877"/>
        <v>1</v>
      </c>
      <c r="K2932" t="str">
        <f>"1"</f>
        <v>1</v>
      </c>
      <c r="L2932" t="str">
        <f>"0,000"</f>
        <v>0,000</v>
      </c>
      <c r="M2932" t="str">
        <f t="shared" si="1878"/>
        <v xml:space="preserve"> </v>
      </c>
      <c r="N2932" t="str">
        <f t="shared" si="1906"/>
        <v>FISPA</v>
      </c>
      <c r="O2932" t="str">
        <f t="shared" si="1908"/>
        <v>SENSORES</v>
      </c>
      <c r="P2932" t="str">
        <f t="shared" si="1910"/>
        <v>0</v>
      </c>
      <c r="Q2932" t="str">
        <f t="shared" si="1910"/>
        <v>0</v>
      </c>
      <c r="R2932" t="str">
        <f t="shared" si="1911"/>
        <v>0,00</v>
      </c>
      <c r="S2932" t="str">
        <f t="shared" si="1911"/>
        <v>0,00</v>
      </c>
      <c r="T2932" t="str">
        <f t="shared" si="1872"/>
        <v xml:space="preserve"> </v>
      </c>
      <c r="U2932" t="str">
        <f t="shared" si="1874"/>
        <v xml:space="preserve"> </v>
      </c>
      <c r="V2932" t="str">
        <f>"0,000"</f>
        <v>0,000</v>
      </c>
      <c r="W2932" t="str">
        <f t="shared" si="1881"/>
        <v>Lista 4</v>
      </c>
      <c r="X2932" t="str">
        <f t="shared" si="1882"/>
        <v>Lista 5</v>
      </c>
      <c r="Y2932" t="str">
        <f t="shared" si="1883"/>
        <v>Oferta Gral.</v>
      </c>
      <c r="Z2932" t="str">
        <f t="shared" si="1884"/>
        <v>Rubro</v>
      </c>
      <c r="AA2932" t="str">
        <f t="shared" si="1885"/>
        <v>Cantidad por Bulto</v>
      </c>
      <c r="AB2932" t="str">
        <f t="shared" si="1886"/>
        <v>INNER</v>
      </c>
      <c r="AC2932" t="str">
        <f t="shared" si="1887"/>
        <v>Stock en Bultos</v>
      </c>
      <c r="AD2932" t="str">
        <f t="shared" si="1888"/>
        <v>SubDepósito</v>
      </c>
      <c r="AE2932" t="str">
        <f t="shared" si="1889"/>
        <v>Marca</v>
      </c>
      <c r="AF2932" t="str">
        <f t="shared" si="1890"/>
        <v>Super Rubro</v>
      </c>
      <c r="AG2932" t="str">
        <f t="shared" si="1891"/>
        <v>ComercioExterior</v>
      </c>
      <c r="AH2932" t="str">
        <f t="shared" si="1892"/>
        <v>PrecioFOB</v>
      </c>
      <c r="AI2932" t="str">
        <f t="shared" si="1893"/>
        <v>Monto II</v>
      </c>
      <c r="AJ2932" t="str">
        <f t="shared" si="1894"/>
        <v>Porcentaje II</v>
      </c>
      <c r="AK2932" t="str">
        <f t="shared" si="1895"/>
        <v>Foto</v>
      </c>
      <c r="AL293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32" t="str">
        <f t="shared" si="1907"/>
        <v>-</v>
      </c>
    </row>
    <row r="2933" spans="1:39" x14ac:dyDescent="0.25">
      <c r="A2933" t="str">
        <f>"FI30039"</f>
        <v>FI30039</v>
      </c>
      <c r="B2933" t="str">
        <f>"SENSOR RPM VW BORA 1.8 20V 99/, 2.0 98/- GOLF A4 1.6I, 2.0I 99/. 1.8I TUR"</f>
        <v>SENSOR RPM VW BORA 1.8 20V 99/, 2.0 98/- GOLF A4 1.6I, 2.0I 99/. 1.8I TUR</v>
      </c>
      <c r="C2933" t="str">
        <f>"$ 16092,14"</f>
        <v>$ 16092,14</v>
      </c>
      <c r="D2933" t="str">
        <f>"$ 16092,14"</f>
        <v>$ 16092,14</v>
      </c>
      <c r="E2933" t="str">
        <f>"$ 16092,14"</f>
        <v>$ 16092,14</v>
      </c>
      <c r="F2933" t="str">
        <f>"$ 16092,14"</f>
        <v>$ 16092,14</v>
      </c>
      <c r="G2933" t="str">
        <f>"$ 16092,14"</f>
        <v>$ 16092,14</v>
      </c>
      <c r="H2933" t="str">
        <f t="shared" si="1875"/>
        <v>$ 0,00</v>
      </c>
      <c r="I2933" t="str">
        <f t="shared" si="1909"/>
        <v>SENSOR RPM</v>
      </c>
      <c r="J2933" t="str">
        <f t="shared" si="1877"/>
        <v>1</v>
      </c>
      <c r="K2933" t="str">
        <f>"1"</f>
        <v>1</v>
      </c>
      <c r="L2933" t="str">
        <f>"0,000"</f>
        <v>0,000</v>
      </c>
      <c r="M2933" t="str">
        <f t="shared" si="1878"/>
        <v xml:space="preserve"> </v>
      </c>
      <c r="N2933" t="str">
        <f t="shared" si="1906"/>
        <v>FISPA</v>
      </c>
      <c r="O2933" t="str">
        <f t="shared" si="1908"/>
        <v>SENSORES</v>
      </c>
      <c r="P2933" t="str">
        <f t="shared" si="1910"/>
        <v>0</v>
      </c>
      <c r="Q2933" t="str">
        <f t="shared" si="1910"/>
        <v>0</v>
      </c>
      <c r="R2933" t="str">
        <f t="shared" si="1911"/>
        <v>0,00</v>
      </c>
      <c r="S2933" t="str">
        <f t="shared" si="1911"/>
        <v>0,00</v>
      </c>
      <c r="T2933" t="str">
        <f t="shared" si="1872"/>
        <v xml:space="preserve"> </v>
      </c>
      <c r="U2933" t="str">
        <f t="shared" si="1874"/>
        <v xml:space="preserve"> </v>
      </c>
      <c r="V2933" t="str">
        <f>"0,000"</f>
        <v>0,000</v>
      </c>
      <c r="W2933" t="str">
        <f t="shared" si="1881"/>
        <v>Lista 4</v>
      </c>
      <c r="X2933" t="str">
        <f t="shared" si="1882"/>
        <v>Lista 5</v>
      </c>
      <c r="Y2933" t="str">
        <f t="shared" si="1883"/>
        <v>Oferta Gral.</v>
      </c>
      <c r="Z2933" t="str">
        <f t="shared" si="1884"/>
        <v>Rubro</v>
      </c>
      <c r="AA2933" t="str">
        <f t="shared" si="1885"/>
        <v>Cantidad por Bulto</v>
      </c>
      <c r="AB2933" t="str">
        <f t="shared" si="1886"/>
        <v>INNER</v>
      </c>
      <c r="AC2933" t="str">
        <f t="shared" si="1887"/>
        <v>Stock en Bultos</v>
      </c>
      <c r="AD2933" t="str">
        <f t="shared" si="1888"/>
        <v>SubDepósito</v>
      </c>
      <c r="AE2933" t="str">
        <f t="shared" si="1889"/>
        <v>Marca</v>
      </c>
      <c r="AF2933" t="str">
        <f t="shared" si="1890"/>
        <v>Super Rubro</v>
      </c>
      <c r="AG2933" t="str">
        <f t="shared" si="1891"/>
        <v>ComercioExterior</v>
      </c>
      <c r="AH2933" t="str">
        <f t="shared" si="1892"/>
        <v>PrecioFOB</v>
      </c>
      <c r="AI2933" t="str">
        <f t="shared" si="1893"/>
        <v>Monto II</v>
      </c>
      <c r="AJ2933" t="str">
        <f t="shared" si="1894"/>
        <v>Porcentaje II</v>
      </c>
      <c r="AK2933" t="str">
        <f t="shared" si="1895"/>
        <v>Foto</v>
      </c>
      <c r="AL293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33" t="str">
        <f t="shared" si="1907"/>
        <v>-</v>
      </c>
    </row>
    <row r="2934" spans="1:39" x14ac:dyDescent="0.25">
      <c r="A2934" t="str">
        <f>"FI30117"</f>
        <v>FI30117</v>
      </c>
      <c r="B2934" t="str">
        <f>"SENSOR RPM VW GOL III 1.0 MI / 1.6 - GOL IV 1.6"</f>
        <v>SENSOR RPM VW GOL III 1.0 MI / 1.6 - GOL IV 1.6</v>
      </c>
      <c r="C2934" t="str">
        <f>"$ 35986,39"</f>
        <v>$ 35986,39</v>
      </c>
      <c r="D2934" t="str">
        <f>"$ 35986,39"</f>
        <v>$ 35986,39</v>
      </c>
      <c r="E2934" t="str">
        <f>"$ 35986,39"</f>
        <v>$ 35986,39</v>
      </c>
      <c r="F2934" t="str">
        <f>"$ 35986,39"</f>
        <v>$ 35986,39</v>
      </c>
      <c r="G2934" t="str">
        <f>"$ 35986,39"</f>
        <v>$ 35986,39</v>
      </c>
      <c r="H2934" t="str">
        <f t="shared" si="1875"/>
        <v>$ 0,00</v>
      </c>
      <c r="I2934" t="str">
        <f t="shared" si="1909"/>
        <v>SENSOR RPM</v>
      </c>
      <c r="J2934" t="str">
        <f t="shared" si="1877"/>
        <v>1</v>
      </c>
      <c r="K2934" t="str">
        <f>"0"</f>
        <v>0</v>
      </c>
      <c r="L2934" t="str">
        <f>"4,000"</f>
        <v>4,000</v>
      </c>
      <c r="M2934" t="str">
        <f t="shared" si="1878"/>
        <v xml:space="preserve"> </v>
      </c>
      <c r="N2934" t="str">
        <f t="shared" si="1906"/>
        <v>FISPA</v>
      </c>
      <c r="O2934" t="str">
        <f t="shared" si="1908"/>
        <v>SENSORES</v>
      </c>
      <c r="P2934" t="str">
        <f t="shared" si="1910"/>
        <v>0</v>
      </c>
      <c r="Q2934" t="str">
        <f t="shared" si="1910"/>
        <v>0</v>
      </c>
      <c r="R2934" t="str">
        <f t="shared" si="1911"/>
        <v>0,00</v>
      </c>
      <c r="S2934" t="str">
        <f t="shared" si="1911"/>
        <v>0,00</v>
      </c>
      <c r="T2934" t="str">
        <f t="shared" si="1872"/>
        <v xml:space="preserve"> </v>
      </c>
      <c r="U2934" t="str">
        <f t="shared" si="1874"/>
        <v xml:space="preserve"> </v>
      </c>
      <c r="V2934" t="str">
        <f>"4,000"</f>
        <v>4,000</v>
      </c>
      <c r="W2934" t="str">
        <f t="shared" si="1881"/>
        <v>Lista 4</v>
      </c>
      <c r="X2934" t="str">
        <f t="shared" si="1882"/>
        <v>Lista 5</v>
      </c>
      <c r="Y2934" t="str">
        <f t="shared" si="1883"/>
        <v>Oferta Gral.</v>
      </c>
      <c r="Z2934" t="str">
        <f t="shared" si="1884"/>
        <v>Rubro</v>
      </c>
      <c r="AA2934" t="str">
        <f t="shared" si="1885"/>
        <v>Cantidad por Bulto</v>
      </c>
      <c r="AB2934" t="str">
        <f t="shared" si="1886"/>
        <v>INNER</v>
      </c>
      <c r="AC2934" t="str">
        <f t="shared" si="1887"/>
        <v>Stock en Bultos</v>
      </c>
      <c r="AD2934" t="str">
        <f t="shared" si="1888"/>
        <v>SubDepósito</v>
      </c>
      <c r="AE2934" t="str">
        <f t="shared" si="1889"/>
        <v>Marca</v>
      </c>
      <c r="AF2934" t="str">
        <f t="shared" si="1890"/>
        <v>Super Rubro</v>
      </c>
      <c r="AG2934" t="str">
        <f t="shared" si="1891"/>
        <v>ComercioExterior</v>
      </c>
      <c r="AH2934" t="str">
        <f t="shared" si="1892"/>
        <v>PrecioFOB</v>
      </c>
      <c r="AI2934" t="str">
        <f t="shared" si="1893"/>
        <v>Monto II</v>
      </c>
      <c r="AJ2934" t="str">
        <f t="shared" si="1894"/>
        <v>Porcentaje II</v>
      </c>
      <c r="AK2934" t="str">
        <f t="shared" si="1895"/>
        <v>Foto</v>
      </c>
      <c r="AL2934" t="str">
        <f>" "</f>
        <v xml:space="preserve"> </v>
      </c>
      <c r="AM2934" t="str">
        <f t="shared" si="1907"/>
        <v>-</v>
      </c>
    </row>
    <row r="2935" spans="1:39" x14ac:dyDescent="0.25">
      <c r="A2935" t="str">
        <f>"FI30019"</f>
        <v>FI30019</v>
      </c>
      <c r="B2935" t="str">
        <f>"SENSOR RPM VW GOLF / VW BORA 1.6 16V /VW CADDY II (9K9A)1.4 MOTOR AUA"</f>
        <v>SENSOR RPM VW GOLF / VW BORA 1.6 16V /VW CADDY II (9K9A)1.4 MOTOR AUA</v>
      </c>
      <c r="C2935" t="str">
        <f>"$ 35832,59"</f>
        <v>$ 35832,59</v>
      </c>
      <c r="D2935" t="str">
        <f>"$ 35832,59"</f>
        <v>$ 35832,59</v>
      </c>
      <c r="E2935" t="str">
        <f>"$ 35832,59"</f>
        <v>$ 35832,59</v>
      </c>
      <c r="F2935" t="str">
        <f>"$ 35832,59"</f>
        <v>$ 35832,59</v>
      </c>
      <c r="G2935" t="str">
        <f>"$ 35832,59"</f>
        <v>$ 35832,59</v>
      </c>
      <c r="H2935" t="str">
        <f t="shared" si="1875"/>
        <v>$ 0,00</v>
      </c>
      <c r="I2935" t="str">
        <f t="shared" si="1909"/>
        <v>SENSOR RPM</v>
      </c>
      <c r="J2935" t="str">
        <f t="shared" si="1877"/>
        <v>1</v>
      </c>
      <c r="K2935" t="str">
        <f>"0"</f>
        <v>0</v>
      </c>
      <c r="L2935" t="str">
        <f>"3,000"</f>
        <v>3,000</v>
      </c>
      <c r="M2935" t="str">
        <f t="shared" si="1878"/>
        <v xml:space="preserve"> </v>
      </c>
      <c r="N2935" t="str">
        <f t="shared" si="1906"/>
        <v>FISPA</v>
      </c>
      <c r="O2935" t="str">
        <f t="shared" si="1908"/>
        <v>SENSORES</v>
      </c>
      <c r="P2935" t="str">
        <f t="shared" si="1910"/>
        <v>0</v>
      </c>
      <c r="Q2935" t="str">
        <f t="shared" si="1910"/>
        <v>0</v>
      </c>
      <c r="R2935" t="str">
        <f t="shared" si="1911"/>
        <v>0,00</v>
      </c>
      <c r="S2935" t="str">
        <f t="shared" si="1911"/>
        <v>0,00</v>
      </c>
      <c r="T2935" t="str">
        <f t="shared" si="1872"/>
        <v xml:space="preserve"> </v>
      </c>
      <c r="U2935" t="str">
        <f t="shared" si="1874"/>
        <v xml:space="preserve"> </v>
      </c>
      <c r="V2935" t="str">
        <f>"3,000"</f>
        <v>3,000</v>
      </c>
      <c r="W2935" t="str">
        <f t="shared" si="1881"/>
        <v>Lista 4</v>
      </c>
      <c r="X2935" t="str">
        <f t="shared" si="1882"/>
        <v>Lista 5</v>
      </c>
      <c r="Y2935" t="str">
        <f t="shared" si="1883"/>
        <v>Oferta Gral.</v>
      </c>
      <c r="Z2935" t="str">
        <f t="shared" si="1884"/>
        <v>Rubro</v>
      </c>
      <c r="AA2935" t="str">
        <f t="shared" si="1885"/>
        <v>Cantidad por Bulto</v>
      </c>
      <c r="AB2935" t="str">
        <f t="shared" si="1886"/>
        <v>INNER</v>
      </c>
      <c r="AC2935" t="str">
        <f t="shared" si="1887"/>
        <v>Stock en Bultos</v>
      </c>
      <c r="AD2935" t="str">
        <f t="shared" si="1888"/>
        <v>SubDepósito</v>
      </c>
      <c r="AE2935" t="str">
        <f t="shared" si="1889"/>
        <v>Marca</v>
      </c>
      <c r="AF2935" t="str">
        <f t="shared" si="1890"/>
        <v>Super Rubro</v>
      </c>
      <c r="AG2935" t="str">
        <f t="shared" si="1891"/>
        <v>ComercioExterior</v>
      </c>
      <c r="AH2935" t="str">
        <f t="shared" si="1892"/>
        <v>PrecioFOB</v>
      </c>
      <c r="AI2935" t="str">
        <f t="shared" si="1893"/>
        <v>Monto II</v>
      </c>
      <c r="AJ2935" t="str">
        <f t="shared" si="1894"/>
        <v>Porcentaje II</v>
      </c>
      <c r="AK2935" t="str">
        <f t="shared" si="1895"/>
        <v>Foto</v>
      </c>
      <c r="AL293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35" t="str">
        <f t="shared" si="1907"/>
        <v>-</v>
      </c>
    </row>
    <row r="2936" spans="1:39" x14ac:dyDescent="0.25">
      <c r="A2936" t="str">
        <f>"FI30021"</f>
        <v>FI30021</v>
      </c>
      <c r="B2936" t="str">
        <f>"SENSOR RPM VW GOLF IV / BORA / PASSAT 1.6 - 1.8 - 2.0 /AUDI A3 / A4 / A6SEAT LEON / TOLEDO"</f>
        <v>SENSOR RPM VW GOLF IV / BORA / PASSAT 1.6 - 1.8 - 2.0 /AUDI A3 / A4 / A6SEAT LEON / TOLEDO</v>
      </c>
      <c r="C2936" t="str">
        <f>"$ 19114,30"</f>
        <v>$ 19114,30</v>
      </c>
      <c r="D2936" t="str">
        <f>"$ 19114,30"</f>
        <v>$ 19114,30</v>
      </c>
      <c r="E2936" t="str">
        <f>"$ 19114,30"</f>
        <v>$ 19114,30</v>
      </c>
      <c r="F2936" t="str">
        <f>"$ 19114,30"</f>
        <v>$ 19114,30</v>
      </c>
      <c r="G2936" t="str">
        <f>"$ 19114,30"</f>
        <v>$ 19114,30</v>
      </c>
      <c r="H2936" t="str">
        <f t="shared" si="1875"/>
        <v>$ 0,00</v>
      </c>
      <c r="I2936" t="str">
        <f t="shared" si="1909"/>
        <v>SENSOR RPM</v>
      </c>
      <c r="J2936" t="str">
        <f t="shared" si="1877"/>
        <v>1</v>
      </c>
      <c r="K2936" t="str">
        <f>"1"</f>
        <v>1</v>
      </c>
      <c r="L2936" t="str">
        <f>"0,000"</f>
        <v>0,000</v>
      </c>
      <c r="M2936" t="str">
        <f t="shared" si="1878"/>
        <v xml:space="preserve"> </v>
      </c>
      <c r="N2936" t="str">
        <f t="shared" si="1906"/>
        <v>FISPA</v>
      </c>
      <c r="O2936" t="str">
        <f t="shared" si="1908"/>
        <v>SENSORES</v>
      </c>
      <c r="P2936" t="str">
        <f t="shared" si="1910"/>
        <v>0</v>
      </c>
      <c r="Q2936" t="str">
        <f t="shared" si="1910"/>
        <v>0</v>
      </c>
      <c r="R2936" t="str">
        <f t="shared" si="1911"/>
        <v>0,00</v>
      </c>
      <c r="S2936" t="str">
        <f t="shared" si="1911"/>
        <v>0,00</v>
      </c>
      <c r="T2936" t="str">
        <f t="shared" si="1872"/>
        <v xml:space="preserve"> </v>
      </c>
      <c r="U2936" t="str">
        <f t="shared" si="1874"/>
        <v xml:space="preserve"> </v>
      </c>
      <c r="V2936" t="str">
        <f>"0,000"</f>
        <v>0,000</v>
      </c>
      <c r="W2936" t="str">
        <f t="shared" si="1881"/>
        <v>Lista 4</v>
      </c>
      <c r="X2936" t="str">
        <f t="shared" si="1882"/>
        <v>Lista 5</v>
      </c>
      <c r="Y2936" t="str">
        <f t="shared" si="1883"/>
        <v>Oferta Gral.</v>
      </c>
      <c r="Z2936" t="str">
        <f t="shared" si="1884"/>
        <v>Rubro</v>
      </c>
      <c r="AA2936" t="str">
        <f t="shared" si="1885"/>
        <v>Cantidad por Bulto</v>
      </c>
      <c r="AB2936" t="str">
        <f t="shared" si="1886"/>
        <v>INNER</v>
      </c>
      <c r="AC2936" t="str">
        <f t="shared" si="1887"/>
        <v>Stock en Bultos</v>
      </c>
      <c r="AD2936" t="str">
        <f t="shared" si="1888"/>
        <v>SubDepósito</v>
      </c>
      <c r="AE2936" t="str">
        <f t="shared" si="1889"/>
        <v>Marca</v>
      </c>
      <c r="AF2936" t="str">
        <f t="shared" si="1890"/>
        <v>Super Rubro</v>
      </c>
      <c r="AG2936" t="str">
        <f t="shared" si="1891"/>
        <v>ComercioExterior</v>
      </c>
      <c r="AH2936" t="str">
        <f t="shared" si="1892"/>
        <v>PrecioFOB</v>
      </c>
      <c r="AI2936" t="str">
        <f t="shared" si="1893"/>
        <v>Monto II</v>
      </c>
      <c r="AJ2936" t="str">
        <f t="shared" si="1894"/>
        <v>Porcentaje II</v>
      </c>
      <c r="AK2936" t="str">
        <f t="shared" si="1895"/>
        <v>Foto</v>
      </c>
      <c r="AL293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36" t="str">
        <f t="shared" si="1907"/>
        <v>-</v>
      </c>
    </row>
    <row r="2937" spans="1:39" x14ac:dyDescent="0.25">
      <c r="A2937" t="str">
        <f>"FI30089"</f>
        <v>FI30089</v>
      </c>
      <c r="B2937" t="str">
        <f>"SENSOR RPM VW NEW BEETLE 2.5 - VENTO III 2.5 FSI - VENTO IV 2.5 FSI - VENTO 2.0"</f>
        <v>SENSOR RPM VW NEW BEETLE 2.5 - VENTO III 2.5 FSI - VENTO IV 2.5 FSI - VENTO 2.0</v>
      </c>
      <c r="C2937" t="str">
        <f>"$ 42025,82"</f>
        <v>$ 42025,82</v>
      </c>
      <c r="D2937" t="str">
        <f>"$ 42025,82"</f>
        <v>$ 42025,82</v>
      </c>
      <c r="E2937" t="str">
        <f>"$ 42025,82"</f>
        <v>$ 42025,82</v>
      </c>
      <c r="F2937" t="str">
        <f>"$ 42025,82"</f>
        <v>$ 42025,82</v>
      </c>
      <c r="G2937" t="str">
        <f>"$ 42025,82"</f>
        <v>$ 42025,82</v>
      </c>
      <c r="H2937" t="str">
        <f t="shared" si="1875"/>
        <v>$ 0,00</v>
      </c>
      <c r="I2937" t="str">
        <f t="shared" si="1909"/>
        <v>SENSOR RPM</v>
      </c>
      <c r="J2937" t="str">
        <f t="shared" si="1877"/>
        <v>1</v>
      </c>
      <c r="K2937" t="str">
        <f>"1"</f>
        <v>1</v>
      </c>
      <c r="L2937" t="str">
        <f>"0,000"</f>
        <v>0,000</v>
      </c>
      <c r="M2937" t="str">
        <f t="shared" si="1878"/>
        <v xml:space="preserve"> </v>
      </c>
      <c r="N2937" t="str">
        <f t="shared" si="1906"/>
        <v>FISPA</v>
      </c>
      <c r="O2937" t="str">
        <f t="shared" si="1908"/>
        <v>SENSORES</v>
      </c>
      <c r="P2937" t="str">
        <f t="shared" si="1910"/>
        <v>0</v>
      </c>
      <c r="Q2937" t="str">
        <f t="shared" si="1910"/>
        <v>0</v>
      </c>
      <c r="R2937" t="str">
        <f t="shared" si="1911"/>
        <v>0,00</v>
      </c>
      <c r="S2937" t="str">
        <f t="shared" si="1911"/>
        <v>0,00</v>
      </c>
      <c r="T2937" t="str">
        <f t="shared" si="1872"/>
        <v xml:space="preserve"> </v>
      </c>
      <c r="U2937" t="str">
        <f t="shared" si="1874"/>
        <v xml:space="preserve"> </v>
      </c>
      <c r="V2937" t="str">
        <f>"0,000"</f>
        <v>0,000</v>
      </c>
      <c r="W2937" t="str">
        <f t="shared" si="1881"/>
        <v>Lista 4</v>
      </c>
      <c r="X2937" t="str">
        <f t="shared" si="1882"/>
        <v>Lista 5</v>
      </c>
      <c r="Y2937" t="str">
        <f t="shared" si="1883"/>
        <v>Oferta Gral.</v>
      </c>
      <c r="Z2937" t="str">
        <f t="shared" si="1884"/>
        <v>Rubro</v>
      </c>
      <c r="AA2937" t="str">
        <f t="shared" si="1885"/>
        <v>Cantidad por Bulto</v>
      </c>
      <c r="AB2937" t="str">
        <f t="shared" si="1886"/>
        <v>INNER</v>
      </c>
      <c r="AC2937" t="str">
        <f t="shared" si="1887"/>
        <v>Stock en Bultos</v>
      </c>
      <c r="AD2937" t="str">
        <f t="shared" si="1888"/>
        <v>SubDepósito</v>
      </c>
      <c r="AE2937" t="str">
        <f t="shared" si="1889"/>
        <v>Marca</v>
      </c>
      <c r="AF2937" t="str">
        <f t="shared" si="1890"/>
        <v>Super Rubro</v>
      </c>
      <c r="AG2937" t="str">
        <f t="shared" si="1891"/>
        <v>ComercioExterior</v>
      </c>
      <c r="AH2937" t="str">
        <f t="shared" si="1892"/>
        <v>PrecioFOB</v>
      </c>
      <c r="AI2937" t="str">
        <f t="shared" si="1893"/>
        <v>Monto II</v>
      </c>
      <c r="AJ2937" t="str">
        <f t="shared" si="1894"/>
        <v>Porcentaje II</v>
      </c>
      <c r="AK2937" t="str">
        <f t="shared" si="1895"/>
        <v>Foto</v>
      </c>
      <c r="AL2937" t="str">
        <f>" "</f>
        <v xml:space="preserve"> </v>
      </c>
      <c r="AM2937" t="str">
        <f t="shared" si="1907"/>
        <v>-</v>
      </c>
    </row>
    <row r="2938" spans="1:39" x14ac:dyDescent="0.25">
      <c r="A2938" t="str">
        <f>"LEMSTP007"</f>
        <v>LEMSTP007</v>
      </c>
      <c r="B2938" t="str">
        <f>"SENSOR TEMPERATURA FIAT PALIO SIENA PUNTO 1.4 FIRE"</f>
        <v>SENSOR TEMPERATURA FIAT PALIO SIENA PUNTO 1.4 FIRE</v>
      </c>
      <c r="C2938" t="str">
        <f>"$ 12236,68"</f>
        <v>$ 12236,68</v>
      </c>
      <c r="D2938" t="str">
        <f>"$ 12236,68"</f>
        <v>$ 12236,68</v>
      </c>
      <c r="E2938" t="str">
        <f>"$ 12236,68"</f>
        <v>$ 12236,68</v>
      </c>
      <c r="F2938" t="str">
        <f>"$ 5069,47"</f>
        <v>$ 5069,47</v>
      </c>
      <c r="G2938" t="str">
        <f>"$ 5069,47"</f>
        <v>$ 5069,47</v>
      </c>
      <c r="H2938" t="str">
        <f t="shared" si="1875"/>
        <v>$ 0,00</v>
      </c>
      <c r="I2938" t="str">
        <f>"BULBO DE TEMPERATURA"</f>
        <v>BULBO DE TEMPERATURA</v>
      </c>
      <c r="J2938" t="str">
        <f t="shared" si="1877"/>
        <v>1</v>
      </c>
      <c r="K2938" t="str">
        <f t="shared" ref="K2938:K2969" si="1912">"0"</f>
        <v>0</v>
      </c>
      <c r="L2938" t="str">
        <f>"57,000"</f>
        <v>57,000</v>
      </c>
      <c r="M2938" t="str">
        <f t="shared" si="1878"/>
        <v xml:space="preserve"> </v>
      </c>
      <c r="N2938" t="str">
        <f>"LUCAS"</f>
        <v>LUCAS</v>
      </c>
      <c r="O2938" t="str">
        <f>"BULBOS"</f>
        <v>BULBOS</v>
      </c>
      <c r="P2938" t="str">
        <f t="shared" si="1910"/>
        <v>0</v>
      </c>
      <c r="Q2938" t="str">
        <f t="shared" si="1910"/>
        <v>0</v>
      </c>
      <c r="R2938" t="str">
        <f t="shared" si="1911"/>
        <v>0,00</v>
      </c>
      <c r="S2938" t="str">
        <f t="shared" si="1911"/>
        <v>0,00</v>
      </c>
      <c r="T2938" t="str">
        <f t="shared" si="1872"/>
        <v xml:space="preserve"> </v>
      </c>
      <c r="U2938" t="str">
        <f t="shared" si="1874"/>
        <v xml:space="preserve"> </v>
      </c>
      <c r="V2938" t="str">
        <f>"57,000"</f>
        <v>57,000</v>
      </c>
      <c r="W2938" t="str">
        <f t="shared" si="1881"/>
        <v>Lista 4</v>
      </c>
      <c r="X2938" t="str">
        <f t="shared" si="1882"/>
        <v>Lista 5</v>
      </c>
      <c r="Y2938" t="str">
        <f t="shared" si="1883"/>
        <v>Oferta Gral.</v>
      </c>
      <c r="Z2938" t="str">
        <f t="shared" si="1884"/>
        <v>Rubro</v>
      </c>
      <c r="AA2938" t="str">
        <f t="shared" si="1885"/>
        <v>Cantidad por Bulto</v>
      </c>
      <c r="AB2938" t="str">
        <f t="shared" si="1886"/>
        <v>INNER</v>
      </c>
      <c r="AC2938" t="str">
        <f t="shared" si="1887"/>
        <v>Stock en Bultos</v>
      </c>
      <c r="AD2938" t="str">
        <f t="shared" si="1888"/>
        <v>SubDepósito</v>
      </c>
      <c r="AE2938" t="str">
        <f t="shared" si="1889"/>
        <v>Marca</v>
      </c>
      <c r="AF2938" t="str">
        <f t="shared" si="1890"/>
        <v>Super Rubro</v>
      </c>
      <c r="AG2938" t="str">
        <f t="shared" si="1891"/>
        <v>ComercioExterior</v>
      </c>
      <c r="AH2938" t="str">
        <f t="shared" si="1892"/>
        <v>PrecioFOB</v>
      </c>
      <c r="AI2938" t="str">
        <f t="shared" si="1893"/>
        <v>Monto II</v>
      </c>
      <c r="AJ2938" t="str">
        <f t="shared" si="1894"/>
        <v>Porcentaje II</v>
      </c>
      <c r="AK2938" t="str">
        <f t="shared" si="1895"/>
        <v>Foto</v>
      </c>
      <c r="AL293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938" t="str">
        <f>" "</f>
        <v xml:space="preserve"> </v>
      </c>
    </row>
    <row r="2939" spans="1:39" x14ac:dyDescent="0.25">
      <c r="A2939" t="str">
        <f>"TOW003"</f>
        <v>TOW003</v>
      </c>
      <c r="B2939" t="str">
        <f>"SOGA REMOLQUE C/GANCHOS METALICOS 2 TONELADAS"</f>
        <v>SOGA REMOLQUE C/GANCHOS METALICOS 2 TONELADAS</v>
      </c>
      <c r="C2939" t="str">
        <f>"$ 12437,27"</f>
        <v>$ 12437,27</v>
      </c>
      <c r="D2939" t="str">
        <f>"$ 12437,27"</f>
        <v>$ 12437,27</v>
      </c>
      <c r="E2939" t="str">
        <f>"$ 12437,27"</f>
        <v>$ 12437,27</v>
      </c>
      <c r="F2939" t="str">
        <f>"$ 12437,27"</f>
        <v>$ 12437,27</v>
      </c>
      <c r="G2939" t="str">
        <f>"$ 12437,27"</f>
        <v>$ 12437,27</v>
      </c>
      <c r="H2939" t="str">
        <f t="shared" si="1875"/>
        <v>$ 0,00</v>
      </c>
      <c r="I2939" t="str">
        <f>"SOGA DE REMOLQUE"</f>
        <v>SOGA DE REMOLQUE</v>
      </c>
      <c r="J2939" t="str">
        <f t="shared" si="1877"/>
        <v>1</v>
      </c>
      <c r="K2939" t="str">
        <f t="shared" si="1912"/>
        <v>0</v>
      </c>
      <c r="L2939" t="str">
        <f>"7,000"</f>
        <v>7,000</v>
      </c>
      <c r="M2939" t="str">
        <f t="shared" si="1878"/>
        <v xml:space="preserve"> </v>
      </c>
      <c r="N2939" t="str">
        <f>"OREGON"</f>
        <v>OREGON</v>
      </c>
      <c r="O2939" t="str">
        <f>"LINGAS"</f>
        <v>LINGAS</v>
      </c>
      <c r="P2939" t="str">
        <f t="shared" si="1910"/>
        <v>0</v>
      </c>
      <c r="Q2939" t="str">
        <f t="shared" si="1910"/>
        <v>0</v>
      </c>
      <c r="R2939" t="str">
        <f t="shared" si="1911"/>
        <v>0,00</v>
      </c>
      <c r="S2939" t="str">
        <f t="shared" si="1911"/>
        <v>0,00</v>
      </c>
      <c r="T2939" t="str">
        <f t="shared" si="1872"/>
        <v xml:space="preserve"> </v>
      </c>
      <c r="U2939" t="str">
        <f t="shared" si="1874"/>
        <v xml:space="preserve"> </v>
      </c>
      <c r="V2939" t="str">
        <f>"7,000"</f>
        <v>7,000</v>
      </c>
      <c r="W2939" t="str">
        <f t="shared" si="1881"/>
        <v>Lista 4</v>
      </c>
      <c r="X2939" t="str">
        <f t="shared" si="1882"/>
        <v>Lista 5</v>
      </c>
      <c r="Y2939" t="str">
        <f t="shared" si="1883"/>
        <v>Oferta Gral.</v>
      </c>
      <c r="Z2939" t="str">
        <f t="shared" si="1884"/>
        <v>Rubro</v>
      </c>
      <c r="AA2939" t="str">
        <f t="shared" si="1885"/>
        <v>Cantidad por Bulto</v>
      </c>
      <c r="AB2939" t="str">
        <f t="shared" si="1886"/>
        <v>INNER</v>
      </c>
      <c r="AC2939" t="str">
        <f t="shared" si="1887"/>
        <v>Stock en Bultos</v>
      </c>
      <c r="AD2939" t="str">
        <f t="shared" si="1888"/>
        <v>SubDepósito</v>
      </c>
      <c r="AE2939" t="str">
        <f t="shared" si="1889"/>
        <v>Marca</v>
      </c>
      <c r="AF2939" t="str">
        <f t="shared" si="1890"/>
        <v>Super Rubro</v>
      </c>
      <c r="AG2939" t="str">
        <f t="shared" si="1891"/>
        <v>ComercioExterior</v>
      </c>
      <c r="AH2939" t="str">
        <f t="shared" si="1892"/>
        <v>PrecioFOB</v>
      </c>
      <c r="AI2939" t="str">
        <f t="shared" si="1893"/>
        <v>Monto II</v>
      </c>
      <c r="AJ2939" t="str">
        <f t="shared" si="1894"/>
        <v>Porcentaje II</v>
      </c>
      <c r="AK2939" t="str">
        <f t="shared" si="1895"/>
        <v>Foto</v>
      </c>
      <c r="AL2939" t="str">
        <f>"{\rtf1\ansi\ansicpg1252\deff0\deflang11274{\fonttbl{\f0\fnil\fcharset0 MS Sans Serif}} \viewkind4\uc1\pard\f0\fs16 SOGA REMOLQUE C/GANCHOS METALICOS 2 TONELADAS\par } "</f>
        <v xml:space="preserve">{\rtf1\ansi\ansicpg1252\deff0\deflang11274{\fonttbl{\f0\fnil\fcharset0 MS Sans Serif}} \viewkind4\uc1\pard\f0\fs16 SOGA REMOLQUE C/GANCHOS METALICOS 2 TONELADAS\par } </v>
      </c>
      <c r="AM2939" t="str">
        <f>" "</f>
        <v xml:space="preserve"> </v>
      </c>
    </row>
    <row r="2940" spans="1:39" x14ac:dyDescent="0.25">
      <c r="A2940" t="str">
        <f>"TOW004"</f>
        <v>TOW004</v>
      </c>
      <c r="B2940" t="str">
        <f>"SOGA REMOLQUE C/GANCHOS METALICOS 4 TONELADAS"</f>
        <v>SOGA REMOLQUE C/GANCHOS METALICOS 4 TONELADAS</v>
      </c>
      <c r="C2940" t="str">
        <f>"$ 13978,75"</f>
        <v>$ 13978,75</v>
      </c>
      <c r="D2940" t="str">
        <f>"$ 13978,75"</f>
        <v>$ 13978,75</v>
      </c>
      <c r="E2940" t="str">
        <f>"$ 13978,75"</f>
        <v>$ 13978,75</v>
      </c>
      <c r="F2940" t="str">
        <f>"$ 13978,75"</f>
        <v>$ 13978,75</v>
      </c>
      <c r="G2940" t="str">
        <f>"$ 13978,75"</f>
        <v>$ 13978,75</v>
      </c>
      <c r="H2940" t="str">
        <f t="shared" si="1875"/>
        <v>$ 0,00</v>
      </c>
      <c r="I2940" t="str">
        <f>"SOGA DE REMOLQUE"</f>
        <v>SOGA DE REMOLQUE</v>
      </c>
      <c r="J2940" t="str">
        <f t="shared" si="1877"/>
        <v>1</v>
      </c>
      <c r="K2940" t="str">
        <f t="shared" si="1912"/>
        <v>0</v>
      </c>
      <c r="L2940" t="str">
        <f>"9,000"</f>
        <v>9,000</v>
      </c>
      <c r="M2940" t="str">
        <f t="shared" si="1878"/>
        <v xml:space="preserve"> </v>
      </c>
      <c r="N2940" t="str">
        <f>"OREGON"</f>
        <v>OREGON</v>
      </c>
      <c r="O2940" t="str">
        <f>"LINGAS"</f>
        <v>LINGAS</v>
      </c>
      <c r="P2940" t="str">
        <f t="shared" si="1910"/>
        <v>0</v>
      </c>
      <c r="Q2940" t="str">
        <f t="shared" si="1910"/>
        <v>0</v>
      </c>
      <c r="R2940" t="str">
        <f t="shared" si="1911"/>
        <v>0,00</v>
      </c>
      <c r="S2940" t="str">
        <f t="shared" si="1911"/>
        <v>0,00</v>
      </c>
      <c r="T2940" t="str">
        <f t="shared" si="1872"/>
        <v xml:space="preserve"> </v>
      </c>
      <c r="U2940" t="str">
        <f t="shared" si="1874"/>
        <v xml:space="preserve"> </v>
      </c>
      <c r="V2940" t="str">
        <f>"9,000"</f>
        <v>9,000</v>
      </c>
      <c r="W2940" t="str">
        <f t="shared" si="1881"/>
        <v>Lista 4</v>
      </c>
      <c r="X2940" t="str">
        <f t="shared" si="1882"/>
        <v>Lista 5</v>
      </c>
      <c r="Y2940" t="str">
        <f t="shared" si="1883"/>
        <v>Oferta Gral.</v>
      </c>
      <c r="Z2940" t="str">
        <f t="shared" si="1884"/>
        <v>Rubro</v>
      </c>
      <c r="AA2940" t="str">
        <f t="shared" si="1885"/>
        <v>Cantidad por Bulto</v>
      </c>
      <c r="AB2940" t="str">
        <f t="shared" si="1886"/>
        <v>INNER</v>
      </c>
      <c r="AC2940" t="str">
        <f t="shared" si="1887"/>
        <v>Stock en Bultos</v>
      </c>
      <c r="AD2940" t="str">
        <f t="shared" si="1888"/>
        <v>SubDepósito</v>
      </c>
      <c r="AE2940" t="str">
        <f t="shared" si="1889"/>
        <v>Marca</v>
      </c>
      <c r="AF2940" t="str">
        <f t="shared" si="1890"/>
        <v>Super Rubro</v>
      </c>
      <c r="AG2940" t="str">
        <f t="shared" si="1891"/>
        <v>ComercioExterior</v>
      </c>
      <c r="AH2940" t="str">
        <f t="shared" si="1892"/>
        <v>PrecioFOB</v>
      </c>
      <c r="AI2940" t="str">
        <f t="shared" si="1893"/>
        <v>Monto II</v>
      </c>
      <c r="AJ2940" t="str">
        <f t="shared" si="1894"/>
        <v>Porcentaje II</v>
      </c>
      <c r="AK2940" t="str">
        <f t="shared" si="1895"/>
        <v>Foto</v>
      </c>
      <c r="AL2940" t="str">
        <f>"{\rtf1\ansi\ansicpg1252\deff0\deflang11274{\fonttbl{\f0\fnil\fcharset0 MS Sans Serif}} \viewkind4\uc1\pard\f0\fs16 SOGA REMOLQUE C/GANCHOS METALICOS 4 TONELADAS\par } "</f>
        <v xml:space="preserve">{\rtf1\ansi\ansicpg1252\deff0\deflang11274{\fonttbl{\f0\fnil\fcharset0 MS Sans Serif}} \viewkind4\uc1\pard\f0\fs16 SOGA REMOLQUE C/GANCHOS METALICOS 4 TONELADAS\par } </v>
      </c>
      <c r="AM2940" t="str">
        <f>"-"</f>
        <v>-</v>
      </c>
    </row>
    <row r="2941" spans="1:39" x14ac:dyDescent="0.25">
      <c r="A2941" t="str">
        <f>"VK081066BO"</f>
        <v>VK081066BO</v>
      </c>
      <c r="B2941" t="str">
        <f>"SOLENOIDE DE ARRANQUE CORSA 933A 081 066"</f>
        <v>SOLENOIDE DE ARRANQUE CORSA 933A 081 066</v>
      </c>
      <c r="C2941" t="str">
        <f>"$ 23216,34"</f>
        <v>$ 23216,34</v>
      </c>
      <c r="D2941" t="str">
        <f>"$ 23216,34"</f>
        <v>$ 23216,34</v>
      </c>
      <c r="E2941" t="str">
        <f>"$ 23216,34"</f>
        <v>$ 23216,34</v>
      </c>
      <c r="F2941" t="str">
        <f>"$ 9618,17"</f>
        <v>$ 9618,17</v>
      </c>
      <c r="G2941" t="str">
        <f>"$ 9618,17"</f>
        <v>$ 9618,17</v>
      </c>
      <c r="H2941" t="str">
        <f t="shared" si="1875"/>
        <v>$ 0,00</v>
      </c>
      <c r="I2941" t="str">
        <f>"SOLENOIDE DE ARRANQUE"</f>
        <v>SOLENOIDE DE ARRANQUE</v>
      </c>
      <c r="J2941" t="str">
        <f t="shared" si="1877"/>
        <v>1</v>
      </c>
      <c r="K2941" t="str">
        <f t="shared" si="1912"/>
        <v>0</v>
      </c>
      <c r="L2941" t="str">
        <f>"2,000"</f>
        <v>2,000</v>
      </c>
      <c r="M2941" t="str">
        <f t="shared" si="1878"/>
        <v xml:space="preserve"> </v>
      </c>
      <c r="N2941" t="str">
        <f>"BOSCH"</f>
        <v>BOSCH</v>
      </c>
      <c r="O2941" t="str">
        <f>"ARRANQUES"</f>
        <v>ARRANQUES</v>
      </c>
      <c r="P2941" t="str">
        <f t="shared" si="1910"/>
        <v>0</v>
      </c>
      <c r="Q2941" t="str">
        <f t="shared" si="1910"/>
        <v>0</v>
      </c>
      <c r="R2941" t="str">
        <f t="shared" si="1911"/>
        <v>0,00</v>
      </c>
      <c r="S2941" t="str">
        <f t="shared" si="1911"/>
        <v>0,00</v>
      </c>
      <c r="T2941" t="str">
        <f t="shared" si="1872"/>
        <v xml:space="preserve"> </v>
      </c>
      <c r="U2941" t="str">
        <f t="shared" si="1874"/>
        <v xml:space="preserve"> </v>
      </c>
      <c r="V2941" t="str">
        <f>"2,000"</f>
        <v>2,000</v>
      </c>
      <c r="W2941" t="str">
        <f t="shared" si="1881"/>
        <v>Lista 4</v>
      </c>
      <c r="X2941" t="str">
        <f t="shared" si="1882"/>
        <v>Lista 5</v>
      </c>
      <c r="Y2941" t="str">
        <f t="shared" si="1883"/>
        <v>Oferta Gral.</v>
      </c>
      <c r="Z2941" t="str">
        <f t="shared" si="1884"/>
        <v>Rubro</v>
      </c>
      <c r="AA2941" t="str">
        <f t="shared" si="1885"/>
        <v>Cantidad por Bulto</v>
      </c>
      <c r="AB2941" t="str">
        <f t="shared" si="1886"/>
        <v>INNER</v>
      </c>
      <c r="AC2941" t="str">
        <f t="shared" si="1887"/>
        <v>Stock en Bultos</v>
      </c>
      <c r="AD2941" t="str">
        <f t="shared" si="1888"/>
        <v>SubDepósito</v>
      </c>
      <c r="AE2941" t="str">
        <f t="shared" si="1889"/>
        <v>Marca</v>
      </c>
      <c r="AF2941" t="str">
        <f t="shared" si="1890"/>
        <v>Super Rubro</v>
      </c>
      <c r="AG2941" t="str">
        <f t="shared" si="1891"/>
        <v>ComercioExterior</v>
      </c>
      <c r="AH2941" t="str">
        <f t="shared" si="1892"/>
        <v>PrecioFOB</v>
      </c>
      <c r="AI2941" t="str">
        <f t="shared" si="1893"/>
        <v>Monto II</v>
      </c>
      <c r="AJ2941" t="str">
        <f t="shared" si="1894"/>
        <v>Porcentaje II</v>
      </c>
      <c r="AK2941" t="str">
        <f t="shared" si="1895"/>
        <v>Foto</v>
      </c>
      <c r="AL2941" t="str">
        <f>"{\rtf1\ansi\ansicpg1252\deff0\deflang11274{\fonttbl{\f0\fnil\fcharset0 MS Sans Serif}} \viewkind4\uc1\pard\f0\fs16 SOLENOIDE DE ARRANQUE CORSA 933A 081 066\par } "</f>
        <v xml:space="preserve">{\rtf1\ansi\ansicpg1252\deff0\deflang11274{\fonttbl{\f0\fnil\fcharset0 MS Sans Serif}} \viewkind4\uc1\pard\f0\fs16 SOLENOIDE DE ARRANQUE CORSA 933A 081 066\par } </v>
      </c>
      <c r="AM2941" t="str">
        <f>" "</f>
        <v xml:space="preserve"> </v>
      </c>
    </row>
    <row r="2942" spans="1:39" x14ac:dyDescent="0.25">
      <c r="A2942" t="str">
        <f>"FI80109"</f>
        <v>FI80109</v>
      </c>
      <c r="B2942" t="str">
        <f>"SONDA LAMBDA FIAT TORO 2.0 DIESEL POSTCATALIZADOR"</f>
        <v>SONDA LAMBDA FIAT TORO 2.0 DIESEL POSTCATALIZADOR</v>
      </c>
      <c r="C2942" t="str">
        <f>"$ 140735,42"</f>
        <v>$ 140735,42</v>
      </c>
      <c r="D2942" t="str">
        <f>"$ 140735,42"</f>
        <v>$ 140735,42</v>
      </c>
      <c r="E2942" t="str">
        <f>"$ 140735,42"</f>
        <v>$ 140735,42</v>
      </c>
      <c r="F2942" t="str">
        <f>"$ 140735,42"</f>
        <v>$ 140735,42</v>
      </c>
      <c r="G2942" t="str">
        <f>"$ 140735,42"</f>
        <v>$ 140735,42</v>
      </c>
      <c r="H2942" t="str">
        <f t="shared" si="1875"/>
        <v>$ 0,00</v>
      </c>
      <c r="I2942" t="str">
        <f t="shared" ref="I2942:I2948" si="1913">"SONDA LAMBDA"</f>
        <v>SONDA LAMBDA</v>
      </c>
      <c r="J2942" t="str">
        <f t="shared" si="1877"/>
        <v>1</v>
      </c>
      <c r="K2942" t="str">
        <f t="shared" si="1912"/>
        <v>0</v>
      </c>
      <c r="L2942" t="str">
        <f>"1,000"</f>
        <v>1,000</v>
      </c>
      <c r="M2942" t="str">
        <f t="shared" si="1878"/>
        <v xml:space="preserve"> </v>
      </c>
      <c r="N2942" t="str">
        <f>"FISPA"</f>
        <v>FISPA</v>
      </c>
      <c r="O2942" t="str">
        <f t="shared" ref="O2942:O2948" si="1914">"SENSORES"</f>
        <v>SENSORES</v>
      </c>
      <c r="P2942" t="str">
        <f t="shared" si="1910"/>
        <v>0</v>
      </c>
      <c r="Q2942" t="str">
        <f t="shared" si="1910"/>
        <v>0</v>
      </c>
      <c r="R2942" t="str">
        <f t="shared" si="1911"/>
        <v>0,00</v>
      </c>
      <c r="S2942" t="str">
        <f t="shared" si="1911"/>
        <v>0,00</v>
      </c>
      <c r="T2942" t="str">
        <f t="shared" si="1872"/>
        <v xml:space="preserve"> </v>
      </c>
      <c r="U2942" t="str">
        <f t="shared" si="1874"/>
        <v xml:space="preserve"> </v>
      </c>
      <c r="V2942" t="str">
        <f>"1,000"</f>
        <v>1,000</v>
      </c>
      <c r="W2942" t="str">
        <f t="shared" si="1881"/>
        <v>Lista 4</v>
      </c>
      <c r="X2942" t="str">
        <f t="shared" si="1882"/>
        <v>Lista 5</v>
      </c>
      <c r="Y2942" t="str">
        <f t="shared" si="1883"/>
        <v>Oferta Gral.</v>
      </c>
      <c r="Z2942" t="str">
        <f t="shared" si="1884"/>
        <v>Rubro</v>
      </c>
      <c r="AA2942" t="str">
        <f t="shared" si="1885"/>
        <v>Cantidad por Bulto</v>
      </c>
      <c r="AB2942" t="str">
        <f t="shared" si="1886"/>
        <v>INNER</v>
      </c>
      <c r="AC2942" t="str">
        <f t="shared" si="1887"/>
        <v>Stock en Bultos</v>
      </c>
      <c r="AD2942" t="str">
        <f t="shared" si="1888"/>
        <v>SubDepósito</v>
      </c>
      <c r="AE2942" t="str">
        <f t="shared" si="1889"/>
        <v>Marca</v>
      </c>
      <c r="AF2942" t="str">
        <f t="shared" si="1890"/>
        <v>Super Rubro</v>
      </c>
      <c r="AG2942" t="str">
        <f t="shared" si="1891"/>
        <v>ComercioExterior</v>
      </c>
      <c r="AH2942" t="str">
        <f t="shared" si="1892"/>
        <v>PrecioFOB</v>
      </c>
      <c r="AI2942" t="str">
        <f t="shared" si="1893"/>
        <v>Monto II</v>
      </c>
      <c r="AJ2942" t="str">
        <f t="shared" si="1894"/>
        <v>Porcentaje II</v>
      </c>
      <c r="AK2942" t="str">
        <f t="shared" si="1895"/>
        <v>Foto</v>
      </c>
      <c r="AL294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942" t="str">
        <f>" "</f>
        <v xml:space="preserve"> </v>
      </c>
    </row>
    <row r="2943" spans="1:39" x14ac:dyDescent="0.25">
      <c r="A2943" t="str">
        <f>"FI80076"</f>
        <v>FI80076</v>
      </c>
      <c r="B2943" t="str">
        <f>"SONDA LAMBDA FORD ECOSPORT 2.0  1.6    REF. 0258003183/1035595"</f>
        <v>SONDA LAMBDA FORD ECOSPORT 2.0  1.6    REF. 0258003183/1035595</v>
      </c>
      <c r="C2943" t="str">
        <f>"$ 60097,74"</f>
        <v>$ 60097,74</v>
      </c>
      <c r="D2943" t="str">
        <f>"$ 60097,74"</f>
        <v>$ 60097,74</v>
      </c>
      <c r="E2943" t="str">
        <f>"$ 60097,74"</f>
        <v>$ 60097,74</v>
      </c>
      <c r="F2943" t="str">
        <f>"$ 60097,74"</f>
        <v>$ 60097,74</v>
      </c>
      <c r="G2943" t="str">
        <f>"$ 60097,74"</f>
        <v>$ 60097,74</v>
      </c>
      <c r="H2943" t="str">
        <f t="shared" si="1875"/>
        <v>$ 0,00</v>
      </c>
      <c r="I2943" t="str">
        <f t="shared" si="1913"/>
        <v>SONDA LAMBDA</v>
      </c>
      <c r="J2943" t="str">
        <f t="shared" si="1877"/>
        <v>1</v>
      </c>
      <c r="K2943" t="str">
        <f t="shared" si="1912"/>
        <v>0</v>
      </c>
      <c r="L2943" t="str">
        <f>"2,000"</f>
        <v>2,000</v>
      </c>
      <c r="M2943" t="str">
        <f t="shared" si="1878"/>
        <v xml:space="preserve"> </v>
      </c>
      <c r="N2943" t="str">
        <f>"FISPA"</f>
        <v>FISPA</v>
      </c>
      <c r="O2943" t="str">
        <f t="shared" si="1914"/>
        <v>SENSORES</v>
      </c>
      <c r="P2943" t="str">
        <f t="shared" ref="P2943:Q2962" si="1915">"0"</f>
        <v>0</v>
      </c>
      <c r="Q2943" t="str">
        <f t="shared" si="1915"/>
        <v>0</v>
      </c>
      <c r="R2943" t="str">
        <f t="shared" ref="R2943:S2962" si="1916">"0,00"</f>
        <v>0,00</v>
      </c>
      <c r="S2943" t="str">
        <f t="shared" si="1916"/>
        <v>0,00</v>
      </c>
      <c r="T2943" t="str">
        <f t="shared" ref="T2943:T3006" si="1917">" "</f>
        <v xml:space="preserve"> </v>
      </c>
      <c r="U2943" t="str">
        <f t="shared" si="1874"/>
        <v xml:space="preserve"> </v>
      </c>
      <c r="V2943" t="str">
        <f>"2,000"</f>
        <v>2,000</v>
      </c>
      <c r="W2943" t="str">
        <f t="shared" si="1881"/>
        <v>Lista 4</v>
      </c>
      <c r="X2943" t="str">
        <f t="shared" si="1882"/>
        <v>Lista 5</v>
      </c>
      <c r="Y2943" t="str">
        <f t="shared" si="1883"/>
        <v>Oferta Gral.</v>
      </c>
      <c r="Z2943" t="str">
        <f t="shared" si="1884"/>
        <v>Rubro</v>
      </c>
      <c r="AA2943" t="str">
        <f t="shared" si="1885"/>
        <v>Cantidad por Bulto</v>
      </c>
      <c r="AB2943" t="str">
        <f t="shared" si="1886"/>
        <v>INNER</v>
      </c>
      <c r="AC2943" t="str">
        <f t="shared" si="1887"/>
        <v>Stock en Bultos</v>
      </c>
      <c r="AD2943" t="str">
        <f t="shared" si="1888"/>
        <v>SubDepósito</v>
      </c>
      <c r="AE2943" t="str">
        <f t="shared" si="1889"/>
        <v>Marca</v>
      </c>
      <c r="AF2943" t="str">
        <f t="shared" si="1890"/>
        <v>Super Rubro</v>
      </c>
      <c r="AG2943" t="str">
        <f t="shared" si="1891"/>
        <v>ComercioExterior</v>
      </c>
      <c r="AH2943" t="str">
        <f t="shared" si="1892"/>
        <v>PrecioFOB</v>
      </c>
      <c r="AI2943" t="str">
        <f t="shared" si="1893"/>
        <v>Monto II</v>
      </c>
      <c r="AJ2943" t="str">
        <f t="shared" si="1894"/>
        <v>Porcentaje II</v>
      </c>
      <c r="AK2943" t="str">
        <f t="shared" si="1895"/>
        <v>Foto</v>
      </c>
      <c r="AL294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943" t="str">
        <f>" "</f>
        <v xml:space="preserve"> </v>
      </c>
    </row>
    <row r="2944" spans="1:39" x14ac:dyDescent="0.25">
      <c r="A2944" t="str">
        <f>"VKSL001"</f>
        <v>VKSL001</v>
      </c>
      <c r="B2944" t="str">
        <f>"SONDA LAMBDA UNIVERSAL 1 CABLE"</f>
        <v>SONDA LAMBDA UNIVERSAL 1 CABLE</v>
      </c>
      <c r="C2944" t="str">
        <f>"$ 14485,22"</f>
        <v>$ 14485,22</v>
      </c>
      <c r="D2944" t="str">
        <f>"$ 14485,22"</f>
        <v>$ 14485,22</v>
      </c>
      <c r="E2944" t="str">
        <f>"$ 14485,22"</f>
        <v>$ 14485,22</v>
      </c>
      <c r="F2944" t="str">
        <f>"$ 14485,22"</f>
        <v>$ 14485,22</v>
      </c>
      <c r="G2944" t="str">
        <f>"$ 14485,22"</f>
        <v>$ 14485,22</v>
      </c>
      <c r="H2944" t="str">
        <f t="shared" si="1875"/>
        <v>$ 0,00</v>
      </c>
      <c r="I2944" t="str">
        <f t="shared" si="1913"/>
        <v>SONDA LAMBDA</v>
      </c>
      <c r="J2944" t="str">
        <f t="shared" si="1877"/>
        <v>1</v>
      </c>
      <c r="K2944" t="str">
        <f t="shared" si="1912"/>
        <v>0</v>
      </c>
      <c r="L2944" t="str">
        <f>"0,000"</f>
        <v>0,000</v>
      </c>
      <c r="M2944" t="str">
        <f t="shared" si="1878"/>
        <v xml:space="preserve"> </v>
      </c>
      <c r="N2944" t="str">
        <f>"VERKEHR"</f>
        <v>VERKEHR</v>
      </c>
      <c r="O2944" t="str">
        <f t="shared" si="1914"/>
        <v>SENSORES</v>
      </c>
      <c r="P2944" t="str">
        <f t="shared" si="1915"/>
        <v>0</v>
      </c>
      <c r="Q2944" t="str">
        <f t="shared" si="1915"/>
        <v>0</v>
      </c>
      <c r="R2944" t="str">
        <f t="shared" si="1916"/>
        <v>0,00</v>
      </c>
      <c r="S2944" t="str">
        <f t="shared" si="1916"/>
        <v>0,00</v>
      </c>
      <c r="T2944" t="str">
        <f t="shared" si="1917"/>
        <v xml:space="preserve"> </v>
      </c>
      <c r="U2944" t="str">
        <f t="shared" si="1874"/>
        <v xml:space="preserve"> </v>
      </c>
      <c r="V2944" t="str">
        <f>"0,000"</f>
        <v>0,000</v>
      </c>
      <c r="W2944" t="str">
        <f t="shared" si="1881"/>
        <v>Lista 4</v>
      </c>
      <c r="X2944" t="str">
        <f t="shared" si="1882"/>
        <v>Lista 5</v>
      </c>
      <c r="Y2944" t="str">
        <f t="shared" si="1883"/>
        <v>Oferta Gral.</v>
      </c>
      <c r="Z2944" t="str">
        <f t="shared" si="1884"/>
        <v>Rubro</v>
      </c>
      <c r="AA2944" t="str">
        <f t="shared" si="1885"/>
        <v>Cantidad por Bulto</v>
      </c>
      <c r="AB2944" t="str">
        <f t="shared" si="1886"/>
        <v>INNER</v>
      </c>
      <c r="AC2944" t="str">
        <f t="shared" si="1887"/>
        <v>Stock en Bultos</v>
      </c>
      <c r="AD2944" t="str">
        <f t="shared" si="1888"/>
        <v>SubDepósito</v>
      </c>
      <c r="AE2944" t="str">
        <f t="shared" si="1889"/>
        <v>Marca</v>
      </c>
      <c r="AF2944" t="str">
        <f t="shared" si="1890"/>
        <v>Super Rubro</v>
      </c>
      <c r="AG2944" t="str">
        <f t="shared" si="1891"/>
        <v>ComercioExterior</v>
      </c>
      <c r="AH2944" t="str">
        <f t="shared" si="1892"/>
        <v>PrecioFOB</v>
      </c>
      <c r="AI2944" t="str">
        <f t="shared" si="1893"/>
        <v>Monto II</v>
      </c>
      <c r="AJ2944" t="str">
        <f t="shared" si="1894"/>
        <v>Porcentaje II</v>
      </c>
      <c r="AK2944" t="str">
        <f t="shared" si="1895"/>
        <v>Foto</v>
      </c>
      <c r="AL2944" t="str">
        <f>"{\rtf1\ansi\ansicpg1252\deff0\deflang11274{\fonttbl{\f0\fnil\fcharset0 MS Sans Serif}} \viewkind4\uc1\pard\f0\fs16 SONDA LAMBDA UNIVERSAL 1 CABLE\par } "</f>
        <v xml:space="preserve">{\rtf1\ansi\ansicpg1252\deff0\deflang11274{\fonttbl{\f0\fnil\fcharset0 MS Sans Serif}} \viewkind4\uc1\pard\f0\fs16 SONDA LAMBDA UNIVERSAL 1 CABLE\par } </v>
      </c>
      <c r="AM2944" t="str">
        <f>"-"</f>
        <v>-</v>
      </c>
    </row>
    <row r="2945" spans="1:39" x14ac:dyDescent="0.25">
      <c r="A2945" t="str">
        <f>"VKSL002"</f>
        <v>VKSL002</v>
      </c>
      <c r="B2945" t="str">
        <f>"SONDA LAMBDA UNIVERSAL 2 CABLES"</f>
        <v>SONDA LAMBDA UNIVERSAL 2 CABLES</v>
      </c>
      <c r="C2945" t="str">
        <f>"$ 14905,05"</f>
        <v>$ 14905,05</v>
      </c>
      <c r="D2945" t="str">
        <f>"$ 14905,05"</f>
        <v>$ 14905,05</v>
      </c>
      <c r="E2945" t="str">
        <f>"$ 14905,05"</f>
        <v>$ 14905,05</v>
      </c>
      <c r="F2945" t="str">
        <f>"$ 14905,05"</f>
        <v>$ 14905,05</v>
      </c>
      <c r="G2945" t="str">
        <f>"$ 14905,05"</f>
        <v>$ 14905,05</v>
      </c>
      <c r="H2945" t="str">
        <f t="shared" si="1875"/>
        <v>$ 0,00</v>
      </c>
      <c r="I2945" t="str">
        <f t="shared" si="1913"/>
        <v>SONDA LAMBDA</v>
      </c>
      <c r="J2945" t="str">
        <f t="shared" si="1877"/>
        <v>1</v>
      </c>
      <c r="K2945" t="str">
        <f t="shared" si="1912"/>
        <v>0</v>
      </c>
      <c r="L2945" t="str">
        <f>"0,000"</f>
        <v>0,000</v>
      </c>
      <c r="M2945" t="str">
        <f t="shared" si="1878"/>
        <v xml:space="preserve"> </v>
      </c>
      <c r="N2945" t="str">
        <f>"VERKEHR"</f>
        <v>VERKEHR</v>
      </c>
      <c r="O2945" t="str">
        <f t="shared" si="1914"/>
        <v>SENSORES</v>
      </c>
      <c r="P2945" t="str">
        <f t="shared" si="1915"/>
        <v>0</v>
      </c>
      <c r="Q2945" t="str">
        <f t="shared" si="1915"/>
        <v>0</v>
      </c>
      <c r="R2945" t="str">
        <f t="shared" si="1916"/>
        <v>0,00</v>
      </c>
      <c r="S2945" t="str">
        <f t="shared" si="1916"/>
        <v>0,00</v>
      </c>
      <c r="T2945" t="str">
        <f t="shared" si="1917"/>
        <v xml:space="preserve"> </v>
      </c>
      <c r="U2945" t="str">
        <f t="shared" si="1874"/>
        <v xml:space="preserve"> </v>
      </c>
      <c r="V2945" t="str">
        <f>"0,000"</f>
        <v>0,000</v>
      </c>
      <c r="W2945" t="str">
        <f t="shared" si="1881"/>
        <v>Lista 4</v>
      </c>
      <c r="X2945" t="str">
        <f t="shared" si="1882"/>
        <v>Lista 5</v>
      </c>
      <c r="Y2945" t="str">
        <f t="shared" si="1883"/>
        <v>Oferta Gral.</v>
      </c>
      <c r="Z2945" t="str">
        <f t="shared" si="1884"/>
        <v>Rubro</v>
      </c>
      <c r="AA2945" t="str">
        <f t="shared" si="1885"/>
        <v>Cantidad por Bulto</v>
      </c>
      <c r="AB2945" t="str">
        <f t="shared" si="1886"/>
        <v>INNER</v>
      </c>
      <c r="AC2945" t="str">
        <f t="shared" si="1887"/>
        <v>Stock en Bultos</v>
      </c>
      <c r="AD2945" t="str">
        <f t="shared" si="1888"/>
        <v>SubDepósito</v>
      </c>
      <c r="AE2945" t="str">
        <f t="shared" si="1889"/>
        <v>Marca</v>
      </c>
      <c r="AF2945" t="str">
        <f t="shared" si="1890"/>
        <v>Super Rubro</v>
      </c>
      <c r="AG2945" t="str">
        <f t="shared" si="1891"/>
        <v>ComercioExterior</v>
      </c>
      <c r="AH2945" t="str">
        <f t="shared" si="1892"/>
        <v>PrecioFOB</v>
      </c>
      <c r="AI2945" t="str">
        <f t="shared" si="1893"/>
        <v>Monto II</v>
      </c>
      <c r="AJ2945" t="str">
        <f t="shared" si="1894"/>
        <v>Porcentaje II</v>
      </c>
      <c r="AK2945" t="str">
        <f t="shared" si="1895"/>
        <v>Foto</v>
      </c>
      <c r="AL2945" t="str">
        <f>"{\rtf1\ansi\ansicpg1252\deff0\deflang11274{\fonttbl{\f0\fnil\fcharset0 MS Sans Serif}} \viewkind4\uc1\pard\f0\fs16 SONDA LAMBDA UNIVERSAL 2 CABLES\par } "</f>
        <v xml:space="preserve">{\rtf1\ansi\ansicpg1252\deff0\deflang11274{\fonttbl{\f0\fnil\fcharset0 MS Sans Serif}} \viewkind4\uc1\pard\f0\fs16 SONDA LAMBDA UNIVERSAL 2 CABLES\par } </v>
      </c>
      <c r="AM2945" t="str">
        <f>"-"</f>
        <v>-</v>
      </c>
    </row>
    <row r="2946" spans="1:39" x14ac:dyDescent="0.25">
      <c r="A2946" t="str">
        <f>"FI80003"</f>
        <v>FI80003</v>
      </c>
      <c r="B2946" t="str">
        <f>"SONDA LAMBDA UNIVERSAL 4 CABLES"</f>
        <v>SONDA LAMBDA UNIVERSAL 4 CABLES</v>
      </c>
      <c r="C2946" t="str">
        <f>"$ 56920,57"</f>
        <v>$ 56920,57</v>
      </c>
      <c r="D2946" t="str">
        <f>"$ 56920,57"</f>
        <v>$ 56920,57</v>
      </c>
      <c r="E2946" t="str">
        <f>"$ 56920,57"</f>
        <v>$ 56920,57</v>
      </c>
      <c r="F2946" t="str">
        <f>"$ 56920,57"</f>
        <v>$ 56920,57</v>
      </c>
      <c r="G2946" t="str">
        <f>"$ 56920,57"</f>
        <v>$ 56920,57</v>
      </c>
      <c r="H2946" t="str">
        <f t="shared" si="1875"/>
        <v>$ 0,00</v>
      </c>
      <c r="I2946" t="str">
        <f t="shared" si="1913"/>
        <v>SONDA LAMBDA</v>
      </c>
      <c r="J2946" t="str">
        <f t="shared" si="1877"/>
        <v>1</v>
      </c>
      <c r="K2946" t="str">
        <f t="shared" si="1912"/>
        <v>0</v>
      </c>
      <c r="L2946" t="str">
        <f>"1,000"</f>
        <v>1,000</v>
      </c>
      <c r="M2946" t="str">
        <f t="shared" si="1878"/>
        <v xml:space="preserve"> </v>
      </c>
      <c r="N2946" t="str">
        <f>"FISPA"</f>
        <v>FISPA</v>
      </c>
      <c r="O2946" t="str">
        <f t="shared" si="1914"/>
        <v>SENSORES</v>
      </c>
      <c r="P2946" t="str">
        <f t="shared" si="1915"/>
        <v>0</v>
      </c>
      <c r="Q2946" t="str">
        <f t="shared" si="1915"/>
        <v>0</v>
      </c>
      <c r="R2946" t="str">
        <f t="shared" si="1916"/>
        <v>0,00</v>
      </c>
      <c r="S2946" t="str">
        <f t="shared" si="1916"/>
        <v>0,00</v>
      </c>
      <c r="T2946" t="str">
        <f t="shared" si="1917"/>
        <v xml:space="preserve"> </v>
      </c>
      <c r="U2946" t="str">
        <f t="shared" ref="U2946:U3009" si="1918">" "</f>
        <v xml:space="preserve"> </v>
      </c>
      <c r="V2946" t="str">
        <f>"1,000"</f>
        <v>1,000</v>
      </c>
      <c r="W2946" t="str">
        <f t="shared" si="1881"/>
        <v>Lista 4</v>
      </c>
      <c r="X2946" t="str">
        <f t="shared" si="1882"/>
        <v>Lista 5</v>
      </c>
      <c r="Y2946" t="str">
        <f t="shared" si="1883"/>
        <v>Oferta Gral.</v>
      </c>
      <c r="Z2946" t="str">
        <f t="shared" si="1884"/>
        <v>Rubro</v>
      </c>
      <c r="AA2946" t="str">
        <f t="shared" si="1885"/>
        <v>Cantidad por Bulto</v>
      </c>
      <c r="AB2946" t="str">
        <f t="shared" si="1886"/>
        <v>INNER</v>
      </c>
      <c r="AC2946" t="str">
        <f t="shared" si="1887"/>
        <v>Stock en Bultos</v>
      </c>
      <c r="AD2946" t="str">
        <f t="shared" si="1888"/>
        <v>SubDepósito</v>
      </c>
      <c r="AE2946" t="str">
        <f t="shared" si="1889"/>
        <v>Marca</v>
      </c>
      <c r="AF2946" t="str">
        <f t="shared" si="1890"/>
        <v>Super Rubro</v>
      </c>
      <c r="AG2946" t="str">
        <f t="shared" si="1891"/>
        <v>ComercioExterior</v>
      </c>
      <c r="AH2946" t="str">
        <f t="shared" si="1892"/>
        <v>PrecioFOB</v>
      </c>
      <c r="AI2946" t="str">
        <f t="shared" si="1893"/>
        <v>Monto II</v>
      </c>
      <c r="AJ2946" t="str">
        <f t="shared" si="1894"/>
        <v>Porcentaje II</v>
      </c>
      <c r="AK2946" t="str">
        <f t="shared" si="1895"/>
        <v>Foto</v>
      </c>
      <c r="AL294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946" t="str">
        <f>"Sonda Lambda Universal 4 Cables"</f>
        <v>Sonda Lambda Universal 4 Cables</v>
      </c>
    </row>
    <row r="2947" spans="1:39" x14ac:dyDescent="0.25">
      <c r="A2947" t="str">
        <f>"VKSL003"</f>
        <v>VKSL003</v>
      </c>
      <c r="B2947" t="str">
        <f>"SONDA LAMBDA UNVIERSAL 3 CABLES"</f>
        <v>SONDA LAMBDA UNVIERSAL 3 CABLES</v>
      </c>
      <c r="C2947" t="str">
        <f>"$ 20042,05"</f>
        <v>$ 20042,05</v>
      </c>
      <c r="D2947" t="str">
        <f>"$ 20042,05"</f>
        <v>$ 20042,05</v>
      </c>
      <c r="E2947" t="str">
        <f>"$ 20042,05"</f>
        <v>$ 20042,05</v>
      </c>
      <c r="F2947" t="str">
        <f>"$ 20042,05"</f>
        <v>$ 20042,05</v>
      </c>
      <c r="G2947" t="str">
        <f>"$ 20042,05"</f>
        <v>$ 20042,05</v>
      </c>
      <c r="H2947" t="str">
        <f t="shared" ref="H2947:H3010" si="1919">"$ 0,00"</f>
        <v>$ 0,00</v>
      </c>
      <c r="I2947" t="str">
        <f t="shared" si="1913"/>
        <v>SONDA LAMBDA</v>
      </c>
      <c r="J2947" t="str">
        <f t="shared" ref="J2947:J3010" si="1920">"1"</f>
        <v>1</v>
      </c>
      <c r="K2947" t="str">
        <f t="shared" si="1912"/>
        <v>0</v>
      </c>
      <c r="L2947" t="str">
        <f>"4,000"</f>
        <v>4,000</v>
      </c>
      <c r="M2947" t="str">
        <f t="shared" ref="M2947:M3010" si="1921">" "</f>
        <v xml:space="preserve"> </v>
      </c>
      <c r="N2947" t="str">
        <f>"VERKEHR"</f>
        <v>VERKEHR</v>
      </c>
      <c r="O2947" t="str">
        <f t="shared" si="1914"/>
        <v>SENSORES</v>
      </c>
      <c r="P2947" t="str">
        <f t="shared" si="1915"/>
        <v>0</v>
      </c>
      <c r="Q2947" t="str">
        <f t="shared" si="1915"/>
        <v>0</v>
      </c>
      <c r="R2947" t="str">
        <f t="shared" si="1916"/>
        <v>0,00</v>
      </c>
      <c r="S2947" t="str">
        <f t="shared" si="1916"/>
        <v>0,00</v>
      </c>
      <c r="T2947" t="str">
        <f t="shared" si="1917"/>
        <v xml:space="preserve"> </v>
      </c>
      <c r="U2947" t="str">
        <f t="shared" si="1918"/>
        <v xml:space="preserve"> </v>
      </c>
      <c r="V2947" t="str">
        <f>"4,000"</f>
        <v>4,000</v>
      </c>
      <c r="W2947" t="str">
        <f t="shared" ref="W2947:W3010" si="1922">"Lista 4"</f>
        <v>Lista 4</v>
      </c>
      <c r="X2947" t="str">
        <f t="shared" ref="X2947:X3010" si="1923">"Lista 5"</f>
        <v>Lista 5</v>
      </c>
      <c r="Y2947" t="str">
        <f t="shared" ref="Y2947:Y3010" si="1924">"Oferta Gral."</f>
        <v>Oferta Gral.</v>
      </c>
      <c r="Z2947" t="str">
        <f t="shared" ref="Z2947:Z3010" si="1925">"Rubro"</f>
        <v>Rubro</v>
      </c>
      <c r="AA2947" t="str">
        <f t="shared" ref="AA2947:AA3010" si="1926">"Cantidad por Bulto"</f>
        <v>Cantidad por Bulto</v>
      </c>
      <c r="AB2947" t="str">
        <f t="shared" ref="AB2947:AB3010" si="1927">"INNER"</f>
        <v>INNER</v>
      </c>
      <c r="AC2947" t="str">
        <f t="shared" ref="AC2947:AC3010" si="1928">"Stock en Bultos"</f>
        <v>Stock en Bultos</v>
      </c>
      <c r="AD2947" t="str">
        <f t="shared" ref="AD2947:AD3010" si="1929">"SubDepósito"</f>
        <v>SubDepósito</v>
      </c>
      <c r="AE2947" t="str">
        <f t="shared" ref="AE2947:AE3010" si="1930">"Marca"</f>
        <v>Marca</v>
      </c>
      <c r="AF2947" t="str">
        <f t="shared" ref="AF2947:AF3010" si="1931">"Super Rubro"</f>
        <v>Super Rubro</v>
      </c>
      <c r="AG2947" t="str">
        <f t="shared" ref="AG2947:AG3010" si="1932">"ComercioExterior"</f>
        <v>ComercioExterior</v>
      </c>
      <c r="AH2947" t="str">
        <f t="shared" ref="AH2947:AH3010" si="1933">"PrecioFOB"</f>
        <v>PrecioFOB</v>
      </c>
      <c r="AI2947" t="str">
        <f t="shared" ref="AI2947:AI3010" si="1934">"Monto II"</f>
        <v>Monto II</v>
      </c>
      <c r="AJ2947" t="str">
        <f t="shared" ref="AJ2947:AJ3010" si="1935">"Porcentaje II"</f>
        <v>Porcentaje II</v>
      </c>
      <c r="AK2947" t="str">
        <f t="shared" ref="AK2947:AK3010" si="1936">"Foto"</f>
        <v>Foto</v>
      </c>
      <c r="AL2947" t="str">
        <f>"{\rtf1\ansi\ansicpg1252\deff0\deflang11274{\fonttbl{\f0\fnil\fcharset0 MS Sans Serif}} \viewkind4\uc1\pard\f0\fs16 SONDA LAMBDA UNVIERSAL 3 CABLES\par } "</f>
        <v xml:space="preserve">{\rtf1\ansi\ansicpg1252\deff0\deflang11274{\fonttbl{\f0\fnil\fcharset0 MS Sans Serif}} \viewkind4\uc1\pard\f0\fs16 SONDA LAMBDA UNVIERSAL 3 CABLES\par } </v>
      </c>
      <c r="AM2947" t="str">
        <f>"-"</f>
        <v>-</v>
      </c>
    </row>
    <row r="2948" spans="1:39" x14ac:dyDescent="0.25">
      <c r="A2948" t="str">
        <f>"VKSL004"</f>
        <v>VKSL004</v>
      </c>
      <c r="B2948" t="str">
        <f>"SONDA LAMBDA UNVIERSAL 4 CABLES"</f>
        <v>SONDA LAMBDA UNVIERSAL 4 CABLES</v>
      </c>
      <c r="C2948" t="str">
        <f>"$ 20244,77"</f>
        <v>$ 20244,77</v>
      </c>
      <c r="D2948" t="str">
        <f>"$ 20244,77"</f>
        <v>$ 20244,77</v>
      </c>
      <c r="E2948" t="str">
        <f>"$ 20244,77"</f>
        <v>$ 20244,77</v>
      </c>
      <c r="F2948" t="str">
        <f>"$ 20244,77"</f>
        <v>$ 20244,77</v>
      </c>
      <c r="G2948" t="str">
        <f>"$ 20244,77"</f>
        <v>$ 20244,77</v>
      </c>
      <c r="H2948" t="str">
        <f t="shared" si="1919"/>
        <v>$ 0,00</v>
      </c>
      <c r="I2948" t="str">
        <f t="shared" si="1913"/>
        <v>SONDA LAMBDA</v>
      </c>
      <c r="J2948" t="str">
        <f t="shared" si="1920"/>
        <v>1</v>
      </c>
      <c r="K2948" t="str">
        <f t="shared" si="1912"/>
        <v>0</v>
      </c>
      <c r="L2948" t="str">
        <f>"0,000"</f>
        <v>0,000</v>
      </c>
      <c r="M2948" t="str">
        <f t="shared" si="1921"/>
        <v xml:space="preserve"> </v>
      </c>
      <c r="N2948" t="str">
        <f>"VERKEHR"</f>
        <v>VERKEHR</v>
      </c>
      <c r="O2948" t="str">
        <f t="shared" si="1914"/>
        <v>SENSORES</v>
      </c>
      <c r="P2948" t="str">
        <f t="shared" si="1915"/>
        <v>0</v>
      </c>
      <c r="Q2948" t="str">
        <f t="shared" si="1915"/>
        <v>0</v>
      </c>
      <c r="R2948" t="str">
        <f t="shared" si="1916"/>
        <v>0,00</v>
      </c>
      <c r="S2948" t="str">
        <f t="shared" si="1916"/>
        <v>0,00</v>
      </c>
      <c r="T2948" t="str">
        <f t="shared" si="1917"/>
        <v xml:space="preserve"> </v>
      </c>
      <c r="U2948" t="str">
        <f t="shared" si="1918"/>
        <v xml:space="preserve"> </v>
      </c>
      <c r="V2948" t="str">
        <f>"0,000"</f>
        <v>0,000</v>
      </c>
      <c r="W2948" t="str">
        <f t="shared" si="1922"/>
        <v>Lista 4</v>
      </c>
      <c r="X2948" t="str">
        <f t="shared" si="1923"/>
        <v>Lista 5</v>
      </c>
      <c r="Y2948" t="str">
        <f t="shared" si="1924"/>
        <v>Oferta Gral.</v>
      </c>
      <c r="Z2948" t="str">
        <f t="shared" si="1925"/>
        <v>Rubro</v>
      </c>
      <c r="AA2948" t="str">
        <f t="shared" si="1926"/>
        <v>Cantidad por Bulto</v>
      </c>
      <c r="AB2948" t="str">
        <f t="shared" si="1927"/>
        <v>INNER</v>
      </c>
      <c r="AC2948" t="str">
        <f t="shared" si="1928"/>
        <v>Stock en Bultos</v>
      </c>
      <c r="AD2948" t="str">
        <f t="shared" si="1929"/>
        <v>SubDepósito</v>
      </c>
      <c r="AE2948" t="str">
        <f t="shared" si="1930"/>
        <v>Marca</v>
      </c>
      <c r="AF2948" t="str">
        <f t="shared" si="1931"/>
        <v>Super Rubro</v>
      </c>
      <c r="AG2948" t="str">
        <f t="shared" si="1932"/>
        <v>ComercioExterior</v>
      </c>
      <c r="AH2948" t="str">
        <f t="shared" si="1933"/>
        <v>PrecioFOB</v>
      </c>
      <c r="AI2948" t="str">
        <f t="shared" si="1934"/>
        <v>Monto II</v>
      </c>
      <c r="AJ2948" t="str">
        <f t="shared" si="1935"/>
        <v>Porcentaje II</v>
      </c>
      <c r="AK2948" t="str">
        <f t="shared" si="1936"/>
        <v>Foto</v>
      </c>
      <c r="AL2948" t="str">
        <f>"{\rtf1\ansi\ansicpg1252\deff0\deflang11274{\fonttbl{\f0\fnil\fcharset0 MS Sans Serif}} \viewkind4\uc1\pard\f0\fs16 SONDA LAMBDA UNVIERSAL 4 CABLES\par } "</f>
        <v xml:space="preserve">{\rtf1\ansi\ansicpg1252\deff0\deflang11274{\fonttbl{\f0\fnil\fcharset0 MS Sans Serif}} \viewkind4\uc1\pard\f0\fs16 SONDA LAMBDA UNVIERSAL 4 CABLES\par } </v>
      </c>
      <c r="AM2948" t="str">
        <f>"-"</f>
        <v>-</v>
      </c>
    </row>
    <row r="2949" spans="1:39" x14ac:dyDescent="0.25">
      <c r="A2949" t="str">
        <f>"8200171178V"</f>
        <v>8200171178V</v>
      </c>
      <c r="B2949" t="str">
        <f>"SOPORTE MOTOR CENTRAL CLIO KANGOO MEGANE K4M"</f>
        <v>SOPORTE MOTOR CENTRAL CLIO KANGOO MEGANE K4M</v>
      </c>
      <c r="C2949" t="str">
        <f t="shared" ref="C2949:G2950" si="1937">"$ 18586,26"</f>
        <v>$ 18586,26</v>
      </c>
      <c r="D2949" t="str">
        <f t="shared" si="1937"/>
        <v>$ 18586,26</v>
      </c>
      <c r="E2949" t="str">
        <f t="shared" si="1937"/>
        <v>$ 18586,26</v>
      </c>
      <c r="F2949" t="str">
        <f t="shared" si="1937"/>
        <v>$ 18586,26</v>
      </c>
      <c r="G2949" t="str">
        <f t="shared" si="1937"/>
        <v>$ 18586,26</v>
      </c>
      <c r="H2949" t="str">
        <f t="shared" si="1919"/>
        <v>$ 0,00</v>
      </c>
      <c r="I2949" t="str">
        <f>"SOPORTE MOTOR"</f>
        <v>SOPORTE MOTOR</v>
      </c>
      <c r="J2949" t="str">
        <f t="shared" si="1920"/>
        <v>1</v>
      </c>
      <c r="K2949" t="str">
        <f t="shared" si="1912"/>
        <v>0</v>
      </c>
      <c r="L2949" t="str">
        <f>"16,000"</f>
        <v>16,000</v>
      </c>
      <c r="M2949" t="str">
        <f t="shared" si="1921"/>
        <v xml:space="preserve"> </v>
      </c>
      <c r="N2949" t="str">
        <f>"ACROM"</f>
        <v>ACROM</v>
      </c>
      <c r="O2949" t="str">
        <f>"SOPORTES"</f>
        <v>SOPORTES</v>
      </c>
      <c r="P2949" t="str">
        <f t="shared" si="1915"/>
        <v>0</v>
      </c>
      <c r="Q2949" t="str">
        <f t="shared" si="1915"/>
        <v>0</v>
      </c>
      <c r="R2949" t="str">
        <f t="shared" si="1916"/>
        <v>0,00</v>
      </c>
      <c r="S2949" t="str">
        <f t="shared" si="1916"/>
        <v>0,00</v>
      </c>
      <c r="T2949" t="str">
        <f t="shared" si="1917"/>
        <v xml:space="preserve"> </v>
      </c>
      <c r="U2949" t="str">
        <f t="shared" si="1918"/>
        <v xml:space="preserve"> </v>
      </c>
      <c r="V2949" t="str">
        <f>"16,000"</f>
        <v>16,000</v>
      </c>
      <c r="W2949" t="str">
        <f t="shared" si="1922"/>
        <v>Lista 4</v>
      </c>
      <c r="X2949" t="str">
        <f t="shared" si="1923"/>
        <v>Lista 5</v>
      </c>
      <c r="Y2949" t="str">
        <f t="shared" si="1924"/>
        <v>Oferta Gral.</v>
      </c>
      <c r="Z2949" t="str">
        <f t="shared" si="1925"/>
        <v>Rubro</v>
      </c>
      <c r="AA2949" t="str">
        <f t="shared" si="1926"/>
        <v>Cantidad por Bulto</v>
      </c>
      <c r="AB2949" t="str">
        <f t="shared" si="1927"/>
        <v>INNER</v>
      </c>
      <c r="AC2949" t="str">
        <f t="shared" si="1928"/>
        <v>Stock en Bultos</v>
      </c>
      <c r="AD2949" t="str">
        <f t="shared" si="1929"/>
        <v>SubDepósito</v>
      </c>
      <c r="AE2949" t="str">
        <f t="shared" si="1930"/>
        <v>Marca</v>
      </c>
      <c r="AF2949" t="str">
        <f t="shared" si="1931"/>
        <v>Super Rubro</v>
      </c>
      <c r="AG2949" t="str">
        <f t="shared" si="1932"/>
        <v>ComercioExterior</v>
      </c>
      <c r="AH2949" t="str">
        <f t="shared" si="1933"/>
        <v>PrecioFOB</v>
      </c>
      <c r="AI2949" t="str">
        <f t="shared" si="1934"/>
        <v>Monto II</v>
      </c>
      <c r="AJ2949" t="str">
        <f t="shared" si="1935"/>
        <v>Porcentaje II</v>
      </c>
      <c r="AK2949" t="str">
        <f t="shared" si="1936"/>
        <v>Foto</v>
      </c>
      <c r="AL2949" t="str">
        <f>"{\rtf1\ansi\ansicpg1252\deff0\deflang11274{\fonttbl{\f0\fnil\fcharset0 MS Sans Serif}} \viewkind4\uc1\pard\f0\fs16 SOPORTE MOTOR CENTRAL CLIO KANGOO MEGANE K4M\par } "</f>
        <v xml:space="preserve">{\rtf1\ansi\ansicpg1252\deff0\deflang11274{\fonttbl{\f0\fnil\fcharset0 MS Sans Serif}} \viewkind4\uc1\pard\f0\fs16 SOPORTE MOTOR CENTRAL CLIO KANGOO MEGANE K4M\par } </v>
      </c>
      <c r="AM2949" t="str">
        <f>" "</f>
        <v xml:space="preserve"> </v>
      </c>
    </row>
    <row r="2950" spans="1:39" x14ac:dyDescent="0.25">
      <c r="A2950" t="str">
        <f>"8200493821V"</f>
        <v>8200493821V</v>
      </c>
      <c r="B2950" t="str">
        <f>"SOPORTE TRASERO MOTOR RENAULT MEGANE CLIO KANGOO"</f>
        <v>SOPORTE TRASERO MOTOR RENAULT MEGANE CLIO KANGOO</v>
      </c>
      <c r="C2950" t="str">
        <f t="shared" si="1937"/>
        <v>$ 18586,26</v>
      </c>
      <c r="D2950" t="str">
        <f t="shared" si="1937"/>
        <v>$ 18586,26</v>
      </c>
      <c r="E2950" t="str">
        <f t="shared" si="1937"/>
        <v>$ 18586,26</v>
      </c>
      <c r="F2950" t="str">
        <f t="shared" si="1937"/>
        <v>$ 18586,26</v>
      </c>
      <c r="G2950" t="str">
        <f t="shared" si="1937"/>
        <v>$ 18586,26</v>
      </c>
      <c r="H2950" t="str">
        <f t="shared" si="1919"/>
        <v>$ 0,00</v>
      </c>
      <c r="I2950" t="str">
        <f>"SOPORTE MOTOR"</f>
        <v>SOPORTE MOTOR</v>
      </c>
      <c r="J2950" t="str">
        <f t="shared" si="1920"/>
        <v>1</v>
      </c>
      <c r="K2950" t="str">
        <f t="shared" si="1912"/>
        <v>0</v>
      </c>
      <c r="L2950" t="str">
        <f>"20,000"</f>
        <v>20,000</v>
      </c>
      <c r="M2950" t="str">
        <f t="shared" si="1921"/>
        <v xml:space="preserve"> </v>
      </c>
      <c r="N2950" t="str">
        <f>"ACROM"</f>
        <v>ACROM</v>
      </c>
      <c r="O2950" t="str">
        <f>"SOPORTES"</f>
        <v>SOPORTES</v>
      </c>
      <c r="P2950" t="str">
        <f t="shared" si="1915"/>
        <v>0</v>
      </c>
      <c r="Q2950" t="str">
        <f t="shared" si="1915"/>
        <v>0</v>
      </c>
      <c r="R2950" t="str">
        <f t="shared" si="1916"/>
        <v>0,00</v>
      </c>
      <c r="S2950" t="str">
        <f t="shared" si="1916"/>
        <v>0,00</v>
      </c>
      <c r="T2950" t="str">
        <f t="shared" si="1917"/>
        <v xml:space="preserve"> </v>
      </c>
      <c r="U2950" t="str">
        <f t="shared" si="1918"/>
        <v xml:space="preserve"> </v>
      </c>
      <c r="V2950" t="str">
        <f>"20,000"</f>
        <v>20,000</v>
      </c>
      <c r="W2950" t="str">
        <f t="shared" si="1922"/>
        <v>Lista 4</v>
      </c>
      <c r="X2950" t="str">
        <f t="shared" si="1923"/>
        <v>Lista 5</v>
      </c>
      <c r="Y2950" t="str">
        <f t="shared" si="1924"/>
        <v>Oferta Gral.</v>
      </c>
      <c r="Z2950" t="str">
        <f t="shared" si="1925"/>
        <v>Rubro</v>
      </c>
      <c r="AA2950" t="str">
        <f t="shared" si="1926"/>
        <v>Cantidad por Bulto</v>
      </c>
      <c r="AB2950" t="str">
        <f t="shared" si="1927"/>
        <v>INNER</v>
      </c>
      <c r="AC2950" t="str">
        <f t="shared" si="1928"/>
        <v>Stock en Bultos</v>
      </c>
      <c r="AD2950" t="str">
        <f t="shared" si="1929"/>
        <v>SubDepósito</v>
      </c>
      <c r="AE2950" t="str">
        <f t="shared" si="1930"/>
        <v>Marca</v>
      </c>
      <c r="AF2950" t="str">
        <f t="shared" si="1931"/>
        <v>Super Rubro</v>
      </c>
      <c r="AG2950" t="str">
        <f t="shared" si="1932"/>
        <v>ComercioExterior</v>
      </c>
      <c r="AH2950" t="str">
        <f t="shared" si="1933"/>
        <v>PrecioFOB</v>
      </c>
      <c r="AI2950" t="str">
        <f t="shared" si="1934"/>
        <v>Monto II</v>
      </c>
      <c r="AJ2950" t="str">
        <f t="shared" si="1935"/>
        <v>Porcentaje II</v>
      </c>
      <c r="AK2950" t="str">
        <f t="shared" si="1936"/>
        <v>Foto</v>
      </c>
      <c r="AL2950" t="str">
        <f>"{\rtf1\ansi\ansicpg1252\deff0\deflang11274{\fonttbl{\f0\fnil\fcharset0 MS Sans Serif}} \viewkind4\uc1\pard\f0\fs16 SOPORTE TRASERO MOTOR RENAULT MEGANE CLIO KANGOO\par } "</f>
        <v xml:space="preserve">{\rtf1\ansi\ansicpg1252\deff0\deflang11274{\fonttbl{\f0\fnil\fcharset0 MS Sans Serif}} \viewkind4\uc1\pard\f0\fs16 SOPORTE TRASERO MOTOR RENAULT MEGANE CLIO KANGOO\par } </v>
      </c>
      <c r="AM2950" t="str">
        <f>" "</f>
        <v xml:space="preserve"> </v>
      </c>
    </row>
    <row r="2951" spans="1:39" x14ac:dyDescent="0.25">
      <c r="A2951" t="str">
        <f>"M1027"</f>
        <v>M1027</v>
      </c>
      <c r="B2951" t="str">
        <f>"SUZUKI VITARA 99-03 - VITARA JA 2002 - CHEVROLET TRACKER 99-03 "</f>
        <v xml:space="preserve">SUZUKI VITARA 99-03 - VITARA JA 2002 - CHEVROLET TRACKER 99-03 </v>
      </c>
      <c r="C2951" t="str">
        <f>"$ 33712,44"</f>
        <v>$ 33712,44</v>
      </c>
      <c r="D2951" t="str">
        <f>"$ 33712,44"</f>
        <v>$ 33712,44</v>
      </c>
      <c r="E2951" t="str">
        <f>"$ 33712,44"</f>
        <v>$ 33712,44</v>
      </c>
      <c r="F2951" t="str">
        <f>"$ 33712,44"</f>
        <v>$ 33712,44</v>
      </c>
      <c r="G2951" t="str">
        <f>"$ 33712,44"</f>
        <v>$ 33712,44</v>
      </c>
      <c r="H2951" t="str">
        <f t="shared" si="1919"/>
        <v>$ 0,00</v>
      </c>
      <c r="I2951" t="str">
        <f>"SENSOR MARIPOSA TPS"</f>
        <v>SENSOR MARIPOSA TPS</v>
      </c>
      <c r="J2951" t="str">
        <f t="shared" si="1920"/>
        <v>1</v>
      </c>
      <c r="K2951" t="str">
        <f t="shared" si="1912"/>
        <v>0</v>
      </c>
      <c r="L2951" t="str">
        <f>"0,000"</f>
        <v>0,000</v>
      </c>
      <c r="M2951" t="str">
        <f t="shared" si="1921"/>
        <v xml:space="preserve"> </v>
      </c>
      <c r="N2951" t="str">
        <f>"FISPA"</f>
        <v>FISPA</v>
      </c>
      <c r="O2951" t="str">
        <f>"SENSORES"</f>
        <v>SENSORES</v>
      </c>
      <c r="P2951" t="str">
        <f t="shared" si="1915"/>
        <v>0</v>
      </c>
      <c r="Q2951" t="str">
        <f t="shared" si="1915"/>
        <v>0</v>
      </c>
      <c r="R2951" t="str">
        <f t="shared" si="1916"/>
        <v>0,00</v>
      </c>
      <c r="S2951" t="str">
        <f t="shared" si="1916"/>
        <v>0,00</v>
      </c>
      <c r="T2951" t="str">
        <f t="shared" si="1917"/>
        <v xml:space="preserve"> </v>
      </c>
      <c r="U2951" t="str">
        <f t="shared" si="1918"/>
        <v xml:space="preserve"> </v>
      </c>
      <c r="V2951" t="str">
        <f>"0,000"</f>
        <v>0,000</v>
      </c>
      <c r="W2951" t="str">
        <f t="shared" si="1922"/>
        <v>Lista 4</v>
      </c>
      <c r="X2951" t="str">
        <f t="shared" si="1923"/>
        <v>Lista 5</v>
      </c>
      <c r="Y2951" t="str">
        <f t="shared" si="1924"/>
        <v>Oferta Gral.</v>
      </c>
      <c r="Z2951" t="str">
        <f t="shared" si="1925"/>
        <v>Rubro</v>
      </c>
      <c r="AA2951" t="str">
        <f t="shared" si="1926"/>
        <v>Cantidad por Bulto</v>
      </c>
      <c r="AB2951" t="str">
        <f t="shared" si="1927"/>
        <v>INNER</v>
      </c>
      <c r="AC2951" t="str">
        <f t="shared" si="1928"/>
        <v>Stock en Bultos</v>
      </c>
      <c r="AD2951" t="str">
        <f t="shared" si="1929"/>
        <v>SubDepósito</v>
      </c>
      <c r="AE2951" t="str">
        <f t="shared" si="1930"/>
        <v>Marca</v>
      </c>
      <c r="AF2951" t="str">
        <f t="shared" si="1931"/>
        <v>Super Rubro</v>
      </c>
      <c r="AG2951" t="str">
        <f t="shared" si="1932"/>
        <v>ComercioExterior</v>
      </c>
      <c r="AH2951" t="str">
        <f t="shared" si="1933"/>
        <v>PrecioFOB</v>
      </c>
      <c r="AI2951" t="str">
        <f t="shared" si="1934"/>
        <v>Monto II</v>
      </c>
      <c r="AJ2951" t="str">
        <f t="shared" si="1935"/>
        <v>Porcentaje II</v>
      </c>
      <c r="AK2951" t="str">
        <f t="shared" si="1936"/>
        <v>Foto</v>
      </c>
      <c r="AL295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51" t="str">
        <f>"-"</f>
        <v>-</v>
      </c>
    </row>
    <row r="2952" spans="1:39" x14ac:dyDescent="0.25">
      <c r="A2952" t="str">
        <f>"TB036"</f>
        <v>TB036</v>
      </c>
      <c r="B2952" t="str">
        <f>"TAPA BIDON RECUPERADOR CHEVROLET AVEO SPARK 96420303 (EX TAP110)"</f>
        <v>TAPA BIDON RECUPERADOR CHEVROLET AVEO SPARK 96420303 (EX TAP110)</v>
      </c>
      <c r="C2952" t="str">
        <f>"$ 5540,02"</f>
        <v>$ 5540,02</v>
      </c>
      <c r="D2952" t="str">
        <f>"$ 5540,02"</f>
        <v>$ 5540,02</v>
      </c>
      <c r="E2952" t="str">
        <f>"$ 5540,02"</f>
        <v>$ 5540,02</v>
      </c>
      <c r="F2952" t="str">
        <f>"$ 5540,02"</f>
        <v>$ 5540,02</v>
      </c>
      <c r="G2952" t="str">
        <f>"$ 5540,02"</f>
        <v>$ 5540,02</v>
      </c>
      <c r="H2952" t="str">
        <f t="shared" si="1919"/>
        <v>$ 0,00</v>
      </c>
      <c r="I2952" t="str">
        <f t="shared" ref="I2952:I2969" si="1938">"TAPA TERMOSTATICA"</f>
        <v>TAPA TERMOSTATICA</v>
      </c>
      <c r="J2952" t="str">
        <f t="shared" si="1920"/>
        <v>1</v>
      </c>
      <c r="K2952" t="str">
        <f t="shared" si="1912"/>
        <v>0</v>
      </c>
      <c r="L2952" t="str">
        <f>"7,000"</f>
        <v>7,000</v>
      </c>
      <c r="M2952" t="str">
        <f t="shared" si="1921"/>
        <v xml:space="preserve"> </v>
      </c>
      <c r="N2952" t="str">
        <f t="shared" ref="N2952:N2969" si="1939">"NAP"</f>
        <v>NAP</v>
      </c>
      <c r="O2952" t="str">
        <f t="shared" ref="O2952:O2969" si="1940">"DEPOSITO DE EXPANSION"</f>
        <v>DEPOSITO DE EXPANSION</v>
      </c>
      <c r="P2952" t="str">
        <f t="shared" si="1915"/>
        <v>0</v>
      </c>
      <c r="Q2952" t="str">
        <f t="shared" si="1915"/>
        <v>0</v>
      </c>
      <c r="R2952" t="str">
        <f t="shared" si="1916"/>
        <v>0,00</v>
      </c>
      <c r="S2952" t="str">
        <f t="shared" si="1916"/>
        <v>0,00</v>
      </c>
      <c r="T2952" t="str">
        <f t="shared" si="1917"/>
        <v xml:space="preserve"> </v>
      </c>
      <c r="U2952" t="str">
        <f t="shared" si="1918"/>
        <v xml:space="preserve"> </v>
      </c>
      <c r="V2952" t="str">
        <f>"7,000"</f>
        <v>7,000</v>
      </c>
      <c r="W2952" t="str">
        <f t="shared" si="1922"/>
        <v>Lista 4</v>
      </c>
      <c r="X2952" t="str">
        <f t="shared" si="1923"/>
        <v>Lista 5</v>
      </c>
      <c r="Y2952" t="str">
        <f t="shared" si="1924"/>
        <v>Oferta Gral.</v>
      </c>
      <c r="Z2952" t="str">
        <f t="shared" si="1925"/>
        <v>Rubro</v>
      </c>
      <c r="AA2952" t="str">
        <f t="shared" si="1926"/>
        <v>Cantidad por Bulto</v>
      </c>
      <c r="AB2952" t="str">
        <f t="shared" si="1927"/>
        <v>INNER</v>
      </c>
      <c r="AC2952" t="str">
        <f t="shared" si="1928"/>
        <v>Stock en Bultos</v>
      </c>
      <c r="AD2952" t="str">
        <f t="shared" si="1929"/>
        <v>SubDepósito</v>
      </c>
      <c r="AE2952" t="str">
        <f t="shared" si="1930"/>
        <v>Marca</v>
      </c>
      <c r="AF2952" t="str">
        <f t="shared" si="1931"/>
        <v>Super Rubro</v>
      </c>
      <c r="AG2952" t="str">
        <f t="shared" si="1932"/>
        <v>ComercioExterior</v>
      </c>
      <c r="AH2952" t="str">
        <f t="shared" si="1933"/>
        <v>PrecioFOB</v>
      </c>
      <c r="AI2952" t="str">
        <f t="shared" si="1934"/>
        <v>Monto II</v>
      </c>
      <c r="AJ2952" t="str">
        <f t="shared" si="1935"/>
        <v>Porcentaje II</v>
      </c>
      <c r="AK2952" t="str">
        <f t="shared" si="1936"/>
        <v>Foto</v>
      </c>
      <c r="AL2952" t="str">
        <f>"{\rtf1\ansi\ansicpg1252\deff0\deflang11274{\fonttbl{\f0\fnil\fcharset0 MS Sans Serif}} \viewkind4\uc1\pard\f0\fs16 TAPA BIDON RECUPERADOR CHEVROLET AVEO SPARK 96420303 (EX TAP110)\par } "</f>
        <v xml:space="preserve">{\rtf1\ansi\ansicpg1252\deff0\deflang11274{\fonttbl{\f0\fnil\fcharset0 MS Sans Serif}} \viewkind4\uc1\pard\f0\fs16 TAPA BIDON RECUPERADOR CHEVROLET AVEO SPARK 96420303 (EX TAP110)\par } </v>
      </c>
      <c r="AM2952" t="str">
        <f>" "</f>
        <v xml:space="preserve"> </v>
      </c>
    </row>
    <row r="2953" spans="1:39" x14ac:dyDescent="0.25">
      <c r="A2953" t="str">
        <f>"TB052"</f>
        <v>TB052</v>
      </c>
      <c r="B2953" t="str">
        <f>"TAPA BIDON RECUPERADOR CHEVROLET CORSA CELTA ASTRA 93220885 (EX TAP120 TAP130)"</f>
        <v>TAPA BIDON RECUPERADOR CHEVROLET CORSA CELTA ASTRA 93220885 (EX TAP120 TAP130)</v>
      </c>
      <c r="C2953" t="str">
        <f>"$ 8443,34"</f>
        <v>$ 8443,34</v>
      </c>
      <c r="D2953" t="str">
        <f>"$ 8443,34"</f>
        <v>$ 8443,34</v>
      </c>
      <c r="E2953" t="str">
        <f>"$ 8443,34"</f>
        <v>$ 8443,34</v>
      </c>
      <c r="F2953" t="str">
        <f>"$ 8443,34"</f>
        <v>$ 8443,34</v>
      </c>
      <c r="G2953" t="str">
        <f>"$ 8443,34"</f>
        <v>$ 8443,34</v>
      </c>
      <c r="H2953" t="str">
        <f t="shared" si="1919"/>
        <v>$ 0,00</v>
      </c>
      <c r="I2953" t="str">
        <f t="shared" si="1938"/>
        <v>TAPA TERMOSTATICA</v>
      </c>
      <c r="J2953" t="str">
        <f t="shared" si="1920"/>
        <v>1</v>
      </c>
      <c r="K2953" t="str">
        <f t="shared" si="1912"/>
        <v>0</v>
      </c>
      <c r="L2953" t="str">
        <f>"1,000"</f>
        <v>1,000</v>
      </c>
      <c r="M2953" t="str">
        <f t="shared" si="1921"/>
        <v xml:space="preserve"> </v>
      </c>
      <c r="N2953" t="str">
        <f t="shared" si="1939"/>
        <v>NAP</v>
      </c>
      <c r="O2953" t="str">
        <f t="shared" si="1940"/>
        <v>DEPOSITO DE EXPANSION</v>
      </c>
      <c r="P2953" t="str">
        <f t="shared" si="1915"/>
        <v>0</v>
      </c>
      <c r="Q2953" t="str">
        <f t="shared" si="1915"/>
        <v>0</v>
      </c>
      <c r="R2953" t="str">
        <f t="shared" si="1916"/>
        <v>0,00</v>
      </c>
      <c r="S2953" t="str">
        <f t="shared" si="1916"/>
        <v>0,00</v>
      </c>
      <c r="T2953" t="str">
        <f t="shared" si="1917"/>
        <v xml:space="preserve"> </v>
      </c>
      <c r="U2953" t="str">
        <f t="shared" si="1918"/>
        <v xml:space="preserve"> </v>
      </c>
      <c r="V2953" t="str">
        <f>"1,000"</f>
        <v>1,000</v>
      </c>
      <c r="W2953" t="str">
        <f t="shared" si="1922"/>
        <v>Lista 4</v>
      </c>
      <c r="X2953" t="str">
        <f t="shared" si="1923"/>
        <v>Lista 5</v>
      </c>
      <c r="Y2953" t="str">
        <f t="shared" si="1924"/>
        <v>Oferta Gral.</v>
      </c>
      <c r="Z2953" t="str">
        <f t="shared" si="1925"/>
        <v>Rubro</v>
      </c>
      <c r="AA2953" t="str">
        <f t="shared" si="1926"/>
        <v>Cantidad por Bulto</v>
      </c>
      <c r="AB2953" t="str">
        <f t="shared" si="1927"/>
        <v>INNER</v>
      </c>
      <c r="AC2953" t="str">
        <f t="shared" si="1928"/>
        <v>Stock en Bultos</v>
      </c>
      <c r="AD2953" t="str">
        <f t="shared" si="1929"/>
        <v>SubDepósito</v>
      </c>
      <c r="AE2953" t="str">
        <f t="shared" si="1930"/>
        <v>Marca</v>
      </c>
      <c r="AF2953" t="str">
        <f t="shared" si="1931"/>
        <v>Super Rubro</v>
      </c>
      <c r="AG2953" t="str">
        <f t="shared" si="1932"/>
        <v>ComercioExterior</v>
      </c>
      <c r="AH2953" t="str">
        <f t="shared" si="1933"/>
        <v>PrecioFOB</v>
      </c>
      <c r="AI2953" t="str">
        <f t="shared" si="1934"/>
        <v>Monto II</v>
      </c>
      <c r="AJ2953" t="str">
        <f t="shared" si="1935"/>
        <v>Porcentaje II</v>
      </c>
      <c r="AK2953" t="str">
        <f t="shared" si="1936"/>
        <v>Foto</v>
      </c>
      <c r="AL2953" t="str">
        <f>"{\rtf1\ansi\ansicpg1252\deff0\deflang11274{\fonttbl{\f0\fnil\fcharset0 MS Sans Serif}} \viewkind4\uc1\pard\f0\fs16 TAPA BIDON RECUPERADOR CHEVROLET CORSA CELTA ASTRA 93220885 (EX TAP120 TAP130)\par } "</f>
        <v xml:space="preserve">{\rtf1\ansi\ansicpg1252\deff0\deflang11274{\fonttbl{\f0\fnil\fcharset0 MS Sans Serif}} \viewkind4\uc1\pard\f0\fs16 TAPA BIDON RECUPERADOR CHEVROLET CORSA CELTA ASTRA 93220885 (EX TAP120 TAP130)\par } </v>
      </c>
      <c r="AM2953" t="str">
        <f>"-"</f>
        <v>-</v>
      </c>
    </row>
    <row r="2954" spans="1:39" x14ac:dyDescent="0.25">
      <c r="A2954" t="str">
        <f>"TB046"</f>
        <v>TB046</v>
      </c>
      <c r="B2954" t="str">
        <f>"TAPA BIDON RECUPERADOR FIAT DUNA UNO 1 BAR (EX TAP010)"</f>
        <v>TAPA BIDON RECUPERADOR FIAT DUNA UNO 1 BAR (EX TAP010)</v>
      </c>
      <c r="C2954" t="str">
        <f t="shared" ref="C2954:G2955" si="1941">"$ 4879,65"</f>
        <v>$ 4879,65</v>
      </c>
      <c r="D2954" t="str">
        <f t="shared" si="1941"/>
        <v>$ 4879,65</v>
      </c>
      <c r="E2954" t="str">
        <f t="shared" si="1941"/>
        <v>$ 4879,65</v>
      </c>
      <c r="F2954" t="str">
        <f t="shared" si="1941"/>
        <v>$ 4879,65</v>
      </c>
      <c r="G2954" t="str">
        <f t="shared" si="1941"/>
        <v>$ 4879,65</v>
      </c>
      <c r="H2954" t="str">
        <f t="shared" si="1919"/>
        <v>$ 0,00</v>
      </c>
      <c r="I2954" t="str">
        <f t="shared" si="1938"/>
        <v>TAPA TERMOSTATICA</v>
      </c>
      <c r="J2954" t="str">
        <f t="shared" si="1920"/>
        <v>1</v>
      </c>
      <c r="K2954" t="str">
        <f t="shared" si="1912"/>
        <v>0</v>
      </c>
      <c r="L2954" t="str">
        <f>"14,000"</f>
        <v>14,000</v>
      </c>
      <c r="M2954" t="str">
        <f t="shared" si="1921"/>
        <v xml:space="preserve"> </v>
      </c>
      <c r="N2954" t="str">
        <f t="shared" si="1939"/>
        <v>NAP</v>
      </c>
      <c r="O2954" t="str">
        <f t="shared" si="1940"/>
        <v>DEPOSITO DE EXPANSION</v>
      </c>
      <c r="P2954" t="str">
        <f t="shared" si="1915"/>
        <v>0</v>
      </c>
      <c r="Q2954" t="str">
        <f t="shared" si="1915"/>
        <v>0</v>
      </c>
      <c r="R2954" t="str">
        <f t="shared" si="1916"/>
        <v>0,00</v>
      </c>
      <c r="S2954" t="str">
        <f t="shared" si="1916"/>
        <v>0,00</v>
      </c>
      <c r="T2954" t="str">
        <f t="shared" si="1917"/>
        <v xml:space="preserve"> </v>
      </c>
      <c r="U2954" t="str">
        <f t="shared" si="1918"/>
        <v xml:space="preserve"> </v>
      </c>
      <c r="V2954" t="str">
        <f>"14,000"</f>
        <v>14,000</v>
      </c>
      <c r="W2954" t="str">
        <f t="shared" si="1922"/>
        <v>Lista 4</v>
      </c>
      <c r="X2954" t="str">
        <f t="shared" si="1923"/>
        <v>Lista 5</v>
      </c>
      <c r="Y2954" t="str">
        <f t="shared" si="1924"/>
        <v>Oferta Gral.</v>
      </c>
      <c r="Z2954" t="str">
        <f t="shared" si="1925"/>
        <v>Rubro</v>
      </c>
      <c r="AA2954" t="str">
        <f t="shared" si="1926"/>
        <v>Cantidad por Bulto</v>
      </c>
      <c r="AB2954" t="str">
        <f t="shared" si="1927"/>
        <v>INNER</v>
      </c>
      <c r="AC2954" t="str">
        <f t="shared" si="1928"/>
        <v>Stock en Bultos</v>
      </c>
      <c r="AD2954" t="str">
        <f t="shared" si="1929"/>
        <v>SubDepósito</v>
      </c>
      <c r="AE2954" t="str">
        <f t="shared" si="1930"/>
        <v>Marca</v>
      </c>
      <c r="AF2954" t="str">
        <f t="shared" si="1931"/>
        <v>Super Rubro</v>
      </c>
      <c r="AG2954" t="str">
        <f t="shared" si="1932"/>
        <v>ComercioExterior</v>
      </c>
      <c r="AH2954" t="str">
        <f t="shared" si="1933"/>
        <v>PrecioFOB</v>
      </c>
      <c r="AI2954" t="str">
        <f t="shared" si="1934"/>
        <v>Monto II</v>
      </c>
      <c r="AJ2954" t="str">
        <f t="shared" si="1935"/>
        <v>Porcentaje II</v>
      </c>
      <c r="AK2954" t="str">
        <f t="shared" si="1936"/>
        <v>Foto</v>
      </c>
      <c r="AL2954" t="str">
        <f>"{\rtf1\ansi\ansicpg1252\deff0\deflang11274{\fonttbl{\f0\fnil\fcharset0 MS Sans Serif}} \viewkind4\uc1\pard\f0\fs16 TAPA BIDON RECUPERADOR FIAT DUNA UNO 1 BAR (EX TAP010)\par } "</f>
        <v xml:space="preserve">{\rtf1\ansi\ansicpg1252\deff0\deflang11274{\fonttbl{\f0\fnil\fcharset0 MS Sans Serif}} \viewkind4\uc1\pard\f0\fs16 TAPA BIDON RECUPERADOR FIAT DUNA UNO 1 BAR (EX TAP010)\par } </v>
      </c>
      <c r="AM2954" t="str">
        <f>" "</f>
        <v xml:space="preserve"> </v>
      </c>
    </row>
    <row r="2955" spans="1:39" x14ac:dyDescent="0.25">
      <c r="A2955" t="str">
        <f>"TB063"</f>
        <v>TB063</v>
      </c>
      <c r="B2955" t="str">
        <f>"TAPA BIDON RECUPERADOR FIAT PALIO SIENA 1.4 BAR (EX TAP020) 46457390"</f>
        <v>TAPA BIDON RECUPERADOR FIAT PALIO SIENA 1.4 BAR (EX TAP020) 46457390</v>
      </c>
      <c r="C2955" t="str">
        <f t="shared" si="1941"/>
        <v>$ 4879,65</v>
      </c>
      <c r="D2955" t="str">
        <f t="shared" si="1941"/>
        <v>$ 4879,65</v>
      </c>
      <c r="E2955" t="str">
        <f t="shared" si="1941"/>
        <v>$ 4879,65</v>
      </c>
      <c r="F2955" t="str">
        <f t="shared" si="1941"/>
        <v>$ 4879,65</v>
      </c>
      <c r="G2955" t="str">
        <f t="shared" si="1941"/>
        <v>$ 4879,65</v>
      </c>
      <c r="H2955" t="str">
        <f t="shared" si="1919"/>
        <v>$ 0,00</v>
      </c>
      <c r="I2955" t="str">
        <f t="shared" si="1938"/>
        <v>TAPA TERMOSTATICA</v>
      </c>
      <c r="J2955" t="str">
        <f t="shared" si="1920"/>
        <v>1</v>
      </c>
      <c r="K2955" t="str">
        <f t="shared" si="1912"/>
        <v>0</v>
      </c>
      <c r="L2955" t="str">
        <f>"2,000"</f>
        <v>2,000</v>
      </c>
      <c r="M2955" t="str">
        <f t="shared" si="1921"/>
        <v xml:space="preserve"> </v>
      </c>
      <c r="N2955" t="str">
        <f t="shared" si="1939"/>
        <v>NAP</v>
      </c>
      <c r="O2955" t="str">
        <f t="shared" si="1940"/>
        <v>DEPOSITO DE EXPANSION</v>
      </c>
      <c r="P2955" t="str">
        <f t="shared" si="1915"/>
        <v>0</v>
      </c>
      <c r="Q2955" t="str">
        <f t="shared" si="1915"/>
        <v>0</v>
      </c>
      <c r="R2955" t="str">
        <f t="shared" si="1916"/>
        <v>0,00</v>
      </c>
      <c r="S2955" t="str">
        <f t="shared" si="1916"/>
        <v>0,00</v>
      </c>
      <c r="T2955" t="str">
        <f t="shared" si="1917"/>
        <v xml:space="preserve"> </v>
      </c>
      <c r="U2955" t="str">
        <f t="shared" si="1918"/>
        <v xml:space="preserve"> </v>
      </c>
      <c r="V2955" t="str">
        <f>"2,000"</f>
        <v>2,000</v>
      </c>
      <c r="W2955" t="str">
        <f t="shared" si="1922"/>
        <v>Lista 4</v>
      </c>
      <c r="X2955" t="str">
        <f t="shared" si="1923"/>
        <v>Lista 5</v>
      </c>
      <c r="Y2955" t="str">
        <f t="shared" si="1924"/>
        <v>Oferta Gral.</v>
      </c>
      <c r="Z2955" t="str">
        <f t="shared" si="1925"/>
        <v>Rubro</v>
      </c>
      <c r="AA2955" t="str">
        <f t="shared" si="1926"/>
        <v>Cantidad por Bulto</v>
      </c>
      <c r="AB2955" t="str">
        <f t="shared" si="1927"/>
        <v>INNER</v>
      </c>
      <c r="AC2955" t="str">
        <f t="shared" si="1928"/>
        <v>Stock en Bultos</v>
      </c>
      <c r="AD2955" t="str">
        <f t="shared" si="1929"/>
        <v>SubDepósito</v>
      </c>
      <c r="AE2955" t="str">
        <f t="shared" si="1930"/>
        <v>Marca</v>
      </c>
      <c r="AF2955" t="str">
        <f t="shared" si="1931"/>
        <v>Super Rubro</v>
      </c>
      <c r="AG2955" t="str">
        <f t="shared" si="1932"/>
        <v>ComercioExterior</v>
      </c>
      <c r="AH2955" t="str">
        <f t="shared" si="1933"/>
        <v>PrecioFOB</v>
      </c>
      <c r="AI2955" t="str">
        <f t="shared" si="1934"/>
        <v>Monto II</v>
      </c>
      <c r="AJ2955" t="str">
        <f t="shared" si="1935"/>
        <v>Porcentaje II</v>
      </c>
      <c r="AK2955" t="str">
        <f t="shared" si="1936"/>
        <v>Foto</v>
      </c>
      <c r="AL2955" t="str">
        <f>"{\rtf1\ansi\ansicpg1252\deff0\deflang11274{\fonttbl{\f0\fnil\fcharset0 MS Sans Serif}} \viewkind4\uc1\pard\f0\fs16 TAPA BIDON RECUPERADOR FIAT PALIO SIENA 1.4 BAR (EX TAP020) 46457390\par } "</f>
        <v xml:space="preserve">{\rtf1\ansi\ansicpg1252\deff0\deflang11274{\fonttbl{\f0\fnil\fcharset0 MS Sans Serif}} \viewkind4\uc1\pard\f0\fs16 TAPA BIDON RECUPERADOR FIAT PALIO SIENA 1.4 BAR (EX TAP020) 46457390\par } </v>
      </c>
      <c r="AM2955" t="str">
        <f>"-"</f>
        <v>-</v>
      </c>
    </row>
    <row r="2956" spans="1:39" x14ac:dyDescent="0.25">
      <c r="A2956" t="str">
        <f>"TB189"</f>
        <v>TB189</v>
      </c>
      <c r="B2956" t="str">
        <f>"TAPA BIDON RECUPERADOR FIAT SIENA PALIO LINEA 500 PUNTO 1.4 BAR (EX TAP030)"</f>
        <v>TAPA BIDON RECUPERADOR FIAT SIENA PALIO LINEA 500 PUNTO 1.4 BAR (EX TAP030)</v>
      </c>
      <c r="C2956" t="str">
        <f>"$ 7902,67"</f>
        <v>$ 7902,67</v>
      </c>
      <c r="D2956" t="str">
        <f>"$ 7902,67"</f>
        <v>$ 7902,67</v>
      </c>
      <c r="E2956" t="str">
        <f>"$ 7902,67"</f>
        <v>$ 7902,67</v>
      </c>
      <c r="F2956" t="str">
        <f>"$ 7902,67"</f>
        <v>$ 7902,67</v>
      </c>
      <c r="G2956" t="str">
        <f>"$ 7902,67"</f>
        <v>$ 7902,67</v>
      </c>
      <c r="H2956" t="str">
        <f t="shared" si="1919"/>
        <v>$ 0,00</v>
      </c>
      <c r="I2956" t="str">
        <f t="shared" si="1938"/>
        <v>TAPA TERMOSTATICA</v>
      </c>
      <c r="J2956" t="str">
        <f t="shared" si="1920"/>
        <v>1</v>
      </c>
      <c r="K2956" t="str">
        <f t="shared" si="1912"/>
        <v>0</v>
      </c>
      <c r="L2956" t="str">
        <f>"17,000"</f>
        <v>17,000</v>
      </c>
      <c r="M2956" t="str">
        <f t="shared" si="1921"/>
        <v xml:space="preserve"> </v>
      </c>
      <c r="N2956" t="str">
        <f t="shared" si="1939"/>
        <v>NAP</v>
      </c>
      <c r="O2956" t="str">
        <f t="shared" si="1940"/>
        <v>DEPOSITO DE EXPANSION</v>
      </c>
      <c r="P2956" t="str">
        <f t="shared" si="1915"/>
        <v>0</v>
      </c>
      <c r="Q2956" t="str">
        <f t="shared" si="1915"/>
        <v>0</v>
      </c>
      <c r="R2956" t="str">
        <f t="shared" si="1916"/>
        <v>0,00</v>
      </c>
      <c r="S2956" t="str">
        <f t="shared" si="1916"/>
        <v>0,00</v>
      </c>
      <c r="T2956" t="str">
        <f t="shared" si="1917"/>
        <v xml:space="preserve"> </v>
      </c>
      <c r="U2956" t="str">
        <f t="shared" si="1918"/>
        <v xml:space="preserve"> </v>
      </c>
      <c r="V2956" t="str">
        <f>"17,000"</f>
        <v>17,000</v>
      </c>
      <c r="W2956" t="str">
        <f t="shared" si="1922"/>
        <v>Lista 4</v>
      </c>
      <c r="X2956" t="str">
        <f t="shared" si="1923"/>
        <v>Lista 5</v>
      </c>
      <c r="Y2956" t="str">
        <f t="shared" si="1924"/>
        <v>Oferta Gral.</v>
      </c>
      <c r="Z2956" t="str">
        <f t="shared" si="1925"/>
        <v>Rubro</v>
      </c>
      <c r="AA2956" t="str">
        <f t="shared" si="1926"/>
        <v>Cantidad por Bulto</v>
      </c>
      <c r="AB2956" t="str">
        <f t="shared" si="1927"/>
        <v>INNER</v>
      </c>
      <c r="AC2956" t="str">
        <f t="shared" si="1928"/>
        <v>Stock en Bultos</v>
      </c>
      <c r="AD2956" t="str">
        <f t="shared" si="1929"/>
        <v>SubDepósito</v>
      </c>
      <c r="AE2956" t="str">
        <f t="shared" si="1930"/>
        <v>Marca</v>
      </c>
      <c r="AF2956" t="str">
        <f t="shared" si="1931"/>
        <v>Super Rubro</v>
      </c>
      <c r="AG2956" t="str">
        <f t="shared" si="1932"/>
        <v>ComercioExterior</v>
      </c>
      <c r="AH2956" t="str">
        <f t="shared" si="1933"/>
        <v>PrecioFOB</v>
      </c>
      <c r="AI2956" t="str">
        <f t="shared" si="1934"/>
        <v>Monto II</v>
      </c>
      <c r="AJ2956" t="str">
        <f t="shared" si="1935"/>
        <v>Porcentaje II</v>
      </c>
      <c r="AK2956" t="str">
        <f t="shared" si="1936"/>
        <v>Foto</v>
      </c>
      <c r="AL2956" t="str">
        <f>"{\rtf1\ansi\ansicpg1252\deff0\deflang11274{\fonttbl{\f0\fnil\fcharset0 MS Sans Serif}} \viewkind4\uc1\pard\f0\fs16 TAPA BIDON RECUPERADOR FIAT SIENA PALIO LINEA 500 PUNTO 1.4 BAR (EX TAP030)\par } "</f>
        <v xml:space="preserve">{\rtf1\ansi\ansicpg1252\deff0\deflang11274{\fonttbl{\f0\fnil\fcharset0 MS Sans Serif}} \viewkind4\uc1\pard\f0\fs16 TAPA BIDON RECUPERADOR FIAT SIENA PALIO LINEA 500 PUNTO 1.4 BAR (EX TAP030)\par } </v>
      </c>
      <c r="AM2956" t="str">
        <f>"-"</f>
        <v>-</v>
      </c>
    </row>
    <row r="2957" spans="1:39" x14ac:dyDescent="0.25">
      <c r="A2957" t="str">
        <f>"TB047"</f>
        <v>TB047</v>
      </c>
      <c r="B2957" t="str">
        <f>"TAPA BIDON RECUPERADOR FORD FOCUS/FIESTA/ECOSPORT 1.2 BAR (EX TAP150)"</f>
        <v>TAPA BIDON RECUPERADOR FORD FOCUS/FIESTA/ECOSPORT 1.2 BAR (EX TAP150)</v>
      </c>
      <c r="C2957" t="str">
        <f>"$ 5947,37"</f>
        <v>$ 5947,37</v>
      </c>
      <c r="D2957" t="str">
        <f>"$ 5947,37"</f>
        <v>$ 5947,37</v>
      </c>
      <c r="E2957" t="str">
        <f>"$ 5947,37"</f>
        <v>$ 5947,37</v>
      </c>
      <c r="F2957" t="str">
        <f>"$ 5947,37"</f>
        <v>$ 5947,37</v>
      </c>
      <c r="G2957" t="str">
        <f>"$ 5947,37"</f>
        <v>$ 5947,37</v>
      </c>
      <c r="H2957" t="str">
        <f t="shared" si="1919"/>
        <v>$ 0,00</v>
      </c>
      <c r="I2957" t="str">
        <f t="shared" si="1938"/>
        <v>TAPA TERMOSTATICA</v>
      </c>
      <c r="J2957" t="str">
        <f t="shared" si="1920"/>
        <v>1</v>
      </c>
      <c r="K2957" t="str">
        <f t="shared" si="1912"/>
        <v>0</v>
      </c>
      <c r="L2957" t="str">
        <f>"0,000"</f>
        <v>0,000</v>
      </c>
      <c r="M2957" t="str">
        <f t="shared" si="1921"/>
        <v xml:space="preserve"> </v>
      </c>
      <c r="N2957" t="str">
        <f t="shared" si="1939"/>
        <v>NAP</v>
      </c>
      <c r="O2957" t="str">
        <f t="shared" si="1940"/>
        <v>DEPOSITO DE EXPANSION</v>
      </c>
      <c r="P2957" t="str">
        <f t="shared" si="1915"/>
        <v>0</v>
      </c>
      <c r="Q2957" t="str">
        <f t="shared" si="1915"/>
        <v>0</v>
      </c>
      <c r="R2957" t="str">
        <f t="shared" si="1916"/>
        <v>0,00</v>
      </c>
      <c r="S2957" t="str">
        <f t="shared" si="1916"/>
        <v>0,00</v>
      </c>
      <c r="T2957" t="str">
        <f t="shared" si="1917"/>
        <v xml:space="preserve"> </v>
      </c>
      <c r="U2957" t="str">
        <f t="shared" si="1918"/>
        <v xml:space="preserve"> </v>
      </c>
      <c r="V2957" t="str">
        <f>"0,000"</f>
        <v>0,000</v>
      </c>
      <c r="W2957" t="str">
        <f t="shared" si="1922"/>
        <v>Lista 4</v>
      </c>
      <c r="X2957" t="str">
        <f t="shared" si="1923"/>
        <v>Lista 5</v>
      </c>
      <c r="Y2957" t="str">
        <f t="shared" si="1924"/>
        <v>Oferta Gral.</v>
      </c>
      <c r="Z2957" t="str">
        <f t="shared" si="1925"/>
        <v>Rubro</v>
      </c>
      <c r="AA2957" t="str">
        <f t="shared" si="1926"/>
        <v>Cantidad por Bulto</v>
      </c>
      <c r="AB2957" t="str">
        <f t="shared" si="1927"/>
        <v>INNER</v>
      </c>
      <c r="AC2957" t="str">
        <f t="shared" si="1928"/>
        <v>Stock en Bultos</v>
      </c>
      <c r="AD2957" t="str">
        <f t="shared" si="1929"/>
        <v>SubDepósito</v>
      </c>
      <c r="AE2957" t="str">
        <f t="shared" si="1930"/>
        <v>Marca</v>
      </c>
      <c r="AF2957" t="str">
        <f t="shared" si="1931"/>
        <v>Super Rubro</v>
      </c>
      <c r="AG2957" t="str">
        <f t="shared" si="1932"/>
        <v>ComercioExterior</v>
      </c>
      <c r="AH2957" t="str">
        <f t="shared" si="1933"/>
        <v>PrecioFOB</v>
      </c>
      <c r="AI2957" t="str">
        <f t="shared" si="1934"/>
        <v>Monto II</v>
      </c>
      <c r="AJ2957" t="str">
        <f t="shared" si="1935"/>
        <v>Porcentaje II</v>
      </c>
      <c r="AK2957" t="str">
        <f t="shared" si="1936"/>
        <v>Foto</v>
      </c>
      <c r="AL2957" t="str">
        <f>"{\rtf1\ansi\ansicpg1252\deff0\deflang11274{\fonttbl{\f0\fnil\fcharset0 MS Sans Serif}} \viewkind4\uc1\pard\f0\fs16 TAPA BIDON RECUPERADOR FORD FOCUS/FIESTA/ECOSPORT 1.2 BAR (EX TAP150)\par } "</f>
        <v xml:space="preserve">{\rtf1\ansi\ansicpg1252\deff0\deflang11274{\fonttbl{\f0\fnil\fcharset0 MS Sans Serif}} \viewkind4\uc1\pard\f0\fs16 TAPA BIDON RECUPERADOR FORD FOCUS/FIESTA/ECOSPORT 1.2 BAR (EX TAP150)\par } </v>
      </c>
      <c r="AM2957" t="str">
        <f>"-"</f>
        <v>-</v>
      </c>
    </row>
    <row r="2958" spans="1:39" x14ac:dyDescent="0.25">
      <c r="A2958" t="str">
        <f>"TB060"</f>
        <v>TB060</v>
      </c>
      <c r="B2958" t="str">
        <f>"TAPA BIDON RECUPERADOR FORD MONDEO/TRANSIT 1.2 BAR (EX TAP160)"</f>
        <v>TAPA BIDON RECUPERADOR FORD MONDEO/TRANSIT 1.2 BAR (EX TAP160)</v>
      </c>
      <c r="C2958" t="str">
        <f>"$ 7006,49"</f>
        <v>$ 7006,49</v>
      </c>
      <c r="D2958" t="str">
        <f>"$ 7006,49"</f>
        <v>$ 7006,49</v>
      </c>
      <c r="E2958" t="str">
        <f>"$ 7006,49"</f>
        <v>$ 7006,49</v>
      </c>
      <c r="F2958" t="str">
        <f>"$ 7006,49"</f>
        <v>$ 7006,49</v>
      </c>
      <c r="G2958" t="str">
        <f>"$ 7006,49"</f>
        <v>$ 7006,49</v>
      </c>
      <c r="H2958" t="str">
        <f t="shared" si="1919"/>
        <v>$ 0,00</v>
      </c>
      <c r="I2958" t="str">
        <f t="shared" si="1938"/>
        <v>TAPA TERMOSTATICA</v>
      </c>
      <c r="J2958" t="str">
        <f t="shared" si="1920"/>
        <v>1</v>
      </c>
      <c r="K2958" t="str">
        <f t="shared" si="1912"/>
        <v>0</v>
      </c>
      <c r="L2958" t="str">
        <f>"8,000"</f>
        <v>8,000</v>
      </c>
      <c r="M2958" t="str">
        <f t="shared" si="1921"/>
        <v xml:space="preserve"> </v>
      </c>
      <c r="N2958" t="str">
        <f t="shared" si="1939"/>
        <v>NAP</v>
      </c>
      <c r="O2958" t="str">
        <f t="shared" si="1940"/>
        <v>DEPOSITO DE EXPANSION</v>
      </c>
      <c r="P2958" t="str">
        <f t="shared" si="1915"/>
        <v>0</v>
      </c>
      <c r="Q2958" t="str">
        <f t="shared" si="1915"/>
        <v>0</v>
      </c>
      <c r="R2958" t="str">
        <f t="shared" si="1916"/>
        <v>0,00</v>
      </c>
      <c r="S2958" t="str">
        <f t="shared" si="1916"/>
        <v>0,00</v>
      </c>
      <c r="T2958" t="str">
        <f t="shared" si="1917"/>
        <v xml:space="preserve"> </v>
      </c>
      <c r="U2958" t="str">
        <f t="shared" si="1918"/>
        <v xml:space="preserve"> </v>
      </c>
      <c r="V2958" t="str">
        <f>"8,000"</f>
        <v>8,000</v>
      </c>
      <c r="W2958" t="str">
        <f t="shared" si="1922"/>
        <v>Lista 4</v>
      </c>
      <c r="X2958" t="str">
        <f t="shared" si="1923"/>
        <v>Lista 5</v>
      </c>
      <c r="Y2958" t="str">
        <f t="shared" si="1924"/>
        <v>Oferta Gral.</v>
      </c>
      <c r="Z2958" t="str">
        <f t="shared" si="1925"/>
        <v>Rubro</v>
      </c>
      <c r="AA2958" t="str">
        <f t="shared" si="1926"/>
        <v>Cantidad por Bulto</v>
      </c>
      <c r="AB2958" t="str">
        <f t="shared" si="1927"/>
        <v>INNER</v>
      </c>
      <c r="AC2958" t="str">
        <f t="shared" si="1928"/>
        <v>Stock en Bultos</v>
      </c>
      <c r="AD2958" t="str">
        <f t="shared" si="1929"/>
        <v>SubDepósito</v>
      </c>
      <c r="AE2958" t="str">
        <f t="shared" si="1930"/>
        <v>Marca</v>
      </c>
      <c r="AF2958" t="str">
        <f t="shared" si="1931"/>
        <v>Super Rubro</v>
      </c>
      <c r="AG2958" t="str">
        <f t="shared" si="1932"/>
        <v>ComercioExterior</v>
      </c>
      <c r="AH2958" t="str">
        <f t="shared" si="1933"/>
        <v>PrecioFOB</v>
      </c>
      <c r="AI2958" t="str">
        <f t="shared" si="1934"/>
        <v>Monto II</v>
      </c>
      <c r="AJ2958" t="str">
        <f t="shared" si="1935"/>
        <v>Porcentaje II</v>
      </c>
      <c r="AK2958" t="str">
        <f t="shared" si="1936"/>
        <v>Foto</v>
      </c>
      <c r="AL2958" t="str">
        <f>"{\rtf1\ansi\ansicpg1252\deff0\deflang11274{\fonttbl{\f0\fnil\fcharset0 MS Sans Serif}} \viewkind4\uc1\pard\f0\fs16 TAPA BIDON RECUPERADOR FORD MONDEO/TRANSIT 1.2 BAR (EX TAP160)\par } "</f>
        <v xml:space="preserve">{\rtf1\ansi\ansicpg1252\deff0\deflang11274{\fonttbl{\f0\fnil\fcharset0 MS Sans Serif}} \viewkind4\uc1\pard\f0\fs16 TAPA BIDON RECUPERADOR FORD MONDEO/TRANSIT 1.2 BAR (EX TAP160)\par } </v>
      </c>
      <c r="AM2958" t="str">
        <f>"-"</f>
        <v>-</v>
      </c>
    </row>
    <row r="2959" spans="1:39" x14ac:dyDescent="0.25">
      <c r="A2959" t="str">
        <f>"TB197"</f>
        <v>TB197</v>
      </c>
      <c r="B2959" t="str">
        <f>"TAPA BIDON RECUPERADOR FORD RANGER EXPLORER F250 F350  1.1 BAR (EX TAP140)"</f>
        <v>TAPA BIDON RECUPERADOR FORD RANGER EXPLORER F250 F350  1.1 BAR (EX TAP140)</v>
      </c>
      <c r="C2959" t="str">
        <f>"$ 15430,08"</f>
        <v>$ 15430,08</v>
      </c>
      <c r="D2959" t="str">
        <f>"$ 15430,08"</f>
        <v>$ 15430,08</v>
      </c>
      <c r="E2959" t="str">
        <f>"$ 15430,08"</f>
        <v>$ 15430,08</v>
      </c>
      <c r="F2959" t="str">
        <f>"$ 15430,08"</f>
        <v>$ 15430,08</v>
      </c>
      <c r="G2959" t="str">
        <f>"$ 15430,08"</f>
        <v>$ 15430,08</v>
      </c>
      <c r="H2959" t="str">
        <f t="shared" si="1919"/>
        <v>$ 0,00</v>
      </c>
      <c r="I2959" t="str">
        <f t="shared" si="1938"/>
        <v>TAPA TERMOSTATICA</v>
      </c>
      <c r="J2959" t="str">
        <f t="shared" si="1920"/>
        <v>1</v>
      </c>
      <c r="K2959" t="str">
        <f t="shared" si="1912"/>
        <v>0</v>
      </c>
      <c r="L2959" t="str">
        <f>"9,000"</f>
        <v>9,000</v>
      </c>
      <c r="M2959" t="str">
        <f t="shared" si="1921"/>
        <v xml:space="preserve"> </v>
      </c>
      <c r="N2959" t="str">
        <f t="shared" si="1939"/>
        <v>NAP</v>
      </c>
      <c r="O2959" t="str">
        <f t="shared" si="1940"/>
        <v>DEPOSITO DE EXPANSION</v>
      </c>
      <c r="P2959" t="str">
        <f t="shared" si="1915"/>
        <v>0</v>
      </c>
      <c r="Q2959" t="str">
        <f t="shared" si="1915"/>
        <v>0</v>
      </c>
      <c r="R2959" t="str">
        <f t="shared" si="1916"/>
        <v>0,00</v>
      </c>
      <c r="S2959" t="str">
        <f t="shared" si="1916"/>
        <v>0,00</v>
      </c>
      <c r="T2959" t="str">
        <f t="shared" si="1917"/>
        <v xml:space="preserve"> </v>
      </c>
      <c r="U2959" t="str">
        <f t="shared" si="1918"/>
        <v xml:space="preserve"> </v>
      </c>
      <c r="V2959" t="str">
        <f>"9,000"</f>
        <v>9,000</v>
      </c>
      <c r="W2959" t="str">
        <f t="shared" si="1922"/>
        <v>Lista 4</v>
      </c>
      <c r="X2959" t="str">
        <f t="shared" si="1923"/>
        <v>Lista 5</v>
      </c>
      <c r="Y2959" t="str">
        <f t="shared" si="1924"/>
        <v>Oferta Gral.</v>
      </c>
      <c r="Z2959" t="str">
        <f t="shared" si="1925"/>
        <v>Rubro</v>
      </c>
      <c r="AA2959" t="str">
        <f t="shared" si="1926"/>
        <v>Cantidad por Bulto</v>
      </c>
      <c r="AB2959" t="str">
        <f t="shared" si="1927"/>
        <v>INNER</v>
      </c>
      <c r="AC2959" t="str">
        <f t="shared" si="1928"/>
        <v>Stock en Bultos</v>
      </c>
      <c r="AD2959" t="str">
        <f t="shared" si="1929"/>
        <v>SubDepósito</v>
      </c>
      <c r="AE2959" t="str">
        <f t="shared" si="1930"/>
        <v>Marca</v>
      </c>
      <c r="AF2959" t="str">
        <f t="shared" si="1931"/>
        <v>Super Rubro</v>
      </c>
      <c r="AG2959" t="str">
        <f t="shared" si="1932"/>
        <v>ComercioExterior</v>
      </c>
      <c r="AH2959" t="str">
        <f t="shared" si="1933"/>
        <v>PrecioFOB</v>
      </c>
      <c r="AI2959" t="str">
        <f t="shared" si="1934"/>
        <v>Monto II</v>
      </c>
      <c r="AJ2959" t="str">
        <f t="shared" si="1935"/>
        <v>Porcentaje II</v>
      </c>
      <c r="AK2959" t="str">
        <f t="shared" si="1936"/>
        <v>Foto</v>
      </c>
      <c r="AL2959" t="str">
        <f>"{\rtf1\ansi\ansicpg1252\deff0\deflang11274{\fonttbl{\f0\fnil\fcharset0 MS Sans Serif}} \viewkind4\uc1\pard\f0\fs16 TAPA BIDON RECUPERADOR FORD RANGER EXPLORER F250 F350  1.1 BAR (EX TAP140)\par } "</f>
        <v xml:space="preserve">{\rtf1\ansi\ansicpg1252\deff0\deflang11274{\fonttbl{\f0\fnil\fcharset0 MS Sans Serif}} \viewkind4\uc1\pard\f0\fs16 TAPA BIDON RECUPERADOR FORD RANGER EXPLORER F250 F350  1.1 BAR (EX TAP140)\par } </v>
      </c>
      <c r="AM2959" t="str">
        <f>"-"</f>
        <v>-</v>
      </c>
    </row>
    <row r="2960" spans="1:39" x14ac:dyDescent="0.25">
      <c r="A2960" t="str">
        <f>"TB067"</f>
        <v>TB067</v>
      </c>
      <c r="B2960" t="str">
        <f>"TAPA BIDON RECUPERADOR FORD SIERRA (TAP150) 86FB.8100.FB"</f>
        <v>TAPA BIDON RECUPERADOR FORD SIERRA (TAP150) 86FB.8100.FB</v>
      </c>
      <c r="C2960" t="str">
        <f>"$ 4508,36"</f>
        <v>$ 4508,36</v>
      </c>
      <c r="D2960" t="str">
        <f>"$ 4508,36"</f>
        <v>$ 4508,36</v>
      </c>
      <c r="E2960" t="str">
        <f>"$ 4508,36"</f>
        <v>$ 4508,36</v>
      </c>
      <c r="F2960" t="str">
        <f>"$ 4508,36"</f>
        <v>$ 4508,36</v>
      </c>
      <c r="G2960" t="str">
        <f>"$ 4508,36"</f>
        <v>$ 4508,36</v>
      </c>
      <c r="H2960" t="str">
        <f t="shared" si="1919"/>
        <v>$ 0,00</v>
      </c>
      <c r="I2960" t="str">
        <f t="shared" si="1938"/>
        <v>TAPA TERMOSTATICA</v>
      </c>
      <c r="J2960" t="str">
        <f t="shared" si="1920"/>
        <v>1</v>
      </c>
      <c r="K2960" t="str">
        <f t="shared" si="1912"/>
        <v>0</v>
      </c>
      <c r="L2960" t="str">
        <f>"9,000"</f>
        <v>9,000</v>
      </c>
      <c r="M2960" t="str">
        <f t="shared" si="1921"/>
        <v xml:space="preserve"> </v>
      </c>
      <c r="N2960" t="str">
        <f t="shared" si="1939"/>
        <v>NAP</v>
      </c>
      <c r="O2960" t="str">
        <f t="shared" si="1940"/>
        <v>DEPOSITO DE EXPANSION</v>
      </c>
      <c r="P2960" t="str">
        <f t="shared" si="1915"/>
        <v>0</v>
      </c>
      <c r="Q2960" t="str">
        <f t="shared" si="1915"/>
        <v>0</v>
      </c>
      <c r="R2960" t="str">
        <f t="shared" si="1916"/>
        <v>0,00</v>
      </c>
      <c r="S2960" t="str">
        <f t="shared" si="1916"/>
        <v>0,00</v>
      </c>
      <c r="T2960" t="str">
        <f t="shared" si="1917"/>
        <v xml:space="preserve"> </v>
      </c>
      <c r="U2960" t="str">
        <f t="shared" si="1918"/>
        <v xml:space="preserve"> </v>
      </c>
      <c r="V2960" t="str">
        <f>"9,000"</f>
        <v>9,000</v>
      </c>
      <c r="W2960" t="str">
        <f t="shared" si="1922"/>
        <v>Lista 4</v>
      </c>
      <c r="X2960" t="str">
        <f t="shared" si="1923"/>
        <v>Lista 5</v>
      </c>
      <c r="Y2960" t="str">
        <f t="shared" si="1924"/>
        <v>Oferta Gral.</v>
      </c>
      <c r="Z2960" t="str">
        <f t="shared" si="1925"/>
        <v>Rubro</v>
      </c>
      <c r="AA2960" t="str">
        <f t="shared" si="1926"/>
        <v>Cantidad por Bulto</v>
      </c>
      <c r="AB2960" t="str">
        <f t="shared" si="1927"/>
        <v>INNER</v>
      </c>
      <c r="AC2960" t="str">
        <f t="shared" si="1928"/>
        <v>Stock en Bultos</v>
      </c>
      <c r="AD2960" t="str">
        <f t="shared" si="1929"/>
        <v>SubDepósito</v>
      </c>
      <c r="AE2960" t="str">
        <f t="shared" si="1930"/>
        <v>Marca</v>
      </c>
      <c r="AF2960" t="str">
        <f t="shared" si="1931"/>
        <v>Super Rubro</v>
      </c>
      <c r="AG2960" t="str">
        <f t="shared" si="1932"/>
        <v>ComercioExterior</v>
      </c>
      <c r="AH2960" t="str">
        <f t="shared" si="1933"/>
        <v>PrecioFOB</v>
      </c>
      <c r="AI2960" t="str">
        <f t="shared" si="1934"/>
        <v>Monto II</v>
      </c>
      <c r="AJ2960" t="str">
        <f t="shared" si="1935"/>
        <v>Porcentaje II</v>
      </c>
      <c r="AK2960" t="str">
        <f t="shared" si="1936"/>
        <v>Foto</v>
      </c>
      <c r="AL2960" t="str">
        <f>"{\rtf1\ansi\ansicpg1252\deff0\deflang11274{\fonttbl{\f0\fnil\fcharset0 MS Sans Serif}} \viewkind4\uc1\pard\f0\fs16 TAPA BIDON RECUPERADOR FORD SIERRA (TAP150) 86FB.8100.FB\par } "</f>
        <v xml:space="preserve">{\rtf1\ansi\ansicpg1252\deff0\deflang11274{\fonttbl{\f0\fnil\fcharset0 MS Sans Serif}} \viewkind4\uc1\pard\f0\fs16 TAPA BIDON RECUPERADOR FORD SIERRA (TAP150) 86FB.8100.FB\par } </v>
      </c>
      <c r="AM2960" t="str">
        <f>" "</f>
        <v xml:space="preserve"> </v>
      </c>
    </row>
    <row r="2961" spans="1:39" x14ac:dyDescent="0.25">
      <c r="A2961" t="str">
        <f>"TB754"</f>
        <v>TB754</v>
      </c>
      <c r="B2961" t="str">
        <f>"TAPA BIDON RECUPERADOR P207/405 CITROEN C4/BERLINGO 1.4 BAR (EX TAP170)"</f>
        <v>TAPA BIDON RECUPERADOR P207/405 CITROEN C4/BERLINGO 1.4 BAR (EX TAP170)</v>
      </c>
      <c r="C2961" t="str">
        <f>"$ 7495,31"</f>
        <v>$ 7495,31</v>
      </c>
      <c r="D2961" t="str">
        <f>"$ 7495,31"</f>
        <v>$ 7495,31</v>
      </c>
      <c r="E2961" t="str">
        <f>"$ 7495,31"</f>
        <v>$ 7495,31</v>
      </c>
      <c r="F2961" t="str">
        <f>"$ 7495,31"</f>
        <v>$ 7495,31</v>
      </c>
      <c r="G2961" t="str">
        <f>"$ 7495,31"</f>
        <v>$ 7495,31</v>
      </c>
      <c r="H2961" t="str">
        <f t="shared" si="1919"/>
        <v>$ 0,00</v>
      </c>
      <c r="I2961" t="str">
        <f t="shared" si="1938"/>
        <v>TAPA TERMOSTATICA</v>
      </c>
      <c r="J2961" t="str">
        <f t="shared" si="1920"/>
        <v>1</v>
      </c>
      <c r="K2961" t="str">
        <f t="shared" si="1912"/>
        <v>0</v>
      </c>
      <c r="L2961" t="str">
        <f>"4,000"</f>
        <v>4,000</v>
      </c>
      <c r="M2961" t="str">
        <f t="shared" si="1921"/>
        <v xml:space="preserve"> </v>
      </c>
      <c r="N2961" t="str">
        <f t="shared" si="1939"/>
        <v>NAP</v>
      </c>
      <c r="O2961" t="str">
        <f t="shared" si="1940"/>
        <v>DEPOSITO DE EXPANSION</v>
      </c>
      <c r="P2961" t="str">
        <f t="shared" si="1915"/>
        <v>0</v>
      </c>
      <c r="Q2961" t="str">
        <f t="shared" si="1915"/>
        <v>0</v>
      </c>
      <c r="R2961" t="str">
        <f t="shared" si="1916"/>
        <v>0,00</v>
      </c>
      <c r="S2961" t="str">
        <f t="shared" si="1916"/>
        <v>0,00</v>
      </c>
      <c r="T2961" t="str">
        <f t="shared" si="1917"/>
        <v xml:space="preserve"> </v>
      </c>
      <c r="U2961" t="str">
        <f t="shared" si="1918"/>
        <v xml:space="preserve"> </v>
      </c>
      <c r="V2961" t="str">
        <f>"4,000"</f>
        <v>4,000</v>
      </c>
      <c r="W2961" t="str">
        <f t="shared" si="1922"/>
        <v>Lista 4</v>
      </c>
      <c r="X2961" t="str">
        <f t="shared" si="1923"/>
        <v>Lista 5</v>
      </c>
      <c r="Y2961" t="str">
        <f t="shared" si="1924"/>
        <v>Oferta Gral.</v>
      </c>
      <c r="Z2961" t="str">
        <f t="shared" si="1925"/>
        <v>Rubro</v>
      </c>
      <c r="AA2961" t="str">
        <f t="shared" si="1926"/>
        <v>Cantidad por Bulto</v>
      </c>
      <c r="AB2961" t="str">
        <f t="shared" si="1927"/>
        <v>INNER</v>
      </c>
      <c r="AC2961" t="str">
        <f t="shared" si="1928"/>
        <v>Stock en Bultos</v>
      </c>
      <c r="AD2961" t="str">
        <f t="shared" si="1929"/>
        <v>SubDepósito</v>
      </c>
      <c r="AE2961" t="str">
        <f t="shared" si="1930"/>
        <v>Marca</v>
      </c>
      <c r="AF2961" t="str">
        <f t="shared" si="1931"/>
        <v>Super Rubro</v>
      </c>
      <c r="AG2961" t="str">
        <f t="shared" si="1932"/>
        <v>ComercioExterior</v>
      </c>
      <c r="AH2961" t="str">
        <f t="shared" si="1933"/>
        <v>PrecioFOB</v>
      </c>
      <c r="AI2961" t="str">
        <f t="shared" si="1934"/>
        <v>Monto II</v>
      </c>
      <c r="AJ2961" t="str">
        <f t="shared" si="1935"/>
        <v>Porcentaje II</v>
      </c>
      <c r="AK2961" t="str">
        <f t="shared" si="1936"/>
        <v>Foto</v>
      </c>
      <c r="AL2961" t="str">
        <f>"{\rtf1\ansi\ansicpg1252\deff0\deflang11274{\fonttbl{\f0\fnil\fcharset0 MS Sans Serif}} \viewkind4\uc1\pard\f0\fs16 TAPA BIDON RECUPERADOR P207/405 CITROEN C4/BERLINGO 1.4 BAR (EX TAP170)\par } "</f>
        <v xml:space="preserve">{\rtf1\ansi\ansicpg1252\deff0\deflang11274{\fonttbl{\f0\fnil\fcharset0 MS Sans Serif}} \viewkind4\uc1\pard\f0\fs16 TAPA BIDON RECUPERADOR P207/405 CITROEN C4/BERLINGO 1.4 BAR (EX TAP170)\par } </v>
      </c>
      <c r="AM2961" t="str">
        <f>" "</f>
        <v xml:space="preserve"> </v>
      </c>
    </row>
    <row r="2962" spans="1:39" x14ac:dyDescent="0.25">
      <c r="A2962" t="str">
        <f>"TB082"</f>
        <v>TB082</v>
      </c>
      <c r="B2962" t="str">
        <f>"TAPA BIDON RECUPERADOR P3206/PARTNER CITROEN PICASSO 1.4 BAR (EX TAP180)"</f>
        <v>TAPA BIDON RECUPERADOR P3206/PARTNER CITROEN PICASSO 1.4 BAR (EX TAP180)</v>
      </c>
      <c r="C2962" t="str">
        <f>"$ 6925,02"</f>
        <v>$ 6925,02</v>
      </c>
      <c r="D2962" t="str">
        <f>"$ 6925,02"</f>
        <v>$ 6925,02</v>
      </c>
      <c r="E2962" t="str">
        <f>"$ 6925,02"</f>
        <v>$ 6925,02</v>
      </c>
      <c r="F2962" t="str">
        <f>"$ 6925,02"</f>
        <v>$ 6925,02</v>
      </c>
      <c r="G2962" t="str">
        <f>"$ 6925,02"</f>
        <v>$ 6925,02</v>
      </c>
      <c r="H2962" t="str">
        <f t="shared" si="1919"/>
        <v>$ 0,00</v>
      </c>
      <c r="I2962" t="str">
        <f t="shared" si="1938"/>
        <v>TAPA TERMOSTATICA</v>
      </c>
      <c r="J2962" t="str">
        <f t="shared" si="1920"/>
        <v>1</v>
      </c>
      <c r="K2962" t="str">
        <f t="shared" si="1912"/>
        <v>0</v>
      </c>
      <c r="L2962" t="str">
        <f>"2,000"</f>
        <v>2,000</v>
      </c>
      <c r="M2962" t="str">
        <f t="shared" si="1921"/>
        <v xml:space="preserve"> </v>
      </c>
      <c r="N2962" t="str">
        <f t="shared" si="1939"/>
        <v>NAP</v>
      </c>
      <c r="O2962" t="str">
        <f t="shared" si="1940"/>
        <v>DEPOSITO DE EXPANSION</v>
      </c>
      <c r="P2962" t="str">
        <f t="shared" si="1915"/>
        <v>0</v>
      </c>
      <c r="Q2962" t="str">
        <f t="shared" si="1915"/>
        <v>0</v>
      </c>
      <c r="R2962" t="str">
        <f t="shared" si="1916"/>
        <v>0,00</v>
      </c>
      <c r="S2962" t="str">
        <f t="shared" si="1916"/>
        <v>0,00</v>
      </c>
      <c r="T2962" t="str">
        <f t="shared" si="1917"/>
        <v xml:space="preserve"> </v>
      </c>
      <c r="U2962" t="str">
        <f t="shared" si="1918"/>
        <v xml:space="preserve"> </v>
      </c>
      <c r="V2962" t="str">
        <f>"2,000"</f>
        <v>2,000</v>
      </c>
      <c r="W2962" t="str">
        <f t="shared" si="1922"/>
        <v>Lista 4</v>
      </c>
      <c r="X2962" t="str">
        <f t="shared" si="1923"/>
        <v>Lista 5</v>
      </c>
      <c r="Y2962" t="str">
        <f t="shared" si="1924"/>
        <v>Oferta Gral.</v>
      </c>
      <c r="Z2962" t="str">
        <f t="shared" si="1925"/>
        <v>Rubro</v>
      </c>
      <c r="AA2962" t="str">
        <f t="shared" si="1926"/>
        <v>Cantidad por Bulto</v>
      </c>
      <c r="AB2962" t="str">
        <f t="shared" si="1927"/>
        <v>INNER</v>
      </c>
      <c r="AC2962" t="str">
        <f t="shared" si="1928"/>
        <v>Stock en Bultos</v>
      </c>
      <c r="AD2962" t="str">
        <f t="shared" si="1929"/>
        <v>SubDepósito</v>
      </c>
      <c r="AE2962" t="str">
        <f t="shared" si="1930"/>
        <v>Marca</v>
      </c>
      <c r="AF2962" t="str">
        <f t="shared" si="1931"/>
        <v>Super Rubro</v>
      </c>
      <c r="AG2962" t="str">
        <f t="shared" si="1932"/>
        <v>ComercioExterior</v>
      </c>
      <c r="AH2962" t="str">
        <f t="shared" si="1933"/>
        <v>PrecioFOB</v>
      </c>
      <c r="AI2962" t="str">
        <f t="shared" si="1934"/>
        <v>Monto II</v>
      </c>
      <c r="AJ2962" t="str">
        <f t="shared" si="1935"/>
        <v>Porcentaje II</v>
      </c>
      <c r="AK2962" t="str">
        <f t="shared" si="1936"/>
        <v>Foto</v>
      </c>
      <c r="AL2962" t="str">
        <f>"{\rtf1\ansi\ansicpg1252\deff0\deflang11274{\fonttbl{\f0\fnil\fcharset0 MS Sans Serif}} \viewkind4\uc1\pard\f0\fs16 TAPA BIDON RECUPERADOR P3206/PARTNER CITROEN PICASSO 1.4 BAR (EX TAP180)\par } "</f>
        <v xml:space="preserve">{\rtf1\ansi\ansicpg1252\deff0\deflang11274{\fonttbl{\f0\fnil\fcharset0 MS Sans Serif}} \viewkind4\uc1\pard\f0\fs16 TAPA BIDON RECUPERADOR P3206/PARTNER CITROEN PICASSO 1.4 BAR (EX TAP180)\par } </v>
      </c>
      <c r="AM2962" t="str">
        <f>" "</f>
        <v xml:space="preserve"> </v>
      </c>
    </row>
    <row r="2963" spans="1:39" x14ac:dyDescent="0.25">
      <c r="A2963" t="str">
        <f>"TB056A"</f>
        <v>TB056A</v>
      </c>
      <c r="B2963" t="str">
        <f>"TAPA BIDON RECUPERADOR RENAULT 19 CLIO AZUL 1.2 BAR (EX TAP090)"</f>
        <v>TAPA BIDON RECUPERADOR RENAULT 19 CLIO AZUL 1.2 BAR (EX TAP090)</v>
      </c>
      <c r="C2963" t="str">
        <f>"$ 3364,64"</f>
        <v>$ 3364,64</v>
      </c>
      <c r="D2963" t="str">
        <f>"$ 3364,64"</f>
        <v>$ 3364,64</v>
      </c>
      <c r="E2963" t="str">
        <f>"$ 3364,64"</f>
        <v>$ 3364,64</v>
      </c>
      <c r="F2963" t="str">
        <f>"$ 3364,64"</f>
        <v>$ 3364,64</v>
      </c>
      <c r="G2963" t="str">
        <f>"$ 3364,64"</f>
        <v>$ 3364,64</v>
      </c>
      <c r="H2963" t="str">
        <f t="shared" si="1919"/>
        <v>$ 0,00</v>
      </c>
      <c r="I2963" t="str">
        <f t="shared" si="1938"/>
        <v>TAPA TERMOSTATICA</v>
      </c>
      <c r="J2963" t="str">
        <f t="shared" si="1920"/>
        <v>1</v>
      </c>
      <c r="K2963" t="str">
        <f t="shared" si="1912"/>
        <v>0</v>
      </c>
      <c r="L2963" t="str">
        <f>"0,000"</f>
        <v>0,000</v>
      </c>
      <c r="M2963" t="str">
        <f t="shared" si="1921"/>
        <v xml:space="preserve"> </v>
      </c>
      <c r="N2963" t="str">
        <f t="shared" si="1939"/>
        <v>NAP</v>
      </c>
      <c r="O2963" t="str">
        <f t="shared" si="1940"/>
        <v>DEPOSITO DE EXPANSION</v>
      </c>
      <c r="P2963" t="str">
        <f t="shared" ref="P2963:Q2982" si="1942">"0"</f>
        <v>0</v>
      </c>
      <c r="Q2963" t="str">
        <f t="shared" si="1942"/>
        <v>0</v>
      </c>
      <c r="R2963" t="str">
        <f t="shared" ref="R2963:S2982" si="1943">"0,00"</f>
        <v>0,00</v>
      </c>
      <c r="S2963" t="str">
        <f t="shared" si="1943"/>
        <v>0,00</v>
      </c>
      <c r="T2963" t="str">
        <f t="shared" si="1917"/>
        <v xml:space="preserve"> </v>
      </c>
      <c r="U2963" t="str">
        <f t="shared" si="1918"/>
        <v xml:space="preserve"> </v>
      </c>
      <c r="V2963" t="str">
        <f>"0,000"</f>
        <v>0,000</v>
      </c>
      <c r="W2963" t="str">
        <f t="shared" si="1922"/>
        <v>Lista 4</v>
      </c>
      <c r="X2963" t="str">
        <f t="shared" si="1923"/>
        <v>Lista 5</v>
      </c>
      <c r="Y2963" t="str">
        <f t="shared" si="1924"/>
        <v>Oferta Gral.</v>
      </c>
      <c r="Z2963" t="str">
        <f t="shared" si="1925"/>
        <v>Rubro</v>
      </c>
      <c r="AA2963" t="str">
        <f t="shared" si="1926"/>
        <v>Cantidad por Bulto</v>
      </c>
      <c r="AB2963" t="str">
        <f t="shared" si="1927"/>
        <v>INNER</v>
      </c>
      <c r="AC2963" t="str">
        <f t="shared" si="1928"/>
        <v>Stock en Bultos</v>
      </c>
      <c r="AD2963" t="str">
        <f t="shared" si="1929"/>
        <v>SubDepósito</v>
      </c>
      <c r="AE2963" t="str">
        <f t="shared" si="1930"/>
        <v>Marca</v>
      </c>
      <c r="AF2963" t="str">
        <f t="shared" si="1931"/>
        <v>Super Rubro</v>
      </c>
      <c r="AG2963" t="str">
        <f t="shared" si="1932"/>
        <v>ComercioExterior</v>
      </c>
      <c r="AH2963" t="str">
        <f t="shared" si="1933"/>
        <v>PrecioFOB</v>
      </c>
      <c r="AI2963" t="str">
        <f t="shared" si="1934"/>
        <v>Monto II</v>
      </c>
      <c r="AJ2963" t="str">
        <f t="shared" si="1935"/>
        <v>Porcentaje II</v>
      </c>
      <c r="AK2963" t="str">
        <f t="shared" si="1936"/>
        <v>Foto</v>
      </c>
      <c r="AL2963" t="str">
        <f>"{\rtf1\ansi\ansicpg1252\deff0\deflang11274{\fonttbl{\f0\fnil\fcharset0 MS Sans Serif}} \viewkind4\uc1\pard\f0\fs16 TAPA BIDON RECUPERADOR RENAULT 19 CLIO AZUL 1.2 BAR (EX TAP090)\par } "</f>
        <v xml:space="preserve">{\rtf1\ansi\ansicpg1252\deff0\deflang11274{\fonttbl{\f0\fnil\fcharset0 MS Sans Serif}} \viewkind4\uc1\pard\f0\fs16 TAPA BIDON RECUPERADOR RENAULT 19 CLIO AZUL 1.2 BAR (EX TAP090)\par } </v>
      </c>
      <c r="AM2963" t="str">
        <f>"-"</f>
        <v>-</v>
      </c>
    </row>
    <row r="2964" spans="1:39" x14ac:dyDescent="0.25">
      <c r="A2964" t="str">
        <f>"TB080"</f>
        <v>TB080</v>
      </c>
      <c r="B2964" t="str">
        <f>"TAPA BIDON RECUPERADOR RENAULT KANGOO 1.4 BAR (EX TAP100)"</f>
        <v>TAPA BIDON RECUPERADOR RENAULT KANGOO 1.4 BAR (EX TAP100)</v>
      </c>
      <c r="C2964" t="str">
        <f>"$ 7250,90"</f>
        <v>$ 7250,90</v>
      </c>
      <c r="D2964" t="str">
        <f>"$ 7250,90"</f>
        <v>$ 7250,90</v>
      </c>
      <c r="E2964" t="str">
        <f>"$ 7250,90"</f>
        <v>$ 7250,90</v>
      </c>
      <c r="F2964" t="str">
        <f>"$ 7250,90"</f>
        <v>$ 7250,90</v>
      </c>
      <c r="G2964" t="str">
        <f>"$ 7250,90"</f>
        <v>$ 7250,90</v>
      </c>
      <c r="H2964" t="str">
        <f t="shared" si="1919"/>
        <v>$ 0,00</v>
      </c>
      <c r="I2964" t="str">
        <f t="shared" si="1938"/>
        <v>TAPA TERMOSTATICA</v>
      </c>
      <c r="J2964" t="str">
        <f t="shared" si="1920"/>
        <v>1</v>
      </c>
      <c r="K2964" t="str">
        <f t="shared" si="1912"/>
        <v>0</v>
      </c>
      <c r="L2964" t="str">
        <f>"0,000"</f>
        <v>0,000</v>
      </c>
      <c r="M2964" t="str">
        <f t="shared" si="1921"/>
        <v xml:space="preserve"> </v>
      </c>
      <c r="N2964" t="str">
        <f t="shared" si="1939"/>
        <v>NAP</v>
      </c>
      <c r="O2964" t="str">
        <f t="shared" si="1940"/>
        <v>DEPOSITO DE EXPANSION</v>
      </c>
      <c r="P2964" t="str">
        <f t="shared" si="1942"/>
        <v>0</v>
      </c>
      <c r="Q2964" t="str">
        <f t="shared" si="1942"/>
        <v>0</v>
      </c>
      <c r="R2964" t="str">
        <f t="shared" si="1943"/>
        <v>0,00</v>
      </c>
      <c r="S2964" t="str">
        <f t="shared" si="1943"/>
        <v>0,00</v>
      </c>
      <c r="T2964" t="str">
        <f t="shared" si="1917"/>
        <v xml:space="preserve"> </v>
      </c>
      <c r="U2964" t="str">
        <f t="shared" si="1918"/>
        <v xml:space="preserve"> </v>
      </c>
      <c r="V2964" t="str">
        <f>"0,000"</f>
        <v>0,000</v>
      </c>
      <c r="W2964" t="str">
        <f t="shared" si="1922"/>
        <v>Lista 4</v>
      </c>
      <c r="X2964" t="str">
        <f t="shared" si="1923"/>
        <v>Lista 5</v>
      </c>
      <c r="Y2964" t="str">
        <f t="shared" si="1924"/>
        <v>Oferta Gral.</v>
      </c>
      <c r="Z2964" t="str">
        <f t="shared" si="1925"/>
        <v>Rubro</v>
      </c>
      <c r="AA2964" t="str">
        <f t="shared" si="1926"/>
        <v>Cantidad por Bulto</v>
      </c>
      <c r="AB2964" t="str">
        <f t="shared" si="1927"/>
        <v>INNER</v>
      </c>
      <c r="AC2964" t="str">
        <f t="shared" si="1928"/>
        <v>Stock en Bultos</v>
      </c>
      <c r="AD2964" t="str">
        <f t="shared" si="1929"/>
        <v>SubDepósito</v>
      </c>
      <c r="AE2964" t="str">
        <f t="shared" si="1930"/>
        <v>Marca</v>
      </c>
      <c r="AF2964" t="str">
        <f t="shared" si="1931"/>
        <v>Super Rubro</v>
      </c>
      <c r="AG2964" t="str">
        <f t="shared" si="1932"/>
        <v>ComercioExterior</v>
      </c>
      <c r="AH2964" t="str">
        <f t="shared" si="1933"/>
        <v>PrecioFOB</v>
      </c>
      <c r="AI2964" t="str">
        <f t="shared" si="1934"/>
        <v>Monto II</v>
      </c>
      <c r="AJ2964" t="str">
        <f t="shared" si="1935"/>
        <v>Porcentaje II</v>
      </c>
      <c r="AK2964" t="str">
        <f t="shared" si="1936"/>
        <v>Foto</v>
      </c>
      <c r="AL2964" t="str">
        <f>"{\rtf1\ansi\ansicpg1252\deff0\deflang11274{\fonttbl{\f0\fnil\fcharset0 MS Sans Serif}} \viewkind4\uc1\pard\f0\fs16 TAPA BIDON RECUPERADOR RENAULT KANGOO 1.4 BAR (EX TAP100)\par } "</f>
        <v xml:space="preserve">{\rtf1\ansi\ansicpg1252\deff0\deflang11274{\fonttbl{\f0\fnil\fcharset0 MS Sans Serif}} \viewkind4\uc1\pard\f0\fs16 TAPA BIDON RECUPERADOR RENAULT KANGOO 1.4 BAR (EX TAP100)\par } </v>
      </c>
      <c r="AM2964" t="str">
        <f>"-"</f>
        <v>-</v>
      </c>
    </row>
    <row r="2965" spans="1:39" x14ac:dyDescent="0.25">
      <c r="A2965" t="str">
        <f>"TB056M"</f>
        <v>TB056M</v>
      </c>
      <c r="B2965" t="str">
        <f>"TAPA BIDON RECUPERADOR RENAULT MARRON 1.2 BAR (EX TAP080)"</f>
        <v>TAPA BIDON RECUPERADOR RENAULT MARRON 1.2 BAR (EX TAP080)</v>
      </c>
      <c r="C2965" t="str">
        <f>"$ 3364,64"</f>
        <v>$ 3364,64</v>
      </c>
      <c r="D2965" t="str">
        <f>"$ 3364,64"</f>
        <v>$ 3364,64</v>
      </c>
      <c r="E2965" t="str">
        <f>"$ 3364,64"</f>
        <v>$ 3364,64</v>
      </c>
      <c r="F2965" t="str">
        <f>"$ 3364,64"</f>
        <v>$ 3364,64</v>
      </c>
      <c r="G2965" t="str">
        <f>"$ 3364,64"</f>
        <v>$ 3364,64</v>
      </c>
      <c r="H2965" t="str">
        <f t="shared" si="1919"/>
        <v>$ 0,00</v>
      </c>
      <c r="I2965" t="str">
        <f t="shared" si="1938"/>
        <v>TAPA TERMOSTATICA</v>
      </c>
      <c r="J2965" t="str">
        <f t="shared" si="1920"/>
        <v>1</v>
      </c>
      <c r="K2965" t="str">
        <f t="shared" si="1912"/>
        <v>0</v>
      </c>
      <c r="L2965" t="str">
        <f>"10,000"</f>
        <v>10,000</v>
      </c>
      <c r="M2965" t="str">
        <f t="shared" si="1921"/>
        <v xml:space="preserve"> </v>
      </c>
      <c r="N2965" t="str">
        <f t="shared" si="1939"/>
        <v>NAP</v>
      </c>
      <c r="O2965" t="str">
        <f t="shared" si="1940"/>
        <v>DEPOSITO DE EXPANSION</v>
      </c>
      <c r="P2965" t="str">
        <f t="shared" si="1942"/>
        <v>0</v>
      </c>
      <c r="Q2965" t="str">
        <f t="shared" si="1942"/>
        <v>0</v>
      </c>
      <c r="R2965" t="str">
        <f t="shared" si="1943"/>
        <v>0,00</v>
      </c>
      <c r="S2965" t="str">
        <f t="shared" si="1943"/>
        <v>0,00</v>
      </c>
      <c r="T2965" t="str">
        <f t="shared" si="1917"/>
        <v xml:space="preserve"> </v>
      </c>
      <c r="U2965" t="str">
        <f t="shared" si="1918"/>
        <v xml:space="preserve"> </v>
      </c>
      <c r="V2965" t="str">
        <f>"10,000"</f>
        <v>10,000</v>
      </c>
      <c r="W2965" t="str">
        <f t="shared" si="1922"/>
        <v>Lista 4</v>
      </c>
      <c r="X2965" t="str">
        <f t="shared" si="1923"/>
        <v>Lista 5</v>
      </c>
      <c r="Y2965" t="str">
        <f t="shared" si="1924"/>
        <v>Oferta Gral.</v>
      </c>
      <c r="Z2965" t="str">
        <f t="shared" si="1925"/>
        <v>Rubro</v>
      </c>
      <c r="AA2965" t="str">
        <f t="shared" si="1926"/>
        <v>Cantidad por Bulto</v>
      </c>
      <c r="AB2965" t="str">
        <f t="shared" si="1927"/>
        <v>INNER</v>
      </c>
      <c r="AC2965" t="str">
        <f t="shared" si="1928"/>
        <v>Stock en Bultos</v>
      </c>
      <c r="AD2965" t="str">
        <f t="shared" si="1929"/>
        <v>SubDepósito</v>
      </c>
      <c r="AE2965" t="str">
        <f t="shared" si="1930"/>
        <v>Marca</v>
      </c>
      <c r="AF2965" t="str">
        <f t="shared" si="1931"/>
        <v>Super Rubro</v>
      </c>
      <c r="AG2965" t="str">
        <f t="shared" si="1932"/>
        <v>ComercioExterior</v>
      </c>
      <c r="AH2965" t="str">
        <f t="shared" si="1933"/>
        <v>PrecioFOB</v>
      </c>
      <c r="AI2965" t="str">
        <f t="shared" si="1934"/>
        <v>Monto II</v>
      </c>
      <c r="AJ2965" t="str">
        <f t="shared" si="1935"/>
        <v>Porcentaje II</v>
      </c>
      <c r="AK2965" t="str">
        <f t="shared" si="1936"/>
        <v>Foto</v>
      </c>
      <c r="AL2965" t="str">
        <f>"{\rtf1\ansi\ansicpg1252\deff0\deflang11274{\fonttbl{\f0\fnil\fcharset0 MS Sans Serif}} \viewkind4\uc1\pard\f0\fs16 TAPA BIDON RECUPERADOR RENAULT MARRON 1.2 BAR (EX TAP080)\par } "</f>
        <v xml:space="preserve">{\rtf1\ansi\ansicpg1252\deff0\deflang11274{\fonttbl{\f0\fnil\fcharset0 MS Sans Serif}} \viewkind4\uc1\pard\f0\fs16 TAPA BIDON RECUPERADOR RENAULT MARRON 1.2 BAR (EX TAP080)\par } </v>
      </c>
      <c r="AM2965" t="str">
        <f>" "</f>
        <v xml:space="preserve"> </v>
      </c>
    </row>
    <row r="2966" spans="1:39" x14ac:dyDescent="0.25">
      <c r="A2966" t="str">
        <f>"TB099"</f>
        <v>TB099</v>
      </c>
      <c r="B2966" t="str">
        <f>"TAPA BIDON RECUPERADOR VW FOX SURAN GOL TREND 1.5 BAR (EX TAP070)"</f>
        <v>TAPA BIDON RECUPERADOR VW FOX SURAN GOL TREND 1.5 BAR (EX TAP070)</v>
      </c>
      <c r="C2966" t="str">
        <f>"$ 7739,73"</f>
        <v>$ 7739,73</v>
      </c>
      <c r="D2966" t="str">
        <f>"$ 7739,73"</f>
        <v>$ 7739,73</v>
      </c>
      <c r="E2966" t="str">
        <f>"$ 7739,73"</f>
        <v>$ 7739,73</v>
      </c>
      <c r="F2966" t="str">
        <f>"$ 7739,73"</f>
        <v>$ 7739,73</v>
      </c>
      <c r="G2966" t="str">
        <f>"$ 7739,73"</f>
        <v>$ 7739,73</v>
      </c>
      <c r="H2966" t="str">
        <f t="shared" si="1919"/>
        <v>$ 0,00</v>
      </c>
      <c r="I2966" t="str">
        <f t="shared" si="1938"/>
        <v>TAPA TERMOSTATICA</v>
      </c>
      <c r="J2966" t="str">
        <f t="shared" si="1920"/>
        <v>1</v>
      </c>
      <c r="K2966" t="str">
        <f t="shared" si="1912"/>
        <v>0</v>
      </c>
      <c r="L2966" t="str">
        <f>"5,000"</f>
        <v>5,000</v>
      </c>
      <c r="M2966" t="str">
        <f t="shared" si="1921"/>
        <v xml:space="preserve"> </v>
      </c>
      <c r="N2966" t="str">
        <f t="shared" si="1939"/>
        <v>NAP</v>
      </c>
      <c r="O2966" t="str">
        <f t="shared" si="1940"/>
        <v>DEPOSITO DE EXPANSION</v>
      </c>
      <c r="P2966" t="str">
        <f t="shared" si="1942"/>
        <v>0</v>
      </c>
      <c r="Q2966" t="str">
        <f t="shared" si="1942"/>
        <v>0</v>
      </c>
      <c r="R2966" t="str">
        <f t="shared" si="1943"/>
        <v>0,00</v>
      </c>
      <c r="S2966" t="str">
        <f t="shared" si="1943"/>
        <v>0,00</v>
      </c>
      <c r="T2966" t="str">
        <f t="shared" si="1917"/>
        <v xml:space="preserve"> </v>
      </c>
      <c r="U2966" t="str">
        <f t="shared" si="1918"/>
        <v xml:space="preserve"> </v>
      </c>
      <c r="V2966" t="str">
        <f>"5,000"</f>
        <v>5,000</v>
      </c>
      <c r="W2966" t="str">
        <f t="shared" si="1922"/>
        <v>Lista 4</v>
      </c>
      <c r="X2966" t="str">
        <f t="shared" si="1923"/>
        <v>Lista 5</v>
      </c>
      <c r="Y2966" t="str">
        <f t="shared" si="1924"/>
        <v>Oferta Gral.</v>
      </c>
      <c r="Z2966" t="str">
        <f t="shared" si="1925"/>
        <v>Rubro</v>
      </c>
      <c r="AA2966" t="str">
        <f t="shared" si="1926"/>
        <v>Cantidad por Bulto</v>
      </c>
      <c r="AB2966" t="str">
        <f t="shared" si="1927"/>
        <v>INNER</v>
      </c>
      <c r="AC2966" t="str">
        <f t="shared" si="1928"/>
        <v>Stock en Bultos</v>
      </c>
      <c r="AD2966" t="str">
        <f t="shared" si="1929"/>
        <v>SubDepósito</v>
      </c>
      <c r="AE2966" t="str">
        <f t="shared" si="1930"/>
        <v>Marca</v>
      </c>
      <c r="AF2966" t="str">
        <f t="shared" si="1931"/>
        <v>Super Rubro</v>
      </c>
      <c r="AG2966" t="str">
        <f t="shared" si="1932"/>
        <v>ComercioExterior</v>
      </c>
      <c r="AH2966" t="str">
        <f t="shared" si="1933"/>
        <v>PrecioFOB</v>
      </c>
      <c r="AI2966" t="str">
        <f t="shared" si="1934"/>
        <v>Monto II</v>
      </c>
      <c r="AJ2966" t="str">
        <f t="shared" si="1935"/>
        <v>Porcentaje II</v>
      </c>
      <c r="AK2966" t="str">
        <f t="shared" si="1936"/>
        <v>Foto</v>
      </c>
      <c r="AL2966" t="str">
        <f>"{\rtf1\ansi\ansicpg1252\deff0\deflang11274{\fonttbl{\f0\fnil\fcharset0 MS Sans Serif}} \viewkind4\uc1\pard\f0\fs16 TAPA BIDON RECUPERADOR VW FOX SURAN GOL TREND 1.5 BAR (EX TAP070)\par } "</f>
        <v xml:space="preserve">{\rtf1\ansi\ansicpg1252\deff0\deflang11274{\fonttbl{\f0\fnil\fcharset0 MS Sans Serif}} \viewkind4\uc1\pard\f0\fs16 TAPA BIDON RECUPERADOR VW FOX SURAN GOL TREND 1.5 BAR (EX TAP070)\par } </v>
      </c>
      <c r="AM2966" t="str">
        <f t="shared" ref="AM2966:AM2971" si="1944">"-"</f>
        <v>-</v>
      </c>
    </row>
    <row r="2967" spans="1:39" x14ac:dyDescent="0.25">
      <c r="A2967" t="str">
        <f>"TB130"</f>
        <v>TB130</v>
      </c>
      <c r="B2967" t="str">
        <f>"TAPA BIDON RECUPERADOR VW GOL  1.4 BAR (EX TAP060)"</f>
        <v>TAPA BIDON RECUPERADOR VW GOL  1.4 BAR (EX TAP060)</v>
      </c>
      <c r="C2967" t="str">
        <f>"$ 4879,65"</f>
        <v>$ 4879,65</v>
      </c>
      <c r="D2967" t="str">
        <f>"$ 4879,65"</f>
        <v>$ 4879,65</v>
      </c>
      <c r="E2967" t="str">
        <f>"$ 4879,65"</f>
        <v>$ 4879,65</v>
      </c>
      <c r="F2967" t="str">
        <f>"$ 4879,65"</f>
        <v>$ 4879,65</v>
      </c>
      <c r="G2967" t="str">
        <f>"$ 4879,65"</f>
        <v>$ 4879,65</v>
      </c>
      <c r="H2967" t="str">
        <f t="shared" si="1919"/>
        <v>$ 0,00</v>
      </c>
      <c r="I2967" t="str">
        <f t="shared" si="1938"/>
        <v>TAPA TERMOSTATICA</v>
      </c>
      <c r="J2967" t="str">
        <f t="shared" si="1920"/>
        <v>1</v>
      </c>
      <c r="K2967" t="str">
        <f t="shared" si="1912"/>
        <v>0</v>
      </c>
      <c r="L2967" t="str">
        <f>"9,000"</f>
        <v>9,000</v>
      </c>
      <c r="M2967" t="str">
        <f t="shared" si="1921"/>
        <v xml:space="preserve"> </v>
      </c>
      <c r="N2967" t="str">
        <f t="shared" si="1939"/>
        <v>NAP</v>
      </c>
      <c r="O2967" t="str">
        <f t="shared" si="1940"/>
        <v>DEPOSITO DE EXPANSION</v>
      </c>
      <c r="P2967" t="str">
        <f t="shared" si="1942"/>
        <v>0</v>
      </c>
      <c r="Q2967" t="str">
        <f t="shared" si="1942"/>
        <v>0</v>
      </c>
      <c r="R2967" t="str">
        <f t="shared" si="1943"/>
        <v>0,00</v>
      </c>
      <c r="S2967" t="str">
        <f t="shared" si="1943"/>
        <v>0,00</v>
      </c>
      <c r="T2967" t="str">
        <f t="shared" si="1917"/>
        <v xml:space="preserve"> </v>
      </c>
      <c r="U2967" t="str">
        <f t="shared" si="1918"/>
        <v xml:space="preserve"> </v>
      </c>
      <c r="V2967" t="str">
        <f>"9,000"</f>
        <v>9,000</v>
      </c>
      <c r="W2967" t="str">
        <f t="shared" si="1922"/>
        <v>Lista 4</v>
      </c>
      <c r="X2967" t="str">
        <f t="shared" si="1923"/>
        <v>Lista 5</v>
      </c>
      <c r="Y2967" t="str">
        <f t="shared" si="1924"/>
        <v>Oferta Gral.</v>
      </c>
      <c r="Z2967" t="str">
        <f t="shared" si="1925"/>
        <v>Rubro</v>
      </c>
      <c r="AA2967" t="str">
        <f t="shared" si="1926"/>
        <v>Cantidad por Bulto</v>
      </c>
      <c r="AB2967" t="str">
        <f t="shared" si="1927"/>
        <v>INNER</v>
      </c>
      <c r="AC2967" t="str">
        <f t="shared" si="1928"/>
        <v>Stock en Bultos</v>
      </c>
      <c r="AD2967" t="str">
        <f t="shared" si="1929"/>
        <v>SubDepósito</v>
      </c>
      <c r="AE2967" t="str">
        <f t="shared" si="1930"/>
        <v>Marca</v>
      </c>
      <c r="AF2967" t="str">
        <f t="shared" si="1931"/>
        <v>Super Rubro</v>
      </c>
      <c r="AG2967" t="str">
        <f t="shared" si="1932"/>
        <v>ComercioExterior</v>
      </c>
      <c r="AH2967" t="str">
        <f t="shared" si="1933"/>
        <v>PrecioFOB</v>
      </c>
      <c r="AI2967" t="str">
        <f t="shared" si="1934"/>
        <v>Monto II</v>
      </c>
      <c r="AJ2967" t="str">
        <f t="shared" si="1935"/>
        <v>Porcentaje II</v>
      </c>
      <c r="AK2967" t="str">
        <f t="shared" si="1936"/>
        <v>Foto</v>
      </c>
      <c r="AL2967" t="str">
        <f>"{\rtf1\ansi\ansicpg1252\deff0\deflang11274{\fonttbl{\f0\fnil\fcharset0 MS Sans Serif}} \viewkind4\uc1\pard\f0\fs16 TAPA BIDON RECUPERADOR VW GOL  1.4 BAR (EX TAP060)\par } "</f>
        <v xml:space="preserve">{\rtf1\ansi\ansicpg1252\deff0\deflang11274{\fonttbl{\f0\fnil\fcharset0 MS Sans Serif}} \viewkind4\uc1\pard\f0\fs16 TAPA BIDON RECUPERADOR VW GOL  1.4 BAR (EX TAP060)\par } </v>
      </c>
      <c r="AM2967" t="str">
        <f t="shared" si="1944"/>
        <v>-</v>
      </c>
    </row>
    <row r="2968" spans="1:39" x14ac:dyDescent="0.25">
      <c r="A2968" t="str">
        <f>"TB049"</f>
        <v>TB049</v>
      </c>
      <c r="B2968" t="str">
        <f>"TAPA BIDON RECUPERADOR VW GOL SENDA FORD ESCORT 1.4 BAR (EX TAP050)"</f>
        <v>TAPA BIDON RECUPERADOR VW GOL SENDA FORD ESCORT 1.4 BAR (EX TAP050)</v>
      </c>
      <c r="C2968" t="str">
        <f>"$ 4493,00"</f>
        <v>$ 4493,00</v>
      </c>
      <c r="D2968" t="str">
        <f>"$ 4493,00"</f>
        <v>$ 4493,00</v>
      </c>
      <c r="E2968" t="str">
        <f>"$ 4493,00"</f>
        <v>$ 4493,00</v>
      </c>
      <c r="F2968" t="str">
        <f>"$ 4493,00"</f>
        <v>$ 4493,00</v>
      </c>
      <c r="G2968" t="str">
        <f>"$ 4493,00"</f>
        <v>$ 4493,00</v>
      </c>
      <c r="H2968" t="str">
        <f t="shared" si="1919"/>
        <v>$ 0,00</v>
      </c>
      <c r="I2968" t="str">
        <f t="shared" si="1938"/>
        <v>TAPA TERMOSTATICA</v>
      </c>
      <c r="J2968" t="str">
        <f t="shared" si="1920"/>
        <v>1</v>
      </c>
      <c r="K2968" t="str">
        <f t="shared" si="1912"/>
        <v>0</v>
      </c>
      <c r="L2968" t="str">
        <f>"17,000"</f>
        <v>17,000</v>
      </c>
      <c r="M2968" t="str">
        <f t="shared" si="1921"/>
        <v xml:space="preserve"> </v>
      </c>
      <c r="N2968" t="str">
        <f t="shared" si="1939"/>
        <v>NAP</v>
      </c>
      <c r="O2968" t="str">
        <f t="shared" si="1940"/>
        <v>DEPOSITO DE EXPANSION</v>
      </c>
      <c r="P2968" t="str">
        <f t="shared" si="1942"/>
        <v>0</v>
      </c>
      <c r="Q2968" t="str">
        <f t="shared" si="1942"/>
        <v>0</v>
      </c>
      <c r="R2968" t="str">
        <f t="shared" si="1943"/>
        <v>0,00</v>
      </c>
      <c r="S2968" t="str">
        <f t="shared" si="1943"/>
        <v>0,00</v>
      </c>
      <c r="T2968" t="str">
        <f t="shared" si="1917"/>
        <v xml:space="preserve"> </v>
      </c>
      <c r="U2968" t="str">
        <f t="shared" si="1918"/>
        <v xml:space="preserve"> </v>
      </c>
      <c r="V2968" t="str">
        <f>"17,000"</f>
        <v>17,000</v>
      </c>
      <c r="W2968" t="str">
        <f t="shared" si="1922"/>
        <v>Lista 4</v>
      </c>
      <c r="X2968" t="str">
        <f t="shared" si="1923"/>
        <v>Lista 5</v>
      </c>
      <c r="Y2968" t="str">
        <f t="shared" si="1924"/>
        <v>Oferta Gral.</v>
      </c>
      <c r="Z2968" t="str">
        <f t="shared" si="1925"/>
        <v>Rubro</v>
      </c>
      <c r="AA2968" t="str">
        <f t="shared" si="1926"/>
        <v>Cantidad por Bulto</v>
      </c>
      <c r="AB2968" t="str">
        <f t="shared" si="1927"/>
        <v>INNER</v>
      </c>
      <c r="AC2968" t="str">
        <f t="shared" si="1928"/>
        <v>Stock en Bultos</v>
      </c>
      <c r="AD2968" t="str">
        <f t="shared" si="1929"/>
        <v>SubDepósito</v>
      </c>
      <c r="AE2968" t="str">
        <f t="shared" si="1930"/>
        <v>Marca</v>
      </c>
      <c r="AF2968" t="str">
        <f t="shared" si="1931"/>
        <v>Super Rubro</v>
      </c>
      <c r="AG2968" t="str">
        <f t="shared" si="1932"/>
        <v>ComercioExterior</v>
      </c>
      <c r="AH2968" t="str">
        <f t="shared" si="1933"/>
        <v>PrecioFOB</v>
      </c>
      <c r="AI2968" t="str">
        <f t="shared" si="1934"/>
        <v>Monto II</v>
      </c>
      <c r="AJ2968" t="str">
        <f t="shared" si="1935"/>
        <v>Porcentaje II</v>
      </c>
      <c r="AK2968" t="str">
        <f t="shared" si="1936"/>
        <v>Foto</v>
      </c>
      <c r="AL2968" t="str">
        <f>"{\rtf1\ansi\ansicpg1252\deff0\deflang11274{\fonttbl{\f0\fnil\fcharset0 MS Sans Serif}} \viewkind4\uc1\pard\f0\fs16 TAPA BIDON RECUPERADOR VW GOL SENDA FORD ESCORT 1.4 BAR (EX TAP050)\par } "</f>
        <v xml:space="preserve">{\rtf1\ansi\ansicpg1252\deff0\deflang11274{\fonttbl{\f0\fnil\fcharset0 MS Sans Serif}} \viewkind4\uc1\pard\f0\fs16 TAPA BIDON RECUPERADOR VW GOL SENDA FORD ESCORT 1.4 BAR (EX TAP050)\par } </v>
      </c>
      <c r="AM2968" t="str">
        <f t="shared" si="1944"/>
        <v>-</v>
      </c>
    </row>
    <row r="2969" spans="1:39" x14ac:dyDescent="0.25">
      <c r="A2969" t="str">
        <f>"TB081"</f>
        <v>TB081</v>
      </c>
      <c r="B2969" t="str">
        <f>"TAPA BIDON RECUPERADOR VW GOL/POLO 1.5 BAR (EX TAP040)"</f>
        <v>TAPA BIDON RECUPERADOR VW GOL/POLO 1.5 BAR (EX TAP040)</v>
      </c>
      <c r="C2969" t="str">
        <f>"$ 5865,90"</f>
        <v>$ 5865,90</v>
      </c>
      <c r="D2969" t="str">
        <f>"$ 5865,90"</f>
        <v>$ 5865,90</v>
      </c>
      <c r="E2969" t="str">
        <f>"$ 5865,90"</f>
        <v>$ 5865,90</v>
      </c>
      <c r="F2969" t="str">
        <f>"$ 5865,90"</f>
        <v>$ 5865,90</v>
      </c>
      <c r="G2969" t="str">
        <f>"$ 5865,90"</f>
        <v>$ 5865,90</v>
      </c>
      <c r="H2969" t="str">
        <f t="shared" si="1919"/>
        <v>$ 0,00</v>
      </c>
      <c r="I2969" t="str">
        <f t="shared" si="1938"/>
        <v>TAPA TERMOSTATICA</v>
      </c>
      <c r="J2969" t="str">
        <f t="shared" si="1920"/>
        <v>1</v>
      </c>
      <c r="K2969" t="str">
        <f t="shared" si="1912"/>
        <v>0</v>
      </c>
      <c r="L2969" t="str">
        <f>"4,000"</f>
        <v>4,000</v>
      </c>
      <c r="M2969" t="str">
        <f t="shared" si="1921"/>
        <v xml:space="preserve"> </v>
      </c>
      <c r="N2969" t="str">
        <f t="shared" si="1939"/>
        <v>NAP</v>
      </c>
      <c r="O2969" t="str">
        <f t="shared" si="1940"/>
        <v>DEPOSITO DE EXPANSION</v>
      </c>
      <c r="P2969" t="str">
        <f t="shared" si="1942"/>
        <v>0</v>
      </c>
      <c r="Q2969" t="str">
        <f t="shared" si="1942"/>
        <v>0</v>
      </c>
      <c r="R2969" t="str">
        <f t="shared" si="1943"/>
        <v>0,00</v>
      </c>
      <c r="S2969" t="str">
        <f t="shared" si="1943"/>
        <v>0,00</v>
      </c>
      <c r="T2969" t="str">
        <f t="shared" si="1917"/>
        <v xml:space="preserve"> </v>
      </c>
      <c r="U2969" t="str">
        <f t="shared" si="1918"/>
        <v xml:space="preserve"> </v>
      </c>
      <c r="V2969" t="str">
        <f>"4,000"</f>
        <v>4,000</v>
      </c>
      <c r="W2969" t="str">
        <f t="shared" si="1922"/>
        <v>Lista 4</v>
      </c>
      <c r="X2969" t="str">
        <f t="shared" si="1923"/>
        <v>Lista 5</v>
      </c>
      <c r="Y2969" t="str">
        <f t="shared" si="1924"/>
        <v>Oferta Gral.</v>
      </c>
      <c r="Z2969" t="str">
        <f t="shared" si="1925"/>
        <v>Rubro</v>
      </c>
      <c r="AA2969" t="str">
        <f t="shared" si="1926"/>
        <v>Cantidad por Bulto</v>
      </c>
      <c r="AB2969" t="str">
        <f t="shared" si="1927"/>
        <v>INNER</v>
      </c>
      <c r="AC2969" t="str">
        <f t="shared" si="1928"/>
        <v>Stock en Bultos</v>
      </c>
      <c r="AD2969" t="str">
        <f t="shared" si="1929"/>
        <v>SubDepósito</v>
      </c>
      <c r="AE2969" t="str">
        <f t="shared" si="1930"/>
        <v>Marca</v>
      </c>
      <c r="AF2969" t="str">
        <f t="shared" si="1931"/>
        <v>Super Rubro</v>
      </c>
      <c r="AG2969" t="str">
        <f t="shared" si="1932"/>
        <v>ComercioExterior</v>
      </c>
      <c r="AH2969" t="str">
        <f t="shared" si="1933"/>
        <v>PrecioFOB</v>
      </c>
      <c r="AI2969" t="str">
        <f t="shared" si="1934"/>
        <v>Monto II</v>
      </c>
      <c r="AJ2969" t="str">
        <f t="shared" si="1935"/>
        <v>Porcentaje II</v>
      </c>
      <c r="AK2969" t="str">
        <f t="shared" si="1936"/>
        <v>Foto</v>
      </c>
      <c r="AL2969" t="str">
        <f>"{\rtf1\ansi\ansicpg1252\deff0\deflang11274{\fonttbl{\f0\fnil\fcharset0 MS Sans Serif}} \viewkind4\uc1\pard\f0\fs16 TAPA BIDON RECUPERADOR VW GOL/POLO 1.5 BAR (EX TAP040)\par } "</f>
        <v xml:space="preserve">{\rtf1\ansi\ansicpg1252\deff0\deflang11274{\fonttbl{\f0\fnil\fcharset0 MS Sans Serif}} \viewkind4\uc1\pard\f0\fs16 TAPA BIDON RECUPERADOR VW GOL/POLO 1.5 BAR (EX TAP040)\par } </v>
      </c>
      <c r="AM2969" t="str">
        <f t="shared" si="1944"/>
        <v>-</v>
      </c>
    </row>
    <row r="2970" spans="1:39" x14ac:dyDescent="0.25">
      <c r="A2970" t="str">
        <f>"TD829"</f>
        <v>TD829</v>
      </c>
      <c r="B2970" t="str">
        <f>"TAPA DE DISTRIBUCION CHEVROLET CORSA (KIT 3 UNIDADES)"</f>
        <v>TAPA DE DISTRIBUCION CHEVROLET CORSA (KIT 3 UNIDADES)</v>
      </c>
      <c r="C2970" t="str">
        <f>"$ 27798,22"</f>
        <v>$ 27798,22</v>
      </c>
      <c r="D2970" t="str">
        <f>"$ 27798,22"</f>
        <v>$ 27798,22</v>
      </c>
      <c r="E2970" t="str">
        <f>"$ 27798,22"</f>
        <v>$ 27798,22</v>
      </c>
      <c r="F2970" t="str">
        <f>"$ 27798,22"</f>
        <v>$ 27798,22</v>
      </c>
      <c r="G2970" t="str">
        <f>"$ 27798,22"</f>
        <v>$ 27798,22</v>
      </c>
      <c r="H2970" t="str">
        <f t="shared" si="1919"/>
        <v>$ 0,00</v>
      </c>
      <c r="I2970" t="str">
        <f>"TAPA  DE DISTRIBUCION"</f>
        <v>TAPA  DE DISTRIBUCION</v>
      </c>
      <c r="J2970" t="str">
        <f t="shared" si="1920"/>
        <v>1</v>
      </c>
      <c r="K2970" t="str">
        <f t="shared" ref="K2970:K3001" si="1945">"0"</f>
        <v>0</v>
      </c>
      <c r="L2970" t="str">
        <f>"0,000"</f>
        <v>0,000</v>
      </c>
      <c r="M2970" t="str">
        <f t="shared" si="1921"/>
        <v xml:space="preserve"> </v>
      </c>
      <c r="N2970" t="str">
        <f>"OSSCA"</f>
        <v>OSSCA</v>
      </c>
      <c r="O2970" t="str">
        <f>"DISTRIBUCION"</f>
        <v>DISTRIBUCION</v>
      </c>
      <c r="P2970" t="str">
        <f t="shared" si="1942"/>
        <v>0</v>
      </c>
      <c r="Q2970" t="str">
        <f t="shared" si="1942"/>
        <v>0</v>
      </c>
      <c r="R2970" t="str">
        <f t="shared" si="1943"/>
        <v>0,00</v>
      </c>
      <c r="S2970" t="str">
        <f t="shared" si="1943"/>
        <v>0,00</v>
      </c>
      <c r="T2970" t="str">
        <f t="shared" si="1917"/>
        <v xml:space="preserve"> </v>
      </c>
      <c r="U2970" t="str">
        <f t="shared" si="1918"/>
        <v xml:space="preserve"> </v>
      </c>
      <c r="V2970" t="str">
        <f>"0,000"</f>
        <v>0,000</v>
      </c>
      <c r="W2970" t="str">
        <f t="shared" si="1922"/>
        <v>Lista 4</v>
      </c>
      <c r="X2970" t="str">
        <f t="shared" si="1923"/>
        <v>Lista 5</v>
      </c>
      <c r="Y2970" t="str">
        <f t="shared" si="1924"/>
        <v>Oferta Gral.</v>
      </c>
      <c r="Z2970" t="str">
        <f t="shared" si="1925"/>
        <v>Rubro</v>
      </c>
      <c r="AA2970" t="str">
        <f t="shared" si="1926"/>
        <v>Cantidad por Bulto</v>
      </c>
      <c r="AB2970" t="str">
        <f t="shared" si="1927"/>
        <v>INNER</v>
      </c>
      <c r="AC2970" t="str">
        <f t="shared" si="1928"/>
        <v>Stock en Bultos</v>
      </c>
      <c r="AD2970" t="str">
        <f t="shared" si="1929"/>
        <v>SubDepósito</v>
      </c>
      <c r="AE2970" t="str">
        <f t="shared" si="1930"/>
        <v>Marca</v>
      </c>
      <c r="AF2970" t="str">
        <f t="shared" si="1931"/>
        <v>Super Rubro</v>
      </c>
      <c r="AG2970" t="str">
        <f t="shared" si="1932"/>
        <v>ComercioExterior</v>
      </c>
      <c r="AH2970" t="str">
        <f t="shared" si="1933"/>
        <v>PrecioFOB</v>
      </c>
      <c r="AI2970" t="str">
        <f t="shared" si="1934"/>
        <v>Monto II</v>
      </c>
      <c r="AJ2970" t="str">
        <f t="shared" si="1935"/>
        <v>Porcentaje II</v>
      </c>
      <c r="AK2970" t="str">
        <f t="shared" si="1936"/>
        <v>Foto</v>
      </c>
      <c r="AL2970" t="str">
        <f>"{\rtf1\ansi\ansicpg1252\deff0\deflang11274{\fonttbl{\f0\fnil\fcharset0 MS Sans Serif}} \viewkind4\uc1\pard\f0\fs16 TAPA DE DISTRIBUCION CHEVROLET CORSA (KIT 3 UNIDADES)\par } "</f>
        <v xml:space="preserve">{\rtf1\ansi\ansicpg1252\deff0\deflang11274{\fonttbl{\f0\fnil\fcharset0 MS Sans Serif}} \viewkind4\uc1\pard\f0\fs16 TAPA DE DISTRIBUCION CHEVROLET CORSA (KIT 3 UNIDADES)\par } </v>
      </c>
      <c r="AM2970" t="str">
        <f t="shared" si="1944"/>
        <v>-</v>
      </c>
    </row>
    <row r="2971" spans="1:39" x14ac:dyDescent="0.25">
      <c r="A2971" t="str">
        <f>"TB098"</f>
        <v>TB098</v>
      </c>
      <c r="B2971" t="str">
        <f>"TAPA DEPOSITO REFRIGERANTE TOYOTA HILUX SW4 2005 A 2015 1KD 2KD (EX TAP190)"</f>
        <v>TAPA DEPOSITO REFRIGERANTE TOYOTA HILUX SW4 2005 A 2015 1KD 2KD (EX TAP190)</v>
      </c>
      <c r="C2971" t="str">
        <f>"$ 11109,66"</f>
        <v>$ 11109,66</v>
      </c>
      <c r="D2971" t="str">
        <f>"$ 11109,66"</f>
        <v>$ 11109,66</v>
      </c>
      <c r="E2971" t="str">
        <f>"$ 11109,66"</f>
        <v>$ 11109,66</v>
      </c>
      <c r="F2971" t="str">
        <f>"$ 11109,66"</f>
        <v>$ 11109,66</v>
      </c>
      <c r="G2971" t="str">
        <f>"$ 11109,66"</f>
        <v>$ 11109,66</v>
      </c>
      <c r="H2971" t="str">
        <f t="shared" si="1919"/>
        <v>$ 0,00</v>
      </c>
      <c r="I2971" t="str">
        <f>"TAPA TERMOSTATICA"</f>
        <v>TAPA TERMOSTATICA</v>
      </c>
      <c r="J2971" t="str">
        <f t="shared" si="1920"/>
        <v>1</v>
      </c>
      <c r="K2971" t="str">
        <f t="shared" si="1945"/>
        <v>0</v>
      </c>
      <c r="L2971" t="str">
        <f>"164,000"</f>
        <v>164,000</v>
      </c>
      <c r="M2971" t="str">
        <f t="shared" si="1921"/>
        <v xml:space="preserve"> </v>
      </c>
      <c r="N2971" t="str">
        <f>"NAP"</f>
        <v>NAP</v>
      </c>
      <c r="O2971" t="str">
        <f>"DEPOSITO DE EXPANSION"</f>
        <v>DEPOSITO DE EXPANSION</v>
      </c>
      <c r="P2971" t="str">
        <f t="shared" si="1942"/>
        <v>0</v>
      </c>
      <c r="Q2971" t="str">
        <f t="shared" si="1942"/>
        <v>0</v>
      </c>
      <c r="R2971" t="str">
        <f t="shared" si="1943"/>
        <v>0,00</v>
      </c>
      <c r="S2971" t="str">
        <f t="shared" si="1943"/>
        <v>0,00</v>
      </c>
      <c r="T2971" t="str">
        <f t="shared" si="1917"/>
        <v xml:space="preserve"> </v>
      </c>
      <c r="U2971" t="str">
        <f t="shared" si="1918"/>
        <v xml:space="preserve"> </v>
      </c>
      <c r="V2971" t="str">
        <f>"164,000"</f>
        <v>164,000</v>
      </c>
      <c r="W2971" t="str">
        <f t="shared" si="1922"/>
        <v>Lista 4</v>
      </c>
      <c r="X2971" t="str">
        <f t="shared" si="1923"/>
        <v>Lista 5</v>
      </c>
      <c r="Y2971" t="str">
        <f t="shared" si="1924"/>
        <v>Oferta Gral.</v>
      </c>
      <c r="Z2971" t="str">
        <f t="shared" si="1925"/>
        <v>Rubro</v>
      </c>
      <c r="AA2971" t="str">
        <f t="shared" si="1926"/>
        <v>Cantidad por Bulto</v>
      </c>
      <c r="AB2971" t="str">
        <f t="shared" si="1927"/>
        <v>INNER</v>
      </c>
      <c r="AC2971" t="str">
        <f t="shared" si="1928"/>
        <v>Stock en Bultos</v>
      </c>
      <c r="AD2971" t="str">
        <f t="shared" si="1929"/>
        <v>SubDepósito</v>
      </c>
      <c r="AE2971" t="str">
        <f t="shared" si="1930"/>
        <v>Marca</v>
      </c>
      <c r="AF2971" t="str">
        <f t="shared" si="1931"/>
        <v>Super Rubro</v>
      </c>
      <c r="AG2971" t="str">
        <f t="shared" si="1932"/>
        <v>ComercioExterior</v>
      </c>
      <c r="AH2971" t="str">
        <f t="shared" si="1933"/>
        <v>PrecioFOB</v>
      </c>
      <c r="AI2971" t="str">
        <f t="shared" si="1934"/>
        <v>Monto II</v>
      </c>
      <c r="AJ2971" t="str">
        <f t="shared" si="1935"/>
        <v>Porcentaje II</v>
      </c>
      <c r="AK2971" t="str">
        <f t="shared" si="1936"/>
        <v>Foto</v>
      </c>
      <c r="AL2971" t="str">
        <f>"{\rtf1\ansi\ansicpg1252\deff0\deflang11274{\fonttbl{\f0\fnil\fcharset0 MS Sans Serif}} \viewkind4\uc1\pard\f0\fs16 TAPA DEPOSITO REFRIGERANTE TOYOTA HILUX SW4 2005 A 2015 1KD 2KD (EX TAP190)\par } "</f>
        <v xml:space="preserve">{\rtf1\ansi\ansicpg1252\deff0\deflang11274{\fonttbl{\f0\fnil\fcharset0 MS Sans Serif}} \viewkind4\uc1\pard\f0\fs16 TAPA DEPOSITO REFRIGERANTE TOYOTA HILUX SW4 2005 A 2015 1KD 2KD (EX TAP190)\par } </v>
      </c>
      <c r="AM2971" t="str">
        <f t="shared" si="1944"/>
        <v>-</v>
      </c>
    </row>
    <row r="2972" spans="1:39" x14ac:dyDescent="0.25">
      <c r="A2972" t="str">
        <f>"FI19048"</f>
        <v>FI19048</v>
      </c>
      <c r="B2972" t="str">
        <f>"TAPA FLOTANTE BOMBA FIAT PUNTO LINEA STILO"</f>
        <v>TAPA FLOTANTE BOMBA FIAT PUNTO LINEA STILO</v>
      </c>
      <c r="C2972" t="str">
        <f>"$ 25676,14"</f>
        <v>$ 25676,14</v>
      </c>
      <c r="D2972" t="str">
        <f>"$ 25676,14"</f>
        <v>$ 25676,14</v>
      </c>
      <c r="E2972" t="str">
        <f>"$ 25676,14"</f>
        <v>$ 25676,14</v>
      </c>
      <c r="F2972" t="str">
        <f>"$ 25676,14"</f>
        <v>$ 25676,14</v>
      </c>
      <c r="G2972" t="str">
        <f>"$ 25676,14"</f>
        <v>$ 25676,14</v>
      </c>
      <c r="H2972" t="str">
        <f t="shared" si="1919"/>
        <v>$ 0,00</v>
      </c>
      <c r="I2972" t="str">
        <f t="shared" ref="I2972:I3003" si="1946">"TAPA FLOTANTE"</f>
        <v>TAPA FLOTANTE</v>
      </c>
      <c r="J2972" t="str">
        <f t="shared" si="1920"/>
        <v>1</v>
      </c>
      <c r="K2972" t="str">
        <f t="shared" si="1945"/>
        <v>0</v>
      </c>
      <c r="L2972" t="str">
        <f>"4,000"</f>
        <v>4,000</v>
      </c>
      <c r="M2972" t="str">
        <f t="shared" si="1921"/>
        <v xml:space="preserve"> </v>
      </c>
      <c r="N2972" t="str">
        <f t="shared" ref="N2972:N3003" si="1947">"FISPA"</f>
        <v>FISPA</v>
      </c>
      <c r="O2972" t="str">
        <f t="shared" ref="O2972:O3003" si="1948">"BOMBAS"</f>
        <v>BOMBAS</v>
      </c>
      <c r="P2972" t="str">
        <f t="shared" si="1942"/>
        <v>0</v>
      </c>
      <c r="Q2972" t="str">
        <f t="shared" si="1942"/>
        <v>0</v>
      </c>
      <c r="R2972" t="str">
        <f t="shared" si="1943"/>
        <v>0,00</v>
      </c>
      <c r="S2972" t="str">
        <f t="shared" si="1943"/>
        <v>0,00</v>
      </c>
      <c r="T2972" t="str">
        <f t="shared" si="1917"/>
        <v xml:space="preserve"> </v>
      </c>
      <c r="U2972" t="str">
        <f t="shared" si="1918"/>
        <v xml:space="preserve"> </v>
      </c>
      <c r="V2972" t="str">
        <f>"4,000"</f>
        <v>4,000</v>
      </c>
      <c r="W2972" t="str">
        <f t="shared" si="1922"/>
        <v>Lista 4</v>
      </c>
      <c r="X2972" t="str">
        <f t="shared" si="1923"/>
        <v>Lista 5</v>
      </c>
      <c r="Y2972" t="str">
        <f t="shared" si="1924"/>
        <v>Oferta Gral.</v>
      </c>
      <c r="Z2972" t="str">
        <f t="shared" si="1925"/>
        <v>Rubro</v>
      </c>
      <c r="AA2972" t="str">
        <f t="shared" si="1926"/>
        <v>Cantidad por Bulto</v>
      </c>
      <c r="AB2972" t="str">
        <f t="shared" si="1927"/>
        <v>INNER</v>
      </c>
      <c r="AC2972" t="str">
        <f t="shared" si="1928"/>
        <v>Stock en Bultos</v>
      </c>
      <c r="AD2972" t="str">
        <f t="shared" si="1929"/>
        <v>SubDepósito</v>
      </c>
      <c r="AE2972" t="str">
        <f t="shared" si="1930"/>
        <v>Marca</v>
      </c>
      <c r="AF2972" t="str">
        <f t="shared" si="1931"/>
        <v>Super Rubro</v>
      </c>
      <c r="AG2972" t="str">
        <f t="shared" si="1932"/>
        <v>ComercioExterior</v>
      </c>
      <c r="AH2972" t="str">
        <f t="shared" si="1933"/>
        <v>PrecioFOB</v>
      </c>
      <c r="AI2972" t="str">
        <f t="shared" si="1934"/>
        <v>Monto II</v>
      </c>
      <c r="AJ2972" t="str">
        <f t="shared" si="1935"/>
        <v>Porcentaje II</v>
      </c>
      <c r="AK2972" t="str">
        <f t="shared" si="1936"/>
        <v>Foto</v>
      </c>
      <c r="AL2972" t="str">
        <f>"{\rtf1\ansi\ansicpg1252\deff0\deflang11274{\fonttbl{\f0\fnil\fcharset0 MS Sans Serif}} \viewkind4\uc1\pard\f0\fs16 TAPA FLOTANTE BOMBA FIAT PUNTO LINEA STILO\par } "</f>
        <v xml:space="preserve">{\rtf1\ansi\ansicpg1252\deff0\deflang11274{\fonttbl{\f0\fnil\fcharset0 MS Sans Serif}} \viewkind4\uc1\pard\f0\fs16 TAPA FLOTANTE BOMBA FIAT PUNTO LINEA STILO\par } </v>
      </c>
      <c r="AM2972" t="str">
        <f>" "</f>
        <v xml:space="preserve"> </v>
      </c>
    </row>
    <row r="2973" spans="1:39" x14ac:dyDescent="0.25">
      <c r="A2973" t="str">
        <f>"FI19003"</f>
        <v>FI19003</v>
      </c>
      <c r="B2973" t="str">
        <f>"TAPA FLOTANTE CHEVROLET CELTA/CORSA 2000&gt; (C/REGUL.)  NAFTERO"</f>
        <v>TAPA FLOTANTE CHEVROLET CELTA/CORSA 2000&gt; (C/REGUL.)  NAFTERO</v>
      </c>
      <c r="C2973" t="str">
        <f>"$ 20480,13"</f>
        <v>$ 20480,13</v>
      </c>
      <c r="D2973" t="str">
        <f>"$ 20480,13"</f>
        <v>$ 20480,13</v>
      </c>
      <c r="E2973" t="str">
        <f>"$ 20480,13"</f>
        <v>$ 20480,13</v>
      </c>
      <c r="F2973" t="str">
        <f>"$ 20480,13"</f>
        <v>$ 20480,13</v>
      </c>
      <c r="G2973" t="str">
        <f>"$ 20480,13"</f>
        <v>$ 20480,13</v>
      </c>
      <c r="H2973" t="str">
        <f t="shared" si="1919"/>
        <v>$ 0,00</v>
      </c>
      <c r="I2973" t="str">
        <f t="shared" si="1946"/>
        <v>TAPA FLOTANTE</v>
      </c>
      <c r="J2973" t="str">
        <f t="shared" si="1920"/>
        <v>1</v>
      </c>
      <c r="K2973" t="str">
        <f t="shared" si="1945"/>
        <v>0</v>
      </c>
      <c r="L2973" t="str">
        <f>"3,000"</f>
        <v>3,000</v>
      </c>
      <c r="M2973" t="str">
        <f t="shared" si="1921"/>
        <v xml:space="preserve"> </v>
      </c>
      <c r="N2973" t="str">
        <f t="shared" si="1947"/>
        <v>FISPA</v>
      </c>
      <c r="O2973" t="str">
        <f t="shared" si="1948"/>
        <v>BOMBAS</v>
      </c>
      <c r="P2973" t="str">
        <f t="shared" si="1942"/>
        <v>0</v>
      </c>
      <c r="Q2973" t="str">
        <f t="shared" si="1942"/>
        <v>0</v>
      </c>
      <c r="R2973" t="str">
        <f t="shared" si="1943"/>
        <v>0,00</v>
      </c>
      <c r="S2973" t="str">
        <f t="shared" si="1943"/>
        <v>0,00</v>
      </c>
      <c r="T2973" t="str">
        <f t="shared" si="1917"/>
        <v xml:space="preserve"> </v>
      </c>
      <c r="U2973" t="str">
        <f t="shared" si="1918"/>
        <v xml:space="preserve"> </v>
      </c>
      <c r="V2973" t="str">
        <f>"3,000"</f>
        <v>3,000</v>
      </c>
      <c r="W2973" t="str">
        <f t="shared" si="1922"/>
        <v>Lista 4</v>
      </c>
      <c r="X2973" t="str">
        <f t="shared" si="1923"/>
        <v>Lista 5</v>
      </c>
      <c r="Y2973" t="str">
        <f t="shared" si="1924"/>
        <v>Oferta Gral.</v>
      </c>
      <c r="Z2973" t="str">
        <f t="shared" si="1925"/>
        <v>Rubro</v>
      </c>
      <c r="AA2973" t="str">
        <f t="shared" si="1926"/>
        <v>Cantidad por Bulto</v>
      </c>
      <c r="AB2973" t="str">
        <f t="shared" si="1927"/>
        <v>INNER</v>
      </c>
      <c r="AC2973" t="str">
        <f t="shared" si="1928"/>
        <v>Stock en Bultos</v>
      </c>
      <c r="AD2973" t="str">
        <f t="shared" si="1929"/>
        <v>SubDepósito</v>
      </c>
      <c r="AE2973" t="str">
        <f t="shared" si="1930"/>
        <v>Marca</v>
      </c>
      <c r="AF2973" t="str">
        <f t="shared" si="1931"/>
        <v>Super Rubro</v>
      </c>
      <c r="AG2973" t="str">
        <f t="shared" si="1932"/>
        <v>ComercioExterior</v>
      </c>
      <c r="AH2973" t="str">
        <f t="shared" si="1933"/>
        <v>PrecioFOB</v>
      </c>
      <c r="AI2973" t="str">
        <f t="shared" si="1934"/>
        <v>Monto II</v>
      </c>
      <c r="AJ2973" t="str">
        <f t="shared" si="1935"/>
        <v>Porcentaje II</v>
      </c>
      <c r="AK2973" t="str">
        <f t="shared" si="1936"/>
        <v>Foto</v>
      </c>
      <c r="AL297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73" t="str">
        <f t="shared" ref="AM2973:AM3006" si="1949">"-"</f>
        <v>-</v>
      </c>
    </row>
    <row r="2974" spans="1:39" x14ac:dyDescent="0.25">
      <c r="A2974" t="str">
        <f>"FI19002"</f>
        <v>FI19002</v>
      </c>
      <c r="B2974" t="str">
        <f>"TAPA FLOTANTE CHEVROLET CORSA 2000&gt;  (SIN REGULADOR) NAFTERO"</f>
        <v>TAPA FLOTANTE CHEVROLET CORSA 2000&gt;  (SIN REGULADOR) NAFTERO</v>
      </c>
      <c r="C2974" t="str">
        <f>"$ 20170,10"</f>
        <v>$ 20170,10</v>
      </c>
      <c r="D2974" t="str">
        <f>"$ 20170,10"</f>
        <v>$ 20170,10</v>
      </c>
      <c r="E2974" t="str">
        <f>"$ 20170,10"</f>
        <v>$ 20170,10</v>
      </c>
      <c r="F2974" t="str">
        <f>"$ 20170,10"</f>
        <v>$ 20170,10</v>
      </c>
      <c r="G2974" t="str">
        <f>"$ 20170,10"</f>
        <v>$ 20170,10</v>
      </c>
      <c r="H2974" t="str">
        <f t="shared" si="1919"/>
        <v>$ 0,00</v>
      </c>
      <c r="I2974" t="str">
        <f t="shared" si="1946"/>
        <v>TAPA FLOTANTE</v>
      </c>
      <c r="J2974" t="str">
        <f t="shared" si="1920"/>
        <v>1</v>
      </c>
      <c r="K2974" t="str">
        <f t="shared" si="1945"/>
        <v>0</v>
      </c>
      <c r="L2974" t="str">
        <f>"5,000"</f>
        <v>5,000</v>
      </c>
      <c r="M2974" t="str">
        <f t="shared" si="1921"/>
        <v xml:space="preserve"> </v>
      </c>
      <c r="N2974" t="str">
        <f t="shared" si="1947"/>
        <v>FISPA</v>
      </c>
      <c r="O2974" t="str">
        <f t="shared" si="1948"/>
        <v>BOMBAS</v>
      </c>
      <c r="P2974" t="str">
        <f t="shared" si="1942"/>
        <v>0</v>
      </c>
      <c r="Q2974" t="str">
        <f t="shared" si="1942"/>
        <v>0</v>
      </c>
      <c r="R2974" t="str">
        <f t="shared" si="1943"/>
        <v>0,00</v>
      </c>
      <c r="S2974" t="str">
        <f t="shared" si="1943"/>
        <v>0,00</v>
      </c>
      <c r="T2974" t="str">
        <f t="shared" si="1917"/>
        <v xml:space="preserve"> </v>
      </c>
      <c r="U2974" t="str">
        <f t="shared" si="1918"/>
        <v xml:space="preserve"> </v>
      </c>
      <c r="V2974" t="str">
        <f>"5,000"</f>
        <v>5,000</v>
      </c>
      <c r="W2974" t="str">
        <f t="shared" si="1922"/>
        <v>Lista 4</v>
      </c>
      <c r="X2974" t="str">
        <f t="shared" si="1923"/>
        <v>Lista 5</v>
      </c>
      <c r="Y2974" t="str">
        <f t="shared" si="1924"/>
        <v>Oferta Gral.</v>
      </c>
      <c r="Z2974" t="str">
        <f t="shared" si="1925"/>
        <v>Rubro</v>
      </c>
      <c r="AA2974" t="str">
        <f t="shared" si="1926"/>
        <v>Cantidad por Bulto</v>
      </c>
      <c r="AB2974" t="str">
        <f t="shared" si="1927"/>
        <v>INNER</v>
      </c>
      <c r="AC2974" t="str">
        <f t="shared" si="1928"/>
        <v>Stock en Bultos</v>
      </c>
      <c r="AD2974" t="str">
        <f t="shared" si="1929"/>
        <v>SubDepósito</v>
      </c>
      <c r="AE2974" t="str">
        <f t="shared" si="1930"/>
        <v>Marca</v>
      </c>
      <c r="AF2974" t="str">
        <f t="shared" si="1931"/>
        <v>Super Rubro</v>
      </c>
      <c r="AG2974" t="str">
        <f t="shared" si="1932"/>
        <v>ComercioExterior</v>
      </c>
      <c r="AH2974" t="str">
        <f t="shared" si="1933"/>
        <v>PrecioFOB</v>
      </c>
      <c r="AI2974" t="str">
        <f t="shared" si="1934"/>
        <v>Monto II</v>
      </c>
      <c r="AJ2974" t="str">
        <f t="shared" si="1935"/>
        <v>Porcentaje II</v>
      </c>
      <c r="AK2974" t="str">
        <f t="shared" si="1936"/>
        <v>Foto</v>
      </c>
      <c r="AL297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74" t="str">
        <f t="shared" si="1949"/>
        <v>-</v>
      </c>
    </row>
    <row r="2975" spans="1:39" x14ac:dyDescent="0.25">
      <c r="A2975" t="str">
        <f>"FI19042"</f>
        <v>FI19042</v>
      </c>
      <c r="B2975" t="str">
        <f>"TAPA FLOTANTE CHEVROLET CORSA DESDE 2004 "</f>
        <v xml:space="preserve">TAPA FLOTANTE CHEVROLET CORSA DESDE 2004 </v>
      </c>
      <c r="C2975" t="str">
        <f>"$ 23361,92"</f>
        <v>$ 23361,92</v>
      </c>
      <c r="D2975" t="str">
        <f>"$ 23361,92"</f>
        <v>$ 23361,92</v>
      </c>
      <c r="E2975" t="str">
        <f>"$ 23361,92"</f>
        <v>$ 23361,92</v>
      </c>
      <c r="F2975" t="str">
        <f>"$ 23361,92"</f>
        <v>$ 23361,92</v>
      </c>
      <c r="G2975" t="str">
        <f>"$ 23361,92"</f>
        <v>$ 23361,92</v>
      </c>
      <c r="H2975" t="str">
        <f t="shared" si="1919"/>
        <v>$ 0,00</v>
      </c>
      <c r="I2975" t="str">
        <f t="shared" si="1946"/>
        <v>TAPA FLOTANTE</v>
      </c>
      <c r="J2975" t="str">
        <f t="shared" si="1920"/>
        <v>1</v>
      </c>
      <c r="K2975" t="str">
        <f t="shared" si="1945"/>
        <v>0</v>
      </c>
      <c r="L2975" t="str">
        <f>"2,000"</f>
        <v>2,000</v>
      </c>
      <c r="M2975" t="str">
        <f t="shared" si="1921"/>
        <v xml:space="preserve"> </v>
      </c>
      <c r="N2975" t="str">
        <f t="shared" si="1947"/>
        <v>FISPA</v>
      </c>
      <c r="O2975" t="str">
        <f t="shared" si="1948"/>
        <v>BOMBAS</v>
      </c>
      <c r="P2975" t="str">
        <f t="shared" si="1942"/>
        <v>0</v>
      </c>
      <c r="Q2975" t="str">
        <f t="shared" si="1942"/>
        <v>0</v>
      </c>
      <c r="R2975" t="str">
        <f t="shared" si="1943"/>
        <v>0,00</v>
      </c>
      <c r="S2975" t="str">
        <f t="shared" si="1943"/>
        <v>0,00</v>
      </c>
      <c r="T2975" t="str">
        <f t="shared" si="1917"/>
        <v xml:space="preserve"> </v>
      </c>
      <c r="U2975" t="str">
        <f t="shared" si="1918"/>
        <v xml:space="preserve"> </v>
      </c>
      <c r="V2975" t="str">
        <f>"2,000"</f>
        <v>2,000</v>
      </c>
      <c r="W2975" t="str">
        <f t="shared" si="1922"/>
        <v>Lista 4</v>
      </c>
      <c r="X2975" t="str">
        <f t="shared" si="1923"/>
        <v>Lista 5</v>
      </c>
      <c r="Y2975" t="str">
        <f t="shared" si="1924"/>
        <v>Oferta Gral.</v>
      </c>
      <c r="Z2975" t="str">
        <f t="shared" si="1925"/>
        <v>Rubro</v>
      </c>
      <c r="AA2975" t="str">
        <f t="shared" si="1926"/>
        <v>Cantidad por Bulto</v>
      </c>
      <c r="AB2975" t="str">
        <f t="shared" si="1927"/>
        <v>INNER</v>
      </c>
      <c r="AC2975" t="str">
        <f t="shared" si="1928"/>
        <v>Stock en Bultos</v>
      </c>
      <c r="AD2975" t="str">
        <f t="shared" si="1929"/>
        <v>SubDepósito</v>
      </c>
      <c r="AE2975" t="str">
        <f t="shared" si="1930"/>
        <v>Marca</v>
      </c>
      <c r="AF2975" t="str">
        <f t="shared" si="1931"/>
        <v>Super Rubro</v>
      </c>
      <c r="AG2975" t="str">
        <f t="shared" si="1932"/>
        <v>ComercioExterior</v>
      </c>
      <c r="AH2975" t="str">
        <f t="shared" si="1933"/>
        <v>PrecioFOB</v>
      </c>
      <c r="AI2975" t="str">
        <f t="shared" si="1934"/>
        <v>Monto II</v>
      </c>
      <c r="AJ2975" t="str">
        <f t="shared" si="1935"/>
        <v>Porcentaje II</v>
      </c>
      <c r="AK2975" t="str">
        <f t="shared" si="1936"/>
        <v>Foto</v>
      </c>
      <c r="AL2975" t="str">
        <f>"{\rtf1\ansi\ansicpg1252\deff0\deflang2058{\fonttbl{\f0\fnil\fcharset0 MS Sans Serif}} \viewkind4\uc1\pard\f0\fs16 TAPA FLOTANTE CHEVROLET CORSA DESDE 2004 \par } "</f>
        <v xml:space="preserve">{\rtf1\ansi\ansicpg1252\deff0\deflang2058{\fonttbl{\f0\fnil\fcharset0 MS Sans Serif}} \viewkind4\uc1\pard\f0\fs16 TAPA FLOTANTE CHEVROLET CORSA DESDE 2004 \par } </v>
      </c>
      <c r="AM2975" t="str">
        <f t="shared" si="1949"/>
        <v>-</v>
      </c>
    </row>
    <row r="2976" spans="1:39" x14ac:dyDescent="0.25">
      <c r="A2976" t="str">
        <f>"FI19001"</f>
        <v>FI19001</v>
      </c>
      <c r="B2976" t="str">
        <f>"TAPA FLOTANTE CHEVROLET CORSA TODOS  2002&gt; NAFTERO"</f>
        <v>TAPA FLOTANTE CHEVROLET CORSA TODOS  2002&gt; NAFTERO</v>
      </c>
      <c r="C2976" t="str">
        <f>"$ 23271,60"</f>
        <v>$ 23271,60</v>
      </c>
      <c r="D2976" t="str">
        <f>"$ 23271,60"</f>
        <v>$ 23271,60</v>
      </c>
      <c r="E2976" t="str">
        <f>"$ 23271,60"</f>
        <v>$ 23271,60</v>
      </c>
      <c r="F2976" t="str">
        <f>"$ 23271,60"</f>
        <v>$ 23271,60</v>
      </c>
      <c r="G2976" t="str">
        <f>"$ 23271,60"</f>
        <v>$ 23271,60</v>
      </c>
      <c r="H2976" t="str">
        <f t="shared" si="1919"/>
        <v>$ 0,00</v>
      </c>
      <c r="I2976" t="str">
        <f t="shared" si="1946"/>
        <v>TAPA FLOTANTE</v>
      </c>
      <c r="J2976" t="str">
        <f t="shared" si="1920"/>
        <v>1</v>
      </c>
      <c r="K2976" t="str">
        <f t="shared" si="1945"/>
        <v>0</v>
      </c>
      <c r="L2976" t="str">
        <f>"0,000"</f>
        <v>0,000</v>
      </c>
      <c r="M2976" t="str">
        <f t="shared" si="1921"/>
        <v xml:space="preserve"> </v>
      </c>
      <c r="N2976" t="str">
        <f t="shared" si="1947"/>
        <v>FISPA</v>
      </c>
      <c r="O2976" t="str">
        <f t="shared" si="1948"/>
        <v>BOMBAS</v>
      </c>
      <c r="P2976" t="str">
        <f t="shared" si="1942"/>
        <v>0</v>
      </c>
      <c r="Q2976" t="str">
        <f t="shared" si="1942"/>
        <v>0</v>
      </c>
      <c r="R2976" t="str">
        <f t="shared" si="1943"/>
        <v>0,00</v>
      </c>
      <c r="S2976" t="str">
        <f t="shared" si="1943"/>
        <v>0,00</v>
      </c>
      <c r="T2976" t="str">
        <f t="shared" si="1917"/>
        <v xml:space="preserve"> </v>
      </c>
      <c r="U2976" t="str">
        <f t="shared" si="1918"/>
        <v xml:space="preserve"> </v>
      </c>
      <c r="V2976" t="str">
        <f>"0,000"</f>
        <v>0,000</v>
      </c>
      <c r="W2976" t="str">
        <f t="shared" si="1922"/>
        <v>Lista 4</v>
      </c>
      <c r="X2976" t="str">
        <f t="shared" si="1923"/>
        <v>Lista 5</v>
      </c>
      <c r="Y2976" t="str">
        <f t="shared" si="1924"/>
        <v>Oferta Gral.</v>
      </c>
      <c r="Z2976" t="str">
        <f t="shared" si="1925"/>
        <v>Rubro</v>
      </c>
      <c r="AA2976" t="str">
        <f t="shared" si="1926"/>
        <v>Cantidad por Bulto</v>
      </c>
      <c r="AB2976" t="str">
        <f t="shared" si="1927"/>
        <v>INNER</v>
      </c>
      <c r="AC2976" t="str">
        <f t="shared" si="1928"/>
        <v>Stock en Bultos</v>
      </c>
      <c r="AD2976" t="str">
        <f t="shared" si="1929"/>
        <v>SubDepósito</v>
      </c>
      <c r="AE2976" t="str">
        <f t="shared" si="1930"/>
        <v>Marca</v>
      </c>
      <c r="AF2976" t="str">
        <f t="shared" si="1931"/>
        <v>Super Rubro</v>
      </c>
      <c r="AG2976" t="str">
        <f t="shared" si="1932"/>
        <v>ComercioExterior</v>
      </c>
      <c r="AH2976" t="str">
        <f t="shared" si="1933"/>
        <v>PrecioFOB</v>
      </c>
      <c r="AI2976" t="str">
        <f t="shared" si="1934"/>
        <v>Monto II</v>
      </c>
      <c r="AJ2976" t="str">
        <f t="shared" si="1935"/>
        <v>Porcentaje II</v>
      </c>
      <c r="AK2976" t="str">
        <f t="shared" si="1936"/>
        <v>Foto</v>
      </c>
      <c r="AL297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76" t="str">
        <f t="shared" si="1949"/>
        <v>-</v>
      </c>
    </row>
    <row r="2977" spans="1:39" x14ac:dyDescent="0.25">
      <c r="A2977" t="str">
        <f>"FI19015"</f>
        <v>FI19015</v>
      </c>
      <c r="B2977" t="str">
        <f>"TAPA FLOTANTE CHEVROLET CORSA/CELTA/PRISMA/AGILE 07/2007&gt; NAFTERO"</f>
        <v>TAPA FLOTANTE CHEVROLET CORSA/CELTA/PRISMA/AGILE 07/2007&gt; NAFTERO</v>
      </c>
      <c r="C2977" t="str">
        <f>"$ 22258,51"</f>
        <v>$ 22258,51</v>
      </c>
      <c r="D2977" t="str">
        <f>"$ 22258,51"</f>
        <v>$ 22258,51</v>
      </c>
      <c r="E2977" t="str">
        <f>"$ 22258,51"</f>
        <v>$ 22258,51</v>
      </c>
      <c r="F2977" t="str">
        <f>"$ 22258,51"</f>
        <v>$ 22258,51</v>
      </c>
      <c r="G2977" t="str">
        <f>"$ 22258,51"</f>
        <v>$ 22258,51</v>
      </c>
      <c r="H2977" t="str">
        <f t="shared" si="1919"/>
        <v>$ 0,00</v>
      </c>
      <c r="I2977" t="str">
        <f t="shared" si="1946"/>
        <v>TAPA FLOTANTE</v>
      </c>
      <c r="J2977" t="str">
        <f t="shared" si="1920"/>
        <v>1</v>
      </c>
      <c r="K2977" t="str">
        <f t="shared" si="1945"/>
        <v>0</v>
      </c>
      <c r="L2977" t="str">
        <f>"5,000"</f>
        <v>5,000</v>
      </c>
      <c r="M2977" t="str">
        <f t="shared" si="1921"/>
        <v xml:space="preserve"> </v>
      </c>
      <c r="N2977" t="str">
        <f t="shared" si="1947"/>
        <v>FISPA</v>
      </c>
      <c r="O2977" t="str">
        <f t="shared" si="1948"/>
        <v>BOMBAS</v>
      </c>
      <c r="P2977" t="str">
        <f t="shared" si="1942"/>
        <v>0</v>
      </c>
      <c r="Q2977" t="str">
        <f t="shared" si="1942"/>
        <v>0</v>
      </c>
      <c r="R2977" t="str">
        <f t="shared" si="1943"/>
        <v>0,00</v>
      </c>
      <c r="S2977" t="str">
        <f t="shared" si="1943"/>
        <v>0,00</v>
      </c>
      <c r="T2977" t="str">
        <f t="shared" si="1917"/>
        <v xml:space="preserve"> </v>
      </c>
      <c r="U2977" t="str">
        <f t="shared" si="1918"/>
        <v xml:space="preserve"> </v>
      </c>
      <c r="V2977" t="str">
        <f>"5,000"</f>
        <v>5,000</v>
      </c>
      <c r="W2977" t="str">
        <f t="shared" si="1922"/>
        <v>Lista 4</v>
      </c>
      <c r="X2977" t="str">
        <f t="shared" si="1923"/>
        <v>Lista 5</v>
      </c>
      <c r="Y2977" t="str">
        <f t="shared" si="1924"/>
        <v>Oferta Gral.</v>
      </c>
      <c r="Z2977" t="str">
        <f t="shared" si="1925"/>
        <v>Rubro</v>
      </c>
      <c r="AA2977" t="str">
        <f t="shared" si="1926"/>
        <v>Cantidad por Bulto</v>
      </c>
      <c r="AB2977" t="str">
        <f t="shared" si="1927"/>
        <v>INNER</v>
      </c>
      <c r="AC2977" t="str">
        <f t="shared" si="1928"/>
        <v>Stock en Bultos</v>
      </c>
      <c r="AD2977" t="str">
        <f t="shared" si="1929"/>
        <v>SubDepósito</v>
      </c>
      <c r="AE2977" t="str">
        <f t="shared" si="1930"/>
        <v>Marca</v>
      </c>
      <c r="AF2977" t="str">
        <f t="shared" si="1931"/>
        <v>Super Rubro</v>
      </c>
      <c r="AG2977" t="str">
        <f t="shared" si="1932"/>
        <v>ComercioExterior</v>
      </c>
      <c r="AH2977" t="str">
        <f t="shared" si="1933"/>
        <v>PrecioFOB</v>
      </c>
      <c r="AI2977" t="str">
        <f t="shared" si="1934"/>
        <v>Monto II</v>
      </c>
      <c r="AJ2977" t="str">
        <f t="shared" si="1935"/>
        <v>Porcentaje II</v>
      </c>
      <c r="AK2977" t="str">
        <f t="shared" si="1936"/>
        <v>Foto</v>
      </c>
      <c r="AL297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77" t="str">
        <f t="shared" si="1949"/>
        <v>-</v>
      </c>
    </row>
    <row r="2978" spans="1:39" x14ac:dyDescent="0.25">
      <c r="A2978" t="str">
        <f>"FI19027"</f>
        <v>FI19027</v>
      </c>
      <c r="B2978" t="str">
        <f>"TAPA FLOTANTE CHEVROLET MERIVA/ MONTANA - TODOS AÑO 09/2002&gt; 07/2004."</f>
        <v>TAPA FLOTANTE CHEVROLET MERIVA/ MONTANA - TODOS AÑO 09/2002&gt; 07/2004.</v>
      </c>
      <c r="C2978" t="str">
        <f>"$ 32145,22"</f>
        <v>$ 32145,22</v>
      </c>
      <c r="D2978" t="str">
        <f>"$ 32145,22"</f>
        <v>$ 32145,22</v>
      </c>
      <c r="E2978" t="str">
        <f>"$ 32145,22"</f>
        <v>$ 32145,22</v>
      </c>
      <c r="F2978" t="str">
        <f>"$ 32145,22"</f>
        <v>$ 32145,22</v>
      </c>
      <c r="G2978" t="str">
        <f>"$ 32145,22"</f>
        <v>$ 32145,22</v>
      </c>
      <c r="H2978" t="str">
        <f t="shared" si="1919"/>
        <v>$ 0,00</v>
      </c>
      <c r="I2978" t="str">
        <f t="shared" si="1946"/>
        <v>TAPA FLOTANTE</v>
      </c>
      <c r="J2978" t="str">
        <f t="shared" si="1920"/>
        <v>1</v>
      </c>
      <c r="K2978" t="str">
        <f t="shared" si="1945"/>
        <v>0</v>
      </c>
      <c r="L2978" t="str">
        <f>"3,000"</f>
        <v>3,000</v>
      </c>
      <c r="M2978" t="str">
        <f t="shared" si="1921"/>
        <v xml:space="preserve"> </v>
      </c>
      <c r="N2978" t="str">
        <f t="shared" si="1947"/>
        <v>FISPA</v>
      </c>
      <c r="O2978" t="str">
        <f t="shared" si="1948"/>
        <v>BOMBAS</v>
      </c>
      <c r="P2978" t="str">
        <f t="shared" si="1942"/>
        <v>0</v>
      </c>
      <c r="Q2978" t="str">
        <f t="shared" si="1942"/>
        <v>0</v>
      </c>
      <c r="R2978" t="str">
        <f t="shared" si="1943"/>
        <v>0,00</v>
      </c>
      <c r="S2978" t="str">
        <f t="shared" si="1943"/>
        <v>0,00</v>
      </c>
      <c r="T2978" t="str">
        <f t="shared" si="1917"/>
        <v xml:space="preserve"> </v>
      </c>
      <c r="U2978" t="str">
        <f t="shared" si="1918"/>
        <v xml:space="preserve"> </v>
      </c>
      <c r="V2978" t="str">
        <f>"3,000"</f>
        <v>3,000</v>
      </c>
      <c r="W2978" t="str">
        <f t="shared" si="1922"/>
        <v>Lista 4</v>
      </c>
      <c r="X2978" t="str">
        <f t="shared" si="1923"/>
        <v>Lista 5</v>
      </c>
      <c r="Y2978" t="str">
        <f t="shared" si="1924"/>
        <v>Oferta Gral.</v>
      </c>
      <c r="Z2978" t="str">
        <f t="shared" si="1925"/>
        <v>Rubro</v>
      </c>
      <c r="AA2978" t="str">
        <f t="shared" si="1926"/>
        <v>Cantidad por Bulto</v>
      </c>
      <c r="AB2978" t="str">
        <f t="shared" si="1927"/>
        <v>INNER</v>
      </c>
      <c r="AC2978" t="str">
        <f t="shared" si="1928"/>
        <v>Stock en Bultos</v>
      </c>
      <c r="AD2978" t="str">
        <f t="shared" si="1929"/>
        <v>SubDepósito</v>
      </c>
      <c r="AE2978" t="str">
        <f t="shared" si="1930"/>
        <v>Marca</v>
      </c>
      <c r="AF2978" t="str">
        <f t="shared" si="1931"/>
        <v>Super Rubro</v>
      </c>
      <c r="AG2978" t="str">
        <f t="shared" si="1932"/>
        <v>ComercioExterior</v>
      </c>
      <c r="AH2978" t="str">
        <f t="shared" si="1933"/>
        <v>PrecioFOB</v>
      </c>
      <c r="AI2978" t="str">
        <f t="shared" si="1934"/>
        <v>Monto II</v>
      </c>
      <c r="AJ2978" t="str">
        <f t="shared" si="1935"/>
        <v>Porcentaje II</v>
      </c>
      <c r="AK2978" t="str">
        <f t="shared" si="1936"/>
        <v>Foto</v>
      </c>
      <c r="AL2978" t="str">
        <f>" "</f>
        <v xml:space="preserve"> </v>
      </c>
      <c r="AM2978" t="str">
        <f t="shared" si="1949"/>
        <v>-</v>
      </c>
    </row>
    <row r="2979" spans="1:39" x14ac:dyDescent="0.25">
      <c r="A2979" t="str">
        <f>"FI19009"</f>
        <v>FI19009</v>
      </c>
      <c r="B2979" t="str">
        <f>"TAPA FLOTANTE CHEVROLET ZAFIRA TODOS 03/2004 &gt; NAFTERO"</f>
        <v>TAPA FLOTANTE CHEVROLET ZAFIRA TODOS 03/2004 &gt; NAFTERO</v>
      </c>
      <c r="C2979" t="str">
        <f>"$ 22806,55"</f>
        <v>$ 22806,55</v>
      </c>
      <c r="D2979" t="str">
        <f>"$ 22806,55"</f>
        <v>$ 22806,55</v>
      </c>
      <c r="E2979" t="str">
        <f>"$ 22806,55"</f>
        <v>$ 22806,55</v>
      </c>
      <c r="F2979" t="str">
        <f>"$ 22806,55"</f>
        <v>$ 22806,55</v>
      </c>
      <c r="G2979" t="str">
        <f>"$ 22806,55"</f>
        <v>$ 22806,55</v>
      </c>
      <c r="H2979" t="str">
        <f t="shared" si="1919"/>
        <v>$ 0,00</v>
      </c>
      <c r="I2979" t="str">
        <f t="shared" si="1946"/>
        <v>TAPA FLOTANTE</v>
      </c>
      <c r="J2979" t="str">
        <f t="shared" si="1920"/>
        <v>1</v>
      </c>
      <c r="K2979" t="str">
        <f t="shared" si="1945"/>
        <v>0</v>
      </c>
      <c r="L2979" t="str">
        <f>"2,000"</f>
        <v>2,000</v>
      </c>
      <c r="M2979" t="str">
        <f t="shared" si="1921"/>
        <v xml:space="preserve"> </v>
      </c>
      <c r="N2979" t="str">
        <f t="shared" si="1947"/>
        <v>FISPA</v>
      </c>
      <c r="O2979" t="str">
        <f t="shared" si="1948"/>
        <v>BOMBAS</v>
      </c>
      <c r="P2979" t="str">
        <f t="shared" si="1942"/>
        <v>0</v>
      </c>
      <c r="Q2979" t="str">
        <f t="shared" si="1942"/>
        <v>0</v>
      </c>
      <c r="R2979" t="str">
        <f t="shared" si="1943"/>
        <v>0,00</v>
      </c>
      <c r="S2979" t="str">
        <f t="shared" si="1943"/>
        <v>0,00</v>
      </c>
      <c r="T2979" t="str">
        <f t="shared" si="1917"/>
        <v xml:space="preserve"> </v>
      </c>
      <c r="U2979" t="str">
        <f t="shared" si="1918"/>
        <v xml:space="preserve"> </v>
      </c>
      <c r="V2979" t="str">
        <f>"2,000"</f>
        <v>2,000</v>
      </c>
      <c r="W2979" t="str">
        <f t="shared" si="1922"/>
        <v>Lista 4</v>
      </c>
      <c r="X2979" t="str">
        <f t="shared" si="1923"/>
        <v>Lista 5</v>
      </c>
      <c r="Y2979" t="str">
        <f t="shared" si="1924"/>
        <v>Oferta Gral.</v>
      </c>
      <c r="Z2979" t="str">
        <f t="shared" si="1925"/>
        <v>Rubro</v>
      </c>
      <c r="AA2979" t="str">
        <f t="shared" si="1926"/>
        <v>Cantidad por Bulto</v>
      </c>
      <c r="AB2979" t="str">
        <f t="shared" si="1927"/>
        <v>INNER</v>
      </c>
      <c r="AC2979" t="str">
        <f t="shared" si="1928"/>
        <v>Stock en Bultos</v>
      </c>
      <c r="AD2979" t="str">
        <f t="shared" si="1929"/>
        <v>SubDepósito</v>
      </c>
      <c r="AE2979" t="str">
        <f t="shared" si="1930"/>
        <v>Marca</v>
      </c>
      <c r="AF2979" t="str">
        <f t="shared" si="1931"/>
        <v>Super Rubro</v>
      </c>
      <c r="AG2979" t="str">
        <f t="shared" si="1932"/>
        <v>ComercioExterior</v>
      </c>
      <c r="AH2979" t="str">
        <f t="shared" si="1933"/>
        <v>PrecioFOB</v>
      </c>
      <c r="AI2979" t="str">
        <f t="shared" si="1934"/>
        <v>Monto II</v>
      </c>
      <c r="AJ2979" t="str">
        <f t="shared" si="1935"/>
        <v>Porcentaje II</v>
      </c>
      <c r="AK2979" t="str">
        <f t="shared" si="1936"/>
        <v>Foto</v>
      </c>
      <c r="AL2979" t="str">
        <f>" "</f>
        <v xml:space="preserve"> </v>
      </c>
      <c r="AM2979" t="str">
        <f t="shared" si="1949"/>
        <v>-</v>
      </c>
    </row>
    <row r="2980" spans="1:39" x14ac:dyDescent="0.25">
      <c r="A2980" t="str">
        <f>"FI19017"</f>
        <v>FI19017</v>
      </c>
      <c r="B2980" t="str">
        <f>"TAPA FLOTANTE CITROËN C3/C4 1.4 Y 1.6 2005&gt; P307/208/408 2007&gt; NAFTERO"</f>
        <v>TAPA FLOTANTE CITROËN C3/C4 1.4 Y 1.6 2005&gt; P307/208/408 2007&gt; NAFTERO</v>
      </c>
      <c r="C2980" t="str">
        <f>"$ 22264,62"</f>
        <v>$ 22264,62</v>
      </c>
      <c r="D2980" t="str">
        <f>"$ 22264,62"</f>
        <v>$ 22264,62</v>
      </c>
      <c r="E2980" t="str">
        <f>"$ 22264,62"</f>
        <v>$ 22264,62</v>
      </c>
      <c r="F2980" t="str">
        <f>"$ 22264,62"</f>
        <v>$ 22264,62</v>
      </c>
      <c r="G2980" t="str">
        <f>"$ 22264,62"</f>
        <v>$ 22264,62</v>
      </c>
      <c r="H2980" t="str">
        <f t="shared" si="1919"/>
        <v>$ 0,00</v>
      </c>
      <c r="I2980" t="str">
        <f t="shared" si="1946"/>
        <v>TAPA FLOTANTE</v>
      </c>
      <c r="J2980" t="str">
        <f t="shared" si="1920"/>
        <v>1</v>
      </c>
      <c r="K2980" t="str">
        <f t="shared" si="1945"/>
        <v>0</v>
      </c>
      <c r="L2980" t="str">
        <f>"0,000"</f>
        <v>0,000</v>
      </c>
      <c r="M2980" t="str">
        <f t="shared" si="1921"/>
        <v xml:space="preserve"> </v>
      </c>
      <c r="N2980" t="str">
        <f t="shared" si="1947"/>
        <v>FISPA</v>
      </c>
      <c r="O2980" t="str">
        <f t="shared" si="1948"/>
        <v>BOMBAS</v>
      </c>
      <c r="P2980" t="str">
        <f t="shared" si="1942"/>
        <v>0</v>
      </c>
      <c r="Q2980" t="str">
        <f t="shared" si="1942"/>
        <v>0</v>
      </c>
      <c r="R2980" t="str">
        <f t="shared" si="1943"/>
        <v>0,00</v>
      </c>
      <c r="S2980" t="str">
        <f t="shared" si="1943"/>
        <v>0,00</v>
      </c>
      <c r="T2980" t="str">
        <f t="shared" si="1917"/>
        <v xml:space="preserve"> </v>
      </c>
      <c r="U2980" t="str">
        <f t="shared" si="1918"/>
        <v xml:space="preserve"> </v>
      </c>
      <c r="V2980" t="str">
        <f>"0,000"</f>
        <v>0,000</v>
      </c>
      <c r="W2980" t="str">
        <f t="shared" si="1922"/>
        <v>Lista 4</v>
      </c>
      <c r="X2980" t="str">
        <f t="shared" si="1923"/>
        <v>Lista 5</v>
      </c>
      <c r="Y2980" t="str">
        <f t="shared" si="1924"/>
        <v>Oferta Gral.</v>
      </c>
      <c r="Z2980" t="str">
        <f t="shared" si="1925"/>
        <v>Rubro</v>
      </c>
      <c r="AA2980" t="str">
        <f t="shared" si="1926"/>
        <v>Cantidad por Bulto</v>
      </c>
      <c r="AB2980" t="str">
        <f t="shared" si="1927"/>
        <v>INNER</v>
      </c>
      <c r="AC2980" t="str">
        <f t="shared" si="1928"/>
        <v>Stock en Bultos</v>
      </c>
      <c r="AD2980" t="str">
        <f t="shared" si="1929"/>
        <v>SubDepósito</v>
      </c>
      <c r="AE2980" t="str">
        <f t="shared" si="1930"/>
        <v>Marca</v>
      </c>
      <c r="AF2980" t="str">
        <f t="shared" si="1931"/>
        <v>Super Rubro</v>
      </c>
      <c r="AG2980" t="str">
        <f t="shared" si="1932"/>
        <v>ComercioExterior</v>
      </c>
      <c r="AH2980" t="str">
        <f t="shared" si="1933"/>
        <v>PrecioFOB</v>
      </c>
      <c r="AI2980" t="str">
        <f t="shared" si="1934"/>
        <v>Monto II</v>
      </c>
      <c r="AJ2980" t="str">
        <f t="shared" si="1935"/>
        <v>Porcentaje II</v>
      </c>
      <c r="AK2980" t="str">
        <f t="shared" si="1936"/>
        <v>Foto</v>
      </c>
      <c r="AL2980" t="str">
        <f t="shared" ref="AL2980:AL2985" si="1950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80" t="str">
        <f t="shared" si="1949"/>
        <v>-</v>
      </c>
    </row>
    <row r="2981" spans="1:39" x14ac:dyDescent="0.25">
      <c r="A2981" t="str">
        <f>"FI19020"</f>
        <v>FI19020</v>
      </c>
      <c r="B2981" t="str">
        <f>"TAPA FLOTANTE CITROËN C4 TODOS 2007&gt; - P207/308/408 1.6 2009&gt; NAFTERO"</f>
        <v>TAPA FLOTANTE CITROËN C4 TODOS 2007&gt; - P207/308/408 1.6 2009&gt; NAFTERO</v>
      </c>
      <c r="C2981" t="str">
        <f>"$ 37329,03"</f>
        <v>$ 37329,03</v>
      </c>
      <c r="D2981" t="str">
        <f>"$ 37329,03"</f>
        <v>$ 37329,03</v>
      </c>
      <c r="E2981" t="str">
        <f>"$ 37329,03"</f>
        <v>$ 37329,03</v>
      </c>
      <c r="F2981" t="str">
        <f>"$ 37329,03"</f>
        <v>$ 37329,03</v>
      </c>
      <c r="G2981" t="str">
        <f>"$ 37329,03"</f>
        <v>$ 37329,03</v>
      </c>
      <c r="H2981" t="str">
        <f t="shared" si="1919"/>
        <v>$ 0,00</v>
      </c>
      <c r="I2981" t="str">
        <f t="shared" si="1946"/>
        <v>TAPA FLOTANTE</v>
      </c>
      <c r="J2981" t="str">
        <f t="shared" si="1920"/>
        <v>1</v>
      </c>
      <c r="K2981" t="str">
        <f t="shared" si="1945"/>
        <v>0</v>
      </c>
      <c r="L2981" t="str">
        <f>"0,000"</f>
        <v>0,000</v>
      </c>
      <c r="M2981" t="str">
        <f t="shared" si="1921"/>
        <v xml:space="preserve"> </v>
      </c>
      <c r="N2981" t="str">
        <f t="shared" si="1947"/>
        <v>FISPA</v>
      </c>
      <c r="O2981" t="str">
        <f t="shared" si="1948"/>
        <v>BOMBAS</v>
      </c>
      <c r="P2981" t="str">
        <f t="shared" si="1942"/>
        <v>0</v>
      </c>
      <c r="Q2981" t="str">
        <f t="shared" si="1942"/>
        <v>0</v>
      </c>
      <c r="R2981" t="str">
        <f t="shared" si="1943"/>
        <v>0,00</v>
      </c>
      <c r="S2981" t="str">
        <f t="shared" si="1943"/>
        <v>0,00</v>
      </c>
      <c r="T2981" t="str">
        <f t="shared" si="1917"/>
        <v xml:space="preserve"> </v>
      </c>
      <c r="U2981" t="str">
        <f t="shared" si="1918"/>
        <v xml:space="preserve"> </v>
      </c>
      <c r="V2981" t="str">
        <f>"0,000"</f>
        <v>0,000</v>
      </c>
      <c r="W2981" t="str">
        <f t="shared" si="1922"/>
        <v>Lista 4</v>
      </c>
      <c r="X2981" t="str">
        <f t="shared" si="1923"/>
        <v>Lista 5</v>
      </c>
      <c r="Y2981" t="str">
        <f t="shared" si="1924"/>
        <v>Oferta Gral.</v>
      </c>
      <c r="Z2981" t="str">
        <f t="shared" si="1925"/>
        <v>Rubro</v>
      </c>
      <c r="AA2981" t="str">
        <f t="shared" si="1926"/>
        <v>Cantidad por Bulto</v>
      </c>
      <c r="AB2981" t="str">
        <f t="shared" si="1927"/>
        <v>INNER</v>
      </c>
      <c r="AC2981" t="str">
        <f t="shared" si="1928"/>
        <v>Stock en Bultos</v>
      </c>
      <c r="AD2981" t="str">
        <f t="shared" si="1929"/>
        <v>SubDepósito</v>
      </c>
      <c r="AE2981" t="str">
        <f t="shared" si="1930"/>
        <v>Marca</v>
      </c>
      <c r="AF2981" t="str">
        <f t="shared" si="1931"/>
        <v>Super Rubro</v>
      </c>
      <c r="AG2981" t="str">
        <f t="shared" si="1932"/>
        <v>ComercioExterior</v>
      </c>
      <c r="AH2981" t="str">
        <f t="shared" si="1933"/>
        <v>PrecioFOB</v>
      </c>
      <c r="AI2981" t="str">
        <f t="shared" si="1934"/>
        <v>Monto II</v>
      </c>
      <c r="AJ2981" t="str">
        <f t="shared" si="1935"/>
        <v>Porcentaje II</v>
      </c>
      <c r="AK2981" t="str">
        <f t="shared" si="1936"/>
        <v>Foto</v>
      </c>
      <c r="AL2981" t="str">
        <f t="shared" si="1950"/>
        <v xml:space="preserve">{\rtf1\ansi\deff0{\fonttbl{\f0\fnil\fcharset0 MS Sans Serif}} \viewkind4\uc1\pard\lang11274\f0\fs16\par } </v>
      </c>
      <c r="AM2981" t="str">
        <f t="shared" si="1949"/>
        <v>-</v>
      </c>
    </row>
    <row r="2982" spans="1:39" x14ac:dyDescent="0.25">
      <c r="A2982" t="str">
        <f>"FI19016"</f>
        <v>FI19016</v>
      </c>
      <c r="B2982" t="str">
        <f>"TAPA FLOTANTE CITROËN XSARA PICASSO-BERLINGO 2000&gt; 2006 P206 1.4 E 1.6    NAFTERO"</f>
        <v>TAPA FLOTANTE CITROËN XSARA PICASSO-BERLINGO 2000&gt; 2006 P206 1.4 E 1.6    NAFTERO</v>
      </c>
      <c r="C2982" t="str">
        <f>"$ 39360,07"</f>
        <v>$ 39360,07</v>
      </c>
      <c r="D2982" t="str">
        <f>"$ 39360,07"</f>
        <v>$ 39360,07</v>
      </c>
      <c r="E2982" t="str">
        <f>"$ 39360,07"</f>
        <v>$ 39360,07</v>
      </c>
      <c r="F2982" t="str">
        <f>"$ 39360,07"</f>
        <v>$ 39360,07</v>
      </c>
      <c r="G2982" t="str">
        <f>"$ 39360,07"</f>
        <v>$ 39360,07</v>
      </c>
      <c r="H2982" t="str">
        <f t="shared" si="1919"/>
        <v>$ 0,00</v>
      </c>
      <c r="I2982" t="str">
        <f t="shared" si="1946"/>
        <v>TAPA FLOTANTE</v>
      </c>
      <c r="J2982" t="str">
        <f t="shared" si="1920"/>
        <v>1</v>
      </c>
      <c r="K2982" t="str">
        <f t="shared" si="1945"/>
        <v>0</v>
      </c>
      <c r="L2982" t="str">
        <f>"2,000"</f>
        <v>2,000</v>
      </c>
      <c r="M2982" t="str">
        <f t="shared" si="1921"/>
        <v xml:space="preserve"> </v>
      </c>
      <c r="N2982" t="str">
        <f t="shared" si="1947"/>
        <v>FISPA</v>
      </c>
      <c r="O2982" t="str">
        <f t="shared" si="1948"/>
        <v>BOMBAS</v>
      </c>
      <c r="P2982" t="str">
        <f t="shared" si="1942"/>
        <v>0</v>
      </c>
      <c r="Q2982" t="str">
        <f t="shared" si="1942"/>
        <v>0</v>
      </c>
      <c r="R2982" t="str">
        <f t="shared" si="1943"/>
        <v>0,00</v>
      </c>
      <c r="S2982" t="str">
        <f t="shared" si="1943"/>
        <v>0,00</v>
      </c>
      <c r="T2982" t="str">
        <f t="shared" si="1917"/>
        <v xml:space="preserve"> </v>
      </c>
      <c r="U2982" t="str">
        <f t="shared" si="1918"/>
        <v xml:space="preserve"> </v>
      </c>
      <c r="V2982" t="str">
        <f>"2,000"</f>
        <v>2,000</v>
      </c>
      <c r="W2982" t="str">
        <f t="shared" si="1922"/>
        <v>Lista 4</v>
      </c>
      <c r="X2982" t="str">
        <f t="shared" si="1923"/>
        <v>Lista 5</v>
      </c>
      <c r="Y2982" t="str">
        <f t="shared" si="1924"/>
        <v>Oferta Gral.</v>
      </c>
      <c r="Z2982" t="str">
        <f t="shared" si="1925"/>
        <v>Rubro</v>
      </c>
      <c r="AA2982" t="str">
        <f t="shared" si="1926"/>
        <v>Cantidad por Bulto</v>
      </c>
      <c r="AB2982" t="str">
        <f t="shared" si="1927"/>
        <v>INNER</v>
      </c>
      <c r="AC2982" t="str">
        <f t="shared" si="1928"/>
        <v>Stock en Bultos</v>
      </c>
      <c r="AD2982" t="str">
        <f t="shared" si="1929"/>
        <v>SubDepósito</v>
      </c>
      <c r="AE2982" t="str">
        <f t="shared" si="1930"/>
        <v>Marca</v>
      </c>
      <c r="AF2982" t="str">
        <f t="shared" si="1931"/>
        <v>Super Rubro</v>
      </c>
      <c r="AG2982" t="str">
        <f t="shared" si="1932"/>
        <v>ComercioExterior</v>
      </c>
      <c r="AH2982" t="str">
        <f t="shared" si="1933"/>
        <v>PrecioFOB</v>
      </c>
      <c r="AI2982" t="str">
        <f t="shared" si="1934"/>
        <v>Monto II</v>
      </c>
      <c r="AJ2982" t="str">
        <f t="shared" si="1935"/>
        <v>Porcentaje II</v>
      </c>
      <c r="AK2982" t="str">
        <f t="shared" si="1936"/>
        <v>Foto</v>
      </c>
      <c r="AL2982" t="str">
        <f t="shared" si="1950"/>
        <v xml:space="preserve">{\rtf1\ansi\deff0{\fonttbl{\f0\fnil\fcharset0 MS Sans Serif}} \viewkind4\uc1\pard\lang11274\f0\fs16\par } </v>
      </c>
      <c r="AM2982" t="str">
        <f t="shared" si="1949"/>
        <v>-</v>
      </c>
    </row>
    <row r="2983" spans="1:39" x14ac:dyDescent="0.25">
      <c r="A2983" t="str">
        <f>"FI19022"</f>
        <v>FI19022</v>
      </c>
      <c r="B2983" t="str">
        <f>"TAPA FLOTANTE CORSA 1994&gt;02/1999 (MANGUERA C/ABRAZADERA)  NAFTERO"</f>
        <v>TAPA FLOTANTE CORSA 1994&gt;02/1999 (MANGUERA C/ABRAZADERA)  NAFTERO</v>
      </c>
      <c r="C2983" t="str">
        <f>"$ 47830,90"</f>
        <v>$ 47830,90</v>
      </c>
      <c r="D2983" t="str">
        <f>"$ 47830,90"</f>
        <v>$ 47830,90</v>
      </c>
      <c r="E2983" t="str">
        <f>"$ 47830,90"</f>
        <v>$ 47830,90</v>
      </c>
      <c r="F2983" t="str">
        <f>"$ 47830,90"</f>
        <v>$ 47830,90</v>
      </c>
      <c r="G2983" t="str">
        <f>"$ 47830,90"</f>
        <v>$ 47830,90</v>
      </c>
      <c r="H2983" t="str">
        <f t="shared" si="1919"/>
        <v>$ 0,00</v>
      </c>
      <c r="I2983" t="str">
        <f t="shared" si="1946"/>
        <v>TAPA FLOTANTE</v>
      </c>
      <c r="J2983" t="str">
        <f t="shared" si="1920"/>
        <v>1</v>
      </c>
      <c r="K2983" t="str">
        <f t="shared" si="1945"/>
        <v>0</v>
      </c>
      <c r="L2983" t="str">
        <f>"3,000"</f>
        <v>3,000</v>
      </c>
      <c r="M2983" t="str">
        <f t="shared" si="1921"/>
        <v xml:space="preserve"> </v>
      </c>
      <c r="N2983" t="str">
        <f t="shared" si="1947"/>
        <v>FISPA</v>
      </c>
      <c r="O2983" t="str">
        <f t="shared" si="1948"/>
        <v>BOMBAS</v>
      </c>
      <c r="P2983" t="str">
        <f t="shared" ref="P2983:Q3002" si="1951">"0"</f>
        <v>0</v>
      </c>
      <c r="Q2983" t="str">
        <f t="shared" si="1951"/>
        <v>0</v>
      </c>
      <c r="R2983" t="str">
        <f t="shared" ref="R2983:S3002" si="1952">"0,00"</f>
        <v>0,00</v>
      </c>
      <c r="S2983" t="str">
        <f t="shared" si="1952"/>
        <v>0,00</v>
      </c>
      <c r="T2983" t="str">
        <f t="shared" si="1917"/>
        <v xml:space="preserve"> </v>
      </c>
      <c r="U2983" t="str">
        <f t="shared" si="1918"/>
        <v xml:space="preserve"> </v>
      </c>
      <c r="V2983" t="str">
        <f>"3,000"</f>
        <v>3,000</v>
      </c>
      <c r="W2983" t="str">
        <f t="shared" si="1922"/>
        <v>Lista 4</v>
      </c>
      <c r="X2983" t="str">
        <f t="shared" si="1923"/>
        <v>Lista 5</v>
      </c>
      <c r="Y2983" t="str">
        <f t="shared" si="1924"/>
        <v>Oferta Gral.</v>
      </c>
      <c r="Z2983" t="str">
        <f t="shared" si="1925"/>
        <v>Rubro</v>
      </c>
      <c r="AA2983" t="str">
        <f t="shared" si="1926"/>
        <v>Cantidad por Bulto</v>
      </c>
      <c r="AB2983" t="str">
        <f t="shared" si="1927"/>
        <v>INNER</v>
      </c>
      <c r="AC2983" t="str">
        <f t="shared" si="1928"/>
        <v>Stock en Bultos</v>
      </c>
      <c r="AD2983" t="str">
        <f t="shared" si="1929"/>
        <v>SubDepósito</v>
      </c>
      <c r="AE2983" t="str">
        <f t="shared" si="1930"/>
        <v>Marca</v>
      </c>
      <c r="AF2983" t="str">
        <f t="shared" si="1931"/>
        <v>Super Rubro</v>
      </c>
      <c r="AG2983" t="str">
        <f t="shared" si="1932"/>
        <v>ComercioExterior</v>
      </c>
      <c r="AH2983" t="str">
        <f t="shared" si="1933"/>
        <v>PrecioFOB</v>
      </c>
      <c r="AI2983" t="str">
        <f t="shared" si="1934"/>
        <v>Monto II</v>
      </c>
      <c r="AJ2983" t="str">
        <f t="shared" si="1935"/>
        <v>Porcentaje II</v>
      </c>
      <c r="AK2983" t="str">
        <f t="shared" si="1936"/>
        <v>Foto</v>
      </c>
      <c r="AL2983" t="str">
        <f t="shared" si="1950"/>
        <v xml:space="preserve">{\rtf1\ansi\deff0{\fonttbl{\f0\fnil\fcharset0 MS Sans Serif}} \viewkind4\uc1\pard\lang11274\f0\fs16\par } </v>
      </c>
      <c r="AM2983" t="str">
        <f t="shared" si="1949"/>
        <v>-</v>
      </c>
    </row>
    <row r="2984" spans="1:39" x14ac:dyDescent="0.25">
      <c r="A2984" t="str">
        <f>"FI19010"</f>
        <v>FI19010</v>
      </c>
      <c r="B2984" t="str">
        <f>"TAPA FLOTANTE FIAT PALIO / SIENA 1.5 / 1.6 / 1.6 16V MPI 1997&gt;2001 NAFTERO"</f>
        <v>TAPA FLOTANTE FIAT PALIO / SIENA 1.5 / 1.6 / 1.6 16V MPI 1997&gt;2001 NAFTERO</v>
      </c>
      <c r="C2984" t="str">
        <f>"$ 14090,39"</f>
        <v>$ 14090,39</v>
      </c>
      <c r="D2984" t="str">
        <f>"$ 14090,39"</f>
        <v>$ 14090,39</v>
      </c>
      <c r="E2984" t="str">
        <f>"$ 14090,39"</f>
        <v>$ 14090,39</v>
      </c>
      <c r="F2984" t="str">
        <f>"$ 14090,39"</f>
        <v>$ 14090,39</v>
      </c>
      <c r="G2984" t="str">
        <f>"$ 14090,39"</f>
        <v>$ 14090,39</v>
      </c>
      <c r="H2984" t="str">
        <f t="shared" si="1919"/>
        <v>$ 0,00</v>
      </c>
      <c r="I2984" t="str">
        <f t="shared" si="1946"/>
        <v>TAPA FLOTANTE</v>
      </c>
      <c r="J2984" t="str">
        <f t="shared" si="1920"/>
        <v>1</v>
      </c>
      <c r="K2984" t="str">
        <f t="shared" si="1945"/>
        <v>0</v>
      </c>
      <c r="L2984" t="str">
        <f>"6,000"</f>
        <v>6,000</v>
      </c>
      <c r="M2984" t="str">
        <f t="shared" si="1921"/>
        <v xml:space="preserve"> </v>
      </c>
      <c r="N2984" t="str">
        <f t="shared" si="1947"/>
        <v>FISPA</v>
      </c>
      <c r="O2984" t="str">
        <f t="shared" si="1948"/>
        <v>BOMBAS</v>
      </c>
      <c r="P2984" t="str">
        <f t="shared" si="1951"/>
        <v>0</v>
      </c>
      <c r="Q2984" t="str">
        <f t="shared" si="1951"/>
        <v>0</v>
      </c>
      <c r="R2984" t="str">
        <f t="shared" si="1952"/>
        <v>0,00</v>
      </c>
      <c r="S2984" t="str">
        <f t="shared" si="1952"/>
        <v>0,00</v>
      </c>
      <c r="T2984" t="str">
        <f t="shared" si="1917"/>
        <v xml:space="preserve"> </v>
      </c>
      <c r="U2984" t="str">
        <f t="shared" si="1918"/>
        <v xml:space="preserve"> </v>
      </c>
      <c r="V2984" t="str">
        <f>"6,000"</f>
        <v>6,000</v>
      </c>
      <c r="W2984" t="str">
        <f t="shared" si="1922"/>
        <v>Lista 4</v>
      </c>
      <c r="X2984" t="str">
        <f t="shared" si="1923"/>
        <v>Lista 5</v>
      </c>
      <c r="Y2984" t="str">
        <f t="shared" si="1924"/>
        <v>Oferta Gral.</v>
      </c>
      <c r="Z2984" t="str">
        <f t="shared" si="1925"/>
        <v>Rubro</v>
      </c>
      <c r="AA2984" t="str">
        <f t="shared" si="1926"/>
        <v>Cantidad por Bulto</v>
      </c>
      <c r="AB2984" t="str">
        <f t="shared" si="1927"/>
        <v>INNER</v>
      </c>
      <c r="AC2984" t="str">
        <f t="shared" si="1928"/>
        <v>Stock en Bultos</v>
      </c>
      <c r="AD2984" t="str">
        <f t="shared" si="1929"/>
        <v>SubDepósito</v>
      </c>
      <c r="AE2984" t="str">
        <f t="shared" si="1930"/>
        <v>Marca</v>
      </c>
      <c r="AF2984" t="str">
        <f t="shared" si="1931"/>
        <v>Super Rubro</v>
      </c>
      <c r="AG2984" t="str">
        <f t="shared" si="1932"/>
        <v>ComercioExterior</v>
      </c>
      <c r="AH2984" t="str">
        <f t="shared" si="1933"/>
        <v>PrecioFOB</v>
      </c>
      <c r="AI2984" t="str">
        <f t="shared" si="1934"/>
        <v>Monto II</v>
      </c>
      <c r="AJ2984" t="str">
        <f t="shared" si="1935"/>
        <v>Porcentaje II</v>
      </c>
      <c r="AK2984" t="str">
        <f t="shared" si="1936"/>
        <v>Foto</v>
      </c>
      <c r="AL2984" t="str">
        <f t="shared" si="1950"/>
        <v xml:space="preserve">{\rtf1\ansi\deff0{\fonttbl{\f0\fnil\fcharset0 MS Sans Serif}} \viewkind4\uc1\pard\lang11274\f0\fs16\par } </v>
      </c>
      <c r="AM2984" t="str">
        <f t="shared" si="1949"/>
        <v>-</v>
      </c>
    </row>
    <row r="2985" spans="1:39" x14ac:dyDescent="0.25">
      <c r="A2985" t="str">
        <f>"FI19005"</f>
        <v>FI19005</v>
      </c>
      <c r="B2985" t="str">
        <f>"TAPA FLOTANTE FIAT PALIO/ SIENA 2001&gt; 2003 NAFTERO"</f>
        <v>TAPA FLOTANTE FIAT PALIO/ SIENA 2001&gt; 2003 NAFTERO</v>
      </c>
      <c r="C2985" t="str">
        <f>"$ 19492,68"</f>
        <v>$ 19492,68</v>
      </c>
      <c r="D2985" t="str">
        <f>"$ 19492,68"</f>
        <v>$ 19492,68</v>
      </c>
      <c r="E2985" t="str">
        <f>"$ 19492,68"</f>
        <v>$ 19492,68</v>
      </c>
      <c r="F2985" t="str">
        <f>"$ 19492,68"</f>
        <v>$ 19492,68</v>
      </c>
      <c r="G2985" t="str">
        <f>"$ 19492,68"</f>
        <v>$ 19492,68</v>
      </c>
      <c r="H2985" t="str">
        <f t="shared" si="1919"/>
        <v>$ 0,00</v>
      </c>
      <c r="I2985" t="str">
        <f t="shared" si="1946"/>
        <v>TAPA FLOTANTE</v>
      </c>
      <c r="J2985" t="str">
        <f t="shared" si="1920"/>
        <v>1</v>
      </c>
      <c r="K2985" t="str">
        <f t="shared" si="1945"/>
        <v>0</v>
      </c>
      <c r="L2985" t="str">
        <f>"11,000"</f>
        <v>11,000</v>
      </c>
      <c r="M2985" t="str">
        <f t="shared" si="1921"/>
        <v xml:space="preserve"> </v>
      </c>
      <c r="N2985" t="str">
        <f t="shared" si="1947"/>
        <v>FISPA</v>
      </c>
      <c r="O2985" t="str">
        <f t="shared" si="1948"/>
        <v>BOMBAS</v>
      </c>
      <c r="P2985" t="str">
        <f t="shared" si="1951"/>
        <v>0</v>
      </c>
      <c r="Q2985" t="str">
        <f t="shared" si="1951"/>
        <v>0</v>
      </c>
      <c r="R2985" t="str">
        <f t="shared" si="1952"/>
        <v>0,00</v>
      </c>
      <c r="S2985" t="str">
        <f t="shared" si="1952"/>
        <v>0,00</v>
      </c>
      <c r="T2985" t="str">
        <f t="shared" si="1917"/>
        <v xml:space="preserve"> </v>
      </c>
      <c r="U2985" t="str">
        <f t="shared" si="1918"/>
        <v xml:space="preserve"> </v>
      </c>
      <c r="V2985" t="str">
        <f>"11,000"</f>
        <v>11,000</v>
      </c>
      <c r="W2985" t="str">
        <f t="shared" si="1922"/>
        <v>Lista 4</v>
      </c>
      <c r="X2985" t="str">
        <f t="shared" si="1923"/>
        <v>Lista 5</v>
      </c>
      <c r="Y2985" t="str">
        <f t="shared" si="1924"/>
        <v>Oferta Gral.</v>
      </c>
      <c r="Z2985" t="str">
        <f t="shared" si="1925"/>
        <v>Rubro</v>
      </c>
      <c r="AA2985" t="str">
        <f t="shared" si="1926"/>
        <v>Cantidad por Bulto</v>
      </c>
      <c r="AB2985" t="str">
        <f t="shared" si="1927"/>
        <v>INNER</v>
      </c>
      <c r="AC2985" t="str">
        <f t="shared" si="1928"/>
        <v>Stock en Bultos</v>
      </c>
      <c r="AD2985" t="str">
        <f t="shared" si="1929"/>
        <v>SubDepósito</v>
      </c>
      <c r="AE2985" t="str">
        <f t="shared" si="1930"/>
        <v>Marca</v>
      </c>
      <c r="AF2985" t="str">
        <f t="shared" si="1931"/>
        <v>Super Rubro</v>
      </c>
      <c r="AG2985" t="str">
        <f t="shared" si="1932"/>
        <v>ComercioExterior</v>
      </c>
      <c r="AH2985" t="str">
        <f t="shared" si="1933"/>
        <v>PrecioFOB</v>
      </c>
      <c r="AI2985" t="str">
        <f t="shared" si="1934"/>
        <v>Monto II</v>
      </c>
      <c r="AJ2985" t="str">
        <f t="shared" si="1935"/>
        <v>Porcentaje II</v>
      </c>
      <c r="AK2985" t="str">
        <f t="shared" si="1936"/>
        <v>Foto</v>
      </c>
      <c r="AL2985" t="str">
        <f t="shared" si="1950"/>
        <v xml:space="preserve">{\rtf1\ansi\deff0{\fonttbl{\f0\fnil\fcharset0 MS Sans Serif}} \viewkind4\uc1\pard\lang11274\f0\fs16\par } </v>
      </c>
      <c r="AM2985" t="str">
        <f t="shared" si="1949"/>
        <v>-</v>
      </c>
    </row>
    <row r="2986" spans="1:39" x14ac:dyDescent="0.25">
      <c r="A2986" t="str">
        <f>"FI19023"</f>
        <v>FI19023</v>
      </c>
      <c r="B2986" t="str">
        <f>"TAPA FLOTANTE FIAT PALIO/ SIENA/ WEEKEND/ STRADA - TODOS ANO 1999&gt; NAFTERO"</f>
        <v>TAPA FLOTANTE FIAT PALIO/ SIENA/ WEEKEND/ STRADA - TODOS ANO 1999&gt; NAFTERO</v>
      </c>
      <c r="C2986" t="str">
        <f>"$ 17476,28"</f>
        <v>$ 17476,28</v>
      </c>
      <c r="D2986" t="str">
        <f>"$ 17476,28"</f>
        <v>$ 17476,28</v>
      </c>
      <c r="E2986" t="str">
        <f>"$ 17476,28"</f>
        <v>$ 17476,28</v>
      </c>
      <c r="F2986" t="str">
        <f>"$ 17476,28"</f>
        <v>$ 17476,28</v>
      </c>
      <c r="G2986" t="str">
        <f>"$ 17476,28"</f>
        <v>$ 17476,28</v>
      </c>
      <c r="H2986" t="str">
        <f t="shared" si="1919"/>
        <v>$ 0,00</v>
      </c>
      <c r="I2986" t="str">
        <f t="shared" si="1946"/>
        <v>TAPA FLOTANTE</v>
      </c>
      <c r="J2986" t="str">
        <f t="shared" si="1920"/>
        <v>1</v>
      </c>
      <c r="K2986" t="str">
        <f t="shared" si="1945"/>
        <v>0</v>
      </c>
      <c r="L2986" t="str">
        <f>"2,000"</f>
        <v>2,000</v>
      </c>
      <c r="M2986" t="str">
        <f t="shared" si="1921"/>
        <v xml:space="preserve"> </v>
      </c>
      <c r="N2986" t="str">
        <f t="shared" si="1947"/>
        <v>FISPA</v>
      </c>
      <c r="O2986" t="str">
        <f t="shared" si="1948"/>
        <v>BOMBAS</v>
      </c>
      <c r="P2986" t="str">
        <f t="shared" si="1951"/>
        <v>0</v>
      </c>
      <c r="Q2986" t="str">
        <f t="shared" si="1951"/>
        <v>0</v>
      </c>
      <c r="R2986" t="str">
        <f t="shared" si="1952"/>
        <v>0,00</v>
      </c>
      <c r="S2986" t="str">
        <f t="shared" si="1952"/>
        <v>0,00</v>
      </c>
      <c r="T2986" t="str">
        <f t="shared" si="1917"/>
        <v xml:space="preserve"> </v>
      </c>
      <c r="U2986" t="str">
        <f t="shared" si="1918"/>
        <v xml:space="preserve"> </v>
      </c>
      <c r="V2986" t="str">
        <f>"2,000"</f>
        <v>2,000</v>
      </c>
      <c r="W2986" t="str">
        <f t="shared" si="1922"/>
        <v>Lista 4</v>
      </c>
      <c r="X2986" t="str">
        <f t="shared" si="1923"/>
        <v>Lista 5</v>
      </c>
      <c r="Y2986" t="str">
        <f t="shared" si="1924"/>
        <v>Oferta Gral.</v>
      </c>
      <c r="Z2986" t="str">
        <f t="shared" si="1925"/>
        <v>Rubro</v>
      </c>
      <c r="AA2986" t="str">
        <f t="shared" si="1926"/>
        <v>Cantidad por Bulto</v>
      </c>
      <c r="AB2986" t="str">
        <f t="shared" si="1927"/>
        <v>INNER</v>
      </c>
      <c r="AC2986" t="str">
        <f t="shared" si="1928"/>
        <v>Stock en Bultos</v>
      </c>
      <c r="AD2986" t="str">
        <f t="shared" si="1929"/>
        <v>SubDepósito</v>
      </c>
      <c r="AE2986" t="str">
        <f t="shared" si="1930"/>
        <v>Marca</v>
      </c>
      <c r="AF2986" t="str">
        <f t="shared" si="1931"/>
        <v>Super Rubro</v>
      </c>
      <c r="AG2986" t="str">
        <f t="shared" si="1932"/>
        <v>ComercioExterior</v>
      </c>
      <c r="AH2986" t="str">
        <f t="shared" si="1933"/>
        <v>PrecioFOB</v>
      </c>
      <c r="AI2986" t="str">
        <f t="shared" si="1934"/>
        <v>Monto II</v>
      </c>
      <c r="AJ2986" t="str">
        <f t="shared" si="1935"/>
        <v>Porcentaje II</v>
      </c>
      <c r="AK2986" t="str">
        <f t="shared" si="1936"/>
        <v>Foto</v>
      </c>
      <c r="AL2986" t="str">
        <f>" "</f>
        <v xml:space="preserve"> </v>
      </c>
      <c r="AM2986" t="str">
        <f t="shared" si="1949"/>
        <v>-</v>
      </c>
    </row>
    <row r="2987" spans="1:39" x14ac:dyDescent="0.25">
      <c r="A2987" t="str">
        <f>"FI19004"</f>
        <v>FI19004</v>
      </c>
      <c r="B2987" t="str">
        <f>"TAPA FLOTANTE FIAT UNO FIRE 2004&gt; 2005  NAFTERO"</f>
        <v>TAPA FLOTANTE FIAT UNO FIRE 2004&gt; 2005  NAFTERO</v>
      </c>
      <c r="C2987" t="str">
        <f>"$ 21051,36"</f>
        <v>$ 21051,36</v>
      </c>
      <c r="D2987" t="str">
        <f>"$ 21051,36"</f>
        <v>$ 21051,36</v>
      </c>
      <c r="E2987" t="str">
        <f>"$ 21051,36"</f>
        <v>$ 21051,36</v>
      </c>
      <c r="F2987" t="str">
        <f>"$ 21051,36"</f>
        <v>$ 21051,36</v>
      </c>
      <c r="G2987" t="str">
        <f>"$ 21051,36"</f>
        <v>$ 21051,36</v>
      </c>
      <c r="H2987" t="str">
        <f t="shared" si="1919"/>
        <v>$ 0,00</v>
      </c>
      <c r="I2987" t="str">
        <f t="shared" si="1946"/>
        <v>TAPA FLOTANTE</v>
      </c>
      <c r="J2987" t="str">
        <f t="shared" si="1920"/>
        <v>1</v>
      </c>
      <c r="K2987" t="str">
        <f t="shared" si="1945"/>
        <v>0</v>
      </c>
      <c r="L2987" t="str">
        <f>"7,000"</f>
        <v>7,000</v>
      </c>
      <c r="M2987" t="str">
        <f t="shared" si="1921"/>
        <v xml:space="preserve"> </v>
      </c>
      <c r="N2987" t="str">
        <f t="shared" si="1947"/>
        <v>FISPA</v>
      </c>
      <c r="O2987" t="str">
        <f t="shared" si="1948"/>
        <v>BOMBAS</v>
      </c>
      <c r="P2987" t="str">
        <f t="shared" si="1951"/>
        <v>0</v>
      </c>
      <c r="Q2987" t="str">
        <f t="shared" si="1951"/>
        <v>0</v>
      </c>
      <c r="R2987" t="str">
        <f t="shared" si="1952"/>
        <v>0,00</v>
      </c>
      <c r="S2987" t="str">
        <f t="shared" si="1952"/>
        <v>0,00</v>
      </c>
      <c r="T2987" t="str">
        <f t="shared" si="1917"/>
        <v xml:space="preserve"> </v>
      </c>
      <c r="U2987" t="str">
        <f t="shared" si="1918"/>
        <v xml:space="preserve"> </v>
      </c>
      <c r="V2987" t="str">
        <f>"7,000"</f>
        <v>7,000</v>
      </c>
      <c r="W2987" t="str">
        <f t="shared" si="1922"/>
        <v>Lista 4</v>
      </c>
      <c r="X2987" t="str">
        <f t="shared" si="1923"/>
        <v>Lista 5</v>
      </c>
      <c r="Y2987" t="str">
        <f t="shared" si="1924"/>
        <v>Oferta Gral.</v>
      </c>
      <c r="Z2987" t="str">
        <f t="shared" si="1925"/>
        <v>Rubro</v>
      </c>
      <c r="AA2987" t="str">
        <f t="shared" si="1926"/>
        <v>Cantidad por Bulto</v>
      </c>
      <c r="AB2987" t="str">
        <f t="shared" si="1927"/>
        <v>INNER</v>
      </c>
      <c r="AC2987" t="str">
        <f t="shared" si="1928"/>
        <v>Stock en Bultos</v>
      </c>
      <c r="AD2987" t="str">
        <f t="shared" si="1929"/>
        <v>SubDepósito</v>
      </c>
      <c r="AE2987" t="str">
        <f t="shared" si="1930"/>
        <v>Marca</v>
      </c>
      <c r="AF2987" t="str">
        <f t="shared" si="1931"/>
        <v>Super Rubro</v>
      </c>
      <c r="AG2987" t="str">
        <f t="shared" si="1932"/>
        <v>ComercioExterior</v>
      </c>
      <c r="AH2987" t="str">
        <f t="shared" si="1933"/>
        <v>PrecioFOB</v>
      </c>
      <c r="AI2987" t="str">
        <f t="shared" si="1934"/>
        <v>Monto II</v>
      </c>
      <c r="AJ2987" t="str">
        <f t="shared" si="1935"/>
        <v>Porcentaje II</v>
      </c>
      <c r="AK2987" t="str">
        <f t="shared" si="1936"/>
        <v>Foto</v>
      </c>
      <c r="AL298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87" t="str">
        <f t="shared" si="1949"/>
        <v>-</v>
      </c>
    </row>
    <row r="2988" spans="1:39" x14ac:dyDescent="0.25">
      <c r="A2988" t="str">
        <f>"FI19024"</f>
        <v>FI19024</v>
      </c>
      <c r="B2988" t="str">
        <f>"TAPA FLOTANTE FIAT UNO MILLE - ANO 2000&gt; NAFTERO"</f>
        <v>TAPA FLOTANTE FIAT UNO MILLE - ANO 2000&gt; NAFTERO</v>
      </c>
      <c r="C2988" t="str">
        <f>"$ 17013,68"</f>
        <v>$ 17013,68</v>
      </c>
      <c r="D2988" t="str">
        <f>"$ 17013,68"</f>
        <v>$ 17013,68</v>
      </c>
      <c r="E2988" t="str">
        <f>"$ 17013,68"</f>
        <v>$ 17013,68</v>
      </c>
      <c r="F2988" t="str">
        <f>"$ 17013,68"</f>
        <v>$ 17013,68</v>
      </c>
      <c r="G2988" t="str">
        <f>"$ 17013,68"</f>
        <v>$ 17013,68</v>
      </c>
      <c r="H2988" t="str">
        <f t="shared" si="1919"/>
        <v>$ 0,00</v>
      </c>
      <c r="I2988" t="str">
        <f t="shared" si="1946"/>
        <v>TAPA FLOTANTE</v>
      </c>
      <c r="J2988" t="str">
        <f t="shared" si="1920"/>
        <v>1</v>
      </c>
      <c r="K2988" t="str">
        <f t="shared" si="1945"/>
        <v>0</v>
      </c>
      <c r="L2988" t="str">
        <f>"4,000"</f>
        <v>4,000</v>
      </c>
      <c r="M2988" t="str">
        <f t="shared" si="1921"/>
        <v xml:space="preserve"> </v>
      </c>
      <c r="N2988" t="str">
        <f t="shared" si="1947"/>
        <v>FISPA</v>
      </c>
      <c r="O2988" t="str">
        <f t="shared" si="1948"/>
        <v>BOMBAS</v>
      </c>
      <c r="P2988" t="str">
        <f t="shared" si="1951"/>
        <v>0</v>
      </c>
      <c r="Q2988" t="str">
        <f t="shared" si="1951"/>
        <v>0</v>
      </c>
      <c r="R2988" t="str">
        <f t="shared" si="1952"/>
        <v>0,00</v>
      </c>
      <c r="S2988" t="str">
        <f t="shared" si="1952"/>
        <v>0,00</v>
      </c>
      <c r="T2988" t="str">
        <f t="shared" si="1917"/>
        <v xml:space="preserve"> </v>
      </c>
      <c r="U2988" t="str">
        <f t="shared" si="1918"/>
        <v xml:space="preserve"> </v>
      </c>
      <c r="V2988" t="str">
        <f>"4,000"</f>
        <v>4,000</v>
      </c>
      <c r="W2988" t="str">
        <f t="shared" si="1922"/>
        <v>Lista 4</v>
      </c>
      <c r="X2988" t="str">
        <f t="shared" si="1923"/>
        <v>Lista 5</v>
      </c>
      <c r="Y2988" t="str">
        <f t="shared" si="1924"/>
        <v>Oferta Gral.</v>
      </c>
      <c r="Z2988" t="str">
        <f t="shared" si="1925"/>
        <v>Rubro</v>
      </c>
      <c r="AA2988" t="str">
        <f t="shared" si="1926"/>
        <v>Cantidad por Bulto</v>
      </c>
      <c r="AB2988" t="str">
        <f t="shared" si="1927"/>
        <v>INNER</v>
      </c>
      <c r="AC2988" t="str">
        <f t="shared" si="1928"/>
        <v>Stock en Bultos</v>
      </c>
      <c r="AD2988" t="str">
        <f t="shared" si="1929"/>
        <v>SubDepósito</v>
      </c>
      <c r="AE2988" t="str">
        <f t="shared" si="1930"/>
        <v>Marca</v>
      </c>
      <c r="AF2988" t="str">
        <f t="shared" si="1931"/>
        <v>Super Rubro</v>
      </c>
      <c r="AG2988" t="str">
        <f t="shared" si="1932"/>
        <v>ComercioExterior</v>
      </c>
      <c r="AH2988" t="str">
        <f t="shared" si="1933"/>
        <v>PrecioFOB</v>
      </c>
      <c r="AI2988" t="str">
        <f t="shared" si="1934"/>
        <v>Monto II</v>
      </c>
      <c r="AJ2988" t="str">
        <f t="shared" si="1935"/>
        <v>Porcentaje II</v>
      </c>
      <c r="AK2988" t="str">
        <f t="shared" si="1936"/>
        <v>Foto</v>
      </c>
      <c r="AL2988" t="str">
        <f>" "</f>
        <v xml:space="preserve"> </v>
      </c>
      <c r="AM2988" t="str">
        <f t="shared" si="1949"/>
        <v>-</v>
      </c>
    </row>
    <row r="2989" spans="1:39" x14ac:dyDescent="0.25">
      <c r="A2989" t="str">
        <f>"FI19008"</f>
        <v>FI19008</v>
      </c>
      <c r="B2989" t="str">
        <f>"TAPA FLOTANTE FORD ESCORT ZETEC C/ACOPL. RÁPIDO 1996&gt; NAFTERO"</f>
        <v>TAPA FLOTANTE FORD ESCORT ZETEC C/ACOPL. RÁPIDO 1996&gt; NAFTERO</v>
      </c>
      <c r="C2989" t="str">
        <f>"$ 18082,91"</f>
        <v>$ 18082,91</v>
      </c>
      <c r="D2989" t="str">
        <f>"$ 18082,91"</f>
        <v>$ 18082,91</v>
      </c>
      <c r="E2989" t="str">
        <f>"$ 18082,91"</f>
        <v>$ 18082,91</v>
      </c>
      <c r="F2989" t="str">
        <f>"$ 18082,91"</f>
        <v>$ 18082,91</v>
      </c>
      <c r="G2989" t="str">
        <f>"$ 18082,91"</f>
        <v>$ 18082,91</v>
      </c>
      <c r="H2989" t="str">
        <f t="shared" si="1919"/>
        <v>$ 0,00</v>
      </c>
      <c r="I2989" t="str">
        <f t="shared" si="1946"/>
        <v>TAPA FLOTANTE</v>
      </c>
      <c r="J2989" t="str">
        <f t="shared" si="1920"/>
        <v>1</v>
      </c>
      <c r="K2989" t="str">
        <f t="shared" si="1945"/>
        <v>0</v>
      </c>
      <c r="L2989" t="str">
        <f>"0,000"</f>
        <v>0,000</v>
      </c>
      <c r="M2989" t="str">
        <f t="shared" si="1921"/>
        <v xml:space="preserve"> </v>
      </c>
      <c r="N2989" t="str">
        <f t="shared" si="1947"/>
        <v>FISPA</v>
      </c>
      <c r="O2989" t="str">
        <f t="shared" si="1948"/>
        <v>BOMBAS</v>
      </c>
      <c r="P2989" t="str">
        <f t="shared" si="1951"/>
        <v>0</v>
      </c>
      <c r="Q2989" t="str">
        <f t="shared" si="1951"/>
        <v>0</v>
      </c>
      <c r="R2989" t="str">
        <f t="shared" si="1952"/>
        <v>0,00</v>
      </c>
      <c r="S2989" t="str">
        <f t="shared" si="1952"/>
        <v>0,00</v>
      </c>
      <c r="T2989" t="str">
        <f t="shared" si="1917"/>
        <v xml:space="preserve"> </v>
      </c>
      <c r="U2989" t="str">
        <f t="shared" si="1918"/>
        <v xml:space="preserve"> </v>
      </c>
      <c r="V2989" t="str">
        <f>"0,000"</f>
        <v>0,000</v>
      </c>
      <c r="W2989" t="str">
        <f t="shared" si="1922"/>
        <v>Lista 4</v>
      </c>
      <c r="X2989" t="str">
        <f t="shared" si="1923"/>
        <v>Lista 5</v>
      </c>
      <c r="Y2989" t="str">
        <f t="shared" si="1924"/>
        <v>Oferta Gral.</v>
      </c>
      <c r="Z2989" t="str">
        <f t="shared" si="1925"/>
        <v>Rubro</v>
      </c>
      <c r="AA2989" t="str">
        <f t="shared" si="1926"/>
        <v>Cantidad por Bulto</v>
      </c>
      <c r="AB2989" t="str">
        <f t="shared" si="1927"/>
        <v>INNER</v>
      </c>
      <c r="AC2989" t="str">
        <f t="shared" si="1928"/>
        <v>Stock en Bultos</v>
      </c>
      <c r="AD2989" t="str">
        <f t="shared" si="1929"/>
        <v>SubDepósito</v>
      </c>
      <c r="AE2989" t="str">
        <f t="shared" si="1930"/>
        <v>Marca</v>
      </c>
      <c r="AF2989" t="str">
        <f t="shared" si="1931"/>
        <v>Super Rubro</v>
      </c>
      <c r="AG2989" t="str">
        <f t="shared" si="1932"/>
        <v>ComercioExterior</v>
      </c>
      <c r="AH2989" t="str">
        <f t="shared" si="1933"/>
        <v>PrecioFOB</v>
      </c>
      <c r="AI2989" t="str">
        <f t="shared" si="1934"/>
        <v>Monto II</v>
      </c>
      <c r="AJ2989" t="str">
        <f t="shared" si="1935"/>
        <v>Porcentaje II</v>
      </c>
      <c r="AK2989" t="str">
        <f t="shared" si="1936"/>
        <v>Foto</v>
      </c>
      <c r="AL298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89" t="str">
        <f t="shared" si="1949"/>
        <v>-</v>
      </c>
    </row>
    <row r="2990" spans="1:39" x14ac:dyDescent="0.25">
      <c r="A2990" t="str">
        <f>"FI19007"</f>
        <v>FI19007</v>
      </c>
      <c r="B2990" t="str">
        <f>"TAPA FLOTANTE FORD F1000 4.9 ESCORT/POINTER 1.6 AP 93&gt;96 NAFTERO"</f>
        <v>TAPA FLOTANTE FORD F1000 4.9 ESCORT/POINTER 1.6 AP 93&gt;96 NAFTERO</v>
      </c>
      <c r="C2990" t="str">
        <f>"$ 18749,34"</f>
        <v>$ 18749,34</v>
      </c>
      <c r="D2990" t="str">
        <f>"$ 18749,34"</f>
        <v>$ 18749,34</v>
      </c>
      <c r="E2990" t="str">
        <f>"$ 18749,34"</f>
        <v>$ 18749,34</v>
      </c>
      <c r="F2990" t="str">
        <f>"$ 18749,34"</f>
        <v>$ 18749,34</v>
      </c>
      <c r="G2990" t="str">
        <f>"$ 18749,34"</f>
        <v>$ 18749,34</v>
      </c>
      <c r="H2990" t="str">
        <f t="shared" si="1919"/>
        <v>$ 0,00</v>
      </c>
      <c r="I2990" t="str">
        <f t="shared" si="1946"/>
        <v>TAPA FLOTANTE</v>
      </c>
      <c r="J2990" t="str">
        <f t="shared" si="1920"/>
        <v>1</v>
      </c>
      <c r="K2990" t="str">
        <f t="shared" si="1945"/>
        <v>0</v>
      </c>
      <c r="L2990" t="str">
        <f>"0,000"</f>
        <v>0,000</v>
      </c>
      <c r="M2990" t="str">
        <f t="shared" si="1921"/>
        <v xml:space="preserve"> </v>
      </c>
      <c r="N2990" t="str">
        <f t="shared" si="1947"/>
        <v>FISPA</v>
      </c>
      <c r="O2990" t="str">
        <f t="shared" si="1948"/>
        <v>BOMBAS</v>
      </c>
      <c r="P2990" t="str">
        <f t="shared" si="1951"/>
        <v>0</v>
      </c>
      <c r="Q2990" t="str">
        <f t="shared" si="1951"/>
        <v>0</v>
      </c>
      <c r="R2990" t="str">
        <f t="shared" si="1952"/>
        <v>0,00</v>
      </c>
      <c r="S2990" t="str">
        <f t="shared" si="1952"/>
        <v>0,00</v>
      </c>
      <c r="T2990" t="str">
        <f t="shared" si="1917"/>
        <v xml:space="preserve"> </v>
      </c>
      <c r="U2990" t="str">
        <f t="shared" si="1918"/>
        <v xml:space="preserve"> </v>
      </c>
      <c r="V2990" t="str">
        <f>"0,000"</f>
        <v>0,000</v>
      </c>
      <c r="W2990" t="str">
        <f t="shared" si="1922"/>
        <v>Lista 4</v>
      </c>
      <c r="X2990" t="str">
        <f t="shared" si="1923"/>
        <v>Lista 5</v>
      </c>
      <c r="Y2990" t="str">
        <f t="shared" si="1924"/>
        <v>Oferta Gral.</v>
      </c>
      <c r="Z2990" t="str">
        <f t="shared" si="1925"/>
        <v>Rubro</v>
      </c>
      <c r="AA2990" t="str">
        <f t="shared" si="1926"/>
        <v>Cantidad por Bulto</v>
      </c>
      <c r="AB2990" t="str">
        <f t="shared" si="1927"/>
        <v>INNER</v>
      </c>
      <c r="AC2990" t="str">
        <f t="shared" si="1928"/>
        <v>Stock en Bultos</v>
      </c>
      <c r="AD2990" t="str">
        <f t="shared" si="1929"/>
        <v>SubDepósito</v>
      </c>
      <c r="AE2990" t="str">
        <f t="shared" si="1930"/>
        <v>Marca</v>
      </c>
      <c r="AF2990" t="str">
        <f t="shared" si="1931"/>
        <v>Super Rubro</v>
      </c>
      <c r="AG2990" t="str">
        <f t="shared" si="1932"/>
        <v>ComercioExterior</v>
      </c>
      <c r="AH2990" t="str">
        <f t="shared" si="1933"/>
        <v>PrecioFOB</v>
      </c>
      <c r="AI2990" t="str">
        <f t="shared" si="1934"/>
        <v>Monto II</v>
      </c>
      <c r="AJ2990" t="str">
        <f t="shared" si="1935"/>
        <v>Porcentaje II</v>
      </c>
      <c r="AK2990" t="str">
        <f t="shared" si="1936"/>
        <v>Foto</v>
      </c>
      <c r="AL299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0" t="str">
        <f t="shared" si="1949"/>
        <v>-</v>
      </c>
    </row>
    <row r="2991" spans="1:39" x14ac:dyDescent="0.25">
      <c r="A2991" t="str">
        <f>"FI19012"</f>
        <v>FI19012</v>
      </c>
      <c r="B2991" t="str">
        <f>"TAPA FLOTANTE FORD FIESTA 1.0 E 1.6 TODOS 2006&gt; - ECOSPORT 1.6 TODOS 2006&gt;  NAFTERO"</f>
        <v>TAPA FLOTANTE FORD FIESTA 1.0 E 1.6 TODOS 2006&gt; - ECOSPORT 1.6 TODOS 2006&gt;  NAFTERO</v>
      </c>
      <c r="C2991" t="str">
        <f>"$ 17401,82"</f>
        <v>$ 17401,82</v>
      </c>
      <c r="D2991" t="str">
        <f>"$ 17401,82"</f>
        <v>$ 17401,82</v>
      </c>
      <c r="E2991" t="str">
        <f>"$ 17401,82"</f>
        <v>$ 17401,82</v>
      </c>
      <c r="F2991" t="str">
        <f>"$ 17401,82"</f>
        <v>$ 17401,82</v>
      </c>
      <c r="G2991" t="str">
        <f>"$ 17401,82"</f>
        <v>$ 17401,82</v>
      </c>
      <c r="H2991" t="str">
        <f t="shared" si="1919"/>
        <v>$ 0,00</v>
      </c>
      <c r="I2991" t="str">
        <f t="shared" si="1946"/>
        <v>TAPA FLOTANTE</v>
      </c>
      <c r="J2991" t="str">
        <f t="shared" si="1920"/>
        <v>1</v>
      </c>
      <c r="K2991" t="str">
        <f t="shared" si="1945"/>
        <v>0</v>
      </c>
      <c r="L2991" t="str">
        <f>"3,000"</f>
        <v>3,000</v>
      </c>
      <c r="M2991" t="str">
        <f t="shared" si="1921"/>
        <v xml:space="preserve"> </v>
      </c>
      <c r="N2991" t="str">
        <f t="shared" si="1947"/>
        <v>FISPA</v>
      </c>
      <c r="O2991" t="str">
        <f t="shared" si="1948"/>
        <v>BOMBAS</v>
      </c>
      <c r="P2991" t="str">
        <f t="shared" si="1951"/>
        <v>0</v>
      </c>
      <c r="Q2991" t="str">
        <f t="shared" si="1951"/>
        <v>0</v>
      </c>
      <c r="R2991" t="str">
        <f t="shared" si="1952"/>
        <v>0,00</v>
      </c>
      <c r="S2991" t="str">
        <f t="shared" si="1952"/>
        <v>0,00</v>
      </c>
      <c r="T2991" t="str">
        <f t="shared" si="1917"/>
        <v xml:space="preserve"> </v>
      </c>
      <c r="U2991" t="str">
        <f t="shared" si="1918"/>
        <v xml:space="preserve"> </v>
      </c>
      <c r="V2991" t="str">
        <f>"3,000"</f>
        <v>3,000</v>
      </c>
      <c r="W2991" t="str">
        <f t="shared" si="1922"/>
        <v>Lista 4</v>
      </c>
      <c r="X2991" t="str">
        <f t="shared" si="1923"/>
        <v>Lista 5</v>
      </c>
      <c r="Y2991" t="str">
        <f t="shared" si="1924"/>
        <v>Oferta Gral.</v>
      </c>
      <c r="Z2991" t="str">
        <f t="shared" si="1925"/>
        <v>Rubro</v>
      </c>
      <c r="AA2991" t="str">
        <f t="shared" si="1926"/>
        <v>Cantidad por Bulto</v>
      </c>
      <c r="AB2991" t="str">
        <f t="shared" si="1927"/>
        <v>INNER</v>
      </c>
      <c r="AC2991" t="str">
        <f t="shared" si="1928"/>
        <v>Stock en Bultos</v>
      </c>
      <c r="AD2991" t="str">
        <f t="shared" si="1929"/>
        <v>SubDepósito</v>
      </c>
      <c r="AE2991" t="str">
        <f t="shared" si="1930"/>
        <v>Marca</v>
      </c>
      <c r="AF2991" t="str">
        <f t="shared" si="1931"/>
        <v>Super Rubro</v>
      </c>
      <c r="AG2991" t="str">
        <f t="shared" si="1932"/>
        <v>ComercioExterior</v>
      </c>
      <c r="AH2991" t="str">
        <f t="shared" si="1933"/>
        <v>PrecioFOB</v>
      </c>
      <c r="AI2991" t="str">
        <f t="shared" si="1934"/>
        <v>Monto II</v>
      </c>
      <c r="AJ2991" t="str">
        <f t="shared" si="1935"/>
        <v>Porcentaje II</v>
      </c>
      <c r="AK2991" t="str">
        <f t="shared" si="1936"/>
        <v>Foto</v>
      </c>
      <c r="AL299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1" t="str">
        <f t="shared" si="1949"/>
        <v>-</v>
      </c>
    </row>
    <row r="2992" spans="1:39" x14ac:dyDescent="0.25">
      <c r="A2992" t="str">
        <f>"FI19026"</f>
        <v>FI19026</v>
      </c>
      <c r="B2992" t="str">
        <f>"TAPA FLOTANTE FORD FOCUS - COURIER"</f>
        <v>TAPA FLOTANTE FORD FOCUS - COURIER</v>
      </c>
      <c r="C2992" t="str">
        <f>"$ 20419,10"</f>
        <v>$ 20419,10</v>
      </c>
      <c r="D2992" t="str">
        <f>"$ 20419,10"</f>
        <v>$ 20419,10</v>
      </c>
      <c r="E2992" t="str">
        <f>"$ 20419,10"</f>
        <v>$ 20419,10</v>
      </c>
      <c r="F2992" t="str">
        <f>"$ 20419,10"</f>
        <v>$ 20419,10</v>
      </c>
      <c r="G2992" t="str">
        <f>"$ 20419,10"</f>
        <v>$ 20419,10</v>
      </c>
      <c r="H2992" t="str">
        <f t="shared" si="1919"/>
        <v>$ 0,00</v>
      </c>
      <c r="I2992" t="str">
        <f t="shared" si="1946"/>
        <v>TAPA FLOTANTE</v>
      </c>
      <c r="J2992" t="str">
        <f t="shared" si="1920"/>
        <v>1</v>
      </c>
      <c r="K2992" t="str">
        <f t="shared" si="1945"/>
        <v>0</v>
      </c>
      <c r="L2992" t="str">
        <f>"0,000"</f>
        <v>0,000</v>
      </c>
      <c r="M2992" t="str">
        <f t="shared" si="1921"/>
        <v xml:space="preserve"> </v>
      </c>
      <c r="N2992" t="str">
        <f t="shared" si="1947"/>
        <v>FISPA</v>
      </c>
      <c r="O2992" t="str">
        <f t="shared" si="1948"/>
        <v>BOMBAS</v>
      </c>
      <c r="P2992" t="str">
        <f t="shared" si="1951"/>
        <v>0</v>
      </c>
      <c r="Q2992" t="str">
        <f t="shared" si="1951"/>
        <v>0</v>
      </c>
      <c r="R2992" t="str">
        <f t="shared" si="1952"/>
        <v>0,00</v>
      </c>
      <c r="S2992" t="str">
        <f t="shared" si="1952"/>
        <v>0,00</v>
      </c>
      <c r="T2992" t="str">
        <f t="shared" si="1917"/>
        <v xml:space="preserve"> </v>
      </c>
      <c r="U2992" t="str">
        <f t="shared" si="1918"/>
        <v xml:space="preserve"> </v>
      </c>
      <c r="V2992" t="str">
        <f>"0,000"</f>
        <v>0,000</v>
      </c>
      <c r="W2992" t="str">
        <f t="shared" si="1922"/>
        <v>Lista 4</v>
      </c>
      <c r="X2992" t="str">
        <f t="shared" si="1923"/>
        <v>Lista 5</v>
      </c>
      <c r="Y2992" t="str">
        <f t="shared" si="1924"/>
        <v>Oferta Gral.</v>
      </c>
      <c r="Z2992" t="str">
        <f t="shared" si="1925"/>
        <v>Rubro</v>
      </c>
      <c r="AA2992" t="str">
        <f t="shared" si="1926"/>
        <v>Cantidad por Bulto</v>
      </c>
      <c r="AB2992" t="str">
        <f t="shared" si="1927"/>
        <v>INNER</v>
      </c>
      <c r="AC2992" t="str">
        <f t="shared" si="1928"/>
        <v>Stock en Bultos</v>
      </c>
      <c r="AD2992" t="str">
        <f t="shared" si="1929"/>
        <v>SubDepósito</v>
      </c>
      <c r="AE2992" t="str">
        <f t="shared" si="1930"/>
        <v>Marca</v>
      </c>
      <c r="AF2992" t="str">
        <f t="shared" si="1931"/>
        <v>Super Rubro</v>
      </c>
      <c r="AG2992" t="str">
        <f t="shared" si="1932"/>
        <v>ComercioExterior</v>
      </c>
      <c r="AH2992" t="str">
        <f t="shared" si="1933"/>
        <v>PrecioFOB</v>
      </c>
      <c r="AI2992" t="str">
        <f t="shared" si="1934"/>
        <v>Monto II</v>
      </c>
      <c r="AJ2992" t="str">
        <f t="shared" si="1935"/>
        <v>Porcentaje II</v>
      </c>
      <c r="AK2992" t="str">
        <f t="shared" si="1936"/>
        <v>Foto</v>
      </c>
      <c r="AL2992" t="str">
        <f>" "</f>
        <v xml:space="preserve"> </v>
      </c>
      <c r="AM2992" t="str">
        <f t="shared" si="1949"/>
        <v>-</v>
      </c>
    </row>
    <row r="2993" spans="1:39" x14ac:dyDescent="0.25">
      <c r="A2993" t="str">
        <f>"FI19028"</f>
        <v>FI19028</v>
      </c>
      <c r="B2993" t="str">
        <f>"TAPA FLOTANTE P307 1.6/2.0 2001/08 C/ RETORNO DIRECTO AL DEPÓSITO DE  BOMBA DE VDO "</f>
        <v xml:space="preserve">TAPA FLOTANTE P307 1.6/2.0 2001/08 C/ RETORNO DIRECTO AL DEPÓSITO DE  BOMBA DE VDO </v>
      </c>
      <c r="C2993" t="str">
        <f>"$ 49426,20"</f>
        <v>$ 49426,20</v>
      </c>
      <c r="D2993" t="str">
        <f>"$ 49426,20"</f>
        <v>$ 49426,20</v>
      </c>
      <c r="E2993" t="str">
        <f>"$ 49426,20"</f>
        <v>$ 49426,20</v>
      </c>
      <c r="F2993" t="str">
        <f>"$ 49426,20"</f>
        <v>$ 49426,20</v>
      </c>
      <c r="G2993" t="str">
        <f>"$ 49426,20"</f>
        <v>$ 49426,20</v>
      </c>
      <c r="H2993" t="str">
        <f t="shared" si="1919"/>
        <v>$ 0,00</v>
      </c>
      <c r="I2993" t="str">
        <f t="shared" si="1946"/>
        <v>TAPA FLOTANTE</v>
      </c>
      <c r="J2993" t="str">
        <f t="shared" si="1920"/>
        <v>1</v>
      </c>
      <c r="K2993" t="str">
        <f t="shared" si="1945"/>
        <v>0</v>
      </c>
      <c r="L2993" t="str">
        <f>"1,000"</f>
        <v>1,000</v>
      </c>
      <c r="M2993" t="str">
        <f t="shared" si="1921"/>
        <v xml:space="preserve"> </v>
      </c>
      <c r="N2993" t="str">
        <f t="shared" si="1947"/>
        <v>FISPA</v>
      </c>
      <c r="O2993" t="str">
        <f t="shared" si="1948"/>
        <v>BOMBAS</v>
      </c>
      <c r="P2993" t="str">
        <f t="shared" si="1951"/>
        <v>0</v>
      </c>
      <c r="Q2993" t="str">
        <f t="shared" si="1951"/>
        <v>0</v>
      </c>
      <c r="R2993" t="str">
        <f t="shared" si="1952"/>
        <v>0,00</v>
      </c>
      <c r="S2993" t="str">
        <f t="shared" si="1952"/>
        <v>0,00</v>
      </c>
      <c r="T2993" t="str">
        <f t="shared" si="1917"/>
        <v xml:space="preserve"> </v>
      </c>
      <c r="U2993" t="str">
        <f t="shared" si="1918"/>
        <v xml:space="preserve"> </v>
      </c>
      <c r="V2993" t="str">
        <f>"1,000"</f>
        <v>1,000</v>
      </c>
      <c r="W2993" t="str">
        <f t="shared" si="1922"/>
        <v>Lista 4</v>
      </c>
      <c r="X2993" t="str">
        <f t="shared" si="1923"/>
        <v>Lista 5</v>
      </c>
      <c r="Y2993" t="str">
        <f t="shared" si="1924"/>
        <v>Oferta Gral.</v>
      </c>
      <c r="Z2993" t="str">
        <f t="shared" si="1925"/>
        <v>Rubro</v>
      </c>
      <c r="AA2993" t="str">
        <f t="shared" si="1926"/>
        <v>Cantidad por Bulto</v>
      </c>
      <c r="AB2993" t="str">
        <f t="shared" si="1927"/>
        <v>INNER</v>
      </c>
      <c r="AC2993" t="str">
        <f t="shared" si="1928"/>
        <v>Stock en Bultos</v>
      </c>
      <c r="AD2993" t="str">
        <f t="shared" si="1929"/>
        <v>SubDepósito</v>
      </c>
      <c r="AE2993" t="str">
        <f t="shared" si="1930"/>
        <v>Marca</v>
      </c>
      <c r="AF2993" t="str">
        <f t="shared" si="1931"/>
        <v>Super Rubro</v>
      </c>
      <c r="AG2993" t="str">
        <f t="shared" si="1932"/>
        <v>ComercioExterior</v>
      </c>
      <c r="AH2993" t="str">
        <f t="shared" si="1933"/>
        <v>PrecioFOB</v>
      </c>
      <c r="AI2993" t="str">
        <f t="shared" si="1934"/>
        <v>Monto II</v>
      </c>
      <c r="AJ2993" t="str">
        <f t="shared" si="1935"/>
        <v>Porcentaje II</v>
      </c>
      <c r="AK2993" t="str">
        <f t="shared" si="1936"/>
        <v>Foto</v>
      </c>
      <c r="AL299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3" t="str">
        <f t="shared" si="1949"/>
        <v>-</v>
      </c>
    </row>
    <row r="2994" spans="1:39" x14ac:dyDescent="0.25">
      <c r="A2994" t="str">
        <f>"FI19021"</f>
        <v>FI19021</v>
      </c>
      <c r="B2994" t="str">
        <f>"TAPA FLOTANTE RENAULT CLIO 1.0 Y 1.6  TODOS  2002&gt; 2005 NAFTERO"</f>
        <v>TAPA FLOTANTE RENAULT CLIO 1.0 Y 1.6  TODOS  2002&gt; 2005 NAFTERO</v>
      </c>
      <c r="C2994" t="str">
        <f>"$ 37580,47"</f>
        <v>$ 37580,47</v>
      </c>
      <c r="D2994" t="str">
        <f>"$ 37580,47"</f>
        <v>$ 37580,47</v>
      </c>
      <c r="E2994" t="str">
        <f>"$ 37580,47"</f>
        <v>$ 37580,47</v>
      </c>
      <c r="F2994" t="str">
        <f>"$ 37580,47"</f>
        <v>$ 37580,47</v>
      </c>
      <c r="G2994" t="str">
        <f>"$ 37580,47"</f>
        <v>$ 37580,47</v>
      </c>
      <c r="H2994" t="str">
        <f t="shared" si="1919"/>
        <v>$ 0,00</v>
      </c>
      <c r="I2994" t="str">
        <f t="shared" si="1946"/>
        <v>TAPA FLOTANTE</v>
      </c>
      <c r="J2994" t="str">
        <f t="shared" si="1920"/>
        <v>1</v>
      </c>
      <c r="K2994" t="str">
        <f t="shared" si="1945"/>
        <v>0</v>
      </c>
      <c r="L2994" t="str">
        <f>"5,000"</f>
        <v>5,000</v>
      </c>
      <c r="M2994" t="str">
        <f t="shared" si="1921"/>
        <v xml:space="preserve"> </v>
      </c>
      <c r="N2994" t="str">
        <f t="shared" si="1947"/>
        <v>FISPA</v>
      </c>
      <c r="O2994" t="str">
        <f t="shared" si="1948"/>
        <v>BOMBAS</v>
      </c>
      <c r="P2994" t="str">
        <f t="shared" si="1951"/>
        <v>0</v>
      </c>
      <c r="Q2994" t="str">
        <f t="shared" si="1951"/>
        <v>0</v>
      </c>
      <c r="R2994" t="str">
        <f t="shared" si="1952"/>
        <v>0,00</v>
      </c>
      <c r="S2994" t="str">
        <f t="shared" si="1952"/>
        <v>0,00</v>
      </c>
      <c r="T2994" t="str">
        <f t="shared" si="1917"/>
        <v xml:space="preserve"> </v>
      </c>
      <c r="U2994" t="str">
        <f t="shared" si="1918"/>
        <v xml:space="preserve"> </v>
      </c>
      <c r="V2994" t="str">
        <f>"5,000"</f>
        <v>5,000</v>
      </c>
      <c r="W2994" t="str">
        <f t="shared" si="1922"/>
        <v>Lista 4</v>
      </c>
      <c r="X2994" t="str">
        <f t="shared" si="1923"/>
        <v>Lista 5</v>
      </c>
      <c r="Y2994" t="str">
        <f t="shared" si="1924"/>
        <v>Oferta Gral.</v>
      </c>
      <c r="Z2994" t="str">
        <f t="shared" si="1925"/>
        <v>Rubro</v>
      </c>
      <c r="AA2994" t="str">
        <f t="shared" si="1926"/>
        <v>Cantidad por Bulto</v>
      </c>
      <c r="AB2994" t="str">
        <f t="shared" si="1927"/>
        <v>INNER</v>
      </c>
      <c r="AC2994" t="str">
        <f t="shared" si="1928"/>
        <v>Stock en Bultos</v>
      </c>
      <c r="AD2994" t="str">
        <f t="shared" si="1929"/>
        <v>SubDepósito</v>
      </c>
      <c r="AE2994" t="str">
        <f t="shared" si="1930"/>
        <v>Marca</v>
      </c>
      <c r="AF2994" t="str">
        <f t="shared" si="1931"/>
        <v>Super Rubro</v>
      </c>
      <c r="AG2994" t="str">
        <f t="shared" si="1932"/>
        <v>ComercioExterior</v>
      </c>
      <c r="AH2994" t="str">
        <f t="shared" si="1933"/>
        <v>PrecioFOB</v>
      </c>
      <c r="AI2994" t="str">
        <f t="shared" si="1934"/>
        <v>Monto II</v>
      </c>
      <c r="AJ2994" t="str">
        <f t="shared" si="1935"/>
        <v>Porcentaje II</v>
      </c>
      <c r="AK2994" t="str">
        <f t="shared" si="1936"/>
        <v>Foto</v>
      </c>
      <c r="AL299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4" t="str">
        <f t="shared" si="1949"/>
        <v>-</v>
      </c>
    </row>
    <row r="2995" spans="1:39" x14ac:dyDescent="0.25">
      <c r="A2995" t="str">
        <f>"FI19031"</f>
        <v>FI19031</v>
      </c>
      <c r="B2995" t="str">
        <f>"TAPA FLOTANTE RENAULT KANGOO 1.6 16V K4M Y DIESEL 7700315153 84139190"</f>
        <v>TAPA FLOTANTE RENAULT KANGOO 1.6 16V K4M Y DIESEL 7700315153 84139190</v>
      </c>
      <c r="C2995" t="str">
        <f>"$ 31799,79"</f>
        <v>$ 31799,79</v>
      </c>
      <c r="D2995" t="str">
        <f>"$ 31799,79"</f>
        <v>$ 31799,79</v>
      </c>
      <c r="E2995" t="str">
        <f>"$ 31799,79"</f>
        <v>$ 31799,79</v>
      </c>
      <c r="F2995" t="str">
        <f>"$ 31799,79"</f>
        <v>$ 31799,79</v>
      </c>
      <c r="G2995" t="str">
        <f>"$ 31799,79"</f>
        <v>$ 31799,79</v>
      </c>
      <c r="H2995" t="str">
        <f t="shared" si="1919"/>
        <v>$ 0,00</v>
      </c>
      <c r="I2995" t="str">
        <f t="shared" si="1946"/>
        <v>TAPA FLOTANTE</v>
      </c>
      <c r="J2995" t="str">
        <f t="shared" si="1920"/>
        <v>1</v>
      </c>
      <c r="K2995" t="str">
        <f t="shared" si="1945"/>
        <v>0</v>
      </c>
      <c r="L2995" t="str">
        <f>"1,000"</f>
        <v>1,000</v>
      </c>
      <c r="M2995" t="str">
        <f t="shared" si="1921"/>
        <v xml:space="preserve"> </v>
      </c>
      <c r="N2995" t="str">
        <f t="shared" si="1947"/>
        <v>FISPA</v>
      </c>
      <c r="O2995" t="str">
        <f t="shared" si="1948"/>
        <v>BOMBAS</v>
      </c>
      <c r="P2995" t="str">
        <f t="shared" si="1951"/>
        <v>0</v>
      </c>
      <c r="Q2995" t="str">
        <f t="shared" si="1951"/>
        <v>0</v>
      </c>
      <c r="R2995" t="str">
        <f t="shared" si="1952"/>
        <v>0,00</v>
      </c>
      <c r="S2995" t="str">
        <f t="shared" si="1952"/>
        <v>0,00</v>
      </c>
      <c r="T2995" t="str">
        <f t="shared" si="1917"/>
        <v xml:space="preserve"> </v>
      </c>
      <c r="U2995" t="str">
        <f t="shared" si="1918"/>
        <v xml:space="preserve"> </v>
      </c>
      <c r="V2995" t="str">
        <f>"1,000"</f>
        <v>1,000</v>
      </c>
      <c r="W2995" t="str">
        <f t="shared" si="1922"/>
        <v>Lista 4</v>
      </c>
      <c r="X2995" t="str">
        <f t="shared" si="1923"/>
        <v>Lista 5</v>
      </c>
      <c r="Y2995" t="str">
        <f t="shared" si="1924"/>
        <v>Oferta Gral.</v>
      </c>
      <c r="Z2995" t="str">
        <f t="shared" si="1925"/>
        <v>Rubro</v>
      </c>
      <c r="AA2995" t="str">
        <f t="shared" si="1926"/>
        <v>Cantidad por Bulto</v>
      </c>
      <c r="AB2995" t="str">
        <f t="shared" si="1927"/>
        <v>INNER</v>
      </c>
      <c r="AC2995" t="str">
        <f t="shared" si="1928"/>
        <v>Stock en Bultos</v>
      </c>
      <c r="AD2995" t="str">
        <f t="shared" si="1929"/>
        <v>SubDepósito</v>
      </c>
      <c r="AE2995" t="str">
        <f t="shared" si="1930"/>
        <v>Marca</v>
      </c>
      <c r="AF2995" t="str">
        <f t="shared" si="1931"/>
        <v>Super Rubro</v>
      </c>
      <c r="AG2995" t="str">
        <f t="shared" si="1932"/>
        <v>ComercioExterior</v>
      </c>
      <c r="AH2995" t="str">
        <f t="shared" si="1933"/>
        <v>PrecioFOB</v>
      </c>
      <c r="AI2995" t="str">
        <f t="shared" si="1934"/>
        <v>Monto II</v>
      </c>
      <c r="AJ2995" t="str">
        <f t="shared" si="1935"/>
        <v>Porcentaje II</v>
      </c>
      <c r="AK2995" t="str">
        <f t="shared" si="1936"/>
        <v>Foto</v>
      </c>
      <c r="AL2995" t="str">
        <f>"{\rtf1\ansi\ansicpg1252\deff0\deflang2058{\fonttbl{\f0\fnil\fcharset0 MS Sans Serif}} \viewkind4\uc1\pard\f0\fs16 TAPA FLOTANTE RENAULT KANGOO 1.6 16V K4M Y DIESEL 7700315153 84139190\par } "</f>
        <v xml:space="preserve">{\rtf1\ansi\ansicpg1252\deff0\deflang2058{\fonttbl{\f0\fnil\fcharset0 MS Sans Serif}} \viewkind4\uc1\pard\f0\fs16 TAPA FLOTANTE RENAULT KANGOO 1.6 16V K4M Y DIESEL 7700315153 84139190\par } </v>
      </c>
      <c r="AM2995" t="str">
        <f t="shared" si="1949"/>
        <v>-</v>
      </c>
    </row>
    <row r="2996" spans="1:39" x14ac:dyDescent="0.25">
      <c r="A2996" t="str">
        <f>"FI19018"</f>
        <v>FI19018</v>
      </c>
      <c r="B2996" t="str">
        <f>"TAPA FLOTANTE RENAULT LOGAN / SANDERO 1.6 2007&gt; - CLIO / SYMBOL 1.6 2005&gt; - DUSTER 1.6 2011&gt;"</f>
        <v>TAPA FLOTANTE RENAULT LOGAN / SANDERO 1.6 2007&gt; - CLIO / SYMBOL 1.6 2005&gt; - DUSTER 1.6 2011&gt;</v>
      </c>
      <c r="C2996" t="str">
        <f>"$ 37498,69"</f>
        <v>$ 37498,69</v>
      </c>
      <c r="D2996" t="str">
        <f>"$ 37498,69"</f>
        <v>$ 37498,69</v>
      </c>
      <c r="E2996" t="str">
        <f>"$ 37498,69"</f>
        <v>$ 37498,69</v>
      </c>
      <c r="F2996" t="str">
        <f>"$ 37498,69"</f>
        <v>$ 37498,69</v>
      </c>
      <c r="G2996" t="str">
        <f>"$ 37498,69"</f>
        <v>$ 37498,69</v>
      </c>
      <c r="H2996" t="str">
        <f t="shared" si="1919"/>
        <v>$ 0,00</v>
      </c>
      <c r="I2996" t="str">
        <f t="shared" si="1946"/>
        <v>TAPA FLOTANTE</v>
      </c>
      <c r="J2996" t="str">
        <f t="shared" si="1920"/>
        <v>1</v>
      </c>
      <c r="K2996" t="str">
        <f t="shared" si="1945"/>
        <v>0</v>
      </c>
      <c r="L2996" t="str">
        <f>"4,000"</f>
        <v>4,000</v>
      </c>
      <c r="M2996" t="str">
        <f t="shared" si="1921"/>
        <v xml:space="preserve"> </v>
      </c>
      <c r="N2996" t="str">
        <f t="shared" si="1947"/>
        <v>FISPA</v>
      </c>
      <c r="O2996" t="str">
        <f t="shared" si="1948"/>
        <v>BOMBAS</v>
      </c>
      <c r="P2996" t="str">
        <f t="shared" si="1951"/>
        <v>0</v>
      </c>
      <c r="Q2996" t="str">
        <f t="shared" si="1951"/>
        <v>0</v>
      </c>
      <c r="R2996" t="str">
        <f t="shared" si="1952"/>
        <v>0,00</v>
      </c>
      <c r="S2996" t="str">
        <f t="shared" si="1952"/>
        <v>0,00</v>
      </c>
      <c r="T2996" t="str">
        <f t="shared" si="1917"/>
        <v xml:space="preserve"> </v>
      </c>
      <c r="U2996" t="str">
        <f t="shared" si="1918"/>
        <v xml:space="preserve"> </v>
      </c>
      <c r="V2996" t="str">
        <f>"4,000"</f>
        <v>4,000</v>
      </c>
      <c r="W2996" t="str">
        <f t="shared" si="1922"/>
        <v>Lista 4</v>
      </c>
      <c r="X2996" t="str">
        <f t="shared" si="1923"/>
        <v>Lista 5</v>
      </c>
      <c r="Y2996" t="str">
        <f t="shared" si="1924"/>
        <v>Oferta Gral.</v>
      </c>
      <c r="Z2996" t="str">
        <f t="shared" si="1925"/>
        <v>Rubro</v>
      </c>
      <c r="AA2996" t="str">
        <f t="shared" si="1926"/>
        <v>Cantidad por Bulto</v>
      </c>
      <c r="AB2996" t="str">
        <f t="shared" si="1927"/>
        <v>INNER</v>
      </c>
      <c r="AC2996" t="str">
        <f t="shared" si="1928"/>
        <v>Stock en Bultos</v>
      </c>
      <c r="AD2996" t="str">
        <f t="shared" si="1929"/>
        <v>SubDepósito</v>
      </c>
      <c r="AE2996" t="str">
        <f t="shared" si="1930"/>
        <v>Marca</v>
      </c>
      <c r="AF2996" t="str">
        <f t="shared" si="1931"/>
        <v>Super Rubro</v>
      </c>
      <c r="AG2996" t="str">
        <f t="shared" si="1932"/>
        <v>ComercioExterior</v>
      </c>
      <c r="AH2996" t="str">
        <f t="shared" si="1933"/>
        <v>PrecioFOB</v>
      </c>
      <c r="AI2996" t="str">
        <f t="shared" si="1934"/>
        <v>Monto II</v>
      </c>
      <c r="AJ2996" t="str">
        <f t="shared" si="1935"/>
        <v>Porcentaje II</v>
      </c>
      <c r="AK2996" t="str">
        <f t="shared" si="1936"/>
        <v>Foto</v>
      </c>
      <c r="AL299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6" t="str">
        <f t="shared" si="1949"/>
        <v>-</v>
      </c>
    </row>
    <row r="2997" spans="1:39" x14ac:dyDescent="0.25">
      <c r="A2997" t="str">
        <f>"FI19019"</f>
        <v>FI19019</v>
      </c>
      <c r="B2997" t="str">
        <f>"TAPA FLOTANTE RENAULT SCENIC TODOS 2002&gt; NAFTERO"</f>
        <v>TAPA FLOTANTE RENAULT SCENIC TODOS 2002&gt; NAFTERO</v>
      </c>
      <c r="C2997" t="str">
        <f>"$ 41962,35"</f>
        <v>$ 41962,35</v>
      </c>
      <c r="D2997" t="str">
        <f>"$ 41962,35"</f>
        <v>$ 41962,35</v>
      </c>
      <c r="E2997" t="str">
        <f>"$ 41962,35"</f>
        <v>$ 41962,35</v>
      </c>
      <c r="F2997" t="str">
        <f>"$ 41962,35"</f>
        <v>$ 41962,35</v>
      </c>
      <c r="G2997" t="str">
        <f>"$ 41962,35"</f>
        <v>$ 41962,35</v>
      </c>
      <c r="H2997" t="str">
        <f t="shared" si="1919"/>
        <v>$ 0,00</v>
      </c>
      <c r="I2997" t="str">
        <f t="shared" si="1946"/>
        <v>TAPA FLOTANTE</v>
      </c>
      <c r="J2997" t="str">
        <f t="shared" si="1920"/>
        <v>1</v>
      </c>
      <c r="K2997" t="str">
        <f t="shared" si="1945"/>
        <v>0</v>
      </c>
      <c r="L2997" t="str">
        <f>"5,000"</f>
        <v>5,000</v>
      </c>
      <c r="M2997" t="str">
        <f t="shared" si="1921"/>
        <v xml:space="preserve"> </v>
      </c>
      <c r="N2997" t="str">
        <f t="shared" si="1947"/>
        <v>FISPA</v>
      </c>
      <c r="O2997" t="str">
        <f t="shared" si="1948"/>
        <v>BOMBAS</v>
      </c>
      <c r="P2997" t="str">
        <f t="shared" si="1951"/>
        <v>0</v>
      </c>
      <c r="Q2997" t="str">
        <f t="shared" si="1951"/>
        <v>0</v>
      </c>
      <c r="R2997" t="str">
        <f t="shared" si="1952"/>
        <v>0,00</v>
      </c>
      <c r="S2997" t="str">
        <f t="shared" si="1952"/>
        <v>0,00</v>
      </c>
      <c r="T2997" t="str">
        <f t="shared" si="1917"/>
        <v xml:space="preserve"> </v>
      </c>
      <c r="U2997" t="str">
        <f t="shared" si="1918"/>
        <v xml:space="preserve"> </v>
      </c>
      <c r="V2997" t="str">
        <f>"5,000"</f>
        <v>5,000</v>
      </c>
      <c r="W2997" t="str">
        <f t="shared" si="1922"/>
        <v>Lista 4</v>
      </c>
      <c r="X2997" t="str">
        <f t="shared" si="1923"/>
        <v>Lista 5</v>
      </c>
      <c r="Y2997" t="str">
        <f t="shared" si="1924"/>
        <v>Oferta Gral.</v>
      </c>
      <c r="Z2997" t="str">
        <f t="shared" si="1925"/>
        <v>Rubro</v>
      </c>
      <c r="AA2997" t="str">
        <f t="shared" si="1926"/>
        <v>Cantidad por Bulto</v>
      </c>
      <c r="AB2997" t="str">
        <f t="shared" si="1927"/>
        <v>INNER</v>
      </c>
      <c r="AC2997" t="str">
        <f t="shared" si="1928"/>
        <v>Stock en Bultos</v>
      </c>
      <c r="AD2997" t="str">
        <f t="shared" si="1929"/>
        <v>SubDepósito</v>
      </c>
      <c r="AE2997" t="str">
        <f t="shared" si="1930"/>
        <v>Marca</v>
      </c>
      <c r="AF2997" t="str">
        <f t="shared" si="1931"/>
        <v>Super Rubro</v>
      </c>
      <c r="AG2997" t="str">
        <f t="shared" si="1932"/>
        <v>ComercioExterior</v>
      </c>
      <c r="AH2997" t="str">
        <f t="shared" si="1933"/>
        <v>PrecioFOB</v>
      </c>
      <c r="AI2997" t="str">
        <f t="shared" si="1934"/>
        <v>Monto II</v>
      </c>
      <c r="AJ2997" t="str">
        <f t="shared" si="1935"/>
        <v>Porcentaje II</v>
      </c>
      <c r="AK2997" t="str">
        <f t="shared" si="1936"/>
        <v>Foto</v>
      </c>
      <c r="AL299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7" t="str">
        <f t="shared" si="1949"/>
        <v>-</v>
      </c>
    </row>
    <row r="2998" spans="1:39" x14ac:dyDescent="0.25">
      <c r="A2998" t="str">
        <f>"FI19025"</f>
        <v>FI19025</v>
      </c>
      <c r="B2998" t="str">
        <f>"TAPA FLOTANTE UNO - 12 FUROS NAFTERO"</f>
        <v>TAPA FLOTANTE UNO - 12 FUROS NAFTERO</v>
      </c>
      <c r="C2998" t="str">
        <f>"$ 17027,10"</f>
        <v>$ 17027,10</v>
      </c>
      <c r="D2998" t="str">
        <f>"$ 17027,10"</f>
        <v>$ 17027,10</v>
      </c>
      <c r="E2998" t="str">
        <f>"$ 17027,10"</f>
        <v>$ 17027,10</v>
      </c>
      <c r="F2998" t="str">
        <f>"$ 17027,10"</f>
        <v>$ 17027,10</v>
      </c>
      <c r="G2998" t="str">
        <f>"$ 17027,10"</f>
        <v>$ 17027,10</v>
      </c>
      <c r="H2998" t="str">
        <f t="shared" si="1919"/>
        <v>$ 0,00</v>
      </c>
      <c r="I2998" t="str">
        <f t="shared" si="1946"/>
        <v>TAPA FLOTANTE</v>
      </c>
      <c r="J2998" t="str">
        <f t="shared" si="1920"/>
        <v>1</v>
      </c>
      <c r="K2998" t="str">
        <f t="shared" si="1945"/>
        <v>0</v>
      </c>
      <c r="L2998" t="str">
        <f>"2,000"</f>
        <v>2,000</v>
      </c>
      <c r="M2998" t="str">
        <f t="shared" si="1921"/>
        <v xml:space="preserve"> </v>
      </c>
      <c r="N2998" t="str">
        <f t="shared" si="1947"/>
        <v>FISPA</v>
      </c>
      <c r="O2998" t="str">
        <f t="shared" si="1948"/>
        <v>BOMBAS</v>
      </c>
      <c r="P2998" t="str">
        <f t="shared" si="1951"/>
        <v>0</v>
      </c>
      <c r="Q2998" t="str">
        <f t="shared" si="1951"/>
        <v>0</v>
      </c>
      <c r="R2998" t="str">
        <f t="shared" si="1952"/>
        <v>0,00</v>
      </c>
      <c r="S2998" t="str">
        <f t="shared" si="1952"/>
        <v>0,00</v>
      </c>
      <c r="T2998" t="str">
        <f t="shared" si="1917"/>
        <v xml:space="preserve"> </v>
      </c>
      <c r="U2998" t="str">
        <f t="shared" si="1918"/>
        <v xml:space="preserve"> </v>
      </c>
      <c r="V2998" t="str">
        <f>"2,000"</f>
        <v>2,000</v>
      </c>
      <c r="W2998" t="str">
        <f t="shared" si="1922"/>
        <v>Lista 4</v>
      </c>
      <c r="X2998" t="str">
        <f t="shared" si="1923"/>
        <v>Lista 5</v>
      </c>
      <c r="Y2998" t="str">
        <f t="shared" si="1924"/>
        <v>Oferta Gral.</v>
      </c>
      <c r="Z2998" t="str">
        <f t="shared" si="1925"/>
        <v>Rubro</v>
      </c>
      <c r="AA2998" t="str">
        <f t="shared" si="1926"/>
        <v>Cantidad por Bulto</v>
      </c>
      <c r="AB2998" t="str">
        <f t="shared" si="1927"/>
        <v>INNER</v>
      </c>
      <c r="AC2998" t="str">
        <f t="shared" si="1928"/>
        <v>Stock en Bultos</v>
      </c>
      <c r="AD2998" t="str">
        <f t="shared" si="1929"/>
        <v>SubDepósito</v>
      </c>
      <c r="AE2998" t="str">
        <f t="shared" si="1930"/>
        <v>Marca</v>
      </c>
      <c r="AF2998" t="str">
        <f t="shared" si="1931"/>
        <v>Super Rubro</v>
      </c>
      <c r="AG2998" t="str">
        <f t="shared" si="1932"/>
        <v>ComercioExterior</v>
      </c>
      <c r="AH2998" t="str">
        <f t="shared" si="1933"/>
        <v>PrecioFOB</v>
      </c>
      <c r="AI2998" t="str">
        <f t="shared" si="1934"/>
        <v>Monto II</v>
      </c>
      <c r="AJ2998" t="str">
        <f t="shared" si="1935"/>
        <v>Porcentaje II</v>
      </c>
      <c r="AK2998" t="str">
        <f t="shared" si="1936"/>
        <v>Foto</v>
      </c>
      <c r="AL2998" t="str">
        <f>" "</f>
        <v xml:space="preserve"> </v>
      </c>
      <c r="AM2998" t="str">
        <f t="shared" si="1949"/>
        <v>-</v>
      </c>
    </row>
    <row r="2999" spans="1:39" x14ac:dyDescent="0.25">
      <c r="A2999" t="str">
        <f>"FI19006"</f>
        <v>FI19006</v>
      </c>
      <c r="B2999" t="str">
        <f>"TAPA FLOTANTE UNO/ PALIO FIRE ACOPL. RÁPIDO NAFTERO"</f>
        <v>TAPA FLOTANTE UNO/ PALIO FIRE ACOPL. RÁPIDO NAFTERO</v>
      </c>
      <c r="C2999" t="str">
        <f>"$ 13907,30"</f>
        <v>$ 13907,30</v>
      </c>
      <c r="D2999" t="str">
        <f>"$ 13907,30"</f>
        <v>$ 13907,30</v>
      </c>
      <c r="E2999" t="str">
        <f>"$ 13907,30"</f>
        <v>$ 13907,30</v>
      </c>
      <c r="F2999" t="str">
        <f>"$ 13907,30"</f>
        <v>$ 13907,30</v>
      </c>
      <c r="G2999" t="str">
        <f>"$ 13907,30"</f>
        <v>$ 13907,30</v>
      </c>
      <c r="H2999" t="str">
        <f t="shared" si="1919"/>
        <v>$ 0,00</v>
      </c>
      <c r="I2999" t="str">
        <f t="shared" si="1946"/>
        <v>TAPA FLOTANTE</v>
      </c>
      <c r="J2999" t="str">
        <f t="shared" si="1920"/>
        <v>1</v>
      </c>
      <c r="K2999" t="str">
        <f t="shared" si="1945"/>
        <v>0</v>
      </c>
      <c r="L2999" t="str">
        <f>"1,000"</f>
        <v>1,000</v>
      </c>
      <c r="M2999" t="str">
        <f t="shared" si="1921"/>
        <v xml:space="preserve"> </v>
      </c>
      <c r="N2999" t="str">
        <f t="shared" si="1947"/>
        <v>FISPA</v>
      </c>
      <c r="O2999" t="str">
        <f t="shared" si="1948"/>
        <v>BOMBAS</v>
      </c>
      <c r="P2999" t="str">
        <f t="shared" si="1951"/>
        <v>0</v>
      </c>
      <c r="Q2999" t="str">
        <f t="shared" si="1951"/>
        <v>0</v>
      </c>
      <c r="R2999" t="str">
        <f t="shared" si="1952"/>
        <v>0,00</v>
      </c>
      <c r="S2999" t="str">
        <f t="shared" si="1952"/>
        <v>0,00</v>
      </c>
      <c r="T2999" t="str">
        <f t="shared" si="1917"/>
        <v xml:space="preserve"> </v>
      </c>
      <c r="U2999" t="str">
        <f t="shared" si="1918"/>
        <v xml:space="preserve"> </v>
      </c>
      <c r="V2999" t="str">
        <f>"1,000"</f>
        <v>1,000</v>
      </c>
      <c r="W2999" t="str">
        <f t="shared" si="1922"/>
        <v>Lista 4</v>
      </c>
      <c r="X2999" t="str">
        <f t="shared" si="1923"/>
        <v>Lista 5</v>
      </c>
      <c r="Y2999" t="str">
        <f t="shared" si="1924"/>
        <v>Oferta Gral.</v>
      </c>
      <c r="Z2999" t="str">
        <f t="shared" si="1925"/>
        <v>Rubro</v>
      </c>
      <c r="AA2999" t="str">
        <f t="shared" si="1926"/>
        <v>Cantidad por Bulto</v>
      </c>
      <c r="AB2999" t="str">
        <f t="shared" si="1927"/>
        <v>INNER</v>
      </c>
      <c r="AC2999" t="str">
        <f t="shared" si="1928"/>
        <v>Stock en Bultos</v>
      </c>
      <c r="AD2999" t="str">
        <f t="shared" si="1929"/>
        <v>SubDepósito</v>
      </c>
      <c r="AE2999" t="str">
        <f t="shared" si="1930"/>
        <v>Marca</v>
      </c>
      <c r="AF2999" t="str">
        <f t="shared" si="1931"/>
        <v>Super Rubro</v>
      </c>
      <c r="AG2999" t="str">
        <f t="shared" si="1932"/>
        <v>ComercioExterior</v>
      </c>
      <c r="AH2999" t="str">
        <f t="shared" si="1933"/>
        <v>PrecioFOB</v>
      </c>
      <c r="AI2999" t="str">
        <f t="shared" si="1934"/>
        <v>Monto II</v>
      </c>
      <c r="AJ2999" t="str">
        <f t="shared" si="1935"/>
        <v>Porcentaje II</v>
      </c>
      <c r="AK2999" t="str">
        <f t="shared" si="1936"/>
        <v>Foto</v>
      </c>
      <c r="AL299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9" t="str">
        <f t="shared" si="1949"/>
        <v>-</v>
      </c>
    </row>
    <row r="3000" spans="1:39" x14ac:dyDescent="0.25">
      <c r="A3000" t="str">
        <f>"FI19013"</f>
        <v>FI19013</v>
      </c>
      <c r="B3000" t="str">
        <f>"TAPA FLOTANTE VW FOX 2004 &gt; - SPACEFOX 2006&gt; 2010 - POLO 2003 &gt; 2012                                 NAFTERO"</f>
        <v>TAPA FLOTANTE VW FOX 2004 &gt; - SPACEFOX 2006&gt; 2010 - POLO 2003 &gt; 2012                                 NAFTERO</v>
      </c>
      <c r="C3000" t="str">
        <f>"$ 25307,52"</f>
        <v>$ 25307,52</v>
      </c>
      <c r="D3000" t="str">
        <f>"$ 25307,52"</f>
        <v>$ 25307,52</v>
      </c>
      <c r="E3000" t="str">
        <f>"$ 25307,52"</f>
        <v>$ 25307,52</v>
      </c>
      <c r="F3000" t="str">
        <f>"$ 25307,52"</f>
        <v>$ 25307,52</v>
      </c>
      <c r="G3000" t="str">
        <f>"$ 25307,52"</f>
        <v>$ 25307,52</v>
      </c>
      <c r="H3000" t="str">
        <f t="shared" si="1919"/>
        <v>$ 0,00</v>
      </c>
      <c r="I3000" t="str">
        <f t="shared" si="1946"/>
        <v>TAPA FLOTANTE</v>
      </c>
      <c r="J3000" t="str">
        <f t="shared" si="1920"/>
        <v>1</v>
      </c>
      <c r="K3000" t="str">
        <f t="shared" si="1945"/>
        <v>0</v>
      </c>
      <c r="L3000" t="str">
        <f>"0,000"</f>
        <v>0,000</v>
      </c>
      <c r="M3000" t="str">
        <f t="shared" si="1921"/>
        <v xml:space="preserve"> </v>
      </c>
      <c r="N3000" t="str">
        <f t="shared" si="1947"/>
        <v>FISPA</v>
      </c>
      <c r="O3000" t="str">
        <f t="shared" si="1948"/>
        <v>BOMBAS</v>
      </c>
      <c r="P3000" t="str">
        <f t="shared" si="1951"/>
        <v>0</v>
      </c>
      <c r="Q3000" t="str">
        <f t="shared" si="1951"/>
        <v>0</v>
      </c>
      <c r="R3000" t="str">
        <f t="shared" si="1952"/>
        <v>0,00</v>
      </c>
      <c r="S3000" t="str">
        <f t="shared" si="1952"/>
        <v>0,00</v>
      </c>
      <c r="T3000" t="str">
        <f t="shared" si="1917"/>
        <v xml:space="preserve"> </v>
      </c>
      <c r="U3000" t="str">
        <f t="shared" si="1918"/>
        <v xml:space="preserve"> </v>
      </c>
      <c r="V3000" t="str">
        <f>"0,000"</f>
        <v>0,000</v>
      </c>
      <c r="W3000" t="str">
        <f t="shared" si="1922"/>
        <v>Lista 4</v>
      </c>
      <c r="X3000" t="str">
        <f t="shared" si="1923"/>
        <v>Lista 5</v>
      </c>
      <c r="Y3000" t="str">
        <f t="shared" si="1924"/>
        <v>Oferta Gral.</v>
      </c>
      <c r="Z3000" t="str">
        <f t="shared" si="1925"/>
        <v>Rubro</v>
      </c>
      <c r="AA3000" t="str">
        <f t="shared" si="1926"/>
        <v>Cantidad por Bulto</v>
      </c>
      <c r="AB3000" t="str">
        <f t="shared" si="1927"/>
        <v>INNER</v>
      </c>
      <c r="AC3000" t="str">
        <f t="shared" si="1928"/>
        <v>Stock en Bultos</v>
      </c>
      <c r="AD3000" t="str">
        <f t="shared" si="1929"/>
        <v>SubDepósito</v>
      </c>
      <c r="AE3000" t="str">
        <f t="shared" si="1930"/>
        <v>Marca</v>
      </c>
      <c r="AF3000" t="str">
        <f t="shared" si="1931"/>
        <v>Super Rubro</v>
      </c>
      <c r="AG3000" t="str">
        <f t="shared" si="1932"/>
        <v>ComercioExterior</v>
      </c>
      <c r="AH3000" t="str">
        <f t="shared" si="1933"/>
        <v>PrecioFOB</v>
      </c>
      <c r="AI3000" t="str">
        <f t="shared" si="1934"/>
        <v>Monto II</v>
      </c>
      <c r="AJ3000" t="str">
        <f t="shared" si="1935"/>
        <v>Porcentaje II</v>
      </c>
      <c r="AK3000" t="str">
        <f t="shared" si="1936"/>
        <v>Foto</v>
      </c>
      <c r="AL3000" t="str">
        <f>" "</f>
        <v xml:space="preserve"> </v>
      </c>
      <c r="AM3000" t="str">
        <f t="shared" si="1949"/>
        <v>-</v>
      </c>
    </row>
    <row r="3001" spans="1:39" x14ac:dyDescent="0.25">
      <c r="A3001" t="str">
        <f>"FI19000"</f>
        <v>FI19000</v>
      </c>
      <c r="B3001" t="str">
        <f>"TAPA FLOTANTE VW GOL - TODOS 1996&gt; NAFTERO"</f>
        <v>TAPA FLOTANTE VW GOL - TODOS 1996&gt; NAFTERO</v>
      </c>
      <c r="C3001" t="str">
        <f>"$ 17941,32"</f>
        <v>$ 17941,32</v>
      </c>
      <c r="D3001" t="str">
        <f>"$ 17941,32"</f>
        <v>$ 17941,32</v>
      </c>
      <c r="E3001" t="str">
        <f>"$ 17941,32"</f>
        <v>$ 17941,32</v>
      </c>
      <c r="F3001" t="str">
        <f>"$ 17941,32"</f>
        <v>$ 17941,32</v>
      </c>
      <c r="G3001" t="str">
        <f>"$ 17941,32"</f>
        <v>$ 17941,32</v>
      </c>
      <c r="H3001" t="str">
        <f t="shared" si="1919"/>
        <v>$ 0,00</v>
      </c>
      <c r="I3001" t="str">
        <f t="shared" si="1946"/>
        <v>TAPA FLOTANTE</v>
      </c>
      <c r="J3001" t="str">
        <f t="shared" si="1920"/>
        <v>1</v>
      </c>
      <c r="K3001" t="str">
        <f t="shared" si="1945"/>
        <v>0</v>
      </c>
      <c r="L3001" t="str">
        <f>"3,000"</f>
        <v>3,000</v>
      </c>
      <c r="M3001" t="str">
        <f t="shared" si="1921"/>
        <v xml:space="preserve"> </v>
      </c>
      <c r="N3001" t="str">
        <f t="shared" si="1947"/>
        <v>FISPA</v>
      </c>
      <c r="O3001" t="str">
        <f t="shared" si="1948"/>
        <v>BOMBAS</v>
      </c>
      <c r="P3001" t="str">
        <f t="shared" si="1951"/>
        <v>0</v>
      </c>
      <c r="Q3001" t="str">
        <f t="shared" si="1951"/>
        <v>0</v>
      </c>
      <c r="R3001" t="str">
        <f t="shared" si="1952"/>
        <v>0,00</v>
      </c>
      <c r="S3001" t="str">
        <f t="shared" si="1952"/>
        <v>0,00</v>
      </c>
      <c r="T3001" t="str">
        <f t="shared" si="1917"/>
        <v xml:space="preserve"> </v>
      </c>
      <c r="U3001" t="str">
        <f t="shared" si="1918"/>
        <v xml:space="preserve"> </v>
      </c>
      <c r="V3001" t="str">
        <f>"3,000"</f>
        <v>3,000</v>
      </c>
      <c r="W3001" t="str">
        <f t="shared" si="1922"/>
        <v>Lista 4</v>
      </c>
      <c r="X3001" t="str">
        <f t="shared" si="1923"/>
        <v>Lista 5</v>
      </c>
      <c r="Y3001" t="str">
        <f t="shared" si="1924"/>
        <v>Oferta Gral.</v>
      </c>
      <c r="Z3001" t="str">
        <f t="shared" si="1925"/>
        <v>Rubro</v>
      </c>
      <c r="AA3001" t="str">
        <f t="shared" si="1926"/>
        <v>Cantidad por Bulto</v>
      </c>
      <c r="AB3001" t="str">
        <f t="shared" si="1927"/>
        <v>INNER</v>
      </c>
      <c r="AC3001" t="str">
        <f t="shared" si="1928"/>
        <v>Stock en Bultos</v>
      </c>
      <c r="AD3001" t="str">
        <f t="shared" si="1929"/>
        <v>SubDepósito</v>
      </c>
      <c r="AE3001" t="str">
        <f t="shared" si="1930"/>
        <v>Marca</v>
      </c>
      <c r="AF3001" t="str">
        <f t="shared" si="1931"/>
        <v>Super Rubro</v>
      </c>
      <c r="AG3001" t="str">
        <f t="shared" si="1932"/>
        <v>ComercioExterior</v>
      </c>
      <c r="AH3001" t="str">
        <f t="shared" si="1933"/>
        <v>PrecioFOB</v>
      </c>
      <c r="AI3001" t="str">
        <f t="shared" si="1934"/>
        <v>Monto II</v>
      </c>
      <c r="AJ3001" t="str">
        <f t="shared" si="1935"/>
        <v>Porcentaje II</v>
      </c>
      <c r="AK3001" t="str">
        <f t="shared" si="1936"/>
        <v>Foto</v>
      </c>
      <c r="AL3001" t="str">
        <f>" "</f>
        <v xml:space="preserve"> </v>
      </c>
      <c r="AM3001" t="str">
        <f t="shared" si="1949"/>
        <v>-</v>
      </c>
    </row>
    <row r="3002" spans="1:39" x14ac:dyDescent="0.25">
      <c r="A3002" t="str">
        <f>"FI19011"</f>
        <v>FI19011</v>
      </c>
      <c r="B3002" t="str">
        <f>"TAPA FLOTANTE VW GOL 2006 &gt; - GOLF/BORA 2000&gt; POLO 2003 &gt; NAFTERO"</f>
        <v>TAPA FLOTANTE VW GOL 2006 &gt; - GOLF/BORA 2000&gt; POLO 2003 &gt; NAFTERO</v>
      </c>
      <c r="C3002" t="str">
        <f>"$ 22595,39"</f>
        <v>$ 22595,39</v>
      </c>
      <c r="D3002" t="str">
        <f>"$ 22595,39"</f>
        <v>$ 22595,39</v>
      </c>
      <c r="E3002" t="str">
        <f>"$ 22595,39"</f>
        <v>$ 22595,39</v>
      </c>
      <c r="F3002" t="str">
        <f>"$ 22595,39"</f>
        <v>$ 22595,39</v>
      </c>
      <c r="G3002" t="str">
        <f>"$ 22595,39"</f>
        <v>$ 22595,39</v>
      </c>
      <c r="H3002" t="str">
        <f t="shared" si="1919"/>
        <v>$ 0,00</v>
      </c>
      <c r="I3002" t="str">
        <f t="shared" si="1946"/>
        <v>TAPA FLOTANTE</v>
      </c>
      <c r="J3002" t="str">
        <f t="shared" si="1920"/>
        <v>1</v>
      </c>
      <c r="K3002" t="str">
        <f t="shared" ref="K3002:K3026" si="1953">"0"</f>
        <v>0</v>
      </c>
      <c r="L3002" t="str">
        <f>"4,000"</f>
        <v>4,000</v>
      </c>
      <c r="M3002" t="str">
        <f t="shared" si="1921"/>
        <v xml:space="preserve"> </v>
      </c>
      <c r="N3002" t="str">
        <f t="shared" si="1947"/>
        <v>FISPA</v>
      </c>
      <c r="O3002" t="str">
        <f t="shared" si="1948"/>
        <v>BOMBAS</v>
      </c>
      <c r="P3002" t="str">
        <f t="shared" si="1951"/>
        <v>0</v>
      </c>
      <c r="Q3002" t="str">
        <f t="shared" si="1951"/>
        <v>0</v>
      </c>
      <c r="R3002" t="str">
        <f t="shared" si="1952"/>
        <v>0,00</v>
      </c>
      <c r="S3002" t="str">
        <f t="shared" si="1952"/>
        <v>0,00</v>
      </c>
      <c r="T3002" t="str">
        <f t="shared" si="1917"/>
        <v xml:space="preserve"> </v>
      </c>
      <c r="U3002" t="str">
        <f t="shared" si="1918"/>
        <v xml:space="preserve"> </v>
      </c>
      <c r="V3002" t="str">
        <f>"4,000"</f>
        <v>4,000</v>
      </c>
      <c r="W3002" t="str">
        <f t="shared" si="1922"/>
        <v>Lista 4</v>
      </c>
      <c r="X3002" t="str">
        <f t="shared" si="1923"/>
        <v>Lista 5</v>
      </c>
      <c r="Y3002" t="str">
        <f t="shared" si="1924"/>
        <v>Oferta Gral.</v>
      </c>
      <c r="Z3002" t="str">
        <f t="shared" si="1925"/>
        <v>Rubro</v>
      </c>
      <c r="AA3002" t="str">
        <f t="shared" si="1926"/>
        <v>Cantidad por Bulto</v>
      </c>
      <c r="AB3002" t="str">
        <f t="shared" si="1927"/>
        <v>INNER</v>
      </c>
      <c r="AC3002" t="str">
        <f t="shared" si="1928"/>
        <v>Stock en Bultos</v>
      </c>
      <c r="AD3002" t="str">
        <f t="shared" si="1929"/>
        <v>SubDepósito</v>
      </c>
      <c r="AE3002" t="str">
        <f t="shared" si="1930"/>
        <v>Marca</v>
      </c>
      <c r="AF3002" t="str">
        <f t="shared" si="1931"/>
        <v>Super Rubro</v>
      </c>
      <c r="AG3002" t="str">
        <f t="shared" si="1932"/>
        <v>ComercioExterior</v>
      </c>
      <c r="AH3002" t="str">
        <f t="shared" si="1933"/>
        <v>PrecioFOB</v>
      </c>
      <c r="AI3002" t="str">
        <f t="shared" si="1934"/>
        <v>Monto II</v>
      </c>
      <c r="AJ3002" t="str">
        <f t="shared" si="1935"/>
        <v>Porcentaje II</v>
      </c>
      <c r="AK3002" t="str">
        <f t="shared" si="1936"/>
        <v>Foto</v>
      </c>
      <c r="AL300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02" t="str">
        <f t="shared" si="1949"/>
        <v>-</v>
      </c>
    </row>
    <row r="3003" spans="1:39" x14ac:dyDescent="0.25">
      <c r="A3003" t="str">
        <f>"FI19014"</f>
        <v>FI19014</v>
      </c>
      <c r="B3003" t="str">
        <f>"TAPA FLOTANTE VW GOL 2006 GOLF  POLO -  SAVEIRO 2003 &gt; 2010 (TUBO RECTO) NAFTERO"</f>
        <v>TAPA FLOTANTE VW GOL 2006 GOLF  POLO -  SAVEIRO 2003 &gt; 2010 (TUBO RECTO) NAFTERO</v>
      </c>
      <c r="C3003" t="str">
        <f>"$ 25307,52"</f>
        <v>$ 25307,52</v>
      </c>
      <c r="D3003" t="str">
        <f>"$ 25307,52"</f>
        <v>$ 25307,52</v>
      </c>
      <c r="E3003" t="str">
        <f>"$ 25307,52"</f>
        <v>$ 25307,52</v>
      </c>
      <c r="F3003" t="str">
        <f>"$ 25307,52"</f>
        <v>$ 25307,52</v>
      </c>
      <c r="G3003" t="str">
        <f>"$ 25307,52"</f>
        <v>$ 25307,52</v>
      </c>
      <c r="H3003" t="str">
        <f t="shared" si="1919"/>
        <v>$ 0,00</v>
      </c>
      <c r="I3003" t="str">
        <f t="shared" si="1946"/>
        <v>TAPA FLOTANTE</v>
      </c>
      <c r="J3003" t="str">
        <f t="shared" si="1920"/>
        <v>1</v>
      </c>
      <c r="K3003" t="str">
        <f t="shared" si="1953"/>
        <v>0</v>
      </c>
      <c r="L3003" t="str">
        <f>"3,000"</f>
        <v>3,000</v>
      </c>
      <c r="M3003" t="str">
        <f t="shared" si="1921"/>
        <v xml:space="preserve"> </v>
      </c>
      <c r="N3003" t="str">
        <f t="shared" si="1947"/>
        <v>FISPA</v>
      </c>
      <c r="O3003" t="str">
        <f t="shared" si="1948"/>
        <v>BOMBAS</v>
      </c>
      <c r="P3003" t="str">
        <f t="shared" ref="P3003:Q3026" si="1954">"0"</f>
        <v>0</v>
      </c>
      <c r="Q3003" t="str">
        <f t="shared" si="1954"/>
        <v>0</v>
      </c>
      <c r="R3003" t="str">
        <f t="shared" ref="R3003:S3026" si="1955">"0,00"</f>
        <v>0,00</v>
      </c>
      <c r="S3003" t="str">
        <f t="shared" si="1955"/>
        <v>0,00</v>
      </c>
      <c r="T3003" t="str">
        <f t="shared" si="1917"/>
        <v xml:space="preserve"> </v>
      </c>
      <c r="U3003" t="str">
        <f t="shared" si="1918"/>
        <v xml:space="preserve"> </v>
      </c>
      <c r="V3003" t="str">
        <f>"3,000"</f>
        <v>3,000</v>
      </c>
      <c r="W3003" t="str">
        <f t="shared" si="1922"/>
        <v>Lista 4</v>
      </c>
      <c r="X3003" t="str">
        <f t="shared" si="1923"/>
        <v>Lista 5</v>
      </c>
      <c r="Y3003" t="str">
        <f t="shared" si="1924"/>
        <v>Oferta Gral.</v>
      </c>
      <c r="Z3003" t="str">
        <f t="shared" si="1925"/>
        <v>Rubro</v>
      </c>
      <c r="AA3003" t="str">
        <f t="shared" si="1926"/>
        <v>Cantidad por Bulto</v>
      </c>
      <c r="AB3003" t="str">
        <f t="shared" si="1927"/>
        <v>INNER</v>
      </c>
      <c r="AC3003" t="str">
        <f t="shared" si="1928"/>
        <v>Stock en Bultos</v>
      </c>
      <c r="AD3003" t="str">
        <f t="shared" si="1929"/>
        <v>SubDepósito</v>
      </c>
      <c r="AE3003" t="str">
        <f t="shared" si="1930"/>
        <v>Marca</v>
      </c>
      <c r="AF3003" t="str">
        <f t="shared" si="1931"/>
        <v>Super Rubro</v>
      </c>
      <c r="AG3003" t="str">
        <f t="shared" si="1932"/>
        <v>ComercioExterior</v>
      </c>
      <c r="AH3003" t="str">
        <f t="shared" si="1933"/>
        <v>PrecioFOB</v>
      </c>
      <c r="AI3003" t="str">
        <f t="shared" si="1934"/>
        <v>Monto II</v>
      </c>
      <c r="AJ3003" t="str">
        <f t="shared" si="1935"/>
        <v>Porcentaje II</v>
      </c>
      <c r="AK3003" t="str">
        <f t="shared" si="1936"/>
        <v>Foto</v>
      </c>
      <c r="AL300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03" t="str">
        <f t="shared" si="1949"/>
        <v>-</v>
      </c>
    </row>
    <row r="3004" spans="1:39" x14ac:dyDescent="0.25">
      <c r="A3004" t="str">
        <f>"KU15001"</f>
        <v>KU15001</v>
      </c>
      <c r="B3004" t="str">
        <f>"TEMPORIZADOR PRECALENTAMIENTO DIESEL FIAT COLOR GRIS"</f>
        <v>TEMPORIZADOR PRECALENTAMIENTO DIESEL FIAT COLOR GRIS</v>
      </c>
      <c r="C3004" t="str">
        <f t="shared" ref="C3004:G3005" si="1956">"$ 24673,96"</f>
        <v>$ 24673,96</v>
      </c>
      <c r="D3004" t="str">
        <f t="shared" si="1956"/>
        <v>$ 24673,96</v>
      </c>
      <c r="E3004" t="str">
        <f t="shared" si="1956"/>
        <v>$ 24673,96</v>
      </c>
      <c r="F3004" t="str">
        <f t="shared" si="1956"/>
        <v>$ 24673,96</v>
      </c>
      <c r="G3004" t="str">
        <f t="shared" si="1956"/>
        <v>$ 24673,96</v>
      </c>
      <c r="H3004" t="str">
        <f t="shared" si="1919"/>
        <v>$ 0,00</v>
      </c>
      <c r="I3004" t="str">
        <f>"TEMPORIZADOR PRECALENTAMIENTO"</f>
        <v>TEMPORIZADOR PRECALENTAMIENTO</v>
      </c>
      <c r="J3004" t="str">
        <f t="shared" si="1920"/>
        <v>1</v>
      </c>
      <c r="K3004" t="str">
        <f t="shared" si="1953"/>
        <v>0</v>
      </c>
      <c r="L3004" t="str">
        <f>"3,000"</f>
        <v>3,000</v>
      </c>
      <c r="M3004" t="str">
        <f t="shared" si="1921"/>
        <v xml:space="preserve"> </v>
      </c>
      <c r="N3004" t="str">
        <f>"KUBE"</f>
        <v>KUBE</v>
      </c>
      <c r="O3004" t="str">
        <f>"CAJAS TEMPORIZADORAS"</f>
        <v>CAJAS TEMPORIZADORAS</v>
      </c>
      <c r="P3004" t="str">
        <f t="shared" si="1954"/>
        <v>0</v>
      </c>
      <c r="Q3004" t="str">
        <f t="shared" si="1954"/>
        <v>0</v>
      </c>
      <c r="R3004" t="str">
        <f t="shared" si="1955"/>
        <v>0,00</v>
      </c>
      <c r="S3004" t="str">
        <f t="shared" si="1955"/>
        <v>0,00</v>
      </c>
      <c r="T3004" t="str">
        <f t="shared" si="1917"/>
        <v xml:space="preserve"> </v>
      </c>
      <c r="U3004" t="str">
        <f t="shared" si="1918"/>
        <v xml:space="preserve"> </v>
      </c>
      <c r="V3004" t="str">
        <f>"3,000"</f>
        <v>3,000</v>
      </c>
      <c r="W3004" t="str">
        <f t="shared" si="1922"/>
        <v>Lista 4</v>
      </c>
      <c r="X3004" t="str">
        <f t="shared" si="1923"/>
        <v>Lista 5</v>
      </c>
      <c r="Y3004" t="str">
        <f t="shared" si="1924"/>
        <v>Oferta Gral.</v>
      </c>
      <c r="Z3004" t="str">
        <f t="shared" si="1925"/>
        <v>Rubro</v>
      </c>
      <c r="AA3004" t="str">
        <f t="shared" si="1926"/>
        <v>Cantidad por Bulto</v>
      </c>
      <c r="AB3004" t="str">
        <f t="shared" si="1927"/>
        <v>INNER</v>
      </c>
      <c r="AC3004" t="str">
        <f t="shared" si="1928"/>
        <v>Stock en Bultos</v>
      </c>
      <c r="AD3004" t="str">
        <f t="shared" si="1929"/>
        <v>SubDepósito</v>
      </c>
      <c r="AE3004" t="str">
        <f t="shared" si="1930"/>
        <v>Marca</v>
      </c>
      <c r="AF3004" t="str">
        <f t="shared" si="1931"/>
        <v>Super Rubro</v>
      </c>
      <c r="AG3004" t="str">
        <f t="shared" si="1932"/>
        <v>ComercioExterior</v>
      </c>
      <c r="AH3004" t="str">
        <f t="shared" si="1933"/>
        <v>PrecioFOB</v>
      </c>
      <c r="AI3004" t="str">
        <f t="shared" si="1934"/>
        <v>Monto II</v>
      </c>
      <c r="AJ3004" t="str">
        <f t="shared" si="1935"/>
        <v>Porcentaje II</v>
      </c>
      <c r="AK3004" t="str">
        <f t="shared" si="1936"/>
        <v>Foto</v>
      </c>
      <c r="AL3004" t="str">
        <f>"{\rtf1\ansi\ansicpg1252\deff0\deflang11274{\fonttbl{\f0\fnil\fcharset0 MS Sans Serif}} \viewkind4\uc1\pard\f0\fs16 TEMPORIZADOR PRECALENTAMIENTO DIESEL FIAT COLOR GRIS\par } "</f>
        <v xml:space="preserve">{\rtf1\ansi\ansicpg1252\deff0\deflang11274{\fonttbl{\f0\fnil\fcharset0 MS Sans Serif}} \viewkind4\uc1\pard\f0\fs16 TEMPORIZADOR PRECALENTAMIENTO DIESEL FIAT COLOR GRIS\par } </v>
      </c>
      <c r="AM3004" t="str">
        <f t="shared" si="1949"/>
        <v>-</v>
      </c>
    </row>
    <row r="3005" spans="1:39" x14ac:dyDescent="0.25">
      <c r="A3005" t="str">
        <f>"KU15003"</f>
        <v>KU15003</v>
      </c>
      <c r="B3005" t="str">
        <f>"TEMPORIZADOR PRECALENTAMIENTO DIESEL PEUGEOT COLOR AZUL"</f>
        <v>TEMPORIZADOR PRECALENTAMIENTO DIESEL PEUGEOT COLOR AZUL</v>
      </c>
      <c r="C3005" t="str">
        <f t="shared" si="1956"/>
        <v>$ 24673,96</v>
      </c>
      <c r="D3005" t="str">
        <f t="shared" si="1956"/>
        <v>$ 24673,96</v>
      </c>
      <c r="E3005" t="str">
        <f t="shared" si="1956"/>
        <v>$ 24673,96</v>
      </c>
      <c r="F3005" t="str">
        <f t="shared" si="1956"/>
        <v>$ 24673,96</v>
      </c>
      <c r="G3005" t="str">
        <f t="shared" si="1956"/>
        <v>$ 24673,96</v>
      </c>
      <c r="H3005" t="str">
        <f t="shared" si="1919"/>
        <v>$ 0,00</v>
      </c>
      <c r="I3005" t="str">
        <f>"TEMPORIZADOR PRECALENTAMIENTO"</f>
        <v>TEMPORIZADOR PRECALENTAMIENTO</v>
      </c>
      <c r="J3005" t="str">
        <f t="shared" si="1920"/>
        <v>1</v>
      </c>
      <c r="K3005" t="str">
        <f t="shared" si="1953"/>
        <v>0</v>
      </c>
      <c r="L3005" t="str">
        <f>"13,000"</f>
        <v>13,000</v>
      </c>
      <c r="M3005" t="str">
        <f t="shared" si="1921"/>
        <v xml:space="preserve"> </v>
      </c>
      <c r="N3005" t="str">
        <f>"KUBE"</f>
        <v>KUBE</v>
      </c>
      <c r="O3005" t="str">
        <f>"CAJAS TEMPORIZADORAS"</f>
        <v>CAJAS TEMPORIZADORAS</v>
      </c>
      <c r="P3005" t="str">
        <f t="shared" si="1954"/>
        <v>0</v>
      </c>
      <c r="Q3005" t="str">
        <f t="shared" si="1954"/>
        <v>0</v>
      </c>
      <c r="R3005" t="str">
        <f t="shared" si="1955"/>
        <v>0,00</v>
      </c>
      <c r="S3005" t="str">
        <f t="shared" si="1955"/>
        <v>0,00</v>
      </c>
      <c r="T3005" t="str">
        <f t="shared" si="1917"/>
        <v xml:space="preserve"> </v>
      </c>
      <c r="U3005" t="str">
        <f t="shared" si="1918"/>
        <v xml:space="preserve"> </v>
      </c>
      <c r="V3005" t="str">
        <f>"13,000"</f>
        <v>13,000</v>
      </c>
      <c r="W3005" t="str">
        <f t="shared" si="1922"/>
        <v>Lista 4</v>
      </c>
      <c r="X3005" t="str">
        <f t="shared" si="1923"/>
        <v>Lista 5</v>
      </c>
      <c r="Y3005" t="str">
        <f t="shared" si="1924"/>
        <v>Oferta Gral.</v>
      </c>
      <c r="Z3005" t="str">
        <f t="shared" si="1925"/>
        <v>Rubro</v>
      </c>
      <c r="AA3005" t="str">
        <f t="shared" si="1926"/>
        <v>Cantidad por Bulto</v>
      </c>
      <c r="AB3005" t="str">
        <f t="shared" si="1927"/>
        <v>INNER</v>
      </c>
      <c r="AC3005" t="str">
        <f t="shared" si="1928"/>
        <v>Stock en Bultos</v>
      </c>
      <c r="AD3005" t="str">
        <f t="shared" si="1929"/>
        <v>SubDepósito</v>
      </c>
      <c r="AE3005" t="str">
        <f t="shared" si="1930"/>
        <v>Marca</v>
      </c>
      <c r="AF3005" t="str">
        <f t="shared" si="1931"/>
        <v>Super Rubro</v>
      </c>
      <c r="AG3005" t="str">
        <f t="shared" si="1932"/>
        <v>ComercioExterior</v>
      </c>
      <c r="AH3005" t="str">
        <f t="shared" si="1933"/>
        <v>PrecioFOB</v>
      </c>
      <c r="AI3005" t="str">
        <f t="shared" si="1934"/>
        <v>Monto II</v>
      </c>
      <c r="AJ3005" t="str">
        <f t="shared" si="1935"/>
        <v>Porcentaje II</v>
      </c>
      <c r="AK3005" t="str">
        <f t="shared" si="1936"/>
        <v>Foto</v>
      </c>
      <c r="AL3005" t="str">
        <f>"{\rtf1\ansi\ansicpg1252\deff0\deflang11274{\fonttbl{\f0\fnil\fcharset0 MS Sans Serif}} \viewkind4\uc1\pard\f0\fs16 TEMPORIZADOR PRECALENTAMIENTO DIESEL PEUGEOT COLOR AZUL\par } "</f>
        <v xml:space="preserve">{\rtf1\ansi\ansicpg1252\deff0\deflang11274{\fonttbl{\f0\fnil\fcharset0 MS Sans Serif}} \viewkind4\uc1\pard\f0\fs16 TEMPORIZADOR PRECALENTAMIENTO DIESEL PEUGEOT COLOR AZUL\par } </v>
      </c>
      <c r="AM3005" t="str">
        <f t="shared" si="1949"/>
        <v>-</v>
      </c>
    </row>
    <row r="3006" spans="1:39" x14ac:dyDescent="0.25">
      <c r="A3006" t="str">
        <f>"KU15007"</f>
        <v>KU15007</v>
      </c>
      <c r="B3006" t="str">
        <f>"TEMPORIZADOR PRECALENTAMIENTO DIESEL RENAULT NEGRO"</f>
        <v>TEMPORIZADOR PRECALENTAMIENTO DIESEL RENAULT NEGRO</v>
      </c>
      <c r="C3006" t="str">
        <f>"$ 27408,46"</f>
        <v>$ 27408,46</v>
      </c>
      <c r="D3006" t="str">
        <f>"$ 27408,46"</f>
        <v>$ 27408,46</v>
      </c>
      <c r="E3006" t="str">
        <f>"$ 27408,46"</f>
        <v>$ 27408,46</v>
      </c>
      <c r="F3006" t="str">
        <f>"$ 27408,46"</f>
        <v>$ 27408,46</v>
      </c>
      <c r="G3006" t="str">
        <f>"$ 27408,46"</f>
        <v>$ 27408,46</v>
      </c>
      <c r="H3006" t="str">
        <f t="shared" si="1919"/>
        <v>$ 0,00</v>
      </c>
      <c r="I3006" t="str">
        <f>"TEMPORIZADOR PRECALENTAMIENTO"</f>
        <v>TEMPORIZADOR PRECALENTAMIENTO</v>
      </c>
      <c r="J3006" t="str">
        <f t="shared" si="1920"/>
        <v>1</v>
      </c>
      <c r="K3006" t="str">
        <f t="shared" si="1953"/>
        <v>0</v>
      </c>
      <c r="L3006" t="str">
        <f>"16,000"</f>
        <v>16,000</v>
      </c>
      <c r="M3006" t="str">
        <f t="shared" si="1921"/>
        <v xml:space="preserve"> </v>
      </c>
      <c r="N3006" t="str">
        <f>"KUBE"</f>
        <v>KUBE</v>
      </c>
      <c r="O3006" t="str">
        <f>"CAJAS TEMPORIZADORAS"</f>
        <v>CAJAS TEMPORIZADORAS</v>
      </c>
      <c r="P3006" t="str">
        <f t="shared" si="1954"/>
        <v>0</v>
      </c>
      <c r="Q3006" t="str">
        <f t="shared" si="1954"/>
        <v>0</v>
      </c>
      <c r="R3006" t="str">
        <f t="shared" si="1955"/>
        <v>0,00</v>
      </c>
      <c r="S3006" t="str">
        <f t="shared" si="1955"/>
        <v>0,00</v>
      </c>
      <c r="T3006" t="str">
        <f t="shared" si="1917"/>
        <v xml:space="preserve"> </v>
      </c>
      <c r="U3006" t="str">
        <f t="shared" si="1918"/>
        <v xml:space="preserve"> </v>
      </c>
      <c r="V3006" t="str">
        <f>"16,000"</f>
        <v>16,000</v>
      </c>
      <c r="W3006" t="str">
        <f t="shared" si="1922"/>
        <v>Lista 4</v>
      </c>
      <c r="X3006" t="str">
        <f t="shared" si="1923"/>
        <v>Lista 5</v>
      </c>
      <c r="Y3006" t="str">
        <f t="shared" si="1924"/>
        <v>Oferta Gral.</v>
      </c>
      <c r="Z3006" t="str">
        <f t="shared" si="1925"/>
        <v>Rubro</v>
      </c>
      <c r="AA3006" t="str">
        <f t="shared" si="1926"/>
        <v>Cantidad por Bulto</v>
      </c>
      <c r="AB3006" t="str">
        <f t="shared" si="1927"/>
        <v>INNER</v>
      </c>
      <c r="AC3006" t="str">
        <f t="shared" si="1928"/>
        <v>Stock en Bultos</v>
      </c>
      <c r="AD3006" t="str">
        <f t="shared" si="1929"/>
        <v>SubDepósito</v>
      </c>
      <c r="AE3006" t="str">
        <f t="shared" si="1930"/>
        <v>Marca</v>
      </c>
      <c r="AF3006" t="str">
        <f t="shared" si="1931"/>
        <v>Super Rubro</v>
      </c>
      <c r="AG3006" t="str">
        <f t="shared" si="1932"/>
        <v>ComercioExterior</v>
      </c>
      <c r="AH3006" t="str">
        <f t="shared" si="1933"/>
        <v>PrecioFOB</v>
      </c>
      <c r="AI3006" t="str">
        <f t="shared" si="1934"/>
        <v>Monto II</v>
      </c>
      <c r="AJ3006" t="str">
        <f t="shared" si="1935"/>
        <v>Porcentaje II</v>
      </c>
      <c r="AK3006" t="str">
        <f t="shared" si="1936"/>
        <v>Foto</v>
      </c>
      <c r="AL3006" t="str">
        <f>"{\rtf1\ansi\ansicpg1252\deff0\deflang11274{\fonttbl{\f0\fnil\fcharset0 MS Sans Serif}} \viewkind4\uc1\pard\f0\fs16 TEMPORIZADOR PRECALENTAMIENTO DIESEL RENAULT NEGRO\par } "</f>
        <v xml:space="preserve">{\rtf1\ansi\ansicpg1252\deff0\deflang11274{\fonttbl{\f0\fnil\fcharset0 MS Sans Serif}} \viewkind4\uc1\pard\f0\fs16 TEMPORIZADOR PRECALENTAMIENTO DIESEL RENAULT NEGRO\par } </v>
      </c>
      <c r="AM3006" t="str">
        <f t="shared" si="1949"/>
        <v>-</v>
      </c>
    </row>
    <row r="3007" spans="1:39" x14ac:dyDescent="0.25">
      <c r="A3007" t="str">
        <f>"FI97070"</f>
        <v>FI97070</v>
      </c>
      <c r="B3007" t="str">
        <f>"TERMOSTATO RENAULT KANGOO MEGANE 1.6 16V K4M 89 GRADOS"</f>
        <v>TERMOSTATO RENAULT KANGOO MEGANE 1.6 16V K4M 89 GRADOS</v>
      </c>
      <c r="C3007" t="str">
        <f>"$ 11461,51"</f>
        <v>$ 11461,51</v>
      </c>
      <c r="D3007" t="str">
        <f>"$ 11461,51"</f>
        <v>$ 11461,51</v>
      </c>
      <c r="E3007" t="str">
        <f>"$ 11461,51"</f>
        <v>$ 11461,51</v>
      </c>
      <c r="F3007" t="str">
        <f>"$ 4748,33"</f>
        <v>$ 4748,33</v>
      </c>
      <c r="G3007" t="str">
        <f>"$ 4748,33"</f>
        <v>$ 4748,33</v>
      </c>
      <c r="H3007" t="str">
        <f t="shared" si="1919"/>
        <v>$ 0,00</v>
      </c>
      <c r="I3007" t="str">
        <f>"TERMOSTATO"</f>
        <v>TERMOSTATO</v>
      </c>
      <c r="J3007" t="str">
        <f t="shared" si="1920"/>
        <v>1</v>
      </c>
      <c r="K3007" t="str">
        <f t="shared" si="1953"/>
        <v>0</v>
      </c>
      <c r="L3007" t="str">
        <f>"9,000"</f>
        <v>9,000</v>
      </c>
      <c r="M3007" t="str">
        <f t="shared" si="1921"/>
        <v xml:space="preserve"> </v>
      </c>
      <c r="N3007" t="str">
        <f>"FISPA"</f>
        <v>FISPA</v>
      </c>
      <c r="O3007" t="str">
        <f>"TERMOSTATO"</f>
        <v>TERMOSTATO</v>
      </c>
      <c r="P3007" t="str">
        <f t="shared" si="1954"/>
        <v>0</v>
      </c>
      <c r="Q3007" t="str">
        <f t="shared" si="1954"/>
        <v>0</v>
      </c>
      <c r="R3007" t="str">
        <f t="shared" si="1955"/>
        <v>0,00</v>
      </c>
      <c r="S3007" t="str">
        <f t="shared" si="1955"/>
        <v>0,00</v>
      </c>
      <c r="T3007" t="str">
        <f t="shared" ref="T3007:T3026" si="1957">" "</f>
        <v xml:space="preserve"> </v>
      </c>
      <c r="U3007" t="str">
        <f t="shared" si="1918"/>
        <v xml:space="preserve"> </v>
      </c>
      <c r="V3007" t="str">
        <f>"9,000"</f>
        <v>9,000</v>
      </c>
      <c r="W3007" t="str">
        <f t="shared" si="1922"/>
        <v>Lista 4</v>
      </c>
      <c r="X3007" t="str">
        <f t="shared" si="1923"/>
        <v>Lista 5</v>
      </c>
      <c r="Y3007" t="str">
        <f t="shared" si="1924"/>
        <v>Oferta Gral.</v>
      </c>
      <c r="Z3007" t="str">
        <f t="shared" si="1925"/>
        <v>Rubro</v>
      </c>
      <c r="AA3007" t="str">
        <f t="shared" si="1926"/>
        <v>Cantidad por Bulto</v>
      </c>
      <c r="AB3007" t="str">
        <f t="shared" si="1927"/>
        <v>INNER</v>
      </c>
      <c r="AC3007" t="str">
        <f t="shared" si="1928"/>
        <v>Stock en Bultos</v>
      </c>
      <c r="AD3007" t="str">
        <f t="shared" si="1929"/>
        <v>SubDepósito</v>
      </c>
      <c r="AE3007" t="str">
        <f t="shared" si="1930"/>
        <v>Marca</v>
      </c>
      <c r="AF3007" t="str">
        <f t="shared" si="1931"/>
        <v>Super Rubro</v>
      </c>
      <c r="AG3007" t="str">
        <f t="shared" si="1932"/>
        <v>ComercioExterior</v>
      </c>
      <c r="AH3007" t="str">
        <f t="shared" si="1933"/>
        <v>PrecioFOB</v>
      </c>
      <c r="AI3007" t="str">
        <f t="shared" si="1934"/>
        <v>Monto II</v>
      </c>
      <c r="AJ3007" t="str">
        <f t="shared" si="1935"/>
        <v>Porcentaje II</v>
      </c>
      <c r="AK3007" t="str">
        <f t="shared" si="1936"/>
        <v>Foto</v>
      </c>
      <c r="AL300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07" t="str">
        <f t="shared" ref="AM3007:AM3018" si="1958">" "</f>
        <v xml:space="preserve"> </v>
      </c>
    </row>
    <row r="3008" spans="1:39" x14ac:dyDescent="0.25">
      <c r="A3008" t="str">
        <f>"PIT003"</f>
        <v>PIT003</v>
      </c>
      <c r="B3008" t="str">
        <f>"TRABA PITON LINGA MOTO AZUL DIAM 22MM LARGO 1200MM"</f>
        <v>TRABA PITON LINGA MOTO AZUL DIAM 22MM LARGO 1200MM</v>
      </c>
      <c r="C3008" t="str">
        <f t="shared" ref="C3008:E3009" si="1959">"$ 14781,15"</f>
        <v>$ 14781,15</v>
      </c>
      <c r="D3008" t="str">
        <f t="shared" si="1959"/>
        <v>$ 14781,15</v>
      </c>
      <c r="E3008" t="str">
        <f t="shared" si="1959"/>
        <v>$ 14781,15</v>
      </c>
      <c r="F3008" t="str">
        <f>"$ 6123,60"</f>
        <v>$ 6123,60</v>
      </c>
      <c r="G3008" t="str">
        <f>"$ 6123,60"</f>
        <v>$ 6123,60</v>
      </c>
      <c r="H3008" t="str">
        <f t="shared" si="1919"/>
        <v>$ 0,00</v>
      </c>
      <c r="I3008" t="str">
        <f>"TRABA PITON"</f>
        <v>TRABA PITON</v>
      </c>
      <c r="J3008" t="str">
        <f t="shared" si="1920"/>
        <v>1</v>
      </c>
      <c r="K3008" t="str">
        <f t="shared" si="1953"/>
        <v>0</v>
      </c>
      <c r="L3008" t="str">
        <f>"9,000"</f>
        <v>9,000</v>
      </c>
      <c r="M3008" t="str">
        <f t="shared" si="1921"/>
        <v xml:space="preserve"> </v>
      </c>
      <c r="N3008" t="str">
        <f>"OREGON"</f>
        <v>OREGON</v>
      </c>
      <c r="O3008" t="str">
        <f>"LINGAS"</f>
        <v>LINGAS</v>
      </c>
      <c r="P3008" t="str">
        <f t="shared" si="1954"/>
        <v>0</v>
      </c>
      <c r="Q3008" t="str">
        <f t="shared" si="1954"/>
        <v>0</v>
      </c>
      <c r="R3008" t="str">
        <f t="shared" si="1955"/>
        <v>0,00</v>
      </c>
      <c r="S3008" t="str">
        <f t="shared" si="1955"/>
        <v>0,00</v>
      </c>
      <c r="T3008" t="str">
        <f t="shared" si="1957"/>
        <v xml:space="preserve"> </v>
      </c>
      <c r="U3008" t="str">
        <f t="shared" si="1918"/>
        <v xml:space="preserve"> </v>
      </c>
      <c r="V3008" t="str">
        <f>"9,000"</f>
        <v>9,000</v>
      </c>
      <c r="W3008" t="str">
        <f t="shared" si="1922"/>
        <v>Lista 4</v>
      </c>
      <c r="X3008" t="str">
        <f t="shared" si="1923"/>
        <v>Lista 5</v>
      </c>
      <c r="Y3008" t="str">
        <f t="shared" si="1924"/>
        <v>Oferta Gral.</v>
      </c>
      <c r="Z3008" t="str">
        <f t="shared" si="1925"/>
        <v>Rubro</v>
      </c>
      <c r="AA3008" t="str">
        <f t="shared" si="1926"/>
        <v>Cantidad por Bulto</v>
      </c>
      <c r="AB3008" t="str">
        <f t="shared" si="1927"/>
        <v>INNER</v>
      </c>
      <c r="AC3008" t="str">
        <f t="shared" si="1928"/>
        <v>Stock en Bultos</v>
      </c>
      <c r="AD3008" t="str">
        <f t="shared" si="1929"/>
        <v>SubDepósito</v>
      </c>
      <c r="AE3008" t="str">
        <f t="shared" si="1930"/>
        <v>Marca</v>
      </c>
      <c r="AF3008" t="str">
        <f t="shared" si="1931"/>
        <v>Super Rubro</v>
      </c>
      <c r="AG3008" t="str">
        <f t="shared" si="1932"/>
        <v>ComercioExterior</v>
      </c>
      <c r="AH3008" t="str">
        <f t="shared" si="1933"/>
        <v>PrecioFOB</v>
      </c>
      <c r="AI3008" t="str">
        <f t="shared" si="1934"/>
        <v>Monto II</v>
      </c>
      <c r="AJ3008" t="str">
        <f t="shared" si="1935"/>
        <v>Porcentaje II</v>
      </c>
      <c r="AK3008" t="str">
        <f t="shared" si="1936"/>
        <v>Foto</v>
      </c>
      <c r="AL300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08" t="str">
        <f t="shared" si="1958"/>
        <v xml:space="preserve"> </v>
      </c>
    </row>
    <row r="3009" spans="1:39" x14ac:dyDescent="0.25">
      <c r="A3009" t="str">
        <f>"PIT001"</f>
        <v>PIT001</v>
      </c>
      <c r="B3009" t="str">
        <f>"TRABA PITON LINGA MOTO NEGRO DIAM 22MM LARGO 1200 MM"</f>
        <v>TRABA PITON LINGA MOTO NEGRO DIAM 22MM LARGO 1200 MM</v>
      </c>
      <c r="C3009" t="str">
        <f t="shared" si="1959"/>
        <v>$ 14781,15</v>
      </c>
      <c r="D3009" t="str">
        <f t="shared" si="1959"/>
        <v>$ 14781,15</v>
      </c>
      <c r="E3009" t="str">
        <f t="shared" si="1959"/>
        <v>$ 14781,15</v>
      </c>
      <c r="F3009" t="str">
        <f>"$ 6123,60"</f>
        <v>$ 6123,60</v>
      </c>
      <c r="G3009" t="str">
        <f>"$ 6123,60"</f>
        <v>$ 6123,60</v>
      </c>
      <c r="H3009" t="str">
        <f t="shared" si="1919"/>
        <v>$ 0,00</v>
      </c>
      <c r="I3009" t="str">
        <f>"TRABA PITON"</f>
        <v>TRABA PITON</v>
      </c>
      <c r="J3009" t="str">
        <f t="shared" si="1920"/>
        <v>1</v>
      </c>
      <c r="K3009" t="str">
        <f t="shared" si="1953"/>
        <v>0</v>
      </c>
      <c r="L3009" t="str">
        <f>"9,000"</f>
        <v>9,000</v>
      </c>
      <c r="M3009" t="str">
        <f t="shared" si="1921"/>
        <v xml:space="preserve"> </v>
      </c>
      <c r="N3009" t="str">
        <f>"OREGON"</f>
        <v>OREGON</v>
      </c>
      <c r="O3009" t="str">
        <f>"LINGAS"</f>
        <v>LINGAS</v>
      </c>
      <c r="P3009" t="str">
        <f t="shared" si="1954"/>
        <v>0</v>
      </c>
      <c r="Q3009" t="str">
        <f t="shared" si="1954"/>
        <v>0</v>
      </c>
      <c r="R3009" t="str">
        <f t="shared" si="1955"/>
        <v>0,00</v>
      </c>
      <c r="S3009" t="str">
        <f t="shared" si="1955"/>
        <v>0,00</v>
      </c>
      <c r="T3009" t="str">
        <f t="shared" si="1957"/>
        <v xml:space="preserve"> </v>
      </c>
      <c r="U3009" t="str">
        <f t="shared" si="1918"/>
        <v xml:space="preserve"> </v>
      </c>
      <c r="V3009" t="str">
        <f>"9,000"</f>
        <v>9,000</v>
      </c>
      <c r="W3009" t="str">
        <f t="shared" si="1922"/>
        <v>Lista 4</v>
      </c>
      <c r="X3009" t="str">
        <f t="shared" si="1923"/>
        <v>Lista 5</v>
      </c>
      <c r="Y3009" t="str">
        <f t="shared" si="1924"/>
        <v>Oferta Gral.</v>
      </c>
      <c r="Z3009" t="str">
        <f t="shared" si="1925"/>
        <v>Rubro</v>
      </c>
      <c r="AA3009" t="str">
        <f t="shared" si="1926"/>
        <v>Cantidad por Bulto</v>
      </c>
      <c r="AB3009" t="str">
        <f t="shared" si="1927"/>
        <v>INNER</v>
      </c>
      <c r="AC3009" t="str">
        <f t="shared" si="1928"/>
        <v>Stock en Bultos</v>
      </c>
      <c r="AD3009" t="str">
        <f t="shared" si="1929"/>
        <v>SubDepósito</v>
      </c>
      <c r="AE3009" t="str">
        <f t="shared" si="1930"/>
        <v>Marca</v>
      </c>
      <c r="AF3009" t="str">
        <f t="shared" si="1931"/>
        <v>Super Rubro</v>
      </c>
      <c r="AG3009" t="str">
        <f t="shared" si="1932"/>
        <v>ComercioExterior</v>
      </c>
      <c r="AH3009" t="str">
        <f t="shared" si="1933"/>
        <v>PrecioFOB</v>
      </c>
      <c r="AI3009" t="str">
        <f t="shared" si="1934"/>
        <v>Monto II</v>
      </c>
      <c r="AJ3009" t="str">
        <f t="shared" si="1935"/>
        <v>Porcentaje II</v>
      </c>
      <c r="AK3009" t="str">
        <f t="shared" si="1936"/>
        <v>Foto</v>
      </c>
      <c r="AL300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09" t="str">
        <f t="shared" si="1958"/>
        <v xml:space="preserve"> </v>
      </c>
    </row>
    <row r="3010" spans="1:39" x14ac:dyDescent="0.25">
      <c r="A3010" t="str">
        <f>"PIT002"</f>
        <v>PIT002</v>
      </c>
      <c r="B3010" t="str">
        <f>"TRABA PITON LINGA MOTO ROJO DIAM 22MM LARGO 1200MM"</f>
        <v>TRABA PITON LINGA MOTO ROJO DIAM 22MM LARGO 1200MM</v>
      </c>
      <c r="C3010" t="str">
        <f>"$ 14284,92"</f>
        <v>$ 14284,92</v>
      </c>
      <c r="D3010" t="str">
        <f>"$ 14284,92"</f>
        <v>$ 14284,92</v>
      </c>
      <c r="E3010" t="str">
        <f>"$ 14284,92"</f>
        <v>$ 14284,92</v>
      </c>
      <c r="F3010" t="str">
        <f>"$ 5918,02"</f>
        <v>$ 5918,02</v>
      </c>
      <c r="G3010" t="str">
        <f>"$ 5918,02"</f>
        <v>$ 5918,02</v>
      </c>
      <c r="H3010" t="str">
        <f t="shared" si="1919"/>
        <v>$ 0,00</v>
      </c>
      <c r="I3010" t="str">
        <f>"TRABA PITON"</f>
        <v>TRABA PITON</v>
      </c>
      <c r="J3010" t="str">
        <f t="shared" si="1920"/>
        <v>1</v>
      </c>
      <c r="K3010" t="str">
        <f t="shared" si="1953"/>
        <v>0</v>
      </c>
      <c r="L3010" t="str">
        <f>"9,000"</f>
        <v>9,000</v>
      </c>
      <c r="M3010" t="str">
        <f t="shared" si="1921"/>
        <v xml:space="preserve"> </v>
      </c>
      <c r="N3010" t="str">
        <f>"OREGON"</f>
        <v>OREGON</v>
      </c>
      <c r="O3010" t="str">
        <f>"LINGAS"</f>
        <v>LINGAS</v>
      </c>
      <c r="P3010" t="str">
        <f t="shared" si="1954"/>
        <v>0</v>
      </c>
      <c r="Q3010" t="str">
        <f t="shared" si="1954"/>
        <v>0</v>
      </c>
      <c r="R3010" t="str">
        <f t="shared" si="1955"/>
        <v>0,00</v>
      </c>
      <c r="S3010" t="str">
        <f t="shared" si="1955"/>
        <v>0,00</v>
      </c>
      <c r="T3010" t="str">
        <f t="shared" si="1957"/>
        <v xml:space="preserve"> </v>
      </c>
      <c r="U3010" t="str">
        <f t="shared" ref="U3010:U3026" si="1960">" "</f>
        <v xml:space="preserve"> </v>
      </c>
      <c r="V3010" t="str">
        <f>"9,000"</f>
        <v>9,000</v>
      </c>
      <c r="W3010" t="str">
        <f t="shared" si="1922"/>
        <v>Lista 4</v>
      </c>
      <c r="X3010" t="str">
        <f t="shared" si="1923"/>
        <v>Lista 5</v>
      </c>
      <c r="Y3010" t="str">
        <f t="shared" si="1924"/>
        <v>Oferta Gral.</v>
      </c>
      <c r="Z3010" t="str">
        <f t="shared" si="1925"/>
        <v>Rubro</v>
      </c>
      <c r="AA3010" t="str">
        <f t="shared" si="1926"/>
        <v>Cantidad por Bulto</v>
      </c>
      <c r="AB3010" t="str">
        <f t="shared" si="1927"/>
        <v>INNER</v>
      </c>
      <c r="AC3010" t="str">
        <f t="shared" si="1928"/>
        <v>Stock en Bultos</v>
      </c>
      <c r="AD3010" t="str">
        <f t="shared" si="1929"/>
        <v>SubDepósito</v>
      </c>
      <c r="AE3010" t="str">
        <f t="shared" si="1930"/>
        <v>Marca</v>
      </c>
      <c r="AF3010" t="str">
        <f t="shared" si="1931"/>
        <v>Super Rubro</v>
      </c>
      <c r="AG3010" t="str">
        <f t="shared" si="1932"/>
        <v>ComercioExterior</v>
      </c>
      <c r="AH3010" t="str">
        <f t="shared" si="1933"/>
        <v>PrecioFOB</v>
      </c>
      <c r="AI3010" t="str">
        <f t="shared" si="1934"/>
        <v>Monto II</v>
      </c>
      <c r="AJ3010" t="str">
        <f t="shared" si="1935"/>
        <v>Porcentaje II</v>
      </c>
      <c r="AK3010" t="str">
        <f t="shared" si="1936"/>
        <v>Foto</v>
      </c>
      <c r="AL301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10" t="str">
        <f t="shared" si="1958"/>
        <v xml:space="preserve"> </v>
      </c>
    </row>
    <row r="3011" spans="1:39" x14ac:dyDescent="0.25">
      <c r="A3011" t="str">
        <f>"FI25021"</f>
        <v>FI25021</v>
      </c>
      <c r="B3011" t="str">
        <f>"TUERCA BOMBA COMBUSTIBLE CHEVROLET CORSA CELTA 93278521"</f>
        <v>TUERCA BOMBA COMBUSTIBLE CHEVROLET CORSA CELTA 93278521</v>
      </c>
      <c r="C3011" t="str">
        <f>"$ 10967,44"</f>
        <v>$ 10967,44</v>
      </c>
      <c r="D3011" t="str">
        <f>"$ 10967,44"</f>
        <v>$ 10967,44</v>
      </c>
      <c r="E3011" t="str">
        <f>"$ 10967,44"</f>
        <v>$ 10967,44</v>
      </c>
      <c r="F3011" t="str">
        <f>"$ 10967,44"</f>
        <v>$ 10967,44</v>
      </c>
      <c r="G3011" t="str">
        <f>"$ 10967,44"</f>
        <v>$ 10967,44</v>
      </c>
      <c r="H3011" t="str">
        <f t="shared" ref="H3011:H3026" si="1961">"$ 0,00"</f>
        <v>$ 0,00</v>
      </c>
      <c r="I3011" t="str">
        <f t="shared" ref="I3011:I3019" si="1962">"ACCESORIOS BOMBAS"</f>
        <v>ACCESORIOS BOMBAS</v>
      </c>
      <c r="J3011" t="str">
        <f t="shared" ref="J3011:J3026" si="1963">"1"</f>
        <v>1</v>
      </c>
      <c r="K3011" t="str">
        <f t="shared" si="1953"/>
        <v>0</v>
      </c>
      <c r="L3011" t="str">
        <f>"1,000"</f>
        <v>1,000</v>
      </c>
      <c r="M3011" t="str">
        <f t="shared" ref="M3011:M3026" si="1964">" "</f>
        <v xml:space="preserve"> </v>
      </c>
      <c r="N3011" t="str">
        <f t="shared" ref="N3011:N3026" si="1965">"FISPA"</f>
        <v>FISPA</v>
      </c>
      <c r="O3011" t="str">
        <f t="shared" ref="O3011:O3019" si="1966">"BOMBAS"</f>
        <v>BOMBAS</v>
      </c>
      <c r="P3011" t="str">
        <f t="shared" si="1954"/>
        <v>0</v>
      </c>
      <c r="Q3011" t="str">
        <f t="shared" si="1954"/>
        <v>0</v>
      </c>
      <c r="R3011" t="str">
        <f t="shared" si="1955"/>
        <v>0,00</v>
      </c>
      <c r="S3011" t="str">
        <f t="shared" si="1955"/>
        <v>0,00</v>
      </c>
      <c r="T3011" t="str">
        <f t="shared" si="1957"/>
        <v xml:space="preserve"> </v>
      </c>
      <c r="U3011" t="str">
        <f t="shared" si="1960"/>
        <v xml:space="preserve"> </v>
      </c>
      <c r="V3011" t="str">
        <f>"1,000"</f>
        <v>1,000</v>
      </c>
      <c r="W3011" t="str">
        <f t="shared" ref="W3011:W3026" si="1967">"Lista 4"</f>
        <v>Lista 4</v>
      </c>
      <c r="X3011" t="str">
        <f t="shared" ref="X3011:X3026" si="1968">"Lista 5"</f>
        <v>Lista 5</v>
      </c>
      <c r="Y3011" t="str">
        <f t="shared" ref="Y3011:Y3026" si="1969">"Oferta Gral."</f>
        <v>Oferta Gral.</v>
      </c>
      <c r="Z3011" t="str">
        <f t="shared" ref="Z3011:Z3026" si="1970">"Rubro"</f>
        <v>Rubro</v>
      </c>
      <c r="AA3011" t="str">
        <f t="shared" ref="AA3011:AA3026" si="1971">"Cantidad por Bulto"</f>
        <v>Cantidad por Bulto</v>
      </c>
      <c r="AB3011" t="str">
        <f t="shared" ref="AB3011:AB3026" si="1972">"INNER"</f>
        <v>INNER</v>
      </c>
      <c r="AC3011" t="str">
        <f t="shared" ref="AC3011:AC3026" si="1973">"Stock en Bultos"</f>
        <v>Stock en Bultos</v>
      </c>
      <c r="AD3011" t="str">
        <f t="shared" ref="AD3011:AD3026" si="1974">"SubDepósito"</f>
        <v>SubDepósito</v>
      </c>
      <c r="AE3011" t="str">
        <f t="shared" ref="AE3011:AE3026" si="1975">"Marca"</f>
        <v>Marca</v>
      </c>
      <c r="AF3011" t="str">
        <f t="shared" ref="AF3011:AF3026" si="1976">"Super Rubro"</f>
        <v>Super Rubro</v>
      </c>
      <c r="AG3011" t="str">
        <f t="shared" ref="AG3011:AG3026" si="1977">"ComercioExterior"</f>
        <v>ComercioExterior</v>
      </c>
      <c r="AH3011" t="str">
        <f t="shared" ref="AH3011:AH3026" si="1978">"PrecioFOB"</f>
        <v>PrecioFOB</v>
      </c>
      <c r="AI3011" t="str">
        <f t="shared" ref="AI3011:AI3026" si="1979">"Monto II"</f>
        <v>Monto II</v>
      </c>
      <c r="AJ3011" t="str">
        <f t="shared" ref="AJ3011:AJ3026" si="1980">"Porcentaje II"</f>
        <v>Porcentaje II</v>
      </c>
      <c r="AK3011" t="str">
        <f t="shared" ref="AK3011:AK3026" si="1981">"Foto"</f>
        <v>Foto</v>
      </c>
      <c r="AL301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11" t="str">
        <f t="shared" si="1958"/>
        <v xml:space="preserve"> </v>
      </c>
    </row>
    <row r="3012" spans="1:39" x14ac:dyDescent="0.25">
      <c r="A3012" t="str">
        <f>"FI25019"</f>
        <v>FI25019</v>
      </c>
      <c r="B3012" t="str">
        <f>"TUERCA BOMBA COMBUSTIBLE CITROEN XSARA PICASSO BERLINGO PEUGEOT PARTNER  153120"</f>
        <v>TUERCA BOMBA COMBUSTIBLE CITROEN XSARA PICASSO BERLINGO PEUGEOT PARTNER  153120</v>
      </c>
      <c r="C3012" t="str">
        <f>"$ 10582,34"</f>
        <v>$ 10582,34</v>
      </c>
      <c r="D3012" t="str">
        <f>"$ 10582,34"</f>
        <v>$ 10582,34</v>
      </c>
      <c r="E3012" t="str">
        <f>"$ 10582,34"</f>
        <v>$ 10582,34</v>
      </c>
      <c r="F3012" t="str">
        <f>"$ 10582,34"</f>
        <v>$ 10582,34</v>
      </c>
      <c r="G3012" t="str">
        <f>"$ 10582,34"</f>
        <v>$ 10582,34</v>
      </c>
      <c r="H3012" t="str">
        <f t="shared" si="1961"/>
        <v>$ 0,00</v>
      </c>
      <c r="I3012" t="str">
        <f t="shared" si="1962"/>
        <v>ACCESORIOS BOMBAS</v>
      </c>
      <c r="J3012" t="str">
        <f t="shared" si="1963"/>
        <v>1</v>
      </c>
      <c r="K3012" t="str">
        <f t="shared" si="1953"/>
        <v>0</v>
      </c>
      <c r="L3012" t="str">
        <f>"1,000"</f>
        <v>1,000</v>
      </c>
      <c r="M3012" t="str">
        <f t="shared" si="1964"/>
        <v xml:space="preserve"> </v>
      </c>
      <c r="N3012" t="str">
        <f t="shared" si="1965"/>
        <v>FISPA</v>
      </c>
      <c r="O3012" t="str">
        <f t="shared" si="1966"/>
        <v>BOMBAS</v>
      </c>
      <c r="P3012" t="str">
        <f t="shared" si="1954"/>
        <v>0</v>
      </c>
      <c r="Q3012" t="str">
        <f t="shared" si="1954"/>
        <v>0</v>
      </c>
      <c r="R3012" t="str">
        <f t="shared" si="1955"/>
        <v>0,00</v>
      </c>
      <c r="S3012" t="str">
        <f t="shared" si="1955"/>
        <v>0,00</v>
      </c>
      <c r="T3012" t="str">
        <f t="shared" si="1957"/>
        <v xml:space="preserve"> </v>
      </c>
      <c r="U3012" t="str">
        <f t="shared" si="1960"/>
        <v xml:space="preserve"> </v>
      </c>
      <c r="V3012" t="str">
        <f>"1,000"</f>
        <v>1,000</v>
      </c>
      <c r="W3012" t="str">
        <f t="shared" si="1967"/>
        <v>Lista 4</v>
      </c>
      <c r="X3012" t="str">
        <f t="shared" si="1968"/>
        <v>Lista 5</v>
      </c>
      <c r="Y3012" t="str">
        <f t="shared" si="1969"/>
        <v>Oferta Gral.</v>
      </c>
      <c r="Z3012" t="str">
        <f t="shared" si="1970"/>
        <v>Rubro</v>
      </c>
      <c r="AA3012" t="str">
        <f t="shared" si="1971"/>
        <v>Cantidad por Bulto</v>
      </c>
      <c r="AB3012" t="str">
        <f t="shared" si="1972"/>
        <v>INNER</v>
      </c>
      <c r="AC3012" t="str">
        <f t="shared" si="1973"/>
        <v>Stock en Bultos</v>
      </c>
      <c r="AD3012" t="str">
        <f t="shared" si="1974"/>
        <v>SubDepósito</v>
      </c>
      <c r="AE3012" t="str">
        <f t="shared" si="1975"/>
        <v>Marca</v>
      </c>
      <c r="AF3012" t="str">
        <f t="shared" si="1976"/>
        <v>Super Rubro</v>
      </c>
      <c r="AG3012" t="str">
        <f t="shared" si="1977"/>
        <v>ComercioExterior</v>
      </c>
      <c r="AH3012" t="str">
        <f t="shared" si="1978"/>
        <v>PrecioFOB</v>
      </c>
      <c r="AI3012" t="str">
        <f t="shared" si="1979"/>
        <v>Monto II</v>
      </c>
      <c r="AJ3012" t="str">
        <f t="shared" si="1980"/>
        <v>Porcentaje II</v>
      </c>
      <c r="AK3012" t="str">
        <f t="shared" si="1981"/>
        <v>Foto</v>
      </c>
      <c r="AL3012" t="str">
        <f>"{\rtf1\ansi\ansicpg1252\deff0\deflang2058{\fonttbl{\f0\fnil\fcharset0 MS Sans Serif}} \viewkind4\uc1\pard\f0\fs16 TUERCA BOMBA COMBUSTIBLE CITROEN XSARA PICASSO BERLINGO PEUGEOT PARTNER  153120\par \par } "</f>
        <v xml:space="preserve">{\rtf1\ansi\ansicpg1252\deff0\deflang2058{\fonttbl{\f0\fnil\fcharset0 MS Sans Serif}} \viewkind4\uc1\pard\f0\fs16 TUERCA BOMBA COMBUSTIBLE CITROEN XSARA PICASSO BERLINGO PEUGEOT PARTNER  153120\par \par } </v>
      </c>
      <c r="AM3012" t="str">
        <f t="shared" si="1958"/>
        <v xml:space="preserve"> </v>
      </c>
    </row>
    <row r="3013" spans="1:39" x14ac:dyDescent="0.25">
      <c r="A3013" t="str">
        <f>"FI25018"</f>
        <v>FI25018</v>
      </c>
      <c r="B3013" t="str">
        <f>"TUERCA BOMBA COMBUSTIBLE FORD COURIER ECOSPORT FIESTA ROCAM  98AB9C385AB"</f>
        <v>TUERCA BOMBA COMBUSTIBLE FORD COURIER ECOSPORT FIESTA ROCAM  98AB9C385AB</v>
      </c>
      <c r="C3013" t="str">
        <f>"$ 12187,15"</f>
        <v>$ 12187,15</v>
      </c>
      <c r="D3013" t="str">
        <f>"$ 12187,15"</f>
        <v>$ 12187,15</v>
      </c>
      <c r="E3013" t="str">
        <f>"$ 12187,15"</f>
        <v>$ 12187,15</v>
      </c>
      <c r="F3013" t="str">
        <f>"$ 12187,15"</f>
        <v>$ 12187,15</v>
      </c>
      <c r="G3013" t="str">
        <f>"$ 12187,15"</f>
        <v>$ 12187,15</v>
      </c>
      <c r="H3013" t="str">
        <f t="shared" si="1961"/>
        <v>$ 0,00</v>
      </c>
      <c r="I3013" t="str">
        <f t="shared" si="1962"/>
        <v>ACCESORIOS BOMBAS</v>
      </c>
      <c r="J3013" t="str">
        <f t="shared" si="1963"/>
        <v>1</v>
      </c>
      <c r="K3013" t="str">
        <f t="shared" si="1953"/>
        <v>0</v>
      </c>
      <c r="L3013" t="str">
        <f>"1,000"</f>
        <v>1,000</v>
      </c>
      <c r="M3013" t="str">
        <f t="shared" si="1964"/>
        <v xml:space="preserve"> </v>
      </c>
      <c r="N3013" t="str">
        <f t="shared" si="1965"/>
        <v>FISPA</v>
      </c>
      <c r="O3013" t="str">
        <f t="shared" si="1966"/>
        <v>BOMBAS</v>
      </c>
      <c r="P3013" t="str">
        <f t="shared" si="1954"/>
        <v>0</v>
      </c>
      <c r="Q3013" t="str">
        <f t="shared" si="1954"/>
        <v>0</v>
      </c>
      <c r="R3013" t="str">
        <f t="shared" si="1955"/>
        <v>0,00</v>
      </c>
      <c r="S3013" t="str">
        <f t="shared" si="1955"/>
        <v>0,00</v>
      </c>
      <c r="T3013" t="str">
        <f t="shared" si="1957"/>
        <v xml:space="preserve"> </v>
      </c>
      <c r="U3013" t="str">
        <f t="shared" si="1960"/>
        <v xml:space="preserve"> </v>
      </c>
      <c r="V3013" t="str">
        <f>"1,000"</f>
        <v>1,000</v>
      </c>
      <c r="W3013" t="str">
        <f t="shared" si="1967"/>
        <v>Lista 4</v>
      </c>
      <c r="X3013" t="str">
        <f t="shared" si="1968"/>
        <v>Lista 5</v>
      </c>
      <c r="Y3013" t="str">
        <f t="shared" si="1969"/>
        <v>Oferta Gral.</v>
      </c>
      <c r="Z3013" t="str">
        <f t="shared" si="1970"/>
        <v>Rubro</v>
      </c>
      <c r="AA3013" t="str">
        <f t="shared" si="1971"/>
        <v>Cantidad por Bulto</v>
      </c>
      <c r="AB3013" t="str">
        <f t="shared" si="1972"/>
        <v>INNER</v>
      </c>
      <c r="AC3013" t="str">
        <f t="shared" si="1973"/>
        <v>Stock en Bultos</v>
      </c>
      <c r="AD3013" t="str">
        <f t="shared" si="1974"/>
        <v>SubDepósito</v>
      </c>
      <c r="AE3013" t="str">
        <f t="shared" si="1975"/>
        <v>Marca</v>
      </c>
      <c r="AF3013" t="str">
        <f t="shared" si="1976"/>
        <v>Super Rubro</v>
      </c>
      <c r="AG3013" t="str">
        <f t="shared" si="1977"/>
        <v>ComercioExterior</v>
      </c>
      <c r="AH3013" t="str">
        <f t="shared" si="1978"/>
        <v>PrecioFOB</v>
      </c>
      <c r="AI3013" t="str">
        <f t="shared" si="1979"/>
        <v>Monto II</v>
      </c>
      <c r="AJ3013" t="str">
        <f t="shared" si="1980"/>
        <v>Porcentaje II</v>
      </c>
      <c r="AK3013" t="str">
        <f t="shared" si="1981"/>
        <v>Foto</v>
      </c>
      <c r="AL301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3" t="str">
        <f t="shared" si="1958"/>
        <v xml:space="preserve"> </v>
      </c>
    </row>
    <row r="3014" spans="1:39" x14ac:dyDescent="0.25">
      <c r="A3014" t="str">
        <f>"FI25024"</f>
        <v>FI25024</v>
      </c>
      <c r="B3014" t="str">
        <f>"TUERCA BOMBA COMBUSTIBLE FORD FOCUS FIESTA ECOSPORT 2S619C385AA"</f>
        <v>TUERCA BOMBA COMBUSTIBLE FORD FOCUS FIESTA ECOSPORT 2S619C385AA</v>
      </c>
      <c r="C3014" t="str">
        <f>"$ 14621,60"</f>
        <v>$ 14621,60</v>
      </c>
      <c r="D3014" t="str">
        <f>"$ 14621,60"</f>
        <v>$ 14621,60</v>
      </c>
      <c r="E3014" t="str">
        <f>"$ 14621,60"</f>
        <v>$ 14621,60</v>
      </c>
      <c r="F3014" t="str">
        <f>"$ 14621,60"</f>
        <v>$ 14621,60</v>
      </c>
      <c r="G3014" t="str">
        <f>"$ 14621,60"</f>
        <v>$ 14621,60</v>
      </c>
      <c r="H3014" t="str">
        <f t="shared" si="1961"/>
        <v>$ 0,00</v>
      </c>
      <c r="I3014" t="str">
        <f t="shared" si="1962"/>
        <v>ACCESORIOS BOMBAS</v>
      </c>
      <c r="J3014" t="str">
        <f t="shared" si="1963"/>
        <v>1</v>
      </c>
      <c r="K3014" t="str">
        <f t="shared" si="1953"/>
        <v>0</v>
      </c>
      <c r="L3014" t="str">
        <f>"1,000"</f>
        <v>1,000</v>
      </c>
      <c r="M3014" t="str">
        <f t="shared" si="1964"/>
        <v xml:space="preserve"> </v>
      </c>
      <c r="N3014" t="str">
        <f t="shared" si="1965"/>
        <v>FISPA</v>
      </c>
      <c r="O3014" t="str">
        <f t="shared" si="1966"/>
        <v>BOMBAS</v>
      </c>
      <c r="P3014" t="str">
        <f t="shared" si="1954"/>
        <v>0</v>
      </c>
      <c r="Q3014" t="str">
        <f t="shared" si="1954"/>
        <v>0</v>
      </c>
      <c r="R3014" t="str">
        <f t="shared" si="1955"/>
        <v>0,00</v>
      </c>
      <c r="S3014" t="str">
        <f t="shared" si="1955"/>
        <v>0,00</v>
      </c>
      <c r="T3014" t="str">
        <f t="shared" si="1957"/>
        <v xml:space="preserve"> </v>
      </c>
      <c r="U3014" t="str">
        <f t="shared" si="1960"/>
        <v xml:space="preserve"> </v>
      </c>
      <c r="V3014" t="str">
        <f>"1,000"</f>
        <v>1,000</v>
      </c>
      <c r="W3014" t="str">
        <f t="shared" si="1967"/>
        <v>Lista 4</v>
      </c>
      <c r="X3014" t="str">
        <f t="shared" si="1968"/>
        <v>Lista 5</v>
      </c>
      <c r="Y3014" t="str">
        <f t="shared" si="1969"/>
        <v>Oferta Gral.</v>
      </c>
      <c r="Z3014" t="str">
        <f t="shared" si="1970"/>
        <v>Rubro</v>
      </c>
      <c r="AA3014" t="str">
        <f t="shared" si="1971"/>
        <v>Cantidad por Bulto</v>
      </c>
      <c r="AB3014" t="str">
        <f t="shared" si="1972"/>
        <v>INNER</v>
      </c>
      <c r="AC3014" t="str">
        <f t="shared" si="1973"/>
        <v>Stock en Bultos</v>
      </c>
      <c r="AD3014" t="str">
        <f t="shared" si="1974"/>
        <v>SubDepósito</v>
      </c>
      <c r="AE3014" t="str">
        <f t="shared" si="1975"/>
        <v>Marca</v>
      </c>
      <c r="AF3014" t="str">
        <f t="shared" si="1976"/>
        <v>Super Rubro</v>
      </c>
      <c r="AG3014" t="str">
        <f t="shared" si="1977"/>
        <v>ComercioExterior</v>
      </c>
      <c r="AH3014" t="str">
        <f t="shared" si="1978"/>
        <v>PrecioFOB</v>
      </c>
      <c r="AI3014" t="str">
        <f t="shared" si="1979"/>
        <v>Monto II</v>
      </c>
      <c r="AJ3014" t="str">
        <f t="shared" si="1980"/>
        <v>Porcentaje II</v>
      </c>
      <c r="AK3014" t="str">
        <f t="shared" si="1981"/>
        <v>Foto</v>
      </c>
      <c r="AL301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14" t="str">
        <f t="shared" si="1958"/>
        <v xml:space="preserve"> </v>
      </c>
    </row>
    <row r="3015" spans="1:39" x14ac:dyDescent="0.25">
      <c r="A3015" t="str">
        <f>"FI25017"</f>
        <v>FI25017</v>
      </c>
      <c r="B3015" t="str">
        <f>"TUERCA BOMBA COMBUSTIBLE PEUGEOT 206 306 VW GOL POINTER GOLF  321201375A"</f>
        <v>TUERCA BOMBA COMBUSTIBLE PEUGEOT 206 306 VW GOL POINTER GOLF  321201375A</v>
      </c>
      <c r="C3015" t="str">
        <f>"$ 12283,73"</f>
        <v>$ 12283,73</v>
      </c>
      <c r="D3015" t="str">
        <f>"$ 12283,73"</f>
        <v>$ 12283,73</v>
      </c>
      <c r="E3015" t="str">
        <f>"$ 12283,73"</f>
        <v>$ 12283,73</v>
      </c>
      <c r="F3015" t="str">
        <f>"$ 12283,73"</f>
        <v>$ 12283,73</v>
      </c>
      <c r="G3015" t="str">
        <f>"$ 12283,73"</f>
        <v>$ 12283,73</v>
      </c>
      <c r="H3015" t="str">
        <f t="shared" si="1961"/>
        <v>$ 0,00</v>
      </c>
      <c r="I3015" t="str">
        <f t="shared" si="1962"/>
        <v>ACCESORIOS BOMBAS</v>
      </c>
      <c r="J3015" t="str">
        <f t="shared" si="1963"/>
        <v>1</v>
      </c>
      <c r="K3015" t="str">
        <f t="shared" si="1953"/>
        <v>0</v>
      </c>
      <c r="L3015" t="str">
        <f>"2,000"</f>
        <v>2,000</v>
      </c>
      <c r="M3015" t="str">
        <f t="shared" si="1964"/>
        <v xml:space="preserve"> </v>
      </c>
      <c r="N3015" t="str">
        <f t="shared" si="1965"/>
        <v>FISPA</v>
      </c>
      <c r="O3015" t="str">
        <f t="shared" si="1966"/>
        <v>BOMBAS</v>
      </c>
      <c r="P3015" t="str">
        <f t="shared" si="1954"/>
        <v>0</v>
      </c>
      <c r="Q3015" t="str">
        <f t="shared" si="1954"/>
        <v>0</v>
      </c>
      <c r="R3015" t="str">
        <f t="shared" si="1955"/>
        <v>0,00</v>
      </c>
      <c r="S3015" t="str">
        <f t="shared" si="1955"/>
        <v>0,00</v>
      </c>
      <c r="T3015" t="str">
        <f t="shared" si="1957"/>
        <v xml:space="preserve"> </v>
      </c>
      <c r="U3015" t="str">
        <f t="shared" si="1960"/>
        <v xml:space="preserve"> </v>
      </c>
      <c r="V3015" t="str">
        <f>"2,000"</f>
        <v>2,000</v>
      </c>
      <c r="W3015" t="str">
        <f t="shared" si="1967"/>
        <v>Lista 4</v>
      </c>
      <c r="X3015" t="str">
        <f t="shared" si="1968"/>
        <v>Lista 5</v>
      </c>
      <c r="Y3015" t="str">
        <f t="shared" si="1969"/>
        <v>Oferta Gral.</v>
      </c>
      <c r="Z3015" t="str">
        <f t="shared" si="1970"/>
        <v>Rubro</v>
      </c>
      <c r="AA3015" t="str">
        <f t="shared" si="1971"/>
        <v>Cantidad por Bulto</v>
      </c>
      <c r="AB3015" t="str">
        <f t="shared" si="1972"/>
        <v>INNER</v>
      </c>
      <c r="AC3015" t="str">
        <f t="shared" si="1973"/>
        <v>Stock en Bultos</v>
      </c>
      <c r="AD3015" t="str">
        <f t="shared" si="1974"/>
        <v>SubDepósito</v>
      </c>
      <c r="AE3015" t="str">
        <f t="shared" si="1975"/>
        <v>Marca</v>
      </c>
      <c r="AF3015" t="str">
        <f t="shared" si="1976"/>
        <v>Super Rubro</v>
      </c>
      <c r="AG3015" t="str">
        <f t="shared" si="1977"/>
        <v>ComercioExterior</v>
      </c>
      <c r="AH3015" t="str">
        <f t="shared" si="1978"/>
        <v>PrecioFOB</v>
      </c>
      <c r="AI3015" t="str">
        <f t="shared" si="1979"/>
        <v>Monto II</v>
      </c>
      <c r="AJ3015" t="str">
        <f t="shared" si="1980"/>
        <v>Porcentaje II</v>
      </c>
      <c r="AK3015" t="str">
        <f t="shared" si="1981"/>
        <v>Foto</v>
      </c>
      <c r="AL3015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5" t="str">
        <f t="shared" si="1958"/>
        <v xml:space="preserve"> </v>
      </c>
    </row>
    <row r="3016" spans="1:39" x14ac:dyDescent="0.25">
      <c r="A3016" t="str">
        <f>"FI25010"</f>
        <v>FI25010</v>
      </c>
      <c r="B3016" t="str">
        <f>"TUERCA BOMBA COMBUSTIBLE PEUGEOT 207 307 308 408 CITROEN C4    153141   153030"</f>
        <v>TUERCA BOMBA COMBUSTIBLE PEUGEOT 207 307 308 408 CITROEN C4    153141   153030</v>
      </c>
      <c r="C3016" t="str">
        <f>"$ 16297,00"</f>
        <v>$ 16297,00</v>
      </c>
      <c r="D3016" t="str">
        <f>"$ 16297,00"</f>
        <v>$ 16297,00</v>
      </c>
      <c r="E3016" t="str">
        <f>"$ 16297,00"</f>
        <v>$ 16297,00</v>
      </c>
      <c r="F3016" t="str">
        <f>"$ 16297,00"</f>
        <v>$ 16297,00</v>
      </c>
      <c r="G3016" t="str">
        <f>"$ 16297,00"</f>
        <v>$ 16297,00</v>
      </c>
      <c r="H3016" t="str">
        <f t="shared" si="1961"/>
        <v>$ 0,00</v>
      </c>
      <c r="I3016" t="str">
        <f t="shared" si="1962"/>
        <v>ACCESORIOS BOMBAS</v>
      </c>
      <c r="J3016" t="str">
        <f t="shared" si="1963"/>
        <v>1</v>
      </c>
      <c r="K3016" t="str">
        <f t="shared" si="1953"/>
        <v>0</v>
      </c>
      <c r="L3016" t="str">
        <f>"1,000"</f>
        <v>1,000</v>
      </c>
      <c r="M3016" t="str">
        <f t="shared" si="1964"/>
        <v xml:space="preserve"> </v>
      </c>
      <c r="N3016" t="str">
        <f t="shared" si="1965"/>
        <v>FISPA</v>
      </c>
      <c r="O3016" t="str">
        <f t="shared" si="1966"/>
        <v>BOMBAS</v>
      </c>
      <c r="P3016" t="str">
        <f t="shared" si="1954"/>
        <v>0</v>
      </c>
      <c r="Q3016" t="str">
        <f t="shared" si="1954"/>
        <v>0</v>
      </c>
      <c r="R3016" t="str">
        <f t="shared" si="1955"/>
        <v>0,00</v>
      </c>
      <c r="S3016" t="str">
        <f t="shared" si="1955"/>
        <v>0,00</v>
      </c>
      <c r="T3016" t="str">
        <f t="shared" si="1957"/>
        <v xml:space="preserve"> </v>
      </c>
      <c r="U3016" t="str">
        <f t="shared" si="1960"/>
        <v xml:space="preserve"> </v>
      </c>
      <c r="V3016" t="str">
        <f>"1,000"</f>
        <v>1,000</v>
      </c>
      <c r="W3016" t="str">
        <f t="shared" si="1967"/>
        <v>Lista 4</v>
      </c>
      <c r="X3016" t="str">
        <f t="shared" si="1968"/>
        <v>Lista 5</v>
      </c>
      <c r="Y3016" t="str">
        <f t="shared" si="1969"/>
        <v>Oferta Gral.</v>
      </c>
      <c r="Z3016" t="str">
        <f t="shared" si="1970"/>
        <v>Rubro</v>
      </c>
      <c r="AA3016" t="str">
        <f t="shared" si="1971"/>
        <v>Cantidad por Bulto</v>
      </c>
      <c r="AB3016" t="str">
        <f t="shared" si="1972"/>
        <v>INNER</v>
      </c>
      <c r="AC3016" t="str">
        <f t="shared" si="1973"/>
        <v>Stock en Bultos</v>
      </c>
      <c r="AD3016" t="str">
        <f t="shared" si="1974"/>
        <v>SubDepósito</v>
      </c>
      <c r="AE3016" t="str">
        <f t="shared" si="1975"/>
        <v>Marca</v>
      </c>
      <c r="AF3016" t="str">
        <f t="shared" si="1976"/>
        <v>Super Rubro</v>
      </c>
      <c r="AG3016" t="str">
        <f t="shared" si="1977"/>
        <v>ComercioExterior</v>
      </c>
      <c r="AH3016" t="str">
        <f t="shared" si="1978"/>
        <v>PrecioFOB</v>
      </c>
      <c r="AI3016" t="str">
        <f t="shared" si="1979"/>
        <v>Monto II</v>
      </c>
      <c r="AJ3016" t="str">
        <f t="shared" si="1980"/>
        <v>Porcentaje II</v>
      </c>
      <c r="AK3016" t="str">
        <f t="shared" si="1981"/>
        <v>Foto</v>
      </c>
      <c r="AL3016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6" t="str">
        <f t="shared" si="1958"/>
        <v xml:space="preserve"> </v>
      </c>
    </row>
    <row r="3017" spans="1:39" x14ac:dyDescent="0.25">
      <c r="A3017" t="str">
        <f>"FI25025"</f>
        <v>FI25025</v>
      </c>
      <c r="B3017" t="str">
        <f>"TUERCA BOMBA COMBUSTIBLE RENAULT LOGAN MEGANE FLUENCE 7701207449"</f>
        <v>TUERCA BOMBA COMBUSTIBLE RENAULT LOGAN MEGANE FLUENCE 7701207449</v>
      </c>
      <c r="C3017" t="str">
        <f>"$ 13261,97"</f>
        <v>$ 13261,97</v>
      </c>
      <c r="D3017" t="str">
        <f>"$ 13261,97"</f>
        <v>$ 13261,97</v>
      </c>
      <c r="E3017" t="str">
        <f>"$ 13261,97"</f>
        <v>$ 13261,97</v>
      </c>
      <c r="F3017" t="str">
        <f>"$ 13261,97"</f>
        <v>$ 13261,97</v>
      </c>
      <c r="G3017" t="str">
        <f>"$ 13261,97"</f>
        <v>$ 13261,97</v>
      </c>
      <c r="H3017" t="str">
        <f t="shared" si="1961"/>
        <v>$ 0,00</v>
      </c>
      <c r="I3017" t="str">
        <f t="shared" si="1962"/>
        <v>ACCESORIOS BOMBAS</v>
      </c>
      <c r="J3017" t="str">
        <f t="shared" si="1963"/>
        <v>1</v>
      </c>
      <c r="K3017" t="str">
        <f t="shared" si="1953"/>
        <v>0</v>
      </c>
      <c r="L3017" t="str">
        <f>"4,000"</f>
        <v>4,000</v>
      </c>
      <c r="M3017" t="str">
        <f t="shared" si="1964"/>
        <v xml:space="preserve"> </v>
      </c>
      <c r="N3017" t="str">
        <f t="shared" si="1965"/>
        <v>FISPA</v>
      </c>
      <c r="O3017" t="str">
        <f t="shared" si="1966"/>
        <v>BOMBAS</v>
      </c>
      <c r="P3017" t="str">
        <f t="shared" si="1954"/>
        <v>0</v>
      </c>
      <c r="Q3017" t="str">
        <f t="shared" si="1954"/>
        <v>0</v>
      </c>
      <c r="R3017" t="str">
        <f t="shared" si="1955"/>
        <v>0,00</v>
      </c>
      <c r="S3017" t="str">
        <f t="shared" si="1955"/>
        <v>0,00</v>
      </c>
      <c r="T3017" t="str">
        <f t="shared" si="1957"/>
        <v xml:space="preserve"> </v>
      </c>
      <c r="U3017" t="str">
        <f t="shared" si="1960"/>
        <v xml:space="preserve"> </v>
      </c>
      <c r="V3017" t="str">
        <f>"4,000"</f>
        <v>4,000</v>
      </c>
      <c r="W3017" t="str">
        <f t="shared" si="1967"/>
        <v>Lista 4</v>
      </c>
      <c r="X3017" t="str">
        <f t="shared" si="1968"/>
        <v>Lista 5</v>
      </c>
      <c r="Y3017" t="str">
        <f t="shared" si="1969"/>
        <v>Oferta Gral.</v>
      </c>
      <c r="Z3017" t="str">
        <f t="shared" si="1970"/>
        <v>Rubro</v>
      </c>
      <c r="AA3017" t="str">
        <f t="shared" si="1971"/>
        <v>Cantidad por Bulto</v>
      </c>
      <c r="AB3017" t="str">
        <f t="shared" si="1972"/>
        <v>INNER</v>
      </c>
      <c r="AC3017" t="str">
        <f t="shared" si="1973"/>
        <v>Stock en Bultos</v>
      </c>
      <c r="AD3017" t="str">
        <f t="shared" si="1974"/>
        <v>SubDepósito</v>
      </c>
      <c r="AE3017" t="str">
        <f t="shared" si="1975"/>
        <v>Marca</v>
      </c>
      <c r="AF3017" t="str">
        <f t="shared" si="1976"/>
        <v>Super Rubro</v>
      </c>
      <c r="AG3017" t="str">
        <f t="shared" si="1977"/>
        <v>ComercioExterior</v>
      </c>
      <c r="AH3017" t="str">
        <f t="shared" si="1978"/>
        <v>PrecioFOB</v>
      </c>
      <c r="AI3017" t="str">
        <f t="shared" si="1979"/>
        <v>Monto II</v>
      </c>
      <c r="AJ3017" t="str">
        <f t="shared" si="1980"/>
        <v>Porcentaje II</v>
      </c>
      <c r="AK3017" t="str">
        <f t="shared" si="1981"/>
        <v>Foto</v>
      </c>
      <c r="AL301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17" t="str">
        <f t="shared" si="1958"/>
        <v xml:space="preserve"> </v>
      </c>
    </row>
    <row r="3018" spans="1:39" x14ac:dyDescent="0.25">
      <c r="A3018" t="str">
        <f>"FI25009"</f>
        <v>FI25009</v>
      </c>
      <c r="B3018" t="str">
        <f>"TUERCA BOMBA COMBUSTIBLE RENAULT MEGANE KANGOO LOGAN 7701206096 7701209115"</f>
        <v>TUERCA BOMBA COMBUSTIBLE RENAULT MEGANE KANGOO LOGAN 7701206096 7701209115</v>
      </c>
      <c r="C3018" t="str">
        <f>"$ 17683,87"</f>
        <v>$ 17683,87</v>
      </c>
      <c r="D3018" t="str">
        <f>"$ 17683,87"</f>
        <v>$ 17683,87</v>
      </c>
      <c r="E3018" t="str">
        <f>"$ 17683,87"</f>
        <v>$ 17683,87</v>
      </c>
      <c r="F3018" t="str">
        <f>"$ 17683,87"</f>
        <v>$ 17683,87</v>
      </c>
      <c r="G3018" t="str">
        <f>"$ 17683,87"</f>
        <v>$ 17683,87</v>
      </c>
      <c r="H3018" t="str">
        <f t="shared" si="1961"/>
        <v>$ 0,00</v>
      </c>
      <c r="I3018" t="str">
        <f t="shared" si="1962"/>
        <v>ACCESORIOS BOMBAS</v>
      </c>
      <c r="J3018" t="str">
        <f t="shared" si="1963"/>
        <v>1</v>
      </c>
      <c r="K3018" t="str">
        <f t="shared" si="1953"/>
        <v>0</v>
      </c>
      <c r="L3018" t="str">
        <f>"2,000"</f>
        <v>2,000</v>
      </c>
      <c r="M3018" t="str">
        <f t="shared" si="1964"/>
        <v xml:space="preserve"> </v>
      </c>
      <c r="N3018" t="str">
        <f t="shared" si="1965"/>
        <v>FISPA</v>
      </c>
      <c r="O3018" t="str">
        <f t="shared" si="1966"/>
        <v>BOMBAS</v>
      </c>
      <c r="P3018" t="str">
        <f t="shared" si="1954"/>
        <v>0</v>
      </c>
      <c r="Q3018" t="str">
        <f t="shared" si="1954"/>
        <v>0</v>
      </c>
      <c r="R3018" t="str">
        <f t="shared" si="1955"/>
        <v>0,00</v>
      </c>
      <c r="S3018" t="str">
        <f t="shared" si="1955"/>
        <v>0,00</v>
      </c>
      <c r="T3018" t="str">
        <f t="shared" si="1957"/>
        <v xml:space="preserve"> </v>
      </c>
      <c r="U3018" t="str">
        <f t="shared" si="1960"/>
        <v xml:space="preserve"> </v>
      </c>
      <c r="V3018" t="str">
        <f>"2,000"</f>
        <v>2,000</v>
      </c>
      <c r="W3018" t="str">
        <f t="shared" si="1967"/>
        <v>Lista 4</v>
      </c>
      <c r="X3018" t="str">
        <f t="shared" si="1968"/>
        <v>Lista 5</v>
      </c>
      <c r="Y3018" t="str">
        <f t="shared" si="1969"/>
        <v>Oferta Gral.</v>
      </c>
      <c r="Z3018" t="str">
        <f t="shared" si="1970"/>
        <v>Rubro</v>
      </c>
      <c r="AA3018" t="str">
        <f t="shared" si="1971"/>
        <v>Cantidad por Bulto</v>
      </c>
      <c r="AB3018" t="str">
        <f t="shared" si="1972"/>
        <v>INNER</v>
      </c>
      <c r="AC3018" t="str">
        <f t="shared" si="1973"/>
        <v>Stock en Bultos</v>
      </c>
      <c r="AD3018" t="str">
        <f t="shared" si="1974"/>
        <v>SubDepósito</v>
      </c>
      <c r="AE3018" t="str">
        <f t="shared" si="1975"/>
        <v>Marca</v>
      </c>
      <c r="AF3018" t="str">
        <f t="shared" si="1976"/>
        <v>Super Rubro</v>
      </c>
      <c r="AG3018" t="str">
        <f t="shared" si="1977"/>
        <v>ComercioExterior</v>
      </c>
      <c r="AH3018" t="str">
        <f t="shared" si="1978"/>
        <v>PrecioFOB</v>
      </c>
      <c r="AI3018" t="str">
        <f t="shared" si="1979"/>
        <v>Monto II</v>
      </c>
      <c r="AJ3018" t="str">
        <f t="shared" si="1980"/>
        <v>Porcentaje II</v>
      </c>
      <c r="AK3018" t="str">
        <f t="shared" si="1981"/>
        <v>Foto</v>
      </c>
      <c r="AL3018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8" t="str">
        <f t="shared" si="1958"/>
        <v xml:space="preserve"> </v>
      </c>
    </row>
    <row r="3019" spans="1:39" x14ac:dyDescent="0.25">
      <c r="A3019" t="str">
        <f>"FI25015"</f>
        <v>FI25015</v>
      </c>
      <c r="B3019" t="str">
        <f>"TUERCA PLASTICA SENSOR NIVEL COMBUSTIBLE FORD"</f>
        <v>TUERCA PLASTICA SENSOR NIVEL COMBUSTIBLE FORD</v>
      </c>
      <c r="C3019" t="str">
        <f>"$ 11473,90"</f>
        <v>$ 11473,90</v>
      </c>
      <c r="D3019" t="str">
        <f>"$ 11473,90"</f>
        <v>$ 11473,90</v>
      </c>
      <c r="E3019" t="str">
        <f>"$ 11473,90"</f>
        <v>$ 11473,90</v>
      </c>
      <c r="F3019" t="str">
        <f>"$ 11473,90"</f>
        <v>$ 11473,90</v>
      </c>
      <c r="G3019" t="str">
        <f>"$ 11473,90"</f>
        <v>$ 11473,90</v>
      </c>
      <c r="H3019" t="str">
        <f t="shared" si="1961"/>
        <v>$ 0,00</v>
      </c>
      <c r="I3019" t="str">
        <f t="shared" si="1962"/>
        <v>ACCESORIOS BOMBAS</v>
      </c>
      <c r="J3019" t="str">
        <f t="shared" si="1963"/>
        <v>1</v>
      </c>
      <c r="K3019" t="str">
        <f t="shared" si="1953"/>
        <v>0</v>
      </c>
      <c r="L3019" t="str">
        <f>"3,000"</f>
        <v>3,000</v>
      </c>
      <c r="M3019" t="str">
        <f t="shared" si="1964"/>
        <v xml:space="preserve"> </v>
      </c>
      <c r="N3019" t="str">
        <f t="shared" si="1965"/>
        <v>FISPA</v>
      </c>
      <c r="O3019" t="str">
        <f t="shared" si="1966"/>
        <v>BOMBAS</v>
      </c>
      <c r="P3019" t="str">
        <f t="shared" si="1954"/>
        <v>0</v>
      </c>
      <c r="Q3019" t="str">
        <f t="shared" si="1954"/>
        <v>0</v>
      </c>
      <c r="R3019" t="str">
        <f t="shared" si="1955"/>
        <v>0,00</v>
      </c>
      <c r="S3019" t="str">
        <f t="shared" si="1955"/>
        <v>0,00</v>
      </c>
      <c r="T3019" t="str">
        <f t="shared" si="1957"/>
        <v xml:space="preserve"> </v>
      </c>
      <c r="U3019" t="str">
        <f t="shared" si="1960"/>
        <v xml:space="preserve"> </v>
      </c>
      <c r="V3019" t="str">
        <f>"3,000"</f>
        <v>3,000</v>
      </c>
      <c r="W3019" t="str">
        <f t="shared" si="1967"/>
        <v>Lista 4</v>
      </c>
      <c r="X3019" t="str">
        <f t="shared" si="1968"/>
        <v>Lista 5</v>
      </c>
      <c r="Y3019" t="str">
        <f t="shared" si="1969"/>
        <v>Oferta Gral.</v>
      </c>
      <c r="Z3019" t="str">
        <f t="shared" si="1970"/>
        <v>Rubro</v>
      </c>
      <c r="AA3019" t="str">
        <f t="shared" si="1971"/>
        <v>Cantidad por Bulto</v>
      </c>
      <c r="AB3019" t="str">
        <f t="shared" si="1972"/>
        <v>INNER</v>
      </c>
      <c r="AC3019" t="str">
        <f t="shared" si="1973"/>
        <v>Stock en Bultos</v>
      </c>
      <c r="AD3019" t="str">
        <f t="shared" si="1974"/>
        <v>SubDepósito</v>
      </c>
      <c r="AE3019" t="str">
        <f t="shared" si="1975"/>
        <v>Marca</v>
      </c>
      <c r="AF3019" t="str">
        <f t="shared" si="1976"/>
        <v>Super Rubro</v>
      </c>
      <c r="AG3019" t="str">
        <f t="shared" si="1977"/>
        <v>ComercioExterior</v>
      </c>
      <c r="AH3019" t="str">
        <f t="shared" si="1978"/>
        <v>PrecioFOB</v>
      </c>
      <c r="AI3019" t="str">
        <f t="shared" si="1979"/>
        <v>Monto II</v>
      </c>
      <c r="AJ3019" t="str">
        <f t="shared" si="1980"/>
        <v>Porcentaje II</v>
      </c>
      <c r="AK3019" t="str">
        <f t="shared" si="1981"/>
        <v>Foto</v>
      </c>
      <c r="AL3019" t="str">
        <f>" "</f>
        <v xml:space="preserve"> </v>
      </c>
      <c r="AM3019" t="str">
        <f t="shared" ref="AM3019:AM3026" si="1982">"-"</f>
        <v>-</v>
      </c>
    </row>
    <row r="3020" spans="1:39" x14ac:dyDescent="0.25">
      <c r="A3020" t="str">
        <f>"FI32001"</f>
        <v>FI32001</v>
      </c>
      <c r="B3020" t="str">
        <f>"VALVULA CANISTER VW GOLF MOTOR G4GR"</f>
        <v>VALVULA CANISTER VW GOLF MOTOR G4GR</v>
      </c>
      <c r="C3020" t="str">
        <f>"$ 84106,57"</f>
        <v>$ 84106,57</v>
      </c>
      <c r="D3020" t="str">
        <f>"$ 84106,57"</f>
        <v>$ 84106,57</v>
      </c>
      <c r="E3020" t="str">
        <f>"$ 84106,57"</f>
        <v>$ 84106,57</v>
      </c>
      <c r="F3020" t="str">
        <f>"$ 84106,57"</f>
        <v>$ 84106,57</v>
      </c>
      <c r="G3020" t="str">
        <f>"$ 84106,57"</f>
        <v>$ 84106,57</v>
      </c>
      <c r="H3020" t="str">
        <f t="shared" si="1961"/>
        <v>$ 0,00</v>
      </c>
      <c r="I3020" t="str">
        <f>"VALVULAS CANISTER"</f>
        <v>VALVULAS CANISTER</v>
      </c>
      <c r="J3020" t="str">
        <f t="shared" si="1963"/>
        <v>1</v>
      </c>
      <c r="K3020" t="str">
        <f t="shared" si="1953"/>
        <v>0</v>
      </c>
      <c r="L3020" t="str">
        <f>"4,000"</f>
        <v>4,000</v>
      </c>
      <c r="M3020" t="str">
        <f t="shared" si="1964"/>
        <v xml:space="preserve"> </v>
      </c>
      <c r="N3020" t="str">
        <f t="shared" si="1965"/>
        <v>FISPA</v>
      </c>
      <c r="O3020" t="str">
        <f>"VALVULAS CANISTER"</f>
        <v>VALVULAS CANISTER</v>
      </c>
      <c r="P3020" t="str">
        <f t="shared" si="1954"/>
        <v>0</v>
      </c>
      <c r="Q3020" t="str">
        <f t="shared" si="1954"/>
        <v>0</v>
      </c>
      <c r="R3020" t="str">
        <f t="shared" si="1955"/>
        <v>0,00</v>
      </c>
      <c r="S3020" t="str">
        <f t="shared" si="1955"/>
        <v>0,00</v>
      </c>
      <c r="T3020" t="str">
        <f t="shared" si="1957"/>
        <v xml:space="preserve"> </v>
      </c>
      <c r="U3020" t="str">
        <f t="shared" si="1960"/>
        <v xml:space="preserve"> </v>
      </c>
      <c r="V3020" t="str">
        <f>"4,000"</f>
        <v>4,000</v>
      </c>
      <c r="W3020" t="str">
        <f t="shared" si="1967"/>
        <v>Lista 4</v>
      </c>
      <c r="X3020" t="str">
        <f t="shared" si="1968"/>
        <v>Lista 5</v>
      </c>
      <c r="Y3020" t="str">
        <f t="shared" si="1969"/>
        <v>Oferta Gral.</v>
      </c>
      <c r="Z3020" t="str">
        <f t="shared" si="1970"/>
        <v>Rubro</v>
      </c>
      <c r="AA3020" t="str">
        <f t="shared" si="1971"/>
        <v>Cantidad por Bulto</v>
      </c>
      <c r="AB3020" t="str">
        <f t="shared" si="1972"/>
        <v>INNER</v>
      </c>
      <c r="AC3020" t="str">
        <f t="shared" si="1973"/>
        <v>Stock en Bultos</v>
      </c>
      <c r="AD3020" t="str">
        <f t="shared" si="1974"/>
        <v>SubDepósito</v>
      </c>
      <c r="AE3020" t="str">
        <f t="shared" si="1975"/>
        <v>Marca</v>
      </c>
      <c r="AF3020" t="str">
        <f t="shared" si="1976"/>
        <v>Super Rubro</v>
      </c>
      <c r="AG3020" t="str">
        <f t="shared" si="1977"/>
        <v>ComercioExterior</v>
      </c>
      <c r="AH3020" t="str">
        <f t="shared" si="1978"/>
        <v>PrecioFOB</v>
      </c>
      <c r="AI3020" t="str">
        <f t="shared" si="1979"/>
        <v>Monto II</v>
      </c>
      <c r="AJ3020" t="str">
        <f t="shared" si="1980"/>
        <v>Porcentaje II</v>
      </c>
      <c r="AK3020" t="str">
        <f t="shared" si="1981"/>
        <v>Foto</v>
      </c>
      <c r="AL3020" t="str">
        <f>"{\rtf1\ansi\ansicpg1252\deff0\deflang11274{\fonttbl{\f0\fnil\fcharset0 MS Sans Serif}} \viewkind4\uc1\pard\f0\fs16 VALVULA CANISTER VW GOLF MOTOR G4GR\par } "</f>
        <v xml:space="preserve">{\rtf1\ansi\ansicpg1252\deff0\deflang11274{\fonttbl{\f0\fnil\fcharset0 MS Sans Serif}} \viewkind4\uc1\pard\f0\fs16 VALVULA CANISTER VW GOLF MOTOR G4GR\par } </v>
      </c>
      <c r="AM3020" t="str">
        <f t="shared" si="1982"/>
        <v>-</v>
      </c>
    </row>
    <row r="3021" spans="1:39" x14ac:dyDescent="0.25">
      <c r="A3021" t="str">
        <f>"FI32000"</f>
        <v>FI32000</v>
      </c>
      <c r="B3021" t="str">
        <f>"VALVULA CANISTER VW GOLF/BORA MOTOR AGN APG"</f>
        <v>VALVULA CANISTER VW GOLF/BORA MOTOR AGN APG</v>
      </c>
      <c r="C3021" t="str">
        <f>"$ 116473,93"</f>
        <v>$ 116473,93</v>
      </c>
      <c r="D3021" t="str">
        <f>"$ 116473,93"</f>
        <v>$ 116473,93</v>
      </c>
      <c r="E3021" t="str">
        <f>"$ 116473,93"</f>
        <v>$ 116473,93</v>
      </c>
      <c r="F3021" t="str">
        <f>"$ 116473,93"</f>
        <v>$ 116473,93</v>
      </c>
      <c r="G3021" t="str">
        <f>"$ 116473,93"</f>
        <v>$ 116473,93</v>
      </c>
      <c r="H3021" t="str">
        <f t="shared" si="1961"/>
        <v>$ 0,00</v>
      </c>
      <c r="I3021" t="str">
        <f>"VALVULAS CANISTER"</f>
        <v>VALVULAS CANISTER</v>
      </c>
      <c r="J3021" t="str">
        <f t="shared" si="1963"/>
        <v>1</v>
      </c>
      <c r="K3021" t="str">
        <f t="shared" si="1953"/>
        <v>0</v>
      </c>
      <c r="L3021" t="str">
        <f>"4,000"</f>
        <v>4,000</v>
      </c>
      <c r="M3021" t="str">
        <f t="shared" si="1964"/>
        <v xml:space="preserve"> </v>
      </c>
      <c r="N3021" t="str">
        <f t="shared" si="1965"/>
        <v>FISPA</v>
      </c>
      <c r="O3021" t="str">
        <f>"VALVULAS CANISTER"</f>
        <v>VALVULAS CANISTER</v>
      </c>
      <c r="P3021" t="str">
        <f t="shared" si="1954"/>
        <v>0</v>
      </c>
      <c r="Q3021" t="str">
        <f t="shared" si="1954"/>
        <v>0</v>
      </c>
      <c r="R3021" t="str">
        <f t="shared" si="1955"/>
        <v>0,00</v>
      </c>
      <c r="S3021" t="str">
        <f t="shared" si="1955"/>
        <v>0,00</v>
      </c>
      <c r="T3021" t="str">
        <f t="shared" si="1957"/>
        <v xml:space="preserve"> </v>
      </c>
      <c r="U3021" t="str">
        <f t="shared" si="1960"/>
        <v xml:space="preserve"> </v>
      </c>
      <c r="V3021" t="str">
        <f>"4,000"</f>
        <v>4,000</v>
      </c>
      <c r="W3021" t="str">
        <f t="shared" si="1967"/>
        <v>Lista 4</v>
      </c>
      <c r="X3021" t="str">
        <f t="shared" si="1968"/>
        <v>Lista 5</v>
      </c>
      <c r="Y3021" t="str">
        <f t="shared" si="1969"/>
        <v>Oferta Gral.</v>
      </c>
      <c r="Z3021" t="str">
        <f t="shared" si="1970"/>
        <v>Rubro</v>
      </c>
      <c r="AA3021" t="str">
        <f t="shared" si="1971"/>
        <v>Cantidad por Bulto</v>
      </c>
      <c r="AB3021" t="str">
        <f t="shared" si="1972"/>
        <v>INNER</v>
      </c>
      <c r="AC3021" t="str">
        <f t="shared" si="1973"/>
        <v>Stock en Bultos</v>
      </c>
      <c r="AD3021" t="str">
        <f t="shared" si="1974"/>
        <v>SubDepósito</v>
      </c>
      <c r="AE3021" t="str">
        <f t="shared" si="1975"/>
        <v>Marca</v>
      </c>
      <c r="AF3021" t="str">
        <f t="shared" si="1976"/>
        <v>Super Rubro</v>
      </c>
      <c r="AG3021" t="str">
        <f t="shared" si="1977"/>
        <v>ComercioExterior</v>
      </c>
      <c r="AH3021" t="str">
        <f t="shared" si="1978"/>
        <v>PrecioFOB</v>
      </c>
      <c r="AI3021" t="str">
        <f t="shared" si="1979"/>
        <v>Monto II</v>
      </c>
      <c r="AJ3021" t="str">
        <f t="shared" si="1980"/>
        <v>Porcentaje II</v>
      </c>
      <c r="AK3021" t="str">
        <f t="shared" si="1981"/>
        <v>Foto</v>
      </c>
      <c r="AL3021" t="str">
        <f>"{\rtf1\ansi\ansicpg1252\deff0\deflang11274{\fonttbl{\f0\fnil\fcharset0 MS Sans Serif}} \viewkind4\uc1\pard\f0\fs16 VALVULA CANISTER VW GOLF/BORA MOTOR AGN APG\par } "</f>
        <v xml:space="preserve">{\rtf1\ansi\ansicpg1252\deff0\deflang11274{\fonttbl{\f0\fnil\fcharset0 MS Sans Serif}} \viewkind4\uc1\pard\f0\fs16 VALVULA CANISTER VW GOLF/BORA MOTOR AGN APG\par } </v>
      </c>
      <c r="AM3021" t="str">
        <f t="shared" si="1982"/>
        <v>-</v>
      </c>
    </row>
    <row r="3022" spans="1:39" x14ac:dyDescent="0.25">
      <c r="A3022" t="str">
        <f>"M1011"</f>
        <v>M1011</v>
      </c>
      <c r="B3022" t="str">
        <f>"VW CADDY - GOL - POLO - SAVEIRO 1,6 - 1,8 - 2,0"</f>
        <v>VW CADDY - GOL - POLO - SAVEIRO 1,6 - 1,8 - 2,0</v>
      </c>
      <c r="C3022" t="str">
        <f>"$ 12986,98"</f>
        <v>$ 12986,98</v>
      </c>
      <c r="D3022" t="str">
        <f>"$ 12986,98"</f>
        <v>$ 12986,98</v>
      </c>
      <c r="E3022" t="str">
        <f>"$ 12986,98"</f>
        <v>$ 12986,98</v>
      </c>
      <c r="F3022" t="str">
        <f>"$ 12986,98"</f>
        <v>$ 12986,98</v>
      </c>
      <c r="G3022" t="str">
        <f>"$ 12986,98"</f>
        <v>$ 12986,98</v>
      </c>
      <c r="H3022" t="str">
        <f t="shared" si="1961"/>
        <v>$ 0,00</v>
      </c>
      <c r="I3022" t="str">
        <f>"SENSOR MARIPOSA TPS"</f>
        <v>SENSOR MARIPOSA TPS</v>
      </c>
      <c r="J3022" t="str">
        <f t="shared" si="1963"/>
        <v>1</v>
      </c>
      <c r="K3022" t="str">
        <f t="shared" si="1953"/>
        <v>0</v>
      </c>
      <c r="L3022" t="str">
        <f>"3,000"</f>
        <v>3,000</v>
      </c>
      <c r="M3022" t="str">
        <f t="shared" si="1964"/>
        <v xml:space="preserve"> </v>
      </c>
      <c r="N3022" t="str">
        <f t="shared" si="1965"/>
        <v>FISPA</v>
      </c>
      <c r="O3022" t="str">
        <f>"SENSORES"</f>
        <v>SENSORES</v>
      </c>
      <c r="P3022" t="str">
        <f t="shared" si="1954"/>
        <v>0</v>
      </c>
      <c r="Q3022" t="str">
        <f t="shared" si="1954"/>
        <v>0</v>
      </c>
      <c r="R3022" t="str">
        <f t="shared" si="1955"/>
        <v>0,00</v>
      </c>
      <c r="S3022" t="str">
        <f t="shared" si="1955"/>
        <v>0,00</v>
      </c>
      <c r="T3022" t="str">
        <f t="shared" si="1957"/>
        <v xml:space="preserve"> </v>
      </c>
      <c r="U3022" t="str">
        <f t="shared" si="1960"/>
        <v xml:space="preserve"> </v>
      </c>
      <c r="V3022" t="str">
        <f>"3,000"</f>
        <v>3,000</v>
      </c>
      <c r="W3022" t="str">
        <f t="shared" si="1967"/>
        <v>Lista 4</v>
      </c>
      <c r="X3022" t="str">
        <f t="shared" si="1968"/>
        <v>Lista 5</v>
      </c>
      <c r="Y3022" t="str">
        <f t="shared" si="1969"/>
        <v>Oferta Gral.</v>
      </c>
      <c r="Z3022" t="str">
        <f t="shared" si="1970"/>
        <v>Rubro</v>
      </c>
      <c r="AA3022" t="str">
        <f t="shared" si="1971"/>
        <v>Cantidad por Bulto</v>
      </c>
      <c r="AB3022" t="str">
        <f t="shared" si="1972"/>
        <v>INNER</v>
      </c>
      <c r="AC3022" t="str">
        <f t="shared" si="1973"/>
        <v>Stock en Bultos</v>
      </c>
      <c r="AD3022" t="str">
        <f t="shared" si="1974"/>
        <v>SubDepósito</v>
      </c>
      <c r="AE3022" t="str">
        <f t="shared" si="1975"/>
        <v>Marca</v>
      </c>
      <c r="AF3022" t="str">
        <f t="shared" si="1976"/>
        <v>Super Rubro</v>
      </c>
      <c r="AG3022" t="str">
        <f t="shared" si="1977"/>
        <v>ComercioExterior</v>
      </c>
      <c r="AH3022" t="str">
        <f t="shared" si="1978"/>
        <v>PrecioFOB</v>
      </c>
      <c r="AI3022" t="str">
        <f t="shared" si="1979"/>
        <v>Monto II</v>
      </c>
      <c r="AJ3022" t="str">
        <f t="shared" si="1980"/>
        <v>Porcentaje II</v>
      </c>
      <c r="AK3022" t="str">
        <f t="shared" si="1981"/>
        <v>Foto</v>
      </c>
      <c r="AL3022" t="str">
        <f>" "</f>
        <v xml:space="preserve"> </v>
      </c>
      <c r="AM3022" t="str">
        <f t="shared" si="1982"/>
        <v>-</v>
      </c>
    </row>
    <row r="3023" spans="1:39" x14ac:dyDescent="0.25">
      <c r="A3023" t="str">
        <f>"M1021"</f>
        <v>M1021</v>
      </c>
      <c r="B3023" t="str">
        <f>"VW GOL 2.0 16V 94/96 - LOGUS / POINTER 2.0 AP MPI 94/96 - PARATI 2.0 16V 94/97 - QUANTUM "</f>
        <v xml:space="preserve">VW GOL 2.0 16V 94/96 - LOGUS / POINTER 2.0 AP MPI 94/96 - PARATI 2.0 16V 94/97 - QUANTUM </v>
      </c>
      <c r="C3023" t="str">
        <f>"$ 15694,23"</f>
        <v>$ 15694,23</v>
      </c>
      <c r="D3023" t="str">
        <f>"$ 15694,23"</f>
        <v>$ 15694,23</v>
      </c>
      <c r="E3023" t="str">
        <f>"$ 15694,23"</f>
        <v>$ 15694,23</v>
      </c>
      <c r="F3023" t="str">
        <f>"$ 15694,23"</f>
        <v>$ 15694,23</v>
      </c>
      <c r="G3023" t="str">
        <f>"$ 15694,23"</f>
        <v>$ 15694,23</v>
      </c>
      <c r="H3023" t="str">
        <f t="shared" si="1961"/>
        <v>$ 0,00</v>
      </c>
      <c r="I3023" t="str">
        <f>"SENSOR MARIPOSA TPS"</f>
        <v>SENSOR MARIPOSA TPS</v>
      </c>
      <c r="J3023" t="str">
        <f t="shared" si="1963"/>
        <v>1</v>
      </c>
      <c r="K3023" t="str">
        <f t="shared" si="1953"/>
        <v>0</v>
      </c>
      <c r="L3023" t="str">
        <f>"0,000"</f>
        <v>0,000</v>
      </c>
      <c r="M3023" t="str">
        <f t="shared" si="1964"/>
        <v xml:space="preserve"> </v>
      </c>
      <c r="N3023" t="str">
        <f t="shared" si="1965"/>
        <v>FISPA</v>
      </c>
      <c r="O3023" t="str">
        <f>"SENSORES"</f>
        <v>SENSORES</v>
      </c>
      <c r="P3023" t="str">
        <f t="shared" si="1954"/>
        <v>0</v>
      </c>
      <c r="Q3023" t="str">
        <f t="shared" si="1954"/>
        <v>0</v>
      </c>
      <c r="R3023" t="str">
        <f t="shared" si="1955"/>
        <v>0,00</v>
      </c>
      <c r="S3023" t="str">
        <f t="shared" si="1955"/>
        <v>0,00</v>
      </c>
      <c r="T3023" t="str">
        <f t="shared" si="1957"/>
        <v xml:space="preserve"> </v>
      </c>
      <c r="U3023" t="str">
        <f t="shared" si="1960"/>
        <v xml:space="preserve"> </v>
      </c>
      <c r="V3023" t="str">
        <f>"0,000"</f>
        <v>0,000</v>
      </c>
      <c r="W3023" t="str">
        <f t="shared" si="1967"/>
        <v>Lista 4</v>
      </c>
      <c r="X3023" t="str">
        <f t="shared" si="1968"/>
        <v>Lista 5</v>
      </c>
      <c r="Y3023" t="str">
        <f t="shared" si="1969"/>
        <v>Oferta Gral.</v>
      </c>
      <c r="Z3023" t="str">
        <f t="shared" si="1970"/>
        <v>Rubro</v>
      </c>
      <c r="AA3023" t="str">
        <f t="shared" si="1971"/>
        <v>Cantidad por Bulto</v>
      </c>
      <c r="AB3023" t="str">
        <f t="shared" si="1972"/>
        <v>INNER</v>
      </c>
      <c r="AC3023" t="str">
        <f t="shared" si="1973"/>
        <v>Stock en Bultos</v>
      </c>
      <c r="AD3023" t="str">
        <f t="shared" si="1974"/>
        <v>SubDepósito</v>
      </c>
      <c r="AE3023" t="str">
        <f t="shared" si="1975"/>
        <v>Marca</v>
      </c>
      <c r="AF3023" t="str">
        <f t="shared" si="1976"/>
        <v>Super Rubro</v>
      </c>
      <c r="AG3023" t="str">
        <f t="shared" si="1977"/>
        <v>ComercioExterior</v>
      </c>
      <c r="AH3023" t="str">
        <f t="shared" si="1978"/>
        <v>PrecioFOB</v>
      </c>
      <c r="AI3023" t="str">
        <f t="shared" si="1979"/>
        <v>Monto II</v>
      </c>
      <c r="AJ3023" t="str">
        <f t="shared" si="1980"/>
        <v>Porcentaje II</v>
      </c>
      <c r="AK3023" t="str">
        <f t="shared" si="1981"/>
        <v>Foto</v>
      </c>
      <c r="AL302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23" t="str">
        <f t="shared" si="1982"/>
        <v>-</v>
      </c>
    </row>
    <row r="3024" spans="1:39" x14ac:dyDescent="0.25">
      <c r="A3024" t="str">
        <f>"M1006"</f>
        <v>M1006</v>
      </c>
      <c r="B3024" t="str">
        <f>"VW GOLF III 2,0 CABRIOLET Y VARIANT 2,0 PASSAT 2,0 - VENTO 2,0"</f>
        <v>VW GOLF III 2,0 CABRIOLET Y VARIANT 2,0 PASSAT 2,0 - VENTO 2,0</v>
      </c>
      <c r="C3024" t="str">
        <f>"$ 21983,88"</f>
        <v>$ 21983,88</v>
      </c>
      <c r="D3024" t="str">
        <f>"$ 21983,88"</f>
        <v>$ 21983,88</v>
      </c>
      <c r="E3024" t="str">
        <f>"$ 21983,88"</f>
        <v>$ 21983,88</v>
      </c>
      <c r="F3024" t="str">
        <f>"$ 21983,88"</f>
        <v>$ 21983,88</v>
      </c>
      <c r="G3024" t="str">
        <f>"$ 21983,88"</f>
        <v>$ 21983,88</v>
      </c>
      <c r="H3024" t="str">
        <f t="shared" si="1961"/>
        <v>$ 0,00</v>
      </c>
      <c r="I3024" t="str">
        <f>"SENSOR MARIPOSA TPS"</f>
        <v>SENSOR MARIPOSA TPS</v>
      </c>
      <c r="J3024" t="str">
        <f t="shared" si="1963"/>
        <v>1</v>
      </c>
      <c r="K3024" t="str">
        <f t="shared" si="1953"/>
        <v>0</v>
      </c>
      <c r="L3024" t="str">
        <f>"0,000"</f>
        <v>0,000</v>
      </c>
      <c r="M3024" t="str">
        <f t="shared" si="1964"/>
        <v xml:space="preserve"> </v>
      </c>
      <c r="N3024" t="str">
        <f t="shared" si="1965"/>
        <v>FISPA</v>
      </c>
      <c r="O3024" t="str">
        <f>"SENSORES"</f>
        <v>SENSORES</v>
      </c>
      <c r="P3024" t="str">
        <f t="shared" si="1954"/>
        <v>0</v>
      </c>
      <c r="Q3024" t="str">
        <f t="shared" si="1954"/>
        <v>0</v>
      </c>
      <c r="R3024" t="str">
        <f t="shared" si="1955"/>
        <v>0,00</v>
      </c>
      <c r="S3024" t="str">
        <f t="shared" si="1955"/>
        <v>0,00</v>
      </c>
      <c r="T3024" t="str">
        <f t="shared" si="1957"/>
        <v xml:space="preserve"> </v>
      </c>
      <c r="U3024" t="str">
        <f t="shared" si="1960"/>
        <v xml:space="preserve"> </v>
      </c>
      <c r="V3024" t="str">
        <f>"0,000"</f>
        <v>0,000</v>
      </c>
      <c r="W3024" t="str">
        <f t="shared" si="1967"/>
        <v>Lista 4</v>
      </c>
      <c r="X3024" t="str">
        <f t="shared" si="1968"/>
        <v>Lista 5</v>
      </c>
      <c r="Y3024" t="str">
        <f t="shared" si="1969"/>
        <v>Oferta Gral.</v>
      </c>
      <c r="Z3024" t="str">
        <f t="shared" si="1970"/>
        <v>Rubro</v>
      </c>
      <c r="AA3024" t="str">
        <f t="shared" si="1971"/>
        <v>Cantidad por Bulto</v>
      </c>
      <c r="AB3024" t="str">
        <f t="shared" si="1972"/>
        <v>INNER</v>
      </c>
      <c r="AC3024" t="str">
        <f t="shared" si="1973"/>
        <v>Stock en Bultos</v>
      </c>
      <c r="AD3024" t="str">
        <f t="shared" si="1974"/>
        <v>SubDepósito</v>
      </c>
      <c r="AE3024" t="str">
        <f t="shared" si="1975"/>
        <v>Marca</v>
      </c>
      <c r="AF3024" t="str">
        <f t="shared" si="1976"/>
        <v>Super Rubro</v>
      </c>
      <c r="AG3024" t="str">
        <f t="shared" si="1977"/>
        <v>ComercioExterior</v>
      </c>
      <c r="AH3024" t="str">
        <f t="shared" si="1978"/>
        <v>PrecioFOB</v>
      </c>
      <c r="AI3024" t="str">
        <f t="shared" si="1979"/>
        <v>Monto II</v>
      </c>
      <c r="AJ3024" t="str">
        <f t="shared" si="1980"/>
        <v>Porcentaje II</v>
      </c>
      <c r="AK3024" t="str">
        <f t="shared" si="1981"/>
        <v>Foto</v>
      </c>
      <c r="AL3024" t="str">
        <f>" "</f>
        <v xml:space="preserve"> </v>
      </c>
      <c r="AM3024" t="str">
        <f t="shared" si="1982"/>
        <v>-</v>
      </c>
    </row>
    <row r="3025" spans="1:39" x14ac:dyDescent="0.25">
      <c r="A3025" t="str">
        <f>"M1025"</f>
        <v>M1025</v>
      </c>
      <c r="B3025" t="str">
        <f>"VW GOLF III 2.0 GTI 16V 08 92-08. 97"</f>
        <v>VW GOLF III 2.0 GTI 16V 08 92-08. 97</v>
      </c>
      <c r="C3025" t="str">
        <f>"$ 22254,85"</f>
        <v>$ 22254,85</v>
      </c>
      <c r="D3025" t="str">
        <f>"$ 22254,85"</f>
        <v>$ 22254,85</v>
      </c>
      <c r="E3025" t="str">
        <f>"$ 22254,85"</f>
        <v>$ 22254,85</v>
      </c>
      <c r="F3025" t="str">
        <f>"$ 22254,85"</f>
        <v>$ 22254,85</v>
      </c>
      <c r="G3025" t="str">
        <f>"$ 22254,85"</f>
        <v>$ 22254,85</v>
      </c>
      <c r="H3025" t="str">
        <f t="shared" si="1961"/>
        <v>$ 0,00</v>
      </c>
      <c r="I3025" t="str">
        <f>"SENSOR MARIPOSA TPS"</f>
        <v>SENSOR MARIPOSA TPS</v>
      </c>
      <c r="J3025" t="str">
        <f t="shared" si="1963"/>
        <v>1</v>
      </c>
      <c r="K3025" t="str">
        <f t="shared" si="1953"/>
        <v>0</v>
      </c>
      <c r="L3025" t="str">
        <f>"0,000"</f>
        <v>0,000</v>
      </c>
      <c r="M3025" t="str">
        <f t="shared" si="1964"/>
        <v xml:space="preserve"> </v>
      </c>
      <c r="N3025" t="str">
        <f t="shared" si="1965"/>
        <v>FISPA</v>
      </c>
      <c r="O3025" t="str">
        <f>"SENSORES"</f>
        <v>SENSORES</v>
      </c>
      <c r="P3025" t="str">
        <f t="shared" si="1954"/>
        <v>0</v>
      </c>
      <c r="Q3025" t="str">
        <f t="shared" si="1954"/>
        <v>0</v>
      </c>
      <c r="R3025" t="str">
        <f t="shared" si="1955"/>
        <v>0,00</v>
      </c>
      <c r="S3025" t="str">
        <f t="shared" si="1955"/>
        <v>0,00</v>
      </c>
      <c r="T3025" t="str">
        <f t="shared" si="1957"/>
        <v xml:space="preserve"> </v>
      </c>
      <c r="U3025" t="str">
        <f t="shared" si="1960"/>
        <v xml:space="preserve"> </v>
      </c>
      <c r="V3025" t="str">
        <f>"0,000"</f>
        <v>0,000</v>
      </c>
      <c r="W3025" t="str">
        <f t="shared" si="1967"/>
        <v>Lista 4</v>
      </c>
      <c r="X3025" t="str">
        <f t="shared" si="1968"/>
        <v>Lista 5</v>
      </c>
      <c r="Y3025" t="str">
        <f t="shared" si="1969"/>
        <v>Oferta Gral.</v>
      </c>
      <c r="Z3025" t="str">
        <f t="shared" si="1970"/>
        <v>Rubro</v>
      </c>
      <c r="AA3025" t="str">
        <f t="shared" si="1971"/>
        <v>Cantidad por Bulto</v>
      </c>
      <c r="AB3025" t="str">
        <f t="shared" si="1972"/>
        <v>INNER</v>
      </c>
      <c r="AC3025" t="str">
        <f t="shared" si="1973"/>
        <v>Stock en Bultos</v>
      </c>
      <c r="AD3025" t="str">
        <f t="shared" si="1974"/>
        <v>SubDepósito</v>
      </c>
      <c r="AE3025" t="str">
        <f t="shared" si="1975"/>
        <v>Marca</v>
      </c>
      <c r="AF3025" t="str">
        <f t="shared" si="1976"/>
        <v>Super Rubro</v>
      </c>
      <c r="AG3025" t="str">
        <f t="shared" si="1977"/>
        <v>ComercioExterior</v>
      </c>
      <c r="AH3025" t="str">
        <f t="shared" si="1978"/>
        <v>PrecioFOB</v>
      </c>
      <c r="AI3025" t="str">
        <f t="shared" si="1979"/>
        <v>Monto II</v>
      </c>
      <c r="AJ3025" t="str">
        <f t="shared" si="1980"/>
        <v>Porcentaje II</v>
      </c>
      <c r="AK3025" t="str">
        <f t="shared" si="1981"/>
        <v>Foto</v>
      </c>
      <c r="AL3025" t="str">
        <f>" "</f>
        <v xml:space="preserve"> </v>
      </c>
      <c r="AM3025" t="str">
        <f t="shared" si="1982"/>
        <v>-</v>
      </c>
    </row>
    <row r="3026" spans="1:39" x14ac:dyDescent="0.25">
      <c r="A3026" t="str">
        <f>"M1024"</f>
        <v>M1024</v>
      </c>
      <c r="B3026" t="str">
        <f>"VW GOLF III 2.0 GTI 16V 92/99 PASSAT 2.0 16V 94/96 SEAT IBIZA 2.0 16V 96/99"</f>
        <v>VW GOLF III 2.0 GTI 16V 92/99 PASSAT 2.0 16V 94/96 SEAT IBIZA 2.0 16V 96/99</v>
      </c>
      <c r="C3026" t="str">
        <f>"$ 22321,98"</f>
        <v>$ 22321,98</v>
      </c>
      <c r="D3026" t="str">
        <f>"$ 22321,98"</f>
        <v>$ 22321,98</v>
      </c>
      <c r="E3026" t="str">
        <f>"$ 22321,98"</f>
        <v>$ 22321,98</v>
      </c>
      <c r="F3026" t="str">
        <f>"$ 22321,98"</f>
        <v>$ 22321,98</v>
      </c>
      <c r="G3026" t="str">
        <f>"$ 22321,98"</f>
        <v>$ 22321,98</v>
      </c>
      <c r="H3026" t="str">
        <f t="shared" si="1961"/>
        <v>$ 0,00</v>
      </c>
      <c r="I3026" t="str">
        <f>"SENSOR MARIPOSA TPS"</f>
        <v>SENSOR MARIPOSA TPS</v>
      </c>
      <c r="J3026" t="str">
        <f t="shared" si="1963"/>
        <v>1</v>
      </c>
      <c r="K3026" t="str">
        <f t="shared" si="1953"/>
        <v>0</v>
      </c>
      <c r="L3026" t="str">
        <f>"0,000"</f>
        <v>0,000</v>
      </c>
      <c r="M3026" t="str">
        <f t="shared" si="1964"/>
        <v xml:space="preserve"> </v>
      </c>
      <c r="N3026" t="str">
        <f t="shared" si="1965"/>
        <v>FISPA</v>
      </c>
      <c r="O3026" t="str">
        <f>"SENSORES"</f>
        <v>SENSORES</v>
      </c>
      <c r="P3026" t="str">
        <f t="shared" si="1954"/>
        <v>0</v>
      </c>
      <c r="Q3026" t="str">
        <f t="shared" si="1954"/>
        <v>0</v>
      </c>
      <c r="R3026" t="str">
        <f t="shared" si="1955"/>
        <v>0,00</v>
      </c>
      <c r="S3026" t="str">
        <f t="shared" si="1955"/>
        <v>0,00</v>
      </c>
      <c r="T3026" t="str">
        <f t="shared" si="1957"/>
        <v xml:space="preserve"> </v>
      </c>
      <c r="U3026" t="str">
        <f t="shared" si="1960"/>
        <v xml:space="preserve"> </v>
      </c>
      <c r="V3026" t="str">
        <f>"0,000"</f>
        <v>0,000</v>
      </c>
      <c r="W3026" t="str">
        <f t="shared" si="1967"/>
        <v>Lista 4</v>
      </c>
      <c r="X3026" t="str">
        <f t="shared" si="1968"/>
        <v>Lista 5</v>
      </c>
      <c r="Y3026" t="str">
        <f t="shared" si="1969"/>
        <v>Oferta Gral.</v>
      </c>
      <c r="Z3026" t="str">
        <f t="shared" si="1970"/>
        <v>Rubro</v>
      </c>
      <c r="AA3026" t="str">
        <f t="shared" si="1971"/>
        <v>Cantidad por Bulto</v>
      </c>
      <c r="AB3026" t="str">
        <f t="shared" si="1972"/>
        <v>INNER</v>
      </c>
      <c r="AC3026" t="str">
        <f t="shared" si="1973"/>
        <v>Stock en Bultos</v>
      </c>
      <c r="AD3026" t="str">
        <f t="shared" si="1974"/>
        <v>SubDepósito</v>
      </c>
      <c r="AE3026" t="str">
        <f t="shared" si="1975"/>
        <v>Marca</v>
      </c>
      <c r="AF3026" t="str">
        <f t="shared" si="1976"/>
        <v>Super Rubro</v>
      </c>
      <c r="AG3026" t="str">
        <f t="shared" si="1977"/>
        <v>ComercioExterior</v>
      </c>
      <c r="AH3026" t="str">
        <f t="shared" si="1978"/>
        <v>PrecioFOB</v>
      </c>
      <c r="AI3026" t="str">
        <f t="shared" si="1979"/>
        <v>Monto II</v>
      </c>
      <c r="AJ3026" t="str">
        <f t="shared" si="1980"/>
        <v>Porcentaje II</v>
      </c>
      <c r="AK3026" t="str">
        <f t="shared" si="1981"/>
        <v>Foto</v>
      </c>
      <c r="AL3026" t="str">
        <f>" "</f>
        <v xml:space="preserve"> </v>
      </c>
      <c r="AM3026" t="str">
        <f t="shared" si="1982"/>
        <v>-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Filtros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sergio giannantonio</cp:lastModifiedBy>
  <dcterms:created xsi:type="dcterms:W3CDTF">2026-02-20T22:48:36Z</dcterms:created>
  <dcterms:modified xsi:type="dcterms:W3CDTF">2026-02-20T22:48:36Z</dcterms:modified>
</cp:coreProperties>
</file>